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bookViews>
    <workbookView xWindow="28680" yWindow="-45" windowWidth="29040" windowHeight="15720" tabRatio="500" firstSheet="12" activeTab="16" xr2:uid="{00000000-000D-0000-FFFF-FFFF00000000}"/>
  </bookViews>
  <sheets>
    <sheet name="Read me" sheetId="1" r:id="rId1"/>
    <sheet name="Dashboard" sheetId="2" r:id="rId2"/>
    <sheet name="Work packages" sheetId="3" r:id="rId3"/>
    <sheet name="Labor entries" sheetId="4" r:id="rId4"/>
    <sheet name="Technicians" sheetId="5" r:id="rId5"/>
    <sheet name="Parts" sheetId="6" r:id="rId6"/>
    <sheet name="Disruptions" sheetId="7" r:id="rId7"/>
    <sheet name="Task rules" sheetId="8" r:id="rId8"/>
    <sheet name="Weekly history" sheetId="9" r:id="rId9"/>
    <sheet name="Estimate review" sheetId="10" r:id="rId10"/>
    <sheet name="Capacity and backlog" sheetId="11" r:id="rId11"/>
    <sheet name="Forecast validation" sheetId="12" r:id="rId12"/>
    <sheet name="Open work snapshot" sheetId="13" r:id="rId13"/>
    <sheet name="Weekly forecast" sheetId="14" r:id="rId14"/>
    <sheet name="Capacity outlook" sheetId="15" r:id="rId15"/>
    <sheet name="Schedule performance" sheetId="16" r:id="rId16"/>
    <sheet name="Recovery planner" sheetId="17" r:id="rId17"/>
  </sheets>
  <definedNames>
    <definedName name="HoldoutStart">'Forecast validation'!$B$31</definedName>
    <definedName name="ValidationStart">'Forecast validation'!$B$30</definedName>
  </definedNames>
  <calcPr calcId="191029" calcMode="auto"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<sst xmlns="http://schemas.openxmlformats.org/spreadsheetml/2006/main" count="53309" uniqueCount="9673">
  <si>
    <t>Synthetic maintenance labor dataset</t>
  </si>
  <si>
    <t>Purpose</t>
  </si>
  <si>
    <t>Estimate work-package labor and forecast capacity using a realistic but entirely simulated shop.</t>
  </si>
  <si>
    <t>Period</t>
  </si>
  <si>
    <t>2024-01-01 through 2025-12-30 request dates</t>
  </si>
  <si>
    <t>Population</t>
  </si>
  <si>
    <t>2,400 simulated work packages across 14 fictional test aircraft and 75 technicians.</t>
  </si>
  <si>
    <t>Source</t>
  </si>
  <si>
    <t>Original synthetic data generated with a fixed random seed (20260928). No aircraft manufacturer or regulatory agency records.</t>
  </si>
  <si>
    <t>Unit of prediction</t>
  </si>
  <si>
    <t>Total actual labor hours per work package at intake.</t>
  </si>
  <si>
    <t>Prediction-time fields</t>
  </si>
  <si>
    <t>Aircraft, request date, due date, task type/class, required skill, complexity, priority, part requirement, estimated hours.</t>
  </si>
  <si>
    <t>Outcome fields</t>
  </si>
  <si>
    <t>Completion date, actual labor hours and labor entries. Keep out of intake-time features.</t>
  </si>
  <si>
    <t>Leakage warning</t>
  </si>
  <si>
    <t>Repeat work, parts arrival/delay and disruptions are realized after intake; exclude them from initial estimates.</t>
  </si>
  <si>
    <t>Labor relationship</t>
  </si>
  <si>
    <t>Labor entries sum to actual labor hours for each work package, subject to 0.1-hour rounding.</t>
  </si>
  <si>
    <t>Parts relationship</t>
  </si>
  <si>
    <t>One part record exists for each package marked part required.</t>
  </si>
  <si>
    <t>Disruption relationship</t>
  </si>
  <si>
    <t>Records reflect part delays or operational events; some packages have neither.</t>
  </si>
  <si>
    <t>Generation logic</t>
  </si>
  <si>
    <t>Task baseline × complexity × aircraft age × season; realized hours add random variation, rework and disruptions.</t>
  </si>
  <si>
    <t>Model split</t>
  </si>
  <si>
    <t>Train on 2024 and early 2025; validate on later 2025 in request-date order.</t>
  </si>
  <si>
    <t>Limits</t>
  </si>
  <si>
    <t>The rules are invented for portfolio practice and are not calibrated to a real aircraft maintenance operation.</t>
  </si>
  <si>
    <t>Weekly summaries</t>
  </si>
  <si>
    <t>Weekly history and Estimate review calculate from source records. Request/work week keys are derived from ISO dates.</t>
  </si>
  <si>
    <t>Update scope</t>
  </si>
  <si>
    <t>Data tabs are Excel Tables (tblWorkPackages, tblLaborEntries, tblTechnicians, tblParts, tblDisruptions, tblTaskRules). Summary formulas use structured references, so new rows are included automatically. Paste new records into the input columns; calculated columns fill themselves.</t>
  </si>
  <si>
    <t>Capacity assumption</t>
  </si>
  <si>
    <t>Capacity uses a hypothetical assignment of 11 full-time-equivalent technicians across six skills. Yellow inputs on Capacity and backlog are editable.</t>
  </si>
  <si>
    <t>Backlog limitation</t>
  </si>
  <si>
    <t>Planned backlog is an estimate using incoming estimates less booked hours; it is not a work-order-level open-task ledger.</t>
  </si>
  <si>
    <t>Forecast method</t>
  </si>
  <si>
    <t>Add the historical average task-specific actual-minus-estimate error to the incoming work estimate.</t>
  </si>
  <si>
    <t>Test design</t>
  </si>
  <si>
    <t>Time split is calculated from the request date and the ValidationStart and HoldoutStart cutoffs on Forecast validation. Training data trains validation; training plus validation trains the holdout. Held-out actuals never train predictions.</t>
  </si>
  <si>
    <t>Capacity link</t>
  </si>
  <si>
    <t>Weekly incoming hours use calibrated forecasts for 2025. Training weeks in 2024 use original estimates.</t>
  </si>
  <si>
    <t>Chronology repair</t>
  </si>
  <si>
    <t>Simulated queue days were added before labor entries. Completion now occurs on or after the final labor entry plus 0-3 signoff days.</t>
  </si>
  <si>
    <t>Open snapshot</t>
  </si>
  <si>
    <t>Fixed retrospective view as of 2025-12-30. Open jobs are requested by then and complete afterward. Hours booked use entries on or before the date.</t>
  </si>
  <si>
    <t>Snapshot limits</t>
  </si>
  <si>
    <t>Hours remaining uses forecast less booked hours; actual future labor is never used. Rebuild selection for another snapshot date.</t>
  </si>
  <si>
    <t>Dashboard</t>
  </si>
  <si>
    <t>Headline results and three charts. Everything links to the model tabs.</t>
  </si>
  <si>
    <t>Weekly forecast</t>
  </si>
  <si>
    <t>Backtests four methods on held-out weeks (ETS, linear trend, moving average, same week last year), picks the lowest WMAPE and forecasts the next 13 weeks with an error band.</t>
  </si>
  <si>
    <t>Capacity outlook</t>
  </si>
  <si>
    <t>Splits the forward forecast by skill, adds open backlog and compares it to allocated capacity with a status flag and FTE gap.</t>
  </si>
  <si>
    <t>Input columns</t>
  </si>
  <si>
    <t>Work packages: A-N (ID through actual hours). Labor entries: A-G. Everything else in those tabs is calculated.</t>
  </si>
  <si>
    <t>Known limits</t>
  </si>
  <si>
    <t>Weekly history lists 105 fixed weeks (2024-2025); extend its rows to add new weeks. Open work snapshot is a fixed selection as of 2025-12-30.</t>
  </si>
  <si>
    <t>Schedule performance</t>
  </si>
  <si>
    <t>On-time rate by priority, task type and month; flow-time breakdown; Pareto of disruption causes; part delays by category.</t>
  </si>
  <si>
    <t>Recovery planner</t>
  </si>
  <si>
    <t>Choose a skill and a demand shock, then compare overtime, cross-training and deferral options with cost, utilization and a layered recommendation. Labor rates are hypothetical.</t>
  </si>
  <si>
    <t>Added job metrics</t>
  </si>
  <si>
    <t>Work packages columns Z-AJ calculate first/last labor date, lateness, queue, work span, closeout, flow days, part delay and disruption type.</t>
  </si>
  <si>
    <t>Labor forecast and capacity dashboard</t>
  </si>
  <si>
    <t>Synthetic data for portfolio practice. All figures update from the model tabs.</t>
  </si>
  <si>
    <t>Headline</t>
  </si>
  <si>
    <t>Value</t>
  </si>
  <si>
    <t>Forecast method selected</t>
  </si>
  <si>
    <t>Weekly forecast backtest WMAPE</t>
  </si>
  <si>
    <t>Weekly forecast backtest bias</t>
  </si>
  <si>
    <t>Forecast window starts</t>
  </si>
  <si>
    <t>Forecast incoming hours</t>
  </si>
  <si>
    <t>Plus open backlog</t>
  </si>
  <si>
    <t>Allocated capacity</t>
  </si>
  <si>
    <t>Overall utilization</t>
  </si>
  <si>
    <t>Skills short or tight</t>
  </si>
  <si>
    <t>Most loaded skill</t>
  </si>
  <si>
    <t>Most loaded skill utilization</t>
  </si>
  <si>
    <t>On-time completion rate</t>
  </si>
  <si>
    <t>Job-level estimate bias</t>
  </si>
  <si>
    <t>Original estimate</t>
  </si>
  <si>
    <t>Calibrated forecast</t>
  </si>
  <si>
    <t>Validation H1 2025</t>
  </si>
  <si>
    <t>Holdout H2 2025</t>
  </si>
  <si>
    <t>Negative bias means estimates ran below actual hours. Calibration adds the task-level adjustment learned from earlier work.</t>
  </si>
  <si>
    <t>Work package ID</t>
  </si>
  <si>
    <t>Aircraft ID</t>
  </si>
  <si>
    <t>Request date</t>
  </si>
  <si>
    <t>Due date</t>
  </si>
  <si>
    <t>Task type</t>
  </si>
  <si>
    <t>Work class</t>
  </si>
  <si>
    <t>Required skill</t>
  </si>
  <si>
    <t>Complexity (1-4)</t>
  </si>
  <si>
    <t>Priority</t>
  </si>
  <si>
    <t>Repeat work (0/1)</t>
  </si>
  <si>
    <t>Part required (0/1)</t>
  </si>
  <si>
    <t>Estimated labor hours</t>
  </si>
  <si>
    <t>Completion date</t>
  </si>
  <si>
    <t>Actual labor hours</t>
  </si>
  <si>
    <t>Request week (Monday)</t>
  </si>
  <si>
    <t>Absolute estimate error</t>
  </si>
  <si>
    <t>Above estimate (0/1)</t>
  </si>
  <si>
    <t>Actual less estimate</t>
  </si>
  <si>
    <t>Time split</t>
  </si>
  <si>
    <t>Calibrated forecast hours</t>
  </si>
  <si>
    <t>Calibrated absolute error</t>
  </si>
  <si>
    <t>Planning forecast hours</t>
  </si>
  <si>
    <t>Request date serial</t>
  </si>
  <si>
    <t>Due date serial</t>
  </si>
  <si>
    <t>Completion date serial</t>
  </si>
  <si>
    <t>First labor date</t>
  </si>
  <si>
    <t>Last labor date</t>
  </si>
  <si>
    <t>Late (0/1)</t>
  </si>
  <si>
    <t>Days late</t>
  </si>
  <si>
    <t>Queue days</t>
  </si>
  <si>
    <t>Work span days</t>
  </si>
  <si>
    <t>Closeout days</t>
  </si>
  <si>
    <t>Flow days</t>
  </si>
  <si>
    <t>Part delay days</t>
  </si>
  <si>
    <t>Disruption type</t>
  </si>
  <si>
    <t>Due month</t>
  </si>
  <si>
    <t>WP-00001</t>
  </si>
  <si>
    <t>FT-03</t>
  </si>
  <si>
    <t>2025-05-03</t>
  </si>
  <si>
    <t>2025-05-16</t>
  </si>
  <si>
    <t>Flight control inspection</t>
  </si>
  <si>
    <t>Inspection</t>
  </si>
  <si>
    <t>Airframe</t>
  </si>
  <si>
    <t>Routine</t>
  </si>
  <si>
    <t>2025-05-14</t>
  </si>
  <si>
    <t>WP-00002</t>
  </si>
  <si>
    <t>FT-06</t>
  </si>
  <si>
    <t>2025-09-05</t>
  </si>
  <si>
    <t>2025-09-18</t>
  </si>
  <si>
    <t>Instrumentation installation</t>
  </si>
  <si>
    <t>Modification</t>
  </si>
  <si>
    <t>Avionics</t>
  </si>
  <si>
    <t>2025-09-08</t>
  </si>
  <si>
    <t>WP-00003</t>
  </si>
  <si>
    <t>FT-02</t>
  </si>
  <si>
    <t>2024-01-31</t>
  </si>
  <si>
    <t>2024-02-02</t>
  </si>
  <si>
    <t>Hydraulic leak diagnosis</t>
  </si>
  <si>
    <t>Corrective</t>
  </si>
  <si>
    <t>Hydraulics</t>
  </si>
  <si>
    <t>Urgent</t>
  </si>
  <si>
    <t>2024-02-26</t>
  </si>
  <si>
    <t>WP-00004</t>
  </si>
  <si>
    <t>FT-04</t>
  </si>
  <si>
    <t>2024-08-23</t>
  </si>
  <si>
    <t>2024-08-25</t>
  </si>
  <si>
    <t>Fuel system inspection</t>
  </si>
  <si>
    <t>Powerplant</t>
  </si>
  <si>
    <t>2024-08-31</t>
  </si>
  <si>
    <t>WP-00005</t>
  </si>
  <si>
    <t>FT-05</t>
  </si>
  <si>
    <t>2024-12-01</t>
  </si>
  <si>
    <t>2024-12-14</t>
  </si>
  <si>
    <t>Postflight discrepancy review</t>
  </si>
  <si>
    <t>2024-12-02</t>
  </si>
  <si>
    <t>WP-00006</t>
  </si>
  <si>
    <t>FT-11</t>
  </si>
  <si>
    <t>2024-06-29</t>
  </si>
  <si>
    <t>2024-07-01</t>
  </si>
  <si>
    <t>2024-07-12</t>
  </si>
  <si>
    <t>WP-00007</t>
  </si>
  <si>
    <t>FT-08</t>
  </si>
  <si>
    <t>2024-10-20</t>
  </si>
  <si>
    <t>2024-10-22</t>
  </si>
  <si>
    <t>2024-10-25</t>
  </si>
  <si>
    <t>WP-00008</t>
  </si>
  <si>
    <t>FT-01</t>
  </si>
  <si>
    <t>2025-06-28</t>
  </si>
  <si>
    <t>2025-07-04</t>
  </si>
  <si>
    <t>High</t>
  </si>
  <si>
    <t>2025-08-17</t>
  </si>
  <si>
    <t>WP-00009</t>
  </si>
  <si>
    <t>2025-05-15</t>
  </si>
  <si>
    <t>2025-05-28</t>
  </si>
  <si>
    <t>Sensor calibration</t>
  </si>
  <si>
    <t>Test support</t>
  </si>
  <si>
    <t>2025-05-22</t>
  </si>
  <si>
    <t>WP-00010</t>
  </si>
  <si>
    <t>FT-09</t>
  </si>
  <si>
    <t>2025-02-19</t>
  </si>
  <si>
    <t>2025-02-25</t>
  </si>
  <si>
    <t>2025-02-23</t>
  </si>
  <si>
    <t>WP-00011</t>
  </si>
  <si>
    <t>2025-08-14</t>
  </si>
  <si>
    <t>2025-08-27</t>
  </si>
  <si>
    <t>2025-08-31</t>
  </si>
  <si>
    <t>WP-00012</t>
  </si>
  <si>
    <t>2024-10-09</t>
  </si>
  <si>
    <t>2024-10-15</t>
  </si>
  <si>
    <t>2024-10-17</t>
  </si>
  <si>
    <t>WP-00013</t>
  </si>
  <si>
    <t>2025-06-24</t>
  </si>
  <si>
    <t>2025-06-30</t>
  </si>
  <si>
    <t>Preflight inspection</t>
  </si>
  <si>
    <t>2025-06-27</t>
  </si>
  <si>
    <t>WP-00014</t>
  </si>
  <si>
    <t>FT-10</t>
  </si>
  <si>
    <t>2024-10-31</t>
  </si>
  <si>
    <t>2024-11-13</t>
  </si>
  <si>
    <t>2024-11-11</t>
  </si>
  <si>
    <t>WP-00015</t>
  </si>
  <si>
    <t>2025-08-08</t>
  </si>
  <si>
    <t>Structural repair</t>
  </si>
  <si>
    <t>Structures</t>
  </si>
  <si>
    <t>2025-08-13</t>
  </si>
  <si>
    <t>WP-00016</t>
  </si>
  <si>
    <t>2024-01-14</t>
  </si>
  <si>
    <t>2024-01-20</t>
  </si>
  <si>
    <t>2024-02-14</t>
  </si>
  <si>
    <t>WP-00017</t>
  </si>
  <si>
    <t>2025-12-13</t>
  </si>
  <si>
    <t>2025-12-26</t>
  </si>
  <si>
    <t>2025-12-20</t>
  </si>
  <si>
    <t>WP-00018</t>
  </si>
  <si>
    <t>2024-12-19</t>
  </si>
  <si>
    <t>2024-12-21</t>
  </si>
  <si>
    <t>Engine run support</t>
  </si>
  <si>
    <t>2024-12-22</t>
  </si>
  <si>
    <t>WP-00019</t>
  </si>
  <si>
    <t>2025-07-19</t>
  </si>
  <si>
    <t>2025-08-01</t>
  </si>
  <si>
    <t>2025-08-03</t>
  </si>
  <si>
    <t>WP-00020</t>
  </si>
  <si>
    <t>FT-14</t>
  </si>
  <si>
    <t>2024-12-29</t>
  </si>
  <si>
    <t>2025-01-11</t>
  </si>
  <si>
    <t>2025-01-04</t>
  </si>
  <si>
    <t>WP-00021</t>
  </si>
  <si>
    <t>FT-12</t>
  </si>
  <si>
    <t>2025-05-05</t>
  </si>
  <si>
    <t>Software/configuration check</t>
  </si>
  <si>
    <t>2025-06-25</t>
  </si>
  <si>
    <t>WP-00022</t>
  </si>
  <si>
    <t>2024-11-08</t>
  </si>
  <si>
    <t>2024-11-21</t>
  </si>
  <si>
    <t>Scheduled system service</t>
  </si>
  <si>
    <t>Preventive</t>
  </si>
  <si>
    <t>2024-11-18</t>
  </si>
  <si>
    <t>WP-00023</t>
  </si>
  <si>
    <t>2024-03-13</t>
  </si>
  <si>
    <t>2024-03-26</t>
  </si>
  <si>
    <t>2024-03-17</t>
  </si>
  <si>
    <t>WP-00024</t>
  </si>
  <si>
    <t>FT-07</t>
  </si>
  <si>
    <t>2024-12-26</t>
  </si>
  <si>
    <t>2024-12-28</t>
  </si>
  <si>
    <t>2025-01-20</t>
  </si>
  <si>
    <t>WP-00025</t>
  </si>
  <si>
    <t>2024-12-06</t>
  </si>
  <si>
    <t>2024-12-08</t>
  </si>
  <si>
    <t>2024-12-12</t>
  </si>
  <si>
    <t>WP-00026</t>
  </si>
  <si>
    <t>2025-01-16</t>
  </si>
  <si>
    <t>2025-01-29</t>
  </si>
  <si>
    <t>2025-01-19</t>
  </si>
  <si>
    <t>WP-00027</t>
  </si>
  <si>
    <t>2024-08-18</t>
  </si>
  <si>
    <t>2024-08-24</t>
  </si>
  <si>
    <t>2024-09-01</t>
  </si>
  <si>
    <t>WP-00028</t>
  </si>
  <si>
    <t>2024-12-05</t>
  </si>
  <si>
    <t>2024-12-18</t>
  </si>
  <si>
    <t>WP-00029</t>
  </si>
  <si>
    <t>2025-04-01</t>
  </si>
  <si>
    <t>2025-04-14</t>
  </si>
  <si>
    <t>Electrical fault isolation</t>
  </si>
  <si>
    <t>Electrical</t>
  </si>
  <si>
    <t>2025-05-06</t>
  </si>
  <si>
    <t>WP-00030</t>
  </si>
  <si>
    <t>2024-10-19</t>
  </si>
  <si>
    <t>2024-10-27</t>
  </si>
  <si>
    <t>WP-00031</t>
  </si>
  <si>
    <t>2025-01-22</t>
  </si>
  <si>
    <t>2025-01-28</t>
  </si>
  <si>
    <t>2025-01-27</t>
  </si>
  <si>
    <t>WP-00032</t>
  </si>
  <si>
    <t>2025-08-28</t>
  </si>
  <si>
    <t>2025-09-10</t>
  </si>
  <si>
    <t>2025-09-15</t>
  </si>
  <si>
    <t>WP-00033</t>
  </si>
  <si>
    <t>FT-13</t>
  </si>
  <si>
    <t>2025-09-28</t>
  </si>
  <si>
    <t>2025-09-20</t>
  </si>
  <si>
    <t>WP-00034</t>
  </si>
  <si>
    <t>2025-02-21</t>
  </si>
  <si>
    <t>WP-00035</t>
  </si>
  <si>
    <t>2024-08-26</t>
  </si>
  <si>
    <t>2024-09-08</t>
  </si>
  <si>
    <t>WP-00036</t>
  </si>
  <si>
    <t>2024-08-19</t>
  </si>
  <si>
    <t>2024-08-21</t>
  </si>
  <si>
    <t>WP-00037</t>
  </si>
  <si>
    <t>2024-04-13</t>
  </si>
  <si>
    <t>2024-04-15</t>
  </si>
  <si>
    <t>2024-05-10</t>
  </si>
  <si>
    <t>WP-00038</t>
  </si>
  <si>
    <t>2024-06-25</t>
  </si>
  <si>
    <t>2024-06-27</t>
  </si>
  <si>
    <t>2024-07-02</t>
  </si>
  <si>
    <t>WP-00039</t>
  </si>
  <si>
    <t>2025-11-03</t>
  </si>
  <si>
    <t>2025-11-16</t>
  </si>
  <si>
    <t>2025-11-06</t>
  </si>
  <si>
    <t>WP-00040</t>
  </si>
  <si>
    <t>2025-08-12</t>
  </si>
  <si>
    <t>2025-08-18</t>
  </si>
  <si>
    <t>2025-08-30</t>
  </si>
  <si>
    <t>WP-00041</t>
  </si>
  <si>
    <t>2024-04-08</t>
  </si>
  <si>
    <t>2024-04-21</t>
  </si>
  <si>
    <t>2024-04-12</t>
  </si>
  <si>
    <t>WP-00042</t>
  </si>
  <si>
    <t>2024-02-25</t>
  </si>
  <si>
    <t>2024-03-09</t>
  </si>
  <si>
    <t>2024-04-06</t>
  </si>
  <si>
    <t>WP-00043</t>
  </si>
  <si>
    <t>2025-07-07</t>
  </si>
  <si>
    <t>WP-00044</t>
  </si>
  <si>
    <t>2025-11-01</t>
  </si>
  <si>
    <t>2025-11-14</t>
  </si>
  <si>
    <t>WP-00045</t>
  </si>
  <si>
    <t>2024-03-10</t>
  </si>
  <si>
    <t>2024-03-16</t>
  </si>
  <si>
    <t>WP-00046</t>
  </si>
  <si>
    <t>2025-10-19</t>
  </si>
  <si>
    <t>2025-10-24</t>
  </si>
  <si>
    <t>WP-00047</t>
  </si>
  <si>
    <t>2025-11-29</t>
  </si>
  <si>
    <t>2025-11-23</t>
  </si>
  <si>
    <t>WP-00048</t>
  </si>
  <si>
    <t>2024-04-29</t>
  </si>
  <si>
    <t>2024-05-05</t>
  </si>
  <si>
    <t>2024-05-14</t>
  </si>
  <si>
    <t>WP-00049</t>
  </si>
  <si>
    <t>2025-07-20</t>
  </si>
  <si>
    <t>2025-08-02</t>
  </si>
  <si>
    <t>2025-07-24</t>
  </si>
  <si>
    <t>WP-00050</t>
  </si>
  <si>
    <t>2024-02-03</t>
  </si>
  <si>
    <t>2024-02-16</t>
  </si>
  <si>
    <t>2024-03-07</t>
  </si>
  <si>
    <t>WP-00051</t>
  </si>
  <si>
    <t>2024-01-19</t>
  </si>
  <si>
    <t>2024-02-01</t>
  </si>
  <si>
    <t>2024-01-28</t>
  </si>
  <si>
    <t>WP-00052</t>
  </si>
  <si>
    <t>2025-02-27</t>
  </si>
  <si>
    <t>2025-02-28</t>
  </si>
  <si>
    <t>WP-00053</t>
  </si>
  <si>
    <t>2025-12-21</t>
  </si>
  <si>
    <t>2026-01-03</t>
  </si>
  <si>
    <t>2026-01-04</t>
  </si>
  <si>
    <t>WP-00054</t>
  </si>
  <si>
    <t>2024-07-16</t>
  </si>
  <si>
    <t>2024-07-29</t>
  </si>
  <si>
    <t>2024-07-21</t>
  </si>
  <si>
    <t>WP-00055</t>
  </si>
  <si>
    <t>2025-05-13</t>
  </si>
  <si>
    <t>2025-05-19</t>
  </si>
  <si>
    <t>2025-07-13</t>
  </si>
  <si>
    <t>WP-00056</t>
  </si>
  <si>
    <t>2024-05-30</t>
  </si>
  <si>
    <t>2024-06-12</t>
  </si>
  <si>
    <t>WP-00057</t>
  </si>
  <si>
    <t>2024-10-08</t>
  </si>
  <si>
    <t>2024-10-21</t>
  </si>
  <si>
    <t>2024-10-10</t>
  </si>
  <si>
    <t>WP-00058</t>
  </si>
  <si>
    <t>2025-04-23</t>
  </si>
  <si>
    <t>2025-04-29</t>
  </si>
  <si>
    <t>WP-00059</t>
  </si>
  <si>
    <t>2025-10-13</t>
  </si>
  <si>
    <t>2025-10-26</t>
  </si>
  <si>
    <t>WP-00060</t>
  </si>
  <si>
    <t>2024-10-23</t>
  </si>
  <si>
    <t>WP-00061</t>
  </si>
  <si>
    <t>2025-02-05</t>
  </si>
  <si>
    <t>2025-02-18</t>
  </si>
  <si>
    <t>WP-00062</t>
  </si>
  <si>
    <t>2024-08-29</t>
  </si>
  <si>
    <t>2024-09-11</t>
  </si>
  <si>
    <t>2024-09-02</t>
  </si>
  <si>
    <t>WP-00063</t>
  </si>
  <si>
    <t>2024-07-24</t>
  </si>
  <si>
    <t>2024-08-06</t>
  </si>
  <si>
    <t>2024-08-30</t>
  </si>
  <si>
    <t>WP-00064</t>
  </si>
  <si>
    <t>2024-12-20</t>
  </si>
  <si>
    <t>2025-01-02</t>
  </si>
  <si>
    <t>2024-12-31</t>
  </si>
  <si>
    <t>WP-00065</t>
  </si>
  <si>
    <t>2024-05-18</t>
  </si>
  <si>
    <t>2024-05-24</t>
  </si>
  <si>
    <t>2024-05-22</t>
  </si>
  <si>
    <t>WP-00066</t>
  </si>
  <si>
    <t>2024-09-26</t>
  </si>
  <si>
    <t>2024-10-12</t>
  </si>
  <si>
    <t>WP-00067</t>
  </si>
  <si>
    <t>2024-05-21</t>
  </si>
  <si>
    <t>2024-06-03</t>
  </si>
  <si>
    <t>2024-05-29</t>
  </si>
  <si>
    <t>WP-00068</t>
  </si>
  <si>
    <t>2025-04-25</t>
  </si>
  <si>
    <t>2025-05-01</t>
  </si>
  <si>
    <t>WP-00069</t>
  </si>
  <si>
    <t>2025-02-24</t>
  </si>
  <si>
    <t>2025-03-01</t>
  </si>
  <si>
    <t>WP-00070</t>
  </si>
  <si>
    <t>2025-09-02</t>
  </si>
  <si>
    <t>WP-00071</t>
  </si>
  <si>
    <t>2024-05-04</t>
  </si>
  <si>
    <t>2024-05-17</t>
  </si>
  <si>
    <t>2024-06-14</t>
  </si>
  <si>
    <t>WP-00072</t>
  </si>
  <si>
    <t>2025-10-30</t>
  </si>
  <si>
    <t>2025-11-12</t>
  </si>
  <si>
    <t>WP-00073</t>
  </si>
  <si>
    <t>2025-06-11</t>
  </si>
  <si>
    <t>2025-06-12</t>
  </si>
  <si>
    <t>WP-00074</t>
  </si>
  <si>
    <t>2024-04-14</t>
  </si>
  <si>
    <t>2024-04-20</t>
  </si>
  <si>
    <t>WP-00075</t>
  </si>
  <si>
    <t>2025-07-08</t>
  </si>
  <si>
    <t>2025-07-14</t>
  </si>
  <si>
    <t>WP-00076</t>
  </si>
  <si>
    <t>2024-09-04</t>
  </si>
  <si>
    <t>2024-09-10</t>
  </si>
  <si>
    <t>WP-00077</t>
  </si>
  <si>
    <t>2024-04-01</t>
  </si>
  <si>
    <t>2024-04-11</t>
  </si>
  <si>
    <t>WP-00078</t>
  </si>
  <si>
    <t>2024-07-07</t>
  </si>
  <si>
    <t>WP-00079</t>
  </si>
  <si>
    <t>2024-01-26</t>
  </si>
  <si>
    <t>2024-02-08</t>
  </si>
  <si>
    <t>2024-02-29</t>
  </si>
  <si>
    <t>WP-00080</t>
  </si>
  <si>
    <t>2025-03-19</t>
  </si>
  <si>
    <t>2025-03-21</t>
  </si>
  <si>
    <t>2025-03-28</t>
  </si>
  <si>
    <t>WP-00081</t>
  </si>
  <si>
    <t>2024-07-08</t>
  </si>
  <si>
    <t>2024-07-14</t>
  </si>
  <si>
    <t>2024-07-11</t>
  </si>
  <si>
    <t>WP-00082</t>
  </si>
  <si>
    <t>2024-01-16</t>
  </si>
  <si>
    <t>2024-01-27</t>
  </si>
  <si>
    <t>WP-00083</t>
  </si>
  <si>
    <t>2025-01-07</t>
  </si>
  <si>
    <t>2025-01-12</t>
  </si>
  <si>
    <t>WP-00084</t>
  </si>
  <si>
    <t>2025-08-23</t>
  </si>
  <si>
    <t>WP-00085</t>
  </si>
  <si>
    <t>WP-00086</t>
  </si>
  <si>
    <t>2025-09-25</t>
  </si>
  <si>
    <t>2025-10-01</t>
  </si>
  <si>
    <t>2025-09-29</t>
  </si>
  <si>
    <t>WP-00087</t>
  </si>
  <si>
    <t>2025-03-30</t>
  </si>
  <si>
    <t>2025-04-05</t>
  </si>
  <si>
    <t>2025-04-28</t>
  </si>
  <si>
    <t>WP-00088</t>
  </si>
  <si>
    <t>2024-04-18</t>
  </si>
  <si>
    <t>2024-05-01</t>
  </si>
  <si>
    <t>2024-04-26</t>
  </si>
  <si>
    <t>WP-00089</t>
  </si>
  <si>
    <t>2024-03-01</t>
  </si>
  <si>
    <t>2024-03-02</t>
  </si>
  <si>
    <t>WP-00090</t>
  </si>
  <si>
    <t>2025-02-11</t>
  </si>
  <si>
    <t>WP-00091</t>
  </si>
  <si>
    <t>WP-00092</t>
  </si>
  <si>
    <t>2025-10-25</t>
  </si>
  <si>
    <t>2025-11-07</t>
  </si>
  <si>
    <t>2025-11-22</t>
  </si>
  <si>
    <t>WP-00093</t>
  </si>
  <si>
    <t>2025-01-05</t>
  </si>
  <si>
    <t>2025-01-18</t>
  </si>
  <si>
    <t>2025-01-10</t>
  </si>
  <si>
    <t>WP-00094</t>
  </si>
  <si>
    <t>2024-02-06</t>
  </si>
  <si>
    <t>2024-02-19</t>
  </si>
  <si>
    <t>2024-02-10</t>
  </si>
  <si>
    <t>WP-00095</t>
  </si>
  <si>
    <t>2025-08-25</t>
  </si>
  <si>
    <t>WP-00096</t>
  </si>
  <si>
    <t>2025-09-30</t>
  </si>
  <si>
    <t>2025-10-08</t>
  </si>
  <si>
    <t>WP-00097</t>
  </si>
  <si>
    <t>WP-00098</t>
  </si>
  <si>
    <t>2025-11-21</t>
  </si>
  <si>
    <t>2025-12-04</t>
  </si>
  <si>
    <t>WP-00099</t>
  </si>
  <si>
    <t>2025-07-10</t>
  </si>
  <si>
    <t>2025-07-02</t>
  </si>
  <si>
    <t>WP-00100</t>
  </si>
  <si>
    <t>2025-02-01</t>
  </si>
  <si>
    <t>2025-02-14</t>
  </si>
  <si>
    <t>2025-02-20</t>
  </si>
  <si>
    <t>WP-00101</t>
  </si>
  <si>
    <t>WP-00102</t>
  </si>
  <si>
    <t>2024-11-01</t>
  </si>
  <si>
    <t>WP-00103</t>
  </si>
  <si>
    <t>WP-00104</t>
  </si>
  <si>
    <t>2024-12-15</t>
  </si>
  <si>
    <t>2024-12-23</t>
  </si>
  <si>
    <t>WP-00105</t>
  </si>
  <si>
    <t>2024-11-25</t>
  </si>
  <si>
    <t>WP-00106</t>
  </si>
  <si>
    <t>2025-05-11</t>
  </si>
  <si>
    <t>2025-05-17</t>
  </si>
  <si>
    <t>WP-00107</t>
  </si>
  <si>
    <t>2025-08-21</t>
  </si>
  <si>
    <t>2025-09-03</t>
  </si>
  <si>
    <t>2025-08-26</t>
  </si>
  <si>
    <t>WP-00108</t>
  </si>
  <si>
    <t>2024-07-10</t>
  </si>
  <si>
    <t>2024-07-28</t>
  </si>
  <si>
    <t>WP-00109</t>
  </si>
  <si>
    <t>2025-09-06</t>
  </si>
  <si>
    <t>2025-09-12</t>
  </si>
  <si>
    <t>2025-09-11</t>
  </si>
  <si>
    <t>WP-00110</t>
  </si>
  <si>
    <t>2025-07-16</t>
  </si>
  <si>
    <t>2025-09-04</t>
  </si>
  <si>
    <t>WP-00111</t>
  </si>
  <si>
    <t>2024-10-26</t>
  </si>
  <si>
    <t>2024-11-06</t>
  </si>
  <si>
    <t>WP-00112</t>
  </si>
  <si>
    <t>2025-11-18</t>
  </si>
  <si>
    <t>2025-11-17</t>
  </si>
  <si>
    <t>WP-00113</t>
  </si>
  <si>
    <t>2024-09-03</t>
  </si>
  <si>
    <t>WP-00114</t>
  </si>
  <si>
    <t>2025-10-18</t>
  </si>
  <si>
    <t>2025-10-20</t>
  </si>
  <si>
    <t>WP-00115</t>
  </si>
  <si>
    <t>2024-01-02</t>
  </si>
  <si>
    <t>2024-01-15</t>
  </si>
  <si>
    <t>2024-01-05</t>
  </si>
  <si>
    <t>WP-00116</t>
  </si>
  <si>
    <t>2024-06-26</t>
  </si>
  <si>
    <t>2024-07-09</t>
  </si>
  <si>
    <t>WP-00117</t>
  </si>
  <si>
    <t>2024-07-25</t>
  </si>
  <si>
    <t>2024-08-07</t>
  </si>
  <si>
    <t>WP-00118</t>
  </si>
  <si>
    <t>2024-11-26</t>
  </si>
  <si>
    <t>2024-12-09</t>
  </si>
  <si>
    <t>WP-00119</t>
  </si>
  <si>
    <t>2025-10-31</t>
  </si>
  <si>
    <t>2025-11-13</t>
  </si>
  <si>
    <t>2025-11-09</t>
  </si>
  <si>
    <t>WP-00120</t>
  </si>
  <si>
    <t>WP-00121</t>
  </si>
  <si>
    <t>2024-06-04</t>
  </si>
  <si>
    <t>2024-06-10</t>
  </si>
  <si>
    <t>2024-06-19</t>
  </si>
  <si>
    <t>WP-00122</t>
  </si>
  <si>
    <t>2025-05-23</t>
  </si>
  <si>
    <t>2025-06-05</t>
  </si>
  <si>
    <t>2025-05-30</t>
  </si>
  <si>
    <t>WP-00123</t>
  </si>
  <si>
    <t>2025-01-17</t>
  </si>
  <si>
    <t>2025-01-15</t>
  </si>
  <si>
    <t>WP-00124</t>
  </si>
  <si>
    <t>WP-00125</t>
  </si>
  <si>
    <t>2024-06-15</t>
  </si>
  <si>
    <t>2024-06-28</t>
  </si>
  <si>
    <t>2024-06-20</t>
  </si>
  <si>
    <t>WP-00126</t>
  </si>
  <si>
    <t>2025-12-30</t>
  </si>
  <si>
    <t>2026-01-12</t>
  </si>
  <si>
    <t>2026-01-28</t>
  </si>
  <si>
    <t>WP-00127</t>
  </si>
  <si>
    <t>2025-08-16</t>
  </si>
  <si>
    <t>2025-08-10</t>
  </si>
  <si>
    <t>WP-00128</t>
  </si>
  <si>
    <t>2025-01-01</t>
  </si>
  <si>
    <t>2025-01-14</t>
  </si>
  <si>
    <t>WP-00129</t>
  </si>
  <si>
    <t>2025-03-23</t>
  </si>
  <si>
    <t>2025-03-29</t>
  </si>
  <si>
    <t>WP-00130</t>
  </si>
  <si>
    <t>2025-04-10</t>
  </si>
  <si>
    <t>WP-00131</t>
  </si>
  <si>
    <t>2024-10-28</t>
  </si>
  <si>
    <t>WP-00132</t>
  </si>
  <si>
    <t>WP-00133</t>
  </si>
  <si>
    <t>2025-05-26</t>
  </si>
  <si>
    <t>WP-00134</t>
  </si>
  <si>
    <t>2024-11-16</t>
  </si>
  <si>
    <t>2024-11-22</t>
  </si>
  <si>
    <t>2024-12-07</t>
  </si>
  <si>
    <t>WP-00135</t>
  </si>
  <si>
    <t>2025-06-26</t>
  </si>
  <si>
    <t>WP-00136</t>
  </si>
  <si>
    <t>WP-00137</t>
  </si>
  <si>
    <t>2025-03-05</t>
  </si>
  <si>
    <t>2025-03-18</t>
  </si>
  <si>
    <t>WP-00138</t>
  </si>
  <si>
    <t>2024-04-02</t>
  </si>
  <si>
    <t>WP-00139</t>
  </si>
  <si>
    <t>2025-08-07</t>
  </si>
  <si>
    <t>WP-00140</t>
  </si>
  <si>
    <t>2024-03-29</t>
  </si>
  <si>
    <t>WP-00141</t>
  </si>
  <si>
    <t>2024-01-25</t>
  </si>
  <si>
    <t>2024-02-07</t>
  </si>
  <si>
    <t>WP-00142</t>
  </si>
  <si>
    <t>2025-05-29</t>
  </si>
  <si>
    <t>WP-00143</t>
  </si>
  <si>
    <t>2024-07-17</t>
  </si>
  <si>
    <t>2024-07-23</t>
  </si>
  <si>
    <t>WP-00144</t>
  </si>
  <si>
    <t>WP-00145</t>
  </si>
  <si>
    <t>2025-09-21</t>
  </si>
  <si>
    <t>2025-09-24</t>
  </si>
  <si>
    <t>WP-00146</t>
  </si>
  <si>
    <t>2025-07-05</t>
  </si>
  <si>
    <t>2025-07-11</t>
  </si>
  <si>
    <t>WP-00147</t>
  </si>
  <si>
    <t>2024-03-25</t>
  </si>
  <si>
    <t>2024-03-31</t>
  </si>
  <si>
    <t>WP-00148</t>
  </si>
  <si>
    <t>2024-05-19</t>
  </si>
  <si>
    <t>2024-05-26</t>
  </si>
  <si>
    <t>WP-00149</t>
  </si>
  <si>
    <t>2025-10-07</t>
  </si>
  <si>
    <t>2025-10-09</t>
  </si>
  <si>
    <t>WP-00150</t>
  </si>
  <si>
    <t>2025-06-07</t>
  </si>
  <si>
    <t>2025-06-20</t>
  </si>
  <si>
    <t>WP-00151</t>
  </si>
  <si>
    <t>2024-07-15</t>
  </si>
  <si>
    <t>2024-07-22</t>
  </si>
  <si>
    <t>WP-00152</t>
  </si>
  <si>
    <t>2025-12-11</t>
  </si>
  <si>
    <t>2025-12-24</t>
  </si>
  <si>
    <t>2026-01-20</t>
  </si>
  <si>
    <t>WP-00153</t>
  </si>
  <si>
    <t>2024-05-11</t>
  </si>
  <si>
    <t>WP-00154</t>
  </si>
  <si>
    <t>2025-12-06</t>
  </si>
  <si>
    <t>2025-12-12</t>
  </si>
  <si>
    <t>2025-12-09</t>
  </si>
  <si>
    <t>WP-00155</t>
  </si>
  <si>
    <t>2024-03-18</t>
  </si>
  <si>
    <t>WP-00156</t>
  </si>
  <si>
    <t>WP-00157</t>
  </si>
  <si>
    <t>2025-08-04</t>
  </si>
  <si>
    <t>WP-00158</t>
  </si>
  <si>
    <t>2024-09-21</t>
  </si>
  <si>
    <t>2024-09-19</t>
  </si>
  <si>
    <t>WP-00159</t>
  </si>
  <si>
    <t>2024-03-15</t>
  </si>
  <si>
    <t>WP-00160</t>
  </si>
  <si>
    <t>2024-03-27</t>
  </si>
  <si>
    <t>WP-00161</t>
  </si>
  <si>
    <t>2024-03-22</t>
  </si>
  <si>
    <t>2024-03-28</t>
  </si>
  <si>
    <t>WP-00162</t>
  </si>
  <si>
    <t>2025-09-26</t>
  </si>
  <si>
    <t>WP-00163</t>
  </si>
  <si>
    <t>2025-06-18</t>
  </si>
  <si>
    <t>2025-06-22</t>
  </si>
  <si>
    <t>WP-00164</t>
  </si>
  <si>
    <t>2024-04-17</t>
  </si>
  <si>
    <t>2024-04-23</t>
  </si>
  <si>
    <t>2024-04-24</t>
  </si>
  <si>
    <t>WP-00165</t>
  </si>
  <si>
    <t>2025-01-06</t>
  </si>
  <si>
    <t>WP-00166</t>
  </si>
  <si>
    <t>2025-01-24</t>
  </si>
  <si>
    <t>WP-00167</t>
  </si>
  <si>
    <t>2025-10-02</t>
  </si>
  <si>
    <t>WP-00168</t>
  </si>
  <si>
    <t>2025-03-14</t>
  </si>
  <si>
    <t>2025-03-27</t>
  </si>
  <si>
    <t>2025-04-06</t>
  </si>
  <si>
    <t>WP-00169</t>
  </si>
  <si>
    <t>2024-04-03</t>
  </si>
  <si>
    <t>2024-04-16</t>
  </si>
  <si>
    <t>2024-04-07</t>
  </si>
  <si>
    <t>WP-00170</t>
  </si>
  <si>
    <t>WP-00171</t>
  </si>
  <si>
    <t>2024-04-22</t>
  </si>
  <si>
    <t>WP-00172</t>
  </si>
  <si>
    <t>2025-02-02</t>
  </si>
  <si>
    <t>2025-02-15</t>
  </si>
  <si>
    <t>2025-02-08</t>
  </si>
  <si>
    <t>WP-00173</t>
  </si>
  <si>
    <t>2024-02-27</t>
  </si>
  <si>
    <t>2024-03-11</t>
  </si>
  <si>
    <t>WP-00174</t>
  </si>
  <si>
    <t>2024-06-11</t>
  </si>
  <si>
    <t>2024-06-24</t>
  </si>
  <si>
    <t>2024-06-18</t>
  </si>
  <si>
    <t>WP-00175</t>
  </si>
  <si>
    <t>2024-12-24</t>
  </si>
  <si>
    <t>WP-00176</t>
  </si>
  <si>
    <t>2025-05-31</t>
  </si>
  <si>
    <t>2025-06-13</t>
  </si>
  <si>
    <t>2025-06-19</t>
  </si>
  <si>
    <t>WP-00177</t>
  </si>
  <si>
    <t>2025-06-15</t>
  </si>
  <si>
    <t>2025-06-21</t>
  </si>
  <si>
    <t>WP-00178</t>
  </si>
  <si>
    <t>2025-02-22</t>
  </si>
  <si>
    <t>2025-03-07</t>
  </si>
  <si>
    <t>WP-00179</t>
  </si>
  <si>
    <t>2024-03-03</t>
  </si>
  <si>
    <t>2024-03-08</t>
  </si>
  <si>
    <t>WP-00180</t>
  </si>
  <si>
    <t>2024-10-11</t>
  </si>
  <si>
    <t>2024-10-24</t>
  </si>
  <si>
    <t>2024-10-16</t>
  </si>
  <si>
    <t>WP-00181</t>
  </si>
  <si>
    <t>2024-05-20</t>
  </si>
  <si>
    <t>WP-00182</t>
  </si>
  <si>
    <t>WP-00183</t>
  </si>
  <si>
    <t>2025-05-07</t>
  </si>
  <si>
    <t>WP-00184</t>
  </si>
  <si>
    <t>WP-00185</t>
  </si>
  <si>
    <t>2025-01-13</t>
  </si>
  <si>
    <t>WP-00186</t>
  </si>
  <si>
    <t>2024-10-02</t>
  </si>
  <si>
    <t>WP-00187</t>
  </si>
  <si>
    <t>2024-10-30</t>
  </si>
  <si>
    <t>WP-00188</t>
  </si>
  <si>
    <t>2025-07-01</t>
  </si>
  <si>
    <t>WP-00189</t>
  </si>
  <si>
    <t>2025-05-20</t>
  </si>
  <si>
    <t>2025-06-06</t>
  </si>
  <si>
    <t>WP-00190</t>
  </si>
  <si>
    <t>2025-07-18</t>
  </si>
  <si>
    <t>2025-07-25</t>
  </si>
  <si>
    <t>WP-00191</t>
  </si>
  <si>
    <t>2025-07-22</t>
  </si>
  <si>
    <t>WP-00192</t>
  </si>
  <si>
    <t>2024-02-17</t>
  </si>
  <si>
    <t>WP-00193</t>
  </si>
  <si>
    <t>WP-00194</t>
  </si>
  <si>
    <t>2025-05-18</t>
  </si>
  <si>
    <t>WP-00195</t>
  </si>
  <si>
    <t>2025-11-28</t>
  </si>
  <si>
    <t>WP-00196</t>
  </si>
  <si>
    <t>2024-09-15</t>
  </si>
  <si>
    <t>2024-09-28</t>
  </si>
  <si>
    <t>2024-09-22</t>
  </si>
  <si>
    <t>WP-00197</t>
  </si>
  <si>
    <t>2024-03-12</t>
  </si>
  <si>
    <t>WP-00198</t>
  </si>
  <si>
    <t>2024-06-17</t>
  </si>
  <si>
    <t>2024-06-09</t>
  </si>
  <si>
    <t>WP-00199</t>
  </si>
  <si>
    <t>2025-12-16</t>
  </si>
  <si>
    <t>2025-12-29</t>
  </si>
  <si>
    <t>2026-02-13</t>
  </si>
  <si>
    <t>WP-00200</t>
  </si>
  <si>
    <t>2025-12-10</t>
  </si>
  <si>
    <t>WP-00201</t>
  </si>
  <si>
    <t>2024-09-23</t>
  </si>
  <si>
    <t>2024-10-06</t>
  </si>
  <si>
    <t>WP-00202</t>
  </si>
  <si>
    <t>2024-03-05</t>
  </si>
  <si>
    <t>2024-03-30</t>
  </si>
  <si>
    <t>WP-00203</t>
  </si>
  <si>
    <t>2024-12-10</t>
  </si>
  <si>
    <t>WP-00204</t>
  </si>
  <si>
    <t>2025-12-14</t>
  </si>
  <si>
    <t>2025-12-27</t>
  </si>
  <si>
    <t>2025-12-18</t>
  </si>
  <si>
    <t>WP-00205</t>
  </si>
  <si>
    <t>2024-08-13</t>
  </si>
  <si>
    <t>WP-00206</t>
  </si>
  <si>
    <t>2025-04-18</t>
  </si>
  <si>
    <t>2025-04-24</t>
  </si>
  <si>
    <t>WP-00207</t>
  </si>
  <si>
    <t>2024-09-06</t>
  </si>
  <si>
    <t>2024-10-01</t>
  </si>
  <si>
    <t>WP-00208</t>
  </si>
  <si>
    <t>2025-09-16</t>
  </si>
  <si>
    <t>2025-09-22</t>
  </si>
  <si>
    <t>WP-00209</t>
  </si>
  <si>
    <t>2024-11-12</t>
  </si>
  <si>
    <t>2024-11-14</t>
  </si>
  <si>
    <t>WP-00210</t>
  </si>
  <si>
    <t>2025-07-12</t>
  </si>
  <si>
    <t>2025-07-29</t>
  </si>
  <si>
    <t>WP-00211</t>
  </si>
  <si>
    <t>2024-09-14</t>
  </si>
  <si>
    <t>2024-09-27</t>
  </si>
  <si>
    <t>WP-00212</t>
  </si>
  <si>
    <t>2024-02-21</t>
  </si>
  <si>
    <t>WP-00213</t>
  </si>
  <si>
    <t>WP-00214</t>
  </si>
  <si>
    <t>2024-02-13</t>
  </si>
  <si>
    <t>WP-00215</t>
  </si>
  <si>
    <t>2025-04-19</t>
  </si>
  <si>
    <t>2025-05-02</t>
  </si>
  <si>
    <t>WP-00216</t>
  </si>
  <si>
    <t>2025-09-17</t>
  </si>
  <si>
    <t>WP-00217</t>
  </si>
  <si>
    <t>2025-12-02</t>
  </si>
  <si>
    <t>WP-00218</t>
  </si>
  <si>
    <t>2024-06-05</t>
  </si>
  <si>
    <t>WP-00219</t>
  </si>
  <si>
    <t>WP-00220</t>
  </si>
  <si>
    <t>2024-12-11</t>
  </si>
  <si>
    <t>2024-12-17</t>
  </si>
  <si>
    <t>WP-00221</t>
  </si>
  <si>
    <t>WP-00222</t>
  </si>
  <si>
    <t>2024-05-16</t>
  </si>
  <si>
    <t>2024-05-13</t>
  </si>
  <si>
    <t>WP-00223</t>
  </si>
  <si>
    <t>2024-11-24</t>
  </si>
  <si>
    <t>WP-00224</t>
  </si>
  <si>
    <t>2025-03-08</t>
  </si>
  <si>
    <t>2025-03-02</t>
  </si>
  <si>
    <t>WP-00225</t>
  </si>
  <si>
    <t>WP-00226</t>
  </si>
  <si>
    <t>2024-08-20</t>
  </si>
  <si>
    <t>WP-00227</t>
  </si>
  <si>
    <t>2025-11-02</t>
  </si>
  <si>
    <t>2025-11-15</t>
  </si>
  <si>
    <t>WP-00228</t>
  </si>
  <si>
    <t>2026-01-19</t>
  </si>
  <si>
    <t>WP-00229</t>
  </si>
  <si>
    <t>2025-01-08</t>
  </si>
  <si>
    <t>WP-00230</t>
  </si>
  <si>
    <t>2024-02-24</t>
  </si>
  <si>
    <t>WP-00231</t>
  </si>
  <si>
    <t>WP-00232</t>
  </si>
  <si>
    <t>2025-07-27</t>
  </si>
  <si>
    <t>2025-08-09</t>
  </si>
  <si>
    <t>2025-08-05</t>
  </si>
  <si>
    <t>WP-00233</t>
  </si>
  <si>
    <t>2024-09-07</t>
  </si>
  <si>
    <t>WP-00234</t>
  </si>
  <si>
    <t>2025-12-15</t>
  </si>
  <si>
    <t>2025-12-28</t>
  </si>
  <si>
    <t>WP-00235</t>
  </si>
  <si>
    <t>2025-07-03</t>
  </si>
  <si>
    <t>WP-00236</t>
  </si>
  <si>
    <t>2024-06-23</t>
  </si>
  <si>
    <t>2024-07-19</t>
  </si>
  <si>
    <t>WP-00237</t>
  </si>
  <si>
    <t>2025-12-23</t>
  </si>
  <si>
    <t>WP-00238</t>
  </si>
  <si>
    <t>2025-03-13</t>
  </si>
  <si>
    <t>2025-03-03</t>
  </si>
  <si>
    <t>WP-00239</t>
  </si>
  <si>
    <t>2025-04-20</t>
  </si>
  <si>
    <t>WP-00240</t>
  </si>
  <si>
    <t>2025-06-29</t>
  </si>
  <si>
    <t>WP-00241</t>
  </si>
  <si>
    <t>2024-06-08</t>
  </si>
  <si>
    <t>WP-00242</t>
  </si>
  <si>
    <t>2024-06-22</t>
  </si>
  <si>
    <t>WP-00243</t>
  </si>
  <si>
    <t>WP-00244</t>
  </si>
  <si>
    <t>2025-03-16</t>
  </si>
  <si>
    <t>2025-03-22</t>
  </si>
  <si>
    <t>WP-00245</t>
  </si>
  <si>
    <t>WP-00246</t>
  </si>
  <si>
    <t>2024-09-13</t>
  </si>
  <si>
    <t>2024-09-09</t>
  </si>
  <si>
    <t>WP-00247</t>
  </si>
  <si>
    <t>2024-11-28</t>
  </si>
  <si>
    <t>WP-00248</t>
  </si>
  <si>
    <t>2024-04-04</t>
  </si>
  <si>
    <t>2024-04-10</t>
  </si>
  <si>
    <t>WP-00249</t>
  </si>
  <si>
    <t>WP-00250</t>
  </si>
  <si>
    <t>2024-10-18</t>
  </si>
  <si>
    <t>WP-00251</t>
  </si>
  <si>
    <t>2025-09-01</t>
  </si>
  <si>
    <t>2025-09-07</t>
  </si>
  <si>
    <t>WP-00252</t>
  </si>
  <si>
    <t>WP-00253</t>
  </si>
  <si>
    <t>WP-00254</t>
  </si>
  <si>
    <t>2024-11-17</t>
  </si>
  <si>
    <t>2024-11-30</t>
  </si>
  <si>
    <t>2025-01-09</t>
  </si>
  <si>
    <t>WP-00255</t>
  </si>
  <si>
    <t>2024-09-12</t>
  </si>
  <si>
    <t>2024-09-18</t>
  </si>
  <si>
    <t>WP-00256</t>
  </si>
  <si>
    <t>WP-00257</t>
  </si>
  <si>
    <t>2024-05-08</t>
  </si>
  <si>
    <t>WP-00258</t>
  </si>
  <si>
    <t>2025-03-12</t>
  </si>
  <si>
    <t>WP-00259</t>
  </si>
  <si>
    <t>WP-00260</t>
  </si>
  <si>
    <t>2025-09-14</t>
  </si>
  <si>
    <t>WP-00261</t>
  </si>
  <si>
    <t>WP-00262</t>
  </si>
  <si>
    <t>2025-05-04</t>
  </si>
  <si>
    <t>2025-06-08</t>
  </si>
  <si>
    <t>WP-00263</t>
  </si>
  <si>
    <t>2025-12-08</t>
  </si>
  <si>
    <t>WP-00264</t>
  </si>
  <si>
    <t>2025-09-23</t>
  </si>
  <si>
    <t>WP-00265</t>
  </si>
  <si>
    <t>WP-00266</t>
  </si>
  <si>
    <t>2025-12-22</t>
  </si>
  <si>
    <t>WP-00267</t>
  </si>
  <si>
    <t>2025-04-30</t>
  </si>
  <si>
    <t>WP-00268</t>
  </si>
  <si>
    <t>WP-00269</t>
  </si>
  <si>
    <t>WP-00270</t>
  </si>
  <si>
    <t>2024-04-19</t>
  </si>
  <si>
    <t>WP-00271</t>
  </si>
  <si>
    <t>2024-12-25</t>
  </si>
  <si>
    <t>WP-00272</t>
  </si>
  <si>
    <t>2025-05-12</t>
  </si>
  <si>
    <t>WP-00273</t>
  </si>
  <si>
    <t>2024-02-18</t>
  </si>
  <si>
    <t>WP-00274</t>
  </si>
  <si>
    <t>WP-00275</t>
  </si>
  <si>
    <t>2024-06-30</t>
  </si>
  <si>
    <t>WP-00276</t>
  </si>
  <si>
    <t>2024-04-28</t>
  </si>
  <si>
    <t>WP-00277</t>
  </si>
  <si>
    <t>2024-11-29</t>
  </si>
  <si>
    <t>WP-00278</t>
  </si>
  <si>
    <t>2025-02-10</t>
  </si>
  <si>
    <t>WP-00279</t>
  </si>
  <si>
    <t>2025-11-10</t>
  </si>
  <si>
    <t>WP-00280</t>
  </si>
  <si>
    <t>2025-11-19</t>
  </si>
  <si>
    <t>WP-00281</t>
  </si>
  <si>
    <t>2025-10-03</t>
  </si>
  <si>
    <t>2025-10-16</t>
  </si>
  <si>
    <t>2025-10-14</t>
  </si>
  <si>
    <t>WP-00282</t>
  </si>
  <si>
    <t>2024-08-17</t>
  </si>
  <si>
    <t>WP-00283</t>
  </si>
  <si>
    <t>2024-10-05</t>
  </si>
  <si>
    <t>2024-11-07</t>
  </si>
  <si>
    <t>WP-00284</t>
  </si>
  <si>
    <t>WP-00285</t>
  </si>
  <si>
    <t>2024-09-30</t>
  </si>
  <si>
    <t>2024-10-13</t>
  </si>
  <si>
    <t>2024-10-03</t>
  </si>
  <si>
    <t>WP-00286</t>
  </si>
  <si>
    <t>WP-00287</t>
  </si>
  <si>
    <t>2024-06-13</t>
  </si>
  <si>
    <t>2024-06-21</t>
  </si>
  <si>
    <t>WP-00288</t>
  </si>
  <si>
    <t>WP-00289</t>
  </si>
  <si>
    <t>2024-10-29</t>
  </si>
  <si>
    <t>WP-00290</t>
  </si>
  <si>
    <t>2025-02-06</t>
  </si>
  <si>
    <t>2025-02-12</t>
  </si>
  <si>
    <t>2025-02-09</t>
  </si>
  <si>
    <t>WP-00291</t>
  </si>
  <si>
    <t>2025-03-17</t>
  </si>
  <si>
    <t>2025-04-11</t>
  </si>
  <si>
    <t>WP-00292</t>
  </si>
  <si>
    <t>WP-00293</t>
  </si>
  <si>
    <t>2024-05-06</t>
  </si>
  <si>
    <t>2024-05-12</t>
  </si>
  <si>
    <t>WP-00294</t>
  </si>
  <si>
    <t>2025-11-24</t>
  </si>
  <si>
    <t>WP-00295</t>
  </si>
  <si>
    <t>WP-00296</t>
  </si>
  <si>
    <t>2025-12-31</t>
  </si>
  <si>
    <t>WP-00297</t>
  </si>
  <si>
    <t>2025-10-29</t>
  </si>
  <si>
    <t>2025-11-04</t>
  </si>
  <si>
    <t>WP-00298</t>
  </si>
  <si>
    <t>2024-11-05</t>
  </si>
  <si>
    <t>2024-11-10</t>
  </si>
  <si>
    <t>WP-00299</t>
  </si>
  <si>
    <t>2025-07-17</t>
  </si>
  <si>
    <t>WP-00300</t>
  </si>
  <si>
    <t>2024-10-04</t>
  </si>
  <si>
    <t>WP-00301</t>
  </si>
  <si>
    <t>2025-10-04</t>
  </si>
  <si>
    <t>WP-00302</t>
  </si>
  <si>
    <t>2025-10-17</t>
  </si>
  <si>
    <t>2025-10-15</t>
  </si>
  <si>
    <t>WP-00303</t>
  </si>
  <si>
    <t>2025-03-26</t>
  </si>
  <si>
    <t>WP-00304</t>
  </si>
  <si>
    <t>2024-05-07</t>
  </si>
  <si>
    <t>WP-00305</t>
  </si>
  <si>
    <t>WP-00306</t>
  </si>
  <si>
    <t>WP-00307</t>
  </si>
  <si>
    <t>WP-00308</t>
  </si>
  <si>
    <t>2024-03-21</t>
  </si>
  <si>
    <t>2024-03-14</t>
  </si>
  <si>
    <t>WP-00309</t>
  </si>
  <si>
    <t>WP-00310</t>
  </si>
  <si>
    <t>2025-05-08</t>
  </si>
  <si>
    <t>WP-00311</t>
  </si>
  <si>
    <t>WP-00312</t>
  </si>
  <si>
    <t>2024-04-09</t>
  </si>
  <si>
    <t>2024-04-27</t>
  </si>
  <si>
    <t>WP-00313</t>
  </si>
  <si>
    <t>WP-00314</t>
  </si>
  <si>
    <t>WP-00315</t>
  </si>
  <si>
    <t>2025-08-19</t>
  </si>
  <si>
    <t>WP-00316</t>
  </si>
  <si>
    <t>2026-01-05</t>
  </si>
  <si>
    <t>WP-00317</t>
  </si>
  <si>
    <t>2025-10-22</t>
  </si>
  <si>
    <t>2025-11-11</t>
  </si>
  <si>
    <t>WP-00318</t>
  </si>
  <si>
    <t>2025-08-15</t>
  </si>
  <si>
    <t>WP-00319</t>
  </si>
  <si>
    <t>WP-00320</t>
  </si>
  <si>
    <t>WP-00321</t>
  </si>
  <si>
    <t>2024-07-05</t>
  </si>
  <si>
    <t>2024-07-18</t>
  </si>
  <si>
    <t>WP-00322</t>
  </si>
  <si>
    <t>2024-03-20</t>
  </si>
  <si>
    <t>WP-00323</t>
  </si>
  <si>
    <t>2025-11-20</t>
  </si>
  <si>
    <t>WP-00324</t>
  </si>
  <si>
    <t>2025-07-06</t>
  </si>
  <si>
    <t>WP-00325</t>
  </si>
  <si>
    <t>WP-00326</t>
  </si>
  <si>
    <t>2024-06-02</t>
  </si>
  <si>
    <t>WP-00327</t>
  </si>
  <si>
    <t>2025-06-03</t>
  </si>
  <si>
    <t>2025-06-09</t>
  </si>
  <si>
    <t>WP-00328</t>
  </si>
  <si>
    <t>2024-11-27</t>
  </si>
  <si>
    <t>WP-00329</t>
  </si>
  <si>
    <t>WP-00330</t>
  </si>
  <si>
    <t>2024-08-08</t>
  </si>
  <si>
    <t>2024-08-14</t>
  </si>
  <si>
    <t>WP-00331</t>
  </si>
  <si>
    <t>2025-06-14</t>
  </si>
  <si>
    <t>WP-00332</t>
  </si>
  <si>
    <t>WP-00333</t>
  </si>
  <si>
    <t>WP-00334</t>
  </si>
  <si>
    <t>2026-01-02</t>
  </si>
  <si>
    <t>WP-00335</t>
  </si>
  <si>
    <t>WP-00336</t>
  </si>
  <si>
    <t>2024-02-04</t>
  </si>
  <si>
    <t>WP-00337</t>
  </si>
  <si>
    <t>2024-02-23</t>
  </si>
  <si>
    <t>WP-00338</t>
  </si>
  <si>
    <t>WP-00339</t>
  </si>
  <si>
    <t>2025-09-13</t>
  </si>
  <si>
    <t>WP-00340</t>
  </si>
  <si>
    <t>2025-01-23</t>
  </si>
  <si>
    <t>WP-00341</t>
  </si>
  <si>
    <t>WP-00342</t>
  </si>
  <si>
    <t>WP-00343</t>
  </si>
  <si>
    <t>2025-01-25</t>
  </si>
  <si>
    <t>2025-03-11</t>
  </si>
  <si>
    <t>WP-00344</t>
  </si>
  <si>
    <t>WP-00345</t>
  </si>
  <si>
    <t>WP-00346</t>
  </si>
  <si>
    <t>2024-03-06</t>
  </si>
  <si>
    <t>2024-03-19</t>
  </si>
  <si>
    <t>WP-00347</t>
  </si>
  <si>
    <t>WP-00348</t>
  </si>
  <si>
    <t>WP-00349</t>
  </si>
  <si>
    <t>2024-12-04</t>
  </si>
  <si>
    <t>2024-12-16</t>
  </si>
  <si>
    <t>WP-00350</t>
  </si>
  <si>
    <t>WP-00351</t>
  </si>
  <si>
    <t>2025-05-27</t>
  </si>
  <si>
    <t>WP-00352</t>
  </si>
  <si>
    <t>2025-08-29</t>
  </si>
  <si>
    <t>WP-00353</t>
  </si>
  <si>
    <t>WP-00354</t>
  </si>
  <si>
    <t>2025-04-22</t>
  </si>
  <si>
    <t>WP-00355</t>
  </si>
  <si>
    <t>WP-00356</t>
  </si>
  <si>
    <t>2025-02-07</t>
  </si>
  <si>
    <t>2025-02-13</t>
  </si>
  <si>
    <t>WP-00357</t>
  </si>
  <si>
    <t>2025-05-10</t>
  </si>
  <si>
    <t>WP-00358</t>
  </si>
  <si>
    <t>2024-08-01</t>
  </si>
  <si>
    <t>WP-00359</t>
  </si>
  <si>
    <t>WP-00360</t>
  </si>
  <si>
    <t>2024-06-16</t>
  </si>
  <si>
    <t>WP-00361</t>
  </si>
  <si>
    <t>WP-00362</t>
  </si>
  <si>
    <t>2024-02-22</t>
  </si>
  <si>
    <t>WP-00363</t>
  </si>
  <si>
    <t>WP-00364</t>
  </si>
  <si>
    <t>WP-00365</t>
  </si>
  <si>
    <t>WP-00366</t>
  </si>
  <si>
    <t>2025-02-17</t>
  </si>
  <si>
    <t>WP-00367</t>
  </si>
  <si>
    <t>WP-00368</t>
  </si>
  <si>
    <t>2025-11-08</t>
  </si>
  <si>
    <t>WP-00369</t>
  </si>
  <si>
    <t>WP-00370</t>
  </si>
  <si>
    <t>WP-00371</t>
  </si>
  <si>
    <t>2024-06-01</t>
  </si>
  <si>
    <t>2024-05-25</t>
  </si>
  <si>
    <t>WP-00372</t>
  </si>
  <si>
    <t>WP-00373</t>
  </si>
  <si>
    <t>WP-00374</t>
  </si>
  <si>
    <t>WP-00375</t>
  </si>
  <si>
    <t>WP-00376</t>
  </si>
  <si>
    <t>WP-00377</t>
  </si>
  <si>
    <t>2024-05-02</t>
  </si>
  <si>
    <t>WP-00378</t>
  </si>
  <si>
    <t>WP-00379</t>
  </si>
  <si>
    <t>2025-06-16</t>
  </si>
  <si>
    <t>WP-00380</t>
  </si>
  <si>
    <t>WP-00381</t>
  </si>
  <si>
    <t>WP-00382</t>
  </si>
  <si>
    <t>WP-00383</t>
  </si>
  <si>
    <t>WP-00384</t>
  </si>
  <si>
    <t>2024-05-15</t>
  </si>
  <si>
    <t>2024-05-28</t>
  </si>
  <si>
    <t>2024-05-23</t>
  </si>
  <si>
    <t>WP-00385</t>
  </si>
  <si>
    <t>2024-12-13</t>
  </si>
  <si>
    <t>WP-00386</t>
  </si>
  <si>
    <t>2025-10-05</t>
  </si>
  <si>
    <t>WP-00387</t>
  </si>
  <si>
    <t>WP-00388</t>
  </si>
  <si>
    <t>2025-10-27</t>
  </si>
  <si>
    <t>WP-00389</t>
  </si>
  <si>
    <t>2024-09-25</t>
  </si>
  <si>
    <t>2024-09-17</t>
  </si>
  <si>
    <t>WP-00390</t>
  </si>
  <si>
    <t>2024-08-05</t>
  </si>
  <si>
    <t>WP-00391</t>
  </si>
  <si>
    <t>WP-00392</t>
  </si>
  <si>
    <t>2024-04-30</t>
  </si>
  <si>
    <t>WP-00393</t>
  </si>
  <si>
    <t>WP-00394</t>
  </si>
  <si>
    <t>WP-00395</t>
  </si>
  <si>
    <t>WP-00396</t>
  </si>
  <si>
    <t>WP-00397</t>
  </si>
  <si>
    <t>WP-00398</t>
  </si>
  <si>
    <t>2025-01-21</t>
  </si>
  <si>
    <t>WP-00399</t>
  </si>
  <si>
    <t>WP-00400</t>
  </si>
  <si>
    <t>2025-08-11</t>
  </si>
  <si>
    <t>2025-08-24</t>
  </si>
  <si>
    <t>WP-00401</t>
  </si>
  <si>
    <t>2025-07-26</t>
  </si>
  <si>
    <t>WP-00402</t>
  </si>
  <si>
    <t>2025-07-09</t>
  </si>
  <si>
    <t>WP-00403</t>
  </si>
  <si>
    <t>2025-09-27</t>
  </si>
  <si>
    <t>WP-00404</t>
  </si>
  <si>
    <t>WP-00405</t>
  </si>
  <si>
    <t>2025-12-19</t>
  </si>
  <si>
    <t>2026-01-01</t>
  </si>
  <si>
    <t>WP-00406</t>
  </si>
  <si>
    <t>WP-00407</t>
  </si>
  <si>
    <t>WP-00408</t>
  </si>
  <si>
    <t>2025-02-03</t>
  </si>
  <si>
    <t>2025-02-04</t>
  </si>
  <si>
    <t>WP-00409</t>
  </si>
  <si>
    <t>WP-00410</t>
  </si>
  <si>
    <t>2024-07-04</t>
  </si>
  <si>
    <t>WP-00411</t>
  </si>
  <si>
    <t>2025-04-17</t>
  </si>
  <si>
    <t>WP-00412</t>
  </si>
  <si>
    <t>2024-06-06</t>
  </si>
  <si>
    <t>WP-00413</t>
  </si>
  <si>
    <t>WP-00414</t>
  </si>
  <si>
    <t>WP-00415</t>
  </si>
  <si>
    <t>2025-09-19</t>
  </si>
  <si>
    <t>WP-00416</t>
  </si>
  <si>
    <t>2024-02-05</t>
  </si>
  <si>
    <t>WP-00417</t>
  </si>
  <si>
    <t>WP-00418</t>
  </si>
  <si>
    <t>2025-05-21</t>
  </si>
  <si>
    <t>2025-05-25</t>
  </si>
  <si>
    <t>WP-00419</t>
  </si>
  <si>
    <t>2025-03-15</t>
  </si>
  <si>
    <t>WP-00420</t>
  </si>
  <si>
    <t>WP-00421</t>
  </si>
  <si>
    <t>WP-00422</t>
  </si>
  <si>
    <t>WP-00423</t>
  </si>
  <si>
    <t>2025-03-24</t>
  </si>
  <si>
    <t>2025-03-31</t>
  </si>
  <si>
    <t>WP-00424</t>
  </si>
  <si>
    <t>2025-10-10</t>
  </si>
  <si>
    <t>2025-10-23</t>
  </si>
  <si>
    <t>WP-00425</t>
  </si>
  <si>
    <t>2025-02-26</t>
  </si>
  <si>
    <t>WP-00426</t>
  </si>
  <si>
    <t>WP-00427</t>
  </si>
  <si>
    <t>2024-11-23</t>
  </si>
  <si>
    <t>WP-00428</t>
  </si>
  <si>
    <t>2024-04-25</t>
  </si>
  <si>
    <t>WP-00429</t>
  </si>
  <si>
    <t>2024-07-30</t>
  </si>
  <si>
    <t>2024-07-27</t>
  </si>
  <si>
    <t>WP-00430</t>
  </si>
  <si>
    <t>WP-00431</t>
  </si>
  <si>
    <t>WP-00432</t>
  </si>
  <si>
    <t>WP-00433</t>
  </si>
  <si>
    <t>WP-00434</t>
  </si>
  <si>
    <t>2025-06-10</t>
  </si>
  <si>
    <t>WP-00435</t>
  </si>
  <si>
    <t>2025-12-17</t>
  </si>
  <si>
    <t>2026-01-11</t>
  </si>
  <si>
    <t>WP-00436</t>
  </si>
  <si>
    <t>WP-00437</t>
  </si>
  <si>
    <t>WP-00438</t>
  </si>
  <si>
    <t>2025-04-12</t>
  </si>
  <si>
    <t>WP-00439</t>
  </si>
  <si>
    <t>WP-00440</t>
  </si>
  <si>
    <t>2025-04-27</t>
  </si>
  <si>
    <t>WP-00441</t>
  </si>
  <si>
    <t>2024-02-09</t>
  </si>
  <si>
    <t>WP-00442</t>
  </si>
  <si>
    <t>WP-00443</t>
  </si>
  <si>
    <t>2025-04-03</t>
  </si>
  <si>
    <t>WP-00444</t>
  </si>
  <si>
    <t>WP-00445</t>
  </si>
  <si>
    <t>WP-00446</t>
  </si>
  <si>
    <t>2024-11-19</t>
  </si>
  <si>
    <t>WP-00447</t>
  </si>
  <si>
    <t>WP-00448</t>
  </si>
  <si>
    <t>2025-07-15</t>
  </si>
  <si>
    <t>2025-07-21</t>
  </si>
  <si>
    <t>WP-00449</t>
  </si>
  <si>
    <t>2024-01-08</t>
  </si>
  <si>
    <t>2024-01-21</t>
  </si>
  <si>
    <t>2024-01-12</t>
  </si>
  <si>
    <t>WP-00450</t>
  </si>
  <si>
    <t>WP-00451</t>
  </si>
  <si>
    <t>WP-00452</t>
  </si>
  <si>
    <t>2024-01-03</t>
  </si>
  <si>
    <t>WP-00453</t>
  </si>
  <si>
    <t>2025-04-26</t>
  </si>
  <si>
    <t>WP-00454</t>
  </si>
  <si>
    <t>2025-03-09</t>
  </si>
  <si>
    <t>WP-00455</t>
  </si>
  <si>
    <t>WP-00456</t>
  </si>
  <si>
    <t>2025-04-15</t>
  </si>
  <si>
    <t>WP-00457</t>
  </si>
  <si>
    <t>WP-00458</t>
  </si>
  <si>
    <t>WP-00459</t>
  </si>
  <si>
    <t>2026-01-06</t>
  </si>
  <si>
    <t>WP-00460</t>
  </si>
  <si>
    <t>WP-00461</t>
  </si>
  <si>
    <t>2025-06-23</t>
  </si>
  <si>
    <t>WP-00462</t>
  </si>
  <si>
    <t>WP-00463</t>
  </si>
  <si>
    <t>WP-00464</t>
  </si>
  <si>
    <t>2024-03-04</t>
  </si>
  <si>
    <t>WP-00465</t>
  </si>
  <si>
    <t>2024-02-15</t>
  </si>
  <si>
    <t>2024-02-28</t>
  </si>
  <si>
    <t>WP-00466</t>
  </si>
  <si>
    <t>WP-00467</t>
  </si>
  <si>
    <t>WP-00468</t>
  </si>
  <si>
    <t>WP-00469</t>
  </si>
  <si>
    <t>WP-00470</t>
  </si>
  <si>
    <t>WP-00471</t>
  </si>
  <si>
    <t>WP-00472</t>
  </si>
  <si>
    <t>WP-00473</t>
  </si>
  <si>
    <t>2025-10-06</t>
  </si>
  <si>
    <t>2025-10-12</t>
  </si>
  <si>
    <t>2025-10-11</t>
  </si>
  <si>
    <t>WP-00474</t>
  </si>
  <si>
    <t>2025-06-17</t>
  </si>
  <si>
    <t>WP-00475</t>
  </si>
  <si>
    <t>WP-00476</t>
  </si>
  <si>
    <t>WP-00477</t>
  </si>
  <si>
    <t>WP-00478</t>
  </si>
  <si>
    <t>2025-11-30</t>
  </si>
  <si>
    <t>WP-00479</t>
  </si>
  <si>
    <t>2025-04-21</t>
  </si>
  <si>
    <t>WP-00480</t>
  </si>
  <si>
    <t>2025-06-04</t>
  </si>
  <si>
    <t>WP-00481</t>
  </si>
  <si>
    <t>WP-00482</t>
  </si>
  <si>
    <t>2025-03-04</t>
  </si>
  <si>
    <t>2025-03-06</t>
  </si>
  <si>
    <t>WP-00483</t>
  </si>
  <si>
    <t>WP-00484</t>
  </si>
  <si>
    <t>WP-00485</t>
  </si>
  <si>
    <t>2024-08-11</t>
  </si>
  <si>
    <t>WP-00486</t>
  </si>
  <si>
    <t>WP-00487</t>
  </si>
  <si>
    <t>WP-00488</t>
  </si>
  <si>
    <t>2025-11-05</t>
  </si>
  <si>
    <t>WP-00489</t>
  </si>
  <si>
    <t>2024-07-20</t>
  </si>
  <si>
    <t>WP-00490</t>
  </si>
  <si>
    <t>2025-11-25</t>
  </si>
  <si>
    <t>WP-00491</t>
  </si>
  <si>
    <t>WP-00492</t>
  </si>
  <si>
    <t>WP-00493</t>
  </si>
  <si>
    <t>WP-00494</t>
  </si>
  <si>
    <t>WP-00495</t>
  </si>
  <si>
    <t>WP-00496</t>
  </si>
  <si>
    <t>WP-00497</t>
  </si>
  <si>
    <t>WP-00498</t>
  </si>
  <si>
    <t>WP-00499</t>
  </si>
  <si>
    <t>2024-05-27</t>
  </si>
  <si>
    <t>WP-00500</t>
  </si>
  <si>
    <t>WP-00501</t>
  </si>
  <si>
    <t>2024-01-18</t>
  </si>
  <si>
    <t>2024-01-29</t>
  </si>
  <si>
    <t>WP-00502</t>
  </si>
  <si>
    <t>WP-00503</t>
  </si>
  <si>
    <t>2025-03-10</t>
  </si>
  <si>
    <t>WP-00504</t>
  </si>
  <si>
    <t>2024-07-26</t>
  </si>
  <si>
    <t>2024-08-12</t>
  </si>
  <si>
    <t>WP-00505</t>
  </si>
  <si>
    <t>WP-00506</t>
  </si>
  <si>
    <t>2024-07-03</t>
  </si>
  <si>
    <t>WP-00507</t>
  </si>
  <si>
    <t>WP-00508</t>
  </si>
  <si>
    <t>WP-00509</t>
  </si>
  <si>
    <t>WP-00510</t>
  </si>
  <si>
    <t>WP-00511</t>
  </si>
  <si>
    <t>2025-09-09</t>
  </si>
  <si>
    <t>WP-00512</t>
  </si>
  <si>
    <t>WP-00513</t>
  </si>
  <si>
    <t>2025-07-30</t>
  </si>
  <si>
    <t>WP-00514</t>
  </si>
  <si>
    <t>WP-00515</t>
  </si>
  <si>
    <t>WP-00516</t>
  </si>
  <si>
    <t>WP-00517</t>
  </si>
  <si>
    <t>WP-00518</t>
  </si>
  <si>
    <t>WP-00519</t>
  </si>
  <si>
    <t>WP-00520</t>
  </si>
  <si>
    <t>WP-00521</t>
  </si>
  <si>
    <t>WP-00522</t>
  </si>
  <si>
    <t>WP-00523</t>
  </si>
  <si>
    <t>2025-01-31</t>
  </si>
  <si>
    <t>WP-00524</t>
  </si>
  <si>
    <t>2024-08-28</t>
  </si>
  <si>
    <t>WP-00525</t>
  </si>
  <si>
    <t>WP-00526</t>
  </si>
  <si>
    <t>WP-00527</t>
  </si>
  <si>
    <t>WP-00528</t>
  </si>
  <si>
    <t>WP-00529</t>
  </si>
  <si>
    <t>WP-00530</t>
  </si>
  <si>
    <t>WP-00531</t>
  </si>
  <si>
    <t>2024-07-31</t>
  </si>
  <si>
    <t>WP-00532</t>
  </si>
  <si>
    <t>WP-00533</t>
  </si>
  <si>
    <t>WP-00534</t>
  </si>
  <si>
    <t>WP-00535</t>
  </si>
  <si>
    <t>WP-00536</t>
  </si>
  <si>
    <t>WP-00537</t>
  </si>
  <si>
    <t>2025-08-20</t>
  </si>
  <si>
    <t>WP-00538</t>
  </si>
  <si>
    <t>WP-00539</t>
  </si>
  <si>
    <t>WP-00540</t>
  </si>
  <si>
    <t>WP-00541</t>
  </si>
  <si>
    <t>WP-00542</t>
  </si>
  <si>
    <t>WP-00543</t>
  </si>
  <si>
    <t>WP-00544</t>
  </si>
  <si>
    <t>2024-08-09</t>
  </si>
  <si>
    <t>2024-08-03</t>
  </si>
  <si>
    <t>WP-00545</t>
  </si>
  <si>
    <t>WP-00546</t>
  </si>
  <si>
    <t>WP-00547</t>
  </si>
  <si>
    <t>2024-10-07</t>
  </si>
  <si>
    <t>WP-00548</t>
  </si>
  <si>
    <t>WP-00549</t>
  </si>
  <si>
    <t>WP-00550</t>
  </si>
  <si>
    <t>WP-00551</t>
  </si>
  <si>
    <t>WP-00552</t>
  </si>
  <si>
    <t>2024-05-03</t>
  </si>
  <si>
    <t>WP-00553</t>
  </si>
  <si>
    <t>WP-00554</t>
  </si>
  <si>
    <t>2025-01-26</t>
  </si>
  <si>
    <t>WP-00555</t>
  </si>
  <si>
    <t>WP-00556</t>
  </si>
  <si>
    <t>WP-00557</t>
  </si>
  <si>
    <t>WP-00558</t>
  </si>
  <si>
    <t>WP-00559</t>
  </si>
  <si>
    <t>WP-00560</t>
  </si>
  <si>
    <t>WP-00561</t>
  </si>
  <si>
    <t>WP-00562</t>
  </si>
  <si>
    <t>2024-08-04</t>
  </si>
  <si>
    <t>2024-08-02</t>
  </si>
  <si>
    <t>WP-00563</t>
  </si>
  <si>
    <t>WP-00564</t>
  </si>
  <si>
    <t>WP-00565</t>
  </si>
  <si>
    <t>WP-00566</t>
  </si>
  <si>
    <t>2025-12-07</t>
  </si>
  <si>
    <t>WP-00567</t>
  </si>
  <si>
    <t>2025-12-05</t>
  </si>
  <si>
    <t>WP-00568</t>
  </si>
  <si>
    <t>2025-08-22</t>
  </si>
  <si>
    <t>WP-00569</t>
  </si>
  <si>
    <t>2024-09-24</t>
  </si>
  <si>
    <t>WP-00570</t>
  </si>
  <si>
    <t>WP-00571</t>
  </si>
  <si>
    <t>WP-00572</t>
  </si>
  <si>
    <t>WP-00573</t>
  </si>
  <si>
    <t>2025-08-06</t>
  </si>
  <si>
    <t>WP-00574</t>
  </si>
  <si>
    <t>WP-00575</t>
  </si>
  <si>
    <t>WP-00576</t>
  </si>
  <si>
    <t>WP-00577</t>
  </si>
  <si>
    <t>WP-00578</t>
  </si>
  <si>
    <t>WP-00579</t>
  </si>
  <si>
    <t>WP-00580</t>
  </si>
  <si>
    <t>2024-12-30</t>
  </si>
  <si>
    <t>WP-00581</t>
  </si>
  <si>
    <t>2024-11-02</t>
  </si>
  <si>
    <t>WP-00582</t>
  </si>
  <si>
    <t>WP-00583</t>
  </si>
  <si>
    <t>WP-00584</t>
  </si>
  <si>
    <t>WP-00585</t>
  </si>
  <si>
    <t>WP-00586</t>
  </si>
  <si>
    <t>2025-12-03</t>
  </si>
  <si>
    <t>WP-00587</t>
  </si>
  <si>
    <t>2025-11-26</t>
  </si>
  <si>
    <t>WP-00588</t>
  </si>
  <si>
    <t>2025-12-25</t>
  </si>
  <si>
    <t>WP-00589</t>
  </si>
  <si>
    <t>WP-00590</t>
  </si>
  <si>
    <t>WP-00591</t>
  </si>
  <si>
    <t>WP-00592</t>
  </si>
  <si>
    <t>WP-00593</t>
  </si>
  <si>
    <t>WP-00594</t>
  </si>
  <si>
    <t>WP-00595</t>
  </si>
  <si>
    <t>2024-12-27</t>
  </si>
  <si>
    <t>WP-00596</t>
  </si>
  <si>
    <t>2024-09-05</t>
  </si>
  <si>
    <t>WP-00597</t>
  </si>
  <si>
    <t>WP-00598</t>
  </si>
  <si>
    <t>2024-08-16</t>
  </si>
  <si>
    <t>WP-00599</t>
  </si>
  <si>
    <t>WP-00600</t>
  </si>
  <si>
    <t>2025-03-20</t>
  </si>
  <si>
    <t>2025-04-04</t>
  </si>
  <si>
    <t>WP-00601</t>
  </si>
  <si>
    <t>WP-00602</t>
  </si>
  <si>
    <t>WP-00603</t>
  </si>
  <si>
    <t>WP-00604</t>
  </si>
  <si>
    <t>WP-00605</t>
  </si>
  <si>
    <t>WP-00606</t>
  </si>
  <si>
    <t>2024-07-06</t>
  </si>
  <si>
    <t>WP-00607</t>
  </si>
  <si>
    <t>2025-01-30</t>
  </si>
  <si>
    <t>WP-00608</t>
  </si>
  <si>
    <t>2024-02-12</t>
  </si>
  <si>
    <t>WP-00609</t>
  </si>
  <si>
    <t>WP-00610</t>
  </si>
  <si>
    <t>WP-00611</t>
  </si>
  <si>
    <t>WP-00612</t>
  </si>
  <si>
    <t>WP-00613</t>
  </si>
  <si>
    <t>WP-00614</t>
  </si>
  <si>
    <t>WP-00615</t>
  </si>
  <si>
    <t>WP-00616</t>
  </si>
  <si>
    <t>2024-02-11</t>
  </si>
  <si>
    <t>WP-00617</t>
  </si>
  <si>
    <t>WP-00618</t>
  </si>
  <si>
    <t>2024-05-09</t>
  </si>
  <si>
    <t>WP-00619</t>
  </si>
  <si>
    <t>2025-04-02</t>
  </si>
  <si>
    <t>WP-00620</t>
  </si>
  <si>
    <t>2025-07-31</t>
  </si>
  <si>
    <t>WP-00621</t>
  </si>
  <si>
    <t>WP-00622</t>
  </si>
  <si>
    <t>WP-00623</t>
  </si>
  <si>
    <t>WP-00624</t>
  </si>
  <si>
    <t>WP-00625</t>
  </si>
  <si>
    <t>WP-00626</t>
  </si>
  <si>
    <t>2025-04-07</t>
  </si>
  <si>
    <t>WP-00627</t>
  </si>
  <si>
    <t>WP-00628</t>
  </si>
  <si>
    <t>WP-00629</t>
  </si>
  <si>
    <t>2025-04-16</t>
  </si>
  <si>
    <t>WP-00630</t>
  </si>
  <si>
    <t>WP-00631</t>
  </si>
  <si>
    <t>WP-00632</t>
  </si>
  <si>
    <t>WP-00633</t>
  </si>
  <si>
    <t>WP-00634</t>
  </si>
  <si>
    <t>WP-00635</t>
  </si>
  <si>
    <t>WP-00636</t>
  </si>
  <si>
    <t>WP-00637</t>
  </si>
  <si>
    <t>WP-00638</t>
  </si>
  <si>
    <t>WP-00639</t>
  </si>
  <si>
    <t>WP-00640</t>
  </si>
  <si>
    <t>WP-00641</t>
  </si>
  <si>
    <t>WP-00642</t>
  </si>
  <si>
    <t>WP-00643</t>
  </si>
  <si>
    <t>WP-00644</t>
  </si>
  <si>
    <t>WP-00645</t>
  </si>
  <si>
    <t>WP-00646</t>
  </si>
  <si>
    <t>WP-00647</t>
  </si>
  <si>
    <t>WP-00648</t>
  </si>
  <si>
    <t>2025-07-23</t>
  </si>
  <si>
    <t>WP-00649</t>
  </si>
  <si>
    <t>WP-00650</t>
  </si>
  <si>
    <t>WP-00651</t>
  </si>
  <si>
    <t>WP-00652</t>
  </si>
  <si>
    <t>WP-00653</t>
  </si>
  <si>
    <t>2025-07-28</t>
  </si>
  <si>
    <t>WP-00654</t>
  </si>
  <si>
    <t>WP-00655</t>
  </si>
  <si>
    <t>WP-00656</t>
  </si>
  <si>
    <t>WP-00657</t>
  </si>
  <si>
    <t>WP-00658</t>
  </si>
  <si>
    <t>WP-00659</t>
  </si>
  <si>
    <t>WP-00660</t>
  </si>
  <si>
    <t>WP-00661</t>
  </si>
  <si>
    <t>WP-00662</t>
  </si>
  <si>
    <t>WP-00663</t>
  </si>
  <si>
    <t>WP-00664</t>
  </si>
  <si>
    <t>2024-01-11</t>
  </si>
  <si>
    <t>2024-01-24</t>
  </si>
  <si>
    <t>2024-01-17</t>
  </si>
  <si>
    <t>WP-00665</t>
  </si>
  <si>
    <t>2026-01-07</t>
  </si>
  <si>
    <t>2026-02-22</t>
  </si>
  <si>
    <t>WP-00666</t>
  </si>
  <si>
    <t>WP-00667</t>
  </si>
  <si>
    <t>WP-00668</t>
  </si>
  <si>
    <t>WP-00669</t>
  </si>
  <si>
    <t>WP-00670</t>
  </si>
  <si>
    <t>WP-00671</t>
  </si>
  <si>
    <t>2025-10-21</t>
  </si>
  <si>
    <t>WP-00672</t>
  </si>
  <si>
    <t>WP-00673</t>
  </si>
  <si>
    <t>WP-00674</t>
  </si>
  <si>
    <t>WP-00675</t>
  </si>
  <si>
    <t>WP-00676</t>
  </si>
  <si>
    <t>2024-07-13</t>
  </si>
  <si>
    <t>WP-00677</t>
  </si>
  <si>
    <t>WP-00678</t>
  </si>
  <si>
    <t>WP-00679</t>
  </si>
  <si>
    <t>WP-00680</t>
  </si>
  <si>
    <t>WP-00681</t>
  </si>
  <si>
    <t>2024-09-16</t>
  </si>
  <si>
    <t>WP-00682</t>
  </si>
  <si>
    <t>WP-00683</t>
  </si>
  <si>
    <t>WP-00684</t>
  </si>
  <si>
    <t>WP-00685</t>
  </si>
  <si>
    <t>WP-00686</t>
  </si>
  <si>
    <t>WP-00687</t>
  </si>
  <si>
    <t>WP-00688</t>
  </si>
  <si>
    <t>WP-00689</t>
  </si>
  <si>
    <t>2026-01-13</t>
  </si>
  <si>
    <t>WP-00690</t>
  </si>
  <si>
    <t>WP-00691</t>
  </si>
  <si>
    <t>WP-00692</t>
  </si>
  <si>
    <t>WP-00693</t>
  </si>
  <si>
    <t>2025-05-24</t>
  </si>
  <si>
    <t>WP-00694</t>
  </si>
  <si>
    <t>WP-00695</t>
  </si>
  <si>
    <t>WP-00696</t>
  </si>
  <si>
    <t>WP-00697</t>
  </si>
  <si>
    <t>WP-00698</t>
  </si>
  <si>
    <t>WP-00699</t>
  </si>
  <si>
    <t>WP-00700</t>
  </si>
  <si>
    <t>WP-00701</t>
  </si>
  <si>
    <t>WP-00702</t>
  </si>
  <si>
    <t>WP-00703</t>
  </si>
  <si>
    <t>WP-00704</t>
  </si>
  <si>
    <t>WP-00705</t>
  </si>
  <si>
    <t>WP-00706</t>
  </si>
  <si>
    <t>WP-00707</t>
  </si>
  <si>
    <t>WP-00708</t>
  </si>
  <si>
    <t>WP-00709</t>
  </si>
  <si>
    <t>WP-00710</t>
  </si>
  <si>
    <t>2024-09-29</t>
  </si>
  <si>
    <t>WP-00711</t>
  </si>
  <si>
    <t>WP-00712</t>
  </si>
  <si>
    <t>2025-12-01</t>
  </si>
  <si>
    <t>WP-00713</t>
  </si>
  <si>
    <t>WP-00714</t>
  </si>
  <si>
    <t>WP-00715</t>
  </si>
  <si>
    <t>WP-00716</t>
  </si>
  <si>
    <t>WP-00717</t>
  </si>
  <si>
    <t>WP-00718</t>
  </si>
  <si>
    <t>WP-00719</t>
  </si>
  <si>
    <t>2026-01-09</t>
  </si>
  <si>
    <t>WP-00720</t>
  </si>
  <si>
    <t>WP-00721</t>
  </si>
  <si>
    <t>WP-00722</t>
  </si>
  <si>
    <t>WP-00723</t>
  </si>
  <si>
    <t>WP-00724</t>
  </si>
  <si>
    <t>WP-00725</t>
  </si>
  <si>
    <t>WP-00726</t>
  </si>
  <si>
    <t>WP-00727</t>
  </si>
  <si>
    <t>WP-00728</t>
  </si>
  <si>
    <t>WP-00729</t>
  </si>
  <si>
    <t>WP-00730</t>
  </si>
  <si>
    <t>WP-00731</t>
  </si>
  <si>
    <t>WP-00732</t>
  </si>
  <si>
    <t>WP-00733</t>
  </si>
  <si>
    <t>WP-00734</t>
  </si>
  <si>
    <t>WP-00735</t>
  </si>
  <si>
    <t>WP-00736</t>
  </si>
  <si>
    <t>WP-00737</t>
  </si>
  <si>
    <t>WP-00738</t>
  </si>
  <si>
    <t>WP-00739</t>
  </si>
  <si>
    <t>WP-00740</t>
  </si>
  <si>
    <t>WP-00741</t>
  </si>
  <si>
    <t>WP-00742</t>
  </si>
  <si>
    <t>WP-00743</t>
  </si>
  <si>
    <t>2025-11-27</t>
  </si>
  <si>
    <t>WP-00744</t>
  </si>
  <si>
    <t>WP-00745</t>
  </si>
  <si>
    <t>WP-00746</t>
  </si>
  <si>
    <t>WP-00747</t>
  </si>
  <si>
    <t>WP-00748</t>
  </si>
  <si>
    <t>2025-03-25</t>
  </si>
  <si>
    <t>WP-00749</t>
  </si>
  <si>
    <t>WP-00750</t>
  </si>
  <si>
    <t>WP-00751</t>
  </si>
  <si>
    <t>2025-04-09</t>
  </si>
  <si>
    <t>WP-00752</t>
  </si>
  <si>
    <t>WP-00753</t>
  </si>
  <si>
    <t>2025-02-16</t>
  </si>
  <si>
    <t>WP-00754</t>
  </si>
  <si>
    <t>WP-00755</t>
  </si>
  <si>
    <t>WP-00756</t>
  </si>
  <si>
    <t>WP-00757</t>
  </si>
  <si>
    <t>2026-01-23</t>
  </si>
  <si>
    <t>WP-00758</t>
  </si>
  <si>
    <t>WP-00759</t>
  </si>
  <si>
    <t>WP-00760</t>
  </si>
  <si>
    <t>WP-00761</t>
  </si>
  <si>
    <t>WP-00762</t>
  </si>
  <si>
    <t>WP-00763</t>
  </si>
  <si>
    <t>WP-00764</t>
  </si>
  <si>
    <t>2024-08-27</t>
  </si>
  <si>
    <t>WP-00765</t>
  </si>
  <si>
    <t>WP-00766</t>
  </si>
  <si>
    <t>WP-00767</t>
  </si>
  <si>
    <t>2024-08-10</t>
  </si>
  <si>
    <t>WP-00768</t>
  </si>
  <si>
    <t>WP-00769</t>
  </si>
  <si>
    <t>WP-00770</t>
  </si>
  <si>
    <t>WP-00771</t>
  </si>
  <si>
    <t>WP-00772</t>
  </si>
  <si>
    <t>WP-00773</t>
  </si>
  <si>
    <t>WP-00774</t>
  </si>
  <si>
    <t>WP-00775</t>
  </si>
  <si>
    <t>WP-00776</t>
  </si>
  <si>
    <t>WP-00777</t>
  </si>
  <si>
    <t>WP-00778</t>
  </si>
  <si>
    <t>WP-00779</t>
  </si>
  <si>
    <t>WP-00780</t>
  </si>
  <si>
    <t>WP-00781</t>
  </si>
  <si>
    <t>WP-00782</t>
  </si>
  <si>
    <t>WP-00783</t>
  </si>
  <si>
    <t>WP-00784</t>
  </si>
  <si>
    <t>WP-00785</t>
  </si>
  <si>
    <t>WP-00786</t>
  </si>
  <si>
    <t>WP-00787</t>
  </si>
  <si>
    <t>WP-00788</t>
  </si>
  <si>
    <t>WP-00789</t>
  </si>
  <si>
    <t>2024-01-10</t>
  </si>
  <si>
    <t>2024-01-23</t>
  </si>
  <si>
    <t>WP-00790</t>
  </si>
  <si>
    <t>WP-00791</t>
  </si>
  <si>
    <t>WP-00792</t>
  </si>
  <si>
    <t>WP-00793</t>
  </si>
  <si>
    <t>WP-00794</t>
  </si>
  <si>
    <t>WP-00795</t>
  </si>
  <si>
    <t>WP-00796</t>
  </si>
  <si>
    <t>WP-00797</t>
  </si>
  <si>
    <t>WP-00798</t>
  </si>
  <si>
    <t>2024-09-20</t>
  </si>
  <si>
    <t>WP-00799</t>
  </si>
  <si>
    <t>WP-00800</t>
  </si>
  <si>
    <t>WP-00801</t>
  </si>
  <si>
    <t>2025-01-03</t>
  </si>
  <si>
    <t>WP-00802</t>
  </si>
  <si>
    <t>WP-00803</t>
  </si>
  <si>
    <t>2024-04-05</t>
  </si>
  <si>
    <t>WP-00804</t>
  </si>
  <si>
    <t>WP-00805</t>
  </si>
  <si>
    <t>WP-00806</t>
  </si>
  <si>
    <t>WP-00807</t>
  </si>
  <si>
    <t>WP-00808</t>
  </si>
  <si>
    <t>WP-00809</t>
  </si>
  <si>
    <t>WP-00810</t>
  </si>
  <si>
    <t>WP-00811</t>
  </si>
  <si>
    <t>WP-00812</t>
  </si>
  <si>
    <t>WP-00813</t>
  </si>
  <si>
    <t>WP-00814</t>
  </si>
  <si>
    <t>WP-00815</t>
  </si>
  <si>
    <t>WP-00816</t>
  </si>
  <si>
    <t>WP-00817</t>
  </si>
  <si>
    <t>WP-00818</t>
  </si>
  <si>
    <t>WP-00819</t>
  </si>
  <si>
    <t>WP-00820</t>
  </si>
  <si>
    <t>WP-00821</t>
  </si>
  <si>
    <t>WP-00822</t>
  </si>
  <si>
    <t>WP-00823</t>
  </si>
  <si>
    <t>WP-00824</t>
  </si>
  <si>
    <t>WP-00825</t>
  </si>
  <si>
    <t>WP-00826</t>
  </si>
  <si>
    <t>WP-00827</t>
  </si>
  <si>
    <t>WP-00828</t>
  </si>
  <si>
    <t>WP-00829</t>
  </si>
  <si>
    <t>WP-00830</t>
  </si>
  <si>
    <t>WP-00831</t>
  </si>
  <si>
    <t>WP-00832</t>
  </si>
  <si>
    <t>WP-00833</t>
  </si>
  <si>
    <t>WP-00834</t>
  </si>
  <si>
    <t>WP-00835</t>
  </si>
  <si>
    <t>WP-00836</t>
  </si>
  <si>
    <t>WP-00837</t>
  </si>
  <si>
    <t>WP-00838</t>
  </si>
  <si>
    <t>2024-11-03</t>
  </si>
  <si>
    <t>WP-00839</t>
  </si>
  <si>
    <t>WP-00840</t>
  </si>
  <si>
    <t>WP-00841</t>
  </si>
  <si>
    <t>WP-00842</t>
  </si>
  <si>
    <t>WP-00843</t>
  </si>
  <si>
    <t>WP-00844</t>
  </si>
  <si>
    <t>2024-05-31</t>
  </si>
  <si>
    <t>WP-00845</t>
  </si>
  <si>
    <t>2024-10-14</t>
  </si>
  <si>
    <t>WP-00846</t>
  </si>
  <si>
    <t>WP-00847</t>
  </si>
  <si>
    <t>WP-00848</t>
  </si>
  <si>
    <t>WP-00849</t>
  </si>
  <si>
    <t>2024-08-22</t>
  </si>
  <si>
    <t>WP-00850</t>
  </si>
  <si>
    <t>WP-00851</t>
  </si>
  <si>
    <t>WP-00852</t>
  </si>
  <si>
    <t>WP-00853</t>
  </si>
  <si>
    <t>WP-00854</t>
  </si>
  <si>
    <t>2024-11-04</t>
  </si>
  <si>
    <t>WP-00855</t>
  </si>
  <si>
    <t>WP-00856</t>
  </si>
  <si>
    <t>WP-00857</t>
  </si>
  <si>
    <t>WP-00858</t>
  </si>
  <si>
    <t>WP-00859</t>
  </si>
  <si>
    <t>WP-00860</t>
  </si>
  <si>
    <t>WP-00861</t>
  </si>
  <si>
    <t>WP-00862</t>
  </si>
  <si>
    <t>WP-00863</t>
  </si>
  <si>
    <t>WP-00864</t>
  </si>
  <si>
    <t>WP-00865</t>
  </si>
  <si>
    <t>WP-00866</t>
  </si>
  <si>
    <t>WP-00867</t>
  </si>
  <si>
    <t>WP-00868</t>
  </si>
  <si>
    <t>WP-00869</t>
  </si>
  <si>
    <t>WP-00870</t>
  </si>
  <si>
    <t>WP-00871</t>
  </si>
  <si>
    <t>WP-00872</t>
  </si>
  <si>
    <t>WP-00873</t>
  </si>
  <si>
    <t>WP-00874</t>
  </si>
  <si>
    <t>WP-00875</t>
  </si>
  <si>
    <t>WP-00876</t>
  </si>
  <si>
    <t>WP-00877</t>
  </si>
  <si>
    <t>2024-08-15</t>
  </si>
  <si>
    <t>WP-00878</t>
  </si>
  <si>
    <t>WP-00879</t>
  </si>
  <si>
    <t>WP-00880</t>
  </si>
  <si>
    <t>WP-00881</t>
  </si>
  <si>
    <t>WP-00882</t>
  </si>
  <si>
    <t>WP-00883</t>
  </si>
  <si>
    <t>WP-00884</t>
  </si>
  <si>
    <t>WP-00885</t>
  </si>
  <si>
    <t>WP-00886</t>
  </si>
  <si>
    <t>WP-00887</t>
  </si>
  <si>
    <t>2024-11-20</t>
  </si>
  <si>
    <t>2024-12-03</t>
  </si>
  <si>
    <t>WP-00888</t>
  </si>
  <si>
    <t>WP-00889</t>
  </si>
  <si>
    <t>WP-00890</t>
  </si>
  <si>
    <t>WP-00891</t>
  </si>
  <si>
    <t>WP-00892</t>
  </si>
  <si>
    <t>WP-00893</t>
  </si>
  <si>
    <t>WP-00894</t>
  </si>
  <si>
    <t>WP-00895</t>
  </si>
  <si>
    <t>WP-00896</t>
  </si>
  <si>
    <t>WP-00897</t>
  </si>
  <si>
    <t>WP-00898</t>
  </si>
  <si>
    <t>WP-00899</t>
  </si>
  <si>
    <t>WP-00900</t>
  </si>
  <si>
    <t>WP-00901</t>
  </si>
  <si>
    <t>WP-00902</t>
  </si>
  <si>
    <t>WP-00903</t>
  </si>
  <si>
    <t>WP-00904</t>
  </si>
  <si>
    <t>WP-00905</t>
  </si>
  <si>
    <t>WP-00906</t>
  </si>
  <si>
    <t>WP-00907</t>
  </si>
  <si>
    <t>WP-00908</t>
  </si>
  <si>
    <t>WP-00909</t>
  </si>
  <si>
    <t>WP-00910</t>
  </si>
  <si>
    <t>WP-00911</t>
  </si>
  <si>
    <t>2025-06-01</t>
  </si>
  <si>
    <t>WP-00912</t>
  </si>
  <si>
    <t>WP-00913</t>
  </si>
  <si>
    <t>WP-00914</t>
  </si>
  <si>
    <t>WP-00915</t>
  </si>
  <si>
    <t>WP-00916</t>
  </si>
  <si>
    <t>WP-00917</t>
  </si>
  <si>
    <t>WP-00918</t>
  </si>
  <si>
    <t>WP-00919</t>
  </si>
  <si>
    <t>WP-00920</t>
  </si>
  <si>
    <t>WP-00921</t>
  </si>
  <si>
    <t>2024-02-20</t>
  </si>
  <si>
    <t>WP-00922</t>
  </si>
  <si>
    <t>WP-00923</t>
  </si>
  <si>
    <t>WP-00924</t>
  </si>
  <si>
    <t>WP-00925</t>
  </si>
  <si>
    <t>WP-00926</t>
  </si>
  <si>
    <t>WP-00927</t>
  </si>
  <si>
    <t>WP-00928</t>
  </si>
  <si>
    <t>WP-00929</t>
  </si>
  <si>
    <t>WP-00930</t>
  </si>
  <si>
    <t>WP-00931</t>
  </si>
  <si>
    <t>WP-00932</t>
  </si>
  <si>
    <t>WP-00933</t>
  </si>
  <si>
    <t>WP-00934</t>
  </si>
  <si>
    <t>WP-00935</t>
  </si>
  <si>
    <t>WP-00936</t>
  </si>
  <si>
    <t>WP-00937</t>
  </si>
  <si>
    <t>WP-00938</t>
  </si>
  <si>
    <t>2024-01-30</t>
  </si>
  <si>
    <t>WP-00939</t>
  </si>
  <si>
    <t>WP-00940</t>
  </si>
  <si>
    <t>WP-00941</t>
  </si>
  <si>
    <t>WP-00942</t>
  </si>
  <si>
    <t>WP-00943</t>
  </si>
  <si>
    <t>WP-00944</t>
  </si>
  <si>
    <t>2025-05-09</t>
  </si>
  <si>
    <t>WP-00945</t>
  </si>
  <si>
    <t>WP-00946</t>
  </si>
  <si>
    <t>WP-00947</t>
  </si>
  <si>
    <t>WP-00948</t>
  </si>
  <si>
    <t>WP-00949</t>
  </si>
  <si>
    <t>WP-00950</t>
  </si>
  <si>
    <t>WP-00951</t>
  </si>
  <si>
    <t>WP-00952</t>
  </si>
  <si>
    <t>WP-00953</t>
  </si>
  <si>
    <t>WP-00954</t>
  </si>
  <si>
    <t>WP-00955</t>
  </si>
  <si>
    <t>WP-00956</t>
  </si>
  <si>
    <t>WP-00957</t>
  </si>
  <si>
    <t>WP-00958</t>
  </si>
  <si>
    <t>WP-00959</t>
  </si>
  <si>
    <t>WP-00960</t>
  </si>
  <si>
    <t>WP-00961</t>
  </si>
  <si>
    <t>WP-00962</t>
  </si>
  <si>
    <t>WP-00963</t>
  </si>
  <si>
    <t>WP-00964</t>
  </si>
  <si>
    <t>WP-00965</t>
  </si>
  <si>
    <t>WP-00966</t>
  </si>
  <si>
    <t>WP-00967</t>
  </si>
  <si>
    <t>WP-00968</t>
  </si>
  <si>
    <t>WP-00969</t>
  </si>
  <si>
    <t>WP-00970</t>
  </si>
  <si>
    <t>WP-00971</t>
  </si>
  <si>
    <t>WP-00972</t>
  </si>
  <si>
    <t>WP-00973</t>
  </si>
  <si>
    <t>WP-00974</t>
  </si>
  <si>
    <t>WP-00975</t>
  </si>
  <si>
    <t>WP-00976</t>
  </si>
  <si>
    <t>WP-00977</t>
  </si>
  <si>
    <t>WP-00978</t>
  </si>
  <si>
    <t>WP-00979</t>
  </si>
  <si>
    <t>WP-00980</t>
  </si>
  <si>
    <t>WP-00981</t>
  </si>
  <si>
    <t>WP-00982</t>
  </si>
  <si>
    <t>WP-00983</t>
  </si>
  <si>
    <t>WP-00984</t>
  </si>
  <si>
    <t>WP-00985</t>
  </si>
  <si>
    <t>WP-00986</t>
  </si>
  <si>
    <t>WP-00987</t>
  </si>
  <si>
    <t>WP-00988</t>
  </si>
  <si>
    <t>WP-00989</t>
  </si>
  <si>
    <t>WP-00990</t>
  </si>
  <si>
    <t>WP-00991</t>
  </si>
  <si>
    <t>WP-00992</t>
  </si>
  <si>
    <t>WP-00993</t>
  </si>
  <si>
    <t>WP-00994</t>
  </si>
  <si>
    <t>WP-00995</t>
  </si>
  <si>
    <t>WP-00996</t>
  </si>
  <si>
    <t>WP-00997</t>
  </si>
  <si>
    <t>WP-00998</t>
  </si>
  <si>
    <t>WP-00999</t>
  </si>
  <si>
    <t>WP-01000</t>
  </si>
  <si>
    <t>2025-04-08</t>
  </si>
  <si>
    <t>WP-01001</t>
  </si>
  <si>
    <t>2026-01-10</t>
  </si>
  <si>
    <t>2026-01-08</t>
  </si>
  <si>
    <t>WP-01002</t>
  </si>
  <si>
    <t>WP-01003</t>
  </si>
  <si>
    <t>WP-01004</t>
  </si>
  <si>
    <t>WP-01005</t>
  </si>
  <si>
    <t>WP-01006</t>
  </si>
  <si>
    <t>WP-01007</t>
  </si>
  <si>
    <t>WP-01008</t>
  </si>
  <si>
    <t>WP-01009</t>
  </si>
  <si>
    <t>WP-01010</t>
  </si>
  <si>
    <t>WP-01011</t>
  </si>
  <si>
    <t>WP-01012</t>
  </si>
  <si>
    <t>WP-01013</t>
  </si>
  <si>
    <t>WP-01014</t>
  </si>
  <si>
    <t>WP-01015</t>
  </si>
  <si>
    <t>WP-01016</t>
  </si>
  <si>
    <t>WP-01017</t>
  </si>
  <si>
    <t>WP-01018</t>
  </si>
  <si>
    <t>WP-01019</t>
  </si>
  <si>
    <t>WP-01020</t>
  </si>
  <si>
    <t>WP-01021</t>
  </si>
  <si>
    <t>WP-01022</t>
  </si>
  <si>
    <t>WP-01023</t>
  </si>
  <si>
    <t>WP-01024</t>
  </si>
  <si>
    <t>WP-01025</t>
  </si>
  <si>
    <t>WP-01026</t>
  </si>
  <si>
    <t>WP-01027</t>
  </si>
  <si>
    <t>WP-01028</t>
  </si>
  <si>
    <t>WP-01029</t>
  </si>
  <si>
    <t>WP-01030</t>
  </si>
  <si>
    <t>WP-01031</t>
  </si>
  <si>
    <t>WP-01032</t>
  </si>
  <si>
    <t>WP-01033</t>
  </si>
  <si>
    <t>WP-01034</t>
  </si>
  <si>
    <t>WP-01035</t>
  </si>
  <si>
    <t>WP-01036</t>
  </si>
  <si>
    <t>WP-01037</t>
  </si>
  <si>
    <t>WP-01038</t>
  </si>
  <si>
    <t>WP-01039</t>
  </si>
  <si>
    <t>WP-01040</t>
  </si>
  <si>
    <t>WP-01041</t>
  </si>
  <si>
    <t>WP-01042</t>
  </si>
  <si>
    <t>WP-01043</t>
  </si>
  <si>
    <t>WP-01044</t>
  </si>
  <si>
    <t>WP-01045</t>
  </si>
  <si>
    <t>WP-01046</t>
  </si>
  <si>
    <t>WP-01047</t>
  </si>
  <si>
    <t>WP-01048</t>
  </si>
  <si>
    <t>WP-01049</t>
  </si>
  <si>
    <t>WP-01050</t>
  </si>
  <si>
    <t>2024-11-15</t>
  </si>
  <si>
    <t>WP-01051</t>
  </si>
  <si>
    <t>WP-01052</t>
  </si>
  <si>
    <t>WP-01053</t>
  </si>
  <si>
    <t>WP-01054</t>
  </si>
  <si>
    <t>WP-01055</t>
  </si>
  <si>
    <t>WP-01056</t>
  </si>
  <si>
    <t>WP-01057</t>
  </si>
  <si>
    <t>WP-01058</t>
  </si>
  <si>
    <t>WP-01059</t>
  </si>
  <si>
    <t>WP-01060</t>
  </si>
  <si>
    <t>WP-01061</t>
  </si>
  <si>
    <t>WP-01062</t>
  </si>
  <si>
    <t>WP-01063</t>
  </si>
  <si>
    <t>WP-01064</t>
  </si>
  <si>
    <t>WP-01065</t>
  </si>
  <si>
    <t>2024-01-07</t>
  </si>
  <si>
    <t>2024-01-13</t>
  </si>
  <si>
    <t>2024-01-09</t>
  </si>
  <si>
    <t>WP-01066</t>
  </si>
  <si>
    <t>WP-01067</t>
  </si>
  <si>
    <t>WP-01068</t>
  </si>
  <si>
    <t>WP-01069</t>
  </si>
  <si>
    <t>WP-01070</t>
  </si>
  <si>
    <t>WP-01071</t>
  </si>
  <si>
    <t>WP-01072</t>
  </si>
  <si>
    <t>2024-01-01</t>
  </si>
  <si>
    <t>WP-01073</t>
  </si>
  <si>
    <t>WP-01074</t>
  </si>
  <si>
    <t>WP-01075</t>
  </si>
  <si>
    <t>WP-01076</t>
  </si>
  <si>
    <t>WP-01077</t>
  </si>
  <si>
    <t>WP-01078</t>
  </si>
  <si>
    <t>WP-01079</t>
  </si>
  <si>
    <t>WP-01080</t>
  </si>
  <si>
    <t>WP-01081</t>
  </si>
  <si>
    <t>WP-01082</t>
  </si>
  <si>
    <t>WP-01083</t>
  </si>
  <si>
    <t>WP-01084</t>
  </si>
  <si>
    <t>WP-01085</t>
  </si>
  <si>
    <t>WP-01086</t>
  </si>
  <si>
    <t>WP-01087</t>
  </si>
  <si>
    <t>WP-01088</t>
  </si>
  <si>
    <t>WP-01089</t>
  </si>
  <si>
    <t>WP-01090</t>
  </si>
  <si>
    <t>WP-01091</t>
  </si>
  <si>
    <t>WP-01092</t>
  </si>
  <si>
    <t>WP-01093</t>
  </si>
  <si>
    <t>WP-01094</t>
  </si>
  <si>
    <t>WP-01095</t>
  </si>
  <si>
    <t>WP-01096</t>
  </si>
  <si>
    <t>WP-01097</t>
  </si>
  <si>
    <t>WP-01098</t>
  </si>
  <si>
    <t>WP-01099</t>
  </si>
  <si>
    <t>WP-01100</t>
  </si>
  <si>
    <t>WP-01101</t>
  </si>
  <si>
    <t>WP-01102</t>
  </si>
  <si>
    <t>WP-01103</t>
  </si>
  <si>
    <t>2024-03-24</t>
  </si>
  <si>
    <t>WP-01104</t>
  </si>
  <si>
    <t>WP-01105</t>
  </si>
  <si>
    <t>2025-06-02</t>
  </si>
  <si>
    <t>WP-01106</t>
  </si>
  <si>
    <t>WP-01107</t>
  </si>
  <si>
    <t>2024-03-23</t>
  </si>
  <si>
    <t>WP-01108</t>
  </si>
  <si>
    <t>WP-01109</t>
  </si>
  <si>
    <t>WP-01110</t>
  </si>
  <si>
    <t>WP-01111</t>
  </si>
  <si>
    <t>WP-01112</t>
  </si>
  <si>
    <t>WP-01113</t>
  </si>
  <si>
    <t>WP-01114</t>
  </si>
  <si>
    <t>WP-01115</t>
  </si>
  <si>
    <t>WP-01116</t>
  </si>
  <si>
    <t>WP-01117</t>
  </si>
  <si>
    <t>WP-01118</t>
  </si>
  <si>
    <t>WP-01119</t>
  </si>
  <si>
    <t>WP-01120</t>
  </si>
  <si>
    <t>WP-01121</t>
  </si>
  <si>
    <t>WP-01122</t>
  </si>
  <si>
    <t>WP-01123</t>
  </si>
  <si>
    <t>2025-10-28</t>
  </si>
  <si>
    <t>WP-01124</t>
  </si>
  <si>
    <t>WP-01125</t>
  </si>
  <si>
    <t>WP-01126</t>
  </si>
  <si>
    <t>WP-01127</t>
  </si>
  <si>
    <t>WP-01128</t>
  </si>
  <si>
    <t>WP-01129</t>
  </si>
  <si>
    <t>WP-01130</t>
  </si>
  <si>
    <t>WP-01131</t>
  </si>
  <si>
    <t>WP-01132</t>
  </si>
  <si>
    <t>WP-01133</t>
  </si>
  <si>
    <t>WP-01134</t>
  </si>
  <si>
    <t>WP-01135</t>
  </si>
  <si>
    <t>WP-01136</t>
  </si>
  <si>
    <t>WP-01137</t>
  </si>
  <si>
    <t>WP-01138</t>
  </si>
  <si>
    <t>WP-01139</t>
  </si>
  <si>
    <t>WP-01140</t>
  </si>
  <si>
    <t>WP-01141</t>
  </si>
  <si>
    <t>2024-01-06</t>
  </si>
  <si>
    <t>WP-01142</t>
  </si>
  <si>
    <t>WP-01143</t>
  </si>
  <si>
    <t>WP-01144</t>
  </si>
  <si>
    <t>WP-01145</t>
  </si>
  <si>
    <t>WP-01146</t>
  </si>
  <si>
    <t>WP-01147</t>
  </si>
  <si>
    <t>WP-01148</t>
  </si>
  <si>
    <t>WP-01149</t>
  </si>
  <si>
    <t>WP-01150</t>
  </si>
  <si>
    <t>WP-01151</t>
  </si>
  <si>
    <t>WP-01152</t>
  </si>
  <si>
    <t>WP-01153</t>
  </si>
  <si>
    <t>WP-01154</t>
  </si>
  <si>
    <t>WP-01155</t>
  </si>
  <si>
    <t>WP-01156</t>
  </si>
  <si>
    <t>WP-01157</t>
  </si>
  <si>
    <t>WP-01158</t>
  </si>
  <si>
    <t>WP-01159</t>
  </si>
  <si>
    <t>WP-01160</t>
  </si>
  <si>
    <t>WP-01161</t>
  </si>
  <si>
    <t>WP-01162</t>
  </si>
  <si>
    <t>WP-01163</t>
  </si>
  <si>
    <t>WP-01164</t>
  </si>
  <si>
    <t>WP-01165</t>
  </si>
  <si>
    <t>WP-01166</t>
  </si>
  <si>
    <t>WP-01167</t>
  </si>
  <si>
    <t>WP-01168</t>
  </si>
  <si>
    <t>WP-01169</t>
  </si>
  <si>
    <t>WP-01170</t>
  </si>
  <si>
    <t>WP-01171</t>
  </si>
  <si>
    <t>WP-01172</t>
  </si>
  <si>
    <t>WP-01173</t>
  </si>
  <si>
    <t>WP-01174</t>
  </si>
  <si>
    <t>WP-01175</t>
  </si>
  <si>
    <t>WP-01176</t>
  </si>
  <si>
    <t>WP-01177</t>
  </si>
  <si>
    <t>WP-01178</t>
  </si>
  <si>
    <t>WP-01179</t>
  </si>
  <si>
    <t>WP-01180</t>
  </si>
  <si>
    <t>WP-01181</t>
  </si>
  <si>
    <t>WP-01182</t>
  </si>
  <si>
    <t>WP-01183</t>
  </si>
  <si>
    <t>WP-01184</t>
  </si>
  <si>
    <t>2024-01-22</t>
  </si>
  <si>
    <t>WP-01185</t>
  </si>
  <si>
    <t>WP-01186</t>
  </si>
  <si>
    <t>WP-01187</t>
  </si>
  <si>
    <t>WP-01188</t>
  </si>
  <si>
    <t>WP-01189</t>
  </si>
  <si>
    <t>WP-01190</t>
  </si>
  <si>
    <t>WP-01191</t>
  </si>
  <si>
    <t>WP-01192</t>
  </si>
  <si>
    <t>WP-01193</t>
  </si>
  <si>
    <t>WP-01194</t>
  </si>
  <si>
    <t>WP-01195</t>
  </si>
  <si>
    <t>WP-01196</t>
  </si>
  <si>
    <t>WP-01197</t>
  </si>
  <si>
    <t>WP-01198</t>
  </si>
  <si>
    <t>WP-01199</t>
  </si>
  <si>
    <t>WP-01200</t>
  </si>
  <si>
    <t>WP-01201</t>
  </si>
  <si>
    <t>WP-01202</t>
  </si>
  <si>
    <t>WP-01203</t>
  </si>
  <si>
    <t>WP-01204</t>
  </si>
  <si>
    <t>WP-01205</t>
  </si>
  <si>
    <t>WP-01206</t>
  </si>
  <si>
    <t>WP-01207</t>
  </si>
  <si>
    <t>WP-01208</t>
  </si>
  <si>
    <t>WP-01209</t>
  </si>
  <si>
    <t>WP-01210</t>
  </si>
  <si>
    <t>WP-01211</t>
  </si>
  <si>
    <t>WP-01212</t>
  </si>
  <si>
    <t>WP-01213</t>
  </si>
  <si>
    <t>WP-01214</t>
  </si>
  <si>
    <t>WP-01215</t>
  </si>
  <si>
    <t>WP-01216</t>
  </si>
  <si>
    <t>WP-01217</t>
  </si>
  <si>
    <t>WP-01218</t>
  </si>
  <si>
    <t>WP-01219</t>
  </si>
  <si>
    <t>WP-01220</t>
  </si>
  <si>
    <t>WP-01221</t>
  </si>
  <si>
    <t>WP-01222</t>
  </si>
  <si>
    <t>WP-01223</t>
  </si>
  <si>
    <t>WP-01224</t>
  </si>
  <si>
    <t>WP-01225</t>
  </si>
  <si>
    <t>WP-01226</t>
  </si>
  <si>
    <t>WP-01227</t>
  </si>
  <si>
    <t>WP-01228</t>
  </si>
  <si>
    <t>WP-01229</t>
  </si>
  <si>
    <t>WP-01230</t>
  </si>
  <si>
    <t>WP-01231</t>
  </si>
  <si>
    <t>WP-01232</t>
  </si>
  <si>
    <t>WP-01233</t>
  </si>
  <si>
    <t>WP-01234</t>
  </si>
  <si>
    <t>WP-01235</t>
  </si>
  <si>
    <t>WP-01236</t>
  </si>
  <si>
    <t>WP-01237</t>
  </si>
  <si>
    <t>WP-01238</t>
  </si>
  <si>
    <t>WP-01239</t>
  </si>
  <si>
    <t>WP-01240</t>
  </si>
  <si>
    <t>WP-01241</t>
  </si>
  <si>
    <t>WP-01242</t>
  </si>
  <si>
    <t>WP-01243</t>
  </si>
  <si>
    <t>WP-01244</t>
  </si>
  <si>
    <t>WP-01245</t>
  </si>
  <si>
    <t>WP-01246</t>
  </si>
  <si>
    <t>WP-01247</t>
  </si>
  <si>
    <t>WP-01248</t>
  </si>
  <si>
    <t>WP-01249</t>
  </si>
  <si>
    <t>WP-01250</t>
  </si>
  <si>
    <t>WP-01251</t>
  </si>
  <si>
    <t>WP-01252</t>
  </si>
  <si>
    <t>WP-01253</t>
  </si>
  <si>
    <t>WP-01254</t>
  </si>
  <si>
    <t>WP-01255</t>
  </si>
  <si>
    <t>WP-01256</t>
  </si>
  <si>
    <t>WP-01257</t>
  </si>
  <si>
    <t>WP-01258</t>
  </si>
  <si>
    <t>WP-01259</t>
  </si>
  <si>
    <t>WP-01260</t>
  </si>
  <si>
    <t>WP-01261</t>
  </si>
  <si>
    <t>WP-01262</t>
  </si>
  <si>
    <t>WP-01263</t>
  </si>
  <si>
    <t>WP-01264</t>
  </si>
  <si>
    <t>WP-01265</t>
  </si>
  <si>
    <t>WP-01266</t>
  </si>
  <si>
    <t>WP-01267</t>
  </si>
  <si>
    <t>WP-01268</t>
  </si>
  <si>
    <t>WP-01269</t>
  </si>
  <si>
    <t>WP-01270</t>
  </si>
  <si>
    <t>WP-01271</t>
  </si>
  <si>
    <t>WP-01272</t>
  </si>
  <si>
    <t>WP-01273</t>
  </si>
  <si>
    <t>WP-01274</t>
  </si>
  <si>
    <t>WP-01275</t>
  </si>
  <si>
    <t>WP-01276</t>
  </si>
  <si>
    <t>WP-01277</t>
  </si>
  <si>
    <t>WP-01278</t>
  </si>
  <si>
    <t>WP-01279</t>
  </si>
  <si>
    <t>WP-01280</t>
  </si>
  <si>
    <t>WP-01281</t>
  </si>
  <si>
    <t>WP-01282</t>
  </si>
  <si>
    <t>WP-01283</t>
  </si>
  <si>
    <t>WP-01284</t>
  </si>
  <si>
    <t>WP-01285</t>
  </si>
  <si>
    <t>WP-01286</t>
  </si>
  <si>
    <t>WP-01287</t>
  </si>
  <si>
    <t>WP-01288</t>
  </si>
  <si>
    <t>WP-01289</t>
  </si>
  <si>
    <t>WP-01290</t>
  </si>
  <si>
    <t>WP-01291</t>
  </si>
  <si>
    <t>WP-01292</t>
  </si>
  <si>
    <t>WP-01293</t>
  </si>
  <si>
    <t>WP-01294</t>
  </si>
  <si>
    <t>WP-01295</t>
  </si>
  <si>
    <t>WP-01296</t>
  </si>
  <si>
    <t>WP-01297</t>
  </si>
  <si>
    <t>WP-01298</t>
  </si>
  <si>
    <t>WP-01299</t>
  </si>
  <si>
    <t>WP-01300</t>
  </si>
  <si>
    <t>WP-01301</t>
  </si>
  <si>
    <t>WP-01302</t>
  </si>
  <si>
    <t>WP-01303</t>
  </si>
  <si>
    <t>WP-01304</t>
  </si>
  <si>
    <t>WP-01305</t>
  </si>
  <si>
    <t>WP-01306</t>
  </si>
  <si>
    <t>WP-01307</t>
  </si>
  <si>
    <t>WP-01308</t>
  </si>
  <si>
    <t>WP-01309</t>
  </si>
  <si>
    <t>WP-01310</t>
  </si>
  <si>
    <t>WP-01311</t>
  </si>
  <si>
    <t>WP-01312</t>
  </si>
  <si>
    <t>WP-01313</t>
  </si>
  <si>
    <t>WP-01314</t>
  </si>
  <si>
    <t>WP-01315</t>
  </si>
  <si>
    <t>WP-01316</t>
  </si>
  <si>
    <t>WP-01317</t>
  </si>
  <si>
    <t>WP-01318</t>
  </si>
  <si>
    <t>WP-01319</t>
  </si>
  <si>
    <t>WP-01320</t>
  </si>
  <si>
    <t>WP-01321</t>
  </si>
  <si>
    <t>WP-01322</t>
  </si>
  <si>
    <t>WP-01323</t>
  </si>
  <si>
    <t>WP-01324</t>
  </si>
  <si>
    <t>WP-01325</t>
  </si>
  <si>
    <t>WP-01326</t>
  </si>
  <si>
    <t>WP-01327</t>
  </si>
  <si>
    <t>WP-01328</t>
  </si>
  <si>
    <t>WP-01329</t>
  </si>
  <si>
    <t>WP-01330</t>
  </si>
  <si>
    <t>WP-01331</t>
  </si>
  <si>
    <t>WP-01332</t>
  </si>
  <si>
    <t>WP-01333</t>
  </si>
  <si>
    <t>WP-01334</t>
  </si>
  <si>
    <t>WP-01335</t>
  </si>
  <si>
    <t>WP-01336</t>
  </si>
  <si>
    <t>WP-01337</t>
  </si>
  <si>
    <t>WP-01338</t>
  </si>
  <si>
    <t>WP-01339</t>
  </si>
  <si>
    <t>WP-01340</t>
  </si>
  <si>
    <t>WP-01341</t>
  </si>
  <si>
    <t>WP-01342</t>
  </si>
  <si>
    <t>WP-01343</t>
  </si>
  <si>
    <t>WP-01344</t>
  </si>
  <si>
    <t>WP-01345</t>
  </si>
  <si>
    <t>WP-01346</t>
  </si>
  <si>
    <t>WP-01347</t>
  </si>
  <si>
    <t>WP-01348</t>
  </si>
  <si>
    <t>WP-01349</t>
  </si>
  <si>
    <t>WP-01350</t>
  </si>
  <si>
    <t>WP-01351</t>
  </si>
  <si>
    <t>WP-01352</t>
  </si>
  <si>
    <t>WP-01353</t>
  </si>
  <si>
    <t>WP-01354</t>
  </si>
  <si>
    <t>2024-11-09</t>
  </si>
  <si>
    <t>WP-01355</t>
  </si>
  <si>
    <t>WP-01356</t>
  </si>
  <si>
    <t>WP-01357</t>
  </si>
  <si>
    <t>WP-01358</t>
  </si>
  <si>
    <t>WP-01359</t>
  </si>
  <si>
    <t>WP-01360</t>
  </si>
  <si>
    <t>WP-01361</t>
  </si>
  <si>
    <t>WP-01362</t>
  </si>
  <si>
    <t>WP-01363</t>
  </si>
  <si>
    <t>WP-01364</t>
  </si>
  <si>
    <t>WP-01365</t>
  </si>
  <si>
    <t>WP-01366</t>
  </si>
  <si>
    <t>WP-01367</t>
  </si>
  <si>
    <t>WP-01368</t>
  </si>
  <si>
    <t>WP-01369</t>
  </si>
  <si>
    <t>WP-01370</t>
  </si>
  <si>
    <t>WP-01371</t>
  </si>
  <si>
    <t>WP-01372</t>
  </si>
  <si>
    <t>WP-01373</t>
  </si>
  <si>
    <t>WP-01374</t>
  </si>
  <si>
    <t>WP-01375</t>
  </si>
  <si>
    <t>WP-01376</t>
  </si>
  <si>
    <t>WP-01377</t>
  </si>
  <si>
    <t>WP-01378</t>
  </si>
  <si>
    <t>WP-01379</t>
  </si>
  <si>
    <t>WP-01380</t>
  </si>
  <si>
    <t>WP-01381</t>
  </si>
  <si>
    <t>WP-01382</t>
  </si>
  <si>
    <t>WP-01383</t>
  </si>
  <si>
    <t>WP-01384</t>
  </si>
  <si>
    <t>WP-01385</t>
  </si>
  <si>
    <t>WP-01386</t>
  </si>
  <si>
    <t>WP-01387</t>
  </si>
  <si>
    <t>WP-01388</t>
  </si>
  <si>
    <t>WP-01389</t>
  </si>
  <si>
    <t>WP-01390</t>
  </si>
  <si>
    <t>WP-01391</t>
  </si>
  <si>
    <t>WP-01392</t>
  </si>
  <si>
    <t>WP-01393</t>
  </si>
  <si>
    <t>WP-01394</t>
  </si>
  <si>
    <t>WP-01395</t>
  </si>
  <si>
    <t>WP-01396</t>
  </si>
  <si>
    <t>WP-01397</t>
  </si>
  <si>
    <t>WP-01398</t>
  </si>
  <si>
    <t>WP-01399</t>
  </si>
  <si>
    <t>WP-01400</t>
  </si>
  <si>
    <t>WP-01401</t>
  </si>
  <si>
    <t>WP-01402</t>
  </si>
  <si>
    <t>WP-01403</t>
  </si>
  <si>
    <t>WP-01404</t>
  </si>
  <si>
    <t>WP-01405</t>
  </si>
  <si>
    <t>WP-01406</t>
  </si>
  <si>
    <t>WP-01407</t>
  </si>
  <si>
    <t>WP-01408</t>
  </si>
  <si>
    <t>WP-01409</t>
  </si>
  <si>
    <t>WP-01410</t>
  </si>
  <si>
    <t>WP-01411</t>
  </si>
  <si>
    <t>WP-01412</t>
  </si>
  <si>
    <t>WP-01413</t>
  </si>
  <si>
    <t>WP-01414</t>
  </si>
  <si>
    <t>WP-01415</t>
  </si>
  <si>
    <t>WP-01416</t>
  </si>
  <si>
    <t>WP-01417</t>
  </si>
  <si>
    <t>WP-01418</t>
  </si>
  <si>
    <t>WP-01419</t>
  </si>
  <si>
    <t>WP-01420</t>
  </si>
  <si>
    <t>WP-01421</t>
  </si>
  <si>
    <t>WP-01422</t>
  </si>
  <si>
    <t>WP-01423</t>
  </si>
  <si>
    <t>WP-01424</t>
  </si>
  <si>
    <t>WP-01425</t>
  </si>
  <si>
    <t>WP-01426</t>
  </si>
  <si>
    <t>WP-01427</t>
  </si>
  <si>
    <t>WP-01428</t>
  </si>
  <si>
    <t>WP-01429</t>
  </si>
  <si>
    <t>WP-01430</t>
  </si>
  <si>
    <t>WP-01431</t>
  </si>
  <si>
    <t>WP-01432</t>
  </si>
  <si>
    <t>WP-01433</t>
  </si>
  <si>
    <t>WP-01434</t>
  </si>
  <si>
    <t>WP-01435</t>
  </si>
  <si>
    <t>WP-01436</t>
  </si>
  <si>
    <t>WP-01437</t>
  </si>
  <si>
    <t>WP-01438</t>
  </si>
  <si>
    <t>WP-01439</t>
  </si>
  <si>
    <t>WP-01440</t>
  </si>
  <si>
    <t>WP-01441</t>
  </si>
  <si>
    <t>WP-01442</t>
  </si>
  <si>
    <t>WP-01443</t>
  </si>
  <si>
    <t>WP-01444</t>
  </si>
  <si>
    <t>WP-01445</t>
  </si>
  <si>
    <t>WP-01446</t>
  </si>
  <si>
    <t>WP-01447</t>
  </si>
  <si>
    <t>WP-01448</t>
  </si>
  <si>
    <t>WP-01449</t>
  </si>
  <si>
    <t>WP-01450</t>
  </si>
  <si>
    <t>WP-01451</t>
  </si>
  <si>
    <t>WP-01452</t>
  </si>
  <si>
    <t>WP-01453</t>
  </si>
  <si>
    <t>WP-01454</t>
  </si>
  <si>
    <t>WP-01455</t>
  </si>
  <si>
    <t>WP-01456</t>
  </si>
  <si>
    <t>WP-01457</t>
  </si>
  <si>
    <t>WP-01458</t>
  </si>
  <si>
    <t>WP-01459</t>
  </si>
  <si>
    <t>WP-01460</t>
  </si>
  <si>
    <t>WP-01461</t>
  </si>
  <si>
    <t>WP-01462</t>
  </si>
  <si>
    <t>WP-01463</t>
  </si>
  <si>
    <t>WP-01464</t>
  </si>
  <si>
    <t>WP-01465</t>
  </si>
  <si>
    <t>WP-01466</t>
  </si>
  <si>
    <t>WP-01467</t>
  </si>
  <si>
    <t>WP-01468</t>
  </si>
  <si>
    <t>WP-01469</t>
  </si>
  <si>
    <t>WP-01470</t>
  </si>
  <si>
    <t>WP-01471</t>
  </si>
  <si>
    <t>WP-01472</t>
  </si>
  <si>
    <t>WP-01473</t>
  </si>
  <si>
    <t>WP-01474</t>
  </si>
  <si>
    <t>WP-01475</t>
  </si>
  <si>
    <t>WP-01476</t>
  </si>
  <si>
    <t>WP-01477</t>
  </si>
  <si>
    <t>WP-01478</t>
  </si>
  <si>
    <t>WP-01479</t>
  </si>
  <si>
    <t>WP-01480</t>
  </si>
  <si>
    <t>WP-01481</t>
  </si>
  <si>
    <t>WP-01482</t>
  </si>
  <si>
    <t>WP-01483</t>
  </si>
  <si>
    <t>WP-01484</t>
  </si>
  <si>
    <t>WP-01485</t>
  </si>
  <si>
    <t>WP-01486</t>
  </si>
  <si>
    <t>WP-01487</t>
  </si>
  <si>
    <t>WP-01488</t>
  </si>
  <si>
    <t>WP-01489</t>
  </si>
  <si>
    <t>WP-01490</t>
  </si>
  <si>
    <t>WP-01491</t>
  </si>
  <si>
    <t>WP-01492</t>
  </si>
  <si>
    <t>WP-01493</t>
  </si>
  <si>
    <t>WP-01494</t>
  </si>
  <si>
    <t>WP-01495</t>
  </si>
  <si>
    <t>WP-01496</t>
  </si>
  <si>
    <t>WP-01497</t>
  </si>
  <si>
    <t>WP-01498</t>
  </si>
  <si>
    <t>WP-01499</t>
  </si>
  <si>
    <t>WP-01500</t>
  </si>
  <si>
    <t>WP-01501</t>
  </si>
  <si>
    <t>WP-01502</t>
  </si>
  <si>
    <t>WP-01503</t>
  </si>
  <si>
    <t>WP-01504</t>
  </si>
  <si>
    <t>WP-01505</t>
  </si>
  <si>
    <t>WP-01506</t>
  </si>
  <si>
    <t>WP-01507</t>
  </si>
  <si>
    <t>WP-01508</t>
  </si>
  <si>
    <t>WP-01509</t>
  </si>
  <si>
    <t>WP-01510</t>
  </si>
  <si>
    <t>WP-01511</t>
  </si>
  <si>
    <t>WP-01512</t>
  </si>
  <si>
    <t>WP-01513</t>
  </si>
  <si>
    <t>WP-01514</t>
  </si>
  <si>
    <t>WP-01515</t>
  </si>
  <si>
    <t>WP-01516</t>
  </si>
  <si>
    <t>WP-01517</t>
  </si>
  <si>
    <t>WP-01518</t>
  </si>
  <si>
    <t>WP-01519</t>
  </si>
  <si>
    <t>WP-01520</t>
  </si>
  <si>
    <t>WP-01521</t>
  </si>
  <si>
    <t>WP-01522</t>
  </si>
  <si>
    <t>WP-01523</t>
  </si>
  <si>
    <t>WP-01524</t>
  </si>
  <si>
    <t>WP-01525</t>
  </si>
  <si>
    <t>WP-01526</t>
  </si>
  <si>
    <t>WP-01527</t>
  </si>
  <si>
    <t>WP-01528</t>
  </si>
  <si>
    <t>WP-01529</t>
  </si>
  <si>
    <t>WP-01530</t>
  </si>
  <si>
    <t>WP-01531</t>
  </si>
  <si>
    <t>WP-01532</t>
  </si>
  <si>
    <t>WP-01533</t>
  </si>
  <si>
    <t>WP-01534</t>
  </si>
  <si>
    <t>WP-01535</t>
  </si>
  <si>
    <t>WP-01536</t>
  </si>
  <si>
    <t>WP-01537</t>
  </si>
  <si>
    <t>WP-01538</t>
  </si>
  <si>
    <t>WP-01539</t>
  </si>
  <si>
    <t>WP-01540</t>
  </si>
  <si>
    <t>WP-01541</t>
  </si>
  <si>
    <t>WP-01542</t>
  </si>
  <si>
    <t>WP-01543</t>
  </si>
  <si>
    <t>WP-01544</t>
  </si>
  <si>
    <t>WP-01545</t>
  </si>
  <si>
    <t>WP-01546</t>
  </si>
  <si>
    <t>WP-01547</t>
  </si>
  <si>
    <t>WP-01548</t>
  </si>
  <si>
    <t>WP-01549</t>
  </si>
  <si>
    <t>WP-01550</t>
  </si>
  <si>
    <t>WP-01551</t>
  </si>
  <si>
    <t>WP-01552</t>
  </si>
  <si>
    <t>WP-01553</t>
  </si>
  <si>
    <t>WP-01554</t>
  </si>
  <si>
    <t>WP-01555</t>
  </si>
  <si>
    <t>WP-01556</t>
  </si>
  <si>
    <t>WP-01557</t>
  </si>
  <si>
    <t>WP-01558</t>
  </si>
  <si>
    <t>WP-01559</t>
  </si>
  <si>
    <t>WP-01560</t>
  </si>
  <si>
    <t>WP-01561</t>
  </si>
  <si>
    <t>WP-01562</t>
  </si>
  <si>
    <t>WP-01563</t>
  </si>
  <si>
    <t>WP-01564</t>
  </si>
  <si>
    <t>WP-01565</t>
  </si>
  <si>
    <t>WP-01566</t>
  </si>
  <si>
    <t>WP-01567</t>
  </si>
  <si>
    <t>WP-01568</t>
  </si>
  <si>
    <t>WP-01569</t>
  </si>
  <si>
    <t>WP-01570</t>
  </si>
  <si>
    <t>WP-01571</t>
  </si>
  <si>
    <t>WP-01572</t>
  </si>
  <si>
    <t>WP-01573</t>
  </si>
  <si>
    <t>WP-01574</t>
  </si>
  <si>
    <t>WP-01575</t>
  </si>
  <si>
    <t>WP-01576</t>
  </si>
  <si>
    <t>WP-01577</t>
  </si>
  <si>
    <t>WP-01578</t>
  </si>
  <si>
    <t>WP-01579</t>
  </si>
  <si>
    <t>WP-01580</t>
  </si>
  <si>
    <t>WP-01581</t>
  </si>
  <si>
    <t>WP-01582</t>
  </si>
  <si>
    <t>WP-01583</t>
  </si>
  <si>
    <t>WP-01584</t>
  </si>
  <si>
    <t>WP-01585</t>
  </si>
  <si>
    <t>WP-01586</t>
  </si>
  <si>
    <t>WP-01587</t>
  </si>
  <si>
    <t>WP-01588</t>
  </si>
  <si>
    <t>WP-01589</t>
  </si>
  <si>
    <t>WP-01590</t>
  </si>
  <si>
    <t>WP-01591</t>
  </si>
  <si>
    <t>WP-01592</t>
  </si>
  <si>
    <t>WP-01593</t>
  </si>
  <si>
    <t>WP-01594</t>
  </si>
  <si>
    <t>WP-01595</t>
  </si>
  <si>
    <t>WP-01596</t>
  </si>
  <si>
    <t>WP-01597</t>
  </si>
  <si>
    <t>WP-01598</t>
  </si>
  <si>
    <t>WP-01599</t>
  </si>
  <si>
    <t>2025-04-13</t>
  </si>
  <si>
    <t>WP-01600</t>
  </si>
  <si>
    <t>WP-01601</t>
  </si>
  <si>
    <t>WP-01602</t>
  </si>
  <si>
    <t>WP-01603</t>
  </si>
  <si>
    <t>WP-01604</t>
  </si>
  <si>
    <t>WP-01605</t>
  </si>
  <si>
    <t>WP-01606</t>
  </si>
  <si>
    <t>WP-01607</t>
  </si>
  <si>
    <t>WP-01608</t>
  </si>
  <si>
    <t>WP-01609</t>
  </si>
  <si>
    <t>WP-01610</t>
  </si>
  <si>
    <t>WP-01611</t>
  </si>
  <si>
    <t>WP-01612</t>
  </si>
  <si>
    <t>WP-01613</t>
  </si>
  <si>
    <t>WP-01614</t>
  </si>
  <si>
    <t>WP-01615</t>
  </si>
  <si>
    <t>WP-01616</t>
  </si>
  <si>
    <t>WP-01617</t>
  </si>
  <si>
    <t>WP-01618</t>
  </si>
  <si>
    <t>WP-01619</t>
  </si>
  <si>
    <t>WP-01620</t>
  </si>
  <si>
    <t>WP-01621</t>
  </si>
  <si>
    <t>WP-01622</t>
  </si>
  <si>
    <t>WP-01623</t>
  </si>
  <si>
    <t>WP-01624</t>
  </si>
  <si>
    <t>WP-01625</t>
  </si>
  <si>
    <t>WP-01626</t>
  </si>
  <si>
    <t>WP-01627</t>
  </si>
  <si>
    <t>WP-01628</t>
  </si>
  <si>
    <t>WP-01629</t>
  </si>
  <si>
    <t>WP-01630</t>
  </si>
  <si>
    <t>WP-01631</t>
  </si>
  <si>
    <t>WP-01632</t>
  </si>
  <si>
    <t>WP-01633</t>
  </si>
  <si>
    <t>WP-01634</t>
  </si>
  <si>
    <t>WP-01635</t>
  </si>
  <si>
    <t>WP-01636</t>
  </si>
  <si>
    <t>WP-01637</t>
  </si>
  <si>
    <t>WP-01638</t>
  </si>
  <si>
    <t>WP-01639</t>
  </si>
  <si>
    <t>WP-01640</t>
  </si>
  <si>
    <t>WP-01641</t>
  </si>
  <si>
    <t>WP-01642</t>
  </si>
  <si>
    <t>WP-01643</t>
  </si>
  <si>
    <t>WP-01644</t>
  </si>
  <si>
    <t>WP-01645</t>
  </si>
  <si>
    <t>WP-01646</t>
  </si>
  <si>
    <t>WP-01647</t>
  </si>
  <si>
    <t>WP-01648</t>
  </si>
  <si>
    <t>WP-01649</t>
  </si>
  <si>
    <t>WP-01650</t>
  </si>
  <si>
    <t>WP-01651</t>
  </si>
  <si>
    <t>WP-01652</t>
  </si>
  <si>
    <t>WP-01653</t>
  </si>
  <si>
    <t>WP-01654</t>
  </si>
  <si>
    <t>WP-01655</t>
  </si>
  <si>
    <t>WP-01656</t>
  </si>
  <si>
    <t>WP-01657</t>
  </si>
  <si>
    <t>WP-01658</t>
  </si>
  <si>
    <t>WP-01659</t>
  </si>
  <si>
    <t>WP-01660</t>
  </si>
  <si>
    <t>WP-01661</t>
  </si>
  <si>
    <t>WP-01662</t>
  </si>
  <si>
    <t>WP-01663</t>
  </si>
  <si>
    <t>WP-01664</t>
  </si>
  <si>
    <t>WP-01665</t>
  </si>
  <si>
    <t>WP-01666</t>
  </si>
  <si>
    <t>WP-01667</t>
  </si>
  <si>
    <t>WP-01668</t>
  </si>
  <si>
    <t>WP-01669</t>
  </si>
  <si>
    <t>WP-01670</t>
  </si>
  <si>
    <t>WP-01671</t>
  </si>
  <si>
    <t>WP-01672</t>
  </si>
  <si>
    <t>WP-01673</t>
  </si>
  <si>
    <t>WP-01674</t>
  </si>
  <si>
    <t>WP-01675</t>
  </si>
  <si>
    <t>WP-01676</t>
  </si>
  <si>
    <t>WP-01677</t>
  </si>
  <si>
    <t>WP-01678</t>
  </si>
  <si>
    <t>WP-01679</t>
  </si>
  <si>
    <t>WP-01680</t>
  </si>
  <si>
    <t>WP-01681</t>
  </si>
  <si>
    <t>WP-01682</t>
  </si>
  <si>
    <t>WP-01683</t>
  </si>
  <si>
    <t>WP-01684</t>
  </si>
  <si>
    <t>WP-01685</t>
  </si>
  <si>
    <t>WP-01686</t>
  </si>
  <si>
    <t>WP-01687</t>
  </si>
  <si>
    <t>WP-01688</t>
  </si>
  <si>
    <t>WP-01689</t>
  </si>
  <si>
    <t>WP-01690</t>
  </si>
  <si>
    <t>WP-01691</t>
  </si>
  <si>
    <t>WP-01692</t>
  </si>
  <si>
    <t>WP-01693</t>
  </si>
  <si>
    <t>WP-01694</t>
  </si>
  <si>
    <t>WP-01695</t>
  </si>
  <si>
    <t>WP-01696</t>
  </si>
  <si>
    <t>WP-01697</t>
  </si>
  <si>
    <t>WP-01698</t>
  </si>
  <si>
    <t>WP-01699</t>
  </si>
  <si>
    <t>WP-01700</t>
  </si>
  <si>
    <t>WP-01701</t>
  </si>
  <si>
    <t>WP-01702</t>
  </si>
  <si>
    <t>WP-01703</t>
  </si>
  <si>
    <t>WP-01704</t>
  </si>
  <si>
    <t>WP-01705</t>
  </si>
  <si>
    <t>WP-01706</t>
  </si>
  <si>
    <t>WP-01707</t>
  </si>
  <si>
    <t>2026-02-16</t>
  </si>
  <si>
    <t>WP-01708</t>
  </si>
  <si>
    <t>WP-01709</t>
  </si>
  <si>
    <t>WP-01710</t>
  </si>
  <si>
    <t>WP-01711</t>
  </si>
  <si>
    <t>WP-01712</t>
  </si>
  <si>
    <t>WP-01713</t>
  </si>
  <si>
    <t>WP-01714</t>
  </si>
  <si>
    <t>WP-01715</t>
  </si>
  <si>
    <t>WP-01716</t>
  </si>
  <si>
    <t>WP-01717</t>
  </si>
  <si>
    <t>WP-01718</t>
  </si>
  <si>
    <t>WP-01719</t>
  </si>
  <si>
    <t>WP-01720</t>
  </si>
  <si>
    <t>WP-01721</t>
  </si>
  <si>
    <t>WP-01722</t>
  </si>
  <si>
    <t>WP-01723</t>
  </si>
  <si>
    <t>WP-01724</t>
  </si>
  <si>
    <t>WP-01725</t>
  </si>
  <si>
    <t>WP-01726</t>
  </si>
  <si>
    <t>WP-01727</t>
  </si>
  <si>
    <t>WP-01728</t>
  </si>
  <si>
    <t>WP-01729</t>
  </si>
  <si>
    <t>WP-01730</t>
  </si>
  <si>
    <t>WP-01731</t>
  </si>
  <si>
    <t>WP-01732</t>
  </si>
  <si>
    <t>WP-01733</t>
  </si>
  <si>
    <t>WP-01734</t>
  </si>
  <si>
    <t>WP-01735</t>
  </si>
  <si>
    <t>WP-01736</t>
  </si>
  <si>
    <t>WP-01737</t>
  </si>
  <si>
    <t>WP-01738</t>
  </si>
  <si>
    <t>WP-01739</t>
  </si>
  <si>
    <t>WP-01740</t>
  </si>
  <si>
    <t>WP-01741</t>
  </si>
  <si>
    <t>WP-01742</t>
  </si>
  <si>
    <t>WP-01743</t>
  </si>
  <si>
    <t>WP-01744</t>
  </si>
  <si>
    <t>WP-01745</t>
  </si>
  <si>
    <t>WP-01746</t>
  </si>
  <si>
    <t>WP-01747</t>
  </si>
  <si>
    <t>WP-01748</t>
  </si>
  <si>
    <t>WP-01749</t>
  </si>
  <si>
    <t>WP-01750</t>
  </si>
  <si>
    <t>WP-01751</t>
  </si>
  <si>
    <t>WP-01752</t>
  </si>
  <si>
    <t>WP-01753</t>
  </si>
  <si>
    <t>WP-01754</t>
  </si>
  <si>
    <t>WP-01755</t>
  </si>
  <si>
    <t>WP-01756</t>
  </si>
  <si>
    <t>WP-01757</t>
  </si>
  <si>
    <t>WP-01758</t>
  </si>
  <si>
    <t>WP-01759</t>
  </si>
  <si>
    <t>WP-01760</t>
  </si>
  <si>
    <t>WP-01761</t>
  </si>
  <si>
    <t>WP-01762</t>
  </si>
  <si>
    <t>WP-01763</t>
  </si>
  <si>
    <t>WP-01764</t>
  </si>
  <si>
    <t>WP-01765</t>
  </si>
  <si>
    <t>WP-01766</t>
  </si>
  <si>
    <t>WP-01767</t>
  </si>
  <si>
    <t>WP-01768</t>
  </si>
  <si>
    <t>WP-01769</t>
  </si>
  <si>
    <t>WP-01770</t>
  </si>
  <si>
    <t>WP-01771</t>
  </si>
  <si>
    <t>WP-01772</t>
  </si>
  <si>
    <t>WP-01773</t>
  </si>
  <si>
    <t>WP-01774</t>
  </si>
  <si>
    <t>WP-01775</t>
  </si>
  <si>
    <t>WP-01776</t>
  </si>
  <si>
    <t>WP-01777</t>
  </si>
  <si>
    <t>WP-01778</t>
  </si>
  <si>
    <t>WP-01779</t>
  </si>
  <si>
    <t>WP-01780</t>
  </si>
  <si>
    <t>WP-01781</t>
  </si>
  <si>
    <t>WP-01782</t>
  </si>
  <si>
    <t>WP-01783</t>
  </si>
  <si>
    <t>WP-01784</t>
  </si>
  <si>
    <t>WP-01785</t>
  </si>
  <si>
    <t>WP-01786</t>
  </si>
  <si>
    <t>WP-01787</t>
  </si>
  <si>
    <t>WP-01788</t>
  </si>
  <si>
    <t>WP-01789</t>
  </si>
  <si>
    <t>WP-01790</t>
  </si>
  <si>
    <t>WP-01791</t>
  </si>
  <si>
    <t>WP-01792</t>
  </si>
  <si>
    <t>WP-01793</t>
  </si>
  <si>
    <t>WP-01794</t>
  </si>
  <si>
    <t>WP-01795</t>
  </si>
  <si>
    <t>WP-01796</t>
  </si>
  <si>
    <t>WP-01797</t>
  </si>
  <si>
    <t>WP-01798</t>
  </si>
  <si>
    <t>WP-01799</t>
  </si>
  <si>
    <t>WP-01800</t>
  </si>
  <si>
    <t>WP-01801</t>
  </si>
  <si>
    <t>WP-01802</t>
  </si>
  <si>
    <t>WP-01803</t>
  </si>
  <si>
    <t>WP-01804</t>
  </si>
  <si>
    <t>WP-01805</t>
  </si>
  <si>
    <t>WP-01806</t>
  </si>
  <si>
    <t>WP-01807</t>
  </si>
  <si>
    <t>WP-01808</t>
  </si>
  <si>
    <t>WP-01809</t>
  </si>
  <si>
    <t>WP-01810</t>
  </si>
  <si>
    <t>WP-01811</t>
  </si>
  <si>
    <t>WP-01812</t>
  </si>
  <si>
    <t>WP-01813</t>
  </si>
  <si>
    <t>WP-01814</t>
  </si>
  <si>
    <t>WP-01815</t>
  </si>
  <si>
    <t>WP-01816</t>
  </si>
  <si>
    <t>WP-01817</t>
  </si>
  <si>
    <t>WP-01818</t>
  </si>
  <si>
    <t>WP-01819</t>
  </si>
  <si>
    <t>WP-01820</t>
  </si>
  <si>
    <t>WP-01821</t>
  </si>
  <si>
    <t>WP-01822</t>
  </si>
  <si>
    <t>WP-01823</t>
  </si>
  <si>
    <t>WP-01824</t>
  </si>
  <si>
    <t>WP-01825</t>
  </si>
  <si>
    <t>WP-01826</t>
  </si>
  <si>
    <t>WP-01827</t>
  </si>
  <si>
    <t>WP-01828</t>
  </si>
  <si>
    <t>WP-01829</t>
  </si>
  <si>
    <t>WP-01830</t>
  </si>
  <si>
    <t>WP-01831</t>
  </si>
  <si>
    <t>WP-01832</t>
  </si>
  <si>
    <t>2024-06-07</t>
  </si>
  <si>
    <t>WP-01833</t>
  </si>
  <si>
    <t>WP-01834</t>
  </si>
  <si>
    <t>WP-01835</t>
  </si>
  <si>
    <t>WP-01836</t>
  </si>
  <si>
    <t>WP-01837</t>
  </si>
  <si>
    <t>WP-01838</t>
  </si>
  <si>
    <t>WP-01839</t>
  </si>
  <si>
    <t>WP-01840</t>
  </si>
  <si>
    <t>WP-01841</t>
  </si>
  <si>
    <t>WP-01842</t>
  </si>
  <si>
    <t>WP-01843</t>
  </si>
  <si>
    <t>WP-01844</t>
  </si>
  <si>
    <t>WP-01845</t>
  </si>
  <si>
    <t>WP-01846</t>
  </si>
  <si>
    <t>WP-01847</t>
  </si>
  <si>
    <t>WP-01848</t>
  </si>
  <si>
    <t>WP-01849</t>
  </si>
  <si>
    <t>WP-01850</t>
  </si>
  <si>
    <t>WP-01851</t>
  </si>
  <si>
    <t>WP-01852</t>
  </si>
  <si>
    <t>WP-01853</t>
  </si>
  <si>
    <t>WP-01854</t>
  </si>
  <si>
    <t>WP-01855</t>
  </si>
  <si>
    <t>WP-01856</t>
  </si>
  <si>
    <t>WP-01857</t>
  </si>
  <si>
    <t>WP-01858</t>
  </si>
  <si>
    <t>WP-01859</t>
  </si>
  <si>
    <t>WP-01860</t>
  </si>
  <si>
    <t>WP-01861</t>
  </si>
  <si>
    <t>WP-01862</t>
  </si>
  <si>
    <t>WP-01863</t>
  </si>
  <si>
    <t>WP-01864</t>
  </si>
  <si>
    <t>WP-01865</t>
  </si>
  <si>
    <t>WP-01866</t>
  </si>
  <si>
    <t>WP-01867</t>
  </si>
  <si>
    <t>WP-01868</t>
  </si>
  <si>
    <t>WP-01869</t>
  </si>
  <si>
    <t>WP-01870</t>
  </si>
  <si>
    <t>WP-01871</t>
  </si>
  <si>
    <t>WP-01872</t>
  </si>
  <si>
    <t>WP-01873</t>
  </si>
  <si>
    <t>WP-01874</t>
  </si>
  <si>
    <t>WP-01875</t>
  </si>
  <si>
    <t>WP-01876</t>
  </si>
  <si>
    <t>WP-01877</t>
  </si>
  <si>
    <t>WP-01878</t>
  </si>
  <si>
    <t>WP-01879</t>
  </si>
  <si>
    <t>WP-01880</t>
  </si>
  <si>
    <t>WP-01881</t>
  </si>
  <si>
    <t>WP-01882</t>
  </si>
  <si>
    <t>WP-01883</t>
  </si>
  <si>
    <t>WP-01884</t>
  </si>
  <si>
    <t>WP-01885</t>
  </si>
  <si>
    <t>WP-01886</t>
  </si>
  <si>
    <t>WP-01887</t>
  </si>
  <si>
    <t>WP-01888</t>
  </si>
  <si>
    <t>WP-01889</t>
  </si>
  <si>
    <t>WP-01890</t>
  </si>
  <si>
    <t>WP-01891</t>
  </si>
  <si>
    <t>WP-01892</t>
  </si>
  <si>
    <t>WP-01893</t>
  </si>
  <si>
    <t>WP-01894</t>
  </si>
  <si>
    <t>WP-01895</t>
  </si>
  <si>
    <t>WP-01896</t>
  </si>
  <si>
    <t>WP-01897</t>
  </si>
  <si>
    <t>WP-01898</t>
  </si>
  <si>
    <t>WP-01899</t>
  </si>
  <si>
    <t>WP-01900</t>
  </si>
  <si>
    <t>WP-01901</t>
  </si>
  <si>
    <t>WP-01902</t>
  </si>
  <si>
    <t>WP-01903</t>
  </si>
  <si>
    <t>WP-01904</t>
  </si>
  <si>
    <t>WP-01905</t>
  </si>
  <si>
    <t>WP-01906</t>
  </si>
  <si>
    <t>WP-01907</t>
  </si>
  <si>
    <t>WP-01908</t>
  </si>
  <si>
    <t>WP-01909</t>
  </si>
  <si>
    <t>WP-01910</t>
  </si>
  <si>
    <t>WP-01911</t>
  </si>
  <si>
    <t>WP-01912</t>
  </si>
  <si>
    <t>WP-01913</t>
  </si>
  <si>
    <t>WP-01914</t>
  </si>
  <si>
    <t>WP-01915</t>
  </si>
  <si>
    <t>WP-01916</t>
  </si>
  <si>
    <t>WP-01917</t>
  </si>
  <si>
    <t>WP-01918</t>
  </si>
  <si>
    <t>WP-01919</t>
  </si>
  <si>
    <t>WP-01920</t>
  </si>
  <si>
    <t>WP-01921</t>
  </si>
  <si>
    <t>WP-01922</t>
  </si>
  <si>
    <t>WP-01923</t>
  </si>
  <si>
    <t>WP-01924</t>
  </si>
  <si>
    <t>WP-01925</t>
  </si>
  <si>
    <t>WP-01926</t>
  </si>
  <si>
    <t>WP-01927</t>
  </si>
  <si>
    <t>WP-01928</t>
  </si>
  <si>
    <t>WP-01929</t>
  </si>
  <si>
    <t>WP-01930</t>
  </si>
  <si>
    <t>WP-01931</t>
  </si>
  <si>
    <t>WP-01932</t>
  </si>
  <si>
    <t>WP-01933</t>
  </si>
  <si>
    <t>WP-01934</t>
  </si>
  <si>
    <t>WP-01935</t>
  </si>
  <si>
    <t>WP-01936</t>
  </si>
  <si>
    <t>WP-01937</t>
  </si>
  <si>
    <t>WP-01938</t>
  </si>
  <si>
    <t>WP-01939</t>
  </si>
  <si>
    <t>WP-01940</t>
  </si>
  <si>
    <t>WP-01941</t>
  </si>
  <si>
    <t>WP-01942</t>
  </si>
  <si>
    <t>WP-01943</t>
  </si>
  <si>
    <t>WP-01944</t>
  </si>
  <si>
    <t>WP-01945</t>
  </si>
  <si>
    <t>WP-01946</t>
  </si>
  <si>
    <t>WP-01947</t>
  </si>
  <si>
    <t>WP-01948</t>
  </si>
  <si>
    <t>WP-01949</t>
  </si>
  <si>
    <t>WP-01950</t>
  </si>
  <si>
    <t>WP-01951</t>
  </si>
  <si>
    <t>WP-01952</t>
  </si>
  <si>
    <t>WP-01953</t>
  </si>
  <si>
    <t>WP-01954</t>
  </si>
  <si>
    <t>WP-01955</t>
  </si>
  <si>
    <t>WP-01956</t>
  </si>
  <si>
    <t>WP-01957</t>
  </si>
  <si>
    <t>WP-01958</t>
  </si>
  <si>
    <t>WP-01959</t>
  </si>
  <si>
    <t>WP-01960</t>
  </si>
  <si>
    <t>WP-01961</t>
  </si>
  <si>
    <t>WP-01962</t>
  </si>
  <si>
    <t>WP-01963</t>
  </si>
  <si>
    <t>WP-01964</t>
  </si>
  <si>
    <t>WP-01965</t>
  </si>
  <si>
    <t>WP-01966</t>
  </si>
  <si>
    <t>WP-01967</t>
  </si>
  <si>
    <t>WP-01968</t>
  </si>
  <si>
    <t>WP-01969</t>
  </si>
  <si>
    <t>WP-01970</t>
  </si>
  <si>
    <t>WP-01971</t>
  </si>
  <si>
    <t>WP-01972</t>
  </si>
  <si>
    <t>WP-01973</t>
  </si>
  <si>
    <t>WP-01974</t>
  </si>
  <si>
    <t>WP-01975</t>
  </si>
  <si>
    <t>WP-01976</t>
  </si>
  <si>
    <t>WP-01977</t>
  </si>
  <si>
    <t>WP-01978</t>
  </si>
  <si>
    <t>WP-01979</t>
  </si>
  <si>
    <t>WP-01980</t>
  </si>
  <si>
    <t>WP-01981</t>
  </si>
  <si>
    <t>WP-01982</t>
  </si>
  <si>
    <t>WP-01983</t>
  </si>
  <si>
    <t>WP-01984</t>
  </si>
  <si>
    <t>WP-01985</t>
  </si>
  <si>
    <t>WP-01986</t>
  </si>
  <si>
    <t>WP-01987</t>
  </si>
  <si>
    <t>WP-01988</t>
  </si>
  <si>
    <t>WP-01989</t>
  </si>
  <si>
    <t>WP-01990</t>
  </si>
  <si>
    <t>WP-01991</t>
  </si>
  <si>
    <t>WP-01992</t>
  </si>
  <si>
    <t>WP-01993</t>
  </si>
  <si>
    <t>WP-01994</t>
  </si>
  <si>
    <t>WP-01995</t>
  </si>
  <si>
    <t>WP-01996</t>
  </si>
  <si>
    <t>WP-01997</t>
  </si>
  <si>
    <t>WP-01998</t>
  </si>
  <si>
    <t>WP-01999</t>
  </si>
  <si>
    <t>WP-02000</t>
  </si>
  <si>
    <t>WP-02001</t>
  </si>
  <si>
    <t>WP-02002</t>
  </si>
  <si>
    <t>WP-02003</t>
  </si>
  <si>
    <t>WP-02004</t>
  </si>
  <si>
    <t>WP-02005</t>
  </si>
  <si>
    <t>WP-02006</t>
  </si>
  <si>
    <t>WP-02007</t>
  </si>
  <si>
    <t>WP-02008</t>
  </si>
  <si>
    <t>WP-02009</t>
  </si>
  <si>
    <t>WP-02010</t>
  </si>
  <si>
    <t>WP-02011</t>
  </si>
  <si>
    <t>WP-02012</t>
  </si>
  <si>
    <t>WP-02013</t>
  </si>
  <si>
    <t>WP-02014</t>
  </si>
  <si>
    <t>WP-02015</t>
  </si>
  <si>
    <t>WP-02016</t>
  </si>
  <si>
    <t>WP-02017</t>
  </si>
  <si>
    <t>WP-02018</t>
  </si>
  <si>
    <t>WP-02019</t>
  </si>
  <si>
    <t>WP-02020</t>
  </si>
  <si>
    <t>WP-02021</t>
  </si>
  <si>
    <t>WP-02022</t>
  </si>
  <si>
    <t>WP-02023</t>
  </si>
  <si>
    <t>WP-02024</t>
  </si>
  <si>
    <t>WP-02025</t>
  </si>
  <si>
    <t>WP-02026</t>
  </si>
  <si>
    <t>WP-02027</t>
  </si>
  <si>
    <t>WP-02028</t>
  </si>
  <si>
    <t>WP-02029</t>
  </si>
  <si>
    <t>WP-02030</t>
  </si>
  <si>
    <t>WP-02031</t>
  </si>
  <si>
    <t>WP-02032</t>
  </si>
  <si>
    <t>WP-02033</t>
  </si>
  <si>
    <t>WP-02034</t>
  </si>
  <si>
    <t>WP-02035</t>
  </si>
  <si>
    <t>WP-02036</t>
  </si>
  <si>
    <t>WP-02037</t>
  </si>
  <si>
    <t>WP-02038</t>
  </si>
  <si>
    <t>WP-02039</t>
  </si>
  <si>
    <t>WP-02040</t>
  </si>
  <si>
    <t>WP-02041</t>
  </si>
  <si>
    <t>WP-02042</t>
  </si>
  <si>
    <t>WP-02043</t>
  </si>
  <si>
    <t>WP-02044</t>
  </si>
  <si>
    <t>WP-02045</t>
  </si>
  <si>
    <t>WP-02046</t>
  </si>
  <si>
    <t>WP-02047</t>
  </si>
  <si>
    <t>WP-02048</t>
  </si>
  <si>
    <t>WP-02049</t>
  </si>
  <si>
    <t>WP-02050</t>
  </si>
  <si>
    <t>WP-02051</t>
  </si>
  <si>
    <t>WP-02052</t>
  </si>
  <si>
    <t>WP-02053</t>
  </si>
  <si>
    <t>WP-02054</t>
  </si>
  <si>
    <t>WP-02055</t>
  </si>
  <si>
    <t>WP-02056</t>
  </si>
  <si>
    <t>WP-02057</t>
  </si>
  <si>
    <t>WP-02058</t>
  </si>
  <si>
    <t>WP-02059</t>
  </si>
  <si>
    <t>WP-02060</t>
  </si>
  <si>
    <t>WP-02061</t>
  </si>
  <si>
    <t>WP-02062</t>
  </si>
  <si>
    <t>WP-02063</t>
  </si>
  <si>
    <t>WP-02064</t>
  </si>
  <si>
    <t>WP-02065</t>
  </si>
  <si>
    <t>WP-02066</t>
  </si>
  <si>
    <t>WP-02067</t>
  </si>
  <si>
    <t>WP-02068</t>
  </si>
  <si>
    <t>WP-02069</t>
  </si>
  <si>
    <t>WP-02070</t>
  </si>
  <si>
    <t>WP-02071</t>
  </si>
  <si>
    <t>WP-02072</t>
  </si>
  <si>
    <t>WP-02073</t>
  </si>
  <si>
    <t>WP-02074</t>
  </si>
  <si>
    <t>WP-02075</t>
  </si>
  <si>
    <t>WP-02076</t>
  </si>
  <si>
    <t>WP-02077</t>
  </si>
  <si>
    <t>WP-02078</t>
  </si>
  <si>
    <t>WP-02079</t>
  </si>
  <si>
    <t>WP-02080</t>
  </si>
  <si>
    <t>WP-02081</t>
  </si>
  <si>
    <t>WP-02082</t>
  </si>
  <si>
    <t>WP-02083</t>
  </si>
  <si>
    <t>WP-02084</t>
  </si>
  <si>
    <t>WP-02085</t>
  </si>
  <si>
    <t>WP-02086</t>
  </si>
  <si>
    <t>WP-02087</t>
  </si>
  <si>
    <t>WP-02088</t>
  </si>
  <si>
    <t>WP-02089</t>
  </si>
  <si>
    <t>WP-02090</t>
  </si>
  <si>
    <t>WP-02091</t>
  </si>
  <si>
    <t>WP-02092</t>
  </si>
  <si>
    <t>2026-02-06</t>
  </si>
  <si>
    <t>WP-02093</t>
  </si>
  <si>
    <t>WP-02094</t>
  </si>
  <si>
    <t>WP-02095</t>
  </si>
  <si>
    <t>WP-02096</t>
  </si>
  <si>
    <t>WP-02097</t>
  </si>
  <si>
    <t>WP-02098</t>
  </si>
  <si>
    <t>WP-02099</t>
  </si>
  <si>
    <t>WP-02100</t>
  </si>
  <si>
    <t>WP-02101</t>
  </si>
  <si>
    <t>WP-02102</t>
  </si>
  <si>
    <t>WP-02103</t>
  </si>
  <si>
    <t>WP-02104</t>
  </si>
  <si>
    <t>WP-02105</t>
  </si>
  <si>
    <t>2026-02-12</t>
  </si>
  <si>
    <t>WP-02106</t>
  </si>
  <si>
    <t>WP-02107</t>
  </si>
  <si>
    <t>WP-02108</t>
  </si>
  <si>
    <t>WP-02109</t>
  </si>
  <si>
    <t>WP-02110</t>
  </si>
  <si>
    <t>WP-02111</t>
  </si>
  <si>
    <t>WP-02112</t>
  </si>
  <si>
    <t>WP-02113</t>
  </si>
  <si>
    <t>WP-02114</t>
  </si>
  <si>
    <t>WP-02115</t>
  </si>
  <si>
    <t>WP-02116</t>
  </si>
  <si>
    <t>WP-02117</t>
  </si>
  <si>
    <t>WP-02118</t>
  </si>
  <si>
    <t>WP-02119</t>
  </si>
  <si>
    <t>WP-02120</t>
  </si>
  <si>
    <t>WP-02121</t>
  </si>
  <si>
    <t>WP-02122</t>
  </si>
  <si>
    <t>WP-02123</t>
  </si>
  <si>
    <t>WP-02124</t>
  </si>
  <si>
    <t>WP-02125</t>
  </si>
  <si>
    <t>WP-02126</t>
  </si>
  <si>
    <t>2026-01-31</t>
  </si>
  <si>
    <t>WP-02127</t>
  </si>
  <si>
    <t>WP-02128</t>
  </si>
  <si>
    <t>WP-02129</t>
  </si>
  <si>
    <t>WP-02130</t>
  </si>
  <si>
    <t>WP-02131</t>
  </si>
  <si>
    <t>WP-02132</t>
  </si>
  <si>
    <t>WP-02133</t>
  </si>
  <si>
    <t>WP-02134</t>
  </si>
  <si>
    <t>WP-02135</t>
  </si>
  <si>
    <t>WP-02136</t>
  </si>
  <si>
    <t>WP-02137</t>
  </si>
  <si>
    <t>WP-02138</t>
  </si>
  <si>
    <t>WP-02139</t>
  </si>
  <si>
    <t>WP-02140</t>
  </si>
  <si>
    <t>WP-02141</t>
  </si>
  <si>
    <t>WP-02142</t>
  </si>
  <si>
    <t>WP-02143</t>
  </si>
  <si>
    <t>WP-02144</t>
  </si>
  <si>
    <t>WP-02145</t>
  </si>
  <si>
    <t>WP-02146</t>
  </si>
  <si>
    <t>2024-01-04</t>
  </si>
  <si>
    <t>WP-02147</t>
  </si>
  <si>
    <t>WP-02148</t>
  </si>
  <si>
    <t>WP-02149</t>
  </si>
  <si>
    <t>WP-02150</t>
  </si>
  <si>
    <t>WP-02151</t>
  </si>
  <si>
    <t>WP-02152</t>
  </si>
  <si>
    <t>WP-02153</t>
  </si>
  <si>
    <t>WP-02154</t>
  </si>
  <si>
    <t>WP-02155</t>
  </si>
  <si>
    <t>WP-02156</t>
  </si>
  <si>
    <t>WP-02157</t>
  </si>
  <si>
    <t>WP-02158</t>
  </si>
  <si>
    <t>WP-02159</t>
  </si>
  <si>
    <t>WP-02160</t>
  </si>
  <si>
    <t>2026-01-18</t>
  </si>
  <si>
    <t>WP-02161</t>
  </si>
  <si>
    <t>WP-02162</t>
  </si>
  <si>
    <t>WP-02163</t>
  </si>
  <si>
    <t>WP-02164</t>
  </si>
  <si>
    <t>WP-02165</t>
  </si>
  <si>
    <t>WP-02166</t>
  </si>
  <si>
    <t>WP-02167</t>
  </si>
  <si>
    <t>WP-02168</t>
  </si>
  <si>
    <t>WP-02169</t>
  </si>
  <si>
    <t>WP-02170</t>
  </si>
  <si>
    <t>WP-02171</t>
  </si>
  <si>
    <t>WP-02172</t>
  </si>
  <si>
    <t>WP-02173</t>
  </si>
  <si>
    <t>WP-02174</t>
  </si>
  <si>
    <t>WP-02175</t>
  </si>
  <si>
    <t>WP-02176</t>
  </si>
  <si>
    <t>WP-02177</t>
  </si>
  <si>
    <t>WP-02178</t>
  </si>
  <si>
    <t>WP-02179</t>
  </si>
  <si>
    <t>WP-02180</t>
  </si>
  <si>
    <t>WP-02181</t>
  </si>
  <si>
    <t>WP-02182</t>
  </si>
  <si>
    <t>WP-02183</t>
  </si>
  <si>
    <t>WP-02184</t>
  </si>
  <si>
    <t>WP-02185</t>
  </si>
  <si>
    <t>WP-02186</t>
  </si>
  <si>
    <t>WP-02187</t>
  </si>
  <si>
    <t>WP-02188</t>
  </si>
  <si>
    <t>WP-02189</t>
  </si>
  <si>
    <t>WP-02190</t>
  </si>
  <si>
    <t>WP-02191</t>
  </si>
  <si>
    <t>WP-02192</t>
  </si>
  <si>
    <t>WP-02193</t>
  </si>
  <si>
    <t>WP-02194</t>
  </si>
  <si>
    <t>WP-02195</t>
  </si>
  <si>
    <t>WP-02196</t>
  </si>
  <si>
    <t>WP-02197</t>
  </si>
  <si>
    <t>WP-02198</t>
  </si>
  <si>
    <t>WP-02199</t>
  </si>
  <si>
    <t>WP-02200</t>
  </si>
  <si>
    <t>WP-02201</t>
  </si>
  <si>
    <t>WP-02202</t>
  </si>
  <si>
    <t>WP-02203</t>
  </si>
  <si>
    <t>WP-02204</t>
  </si>
  <si>
    <t>WP-02205</t>
  </si>
  <si>
    <t>WP-02206</t>
  </si>
  <si>
    <t>WP-02207</t>
  </si>
  <si>
    <t>WP-02208</t>
  </si>
  <si>
    <t>WP-02209</t>
  </si>
  <si>
    <t>WP-02210</t>
  </si>
  <si>
    <t>WP-02211</t>
  </si>
  <si>
    <t>WP-02212</t>
  </si>
  <si>
    <t>WP-02213</t>
  </si>
  <si>
    <t>WP-02214</t>
  </si>
  <si>
    <t>WP-02215</t>
  </si>
  <si>
    <t>WP-02216</t>
  </si>
  <si>
    <t>WP-02217</t>
  </si>
  <si>
    <t>WP-02218</t>
  </si>
  <si>
    <t>WP-02219</t>
  </si>
  <si>
    <t>WP-02220</t>
  </si>
  <si>
    <t>WP-02221</t>
  </si>
  <si>
    <t>WP-02222</t>
  </si>
  <si>
    <t>WP-02223</t>
  </si>
  <si>
    <t>WP-02224</t>
  </si>
  <si>
    <t>WP-02225</t>
  </si>
  <si>
    <t>WP-02226</t>
  </si>
  <si>
    <t>WP-02227</t>
  </si>
  <si>
    <t>WP-02228</t>
  </si>
  <si>
    <t>WP-02229</t>
  </si>
  <si>
    <t>WP-02230</t>
  </si>
  <si>
    <t>WP-02231</t>
  </si>
  <si>
    <t>WP-02232</t>
  </si>
  <si>
    <t>WP-02233</t>
  </si>
  <si>
    <t>WP-02234</t>
  </si>
  <si>
    <t>WP-02235</t>
  </si>
  <si>
    <t>WP-02236</t>
  </si>
  <si>
    <t>WP-02237</t>
  </si>
  <si>
    <t>WP-02238</t>
  </si>
  <si>
    <t>WP-02239</t>
  </si>
  <si>
    <t>WP-02240</t>
  </si>
  <si>
    <t>WP-02241</t>
  </si>
  <si>
    <t>WP-02242</t>
  </si>
  <si>
    <t>WP-02243</t>
  </si>
  <si>
    <t>WP-02244</t>
  </si>
  <si>
    <t>WP-02245</t>
  </si>
  <si>
    <t>WP-02246</t>
  </si>
  <si>
    <t>WP-02247</t>
  </si>
  <si>
    <t>WP-02248</t>
  </si>
  <si>
    <t>WP-02249</t>
  </si>
  <si>
    <t>WP-02250</t>
  </si>
  <si>
    <t>WP-02251</t>
  </si>
  <si>
    <t>WP-02252</t>
  </si>
  <si>
    <t>WP-02253</t>
  </si>
  <si>
    <t>WP-02254</t>
  </si>
  <si>
    <t>WP-02255</t>
  </si>
  <si>
    <t>WP-02256</t>
  </si>
  <si>
    <t>WP-02257</t>
  </si>
  <si>
    <t>WP-02258</t>
  </si>
  <si>
    <t>WP-02259</t>
  </si>
  <si>
    <t>WP-02260</t>
  </si>
  <si>
    <t>WP-02261</t>
  </si>
  <si>
    <t>WP-02262</t>
  </si>
  <si>
    <t>WP-02263</t>
  </si>
  <si>
    <t>WP-02264</t>
  </si>
  <si>
    <t>WP-02265</t>
  </si>
  <si>
    <t>WP-02266</t>
  </si>
  <si>
    <t>WP-02267</t>
  </si>
  <si>
    <t>WP-02268</t>
  </si>
  <si>
    <t>WP-02269</t>
  </si>
  <si>
    <t>WP-02270</t>
  </si>
  <si>
    <t>WP-02271</t>
  </si>
  <si>
    <t>WP-02272</t>
  </si>
  <si>
    <t>WP-02273</t>
  </si>
  <si>
    <t>WP-02274</t>
  </si>
  <si>
    <t>WP-02275</t>
  </si>
  <si>
    <t>WP-02276</t>
  </si>
  <si>
    <t>WP-02277</t>
  </si>
  <si>
    <t>WP-02278</t>
  </si>
  <si>
    <t>WP-02279</t>
  </si>
  <si>
    <t>WP-02280</t>
  </si>
  <si>
    <t>WP-02281</t>
  </si>
  <si>
    <t>WP-02282</t>
  </si>
  <si>
    <t>WP-02283</t>
  </si>
  <si>
    <t>WP-02284</t>
  </si>
  <si>
    <t>WP-02285</t>
  </si>
  <si>
    <t>WP-02286</t>
  </si>
  <si>
    <t>WP-02287</t>
  </si>
  <si>
    <t>WP-02288</t>
  </si>
  <si>
    <t>WP-02289</t>
  </si>
  <si>
    <t>WP-02290</t>
  </si>
  <si>
    <t>WP-02291</t>
  </si>
  <si>
    <t>2026-02-04</t>
  </si>
  <si>
    <t>WP-02292</t>
  </si>
  <si>
    <t>WP-02293</t>
  </si>
  <si>
    <t>WP-02294</t>
  </si>
  <si>
    <t>WP-02295</t>
  </si>
  <si>
    <t>WP-02296</t>
  </si>
  <si>
    <t>WP-02297</t>
  </si>
  <si>
    <t>WP-02298</t>
  </si>
  <si>
    <t>WP-02299</t>
  </si>
  <si>
    <t>WP-02300</t>
  </si>
  <si>
    <t>WP-02301</t>
  </si>
  <si>
    <t>WP-02302</t>
  </si>
  <si>
    <t>WP-02303</t>
  </si>
  <si>
    <t>WP-02304</t>
  </si>
  <si>
    <t>WP-02305</t>
  </si>
  <si>
    <t>WP-02306</t>
  </si>
  <si>
    <t>WP-02307</t>
  </si>
  <si>
    <t>WP-02308</t>
  </si>
  <si>
    <t>WP-02309</t>
  </si>
  <si>
    <t>WP-02310</t>
  </si>
  <si>
    <t>WP-02311</t>
  </si>
  <si>
    <t>WP-02312</t>
  </si>
  <si>
    <t>2026-02-09</t>
  </si>
  <si>
    <t>WP-02313</t>
  </si>
  <si>
    <t>WP-02314</t>
  </si>
  <si>
    <t>WP-02315</t>
  </si>
  <si>
    <t>WP-02316</t>
  </si>
  <si>
    <t>WP-02317</t>
  </si>
  <si>
    <t>WP-02318</t>
  </si>
  <si>
    <t>WP-02319</t>
  </si>
  <si>
    <t>WP-02320</t>
  </si>
  <si>
    <t>WP-02321</t>
  </si>
  <si>
    <t>WP-02322</t>
  </si>
  <si>
    <t>WP-02323</t>
  </si>
  <si>
    <t>WP-02324</t>
  </si>
  <si>
    <t>WP-02325</t>
  </si>
  <si>
    <t>WP-02326</t>
  </si>
  <si>
    <t>WP-02327</t>
  </si>
  <si>
    <t>WP-02328</t>
  </si>
  <si>
    <t>WP-02329</t>
  </si>
  <si>
    <t>WP-02330</t>
  </si>
  <si>
    <t>WP-02331</t>
  </si>
  <si>
    <t>WP-02332</t>
  </si>
  <si>
    <t>WP-02333</t>
  </si>
  <si>
    <t>WP-02334</t>
  </si>
  <si>
    <t>WP-02335</t>
  </si>
  <si>
    <t>WP-02336</t>
  </si>
  <si>
    <t>WP-02337</t>
  </si>
  <si>
    <t>WP-02338</t>
  </si>
  <si>
    <t>WP-02339</t>
  </si>
  <si>
    <t>WP-02340</t>
  </si>
  <si>
    <t>WP-02341</t>
  </si>
  <si>
    <t>WP-02342</t>
  </si>
  <si>
    <t>WP-02343</t>
  </si>
  <si>
    <t>WP-02344</t>
  </si>
  <si>
    <t>WP-02345</t>
  </si>
  <si>
    <t>WP-02346</t>
  </si>
  <si>
    <t>WP-02347</t>
  </si>
  <si>
    <t>WP-02348</t>
  </si>
  <si>
    <t>WP-02349</t>
  </si>
  <si>
    <t>WP-02350</t>
  </si>
  <si>
    <t>WP-02351</t>
  </si>
  <si>
    <t>WP-02352</t>
  </si>
  <si>
    <t>WP-02353</t>
  </si>
  <si>
    <t>WP-02354</t>
  </si>
  <si>
    <t>WP-02355</t>
  </si>
  <si>
    <t>WP-02356</t>
  </si>
  <si>
    <t>WP-02357</t>
  </si>
  <si>
    <t>WP-02358</t>
  </si>
  <si>
    <t>WP-02359</t>
  </si>
  <si>
    <t>WP-02360</t>
  </si>
  <si>
    <t>WP-02361</t>
  </si>
  <si>
    <t>WP-02362</t>
  </si>
  <si>
    <t>WP-02363</t>
  </si>
  <si>
    <t>WP-02364</t>
  </si>
  <si>
    <t>WP-02365</t>
  </si>
  <si>
    <t>WP-02366</t>
  </si>
  <si>
    <t>WP-02367</t>
  </si>
  <si>
    <t>WP-02368</t>
  </si>
  <si>
    <t>WP-02369</t>
  </si>
  <si>
    <t>WP-02370</t>
  </si>
  <si>
    <t>WP-02371</t>
  </si>
  <si>
    <t>WP-02372</t>
  </si>
  <si>
    <t>WP-02373</t>
  </si>
  <si>
    <t>WP-02374</t>
  </si>
  <si>
    <t>WP-02375</t>
  </si>
  <si>
    <t>WP-02376</t>
  </si>
  <si>
    <t>WP-02377</t>
  </si>
  <si>
    <t>WP-02378</t>
  </si>
  <si>
    <t>WP-02379</t>
  </si>
  <si>
    <t>WP-02380</t>
  </si>
  <si>
    <t>WP-02381</t>
  </si>
  <si>
    <t>WP-02382</t>
  </si>
  <si>
    <t>WP-02383</t>
  </si>
  <si>
    <t>WP-02384</t>
  </si>
  <si>
    <t>WP-02385</t>
  </si>
  <si>
    <t>WP-02386</t>
  </si>
  <si>
    <t>WP-02387</t>
  </si>
  <si>
    <t>WP-02388</t>
  </si>
  <si>
    <t>WP-02389</t>
  </si>
  <si>
    <t>WP-02390</t>
  </si>
  <si>
    <t>WP-02391</t>
  </si>
  <si>
    <t>WP-02392</t>
  </si>
  <si>
    <t>WP-02393</t>
  </si>
  <si>
    <t>WP-02394</t>
  </si>
  <si>
    <t>WP-02395</t>
  </si>
  <si>
    <t>WP-02396</t>
  </si>
  <si>
    <t>WP-02397</t>
  </si>
  <si>
    <t>WP-02398</t>
  </si>
  <si>
    <t>WP-02399</t>
  </si>
  <si>
    <t>WP-02400</t>
  </si>
  <si>
    <t>Labor entry ID</t>
  </si>
  <si>
    <t>Technician ID</t>
  </si>
  <si>
    <t>Skill booked</t>
  </si>
  <si>
    <t>Work date</t>
  </si>
  <si>
    <t>Hours booked</t>
  </si>
  <si>
    <t>Overtime hours</t>
  </si>
  <si>
    <t>Work week (Monday)</t>
  </si>
  <si>
    <t>Work date serial</t>
  </si>
  <si>
    <t>LAB-000001</t>
  </si>
  <si>
    <t>TECH-007</t>
  </si>
  <si>
    <t>LAB-000002</t>
  </si>
  <si>
    <t>TECH-055</t>
  </si>
  <si>
    <t>LAB-000003</t>
  </si>
  <si>
    <t>LAB-000004</t>
  </si>
  <si>
    <t>TECH-038</t>
  </si>
  <si>
    <t>LAB-000005</t>
  </si>
  <si>
    <t>TECH-033</t>
  </si>
  <si>
    <t>LAB-000006</t>
  </si>
  <si>
    <t>TECH-063</t>
  </si>
  <si>
    <t>LAB-000007</t>
  </si>
  <si>
    <t>TECH-030</t>
  </si>
  <si>
    <t>LAB-000008</t>
  </si>
  <si>
    <t>TECH-054</t>
  </si>
  <si>
    <t>LAB-000009</t>
  </si>
  <si>
    <t>TECH-002</t>
  </si>
  <si>
    <t>LAB-000010</t>
  </si>
  <si>
    <t>TECH-019</t>
  </si>
  <si>
    <t>LAB-000011</t>
  </si>
  <si>
    <t>TECH-031</t>
  </si>
  <si>
    <t>LAB-000012</t>
  </si>
  <si>
    <t>LAB-000013</t>
  </si>
  <si>
    <t>TECH-069</t>
  </si>
  <si>
    <t>LAB-000014</t>
  </si>
  <si>
    <t>TECH-014</t>
  </si>
  <si>
    <t>LAB-000015</t>
  </si>
  <si>
    <t>TECH-008</t>
  </si>
  <si>
    <t>LAB-000016</t>
  </si>
  <si>
    <t>TECH-062</t>
  </si>
  <si>
    <t>LAB-000017</t>
  </si>
  <si>
    <t>LAB-000018</t>
  </si>
  <si>
    <t>LAB-000019</t>
  </si>
  <si>
    <t>TECH-050</t>
  </si>
  <si>
    <t>LAB-000020</t>
  </si>
  <si>
    <t>TECH-073</t>
  </si>
  <si>
    <t>LAB-000021</t>
  </si>
  <si>
    <t>TECH-061</t>
  </si>
  <si>
    <t>LAB-000022</t>
  </si>
  <si>
    <t>TECH-043</t>
  </si>
  <si>
    <t>LAB-000023</t>
  </si>
  <si>
    <t>TECH-068</t>
  </si>
  <si>
    <t>LAB-000024</t>
  </si>
  <si>
    <t>TECH-035</t>
  </si>
  <si>
    <t>LAB-000025</t>
  </si>
  <si>
    <t>LAB-000026</t>
  </si>
  <si>
    <t>TECH-037</t>
  </si>
  <si>
    <t>LAB-000027</t>
  </si>
  <si>
    <t>TECH-013</t>
  </si>
  <si>
    <t>LAB-000028</t>
  </si>
  <si>
    <t>LAB-000029</t>
  </si>
  <si>
    <t>TECH-018</t>
  </si>
  <si>
    <t>LAB-000030</t>
  </si>
  <si>
    <t>TECH-024</t>
  </si>
  <si>
    <t>LAB-000031</t>
  </si>
  <si>
    <t>TECH-032</t>
  </si>
  <si>
    <t>LAB-000032</t>
  </si>
  <si>
    <t>LAB-000033</t>
  </si>
  <si>
    <t>TECH-044</t>
  </si>
  <si>
    <t>LAB-000034</t>
  </si>
  <si>
    <t>LAB-000035</t>
  </si>
  <si>
    <t>LAB-000036</t>
  </si>
  <si>
    <t>LAB-000037</t>
  </si>
  <si>
    <t>LAB-000038</t>
  </si>
  <si>
    <t>TECH-020</t>
  </si>
  <si>
    <t>LAB-000039</t>
  </si>
  <si>
    <t>TECH-009</t>
  </si>
  <si>
    <t>LAB-000040</t>
  </si>
  <si>
    <t>TECH-015</t>
  </si>
  <si>
    <t>LAB-000041</t>
  </si>
  <si>
    <t>TECH-021</t>
  </si>
  <si>
    <t>LAB-000042</t>
  </si>
  <si>
    <t>LAB-000043</t>
  </si>
  <si>
    <t>LAB-000044</t>
  </si>
  <si>
    <t>TECH-026</t>
  </si>
  <si>
    <t>LAB-000045</t>
  </si>
  <si>
    <t>LAB-000046</t>
  </si>
  <si>
    <t>LAB-000047</t>
  </si>
  <si>
    <t>LAB-000048</t>
  </si>
  <si>
    <t>LAB-000049</t>
  </si>
  <si>
    <t>LAB-000050</t>
  </si>
  <si>
    <t>TECH-074</t>
  </si>
  <si>
    <t>LAB-000051</t>
  </si>
  <si>
    <t>TECH-040</t>
  </si>
  <si>
    <t>LAB-000052</t>
  </si>
  <si>
    <t>TECH-070</t>
  </si>
  <si>
    <t>LAB-000053</t>
  </si>
  <si>
    <t>TECH-058</t>
  </si>
  <si>
    <t>LAB-000054</t>
  </si>
  <si>
    <t>LAB-000055</t>
  </si>
  <si>
    <t>LAB-000056</t>
  </si>
  <si>
    <t>TECH-027</t>
  </si>
  <si>
    <t>LAB-000057</t>
  </si>
  <si>
    <t>LAB-000058</t>
  </si>
  <si>
    <t>TECH-049</t>
  </si>
  <si>
    <t>LAB-000059</t>
  </si>
  <si>
    <t>LAB-000060</t>
  </si>
  <si>
    <t>LAB-000061</t>
  </si>
  <si>
    <t>LAB-000062</t>
  </si>
  <si>
    <t>LAB-000063</t>
  </si>
  <si>
    <t>LAB-000064</t>
  </si>
  <si>
    <t>LAB-000065</t>
  </si>
  <si>
    <t>TECH-036</t>
  </si>
  <si>
    <t>LAB-000066</t>
  </si>
  <si>
    <t>LAB-000067</t>
  </si>
  <si>
    <t>LAB-000068</t>
  </si>
  <si>
    <t>TECH-066</t>
  </si>
  <si>
    <t>LAB-000069</t>
  </si>
  <si>
    <t>TECH-006</t>
  </si>
  <si>
    <t>LAB-000070</t>
  </si>
  <si>
    <t>TECH-042</t>
  </si>
  <si>
    <t>LAB-000071</t>
  </si>
  <si>
    <t>TECH-072</t>
  </si>
  <si>
    <t>LAB-000072</t>
  </si>
  <si>
    <t>LAB-000073</t>
  </si>
  <si>
    <t>LAB-000074</t>
  </si>
  <si>
    <t>LAB-000075</t>
  </si>
  <si>
    <t>LAB-000076</t>
  </si>
  <si>
    <t>LAB-000077</t>
  </si>
  <si>
    <t>TECH-060</t>
  </si>
  <si>
    <t>LAB-000078</t>
  </si>
  <si>
    <t>LAB-000079</t>
  </si>
  <si>
    <t>LAB-000080</t>
  </si>
  <si>
    <t>LAB-000081</t>
  </si>
  <si>
    <t>LAB-000082</t>
  </si>
  <si>
    <t>LAB-000083</t>
  </si>
  <si>
    <t>TECH-025</t>
  </si>
  <si>
    <t>LAB-000084</t>
  </si>
  <si>
    <t>LAB-000085</t>
  </si>
  <si>
    <t>TECH-067</t>
  </si>
  <si>
    <t>LAB-000086</t>
  </si>
  <si>
    <t>TECH-012</t>
  </si>
  <si>
    <t>LAB-000087</t>
  </si>
  <si>
    <t>TECH-005</t>
  </si>
  <si>
    <t>LAB-000088</t>
  </si>
  <si>
    <t>LAB-000089</t>
  </si>
  <si>
    <t>LAB-000090</t>
  </si>
  <si>
    <t>LAB-000091</t>
  </si>
  <si>
    <t>LAB-000092</t>
  </si>
  <si>
    <t>LAB-000093</t>
  </si>
  <si>
    <t>LAB-000094</t>
  </si>
  <si>
    <t>TECH-056</t>
  </si>
  <si>
    <t>LAB-000095</t>
  </si>
  <si>
    <t>LAB-000096</t>
  </si>
  <si>
    <t>LAB-000097</t>
  </si>
  <si>
    <t>LAB-000098</t>
  </si>
  <si>
    <t>LAB-000099</t>
  </si>
  <si>
    <t>LAB-000100</t>
  </si>
  <si>
    <t>LAB-000101</t>
  </si>
  <si>
    <t>LAB-000102</t>
  </si>
  <si>
    <t>LAB-000103</t>
  </si>
  <si>
    <t>LAB-000104</t>
  </si>
  <si>
    <t>LAB-000105</t>
  </si>
  <si>
    <t>LAB-000106</t>
  </si>
  <si>
    <t>LAB-000107</t>
  </si>
  <si>
    <t>LAB-000108</t>
  </si>
  <si>
    <t>TECH-048</t>
  </si>
  <si>
    <t>LAB-000109</t>
  </si>
  <si>
    <t>LAB-000110</t>
  </si>
  <si>
    <t>LAB-000111</t>
  </si>
  <si>
    <t>LAB-000112</t>
  </si>
  <si>
    <t>TECH-046</t>
  </si>
  <si>
    <t>LAB-000113</t>
  </si>
  <si>
    <t>LAB-000114</t>
  </si>
  <si>
    <t>LAB-000115</t>
  </si>
  <si>
    <t>LAB-000116</t>
  </si>
  <si>
    <t>LAB-000117</t>
  </si>
  <si>
    <t>LAB-000118</t>
  </si>
  <si>
    <t>LAB-000119</t>
  </si>
  <si>
    <t>LAB-000120</t>
  </si>
  <si>
    <t>LAB-000121</t>
  </si>
  <si>
    <t>LAB-000122</t>
  </si>
  <si>
    <t>LAB-000123</t>
  </si>
  <si>
    <t>LAB-000124</t>
  </si>
  <si>
    <t>LAB-000125</t>
  </si>
  <si>
    <t>LAB-000126</t>
  </si>
  <si>
    <t>LAB-000127</t>
  </si>
  <si>
    <t>LAB-000128</t>
  </si>
  <si>
    <t>LAB-000129</t>
  </si>
  <si>
    <t>LAB-000130</t>
  </si>
  <si>
    <t>LAB-000131</t>
  </si>
  <si>
    <t>LAB-000132</t>
  </si>
  <si>
    <t>TECH-053</t>
  </si>
  <si>
    <t>LAB-000133</t>
  </si>
  <si>
    <t>TECH-029</t>
  </si>
  <si>
    <t>LAB-000134</t>
  </si>
  <si>
    <t>TECH-047</t>
  </si>
  <si>
    <t>LAB-000135</t>
  </si>
  <si>
    <t>LAB-000136</t>
  </si>
  <si>
    <t>LAB-000137</t>
  </si>
  <si>
    <t>TECH-010</t>
  </si>
  <si>
    <t>LAB-000138</t>
  </si>
  <si>
    <t>LAB-000139</t>
  </si>
  <si>
    <t>LAB-000140</t>
  </si>
  <si>
    <t>LAB-000141</t>
  </si>
  <si>
    <t>LAB-000142</t>
  </si>
  <si>
    <t>LAB-000143</t>
  </si>
  <si>
    <t>LAB-000144</t>
  </si>
  <si>
    <t>LAB-000145</t>
  </si>
  <si>
    <t>LAB-000146</t>
  </si>
  <si>
    <t>TECH-001</t>
  </si>
  <si>
    <t>LAB-000147</t>
  </si>
  <si>
    <t>LAB-000148</t>
  </si>
  <si>
    <t>LAB-000149</t>
  </si>
  <si>
    <t>TECH-039</t>
  </si>
  <si>
    <t>LAB-000150</t>
  </si>
  <si>
    <t>LAB-000151</t>
  </si>
  <si>
    <t>LAB-000152</t>
  </si>
  <si>
    <t>TECH-045</t>
  </si>
  <si>
    <t>LAB-000153</t>
  </si>
  <si>
    <t>LAB-000154</t>
  </si>
  <si>
    <t>LAB-000155</t>
  </si>
  <si>
    <t>LAB-000156</t>
  </si>
  <si>
    <t>LAB-000157</t>
  </si>
  <si>
    <t>LAB-000158</t>
  </si>
  <si>
    <t>LAB-000159</t>
  </si>
  <si>
    <t>LAB-000160</t>
  </si>
  <si>
    <t>LAB-000161</t>
  </si>
  <si>
    <t>LAB-000162</t>
  </si>
  <si>
    <t>LAB-000163</t>
  </si>
  <si>
    <t>LAB-000164</t>
  </si>
  <si>
    <t>LAB-000165</t>
  </si>
  <si>
    <t>LAB-000166</t>
  </si>
  <si>
    <t>LAB-000167</t>
  </si>
  <si>
    <t>LAB-000168</t>
  </si>
  <si>
    <t>LAB-000169</t>
  </si>
  <si>
    <t>LAB-000170</t>
  </si>
  <si>
    <t>TECH-003</t>
  </si>
  <si>
    <t>LAB-000171</t>
  </si>
  <si>
    <t>LAB-000172</t>
  </si>
  <si>
    <t>LAB-000173</t>
  </si>
  <si>
    <t>LAB-000174</t>
  </si>
  <si>
    <t>TECH-075</t>
  </si>
  <si>
    <t>LAB-000175</t>
  </si>
  <si>
    <t>LAB-000176</t>
  </si>
  <si>
    <t>LAB-000177</t>
  </si>
  <si>
    <t>LAB-000178</t>
  </si>
  <si>
    <t>LAB-000179</t>
  </si>
  <si>
    <t>LAB-000180</t>
  </si>
  <si>
    <t>LAB-000181</t>
  </si>
  <si>
    <t>LAB-000182</t>
  </si>
  <si>
    <t>LAB-000183</t>
  </si>
  <si>
    <t>LAB-000184</t>
  </si>
  <si>
    <t>LAB-000185</t>
  </si>
  <si>
    <t>LAB-000186</t>
  </si>
  <si>
    <t>LAB-000187</t>
  </si>
  <si>
    <t>LAB-000188</t>
  </si>
  <si>
    <t>LAB-000189</t>
  </si>
  <si>
    <t>LAB-000190</t>
  </si>
  <si>
    <t>LAB-000191</t>
  </si>
  <si>
    <t>LAB-000192</t>
  </si>
  <si>
    <t>LAB-000193</t>
  </si>
  <si>
    <t>LAB-000194</t>
  </si>
  <si>
    <t>LAB-000195</t>
  </si>
  <si>
    <t>LAB-000196</t>
  </si>
  <si>
    <t>TECH-017</t>
  </si>
  <si>
    <t>LAB-000197</t>
  </si>
  <si>
    <t>LAB-000198</t>
  </si>
  <si>
    <t>LAB-000199</t>
  </si>
  <si>
    <t>LAB-000200</t>
  </si>
  <si>
    <t>LAB-000201</t>
  </si>
  <si>
    <t>LAB-000202</t>
  </si>
  <si>
    <t>LAB-000203</t>
  </si>
  <si>
    <t>LAB-000204</t>
  </si>
  <si>
    <t>LAB-000205</t>
  </si>
  <si>
    <t>LAB-000206</t>
  </si>
  <si>
    <t>TECH-071</t>
  </si>
  <si>
    <t>LAB-000207</t>
  </si>
  <si>
    <t>TECH-059</t>
  </si>
  <si>
    <t>LAB-000208</t>
  </si>
  <si>
    <t>LAB-000209</t>
  </si>
  <si>
    <t>LAB-000210</t>
  </si>
  <si>
    <t>LAB-000211</t>
  </si>
  <si>
    <t>LAB-000212</t>
  </si>
  <si>
    <t>LAB-000213</t>
  </si>
  <si>
    <t>LAB-000214</t>
  </si>
  <si>
    <t>LAB-000215</t>
  </si>
  <si>
    <t>LAB-000216</t>
  </si>
  <si>
    <t>LAB-000217</t>
  </si>
  <si>
    <t>LAB-000218</t>
  </si>
  <si>
    <t>LAB-000219</t>
  </si>
  <si>
    <t>LAB-000220</t>
  </si>
  <si>
    <t>LAB-000221</t>
  </si>
  <si>
    <t>LAB-000222</t>
  </si>
  <si>
    <t>LAB-000223</t>
  </si>
  <si>
    <t>LAB-000224</t>
  </si>
  <si>
    <t>LAB-000225</t>
  </si>
  <si>
    <t>LAB-000226</t>
  </si>
  <si>
    <t>LAB-000227</t>
  </si>
  <si>
    <t>LAB-000228</t>
  </si>
  <si>
    <t>LAB-000229</t>
  </si>
  <si>
    <t>LAB-000230</t>
  </si>
  <si>
    <t>LAB-000231</t>
  </si>
  <si>
    <t>LAB-000232</t>
  </si>
  <si>
    <t>LAB-000233</t>
  </si>
  <si>
    <t>LAB-000234</t>
  </si>
  <si>
    <t>LAB-000235</t>
  </si>
  <si>
    <t>LAB-000236</t>
  </si>
  <si>
    <t>LAB-000237</t>
  </si>
  <si>
    <t>TECH-022</t>
  </si>
  <si>
    <t>LAB-000238</t>
  </si>
  <si>
    <t>LAB-000239</t>
  </si>
  <si>
    <t>LAB-000240</t>
  </si>
  <si>
    <t>LAB-000241</t>
  </si>
  <si>
    <t>LAB-000242</t>
  </si>
  <si>
    <t>LAB-000243</t>
  </si>
  <si>
    <t>LAB-000244</t>
  </si>
  <si>
    <t>2026-01-25</t>
  </si>
  <si>
    <t>LAB-000245</t>
  </si>
  <si>
    <t>2026-01-26</t>
  </si>
  <si>
    <t>LAB-000246</t>
  </si>
  <si>
    <t>2026-01-27</t>
  </si>
  <si>
    <t>LAB-000247</t>
  </si>
  <si>
    <t>LAB-000248</t>
  </si>
  <si>
    <t>LAB-000249</t>
  </si>
  <si>
    <t>LAB-000250</t>
  </si>
  <si>
    <t>LAB-000251</t>
  </si>
  <si>
    <t>LAB-000252</t>
  </si>
  <si>
    <t>LAB-000253</t>
  </si>
  <si>
    <t>LAB-000254</t>
  </si>
  <si>
    <t>LAB-000255</t>
  </si>
  <si>
    <t>LAB-000256</t>
  </si>
  <si>
    <t>LAB-000257</t>
  </si>
  <si>
    <t>LAB-000258</t>
  </si>
  <si>
    <t>LAB-000259</t>
  </si>
  <si>
    <t>LAB-000260</t>
  </si>
  <si>
    <t>LAB-000261</t>
  </si>
  <si>
    <t>LAB-000262</t>
  </si>
  <si>
    <t>LAB-000263</t>
  </si>
  <si>
    <t>LAB-000264</t>
  </si>
  <si>
    <t>LAB-000265</t>
  </si>
  <si>
    <t>LAB-000266</t>
  </si>
  <si>
    <t>LAB-000267</t>
  </si>
  <si>
    <t>LAB-000268</t>
  </si>
  <si>
    <t>LAB-000269</t>
  </si>
  <si>
    <t>LAB-000270</t>
  </si>
  <si>
    <t>LAB-000271</t>
  </si>
  <si>
    <t>LAB-000272</t>
  </si>
  <si>
    <t>LAB-000273</t>
  </si>
  <si>
    <t>LAB-000274</t>
  </si>
  <si>
    <t>LAB-000275</t>
  </si>
  <si>
    <t>LAB-000276</t>
  </si>
  <si>
    <t>TECH-041</t>
  </si>
  <si>
    <t>LAB-000277</t>
  </si>
  <si>
    <t>LAB-000278</t>
  </si>
  <si>
    <t>LAB-000279</t>
  </si>
  <si>
    <t>LAB-000280</t>
  </si>
  <si>
    <t>LAB-000281</t>
  </si>
  <si>
    <t>LAB-000282</t>
  </si>
  <si>
    <t>LAB-000283</t>
  </si>
  <si>
    <t>TECH-057</t>
  </si>
  <si>
    <t>LAB-000284</t>
  </si>
  <si>
    <t>LAB-000285</t>
  </si>
  <si>
    <t>LAB-000286</t>
  </si>
  <si>
    <t>LAB-000287</t>
  </si>
  <si>
    <t>LAB-000288</t>
  </si>
  <si>
    <t>LAB-000289</t>
  </si>
  <si>
    <t>LAB-000290</t>
  </si>
  <si>
    <t>LAB-000291</t>
  </si>
  <si>
    <t>LAB-000292</t>
  </si>
  <si>
    <t>LAB-000293</t>
  </si>
  <si>
    <t>LAB-000294</t>
  </si>
  <si>
    <t>LAB-000295</t>
  </si>
  <si>
    <t>LAB-000296</t>
  </si>
  <si>
    <t>LAB-000297</t>
  </si>
  <si>
    <t>LAB-000298</t>
  </si>
  <si>
    <t>TECH-011</t>
  </si>
  <si>
    <t>LAB-000299</t>
  </si>
  <si>
    <t>2026-01-15</t>
  </si>
  <si>
    <t>LAB-000300</t>
  </si>
  <si>
    <t>2026-01-16</t>
  </si>
  <si>
    <t>LAB-000301</t>
  </si>
  <si>
    <t>2026-01-17</t>
  </si>
  <si>
    <t>LAB-000302</t>
  </si>
  <si>
    <t>LAB-000303</t>
  </si>
  <si>
    <t>LAB-000304</t>
  </si>
  <si>
    <t>LAB-000305</t>
  </si>
  <si>
    <t>LAB-000306</t>
  </si>
  <si>
    <t>LAB-000307</t>
  </si>
  <si>
    <t>LAB-000308</t>
  </si>
  <si>
    <t>LAB-000309</t>
  </si>
  <si>
    <t>LAB-000310</t>
  </si>
  <si>
    <t>LAB-000311</t>
  </si>
  <si>
    <t>LAB-000312</t>
  </si>
  <si>
    <t>LAB-000313</t>
  </si>
  <si>
    <t>LAB-000314</t>
  </si>
  <si>
    <t>LAB-000315</t>
  </si>
  <si>
    <t>LAB-000316</t>
  </si>
  <si>
    <t>LAB-000317</t>
  </si>
  <si>
    <t>LAB-000318</t>
  </si>
  <si>
    <t>LAB-000319</t>
  </si>
  <si>
    <t>LAB-000320</t>
  </si>
  <si>
    <t>LAB-000321</t>
  </si>
  <si>
    <t>LAB-000322</t>
  </si>
  <si>
    <t>LAB-000323</t>
  </si>
  <si>
    <t>LAB-000324</t>
  </si>
  <si>
    <t>LAB-000325</t>
  </si>
  <si>
    <t>LAB-000326</t>
  </si>
  <si>
    <t>TECH-064</t>
  </si>
  <si>
    <t>LAB-000327</t>
  </si>
  <si>
    <t>LAB-000328</t>
  </si>
  <si>
    <t>LAB-000329</t>
  </si>
  <si>
    <t>LAB-000330</t>
  </si>
  <si>
    <t>LAB-000331</t>
  </si>
  <si>
    <t>LAB-000332</t>
  </si>
  <si>
    <t>LAB-000333</t>
  </si>
  <si>
    <t>LAB-000334</t>
  </si>
  <si>
    <t>LAB-000335</t>
  </si>
  <si>
    <t>LAB-000336</t>
  </si>
  <si>
    <t>LAB-000337</t>
  </si>
  <si>
    <t>LAB-000338</t>
  </si>
  <si>
    <t>LAB-000339</t>
  </si>
  <si>
    <t>LAB-000340</t>
  </si>
  <si>
    <t>LAB-000341</t>
  </si>
  <si>
    <t>LAB-000342</t>
  </si>
  <si>
    <t>LAB-000343</t>
  </si>
  <si>
    <t>LAB-000344</t>
  </si>
  <si>
    <t>LAB-000345</t>
  </si>
  <si>
    <t>LAB-000346</t>
  </si>
  <si>
    <t>LAB-000347</t>
  </si>
  <si>
    <t>LAB-000348</t>
  </si>
  <si>
    <t>LAB-000349</t>
  </si>
  <si>
    <t>LAB-000350</t>
  </si>
  <si>
    <t>LAB-000351</t>
  </si>
  <si>
    <t>LAB-000352</t>
  </si>
  <si>
    <t>LAB-000353</t>
  </si>
  <si>
    <t>LAB-000354</t>
  </si>
  <si>
    <t>LAB-000355</t>
  </si>
  <si>
    <t>LAB-000356</t>
  </si>
  <si>
    <t>LAB-000357</t>
  </si>
  <si>
    <t>TECH-004</t>
  </si>
  <si>
    <t>LAB-000358</t>
  </si>
  <si>
    <t>LAB-000359</t>
  </si>
  <si>
    <t>LAB-000360</t>
  </si>
  <si>
    <t>LAB-000361</t>
  </si>
  <si>
    <t>LAB-000362</t>
  </si>
  <si>
    <t>TECH-028</t>
  </si>
  <si>
    <t>LAB-000363</t>
  </si>
  <si>
    <t>LAB-000364</t>
  </si>
  <si>
    <t>LAB-000365</t>
  </si>
  <si>
    <t>LAB-000366</t>
  </si>
  <si>
    <t>LAB-000367</t>
  </si>
  <si>
    <t>LAB-000368</t>
  </si>
  <si>
    <t>LAB-000369</t>
  </si>
  <si>
    <t>LAB-000370</t>
  </si>
  <si>
    <t>LAB-000371</t>
  </si>
  <si>
    <t>LAB-000372</t>
  </si>
  <si>
    <t>LAB-000373</t>
  </si>
  <si>
    <t>LAB-000374</t>
  </si>
  <si>
    <t>LAB-000375</t>
  </si>
  <si>
    <t>LAB-000376</t>
  </si>
  <si>
    <t>LAB-000377</t>
  </si>
  <si>
    <t>LAB-000378</t>
  </si>
  <si>
    <t>LAB-000379</t>
  </si>
  <si>
    <t>LAB-000380</t>
  </si>
  <si>
    <t>LAB-000381</t>
  </si>
  <si>
    <t>LAB-000382</t>
  </si>
  <si>
    <t>LAB-000383</t>
  </si>
  <si>
    <t>LAB-000384</t>
  </si>
  <si>
    <t>TECH-023</t>
  </si>
  <si>
    <t>LAB-000385</t>
  </si>
  <si>
    <t>2026-02-10</t>
  </si>
  <si>
    <t>LAB-000386</t>
  </si>
  <si>
    <t>2026-02-11</t>
  </si>
  <si>
    <t>LAB-000387</t>
  </si>
  <si>
    <t>LAB-000388</t>
  </si>
  <si>
    <t>LAB-000389</t>
  </si>
  <si>
    <t>LAB-000390</t>
  </si>
  <si>
    <t>LAB-000391</t>
  </si>
  <si>
    <t>LAB-000392</t>
  </si>
  <si>
    <t>LAB-000393</t>
  </si>
  <si>
    <t>LAB-000394</t>
  </si>
  <si>
    <t>LAB-000395</t>
  </si>
  <si>
    <t>LAB-000396</t>
  </si>
  <si>
    <t>LAB-000397</t>
  </si>
  <si>
    <t>LAB-000398</t>
  </si>
  <si>
    <t>LAB-000399</t>
  </si>
  <si>
    <t>LAB-000400</t>
  </si>
  <si>
    <t>LAB-000401</t>
  </si>
  <si>
    <t>LAB-000402</t>
  </si>
  <si>
    <t>LAB-000403</t>
  </si>
  <si>
    <t>LAB-000404</t>
  </si>
  <si>
    <t>LAB-000405</t>
  </si>
  <si>
    <t>LAB-000406</t>
  </si>
  <si>
    <t>LAB-000407</t>
  </si>
  <si>
    <t>LAB-000408</t>
  </si>
  <si>
    <t>LAB-000409</t>
  </si>
  <si>
    <t>LAB-000410</t>
  </si>
  <si>
    <t>LAB-000411</t>
  </si>
  <si>
    <t>LAB-000412</t>
  </si>
  <si>
    <t>LAB-000413</t>
  </si>
  <si>
    <t>LAB-000414</t>
  </si>
  <si>
    <t>LAB-000415</t>
  </si>
  <si>
    <t>LAB-000416</t>
  </si>
  <si>
    <t>LAB-000417</t>
  </si>
  <si>
    <t>LAB-000418</t>
  </si>
  <si>
    <t>LAB-000419</t>
  </si>
  <si>
    <t>LAB-000420</t>
  </si>
  <si>
    <t>LAB-000421</t>
  </si>
  <si>
    <t>LAB-000422</t>
  </si>
  <si>
    <t>LAB-000423</t>
  </si>
  <si>
    <t>LAB-000424</t>
  </si>
  <si>
    <t>LAB-000425</t>
  </si>
  <si>
    <t>LAB-000426</t>
  </si>
  <si>
    <t>LAB-000427</t>
  </si>
  <si>
    <t>LAB-000428</t>
  </si>
  <si>
    <t>LAB-000429</t>
  </si>
  <si>
    <t>LAB-000430</t>
  </si>
  <si>
    <t>LAB-000431</t>
  </si>
  <si>
    <t>LAB-000432</t>
  </si>
  <si>
    <t>LAB-000433</t>
  </si>
  <si>
    <t>LAB-000434</t>
  </si>
  <si>
    <t>LAB-000435</t>
  </si>
  <si>
    <t>LAB-000436</t>
  </si>
  <si>
    <t>LAB-000437</t>
  </si>
  <si>
    <t>TECH-065</t>
  </si>
  <si>
    <t>LAB-000438</t>
  </si>
  <si>
    <t>LAB-000439</t>
  </si>
  <si>
    <t>LAB-000440</t>
  </si>
  <si>
    <t>LAB-000441</t>
  </si>
  <si>
    <t>LAB-000442</t>
  </si>
  <si>
    <t>LAB-000443</t>
  </si>
  <si>
    <t>LAB-000444</t>
  </si>
  <si>
    <t>LAB-000445</t>
  </si>
  <si>
    <t>LAB-000446</t>
  </si>
  <si>
    <t>LAB-000447</t>
  </si>
  <si>
    <t>LAB-000448</t>
  </si>
  <si>
    <t>LAB-000449</t>
  </si>
  <si>
    <t>LAB-000450</t>
  </si>
  <si>
    <t>LAB-000451</t>
  </si>
  <si>
    <t>LAB-000452</t>
  </si>
  <si>
    <t>LAB-000453</t>
  </si>
  <si>
    <t>LAB-000454</t>
  </si>
  <si>
    <t>LAB-000455</t>
  </si>
  <si>
    <t>LAB-000456</t>
  </si>
  <si>
    <t>LAB-000457</t>
  </si>
  <si>
    <t>LAB-000458</t>
  </si>
  <si>
    <t>LAB-000459</t>
  </si>
  <si>
    <t>TECH-051</t>
  </si>
  <si>
    <t>LAB-000460</t>
  </si>
  <si>
    <t>LAB-000461</t>
  </si>
  <si>
    <t>LAB-000462</t>
  </si>
  <si>
    <t>LAB-000463</t>
  </si>
  <si>
    <t>LAB-000464</t>
  </si>
  <si>
    <t>LAB-000465</t>
  </si>
  <si>
    <t>LAB-000466</t>
  </si>
  <si>
    <t>LAB-000467</t>
  </si>
  <si>
    <t>LAB-000468</t>
  </si>
  <si>
    <t>LAB-000469</t>
  </si>
  <si>
    <t>LAB-000470</t>
  </si>
  <si>
    <t>LAB-000471</t>
  </si>
  <si>
    <t>LAB-000472</t>
  </si>
  <si>
    <t>LAB-000473</t>
  </si>
  <si>
    <t>LAB-000474</t>
  </si>
  <si>
    <t>LAB-000475</t>
  </si>
  <si>
    <t>LAB-000476</t>
  </si>
  <si>
    <t>TECH-034</t>
  </si>
  <si>
    <t>LAB-000477</t>
  </si>
  <si>
    <t>LAB-000478</t>
  </si>
  <si>
    <t>LAB-000479</t>
  </si>
  <si>
    <t>LAB-000480</t>
  </si>
  <si>
    <t>LAB-000481</t>
  </si>
  <si>
    <t>LAB-000482</t>
  </si>
  <si>
    <t>LAB-000483</t>
  </si>
  <si>
    <t>LAB-000484</t>
  </si>
  <si>
    <t>LAB-000485</t>
  </si>
  <si>
    <t>LAB-000486</t>
  </si>
  <si>
    <t>LAB-000487</t>
  </si>
  <si>
    <t>LAB-000488</t>
  </si>
  <si>
    <t>LAB-000489</t>
  </si>
  <si>
    <t>LAB-000490</t>
  </si>
  <si>
    <t>LAB-000491</t>
  </si>
  <si>
    <t>LAB-000492</t>
  </si>
  <si>
    <t>LAB-000493</t>
  </si>
  <si>
    <t>LAB-000494</t>
  </si>
  <si>
    <t>LAB-000495</t>
  </si>
  <si>
    <t>LAB-000496</t>
  </si>
  <si>
    <t>LAB-000497</t>
  </si>
  <si>
    <t>LAB-000498</t>
  </si>
  <si>
    <t>LAB-000499</t>
  </si>
  <si>
    <t>LAB-000500</t>
  </si>
  <si>
    <t>LAB-000501</t>
  </si>
  <si>
    <t>LAB-000502</t>
  </si>
  <si>
    <t>LAB-000503</t>
  </si>
  <si>
    <t>LAB-000504</t>
  </si>
  <si>
    <t>LAB-000505</t>
  </si>
  <si>
    <t>LAB-000506</t>
  </si>
  <si>
    <t>LAB-000507</t>
  </si>
  <si>
    <t>LAB-000508</t>
  </si>
  <si>
    <t>LAB-000509</t>
  </si>
  <si>
    <t>LAB-000510</t>
  </si>
  <si>
    <t>LAB-000511</t>
  </si>
  <si>
    <t>LAB-000512</t>
  </si>
  <si>
    <t>LAB-000513</t>
  </si>
  <si>
    <t>LAB-000514</t>
  </si>
  <si>
    <t>LAB-000515</t>
  </si>
  <si>
    <t>LAB-000516</t>
  </si>
  <si>
    <t>LAB-000517</t>
  </si>
  <si>
    <t>LAB-000518</t>
  </si>
  <si>
    <t>LAB-000519</t>
  </si>
  <si>
    <t>LAB-000520</t>
  </si>
  <si>
    <t>LAB-000521</t>
  </si>
  <si>
    <t>LAB-000522</t>
  </si>
  <si>
    <t>LAB-000523</t>
  </si>
  <si>
    <t>LAB-000524</t>
  </si>
  <si>
    <t>LAB-000525</t>
  </si>
  <si>
    <t>LAB-000526</t>
  </si>
  <si>
    <t>LAB-000527</t>
  </si>
  <si>
    <t>LAB-000528</t>
  </si>
  <si>
    <t>LAB-000529</t>
  </si>
  <si>
    <t>LAB-000530</t>
  </si>
  <si>
    <t>LAB-000531</t>
  </si>
  <si>
    <t>LAB-000532</t>
  </si>
  <si>
    <t>LAB-000533</t>
  </si>
  <si>
    <t>LAB-000534</t>
  </si>
  <si>
    <t>LAB-000535</t>
  </si>
  <si>
    <t>LAB-000536</t>
  </si>
  <si>
    <t>LAB-000537</t>
  </si>
  <si>
    <t>LAB-000538</t>
  </si>
  <si>
    <t>LAB-000539</t>
  </si>
  <si>
    <t>LAB-000540</t>
  </si>
  <si>
    <t>LAB-000541</t>
  </si>
  <si>
    <t>LAB-000542</t>
  </si>
  <si>
    <t>LAB-000543</t>
  </si>
  <si>
    <t>LAB-000544</t>
  </si>
  <si>
    <t>LAB-000545</t>
  </si>
  <si>
    <t>LAB-000546</t>
  </si>
  <si>
    <t>LAB-000547</t>
  </si>
  <si>
    <t>LAB-000548</t>
  </si>
  <si>
    <t>LAB-000549</t>
  </si>
  <si>
    <t>LAB-000550</t>
  </si>
  <si>
    <t>LAB-000551</t>
  </si>
  <si>
    <t>LAB-000552</t>
  </si>
  <si>
    <t>LAB-000553</t>
  </si>
  <si>
    <t>LAB-000554</t>
  </si>
  <si>
    <t>LAB-000555</t>
  </si>
  <si>
    <t>LAB-000556</t>
  </si>
  <si>
    <t>LAB-000557</t>
  </si>
  <si>
    <t>LAB-000558</t>
  </si>
  <si>
    <t>LAB-000559</t>
  </si>
  <si>
    <t>LAB-000560</t>
  </si>
  <si>
    <t>LAB-000561</t>
  </si>
  <si>
    <t>LAB-000562</t>
  </si>
  <si>
    <t>LAB-000563</t>
  </si>
  <si>
    <t>LAB-000564</t>
  </si>
  <si>
    <t>LAB-000565</t>
  </si>
  <si>
    <t>LAB-000566</t>
  </si>
  <si>
    <t>LAB-000567</t>
  </si>
  <si>
    <t>LAB-000568</t>
  </si>
  <si>
    <t>LAB-000569</t>
  </si>
  <si>
    <t>LAB-000570</t>
  </si>
  <si>
    <t>LAB-000571</t>
  </si>
  <si>
    <t>LAB-000572</t>
  </si>
  <si>
    <t>LAB-000573</t>
  </si>
  <si>
    <t>LAB-000574</t>
  </si>
  <si>
    <t>LAB-000575</t>
  </si>
  <si>
    <t>LAB-000576</t>
  </si>
  <si>
    <t>LAB-000577</t>
  </si>
  <si>
    <t>LAB-000578</t>
  </si>
  <si>
    <t>LAB-000579</t>
  </si>
  <si>
    <t>LAB-000580</t>
  </si>
  <si>
    <t>LAB-000581</t>
  </si>
  <si>
    <t>LAB-000582</t>
  </si>
  <si>
    <t>LAB-000583</t>
  </si>
  <si>
    <t>TECH-016</t>
  </si>
  <si>
    <t>LAB-000584</t>
  </si>
  <si>
    <t>LAB-000585</t>
  </si>
  <si>
    <t>LAB-000586</t>
  </si>
  <si>
    <t>LAB-000587</t>
  </si>
  <si>
    <t>LAB-000588</t>
  </si>
  <si>
    <t>LAB-000589</t>
  </si>
  <si>
    <t>LAB-000590</t>
  </si>
  <si>
    <t>LAB-000591</t>
  </si>
  <si>
    <t>LAB-000592</t>
  </si>
  <si>
    <t>LAB-000593</t>
  </si>
  <si>
    <t>LAB-000594</t>
  </si>
  <si>
    <t>LAB-000595</t>
  </si>
  <si>
    <t>LAB-000596</t>
  </si>
  <si>
    <t>LAB-000597</t>
  </si>
  <si>
    <t>LAB-000598</t>
  </si>
  <si>
    <t>LAB-000599</t>
  </si>
  <si>
    <t>LAB-000600</t>
  </si>
  <si>
    <t>LAB-000601</t>
  </si>
  <si>
    <t>LAB-000602</t>
  </si>
  <si>
    <t>LAB-000603</t>
  </si>
  <si>
    <t>LAB-000604</t>
  </si>
  <si>
    <t>LAB-000605</t>
  </si>
  <si>
    <t>LAB-000606</t>
  </si>
  <si>
    <t>LAB-000607</t>
  </si>
  <si>
    <t>LAB-000608</t>
  </si>
  <si>
    <t>LAB-000609</t>
  </si>
  <si>
    <t>LAB-000610</t>
  </si>
  <si>
    <t>LAB-000611</t>
  </si>
  <si>
    <t>LAB-000612</t>
  </si>
  <si>
    <t>LAB-000613</t>
  </si>
  <si>
    <t>LAB-000614</t>
  </si>
  <si>
    <t>LAB-000615</t>
  </si>
  <si>
    <t>LAB-000616</t>
  </si>
  <si>
    <t>LAB-000617</t>
  </si>
  <si>
    <t>LAB-000618</t>
  </si>
  <si>
    <t>LAB-000619</t>
  </si>
  <si>
    <t>LAB-000620</t>
  </si>
  <si>
    <t>LAB-000621</t>
  </si>
  <si>
    <t>LAB-000622</t>
  </si>
  <si>
    <t>LAB-000623</t>
  </si>
  <si>
    <t>LAB-000624</t>
  </si>
  <si>
    <t>LAB-000625</t>
  </si>
  <si>
    <t>LAB-000626</t>
  </si>
  <si>
    <t>LAB-000627</t>
  </si>
  <si>
    <t>LAB-000628</t>
  </si>
  <si>
    <t>LAB-000629</t>
  </si>
  <si>
    <t>LAB-000630</t>
  </si>
  <si>
    <t>LAB-000631</t>
  </si>
  <si>
    <t>LAB-000632</t>
  </si>
  <si>
    <t>LAB-000633</t>
  </si>
  <si>
    <t>LAB-000634</t>
  </si>
  <si>
    <t>LAB-000635</t>
  </si>
  <si>
    <t>LAB-000636</t>
  </si>
  <si>
    <t>LAB-000637</t>
  </si>
  <si>
    <t>LAB-000638</t>
  </si>
  <si>
    <t>LAB-000639</t>
  </si>
  <si>
    <t>LAB-000640</t>
  </si>
  <si>
    <t>LAB-000641</t>
  </si>
  <si>
    <t>LAB-000642</t>
  </si>
  <si>
    <t>LAB-000643</t>
  </si>
  <si>
    <t>LAB-000644</t>
  </si>
  <si>
    <t>LAB-000645</t>
  </si>
  <si>
    <t>LAB-000646</t>
  </si>
  <si>
    <t>LAB-000647</t>
  </si>
  <si>
    <t>LAB-000648</t>
  </si>
  <si>
    <t>LAB-000649</t>
  </si>
  <si>
    <t>LAB-000650</t>
  </si>
  <si>
    <t>LAB-000651</t>
  </si>
  <si>
    <t>LAB-000652</t>
  </si>
  <si>
    <t>LAB-000653</t>
  </si>
  <si>
    <t>LAB-000654</t>
  </si>
  <si>
    <t>LAB-000655</t>
  </si>
  <si>
    <t>LAB-000656</t>
  </si>
  <si>
    <t>LAB-000657</t>
  </si>
  <si>
    <t>LAB-000658</t>
  </si>
  <si>
    <t>LAB-000659</t>
  </si>
  <si>
    <t>LAB-000660</t>
  </si>
  <si>
    <t>LAB-000661</t>
  </si>
  <si>
    <t>LAB-000662</t>
  </si>
  <si>
    <t>LAB-000663</t>
  </si>
  <si>
    <t>LAB-000664</t>
  </si>
  <si>
    <t>LAB-000665</t>
  </si>
  <si>
    <t>LAB-000666</t>
  </si>
  <si>
    <t>LAB-000667</t>
  </si>
  <si>
    <t>LAB-000668</t>
  </si>
  <si>
    <t>LAB-000669</t>
  </si>
  <si>
    <t>LAB-000670</t>
  </si>
  <si>
    <t>LAB-000671</t>
  </si>
  <si>
    <t>LAB-000672</t>
  </si>
  <si>
    <t>LAB-000673</t>
  </si>
  <si>
    <t>LAB-000674</t>
  </si>
  <si>
    <t>LAB-000675</t>
  </si>
  <si>
    <t>LAB-000676</t>
  </si>
  <si>
    <t>LAB-000677</t>
  </si>
  <si>
    <t>LAB-000678</t>
  </si>
  <si>
    <t>LAB-000679</t>
  </si>
  <si>
    <t>LAB-000680</t>
  </si>
  <si>
    <t>LAB-000681</t>
  </si>
  <si>
    <t>LAB-000682</t>
  </si>
  <si>
    <t>LAB-000683</t>
  </si>
  <si>
    <t>LAB-000684</t>
  </si>
  <si>
    <t>LAB-000685</t>
  </si>
  <si>
    <t>LAB-000686</t>
  </si>
  <si>
    <t>LAB-000687</t>
  </si>
  <si>
    <t>LAB-000688</t>
  </si>
  <si>
    <t>LAB-000689</t>
  </si>
  <si>
    <t>LAB-000690</t>
  </si>
  <si>
    <t>LAB-000691</t>
  </si>
  <si>
    <t>LAB-000692</t>
  </si>
  <si>
    <t>LAB-000693</t>
  </si>
  <si>
    <t>LAB-000694</t>
  </si>
  <si>
    <t>LAB-000695</t>
  </si>
  <si>
    <t>LAB-000696</t>
  </si>
  <si>
    <t>LAB-000697</t>
  </si>
  <si>
    <t>LAB-000698</t>
  </si>
  <si>
    <t>LAB-000699</t>
  </si>
  <si>
    <t>LAB-000700</t>
  </si>
  <si>
    <t>LAB-000701</t>
  </si>
  <si>
    <t>LAB-000702</t>
  </si>
  <si>
    <t>LAB-000703</t>
  </si>
  <si>
    <t>LAB-000704</t>
  </si>
  <si>
    <t>LAB-000705</t>
  </si>
  <si>
    <t>LAB-000706</t>
  </si>
  <si>
    <t>LAB-000707</t>
  </si>
  <si>
    <t>LAB-000708</t>
  </si>
  <si>
    <t>LAB-000709</t>
  </si>
  <si>
    <t>LAB-000710</t>
  </si>
  <si>
    <t>LAB-000711</t>
  </si>
  <si>
    <t>LAB-000712</t>
  </si>
  <si>
    <t>LAB-000713</t>
  </si>
  <si>
    <t>LAB-000714</t>
  </si>
  <si>
    <t>LAB-000715</t>
  </si>
  <si>
    <t>LAB-000716</t>
  </si>
  <si>
    <t>LAB-000717</t>
  </si>
  <si>
    <t>LAB-000718</t>
  </si>
  <si>
    <t>LAB-000719</t>
  </si>
  <si>
    <t>LAB-000720</t>
  </si>
  <si>
    <t>LAB-000721</t>
  </si>
  <si>
    <t>LAB-000722</t>
  </si>
  <si>
    <t>LAB-000723</t>
  </si>
  <si>
    <t>LAB-000724</t>
  </si>
  <si>
    <t>LAB-000725</t>
  </si>
  <si>
    <t>LAB-000726</t>
  </si>
  <si>
    <t>LAB-000727</t>
  </si>
  <si>
    <t>LAB-000728</t>
  </si>
  <si>
    <t>LAB-000729</t>
  </si>
  <si>
    <t>LAB-000730</t>
  </si>
  <si>
    <t>LAB-000731</t>
  </si>
  <si>
    <t>LAB-000732</t>
  </si>
  <si>
    <t>LAB-000733</t>
  </si>
  <si>
    <t>LAB-000734</t>
  </si>
  <si>
    <t>LAB-000735</t>
  </si>
  <si>
    <t>LAB-000736</t>
  </si>
  <si>
    <t>LAB-000737</t>
  </si>
  <si>
    <t>LAB-000738</t>
  </si>
  <si>
    <t>LAB-000739</t>
  </si>
  <si>
    <t>LAB-000740</t>
  </si>
  <si>
    <t>LAB-000741</t>
  </si>
  <si>
    <t>LAB-000742</t>
  </si>
  <si>
    <t>LAB-000743</t>
  </si>
  <si>
    <t>LAB-000744</t>
  </si>
  <si>
    <t>LAB-000745</t>
  </si>
  <si>
    <t>LAB-000746</t>
  </si>
  <si>
    <t>LAB-000747</t>
  </si>
  <si>
    <t>LAB-000748</t>
  </si>
  <si>
    <t>LAB-000749</t>
  </si>
  <si>
    <t>LAB-000750</t>
  </si>
  <si>
    <t>LAB-000751</t>
  </si>
  <si>
    <t>LAB-000752</t>
  </si>
  <si>
    <t>LAB-000753</t>
  </si>
  <si>
    <t>LAB-000754</t>
  </si>
  <si>
    <t>LAB-000755</t>
  </si>
  <si>
    <t>LAB-000756</t>
  </si>
  <si>
    <t>LAB-000757</t>
  </si>
  <si>
    <t>LAB-000758</t>
  </si>
  <si>
    <t>LAB-000759</t>
  </si>
  <si>
    <t>LAB-000760</t>
  </si>
  <si>
    <t>LAB-000761</t>
  </si>
  <si>
    <t>LAB-000762</t>
  </si>
  <si>
    <t>LAB-000763</t>
  </si>
  <si>
    <t>LAB-000764</t>
  </si>
  <si>
    <t>LAB-000765</t>
  </si>
  <si>
    <t>LAB-000766</t>
  </si>
  <si>
    <t>LAB-000767</t>
  </si>
  <si>
    <t>LAB-000768</t>
  </si>
  <si>
    <t>LAB-000769</t>
  </si>
  <si>
    <t>LAB-000770</t>
  </si>
  <si>
    <t>LAB-000771</t>
  </si>
  <si>
    <t>LAB-000772</t>
  </si>
  <si>
    <t>LAB-000773</t>
  </si>
  <si>
    <t>LAB-000774</t>
  </si>
  <si>
    <t>LAB-000775</t>
  </si>
  <si>
    <t>LAB-000776</t>
  </si>
  <si>
    <t>LAB-000777</t>
  </si>
  <si>
    <t>LAB-000778</t>
  </si>
  <si>
    <t>LAB-000779</t>
  </si>
  <si>
    <t>LAB-000780</t>
  </si>
  <si>
    <t>LAB-000781</t>
  </si>
  <si>
    <t>LAB-000782</t>
  </si>
  <si>
    <t>LAB-000783</t>
  </si>
  <si>
    <t>LAB-000784</t>
  </si>
  <si>
    <t>LAB-000785</t>
  </si>
  <si>
    <t>LAB-000786</t>
  </si>
  <si>
    <t>LAB-000787</t>
  </si>
  <si>
    <t>LAB-000788</t>
  </si>
  <si>
    <t>LAB-000789</t>
  </si>
  <si>
    <t>LAB-000790</t>
  </si>
  <si>
    <t>LAB-000791</t>
  </si>
  <si>
    <t>TECH-052</t>
  </si>
  <si>
    <t>LAB-000792</t>
  </si>
  <si>
    <t>LAB-000793</t>
  </si>
  <si>
    <t>LAB-000794</t>
  </si>
  <si>
    <t>LAB-000795</t>
  </si>
  <si>
    <t>LAB-000796</t>
  </si>
  <si>
    <t>LAB-000797</t>
  </si>
  <si>
    <t>LAB-000798</t>
  </si>
  <si>
    <t>LAB-000799</t>
  </si>
  <si>
    <t>LAB-000800</t>
  </si>
  <si>
    <t>LAB-000801</t>
  </si>
  <si>
    <t>LAB-000802</t>
  </si>
  <si>
    <t>LAB-000803</t>
  </si>
  <si>
    <t>LAB-000804</t>
  </si>
  <si>
    <t>LAB-000805</t>
  </si>
  <si>
    <t>LAB-000806</t>
  </si>
  <si>
    <t>LAB-000807</t>
  </si>
  <si>
    <t>LAB-000808</t>
  </si>
  <si>
    <t>LAB-000809</t>
  </si>
  <si>
    <t>LAB-000810</t>
  </si>
  <si>
    <t>LAB-000811</t>
  </si>
  <si>
    <t>LAB-000812</t>
  </si>
  <si>
    <t>LAB-000813</t>
  </si>
  <si>
    <t>LAB-000814</t>
  </si>
  <si>
    <t>LAB-000815</t>
  </si>
  <si>
    <t>LAB-000816</t>
  </si>
  <si>
    <t>LAB-000817</t>
  </si>
  <si>
    <t>LAB-000818</t>
  </si>
  <si>
    <t>LAB-000819</t>
  </si>
  <si>
    <t>LAB-000820</t>
  </si>
  <si>
    <t>LAB-000821</t>
  </si>
  <si>
    <t>LAB-000822</t>
  </si>
  <si>
    <t>LAB-000823</t>
  </si>
  <si>
    <t>LAB-000824</t>
  </si>
  <si>
    <t>LAB-000825</t>
  </si>
  <si>
    <t>LAB-000826</t>
  </si>
  <si>
    <t>LAB-000827</t>
  </si>
  <si>
    <t>LAB-000828</t>
  </si>
  <si>
    <t>LAB-000829</t>
  </si>
  <si>
    <t>LAB-000830</t>
  </si>
  <si>
    <t>LAB-000831</t>
  </si>
  <si>
    <t>LAB-000832</t>
  </si>
  <si>
    <t>LAB-000833</t>
  </si>
  <si>
    <t>LAB-000834</t>
  </si>
  <si>
    <t>LAB-000835</t>
  </si>
  <si>
    <t>LAB-000836</t>
  </si>
  <si>
    <t>LAB-000837</t>
  </si>
  <si>
    <t>LAB-000838</t>
  </si>
  <si>
    <t>LAB-000839</t>
  </si>
  <si>
    <t>LAB-000840</t>
  </si>
  <si>
    <t>LAB-000841</t>
  </si>
  <si>
    <t>LAB-000842</t>
  </si>
  <si>
    <t>LAB-000843</t>
  </si>
  <si>
    <t>LAB-000844</t>
  </si>
  <si>
    <t>LAB-000845</t>
  </si>
  <si>
    <t>LAB-000846</t>
  </si>
  <si>
    <t>LAB-000847</t>
  </si>
  <si>
    <t>LAB-000848</t>
  </si>
  <si>
    <t>LAB-000849</t>
  </si>
  <si>
    <t>LAB-000850</t>
  </si>
  <si>
    <t>LAB-000851</t>
  </si>
  <si>
    <t>LAB-000852</t>
  </si>
  <si>
    <t>LAB-000853</t>
  </si>
  <si>
    <t>LAB-000854</t>
  </si>
  <si>
    <t>LAB-000855</t>
  </si>
  <si>
    <t>LAB-000856</t>
  </si>
  <si>
    <t>LAB-000857</t>
  </si>
  <si>
    <t>LAB-000858</t>
  </si>
  <si>
    <t>LAB-000859</t>
  </si>
  <si>
    <t>LAB-000860</t>
  </si>
  <si>
    <t>LAB-000861</t>
  </si>
  <si>
    <t>LAB-000862</t>
  </si>
  <si>
    <t>LAB-000863</t>
  </si>
  <si>
    <t>LAB-000864</t>
  </si>
  <si>
    <t>LAB-000865</t>
  </si>
  <si>
    <t>LAB-000866</t>
  </si>
  <si>
    <t>LAB-000867</t>
  </si>
  <si>
    <t>LAB-000868</t>
  </si>
  <si>
    <t>LAB-000869</t>
  </si>
  <si>
    <t>LAB-000870</t>
  </si>
  <si>
    <t>LAB-000871</t>
  </si>
  <si>
    <t>LAB-000872</t>
  </si>
  <si>
    <t>LAB-000873</t>
  </si>
  <si>
    <t>LAB-000874</t>
  </si>
  <si>
    <t>LAB-000875</t>
  </si>
  <si>
    <t>LAB-000876</t>
  </si>
  <si>
    <t>LAB-000877</t>
  </si>
  <si>
    <t>LAB-000878</t>
  </si>
  <si>
    <t>LAB-000879</t>
  </si>
  <si>
    <t>LAB-000880</t>
  </si>
  <si>
    <t>LAB-000881</t>
  </si>
  <si>
    <t>LAB-000882</t>
  </si>
  <si>
    <t>LAB-000883</t>
  </si>
  <si>
    <t>LAB-000884</t>
  </si>
  <si>
    <t>LAB-000885</t>
  </si>
  <si>
    <t>LAB-000886</t>
  </si>
  <si>
    <t>LAB-000887</t>
  </si>
  <si>
    <t>LAB-000888</t>
  </si>
  <si>
    <t>LAB-000889</t>
  </si>
  <si>
    <t>LAB-000890</t>
  </si>
  <si>
    <t>LAB-000891</t>
  </si>
  <si>
    <t>LAB-000892</t>
  </si>
  <si>
    <t>LAB-000893</t>
  </si>
  <si>
    <t>LAB-000894</t>
  </si>
  <si>
    <t>LAB-000895</t>
  </si>
  <si>
    <t>LAB-000896</t>
  </si>
  <si>
    <t>LAB-000897</t>
  </si>
  <si>
    <t>LAB-000898</t>
  </si>
  <si>
    <t>LAB-000899</t>
  </si>
  <si>
    <t>LAB-000900</t>
  </si>
  <si>
    <t>LAB-000901</t>
  </si>
  <si>
    <t>LAB-000902</t>
  </si>
  <si>
    <t>LAB-000903</t>
  </si>
  <si>
    <t>LAB-000904</t>
  </si>
  <si>
    <t>LAB-000905</t>
  </si>
  <si>
    <t>LAB-000906</t>
  </si>
  <si>
    <t>LAB-000907</t>
  </si>
  <si>
    <t>LAB-000908</t>
  </si>
  <si>
    <t>LAB-000909</t>
  </si>
  <si>
    <t>LAB-000910</t>
  </si>
  <si>
    <t>LAB-000911</t>
  </si>
  <si>
    <t>LAB-000912</t>
  </si>
  <si>
    <t>LAB-000913</t>
  </si>
  <si>
    <t>LAB-000914</t>
  </si>
  <si>
    <t>LAB-000915</t>
  </si>
  <si>
    <t>LAB-000916</t>
  </si>
  <si>
    <t>LAB-000917</t>
  </si>
  <si>
    <t>LAB-000918</t>
  </si>
  <si>
    <t>LAB-000919</t>
  </si>
  <si>
    <t>LAB-000920</t>
  </si>
  <si>
    <t>LAB-000921</t>
  </si>
  <si>
    <t>LAB-000922</t>
  </si>
  <si>
    <t>LAB-000923</t>
  </si>
  <si>
    <t>LAB-000924</t>
  </si>
  <si>
    <t>LAB-000925</t>
  </si>
  <si>
    <t>LAB-000926</t>
  </si>
  <si>
    <t>LAB-000927</t>
  </si>
  <si>
    <t>LAB-000928</t>
  </si>
  <si>
    <t>LAB-000929</t>
  </si>
  <si>
    <t>LAB-000930</t>
  </si>
  <si>
    <t>LAB-000931</t>
  </si>
  <si>
    <t>LAB-000932</t>
  </si>
  <si>
    <t>LAB-000933</t>
  </si>
  <si>
    <t>LAB-000934</t>
  </si>
  <si>
    <t>LAB-000935</t>
  </si>
  <si>
    <t>LAB-000936</t>
  </si>
  <si>
    <t>LAB-000937</t>
  </si>
  <si>
    <t>LAB-000938</t>
  </si>
  <si>
    <t>LAB-000939</t>
  </si>
  <si>
    <t>LAB-000940</t>
  </si>
  <si>
    <t>LAB-000941</t>
  </si>
  <si>
    <t>LAB-000942</t>
  </si>
  <si>
    <t>LAB-000943</t>
  </si>
  <si>
    <t>LAB-000944</t>
  </si>
  <si>
    <t>LAB-000945</t>
  </si>
  <si>
    <t>LAB-000946</t>
  </si>
  <si>
    <t>LAB-000947</t>
  </si>
  <si>
    <t>LAB-000948</t>
  </si>
  <si>
    <t>LAB-000949</t>
  </si>
  <si>
    <t>LAB-000950</t>
  </si>
  <si>
    <t>LAB-000951</t>
  </si>
  <si>
    <t>LAB-000952</t>
  </si>
  <si>
    <t>LAB-000953</t>
  </si>
  <si>
    <t>LAB-000954</t>
  </si>
  <si>
    <t>LAB-000955</t>
  </si>
  <si>
    <t>LAB-000956</t>
  </si>
  <si>
    <t>LAB-000957</t>
  </si>
  <si>
    <t>LAB-000958</t>
  </si>
  <si>
    <t>LAB-000959</t>
  </si>
  <si>
    <t>LAB-000960</t>
  </si>
  <si>
    <t>LAB-000961</t>
  </si>
  <si>
    <t>LAB-000962</t>
  </si>
  <si>
    <t>LAB-000963</t>
  </si>
  <si>
    <t>LAB-000964</t>
  </si>
  <si>
    <t>LAB-000965</t>
  </si>
  <si>
    <t>LAB-000966</t>
  </si>
  <si>
    <t>LAB-000967</t>
  </si>
  <si>
    <t>LAB-000968</t>
  </si>
  <si>
    <t>LAB-000969</t>
  </si>
  <si>
    <t>LAB-000970</t>
  </si>
  <si>
    <t>LAB-000971</t>
  </si>
  <si>
    <t>LAB-000972</t>
  </si>
  <si>
    <t>LAB-000973</t>
  </si>
  <si>
    <t>LAB-000974</t>
  </si>
  <si>
    <t>LAB-000975</t>
  </si>
  <si>
    <t>LAB-000976</t>
  </si>
  <si>
    <t>LAB-000977</t>
  </si>
  <si>
    <t>LAB-000978</t>
  </si>
  <si>
    <t>LAB-000979</t>
  </si>
  <si>
    <t>LAB-000980</t>
  </si>
  <si>
    <t>LAB-000981</t>
  </si>
  <si>
    <t>LAB-000982</t>
  </si>
  <si>
    <t>LAB-000983</t>
  </si>
  <si>
    <t>LAB-000984</t>
  </si>
  <si>
    <t>LAB-000985</t>
  </si>
  <si>
    <t>LAB-000986</t>
  </si>
  <si>
    <t>LAB-000987</t>
  </si>
  <si>
    <t>LAB-000988</t>
  </si>
  <si>
    <t>LAB-000989</t>
  </si>
  <si>
    <t>LAB-000990</t>
  </si>
  <si>
    <t>LAB-000991</t>
  </si>
  <si>
    <t>LAB-000992</t>
  </si>
  <si>
    <t>LAB-000993</t>
  </si>
  <si>
    <t>LAB-000994</t>
  </si>
  <si>
    <t>LAB-000995</t>
  </si>
  <si>
    <t>LAB-000996</t>
  </si>
  <si>
    <t>LAB-000997</t>
  </si>
  <si>
    <t>LAB-000998</t>
  </si>
  <si>
    <t>LAB-000999</t>
  </si>
  <si>
    <t>LAB-001000</t>
  </si>
  <si>
    <t>LAB-001001</t>
  </si>
  <si>
    <t>LAB-001002</t>
  </si>
  <si>
    <t>LAB-001003</t>
  </si>
  <si>
    <t>LAB-001004</t>
  </si>
  <si>
    <t>LAB-001005</t>
  </si>
  <si>
    <t>LAB-001006</t>
  </si>
  <si>
    <t>LAB-001007</t>
  </si>
  <si>
    <t>LAB-001008</t>
  </si>
  <si>
    <t>LAB-001009</t>
  </si>
  <si>
    <t>LAB-001010</t>
  </si>
  <si>
    <t>LAB-001011</t>
  </si>
  <si>
    <t>LAB-001012</t>
  </si>
  <si>
    <t>LAB-001013</t>
  </si>
  <si>
    <t>LAB-001014</t>
  </si>
  <si>
    <t>LAB-001015</t>
  </si>
  <si>
    <t>LAB-001016</t>
  </si>
  <si>
    <t>LAB-001017</t>
  </si>
  <si>
    <t>LAB-001018</t>
  </si>
  <si>
    <t>LAB-001019</t>
  </si>
  <si>
    <t>LAB-001020</t>
  </si>
  <si>
    <t>LAB-001021</t>
  </si>
  <si>
    <t>LAB-001022</t>
  </si>
  <si>
    <t>LAB-001023</t>
  </si>
  <si>
    <t>LAB-001024</t>
  </si>
  <si>
    <t>LAB-001025</t>
  </si>
  <si>
    <t>LAB-001026</t>
  </si>
  <si>
    <t>LAB-001027</t>
  </si>
  <si>
    <t>LAB-001028</t>
  </si>
  <si>
    <t>LAB-001029</t>
  </si>
  <si>
    <t>LAB-001030</t>
  </si>
  <si>
    <t>LAB-001031</t>
  </si>
  <si>
    <t>LAB-001032</t>
  </si>
  <si>
    <t>LAB-001033</t>
  </si>
  <si>
    <t>LAB-001034</t>
  </si>
  <si>
    <t>LAB-001035</t>
  </si>
  <si>
    <t>LAB-001036</t>
  </si>
  <si>
    <t>LAB-001037</t>
  </si>
  <si>
    <t>LAB-001038</t>
  </si>
  <si>
    <t>LAB-001039</t>
  </si>
  <si>
    <t>LAB-001040</t>
  </si>
  <si>
    <t>LAB-001041</t>
  </si>
  <si>
    <t>LAB-001042</t>
  </si>
  <si>
    <t>LAB-001043</t>
  </si>
  <si>
    <t>LAB-001044</t>
  </si>
  <si>
    <t>LAB-001045</t>
  </si>
  <si>
    <t>LAB-001046</t>
  </si>
  <si>
    <t>LAB-001047</t>
  </si>
  <si>
    <t>LAB-001048</t>
  </si>
  <si>
    <t>LAB-001049</t>
  </si>
  <si>
    <t>LAB-001050</t>
  </si>
  <si>
    <t>LAB-001051</t>
  </si>
  <si>
    <t>LAB-001052</t>
  </si>
  <si>
    <t>LAB-001053</t>
  </si>
  <si>
    <t>LAB-001054</t>
  </si>
  <si>
    <t>LAB-001055</t>
  </si>
  <si>
    <t>LAB-001056</t>
  </si>
  <si>
    <t>LAB-001057</t>
  </si>
  <si>
    <t>LAB-001058</t>
  </si>
  <si>
    <t>LAB-001059</t>
  </si>
  <si>
    <t>LAB-001060</t>
  </si>
  <si>
    <t>LAB-001061</t>
  </si>
  <si>
    <t>LAB-001062</t>
  </si>
  <si>
    <t>LAB-001063</t>
  </si>
  <si>
    <t>LAB-001064</t>
  </si>
  <si>
    <t>LAB-001065</t>
  </si>
  <si>
    <t>LAB-001066</t>
  </si>
  <si>
    <t>LAB-001067</t>
  </si>
  <si>
    <t>LAB-001068</t>
  </si>
  <si>
    <t>LAB-001069</t>
  </si>
  <si>
    <t>LAB-001070</t>
  </si>
  <si>
    <t>LAB-001071</t>
  </si>
  <si>
    <t>LAB-001072</t>
  </si>
  <si>
    <t>LAB-001073</t>
  </si>
  <si>
    <t>LAB-001074</t>
  </si>
  <si>
    <t>LAB-001075</t>
  </si>
  <si>
    <t>LAB-001076</t>
  </si>
  <si>
    <t>LAB-001077</t>
  </si>
  <si>
    <t>LAB-001078</t>
  </si>
  <si>
    <t>LAB-001079</t>
  </si>
  <si>
    <t>LAB-001080</t>
  </si>
  <si>
    <t>LAB-001081</t>
  </si>
  <si>
    <t>LAB-001082</t>
  </si>
  <si>
    <t>LAB-001083</t>
  </si>
  <si>
    <t>LAB-001084</t>
  </si>
  <si>
    <t>LAB-001085</t>
  </si>
  <si>
    <t>LAB-001086</t>
  </si>
  <si>
    <t>LAB-001087</t>
  </si>
  <si>
    <t>LAB-001088</t>
  </si>
  <si>
    <t>LAB-001089</t>
  </si>
  <si>
    <t>LAB-001090</t>
  </si>
  <si>
    <t>LAB-001091</t>
  </si>
  <si>
    <t>LAB-001092</t>
  </si>
  <si>
    <t>LAB-001093</t>
  </si>
  <si>
    <t>LAB-001094</t>
  </si>
  <si>
    <t>LAB-001095</t>
  </si>
  <si>
    <t>LAB-001096</t>
  </si>
  <si>
    <t>LAB-001097</t>
  </si>
  <si>
    <t>LAB-001098</t>
  </si>
  <si>
    <t>LAB-001099</t>
  </si>
  <si>
    <t>LAB-001100</t>
  </si>
  <si>
    <t>LAB-001101</t>
  </si>
  <si>
    <t>LAB-001102</t>
  </si>
  <si>
    <t>LAB-001103</t>
  </si>
  <si>
    <t>LAB-001104</t>
  </si>
  <si>
    <t>LAB-001105</t>
  </si>
  <si>
    <t>LAB-001106</t>
  </si>
  <si>
    <t>LAB-001107</t>
  </si>
  <si>
    <t>LAB-001108</t>
  </si>
  <si>
    <t>LAB-001109</t>
  </si>
  <si>
    <t>LAB-001110</t>
  </si>
  <si>
    <t>LAB-001111</t>
  </si>
  <si>
    <t>LAB-001112</t>
  </si>
  <si>
    <t>LAB-001113</t>
  </si>
  <si>
    <t>LAB-001114</t>
  </si>
  <si>
    <t>LAB-001115</t>
  </si>
  <si>
    <t>LAB-001116</t>
  </si>
  <si>
    <t>LAB-001117</t>
  </si>
  <si>
    <t>LAB-001118</t>
  </si>
  <si>
    <t>LAB-001119</t>
  </si>
  <si>
    <t>LAB-001120</t>
  </si>
  <si>
    <t>LAB-001121</t>
  </si>
  <si>
    <t>LAB-001122</t>
  </si>
  <si>
    <t>LAB-001123</t>
  </si>
  <si>
    <t>LAB-001124</t>
  </si>
  <si>
    <t>LAB-001125</t>
  </si>
  <si>
    <t>LAB-001126</t>
  </si>
  <si>
    <t>LAB-001127</t>
  </si>
  <si>
    <t>LAB-001128</t>
  </si>
  <si>
    <t>LAB-001129</t>
  </si>
  <si>
    <t>LAB-001130</t>
  </si>
  <si>
    <t>LAB-001131</t>
  </si>
  <si>
    <t>LAB-001132</t>
  </si>
  <si>
    <t>LAB-001133</t>
  </si>
  <si>
    <t>LAB-001134</t>
  </si>
  <si>
    <t>LAB-001135</t>
  </si>
  <si>
    <t>LAB-001136</t>
  </si>
  <si>
    <t>LAB-001137</t>
  </si>
  <si>
    <t>LAB-001138</t>
  </si>
  <si>
    <t>LAB-001139</t>
  </si>
  <si>
    <t>LAB-001140</t>
  </si>
  <si>
    <t>LAB-001141</t>
  </si>
  <si>
    <t>LAB-001142</t>
  </si>
  <si>
    <t>LAB-001143</t>
  </si>
  <si>
    <t>LAB-001144</t>
  </si>
  <si>
    <t>LAB-001145</t>
  </si>
  <si>
    <t>LAB-001146</t>
  </si>
  <si>
    <t>LAB-001147</t>
  </si>
  <si>
    <t>LAB-001148</t>
  </si>
  <si>
    <t>LAB-001149</t>
  </si>
  <si>
    <t>LAB-001150</t>
  </si>
  <si>
    <t>LAB-001151</t>
  </si>
  <si>
    <t>LAB-001152</t>
  </si>
  <si>
    <t>LAB-001153</t>
  </si>
  <si>
    <t>LAB-001154</t>
  </si>
  <si>
    <t>LAB-001155</t>
  </si>
  <si>
    <t>LAB-001156</t>
  </si>
  <si>
    <t>LAB-001157</t>
  </si>
  <si>
    <t>LAB-001158</t>
  </si>
  <si>
    <t>LAB-001159</t>
  </si>
  <si>
    <t>LAB-001160</t>
  </si>
  <si>
    <t>LAB-001161</t>
  </si>
  <si>
    <t>LAB-001162</t>
  </si>
  <si>
    <t>LAB-001163</t>
  </si>
  <si>
    <t>LAB-001164</t>
  </si>
  <si>
    <t>LAB-001165</t>
  </si>
  <si>
    <t>LAB-001166</t>
  </si>
  <si>
    <t>LAB-001167</t>
  </si>
  <si>
    <t>LAB-001168</t>
  </si>
  <si>
    <t>LAB-001169</t>
  </si>
  <si>
    <t>LAB-001170</t>
  </si>
  <si>
    <t>LAB-001171</t>
  </si>
  <si>
    <t>LAB-001172</t>
  </si>
  <si>
    <t>LAB-001173</t>
  </si>
  <si>
    <t>LAB-001174</t>
  </si>
  <si>
    <t>LAB-001175</t>
  </si>
  <si>
    <t>LAB-001176</t>
  </si>
  <si>
    <t>LAB-001177</t>
  </si>
  <si>
    <t>LAB-001178</t>
  </si>
  <si>
    <t>LAB-001179</t>
  </si>
  <si>
    <t>LAB-001180</t>
  </si>
  <si>
    <t>LAB-001181</t>
  </si>
  <si>
    <t>LAB-001182</t>
  </si>
  <si>
    <t>LAB-001183</t>
  </si>
  <si>
    <t>LAB-001184</t>
  </si>
  <si>
    <t>LAB-001185</t>
  </si>
  <si>
    <t>LAB-001186</t>
  </si>
  <si>
    <t>LAB-001187</t>
  </si>
  <si>
    <t>LAB-001188</t>
  </si>
  <si>
    <t>LAB-001189</t>
  </si>
  <si>
    <t>LAB-001190</t>
  </si>
  <si>
    <t>LAB-001191</t>
  </si>
  <si>
    <t>LAB-001192</t>
  </si>
  <si>
    <t>LAB-001193</t>
  </si>
  <si>
    <t>LAB-001194</t>
  </si>
  <si>
    <t>LAB-001195</t>
  </si>
  <si>
    <t>LAB-001196</t>
  </si>
  <si>
    <t>LAB-001197</t>
  </si>
  <si>
    <t>LAB-001198</t>
  </si>
  <si>
    <t>LAB-001199</t>
  </si>
  <si>
    <t>LAB-001200</t>
  </si>
  <si>
    <t>LAB-001201</t>
  </si>
  <si>
    <t>LAB-001202</t>
  </si>
  <si>
    <t>LAB-001203</t>
  </si>
  <si>
    <t>LAB-001204</t>
  </si>
  <si>
    <t>LAB-001205</t>
  </si>
  <si>
    <t>LAB-001206</t>
  </si>
  <si>
    <t>LAB-001207</t>
  </si>
  <si>
    <t>LAB-001208</t>
  </si>
  <si>
    <t>LAB-001209</t>
  </si>
  <si>
    <t>LAB-001210</t>
  </si>
  <si>
    <t>LAB-001211</t>
  </si>
  <si>
    <t>LAB-001212</t>
  </si>
  <si>
    <t>LAB-001213</t>
  </si>
  <si>
    <t>LAB-001214</t>
  </si>
  <si>
    <t>LAB-001215</t>
  </si>
  <si>
    <t>LAB-001216</t>
  </si>
  <si>
    <t>LAB-001217</t>
  </si>
  <si>
    <t>LAB-001218</t>
  </si>
  <si>
    <t>LAB-001219</t>
  </si>
  <si>
    <t>LAB-001220</t>
  </si>
  <si>
    <t>LAB-001221</t>
  </si>
  <si>
    <t>LAB-001222</t>
  </si>
  <si>
    <t>LAB-001223</t>
  </si>
  <si>
    <t>LAB-001224</t>
  </si>
  <si>
    <t>LAB-001225</t>
  </si>
  <si>
    <t>LAB-001226</t>
  </si>
  <si>
    <t>LAB-001227</t>
  </si>
  <si>
    <t>LAB-001228</t>
  </si>
  <si>
    <t>LAB-001229</t>
  </si>
  <si>
    <t>LAB-001230</t>
  </si>
  <si>
    <t>LAB-001231</t>
  </si>
  <si>
    <t>LAB-001232</t>
  </si>
  <si>
    <t>LAB-001233</t>
  </si>
  <si>
    <t>LAB-001234</t>
  </si>
  <si>
    <t>LAB-001235</t>
  </si>
  <si>
    <t>LAB-001236</t>
  </si>
  <si>
    <t>LAB-001237</t>
  </si>
  <si>
    <t>LAB-001238</t>
  </si>
  <si>
    <t>LAB-001239</t>
  </si>
  <si>
    <t>LAB-001240</t>
  </si>
  <si>
    <t>LAB-001241</t>
  </si>
  <si>
    <t>LAB-001242</t>
  </si>
  <si>
    <t>LAB-001243</t>
  </si>
  <si>
    <t>LAB-001244</t>
  </si>
  <si>
    <t>LAB-001245</t>
  </si>
  <si>
    <t>LAB-001246</t>
  </si>
  <si>
    <t>LAB-001247</t>
  </si>
  <si>
    <t>LAB-001248</t>
  </si>
  <si>
    <t>LAB-001249</t>
  </si>
  <si>
    <t>LAB-001250</t>
  </si>
  <si>
    <t>LAB-001251</t>
  </si>
  <si>
    <t>LAB-001252</t>
  </si>
  <si>
    <t>LAB-001253</t>
  </si>
  <si>
    <t>LAB-001254</t>
  </si>
  <si>
    <t>LAB-001255</t>
  </si>
  <si>
    <t>LAB-001256</t>
  </si>
  <si>
    <t>LAB-001257</t>
  </si>
  <si>
    <t>LAB-001258</t>
  </si>
  <si>
    <t>LAB-001259</t>
  </si>
  <si>
    <t>LAB-001260</t>
  </si>
  <si>
    <t>LAB-001261</t>
  </si>
  <si>
    <t>LAB-001262</t>
  </si>
  <si>
    <t>LAB-001263</t>
  </si>
  <si>
    <t>LAB-001264</t>
  </si>
  <si>
    <t>LAB-001265</t>
  </si>
  <si>
    <t>LAB-001266</t>
  </si>
  <si>
    <t>LAB-001267</t>
  </si>
  <si>
    <t>LAB-001268</t>
  </si>
  <si>
    <t>LAB-001269</t>
  </si>
  <si>
    <t>LAB-001270</t>
  </si>
  <si>
    <t>LAB-001271</t>
  </si>
  <si>
    <t>LAB-001272</t>
  </si>
  <si>
    <t>LAB-001273</t>
  </si>
  <si>
    <t>LAB-001274</t>
  </si>
  <si>
    <t>LAB-001275</t>
  </si>
  <si>
    <t>LAB-001276</t>
  </si>
  <si>
    <t>LAB-001277</t>
  </si>
  <si>
    <t>LAB-001278</t>
  </si>
  <si>
    <t>LAB-001279</t>
  </si>
  <si>
    <t>LAB-001280</t>
  </si>
  <si>
    <t>LAB-001281</t>
  </si>
  <si>
    <t>LAB-001282</t>
  </si>
  <si>
    <t>LAB-001283</t>
  </si>
  <si>
    <t>LAB-001284</t>
  </si>
  <si>
    <t>LAB-001285</t>
  </si>
  <si>
    <t>LAB-001286</t>
  </si>
  <si>
    <t>LAB-001287</t>
  </si>
  <si>
    <t>LAB-001288</t>
  </si>
  <si>
    <t>LAB-001289</t>
  </si>
  <si>
    <t>LAB-001290</t>
  </si>
  <si>
    <t>LAB-001291</t>
  </si>
  <si>
    <t>LAB-001292</t>
  </si>
  <si>
    <t>LAB-001293</t>
  </si>
  <si>
    <t>LAB-001294</t>
  </si>
  <si>
    <t>LAB-001295</t>
  </si>
  <si>
    <t>LAB-001296</t>
  </si>
  <si>
    <t>LAB-001297</t>
  </si>
  <si>
    <t>LAB-001298</t>
  </si>
  <si>
    <t>LAB-001299</t>
  </si>
  <si>
    <t>LAB-001300</t>
  </si>
  <si>
    <t>LAB-001301</t>
  </si>
  <si>
    <t>LAB-001302</t>
  </si>
  <si>
    <t>LAB-001303</t>
  </si>
  <si>
    <t>LAB-001304</t>
  </si>
  <si>
    <t>LAB-001305</t>
  </si>
  <si>
    <t>LAB-001306</t>
  </si>
  <si>
    <t>LAB-001307</t>
  </si>
  <si>
    <t>LAB-001308</t>
  </si>
  <si>
    <t>LAB-001309</t>
  </si>
  <si>
    <t>LAB-001310</t>
  </si>
  <si>
    <t>LAB-001311</t>
  </si>
  <si>
    <t>LAB-001312</t>
  </si>
  <si>
    <t>LAB-001313</t>
  </si>
  <si>
    <t>LAB-001314</t>
  </si>
  <si>
    <t>LAB-001315</t>
  </si>
  <si>
    <t>LAB-001316</t>
  </si>
  <si>
    <t>LAB-001317</t>
  </si>
  <si>
    <t>LAB-001318</t>
  </si>
  <si>
    <t>LAB-001319</t>
  </si>
  <si>
    <t>LAB-001320</t>
  </si>
  <si>
    <t>LAB-001321</t>
  </si>
  <si>
    <t>LAB-001322</t>
  </si>
  <si>
    <t>LAB-001323</t>
  </si>
  <si>
    <t>LAB-001324</t>
  </si>
  <si>
    <t>LAB-001325</t>
  </si>
  <si>
    <t>LAB-001326</t>
  </si>
  <si>
    <t>LAB-001327</t>
  </si>
  <si>
    <t>2026-02-21</t>
  </si>
  <si>
    <t>LAB-001328</t>
  </si>
  <si>
    <t>LAB-001329</t>
  </si>
  <si>
    <t>LAB-001330</t>
  </si>
  <si>
    <t>LAB-001331</t>
  </si>
  <si>
    <t>LAB-001332</t>
  </si>
  <si>
    <t>LAB-001333</t>
  </si>
  <si>
    <t>LAB-001334</t>
  </si>
  <si>
    <t>LAB-001335</t>
  </si>
  <si>
    <t>LAB-001336</t>
  </si>
  <si>
    <t>LAB-001337</t>
  </si>
  <si>
    <t>LAB-001338</t>
  </si>
  <si>
    <t>LAB-001339</t>
  </si>
  <si>
    <t>LAB-001340</t>
  </si>
  <si>
    <t>LAB-001341</t>
  </si>
  <si>
    <t>LAB-001342</t>
  </si>
  <si>
    <t>LAB-001343</t>
  </si>
  <si>
    <t>LAB-001344</t>
  </si>
  <si>
    <t>LAB-001345</t>
  </si>
  <si>
    <t>LAB-001346</t>
  </si>
  <si>
    <t>LAB-001347</t>
  </si>
  <si>
    <t>LAB-001348</t>
  </si>
  <si>
    <t>LAB-001349</t>
  </si>
  <si>
    <t>LAB-001350</t>
  </si>
  <si>
    <t>LAB-001351</t>
  </si>
  <si>
    <t>LAB-001352</t>
  </si>
  <si>
    <t>LAB-001353</t>
  </si>
  <si>
    <t>LAB-001354</t>
  </si>
  <si>
    <t>LAB-001355</t>
  </si>
  <si>
    <t>LAB-001356</t>
  </si>
  <si>
    <t>LAB-001357</t>
  </si>
  <si>
    <t>LAB-001358</t>
  </si>
  <si>
    <t>LAB-001359</t>
  </si>
  <si>
    <t>LAB-001360</t>
  </si>
  <si>
    <t>LAB-001361</t>
  </si>
  <si>
    <t>LAB-001362</t>
  </si>
  <si>
    <t>LAB-001363</t>
  </si>
  <si>
    <t>LAB-001364</t>
  </si>
  <si>
    <t>LAB-001365</t>
  </si>
  <si>
    <t>LAB-001366</t>
  </si>
  <si>
    <t>LAB-001367</t>
  </si>
  <si>
    <t>LAB-001368</t>
  </si>
  <si>
    <t>LAB-001369</t>
  </si>
  <si>
    <t>LAB-001370</t>
  </si>
  <si>
    <t>LAB-001371</t>
  </si>
  <si>
    <t>LAB-001372</t>
  </si>
  <si>
    <t>LAB-001373</t>
  </si>
  <si>
    <t>LAB-001374</t>
  </si>
  <si>
    <t>LAB-001375</t>
  </si>
  <si>
    <t>LAB-001376</t>
  </si>
  <si>
    <t>LAB-001377</t>
  </si>
  <si>
    <t>LAB-001378</t>
  </si>
  <si>
    <t>LAB-001379</t>
  </si>
  <si>
    <t>LAB-001380</t>
  </si>
  <si>
    <t>LAB-001381</t>
  </si>
  <si>
    <t>LAB-001382</t>
  </si>
  <si>
    <t>LAB-001383</t>
  </si>
  <si>
    <t>LAB-001384</t>
  </si>
  <si>
    <t>LAB-001385</t>
  </si>
  <si>
    <t>LAB-001386</t>
  </si>
  <si>
    <t>LAB-001387</t>
  </si>
  <si>
    <t>LAB-001388</t>
  </si>
  <si>
    <t>LAB-001389</t>
  </si>
  <si>
    <t>LAB-001390</t>
  </si>
  <si>
    <t>LAB-001391</t>
  </si>
  <si>
    <t>LAB-001392</t>
  </si>
  <si>
    <t>LAB-001393</t>
  </si>
  <si>
    <t>LAB-001394</t>
  </si>
  <si>
    <t>LAB-001395</t>
  </si>
  <si>
    <t>LAB-001396</t>
  </si>
  <si>
    <t>LAB-001397</t>
  </si>
  <si>
    <t>LAB-001398</t>
  </si>
  <si>
    <t>LAB-001399</t>
  </si>
  <si>
    <t>LAB-001400</t>
  </si>
  <si>
    <t>LAB-001401</t>
  </si>
  <si>
    <t>LAB-001402</t>
  </si>
  <si>
    <t>LAB-001403</t>
  </si>
  <si>
    <t>LAB-001404</t>
  </si>
  <si>
    <t>LAB-001405</t>
  </si>
  <si>
    <t>LAB-001406</t>
  </si>
  <si>
    <t>LAB-001407</t>
  </si>
  <si>
    <t>LAB-001408</t>
  </si>
  <si>
    <t>LAB-001409</t>
  </si>
  <si>
    <t>LAB-001410</t>
  </si>
  <si>
    <t>LAB-001411</t>
  </si>
  <si>
    <t>LAB-001412</t>
  </si>
  <si>
    <t>LAB-001413</t>
  </si>
  <si>
    <t>LAB-001414</t>
  </si>
  <si>
    <t>LAB-001415</t>
  </si>
  <si>
    <t>LAB-001416</t>
  </si>
  <si>
    <t>LAB-001417</t>
  </si>
  <si>
    <t>LAB-001418</t>
  </si>
  <si>
    <t>LAB-001419</t>
  </si>
  <si>
    <t>LAB-001420</t>
  </si>
  <si>
    <t>LAB-001421</t>
  </si>
  <si>
    <t>LAB-001422</t>
  </si>
  <si>
    <t>LAB-001423</t>
  </si>
  <si>
    <t>LAB-001424</t>
  </si>
  <si>
    <t>LAB-001425</t>
  </si>
  <si>
    <t>LAB-001426</t>
  </si>
  <si>
    <t>LAB-001427</t>
  </si>
  <si>
    <t>LAB-001428</t>
  </si>
  <si>
    <t>LAB-001429</t>
  </si>
  <si>
    <t>LAB-001430</t>
  </si>
  <si>
    <t>LAB-001431</t>
  </si>
  <si>
    <t>LAB-001432</t>
  </si>
  <si>
    <t>LAB-001433</t>
  </si>
  <si>
    <t>LAB-001434</t>
  </si>
  <si>
    <t>LAB-001435</t>
  </si>
  <si>
    <t>LAB-001436</t>
  </si>
  <si>
    <t>LAB-001437</t>
  </si>
  <si>
    <t>LAB-001438</t>
  </si>
  <si>
    <t>LAB-001439</t>
  </si>
  <si>
    <t>LAB-001440</t>
  </si>
  <si>
    <t>LAB-001441</t>
  </si>
  <si>
    <t>LAB-001442</t>
  </si>
  <si>
    <t>LAB-001443</t>
  </si>
  <si>
    <t>LAB-001444</t>
  </si>
  <si>
    <t>LAB-001445</t>
  </si>
  <si>
    <t>LAB-001446</t>
  </si>
  <si>
    <t>LAB-001447</t>
  </si>
  <si>
    <t>LAB-001448</t>
  </si>
  <si>
    <t>LAB-001449</t>
  </si>
  <si>
    <t>LAB-001450</t>
  </si>
  <si>
    <t>LAB-001451</t>
  </si>
  <si>
    <t>LAB-001452</t>
  </si>
  <si>
    <t>LAB-001453</t>
  </si>
  <si>
    <t>LAB-001454</t>
  </si>
  <si>
    <t>LAB-001455</t>
  </si>
  <si>
    <t>LAB-001456</t>
  </si>
  <si>
    <t>LAB-001457</t>
  </si>
  <si>
    <t>LAB-001458</t>
  </si>
  <si>
    <t>LAB-001459</t>
  </si>
  <si>
    <t>LAB-001460</t>
  </si>
  <si>
    <t>LAB-001461</t>
  </si>
  <si>
    <t>LAB-001462</t>
  </si>
  <si>
    <t>LAB-001463</t>
  </si>
  <si>
    <t>LAB-001464</t>
  </si>
  <si>
    <t>LAB-001465</t>
  </si>
  <si>
    <t>LAB-001466</t>
  </si>
  <si>
    <t>LAB-001467</t>
  </si>
  <si>
    <t>LAB-001468</t>
  </si>
  <si>
    <t>LAB-001469</t>
  </si>
  <si>
    <t>LAB-001470</t>
  </si>
  <si>
    <t>LAB-001471</t>
  </si>
  <si>
    <t>LAB-001472</t>
  </si>
  <si>
    <t>LAB-001473</t>
  </si>
  <si>
    <t>LAB-001474</t>
  </si>
  <si>
    <t>LAB-001475</t>
  </si>
  <si>
    <t>LAB-001476</t>
  </si>
  <si>
    <t>LAB-001477</t>
  </si>
  <si>
    <t>LAB-001478</t>
  </si>
  <si>
    <t>LAB-001479</t>
  </si>
  <si>
    <t>LAB-001480</t>
  </si>
  <si>
    <t>LAB-001481</t>
  </si>
  <si>
    <t>LAB-001482</t>
  </si>
  <si>
    <t>LAB-001483</t>
  </si>
  <si>
    <t>LAB-001484</t>
  </si>
  <si>
    <t>LAB-001485</t>
  </si>
  <si>
    <t>LAB-001486</t>
  </si>
  <si>
    <t>LAB-001487</t>
  </si>
  <si>
    <t>LAB-001488</t>
  </si>
  <si>
    <t>LAB-001489</t>
  </si>
  <si>
    <t>LAB-001490</t>
  </si>
  <si>
    <t>LAB-001491</t>
  </si>
  <si>
    <t>LAB-001492</t>
  </si>
  <si>
    <t>LAB-001493</t>
  </si>
  <si>
    <t>LAB-001494</t>
  </si>
  <si>
    <t>LAB-001495</t>
  </si>
  <si>
    <t>LAB-001496</t>
  </si>
  <si>
    <t>LAB-001497</t>
  </si>
  <si>
    <t>LAB-001498</t>
  </si>
  <si>
    <t>LAB-001499</t>
  </si>
  <si>
    <t>LAB-001500</t>
  </si>
  <si>
    <t>LAB-001501</t>
  </si>
  <si>
    <t>LAB-001502</t>
  </si>
  <si>
    <t>LAB-001503</t>
  </si>
  <si>
    <t>LAB-001504</t>
  </si>
  <si>
    <t>2026-01-21</t>
  </si>
  <si>
    <t>LAB-001505</t>
  </si>
  <si>
    <t>2026-01-22</t>
  </si>
  <si>
    <t>LAB-001506</t>
  </si>
  <si>
    <t>LAB-001507</t>
  </si>
  <si>
    <t>LAB-001508</t>
  </si>
  <si>
    <t>LAB-001509</t>
  </si>
  <si>
    <t>LAB-001510</t>
  </si>
  <si>
    <t>LAB-001511</t>
  </si>
  <si>
    <t>LAB-001512</t>
  </si>
  <si>
    <t>LAB-001513</t>
  </si>
  <si>
    <t>LAB-001514</t>
  </si>
  <si>
    <t>LAB-001515</t>
  </si>
  <si>
    <t>LAB-001516</t>
  </si>
  <si>
    <t>LAB-001517</t>
  </si>
  <si>
    <t>LAB-001518</t>
  </si>
  <si>
    <t>LAB-001519</t>
  </si>
  <si>
    <t>LAB-001520</t>
  </si>
  <si>
    <t>LAB-001521</t>
  </si>
  <si>
    <t>LAB-001522</t>
  </si>
  <si>
    <t>LAB-001523</t>
  </si>
  <si>
    <t>LAB-001524</t>
  </si>
  <si>
    <t>LAB-001525</t>
  </si>
  <si>
    <t>LAB-001526</t>
  </si>
  <si>
    <t>LAB-001527</t>
  </si>
  <si>
    <t>LAB-001528</t>
  </si>
  <si>
    <t>LAB-001529</t>
  </si>
  <si>
    <t>LAB-001530</t>
  </si>
  <si>
    <t>LAB-001531</t>
  </si>
  <si>
    <t>LAB-001532</t>
  </si>
  <si>
    <t>LAB-001533</t>
  </si>
  <si>
    <t>LAB-001534</t>
  </si>
  <si>
    <t>LAB-001535</t>
  </si>
  <si>
    <t>LAB-001536</t>
  </si>
  <si>
    <t>LAB-001537</t>
  </si>
  <si>
    <t>LAB-001538</t>
  </si>
  <si>
    <t>LAB-001539</t>
  </si>
  <si>
    <t>LAB-001540</t>
  </si>
  <si>
    <t>LAB-001541</t>
  </si>
  <si>
    <t>LAB-001542</t>
  </si>
  <si>
    <t>LAB-001543</t>
  </si>
  <si>
    <t>LAB-001544</t>
  </si>
  <si>
    <t>LAB-001545</t>
  </si>
  <si>
    <t>LAB-001546</t>
  </si>
  <si>
    <t>LAB-001547</t>
  </si>
  <si>
    <t>LAB-001548</t>
  </si>
  <si>
    <t>LAB-001549</t>
  </si>
  <si>
    <t>LAB-001550</t>
  </si>
  <si>
    <t>LAB-001551</t>
  </si>
  <si>
    <t>LAB-001552</t>
  </si>
  <si>
    <t>LAB-001553</t>
  </si>
  <si>
    <t>LAB-001554</t>
  </si>
  <si>
    <t>LAB-001555</t>
  </si>
  <si>
    <t>LAB-001556</t>
  </si>
  <si>
    <t>LAB-001557</t>
  </si>
  <si>
    <t>LAB-001558</t>
  </si>
  <si>
    <t>LAB-001559</t>
  </si>
  <si>
    <t>LAB-001560</t>
  </si>
  <si>
    <t>LAB-001561</t>
  </si>
  <si>
    <t>LAB-001562</t>
  </si>
  <si>
    <t>LAB-001563</t>
  </si>
  <si>
    <t>LAB-001564</t>
  </si>
  <si>
    <t>LAB-001565</t>
  </si>
  <si>
    <t>LAB-001566</t>
  </si>
  <si>
    <t>LAB-001567</t>
  </si>
  <si>
    <t>LAB-001568</t>
  </si>
  <si>
    <t>LAB-001569</t>
  </si>
  <si>
    <t>LAB-001570</t>
  </si>
  <si>
    <t>LAB-001571</t>
  </si>
  <si>
    <t>LAB-001572</t>
  </si>
  <si>
    <t>LAB-001573</t>
  </si>
  <si>
    <t>LAB-001574</t>
  </si>
  <si>
    <t>LAB-001575</t>
  </si>
  <si>
    <t>LAB-001576</t>
  </si>
  <si>
    <t>LAB-001577</t>
  </si>
  <si>
    <t>LAB-001578</t>
  </si>
  <si>
    <t>LAB-001579</t>
  </si>
  <si>
    <t>LAB-001580</t>
  </si>
  <si>
    <t>LAB-001581</t>
  </si>
  <si>
    <t>LAB-001582</t>
  </si>
  <si>
    <t>LAB-001583</t>
  </si>
  <si>
    <t>LAB-001584</t>
  </si>
  <si>
    <t>LAB-001585</t>
  </si>
  <si>
    <t>LAB-001586</t>
  </si>
  <si>
    <t>LAB-001587</t>
  </si>
  <si>
    <t>LAB-001588</t>
  </si>
  <si>
    <t>LAB-001589</t>
  </si>
  <si>
    <t>LAB-001590</t>
  </si>
  <si>
    <t>LAB-001591</t>
  </si>
  <si>
    <t>LAB-001592</t>
  </si>
  <si>
    <t>LAB-001593</t>
  </si>
  <si>
    <t>LAB-001594</t>
  </si>
  <si>
    <t>LAB-001595</t>
  </si>
  <si>
    <t>LAB-001596</t>
  </si>
  <si>
    <t>LAB-001597</t>
  </si>
  <si>
    <t>LAB-001598</t>
  </si>
  <si>
    <t>LAB-001599</t>
  </si>
  <si>
    <t>LAB-001600</t>
  </si>
  <si>
    <t>LAB-001601</t>
  </si>
  <si>
    <t>LAB-001602</t>
  </si>
  <si>
    <t>LAB-001603</t>
  </si>
  <si>
    <t>LAB-001604</t>
  </si>
  <si>
    <t>LAB-001605</t>
  </si>
  <si>
    <t>LAB-001606</t>
  </si>
  <si>
    <t>LAB-001607</t>
  </si>
  <si>
    <t>LAB-001608</t>
  </si>
  <si>
    <t>LAB-001609</t>
  </si>
  <si>
    <t>LAB-001610</t>
  </si>
  <si>
    <t>LAB-001611</t>
  </si>
  <si>
    <t>LAB-001612</t>
  </si>
  <si>
    <t>LAB-001613</t>
  </si>
  <si>
    <t>LAB-001614</t>
  </si>
  <si>
    <t>LAB-001615</t>
  </si>
  <si>
    <t>LAB-001616</t>
  </si>
  <si>
    <t>LAB-001617</t>
  </si>
  <si>
    <t>LAB-001618</t>
  </si>
  <si>
    <t>LAB-001619</t>
  </si>
  <si>
    <t>LAB-001620</t>
  </si>
  <si>
    <t>LAB-001621</t>
  </si>
  <si>
    <t>LAB-001622</t>
  </si>
  <si>
    <t>LAB-001623</t>
  </si>
  <si>
    <t>LAB-001624</t>
  </si>
  <si>
    <t>LAB-001625</t>
  </si>
  <si>
    <t>LAB-001626</t>
  </si>
  <si>
    <t>LAB-001627</t>
  </si>
  <si>
    <t>LAB-001628</t>
  </si>
  <si>
    <t>LAB-001629</t>
  </si>
  <si>
    <t>LAB-001630</t>
  </si>
  <si>
    <t>LAB-001631</t>
  </si>
  <si>
    <t>LAB-001632</t>
  </si>
  <si>
    <t>LAB-001633</t>
  </si>
  <si>
    <t>LAB-001634</t>
  </si>
  <si>
    <t>LAB-001635</t>
  </si>
  <si>
    <t>LAB-001636</t>
  </si>
  <si>
    <t>LAB-001637</t>
  </si>
  <si>
    <t>LAB-001638</t>
  </si>
  <si>
    <t>LAB-001639</t>
  </si>
  <si>
    <t>LAB-001640</t>
  </si>
  <si>
    <t>LAB-001641</t>
  </si>
  <si>
    <t>LAB-001642</t>
  </si>
  <si>
    <t>LAB-001643</t>
  </si>
  <si>
    <t>LAB-001644</t>
  </si>
  <si>
    <t>LAB-001645</t>
  </si>
  <si>
    <t>LAB-001646</t>
  </si>
  <si>
    <t>LAB-001647</t>
  </si>
  <si>
    <t>LAB-001648</t>
  </si>
  <si>
    <t>LAB-001649</t>
  </si>
  <si>
    <t>LAB-001650</t>
  </si>
  <si>
    <t>LAB-001651</t>
  </si>
  <si>
    <t>LAB-001652</t>
  </si>
  <si>
    <t>LAB-001653</t>
  </si>
  <si>
    <t>LAB-001654</t>
  </si>
  <si>
    <t>LAB-001655</t>
  </si>
  <si>
    <t>LAB-001656</t>
  </si>
  <si>
    <t>LAB-001657</t>
  </si>
  <si>
    <t>LAB-001658</t>
  </si>
  <si>
    <t>LAB-001659</t>
  </si>
  <si>
    <t>LAB-001660</t>
  </si>
  <si>
    <t>LAB-001661</t>
  </si>
  <si>
    <t>LAB-001662</t>
  </si>
  <si>
    <t>LAB-001663</t>
  </si>
  <si>
    <t>LAB-001664</t>
  </si>
  <si>
    <t>LAB-001665</t>
  </si>
  <si>
    <t>LAB-001666</t>
  </si>
  <si>
    <t>LAB-001667</t>
  </si>
  <si>
    <t>LAB-001668</t>
  </si>
  <si>
    <t>LAB-001669</t>
  </si>
  <si>
    <t>LAB-001670</t>
  </si>
  <si>
    <t>LAB-001671</t>
  </si>
  <si>
    <t>LAB-001672</t>
  </si>
  <si>
    <t>LAB-001673</t>
  </si>
  <si>
    <t>LAB-001674</t>
  </si>
  <si>
    <t>LAB-001675</t>
  </si>
  <si>
    <t>LAB-001676</t>
  </si>
  <si>
    <t>LAB-001677</t>
  </si>
  <si>
    <t>LAB-001678</t>
  </si>
  <si>
    <t>LAB-001679</t>
  </si>
  <si>
    <t>LAB-001680</t>
  </si>
  <si>
    <t>LAB-001681</t>
  </si>
  <si>
    <t>LAB-001682</t>
  </si>
  <si>
    <t>LAB-001683</t>
  </si>
  <si>
    <t>LAB-001684</t>
  </si>
  <si>
    <t>LAB-001685</t>
  </si>
  <si>
    <t>LAB-001686</t>
  </si>
  <si>
    <t>LAB-001687</t>
  </si>
  <si>
    <t>LAB-001688</t>
  </si>
  <si>
    <t>LAB-001689</t>
  </si>
  <si>
    <t>LAB-001690</t>
  </si>
  <si>
    <t>LAB-001691</t>
  </si>
  <si>
    <t>LAB-001692</t>
  </si>
  <si>
    <t>LAB-001693</t>
  </si>
  <si>
    <t>LAB-001694</t>
  </si>
  <si>
    <t>LAB-001695</t>
  </si>
  <si>
    <t>LAB-001696</t>
  </si>
  <si>
    <t>LAB-001697</t>
  </si>
  <si>
    <t>LAB-001698</t>
  </si>
  <si>
    <t>LAB-001699</t>
  </si>
  <si>
    <t>LAB-001700</t>
  </si>
  <si>
    <t>LAB-001701</t>
  </si>
  <si>
    <t>LAB-001702</t>
  </si>
  <si>
    <t>LAB-001703</t>
  </si>
  <si>
    <t>LAB-001704</t>
  </si>
  <si>
    <t>LAB-001705</t>
  </si>
  <si>
    <t>LAB-001706</t>
  </si>
  <si>
    <t>LAB-001707</t>
  </si>
  <si>
    <t>LAB-001708</t>
  </si>
  <si>
    <t>LAB-001709</t>
  </si>
  <si>
    <t>LAB-001710</t>
  </si>
  <si>
    <t>LAB-001711</t>
  </si>
  <si>
    <t>LAB-001712</t>
  </si>
  <si>
    <t>LAB-001713</t>
  </si>
  <si>
    <t>LAB-001714</t>
  </si>
  <si>
    <t>LAB-001715</t>
  </si>
  <si>
    <t>LAB-001716</t>
  </si>
  <si>
    <t>LAB-001717</t>
  </si>
  <si>
    <t>LAB-001718</t>
  </si>
  <si>
    <t>LAB-001719</t>
  </si>
  <si>
    <t>LAB-001720</t>
  </si>
  <si>
    <t>LAB-001721</t>
  </si>
  <si>
    <t>LAB-001722</t>
  </si>
  <si>
    <t>LAB-001723</t>
  </si>
  <si>
    <t>LAB-001724</t>
  </si>
  <si>
    <t>LAB-001725</t>
  </si>
  <si>
    <t>LAB-001726</t>
  </si>
  <si>
    <t>LAB-001727</t>
  </si>
  <si>
    <t>LAB-001728</t>
  </si>
  <si>
    <t>LAB-001729</t>
  </si>
  <si>
    <t>LAB-001730</t>
  </si>
  <si>
    <t>LAB-001731</t>
  </si>
  <si>
    <t>LAB-001732</t>
  </si>
  <si>
    <t>LAB-001733</t>
  </si>
  <si>
    <t>LAB-001734</t>
  </si>
  <si>
    <t>LAB-001735</t>
  </si>
  <si>
    <t>LAB-001736</t>
  </si>
  <si>
    <t>LAB-001737</t>
  </si>
  <si>
    <t>LAB-001738</t>
  </si>
  <si>
    <t>LAB-001739</t>
  </si>
  <si>
    <t>LAB-001740</t>
  </si>
  <si>
    <t>LAB-001741</t>
  </si>
  <si>
    <t>LAB-001742</t>
  </si>
  <si>
    <t>LAB-001743</t>
  </si>
  <si>
    <t>LAB-001744</t>
  </si>
  <si>
    <t>LAB-001745</t>
  </si>
  <si>
    <t>LAB-001746</t>
  </si>
  <si>
    <t>LAB-001747</t>
  </si>
  <si>
    <t>LAB-001748</t>
  </si>
  <si>
    <t>LAB-001749</t>
  </si>
  <si>
    <t>LAB-001750</t>
  </si>
  <si>
    <t>LAB-001751</t>
  </si>
  <si>
    <t>LAB-001752</t>
  </si>
  <si>
    <t>LAB-001753</t>
  </si>
  <si>
    <t>LAB-001754</t>
  </si>
  <si>
    <t>LAB-001755</t>
  </si>
  <si>
    <t>LAB-001756</t>
  </si>
  <si>
    <t>LAB-001757</t>
  </si>
  <si>
    <t>LAB-001758</t>
  </si>
  <si>
    <t>LAB-001759</t>
  </si>
  <si>
    <t>LAB-001760</t>
  </si>
  <si>
    <t>LAB-001761</t>
  </si>
  <si>
    <t>LAB-001762</t>
  </si>
  <si>
    <t>LAB-001763</t>
  </si>
  <si>
    <t>LAB-001764</t>
  </si>
  <si>
    <t>LAB-001765</t>
  </si>
  <si>
    <t>LAB-001766</t>
  </si>
  <si>
    <t>LAB-001767</t>
  </si>
  <si>
    <t>LAB-001768</t>
  </si>
  <si>
    <t>LAB-001769</t>
  </si>
  <si>
    <t>LAB-001770</t>
  </si>
  <si>
    <t>LAB-001771</t>
  </si>
  <si>
    <t>LAB-001772</t>
  </si>
  <si>
    <t>LAB-001773</t>
  </si>
  <si>
    <t>LAB-001774</t>
  </si>
  <si>
    <t>LAB-001775</t>
  </si>
  <si>
    <t>LAB-001776</t>
  </si>
  <si>
    <t>LAB-001777</t>
  </si>
  <si>
    <t>LAB-001778</t>
  </si>
  <si>
    <t>LAB-001779</t>
  </si>
  <si>
    <t>LAB-001780</t>
  </si>
  <si>
    <t>LAB-001781</t>
  </si>
  <si>
    <t>LAB-001782</t>
  </si>
  <si>
    <t>LAB-001783</t>
  </si>
  <si>
    <t>LAB-001784</t>
  </si>
  <si>
    <t>LAB-001785</t>
  </si>
  <si>
    <t>LAB-001786</t>
  </si>
  <si>
    <t>LAB-001787</t>
  </si>
  <si>
    <t>LAB-001788</t>
  </si>
  <si>
    <t>LAB-001789</t>
  </si>
  <si>
    <t>LAB-001790</t>
  </si>
  <si>
    <t>LAB-001791</t>
  </si>
  <si>
    <t>LAB-001792</t>
  </si>
  <si>
    <t>LAB-001793</t>
  </si>
  <si>
    <t>LAB-001794</t>
  </si>
  <si>
    <t>LAB-001795</t>
  </si>
  <si>
    <t>LAB-001796</t>
  </si>
  <si>
    <t>LAB-001797</t>
  </si>
  <si>
    <t>LAB-001798</t>
  </si>
  <si>
    <t>LAB-001799</t>
  </si>
  <si>
    <t>LAB-001800</t>
  </si>
  <si>
    <t>LAB-001801</t>
  </si>
  <si>
    <t>LAB-001802</t>
  </si>
  <si>
    <t>LAB-001803</t>
  </si>
  <si>
    <t>LAB-001804</t>
  </si>
  <si>
    <t>LAB-001805</t>
  </si>
  <si>
    <t>LAB-001806</t>
  </si>
  <si>
    <t>LAB-001807</t>
  </si>
  <si>
    <t>LAB-001808</t>
  </si>
  <si>
    <t>LAB-001809</t>
  </si>
  <si>
    <t>LAB-001810</t>
  </si>
  <si>
    <t>LAB-001811</t>
  </si>
  <si>
    <t>LAB-001812</t>
  </si>
  <si>
    <t>LAB-001813</t>
  </si>
  <si>
    <t>LAB-001814</t>
  </si>
  <si>
    <t>LAB-001815</t>
  </si>
  <si>
    <t>LAB-001816</t>
  </si>
  <si>
    <t>LAB-001817</t>
  </si>
  <si>
    <t>LAB-001818</t>
  </si>
  <si>
    <t>LAB-001819</t>
  </si>
  <si>
    <t>LAB-001820</t>
  </si>
  <si>
    <t>LAB-001821</t>
  </si>
  <si>
    <t>LAB-001822</t>
  </si>
  <si>
    <t>LAB-001823</t>
  </si>
  <si>
    <t>LAB-001824</t>
  </si>
  <si>
    <t>LAB-001825</t>
  </si>
  <si>
    <t>LAB-001826</t>
  </si>
  <si>
    <t>LAB-001827</t>
  </si>
  <si>
    <t>LAB-001828</t>
  </si>
  <si>
    <t>LAB-001829</t>
  </si>
  <si>
    <t>LAB-001830</t>
  </si>
  <si>
    <t>LAB-001831</t>
  </si>
  <si>
    <t>LAB-001832</t>
  </si>
  <si>
    <t>LAB-001833</t>
  </si>
  <si>
    <t>LAB-001834</t>
  </si>
  <si>
    <t>LAB-001835</t>
  </si>
  <si>
    <t>LAB-001836</t>
  </si>
  <si>
    <t>LAB-001837</t>
  </si>
  <si>
    <t>LAB-001838</t>
  </si>
  <si>
    <t>LAB-001839</t>
  </si>
  <si>
    <t>LAB-001840</t>
  </si>
  <si>
    <t>LAB-001841</t>
  </si>
  <si>
    <t>LAB-001842</t>
  </si>
  <si>
    <t>LAB-001843</t>
  </si>
  <si>
    <t>LAB-001844</t>
  </si>
  <si>
    <t>LAB-001845</t>
  </si>
  <si>
    <t>LAB-001846</t>
  </si>
  <si>
    <t>LAB-001847</t>
  </si>
  <si>
    <t>LAB-001848</t>
  </si>
  <si>
    <t>LAB-001849</t>
  </si>
  <si>
    <t>LAB-001850</t>
  </si>
  <si>
    <t>LAB-001851</t>
  </si>
  <si>
    <t>LAB-001852</t>
  </si>
  <si>
    <t>LAB-001853</t>
  </si>
  <si>
    <t>LAB-001854</t>
  </si>
  <si>
    <t>LAB-001855</t>
  </si>
  <si>
    <t>LAB-001856</t>
  </si>
  <si>
    <t>LAB-001857</t>
  </si>
  <si>
    <t>LAB-001858</t>
  </si>
  <si>
    <t>LAB-001859</t>
  </si>
  <si>
    <t>LAB-001860</t>
  </si>
  <si>
    <t>LAB-001861</t>
  </si>
  <si>
    <t>LAB-001862</t>
  </si>
  <si>
    <t>LAB-001863</t>
  </si>
  <si>
    <t>LAB-001864</t>
  </si>
  <si>
    <t>LAB-001865</t>
  </si>
  <si>
    <t>LAB-001866</t>
  </si>
  <si>
    <t>LAB-001867</t>
  </si>
  <si>
    <t>LAB-001868</t>
  </si>
  <si>
    <t>LAB-001869</t>
  </si>
  <si>
    <t>LAB-001870</t>
  </si>
  <si>
    <t>LAB-001871</t>
  </si>
  <si>
    <t>LAB-001872</t>
  </si>
  <si>
    <t>LAB-001873</t>
  </si>
  <si>
    <t>LAB-001874</t>
  </si>
  <si>
    <t>LAB-001875</t>
  </si>
  <si>
    <t>LAB-001876</t>
  </si>
  <si>
    <t>LAB-001877</t>
  </si>
  <si>
    <t>LAB-001878</t>
  </si>
  <si>
    <t>LAB-001879</t>
  </si>
  <si>
    <t>LAB-001880</t>
  </si>
  <si>
    <t>LAB-001881</t>
  </si>
  <si>
    <t>LAB-001882</t>
  </si>
  <si>
    <t>LAB-001883</t>
  </si>
  <si>
    <t>LAB-001884</t>
  </si>
  <si>
    <t>LAB-001885</t>
  </si>
  <si>
    <t>LAB-001886</t>
  </si>
  <si>
    <t>LAB-001887</t>
  </si>
  <si>
    <t>LAB-001888</t>
  </si>
  <si>
    <t>LAB-001889</t>
  </si>
  <si>
    <t>LAB-001890</t>
  </si>
  <si>
    <t>LAB-001891</t>
  </si>
  <si>
    <t>LAB-001892</t>
  </si>
  <si>
    <t>LAB-001893</t>
  </si>
  <si>
    <t>LAB-001894</t>
  </si>
  <si>
    <t>LAB-001895</t>
  </si>
  <si>
    <t>LAB-001896</t>
  </si>
  <si>
    <t>LAB-001897</t>
  </si>
  <si>
    <t>LAB-001898</t>
  </si>
  <si>
    <t>LAB-001899</t>
  </si>
  <si>
    <t>LAB-001900</t>
  </si>
  <si>
    <t>LAB-001901</t>
  </si>
  <si>
    <t>LAB-001902</t>
  </si>
  <si>
    <t>LAB-001903</t>
  </si>
  <si>
    <t>LAB-001904</t>
  </si>
  <si>
    <t>LAB-001905</t>
  </si>
  <si>
    <t>LAB-001906</t>
  </si>
  <si>
    <t>LAB-001907</t>
  </si>
  <si>
    <t>LAB-001908</t>
  </si>
  <si>
    <t>LAB-001909</t>
  </si>
  <si>
    <t>LAB-001910</t>
  </si>
  <si>
    <t>LAB-001911</t>
  </si>
  <si>
    <t>LAB-001912</t>
  </si>
  <si>
    <t>LAB-001913</t>
  </si>
  <si>
    <t>LAB-001914</t>
  </si>
  <si>
    <t>LAB-001915</t>
  </si>
  <si>
    <t>LAB-001916</t>
  </si>
  <si>
    <t>LAB-001917</t>
  </si>
  <si>
    <t>LAB-001918</t>
  </si>
  <si>
    <t>LAB-001919</t>
  </si>
  <si>
    <t>LAB-001920</t>
  </si>
  <si>
    <t>LAB-001921</t>
  </si>
  <si>
    <t>LAB-001922</t>
  </si>
  <si>
    <t>LAB-001923</t>
  </si>
  <si>
    <t>LAB-001924</t>
  </si>
  <si>
    <t>LAB-001925</t>
  </si>
  <si>
    <t>LAB-001926</t>
  </si>
  <si>
    <t>LAB-001927</t>
  </si>
  <si>
    <t>LAB-001928</t>
  </si>
  <si>
    <t>LAB-001929</t>
  </si>
  <si>
    <t>LAB-001930</t>
  </si>
  <si>
    <t>LAB-001931</t>
  </si>
  <si>
    <t>LAB-001932</t>
  </si>
  <si>
    <t>LAB-001933</t>
  </si>
  <si>
    <t>LAB-001934</t>
  </si>
  <si>
    <t>LAB-001935</t>
  </si>
  <si>
    <t>LAB-001936</t>
  </si>
  <si>
    <t>LAB-001937</t>
  </si>
  <si>
    <t>LAB-001938</t>
  </si>
  <si>
    <t>LAB-001939</t>
  </si>
  <si>
    <t>LAB-001940</t>
  </si>
  <si>
    <t>LAB-001941</t>
  </si>
  <si>
    <t>LAB-001942</t>
  </si>
  <si>
    <t>LAB-001943</t>
  </si>
  <si>
    <t>LAB-001944</t>
  </si>
  <si>
    <t>LAB-001945</t>
  </si>
  <si>
    <t>LAB-001946</t>
  </si>
  <si>
    <t>LAB-001947</t>
  </si>
  <si>
    <t>LAB-001948</t>
  </si>
  <si>
    <t>LAB-001949</t>
  </si>
  <si>
    <t>LAB-001950</t>
  </si>
  <si>
    <t>LAB-001951</t>
  </si>
  <si>
    <t>LAB-001952</t>
  </si>
  <si>
    <t>LAB-001953</t>
  </si>
  <si>
    <t>LAB-001954</t>
  </si>
  <si>
    <t>LAB-001955</t>
  </si>
  <si>
    <t>LAB-001956</t>
  </si>
  <si>
    <t>LAB-001957</t>
  </si>
  <si>
    <t>LAB-001958</t>
  </si>
  <si>
    <t>LAB-001959</t>
  </si>
  <si>
    <t>LAB-001960</t>
  </si>
  <si>
    <t>LAB-001961</t>
  </si>
  <si>
    <t>LAB-001962</t>
  </si>
  <si>
    <t>LAB-001963</t>
  </si>
  <si>
    <t>LAB-001964</t>
  </si>
  <si>
    <t>LAB-001965</t>
  </si>
  <si>
    <t>LAB-001966</t>
  </si>
  <si>
    <t>LAB-001967</t>
  </si>
  <si>
    <t>LAB-001968</t>
  </si>
  <si>
    <t>LAB-001969</t>
  </si>
  <si>
    <t>LAB-001970</t>
  </si>
  <si>
    <t>LAB-001971</t>
  </si>
  <si>
    <t>LAB-001972</t>
  </si>
  <si>
    <t>LAB-001973</t>
  </si>
  <si>
    <t>LAB-001974</t>
  </si>
  <si>
    <t>LAB-001975</t>
  </si>
  <si>
    <t>LAB-001976</t>
  </si>
  <si>
    <t>LAB-001977</t>
  </si>
  <si>
    <t>LAB-001978</t>
  </si>
  <si>
    <t>LAB-001979</t>
  </si>
  <si>
    <t>LAB-001980</t>
  </si>
  <si>
    <t>LAB-001981</t>
  </si>
  <si>
    <t>LAB-001982</t>
  </si>
  <si>
    <t>LAB-001983</t>
  </si>
  <si>
    <t>LAB-001984</t>
  </si>
  <si>
    <t>LAB-001985</t>
  </si>
  <si>
    <t>LAB-001986</t>
  </si>
  <si>
    <t>LAB-001987</t>
  </si>
  <si>
    <t>LAB-001988</t>
  </si>
  <si>
    <t>LAB-001989</t>
  </si>
  <si>
    <t>LAB-001990</t>
  </si>
  <si>
    <t>LAB-001991</t>
  </si>
  <si>
    <t>LAB-001992</t>
  </si>
  <si>
    <t>LAB-001993</t>
  </si>
  <si>
    <t>LAB-001994</t>
  </si>
  <si>
    <t>LAB-001995</t>
  </si>
  <si>
    <t>LAB-001996</t>
  </si>
  <si>
    <t>LAB-001997</t>
  </si>
  <si>
    <t>LAB-001998</t>
  </si>
  <si>
    <t>LAB-001999</t>
  </si>
  <si>
    <t>LAB-002000</t>
  </si>
  <si>
    <t>LAB-002001</t>
  </si>
  <si>
    <t>LAB-002002</t>
  </si>
  <si>
    <t>LAB-002003</t>
  </si>
  <si>
    <t>LAB-002004</t>
  </si>
  <si>
    <t>LAB-002005</t>
  </si>
  <si>
    <t>LAB-002006</t>
  </si>
  <si>
    <t>LAB-002007</t>
  </si>
  <si>
    <t>LAB-002008</t>
  </si>
  <si>
    <t>LAB-002009</t>
  </si>
  <si>
    <t>LAB-002010</t>
  </si>
  <si>
    <t>LAB-002011</t>
  </si>
  <si>
    <t>LAB-002012</t>
  </si>
  <si>
    <t>LAB-002013</t>
  </si>
  <si>
    <t>LAB-002014</t>
  </si>
  <si>
    <t>LAB-002015</t>
  </si>
  <si>
    <t>LAB-002016</t>
  </si>
  <si>
    <t>LAB-002017</t>
  </si>
  <si>
    <t>LAB-002018</t>
  </si>
  <si>
    <t>LAB-002019</t>
  </si>
  <si>
    <t>LAB-002020</t>
  </si>
  <si>
    <t>LAB-002021</t>
  </si>
  <si>
    <t>LAB-002022</t>
  </si>
  <si>
    <t>LAB-002023</t>
  </si>
  <si>
    <t>LAB-002024</t>
  </si>
  <si>
    <t>LAB-002025</t>
  </si>
  <si>
    <t>LAB-002026</t>
  </si>
  <si>
    <t>LAB-002027</t>
  </si>
  <si>
    <t>LAB-002028</t>
  </si>
  <si>
    <t>LAB-002029</t>
  </si>
  <si>
    <t>LAB-002030</t>
  </si>
  <si>
    <t>LAB-002031</t>
  </si>
  <si>
    <t>LAB-002032</t>
  </si>
  <si>
    <t>LAB-002033</t>
  </si>
  <si>
    <t>LAB-002034</t>
  </si>
  <si>
    <t>LAB-002035</t>
  </si>
  <si>
    <t>LAB-002036</t>
  </si>
  <si>
    <t>LAB-002037</t>
  </si>
  <si>
    <t>LAB-002038</t>
  </si>
  <si>
    <t>LAB-002039</t>
  </si>
  <si>
    <t>LAB-002040</t>
  </si>
  <si>
    <t>LAB-002041</t>
  </si>
  <si>
    <t>LAB-002042</t>
  </si>
  <si>
    <t>LAB-002043</t>
  </si>
  <si>
    <t>LAB-002044</t>
  </si>
  <si>
    <t>LAB-002045</t>
  </si>
  <si>
    <t>LAB-002046</t>
  </si>
  <si>
    <t>LAB-002047</t>
  </si>
  <si>
    <t>LAB-002048</t>
  </si>
  <si>
    <t>LAB-002049</t>
  </si>
  <si>
    <t>LAB-002050</t>
  </si>
  <si>
    <t>LAB-002051</t>
  </si>
  <si>
    <t>LAB-002052</t>
  </si>
  <si>
    <t>LAB-002053</t>
  </si>
  <si>
    <t>LAB-002054</t>
  </si>
  <si>
    <t>LAB-002055</t>
  </si>
  <si>
    <t>LAB-002056</t>
  </si>
  <si>
    <t>LAB-002057</t>
  </si>
  <si>
    <t>LAB-002058</t>
  </si>
  <si>
    <t>LAB-002059</t>
  </si>
  <si>
    <t>LAB-002060</t>
  </si>
  <si>
    <t>LAB-002061</t>
  </si>
  <si>
    <t>LAB-002062</t>
  </si>
  <si>
    <t>LAB-002063</t>
  </si>
  <si>
    <t>LAB-002064</t>
  </si>
  <si>
    <t>LAB-002065</t>
  </si>
  <si>
    <t>LAB-002066</t>
  </si>
  <si>
    <t>LAB-002067</t>
  </si>
  <si>
    <t>LAB-002068</t>
  </si>
  <si>
    <t>LAB-002069</t>
  </si>
  <si>
    <t>LAB-002070</t>
  </si>
  <si>
    <t>LAB-002071</t>
  </si>
  <si>
    <t>LAB-002072</t>
  </si>
  <si>
    <t>LAB-002073</t>
  </si>
  <si>
    <t>LAB-002074</t>
  </si>
  <si>
    <t>LAB-002075</t>
  </si>
  <si>
    <t>LAB-002076</t>
  </si>
  <si>
    <t>LAB-002077</t>
  </si>
  <si>
    <t>LAB-002078</t>
  </si>
  <si>
    <t>LAB-002079</t>
  </si>
  <si>
    <t>LAB-002080</t>
  </si>
  <si>
    <t>LAB-002081</t>
  </si>
  <si>
    <t>LAB-002082</t>
  </si>
  <si>
    <t>LAB-002083</t>
  </si>
  <si>
    <t>LAB-002084</t>
  </si>
  <si>
    <t>LAB-002085</t>
  </si>
  <si>
    <t>LAB-002086</t>
  </si>
  <si>
    <t>LAB-002087</t>
  </si>
  <si>
    <t>LAB-002088</t>
  </si>
  <si>
    <t>LAB-002089</t>
  </si>
  <si>
    <t>LAB-002090</t>
  </si>
  <si>
    <t>LAB-002091</t>
  </si>
  <si>
    <t>LAB-002092</t>
  </si>
  <si>
    <t>LAB-002093</t>
  </si>
  <si>
    <t>LAB-002094</t>
  </si>
  <si>
    <t>LAB-002095</t>
  </si>
  <si>
    <t>LAB-002096</t>
  </si>
  <si>
    <t>LAB-002097</t>
  </si>
  <si>
    <t>LAB-002098</t>
  </si>
  <si>
    <t>LAB-002099</t>
  </si>
  <si>
    <t>LAB-002100</t>
  </si>
  <si>
    <t>LAB-002101</t>
  </si>
  <si>
    <t>LAB-002102</t>
  </si>
  <si>
    <t>LAB-002103</t>
  </si>
  <si>
    <t>LAB-002104</t>
  </si>
  <si>
    <t>LAB-002105</t>
  </si>
  <si>
    <t>LAB-002106</t>
  </si>
  <si>
    <t>LAB-002107</t>
  </si>
  <si>
    <t>LAB-002108</t>
  </si>
  <si>
    <t>LAB-002109</t>
  </si>
  <si>
    <t>LAB-002110</t>
  </si>
  <si>
    <t>LAB-002111</t>
  </si>
  <si>
    <t>LAB-002112</t>
  </si>
  <si>
    <t>LAB-002113</t>
  </si>
  <si>
    <t>LAB-002114</t>
  </si>
  <si>
    <t>LAB-002115</t>
  </si>
  <si>
    <t>LAB-002116</t>
  </si>
  <si>
    <t>LAB-002117</t>
  </si>
  <si>
    <t>LAB-002118</t>
  </si>
  <si>
    <t>LAB-002119</t>
  </si>
  <si>
    <t>LAB-002120</t>
  </si>
  <si>
    <t>LAB-002121</t>
  </si>
  <si>
    <t>LAB-002122</t>
  </si>
  <si>
    <t>LAB-002123</t>
  </si>
  <si>
    <t>LAB-002124</t>
  </si>
  <si>
    <t>LAB-002125</t>
  </si>
  <si>
    <t>LAB-002126</t>
  </si>
  <si>
    <t>LAB-002127</t>
  </si>
  <si>
    <t>LAB-002128</t>
  </si>
  <si>
    <t>LAB-002129</t>
  </si>
  <si>
    <t>LAB-002130</t>
  </si>
  <si>
    <t>LAB-002131</t>
  </si>
  <si>
    <t>LAB-002132</t>
  </si>
  <si>
    <t>LAB-002133</t>
  </si>
  <si>
    <t>LAB-002134</t>
  </si>
  <si>
    <t>LAB-002135</t>
  </si>
  <si>
    <t>LAB-002136</t>
  </si>
  <si>
    <t>LAB-002137</t>
  </si>
  <si>
    <t>LAB-002138</t>
  </si>
  <si>
    <t>LAB-002139</t>
  </si>
  <si>
    <t>LAB-002140</t>
  </si>
  <si>
    <t>LAB-002141</t>
  </si>
  <si>
    <t>LAB-002142</t>
  </si>
  <si>
    <t>LAB-002143</t>
  </si>
  <si>
    <t>LAB-002144</t>
  </si>
  <si>
    <t>LAB-002145</t>
  </si>
  <si>
    <t>LAB-002146</t>
  </si>
  <si>
    <t>LAB-002147</t>
  </si>
  <si>
    <t>LAB-002148</t>
  </si>
  <si>
    <t>LAB-002149</t>
  </si>
  <si>
    <t>LAB-002150</t>
  </si>
  <si>
    <t>LAB-002151</t>
  </si>
  <si>
    <t>LAB-002152</t>
  </si>
  <si>
    <t>LAB-002153</t>
  </si>
  <si>
    <t>LAB-002154</t>
  </si>
  <si>
    <t>LAB-002155</t>
  </si>
  <si>
    <t>LAB-002156</t>
  </si>
  <si>
    <t>LAB-002157</t>
  </si>
  <si>
    <t>LAB-002158</t>
  </si>
  <si>
    <t>LAB-002159</t>
  </si>
  <si>
    <t>LAB-002160</t>
  </si>
  <si>
    <t>LAB-002161</t>
  </si>
  <si>
    <t>LAB-002162</t>
  </si>
  <si>
    <t>LAB-002163</t>
  </si>
  <si>
    <t>LAB-002164</t>
  </si>
  <si>
    <t>LAB-002165</t>
  </si>
  <si>
    <t>LAB-002166</t>
  </si>
  <si>
    <t>LAB-002167</t>
  </si>
  <si>
    <t>LAB-002168</t>
  </si>
  <si>
    <t>LAB-002169</t>
  </si>
  <si>
    <t>LAB-002170</t>
  </si>
  <si>
    <t>LAB-002171</t>
  </si>
  <si>
    <t>LAB-002172</t>
  </si>
  <si>
    <t>LAB-002173</t>
  </si>
  <si>
    <t>LAB-002174</t>
  </si>
  <si>
    <t>LAB-002175</t>
  </si>
  <si>
    <t>LAB-002176</t>
  </si>
  <si>
    <t>LAB-002177</t>
  </si>
  <si>
    <t>LAB-002178</t>
  </si>
  <si>
    <t>LAB-002179</t>
  </si>
  <si>
    <t>LAB-002180</t>
  </si>
  <si>
    <t>LAB-002181</t>
  </si>
  <si>
    <t>LAB-002182</t>
  </si>
  <si>
    <t>LAB-002183</t>
  </si>
  <si>
    <t>LAB-002184</t>
  </si>
  <si>
    <t>LAB-002185</t>
  </si>
  <si>
    <t>LAB-002186</t>
  </si>
  <si>
    <t>LAB-002187</t>
  </si>
  <si>
    <t>LAB-002188</t>
  </si>
  <si>
    <t>LAB-002189</t>
  </si>
  <si>
    <t>LAB-002190</t>
  </si>
  <si>
    <t>LAB-002191</t>
  </si>
  <si>
    <t>LAB-002192</t>
  </si>
  <si>
    <t>LAB-002193</t>
  </si>
  <si>
    <t>LAB-002194</t>
  </si>
  <si>
    <t>LAB-002195</t>
  </si>
  <si>
    <t>LAB-002196</t>
  </si>
  <si>
    <t>LAB-002197</t>
  </si>
  <si>
    <t>LAB-002198</t>
  </si>
  <si>
    <t>LAB-002199</t>
  </si>
  <si>
    <t>LAB-002200</t>
  </si>
  <si>
    <t>LAB-002201</t>
  </si>
  <si>
    <t>LAB-002202</t>
  </si>
  <si>
    <t>LAB-002203</t>
  </si>
  <si>
    <t>LAB-002204</t>
  </si>
  <si>
    <t>LAB-002205</t>
  </si>
  <si>
    <t>LAB-002206</t>
  </si>
  <si>
    <t>LAB-002207</t>
  </si>
  <si>
    <t>LAB-002208</t>
  </si>
  <si>
    <t>LAB-002209</t>
  </si>
  <si>
    <t>LAB-002210</t>
  </si>
  <si>
    <t>LAB-002211</t>
  </si>
  <si>
    <t>LAB-002212</t>
  </si>
  <si>
    <t>LAB-002213</t>
  </si>
  <si>
    <t>LAB-002214</t>
  </si>
  <si>
    <t>LAB-002215</t>
  </si>
  <si>
    <t>LAB-002216</t>
  </si>
  <si>
    <t>LAB-002217</t>
  </si>
  <si>
    <t>LAB-002218</t>
  </si>
  <si>
    <t>LAB-002219</t>
  </si>
  <si>
    <t>LAB-002220</t>
  </si>
  <si>
    <t>LAB-002221</t>
  </si>
  <si>
    <t>LAB-002222</t>
  </si>
  <si>
    <t>LAB-002223</t>
  </si>
  <si>
    <t>LAB-002224</t>
  </si>
  <si>
    <t>LAB-002225</t>
  </si>
  <si>
    <t>LAB-002226</t>
  </si>
  <si>
    <t>LAB-002227</t>
  </si>
  <si>
    <t>LAB-002228</t>
  </si>
  <si>
    <t>LAB-002229</t>
  </si>
  <si>
    <t>LAB-002230</t>
  </si>
  <si>
    <t>LAB-002231</t>
  </si>
  <si>
    <t>LAB-002232</t>
  </si>
  <si>
    <t>LAB-002233</t>
  </si>
  <si>
    <t>LAB-002234</t>
  </si>
  <si>
    <t>LAB-002235</t>
  </si>
  <si>
    <t>LAB-002236</t>
  </si>
  <si>
    <t>LAB-002237</t>
  </si>
  <si>
    <t>LAB-002238</t>
  </si>
  <si>
    <t>LAB-002239</t>
  </si>
  <si>
    <t>LAB-002240</t>
  </si>
  <si>
    <t>LAB-002241</t>
  </si>
  <si>
    <t>LAB-002242</t>
  </si>
  <si>
    <t>LAB-002243</t>
  </si>
  <si>
    <t>LAB-002244</t>
  </si>
  <si>
    <t>LAB-002245</t>
  </si>
  <si>
    <t>LAB-002246</t>
  </si>
  <si>
    <t>LAB-002247</t>
  </si>
  <si>
    <t>LAB-002248</t>
  </si>
  <si>
    <t>LAB-002249</t>
  </si>
  <si>
    <t>LAB-002250</t>
  </si>
  <si>
    <t>LAB-002251</t>
  </si>
  <si>
    <t>LAB-002252</t>
  </si>
  <si>
    <t>LAB-002253</t>
  </si>
  <si>
    <t>LAB-002254</t>
  </si>
  <si>
    <t>LAB-002255</t>
  </si>
  <si>
    <t>LAB-002256</t>
  </si>
  <si>
    <t>LAB-002257</t>
  </si>
  <si>
    <t>LAB-002258</t>
  </si>
  <si>
    <t>LAB-002259</t>
  </si>
  <si>
    <t>LAB-002260</t>
  </si>
  <si>
    <t>LAB-002261</t>
  </si>
  <si>
    <t>LAB-002262</t>
  </si>
  <si>
    <t>LAB-002263</t>
  </si>
  <si>
    <t>LAB-002264</t>
  </si>
  <si>
    <t>LAB-002265</t>
  </si>
  <si>
    <t>LAB-002266</t>
  </si>
  <si>
    <t>LAB-002267</t>
  </si>
  <si>
    <t>LAB-002268</t>
  </si>
  <si>
    <t>LAB-002269</t>
  </si>
  <si>
    <t>LAB-002270</t>
  </si>
  <si>
    <t>LAB-002271</t>
  </si>
  <si>
    <t>LAB-002272</t>
  </si>
  <si>
    <t>LAB-002273</t>
  </si>
  <si>
    <t>LAB-002274</t>
  </si>
  <si>
    <t>LAB-002275</t>
  </si>
  <si>
    <t>LAB-002276</t>
  </si>
  <si>
    <t>LAB-002277</t>
  </si>
  <si>
    <t>LAB-002278</t>
  </si>
  <si>
    <t>LAB-002279</t>
  </si>
  <si>
    <t>LAB-002280</t>
  </si>
  <si>
    <t>LAB-002281</t>
  </si>
  <si>
    <t>LAB-002282</t>
  </si>
  <si>
    <t>LAB-002283</t>
  </si>
  <si>
    <t>LAB-002284</t>
  </si>
  <si>
    <t>LAB-002285</t>
  </si>
  <si>
    <t>LAB-002286</t>
  </si>
  <si>
    <t>LAB-002287</t>
  </si>
  <si>
    <t>LAB-002288</t>
  </si>
  <si>
    <t>LAB-002289</t>
  </si>
  <si>
    <t>LAB-002290</t>
  </si>
  <si>
    <t>LAB-002291</t>
  </si>
  <si>
    <t>LAB-002292</t>
  </si>
  <si>
    <t>LAB-002293</t>
  </si>
  <si>
    <t>LAB-002294</t>
  </si>
  <si>
    <t>LAB-002295</t>
  </si>
  <si>
    <t>LAB-002296</t>
  </si>
  <si>
    <t>LAB-002297</t>
  </si>
  <si>
    <t>LAB-002298</t>
  </si>
  <si>
    <t>LAB-002299</t>
  </si>
  <si>
    <t>LAB-002300</t>
  </si>
  <si>
    <t>LAB-002301</t>
  </si>
  <si>
    <t>LAB-002302</t>
  </si>
  <si>
    <t>LAB-002303</t>
  </si>
  <si>
    <t>LAB-002304</t>
  </si>
  <si>
    <t>LAB-002305</t>
  </si>
  <si>
    <t>LAB-002306</t>
  </si>
  <si>
    <t>LAB-002307</t>
  </si>
  <si>
    <t>LAB-002308</t>
  </si>
  <si>
    <t>LAB-002309</t>
  </si>
  <si>
    <t>LAB-002310</t>
  </si>
  <si>
    <t>LAB-002311</t>
  </si>
  <si>
    <t>LAB-002312</t>
  </si>
  <si>
    <t>LAB-002313</t>
  </si>
  <si>
    <t>LAB-002314</t>
  </si>
  <si>
    <t>LAB-002315</t>
  </si>
  <si>
    <t>LAB-002316</t>
  </si>
  <si>
    <t>LAB-002317</t>
  </si>
  <si>
    <t>LAB-002318</t>
  </si>
  <si>
    <t>LAB-002319</t>
  </si>
  <si>
    <t>LAB-002320</t>
  </si>
  <si>
    <t>LAB-002321</t>
  </si>
  <si>
    <t>LAB-002322</t>
  </si>
  <si>
    <t>LAB-002323</t>
  </si>
  <si>
    <t>LAB-002324</t>
  </si>
  <si>
    <t>LAB-002325</t>
  </si>
  <si>
    <t>LAB-002326</t>
  </si>
  <si>
    <t>LAB-002327</t>
  </si>
  <si>
    <t>LAB-002328</t>
  </si>
  <si>
    <t>LAB-002329</t>
  </si>
  <si>
    <t>LAB-002330</t>
  </si>
  <si>
    <t>LAB-002331</t>
  </si>
  <si>
    <t>LAB-002332</t>
  </si>
  <si>
    <t>LAB-002333</t>
  </si>
  <si>
    <t>LAB-002334</t>
  </si>
  <si>
    <t>LAB-002335</t>
  </si>
  <si>
    <t>LAB-002336</t>
  </si>
  <si>
    <t>LAB-002337</t>
  </si>
  <si>
    <t>LAB-002338</t>
  </si>
  <si>
    <t>LAB-002339</t>
  </si>
  <si>
    <t>LAB-002340</t>
  </si>
  <si>
    <t>LAB-002341</t>
  </si>
  <si>
    <t>LAB-002342</t>
  </si>
  <si>
    <t>LAB-002343</t>
  </si>
  <si>
    <t>LAB-002344</t>
  </si>
  <si>
    <t>LAB-002345</t>
  </si>
  <si>
    <t>LAB-002346</t>
  </si>
  <si>
    <t>LAB-002347</t>
  </si>
  <si>
    <t>LAB-002348</t>
  </si>
  <si>
    <t>LAB-002349</t>
  </si>
  <si>
    <t>LAB-002350</t>
  </si>
  <si>
    <t>LAB-002351</t>
  </si>
  <si>
    <t>LAB-002352</t>
  </si>
  <si>
    <t>LAB-002353</t>
  </si>
  <si>
    <t>LAB-002354</t>
  </si>
  <si>
    <t>LAB-002355</t>
  </si>
  <si>
    <t>LAB-002356</t>
  </si>
  <si>
    <t>LAB-002357</t>
  </si>
  <si>
    <t>LAB-002358</t>
  </si>
  <si>
    <t>LAB-002359</t>
  </si>
  <si>
    <t>LAB-002360</t>
  </si>
  <si>
    <t>LAB-002361</t>
  </si>
  <si>
    <t>LAB-002362</t>
  </si>
  <si>
    <t>LAB-002363</t>
  </si>
  <si>
    <t>LAB-002364</t>
  </si>
  <si>
    <t>LAB-002365</t>
  </si>
  <si>
    <t>LAB-002366</t>
  </si>
  <si>
    <t>LAB-002367</t>
  </si>
  <si>
    <t>LAB-002368</t>
  </si>
  <si>
    <t>LAB-002369</t>
  </si>
  <si>
    <t>LAB-002370</t>
  </si>
  <si>
    <t>LAB-002371</t>
  </si>
  <si>
    <t>LAB-002372</t>
  </si>
  <si>
    <t>LAB-002373</t>
  </si>
  <si>
    <t>LAB-002374</t>
  </si>
  <si>
    <t>LAB-002375</t>
  </si>
  <si>
    <t>LAB-002376</t>
  </si>
  <si>
    <t>LAB-002377</t>
  </si>
  <si>
    <t>LAB-002378</t>
  </si>
  <si>
    <t>LAB-002379</t>
  </si>
  <si>
    <t>LAB-002380</t>
  </si>
  <si>
    <t>LAB-002381</t>
  </si>
  <si>
    <t>LAB-002382</t>
  </si>
  <si>
    <t>LAB-002383</t>
  </si>
  <si>
    <t>LAB-002384</t>
  </si>
  <si>
    <t>LAB-002385</t>
  </si>
  <si>
    <t>LAB-002386</t>
  </si>
  <si>
    <t>LAB-002387</t>
  </si>
  <si>
    <t>LAB-002388</t>
  </si>
  <si>
    <t>LAB-002389</t>
  </si>
  <si>
    <t>LAB-002390</t>
  </si>
  <si>
    <t>LAB-002391</t>
  </si>
  <si>
    <t>LAB-002392</t>
  </si>
  <si>
    <t>LAB-002393</t>
  </si>
  <si>
    <t>LAB-002394</t>
  </si>
  <si>
    <t>LAB-002395</t>
  </si>
  <si>
    <t>LAB-002396</t>
  </si>
  <si>
    <t>LAB-002397</t>
  </si>
  <si>
    <t>LAB-002398</t>
  </si>
  <si>
    <t>LAB-002399</t>
  </si>
  <si>
    <t>LAB-002400</t>
  </si>
  <si>
    <t>LAB-002401</t>
  </si>
  <si>
    <t>LAB-002402</t>
  </si>
  <si>
    <t>LAB-002403</t>
  </si>
  <si>
    <t>LAB-002404</t>
  </si>
  <si>
    <t>LAB-002405</t>
  </si>
  <si>
    <t>LAB-002406</t>
  </si>
  <si>
    <t>LAB-002407</t>
  </si>
  <si>
    <t>LAB-002408</t>
  </si>
  <si>
    <t>LAB-002409</t>
  </si>
  <si>
    <t>LAB-002410</t>
  </si>
  <si>
    <t>LAB-002411</t>
  </si>
  <si>
    <t>LAB-002412</t>
  </si>
  <si>
    <t>LAB-002413</t>
  </si>
  <si>
    <t>LAB-002414</t>
  </si>
  <si>
    <t>LAB-002415</t>
  </si>
  <si>
    <t>LAB-002416</t>
  </si>
  <si>
    <t>LAB-002417</t>
  </si>
  <si>
    <t>LAB-002418</t>
  </si>
  <si>
    <t>LAB-002419</t>
  </si>
  <si>
    <t>LAB-002420</t>
  </si>
  <si>
    <t>LAB-002421</t>
  </si>
  <si>
    <t>LAB-002422</t>
  </si>
  <si>
    <t>LAB-002423</t>
  </si>
  <si>
    <t>LAB-002424</t>
  </si>
  <si>
    <t>LAB-002425</t>
  </si>
  <si>
    <t>LAB-002426</t>
  </si>
  <si>
    <t>LAB-002427</t>
  </si>
  <si>
    <t>LAB-002428</t>
  </si>
  <si>
    <t>LAB-002429</t>
  </si>
  <si>
    <t>LAB-002430</t>
  </si>
  <si>
    <t>LAB-002431</t>
  </si>
  <si>
    <t>LAB-002432</t>
  </si>
  <si>
    <t>LAB-002433</t>
  </si>
  <si>
    <t>LAB-002434</t>
  </si>
  <si>
    <t>LAB-002435</t>
  </si>
  <si>
    <t>LAB-002436</t>
  </si>
  <si>
    <t>LAB-002437</t>
  </si>
  <si>
    <t>LAB-002438</t>
  </si>
  <si>
    <t>LAB-002439</t>
  </si>
  <si>
    <t>LAB-002440</t>
  </si>
  <si>
    <t>LAB-002441</t>
  </si>
  <si>
    <t>LAB-002442</t>
  </si>
  <si>
    <t>LAB-002443</t>
  </si>
  <si>
    <t>LAB-002444</t>
  </si>
  <si>
    <t>LAB-002445</t>
  </si>
  <si>
    <t>LAB-002446</t>
  </si>
  <si>
    <t>LAB-002447</t>
  </si>
  <si>
    <t>LAB-002448</t>
  </si>
  <si>
    <t>LAB-002449</t>
  </si>
  <si>
    <t>LAB-002450</t>
  </si>
  <si>
    <t>LAB-002451</t>
  </si>
  <si>
    <t>LAB-002452</t>
  </si>
  <si>
    <t>LAB-002453</t>
  </si>
  <si>
    <t>LAB-002454</t>
  </si>
  <si>
    <t>LAB-002455</t>
  </si>
  <si>
    <t>LAB-002456</t>
  </si>
  <si>
    <t>LAB-002457</t>
  </si>
  <si>
    <t>LAB-002458</t>
  </si>
  <si>
    <t>LAB-002459</t>
  </si>
  <si>
    <t>LAB-002460</t>
  </si>
  <si>
    <t>LAB-002461</t>
  </si>
  <si>
    <t>LAB-002462</t>
  </si>
  <si>
    <t>LAB-002463</t>
  </si>
  <si>
    <t>LAB-002464</t>
  </si>
  <si>
    <t>LAB-002465</t>
  </si>
  <si>
    <t>LAB-002466</t>
  </si>
  <si>
    <t>LAB-002467</t>
  </si>
  <si>
    <t>LAB-002468</t>
  </si>
  <si>
    <t>LAB-002469</t>
  </si>
  <si>
    <t>LAB-002470</t>
  </si>
  <si>
    <t>LAB-002471</t>
  </si>
  <si>
    <t>LAB-002472</t>
  </si>
  <si>
    <t>LAB-002473</t>
  </si>
  <si>
    <t>LAB-002474</t>
  </si>
  <si>
    <t>LAB-002475</t>
  </si>
  <si>
    <t>LAB-002476</t>
  </si>
  <si>
    <t>LAB-002477</t>
  </si>
  <si>
    <t>LAB-002478</t>
  </si>
  <si>
    <t>LAB-002479</t>
  </si>
  <si>
    <t>LAB-002480</t>
  </si>
  <si>
    <t>LAB-002481</t>
  </si>
  <si>
    <t>LAB-002482</t>
  </si>
  <si>
    <t>LAB-002483</t>
  </si>
  <si>
    <t>LAB-002484</t>
  </si>
  <si>
    <t>LAB-002485</t>
  </si>
  <si>
    <t>LAB-002486</t>
  </si>
  <si>
    <t>LAB-002487</t>
  </si>
  <si>
    <t>LAB-002488</t>
  </si>
  <si>
    <t>LAB-002489</t>
  </si>
  <si>
    <t>LAB-002490</t>
  </si>
  <si>
    <t>LAB-002491</t>
  </si>
  <si>
    <t>LAB-002492</t>
  </si>
  <si>
    <t>LAB-002493</t>
  </si>
  <si>
    <t>LAB-002494</t>
  </si>
  <si>
    <t>LAB-002495</t>
  </si>
  <si>
    <t>LAB-002496</t>
  </si>
  <si>
    <t>LAB-002497</t>
  </si>
  <si>
    <t>LAB-002498</t>
  </si>
  <si>
    <t>LAB-002499</t>
  </si>
  <si>
    <t>LAB-002500</t>
  </si>
  <si>
    <t>LAB-002501</t>
  </si>
  <si>
    <t>LAB-002502</t>
  </si>
  <si>
    <t>LAB-002503</t>
  </si>
  <si>
    <t>LAB-002504</t>
  </si>
  <si>
    <t>LAB-002505</t>
  </si>
  <si>
    <t>LAB-002506</t>
  </si>
  <si>
    <t>LAB-002507</t>
  </si>
  <si>
    <t>LAB-002508</t>
  </si>
  <si>
    <t>LAB-002509</t>
  </si>
  <si>
    <t>LAB-002510</t>
  </si>
  <si>
    <t>LAB-002511</t>
  </si>
  <si>
    <t>LAB-002512</t>
  </si>
  <si>
    <t>LAB-002513</t>
  </si>
  <si>
    <t>LAB-002514</t>
  </si>
  <si>
    <t>LAB-002515</t>
  </si>
  <si>
    <t>LAB-002516</t>
  </si>
  <si>
    <t>LAB-002517</t>
  </si>
  <si>
    <t>LAB-002518</t>
  </si>
  <si>
    <t>LAB-002519</t>
  </si>
  <si>
    <t>LAB-002520</t>
  </si>
  <si>
    <t>LAB-002521</t>
  </si>
  <si>
    <t>LAB-002522</t>
  </si>
  <si>
    <t>LAB-002523</t>
  </si>
  <si>
    <t>LAB-002524</t>
  </si>
  <si>
    <t>LAB-002525</t>
  </si>
  <si>
    <t>LAB-002526</t>
  </si>
  <si>
    <t>LAB-002527</t>
  </si>
  <si>
    <t>LAB-002528</t>
  </si>
  <si>
    <t>LAB-002529</t>
  </si>
  <si>
    <t>LAB-002530</t>
  </si>
  <si>
    <t>LAB-002531</t>
  </si>
  <si>
    <t>LAB-002532</t>
  </si>
  <si>
    <t>LAB-002533</t>
  </si>
  <si>
    <t>LAB-002534</t>
  </si>
  <si>
    <t>LAB-002535</t>
  </si>
  <si>
    <t>LAB-002536</t>
  </si>
  <si>
    <t>LAB-002537</t>
  </si>
  <si>
    <t>LAB-002538</t>
  </si>
  <si>
    <t>LAB-002539</t>
  </si>
  <si>
    <t>LAB-002540</t>
  </si>
  <si>
    <t>LAB-002541</t>
  </si>
  <si>
    <t>LAB-002542</t>
  </si>
  <si>
    <t>LAB-002543</t>
  </si>
  <si>
    <t>LAB-002544</t>
  </si>
  <si>
    <t>LAB-002545</t>
  </si>
  <si>
    <t>LAB-002546</t>
  </si>
  <si>
    <t>LAB-002547</t>
  </si>
  <si>
    <t>LAB-002548</t>
  </si>
  <si>
    <t>LAB-002549</t>
  </si>
  <si>
    <t>LAB-002550</t>
  </si>
  <si>
    <t>LAB-002551</t>
  </si>
  <si>
    <t>LAB-002552</t>
  </si>
  <si>
    <t>LAB-002553</t>
  </si>
  <si>
    <t>LAB-002554</t>
  </si>
  <si>
    <t>LAB-002555</t>
  </si>
  <si>
    <t>LAB-002556</t>
  </si>
  <si>
    <t>LAB-002557</t>
  </si>
  <si>
    <t>LAB-002558</t>
  </si>
  <si>
    <t>LAB-002559</t>
  </si>
  <si>
    <t>LAB-002560</t>
  </si>
  <si>
    <t>LAB-002561</t>
  </si>
  <si>
    <t>LAB-002562</t>
  </si>
  <si>
    <t>LAB-002563</t>
  </si>
  <si>
    <t>LAB-002564</t>
  </si>
  <si>
    <t>LAB-002565</t>
  </si>
  <si>
    <t>LAB-002566</t>
  </si>
  <si>
    <t>LAB-002567</t>
  </si>
  <si>
    <t>LAB-002568</t>
  </si>
  <si>
    <t>LAB-002569</t>
  </si>
  <si>
    <t>LAB-002570</t>
  </si>
  <si>
    <t>LAB-002571</t>
  </si>
  <si>
    <t>LAB-002572</t>
  </si>
  <si>
    <t>LAB-002573</t>
  </si>
  <si>
    <t>LAB-002574</t>
  </si>
  <si>
    <t>LAB-002575</t>
  </si>
  <si>
    <t>LAB-002576</t>
  </si>
  <si>
    <t>LAB-002577</t>
  </si>
  <si>
    <t>LAB-002578</t>
  </si>
  <si>
    <t>LAB-002579</t>
  </si>
  <si>
    <t>LAB-002580</t>
  </si>
  <si>
    <t>LAB-002581</t>
  </si>
  <si>
    <t>LAB-002582</t>
  </si>
  <si>
    <t>LAB-002583</t>
  </si>
  <si>
    <t>LAB-002584</t>
  </si>
  <si>
    <t>LAB-002585</t>
  </si>
  <si>
    <t>LAB-002586</t>
  </si>
  <si>
    <t>LAB-002587</t>
  </si>
  <si>
    <t>LAB-002588</t>
  </si>
  <si>
    <t>LAB-002589</t>
  </si>
  <si>
    <t>LAB-002590</t>
  </si>
  <si>
    <t>LAB-002591</t>
  </si>
  <si>
    <t>LAB-002592</t>
  </si>
  <si>
    <t>LAB-002593</t>
  </si>
  <si>
    <t>LAB-002594</t>
  </si>
  <si>
    <t>LAB-002595</t>
  </si>
  <si>
    <t>LAB-002596</t>
  </si>
  <si>
    <t>LAB-002597</t>
  </si>
  <si>
    <t>LAB-002598</t>
  </si>
  <si>
    <t>LAB-002599</t>
  </si>
  <si>
    <t>LAB-002600</t>
  </si>
  <si>
    <t>LAB-002601</t>
  </si>
  <si>
    <t>LAB-002602</t>
  </si>
  <si>
    <t>LAB-002603</t>
  </si>
  <si>
    <t>LAB-002604</t>
  </si>
  <si>
    <t>LAB-002605</t>
  </si>
  <si>
    <t>LAB-002606</t>
  </si>
  <si>
    <t>LAB-002607</t>
  </si>
  <si>
    <t>LAB-002608</t>
  </si>
  <si>
    <t>LAB-002609</t>
  </si>
  <si>
    <t>LAB-002610</t>
  </si>
  <si>
    <t>LAB-002611</t>
  </si>
  <si>
    <t>LAB-002612</t>
  </si>
  <si>
    <t>LAB-002613</t>
  </si>
  <si>
    <t>LAB-002614</t>
  </si>
  <si>
    <t>LAB-002615</t>
  </si>
  <si>
    <t>LAB-002616</t>
  </si>
  <si>
    <t>LAB-002617</t>
  </si>
  <si>
    <t>LAB-002618</t>
  </si>
  <si>
    <t>LAB-002619</t>
  </si>
  <si>
    <t>LAB-002620</t>
  </si>
  <si>
    <t>LAB-002621</t>
  </si>
  <si>
    <t>LAB-002622</t>
  </si>
  <si>
    <t>LAB-002623</t>
  </si>
  <si>
    <t>LAB-002624</t>
  </si>
  <si>
    <t>LAB-002625</t>
  </si>
  <si>
    <t>LAB-002626</t>
  </si>
  <si>
    <t>LAB-002627</t>
  </si>
  <si>
    <t>LAB-002628</t>
  </si>
  <si>
    <t>LAB-002629</t>
  </si>
  <si>
    <t>LAB-002630</t>
  </si>
  <si>
    <t>LAB-002631</t>
  </si>
  <si>
    <t>LAB-002632</t>
  </si>
  <si>
    <t>LAB-002633</t>
  </si>
  <si>
    <t>LAB-002634</t>
  </si>
  <si>
    <t>LAB-002635</t>
  </si>
  <si>
    <t>LAB-002636</t>
  </si>
  <si>
    <t>LAB-002637</t>
  </si>
  <si>
    <t>LAB-002638</t>
  </si>
  <si>
    <t>LAB-002639</t>
  </si>
  <si>
    <t>LAB-002640</t>
  </si>
  <si>
    <t>LAB-002641</t>
  </si>
  <si>
    <t>LAB-002642</t>
  </si>
  <si>
    <t>LAB-002643</t>
  </si>
  <si>
    <t>LAB-002644</t>
  </si>
  <si>
    <t>LAB-002645</t>
  </si>
  <si>
    <t>LAB-002646</t>
  </si>
  <si>
    <t>LAB-002647</t>
  </si>
  <si>
    <t>LAB-002648</t>
  </si>
  <si>
    <t>LAB-002649</t>
  </si>
  <si>
    <t>LAB-002650</t>
  </si>
  <si>
    <t>LAB-002651</t>
  </si>
  <si>
    <t>LAB-002652</t>
  </si>
  <si>
    <t>LAB-002653</t>
  </si>
  <si>
    <t>LAB-002654</t>
  </si>
  <si>
    <t>LAB-002655</t>
  </si>
  <si>
    <t>LAB-002656</t>
  </si>
  <si>
    <t>LAB-002657</t>
  </si>
  <si>
    <t>LAB-002658</t>
  </si>
  <si>
    <t>LAB-002659</t>
  </si>
  <si>
    <t>LAB-002660</t>
  </si>
  <si>
    <t>LAB-002661</t>
  </si>
  <si>
    <t>LAB-002662</t>
  </si>
  <si>
    <t>LAB-002663</t>
  </si>
  <si>
    <t>LAB-002664</t>
  </si>
  <si>
    <t>LAB-002665</t>
  </si>
  <si>
    <t>LAB-002666</t>
  </si>
  <si>
    <t>LAB-002667</t>
  </si>
  <si>
    <t>LAB-002668</t>
  </si>
  <si>
    <t>LAB-002669</t>
  </si>
  <si>
    <t>LAB-002670</t>
  </si>
  <si>
    <t>LAB-002671</t>
  </si>
  <si>
    <t>LAB-002672</t>
  </si>
  <si>
    <t>LAB-002673</t>
  </si>
  <si>
    <t>LAB-002674</t>
  </si>
  <si>
    <t>LAB-002675</t>
  </si>
  <si>
    <t>LAB-002676</t>
  </si>
  <si>
    <t>LAB-002677</t>
  </si>
  <si>
    <t>LAB-002678</t>
  </si>
  <si>
    <t>LAB-002679</t>
  </si>
  <si>
    <t>LAB-002680</t>
  </si>
  <si>
    <t>LAB-002681</t>
  </si>
  <si>
    <t>LAB-002682</t>
  </si>
  <si>
    <t>LAB-002683</t>
  </si>
  <si>
    <t>LAB-002684</t>
  </si>
  <si>
    <t>LAB-002685</t>
  </si>
  <si>
    <t>LAB-002686</t>
  </si>
  <si>
    <t>LAB-002687</t>
  </si>
  <si>
    <t>LAB-002688</t>
  </si>
  <si>
    <t>LAB-002689</t>
  </si>
  <si>
    <t>LAB-002690</t>
  </si>
  <si>
    <t>LAB-002691</t>
  </si>
  <si>
    <t>LAB-002692</t>
  </si>
  <si>
    <t>LAB-002693</t>
  </si>
  <si>
    <t>LAB-002694</t>
  </si>
  <si>
    <t>LAB-002695</t>
  </si>
  <si>
    <t>LAB-002696</t>
  </si>
  <si>
    <t>LAB-002697</t>
  </si>
  <si>
    <t>LAB-002698</t>
  </si>
  <si>
    <t>LAB-002699</t>
  </si>
  <si>
    <t>LAB-002700</t>
  </si>
  <si>
    <t>LAB-002701</t>
  </si>
  <si>
    <t>LAB-002702</t>
  </si>
  <si>
    <t>LAB-002703</t>
  </si>
  <si>
    <t>LAB-002704</t>
  </si>
  <si>
    <t>LAB-002705</t>
  </si>
  <si>
    <t>LAB-002706</t>
  </si>
  <si>
    <t>LAB-002707</t>
  </si>
  <si>
    <t>LAB-002708</t>
  </si>
  <si>
    <t>LAB-002709</t>
  </si>
  <si>
    <t>LAB-002710</t>
  </si>
  <si>
    <t>LAB-002711</t>
  </si>
  <si>
    <t>LAB-002712</t>
  </si>
  <si>
    <t>LAB-002713</t>
  </si>
  <si>
    <t>LAB-002714</t>
  </si>
  <si>
    <t>LAB-002715</t>
  </si>
  <si>
    <t>LAB-002716</t>
  </si>
  <si>
    <t>LAB-002717</t>
  </si>
  <si>
    <t>LAB-002718</t>
  </si>
  <si>
    <t>LAB-002719</t>
  </si>
  <si>
    <t>LAB-002720</t>
  </si>
  <si>
    <t>LAB-002721</t>
  </si>
  <si>
    <t>LAB-002722</t>
  </si>
  <si>
    <t>LAB-002723</t>
  </si>
  <si>
    <t>LAB-002724</t>
  </si>
  <si>
    <t>LAB-002725</t>
  </si>
  <si>
    <t>LAB-002726</t>
  </si>
  <si>
    <t>LAB-002727</t>
  </si>
  <si>
    <t>LAB-002728</t>
  </si>
  <si>
    <t>LAB-002729</t>
  </si>
  <si>
    <t>LAB-002730</t>
  </si>
  <si>
    <t>LAB-002731</t>
  </si>
  <si>
    <t>LAB-002732</t>
  </si>
  <si>
    <t>LAB-002733</t>
  </si>
  <si>
    <t>LAB-002734</t>
  </si>
  <si>
    <t>LAB-002735</t>
  </si>
  <si>
    <t>LAB-002736</t>
  </si>
  <si>
    <t>LAB-002737</t>
  </si>
  <si>
    <t>LAB-002738</t>
  </si>
  <si>
    <t>LAB-002739</t>
  </si>
  <si>
    <t>LAB-002740</t>
  </si>
  <si>
    <t>LAB-002741</t>
  </si>
  <si>
    <t>LAB-002742</t>
  </si>
  <si>
    <t>LAB-002743</t>
  </si>
  <si>
    <t>LAB-002744</t>
  </si>
  <si>
    <t>LAB-002745</t>
  </si>
  <si>
    <t>LAB-002746</t>
  </si>
  <si>
    <t>LAB-002747</t>
  </si>
  <si>
    <t>LAB-002748</t>
  </si>
  <si>
    <t>LAB-002749</t>
  </si>
  <si>
    <t>LAB-002750</t>
  </si>
  <si>
    <t>LAB-002751</t>
  </si>
  <si>
    <t>LAB-002752</t>
  </si>
  <si>
    <t>LAB-002753</t>
  </si>
  <si>
    <t>LAB-002754</t>
  </si>
  <si>
    <t>LAB-002755</t>
  </si>
  <si>
    <t>LAB-002756</t>
  </si>
  <si>
    <t>LAB-002757</t>
  </si>
  <si>
    <t>LAB-002758</t>
  </si>
  <si>
    <t>LAB-002759</t>
  </si>
  <si>
    <t>LAB-002760</t>
  </si>
  <si>
    <t>LAB-002761</t>
  </si>
  <si>
    <t>LAB-002762</t>
  </si>
  <si>
    <t>LAB-002763</t>
  </si>
  <si>
    <t>LAB-002764</t>
  </si>
  <si>
    <t>LAB-002765</t>
  </si>
  <si>
    <t>LAB-002766</t>
  </si>
  <si>
    <t>LAB-002767</t>
  </si>
  <si>
    <t>LAB-002768</t>
  </si>
  <si>
    <t>LAB-002769</t>
  </si>
  <si>
    <t>LAB-002770</t>
  </si>
  <si>
    <t>LAB-002771</t>
  </si>
  <si>
    <t>LAB-002772</t>
  </si>
  <si>
    <t>LAB-002773</t>
  </si>
  <si>
    <t>LAB-002774</t>
  </si>
  <si>
    <t>LAB-002775</t>
  </si>
  <si>
    <t>LAB-002776</t>
  </si>
  <si>
    <t>LAB-002777</t>
  </si>
  <si>
    <t>LAB-002778</t>
  </si>
  <si>
    <t>LAB-002779</t>
  </si>
  <si>
    <t>LAB-002780</t>
  </si>
  <si>
    <t>LAB-002781</t>
  </si>
  <si>
    <t>LAB-002782</t>
  </si>
  <si>
    <t>LAB-002783</t>
  </si>
  <si>
    <t>LAB-002784</t>
  </si>
  <si>
    <t>LAB-002785</t>
  </si>
  <si>
    <t>LAB-002786</t>
  </si>
  <si>
    <t>LAB-002787</t>
  </si>
  <si>
    <t>LAB-002788</t>
  </si>
  <si>
    <t>LAB-002789</t>
  </si>
  <si>
    <t>LAB-002790</t>
  </si>
  <si>
    <t>LAB-002791</t>
  </si>
  <si>
    <t>LAB-002792</t>
  </si>
  <si>
    <t>LAB-002793</t>
  </si>
  <si>
    <t>LAB-002794</t>
  </si>
  <si>
    <t>LAB-002795</t>
  </si>
  <si>
    <t>LAB-002796</t>
  </si>
  <si>
    <t>LAB-002797</t>
  </si>
  <si>
    <t>LAB-002798</t>
  </si>
  <si>
    <t>LAB-002799</t>
  </si>
  <si>
    <t>LAB-002800</t>
  </si>
  <si>
    <t>LAB-002801</t>
  </si>
  <si>
    <t>LAB-002802</t>
  </si>
  <si>
    <t>LAB-002803</t>
  </si>
  <si>
    <t>LAB-002804</t>
  </si>
  <si>
    <t>LAB-002805</t>
  </si>
  <si>
    <t>LAB-002806</t>
  </si>
  <si>
    <t>LAB-002807</t>
  </si>
  <si>
    <t>LAB-002808</t>
  </si>
  <si>
    <t>LAB-002809</t>
  </si>
  <si>
    <t>LAB-002810</t>
  </si>
  <si>
    <t>LAB-002811</t>
  </si>
  <si>
    <t>LAB-002812</t>
  </si>
  <si>
    <t>LAB-002813</t>
  </si>
  <si>
    <t>LAB-002814</t>
  </si>
  <si>
    <t>LAB-002815</t>
  </si>
  <si>
    <t>LAB-002816</t>
  </si>
  <si>
    <t>LAB-002817</t>
  </si>
  <si>
    <t>LAB-002818</t>
  </si>
  <si>
    <t>LAB-002819</t>
  </si>
  <si>
    <t>LAB-002820</t>
  </si>
  <si>
    <t>LAB-002821</t>
  </si>
  <si>
    <t>LAB-002822</t>
  </si>
  <si>
    <t>LAB-002823</t>
  </si>
  <si>
    <t>LAB-002824</t>
  </si>
  <si>
    <t>LAB-002825</t>
  </si>
  <si>
    <t>LAB-002826</t>
  </si>
  <si>
    <t>LAB-002827</t>
  </si>
  <si>
    <t>LAB-002828</t>
  </si>
  <si>
    <t>LAB-002829</t>
  </si>
  <si>
    <t>LAB-002830</t>
  </si>
  <si>
    <t>LAB-002831</t>
  </si>
  <si>
    <t>LAB-002832</t>
  </si>
  <si>
    <t>LAB-002833</t>
  </si>
  <si>
    <t>LAB-002834</t>
  </si>
  <si>
    <t>LAB-002835</t>
  </si>
  <si>
    <t>LAB-002836</t>
  </si>
  <si>
    <t>LAB-002837</t>
  </si>
  <si>
    <t>LAB-002838</t>
  </si>
  <si>
    <t>LAB-002839</t>
  </si>
  <si>
    <t>LAB-002840</t>
  </si>
  <si>
    <t>LAB-002841</t>
  </si>
  <si>
    <t>LAB-002842</t>
  </si>
  <si>
    <t>LAB-002843</t>
  </si>
  <si>
    <t>LAB-002844</t>
  </si>
  <si>
    <t>LAB-002845</t>
  </si>
  <si>
    <t>LAB-002846</t>
  </si>
  <si>
    <t>LAB-002847</t>
  </si>
  <si>
    <t>LAB-002848</t>
  </si>
  <si>
    <t>LAB-002849</t>
  </si>
  <si>
    <t>LAB-002850</t>
  </si>
  <si>
    <t>LAB-002851</t>
  </si>
  <si>
    <t>LAB-002852</t>
  </si>
  <si>
    <t>LAB-002853</t>
  </si>
  <si>
    <t>LAB-002854</t>
  </si>
  <si>
    <t>LAB-002855</t>
  </si>
  <si>
    <t>LAB-002856</t>
  </si>
  <si>
    <t>LAB-002857</t>
  </si>
  <si>
    <t>LAB-002858</t>
  </si>
  <si>
    <t>LAB-002859</t>
  </si>
  <si>
    <t>LAB-002860</t>
  </si>
  <si>
    <t>LAB-002861</t>
  </si>
  <si>
    <t>LAB-002862</t>
  </si>
  <si>
    <t>LAB-002863</t>
  </si>
  <si>
    <t>LAB-002864</t>
  </si>
  <si>
    <t>LAB-002865</t>
  </si>
  <si>
    <t>LAB-002866</t>
  </si>
  <si>
    <t>LAB-002867</t>
  </si>
  <si>
    <t>LAB-002868</t>
  </si>
  <si>
    <t>LAB-002869</t>
  </si>
  <si>
    <t>LAB-002870</t>
  </si>
  <si>
    <t>LAB-002871</t>
  </si>
  <si>
    <t>LAB-002872</t>
  </si>
  <si>
    <t>LAB-002873</t>
  </si>
  <si>
    <t>LAB-002874</t>
  </si>
  <si>
    <t>LAB-002875</t>
  </si>
  <si>
    <t>LAB-002876</t>
  </si>
  <si>
    <t>LAB-002877</t>
  </si>
  <si>
    <t>LAB-002878</t>
  </si>
  <si>
    <t>LAB-002879</t>
  </si>
  <si>
    <t>LAB-002880</t>
  </si>
  <si>
    <t>LAB-002881</t>
  </si>
  <si>
    <t>LAB-002882</t>
  </si>
  <si>
    <t>LAB-002883</t>
  </si>
  <si>
    <t>LAB-002884</t>
  </si>
  <si>
    <t>LAB-002885</t>
  </si>
  <si>
    <t>LAB-002886</t>
  </si>
  <si>
    <t>LAB-002887</t>
  </si>
  <si>
    <t>LAB-002888</t>
  </si>
  <si>
    <t>LAB-002889</t>
  </si>
  <si>
    <t>LAB-002890</t>
  </si>
  <si>
    <t>LAB-002891</t>
  </si>
  <si>
    <t>LAB-002892</t>
  </si>
  <si>
    <t>LAB-002893</t>
  </si>
  <si>
    <t>LAB-002894</t>
  </si>
  <si>
    <t>LAB-002895</t>
  </si>
  <si>
    <t>LAB-002896</t>
  </si>
  <si>
    <t>LAB-002897</t>
  </si>
  <si>
    <t>LAB-002898</t>
  </si>
  <si>
    <t>LAB-002899</t>
  </si>
  <si>
    <t>LAB-002900</t>
  </si>
  <si>
    <t>LAB-002901</t>
  </si>
  <si>
    <t>LAB-002902</t>
  </si>
  <si>
    <t>LAB-002903</t>
  </si>
  <si>
    <t>LAB-002904</t>
  </si>
  <si>
    <t>LAB-002905</t>
  </si>
  <si>
    <t>LAB-002906</t>
  </si>
  <si>
    <t>LAB-002907</t>
  </si>
  <si>
    <t>LAB-002908</t>
  </si>
  <si>
    <t>LAB-002909</t>
  </si>
  <si>
    <t>LAB-002910</t>
  </si>
  <si>
    <t>LAB-002911</t>
  </si>
  <si>
    <t>LAB-002912</t>
  </si>
  <si>
    <t>LAB-002913</t>
  </si>
  <si>
    <t>LAB-002914</t>
  </si>
  <si>
    <t>LAB-002915</t>
  </si>
  <si>
    <t>LAB-002916</t>
  </si>
  <si>
    <t>LAB-002917</t>
  </si>
  <si>
    <t>LAB-002918</t>
  </si>
  <si>
    <t>LAB-002919</t>
  </si>
  <si>
    <t>LAB-002920</t>
  </si>
  <si>
    <t>LAB-002921</t>
  </si>
  <si>
    <t>LAB-002922</t>
  </si>
  <si>
    <t>LAB-002923</t>
  </si>
  <si>
    <t>LAB-002924</t>
  </si>
  <si>
    <t>LAB-002925</t>
  </si>
  <si>
    <t>LAB-002926</t>
  </si>
  <si>
    <t>LAB-002927</t>
  </si>
  <si>
    <t>LAB-002928</t>
  </si>
  <si>
    <t>LAB-002929</t>
  </si>
  <si>
    <t>LAB-002930</t>
  </si>
  <si>
    <t>LAB-002931</t>
  </si>
  <si>
    <t>LAB-002932</t>
  </si>
  <si>
    <t>LAB-002933</t>
  </si>
  <si>
    <t>LAB-002934</t>
  </si>
  <si>
    <t>LAB-002935</t>
  </si>
  <si>
    <t>LAB-002936</t>
  </si>
  <si>
    <t>LAB-002937</t>
  </si>
  <si>
    <t>LAB-002938</t>
  </si>
  <si>
    <t>LAB-002939</t>
  </si>
  <si>
    <t>LAB-002940</t>
  </si>
  <si>
    <t>LAB-002941</t>
  </si>
  <si>
    <t>LAB-002942</t>
  </si>
  <si>
    <t>LAB-002943</t>
  </si>
  <si>
    <t>LAB-002944</t>
  </si>
  <si>
    <t>LAB-002945</t>
  </si>
  <si>
    <t>LAB-002946</t>
  </si>
  <si>
    <t>LAB-002947</t>
  </si>
  <si>
    <t>LAB-002948</t>
  </si>
  <si>
    <t>LAB-002949</t>
  </si>
  <si>
    <t>LAB-002950</t>
  </si>
  <si>
    <t>LAB-002951</t>
  </si>
  <si>
    <t>LAB-002952</t>
  </si>
  <si>
    <t>LAB-002953</t>
  </si>
  <si>
    <t>LAB-002954</t>
  </si>
  <si>
    <t>LAB-002955</t>
  </si>
  <si>
    <t>LAB-002956</t>
  </si>
  <si>
    <t>LAB-002957</t>
  </si>
  <si>
    <t>LAB-002958</t>
  </si>
  <si>
    <t>LAB-002959</t>
  </si>
  <si>
    <t>LAB-002960</t>
  </si>
  <si>
    <t>LAB-002961</t>
  </si>
  <si>
    <t>LAB-002962</t>
  </si>
  <si>
    <t>LAB-002963</t>
  </si>
  <si>
    <t>LAB-002964</t>
  </si>
  <si>
    <t>LAB-002965</t>
  </si>
  <si>
    <t>LAB-002966</t>
  </si>
  <si>
    <t>LAB-002967</t>
  </si>
  <si>
    <t>LAB-002968</t>
  </si>
  <si>
    <t>LAB-002969</t>
  </si>
  <si>
    <t>LAB-002970</t>
  </si>
  <si>
    <t>LAB-002971</t>
  </si>
  <si>
    <t>LAB-002972</t>
  </si>
  <si>
    <t>LAB-002973</t>
  </si>
  <si>
    <t>LAB-002974</t>
  </si>
  <si>
    <t>LAB-002975</t>
  </si>
  <si>
    <t>LAB-002976</t>
  </si>
  <si>
    <t>LAB-002977</t>
  </si>
  <si>
    <t>LAB-002978</t>
  </si>
  <si>
    <t>LAB-002979</t>
  </si>
  <si>
    <t>LAB-002980</t>
  </si>
  <si>
    <t>LAB-002981</t>
  </si>
  <si>
    <t>LAB-002982</t>
  </si>
  <si>
    <t>LAB-002983</t>
  </si>
  <si>
    <t>LAB-002984</t>
  </si>
  <si>
    <t>LAB-002985</t>
  </si>
  <si>
    <t>LAB-002986</t>
  </si>
  <si>
    <t>LAB-002987</t>
  </si>
  <si>
    <t>LAB-002988</t>
  </si>
  <si>
    <t>LAB-002989</t>
  </si>
  <si>
    <t>LAB-002990</t>
  </si>
  <si>
    <t>LAB-002991</t>
  </si>
  <si>
    <t>LAB-002992</t>
  </si>
  <si>
    <t>LAB-002993</t>
  </si>
  <si>
    <t>LAB-002994</t>
  </si>
  <si>
    <t>LAB-002995</t>
  </si>
  <si>
    <t>LAB-002996</t>
  </si>
  <si>
    <t>LAB-002997</t>
  </si>
  <si>
    <t>LAB-002998</t>
  </si>
  <si>
    <t>LAB-002999</t>
  </si>
  <si>
    <t>LAB-003000</t>
  </si>
  <si>
    <t>LAB-003001</t>
  </si>
  <si>
    <t>LAB-003002</t>
  </si>
  <si>
    <t>LAB-003003</t>
  </si>
  <si>
    <t>LAB-003004</t>
  </si>
  <si>
    <t>LAB-003005</t>
  </si>
  <si>
    <t>LAB-003006</t>
  </si>
  <si>
    <t>LAB-003007</t>
  </si>
  <si>
    <t>LAB-003008</t>
  </si>
  <si>
    <t>LAB-003009</t>
  </si>
  <si>
    <t>LAB-003010</t>
  </si>
  <si>
    <t>LAB-003011</t>
  </si>
  <si>
    <t>LAB-003012</t>
  </si>
  <si>
    <t>LAB-003013</t>
  </si>
  <si>
    <t>LAB-003014</t>
  </si>
  <si>
    <t>LAB-003015</t>
  </si>
  <si>
    <t>LAB-003016</t>
  </si>
  <si>
    <t>LAB-003017</t>
  </si>
  <si>
    <t>LAB-003018</t>
  </si>
  <si>
    <t>LAB-003019</t>
  </si>
  <si>
    <t>LAB-003020</t>
  </si>
  <si>
    <t>LAB-003021</t>
  </si>
  <si>
    <t>LAB-003022</t>
  </si>
  <si>
    <t>LAB-003023</t>
  </si>
  <si>
    <t>LAB-003024</t>
  </si>
  <si>
    <t>LAB-003025</t>
  </si>
  <si>
    <t>LAB-003026</t>
  </si>
  <si>
    <t>LAB-003027</t>
  </si>
  <si>
    <t>LAB-003028</t>
  </si>
  <si>
    <t>LAB-003029</t>
  </si>
  <si>
    <t>LAB-003030</t>
  </si>
  <si>
    <t>LAB-003031</t>
  </si>
  <si>
    <t>LAB-003032</t>
  </si>
  <si>
    <t>LAB-003033</t>
  </si>
  <si>
    <t>LAB-003034</t>
  </si>
  <si>
    <t>LAB-003035</t>
  </si>
  <si>
    <t>LAB-003036</t>
  </si>
  <si>
    <t>LAB-003037</t>
  </si>
  <si>
    <t>LAB-003038</t>
  </si>
  <si>
    <t>LAB-003039</t>
  </si>
  <si>
    <t>LAB-003040</t>
  </si>
  <si>
    <t>LAB-003041</t>
  </si>
  <si>
    <t>LAB-003042</t>
  </si>
  <si>
    <t>LAB-003043</t>
  </si>
  <si>
    <t>LAB-003044</t>
  </si>
  <si>
    <t>LAB-003045</t>
  </si>
  <si>
    <t>LAB-003046</t>
  </si>
  <si>
    <t>LAB-003047</t>
  </si>
  <si>
    <t>LAB-003048</t>
  </si>
  <si>
    <t>LAB-003049</t>
  </si>
  <si>
    <t>LAB-003050</t>
  </si>
  <si>
    <t>LAB-003051</t>
  </si>
  <si>
    <t>LAB-003052</t>
  </si>
  <si>
    <t>LAB-003053</t>
  </si>
  <si>
    <t>LAB-003054</t>
  </si>
  <si>
    <t>LAB-003055</t>
  </si>
  <si>
    <t>LAB-003056</t>
  </si>
  <si>
    <t>LAB-003057</t>
  </si>
  <si>
    <t>LAB-003058</t>
  </si>
  <si>
    <t>LAB-003059</t>
  </si>
  <si>
    <t>LAB-003060</t>
  </si>
  <si>
    <t>LAB-003061</t>
  </si>
  <si>
    <t>LAB-003062</t>
  </si>
  <si>
    <t>LAB-003063</t>
  </si>
  <si>
    <t>LAB-003064</t>
  </si>
  <si>
    <t>LAB-003065</t>
  </si>
  <si>
    <t>LAB-003066</t>
  </si>
  <si>
    <t>LAB-003067</t>
  </si>
  <si>
    <t>LAB-003068</t>
  </si>
  <si>
    <t>LAB-003069</t>
  </si>
  <si>
    <t>LAB-003070</t>
  </si>
  <si>
    <t>LAB-003071</t>
  </si>
  <si>
    <t>LAB-003072</t>
  </si>
  <si>
    <t>LAB-003073</t>
  </si>
  <si>
    <t>LAB-003074</t>
  </si>
  <si>
    <t>LAB-003075</t>
  </si>
  <si>
    <t>LAB-003076</t>
  </si>
  <si>
    <t>LAB-003077</t>
  </si>
  <si>
    <t>LAB-003078</t>
  </si>
  <si>
    <t>LAB-003079</t>
  </si>
  <si>
    <t>LAB-003080</t>
  </si>
  <si>
    <t>LAB-003081</t>
  </si>
  <si>
    <t>LAB-003082</t>
  </si>
  <si>
    <t>LAB-003083</t>
  </si>
  <si>
    <t>LAB-003084</t>
  </si>
  <si>
    <t>LAB-003085</t>
  </si>
  <si>
    <t>LAB-003086</t>
  </si>
  <si>
    <t>LAB-003087</t>
  </si>
  <si>
    <t>LAB-003088</t>
  </si>
  <si>
    <t>LAB-003089</t>
  </si>
  <si>
    <t>LAB-003090</t>
  </si>
  <si>
    <t>LAB-003091</t>
  </si>
  <si>
    <t>LAB-003092</t>
  </si>
  <si>
    <t>LAB-003093</t>
  </si>
  <si>
    <t>LAB-003094</t>
  </si>
  <si>
    <t>LAB-003095</t>
  </si>
  <si>
    <t>LAB-003096</t>
  </si>
  <si>
    <t>LAB-003097</t>
  </si>
  <si>
    <t>LAB-003098</t>
  </si>
  <si>
    <t>LAB-003099</t>
  </si>
  <si>
    <t>LAB-003100</t>
  </si>
  <si>
    <t>LAB-003101</t>
  </si>
  <si>
    <t>LAB-003102</t>
  </si>
  <si>
    <t>LAB-003103</t>
  </si>
  <si>
    <t>LAB-003104</t>
  </si>
  <si>
    <t>LAB-003105</t>
  </si>
  <si>
    <t>LAB-003106</t>
  </si>
  <si>
    <t>LAB-003107</t>
  </si>
  <si>
    <t>LAB-003108</t>
  </si>
  <si>
    <t>LAB-003109</t>
  </si>
  <si>
    <t>LAB-003110</t>
  </si>
  <si>
    <t>LAB-003111</t>
  </si>
  <si>
    <t>LAB-003112</t>
  </si>
  <si>
    <t>LAB-003113</t>
  </si>
  <si>
    <t>LAB-003114</t>
  </si>
  <si>
    <t>LAB-003115</t>
  </si>
  <si>
    <t>LAB-003116</t>
  </si>
  <si>
    <t>LAB-003117</t>
  </si>
  <si>
    <t>LAB-003118</t>
  </si>
  <si>
    <t>LAB-003119</t>
  </si>
  <si>
    <t>LAB-003120</t>
  </si>
  <si>
    <t>LAB-003121</t>
  </si>
  <si>
    <t>LAB-003122</t>
  </si>
  <si>
    <t>LAB-003123</t>
  </si>
  <si>
    <t>LAB-003124</t>
  </si>
  <si>
    <t>LAB-003125</t>
  </si>
  <si>
    <t>LAB-003126</t>
  </si>
  <si>
    <t>LAB-003127</t>
  </si>
  <si>
    <t>LAB-003128</t>
  </si>
  <si>
    <t>LAB-003129</t>
  </si>
  <si>
    <t>LAB-003130</t>
  </si>
  <si>
    <t>LAB-003131</t>
  </si>
  <si>
    <t>LAB-003132</t>
  </si>
  <si>
    <t>LAB-003133</t>
  </si>
  <si>
    <t>LAB-003134</t>
  </si>
  <si>
    <t>LAB-003135</t>
  </si>
  <si>
    <t>LAB-003136</t>
  </si>
  <si>
    <t>LAB-003137</t>
  </si>
  <si>
    <t>LAB-003138</t>
  </si>
  <si>
    <t>LAB-003139</t>
  </si>
  <si>
    <t>LAB-003140</t>
  </si>
  <si>
    <t>LAB-003141</t>
  </si>
  <si>
    <t>LAB-003142</t>
  </si>
  <si>
    <t>LAB-003143</t>
  </si>
  <si>
    <t>LAB-003144</t>
  </si>
  <si>
    <t>LAB-003145</t>
  </si>
  <si>
    <t>LAB-003146</t>
  </si>
  <si>
    <t>LAB-003147</t>
  </si>
  <si>
    <t>LAB-003148</t>
  </si>
  <si>
    <t>LAB-003149</t>
  </si>
  <si>
    <t>LAB-003150</t>
  </si>
  <si>
    <t>LAB-003151</t>
  </si>
  <si>
    <t>LAB-003152</t>
  </si>
  <si>
    <t>LAB-003153</t>
  </si>
  <si>
    <t>LAB-003154</t>
  </si>
  <si>
    <t>LAB-003155</t>
  </si>
  <si>
    <t>LAB-003156</t>
  </si>
  <si>
    <t>LAB-003157</t>
  </si>
  <si>
    <t>LAB-003158</t>
  </si>
  <si>
    <t>LAB-003159</t>
  </si>
  <si>
    <t>LAB-003160</t>
  </si>
  <si>
    <t>LAB-003161</t>
  </si>
  <si>
    <t>LAB-003162</t>
  </si>
  <si>
    <t>LAB-003163</t>
  </si>
  <si>
    <t>LAB-003164</t>
  </si>
  <si>
    <t>LAB-003165</t>
  </si>
  <si>
    <t>LAB-003166</t>
  </si>
  <si>
    <t>LAB-003167</t>
  </si>
  <si>
    <t>LAB-003168</t>
  </si>
  <si>
    <t>LAB-003169</t>
  </si>
  <si>
    <t>LAB-003170</t>
  </si>
  <si>
    <t>LAB-003171</t>
  </si>
  <si>
    <t>LAB-003172</t>
  </si>
  <si>
    <t>LAB-003173</t>
  </si>
  <si>
    <t>LAB-003174</t>
  </si>
  <si>
    <t>LAB-003175</t>
  </si>
  <si>
    <t>LAB-003176</t>
  </si>
  <si>
    <t>LAB-003177</t>
  </si>
  <si>
    <t>LAB-003178</t>
  </si>
  <si>
    <t>LAB-003179</t>
  </si>
  <si>
    <t>LAB-003180</t>
  </si>
  <si>
    <t>LAB-003181</t>
  </si>
  <si>
    <t>LAB-003182</t>
  </si>
  <si>
    <t>LAB-003183</t>
  </si>
  <si>
    <t>LAB-003184</t>
  </si>
  <si>
    <t>LAB-003185</t>
  </si>
  <si>
    <t>LAB-003186</t>
  </si>
  <si>
    <t>LAB-003187</t>
  </si>
  <si>
    <t>LAB-003188</t>
  </si>
  <si>
    <t>LAB-003189</t>
  </si>
  <si>
    <t>LAB-003190</t>
  </si>
  <si>
    <t>LAB-003191</t>
  </si>
  <si>
    <t>LAB-003192</t>
  </si>
  <si>
    <t>LAB-003193</t>
  </si>
  <si>
    <t>LAB-003194</t>
  </si>
  <si>
    <t>LAB-003195</t>
  </si>
  <si>
    <t>LAB-003196</t>
  </si>
  <si>
    <t>LAB-003197</t>
  </si>
  <si>
    <t>LAB-003198</t>
  </si>
  <si>
    <t>LAB-003199</t>
  </si>
  <si>
    <t>LAB-003200</t>
  </si>
  <si>
    <t>LAB-003201</t>
  </si>
  <si>
    <t>LAB-003202</t>
  </si>
  <si>
    <t>LAB-003203</t>
  </si>
  <si>
    <t>LAB-003204</t>
  </si>
  <si>
    <t>LAB-003205</t>
  </si>
  <si>
    <t>LAB-003206</t>
  </si>
  <si>
    <t>LAB-003207</t>
  </si>
  <si>
    <t>LAB-003208</t>
  </si>
  <si>
    <t>LAB-003209</t>
  </si>
  <si>
    <t>LAB-003210</t>
  </si>
  <si>
    <t>LAB-003211</t>
  </si>
  <si>
    <t>LAB-003212</t>
  </si>
  <si>
    <t>LAB-003213</t>
  </si>
  <si>
    <t>LAB-003214</t>
  </si>
  <si>
    <t>LAB-003215</t>
  </si>
  <si>
    <t>LAB-003216</t>
  </si>
  <si>
    <t>LAB-003217</t>
  </si>
  <si>
    <t>LAB-003218</t>
  </si>
  <si>
    <t>LAB-003219</t>
  </si>
  <si>
    <t>LAB-003220</t>
  </si>
  <si>
    <t>LAB-003221</t>
  </si>
  <si>
    <t>LAB-003222</t>
  </si>
  <si>
    <t>LAB-003223</t>
  </si>
  <si>
    <t>LAB-003224</t>
  </si>
  <si>
    <t>LAB-003225</t>
  </si>
  <si>
    <t>LAB-003226</t>
  </si>
  <si>
    <t>LAB-003227</t>
  </si>
  <si>
    <t>LAB-003228</t>
  </si>
  <si>
    <t>LAB-003229</t>
  </si>
  <si>
    <t>LAB-003230</t>
  </si>
  <si>
    <t>LAB-003231</t>
  </si>
  <si>
    <t>LAB-003232</t>
  </si>
  <si>
    <t>LAB-003233</t>
  </si>
  <si>
    <t>LAB-003234</t>
  </si>
  <si>
    <t>LAB-003235</t>
  </si>
  <si>
    <t>LAB-003236</t>
  </si>
  <si>
    <t>LAB-003237</t>
  </si>
  <si>
    <t>LAB-003238</t>
  </si>
  <si>
    <t>LAB-003239</t>
  </si>
  <si>
    <t>LAB-003240</t>
  </si>
  <si>
    <t>LAB-003241</t>
  </si>
  <si>
    <t>LAB-003242</t>
  </si>
  <si>
    <t>LAB-003243</t>
  </si>
  <si>
    <t>LAB-003244</t>
  </si>
  <si>
    <t>LAB-003245</t>
  </si>
  <si>
    <t>LAB-003246</t>
  </si>
  <si>
    <t>LAB-003247</t>
  </si>
  <si>
    <t>LAB-003248</t>
  </si>
  <si>
    <t>LAB-003249</t>
  </si>
  <si>
    <t>LAB-003250</t>
  </si>
  <si>
    <t>LAB-003251</t>
  </si>
  <si>
    <t>LAB-003252</t>
  </si>
  <si>
    <t>LAB-003253</t>
  </si>
  <si>
    <t>LAB-003254</t>
  </si>
  <si>
    <t>LAB-003255</t>
  </si>
  <si>
    <t>LAB-003256</t>
  </si>
  <si>
    <t>LAB-003257</t>
  </si>
  <si>
    <t>LAB-003258</t>
  </si>
  <si>
    <t>LAB-003259</t>
  </si>
  <si>
    <t>LAB-003260</t>
  </si>
  <si>
    <t>LAB-003261</t>
  </si>
  <si>
    <t>LAB-003262</t>
  </si>
  <si>
    <t>LAB-003263</t>
  </si>
  <si>
    <t>LAB-003264</t>
  </si>
  <si>
    <t>LAB-003265</t>
  </si>
  <si>
    <t>LAB-003266</t>
  </si>
  <si>
    <t>LAB-003267</t>
  </si>
  <si>
    <t>LAB-003268</t>
  </si>
  <si>
    <t>LAB-003269</t>
  </si>
  <si>
    <t>LAB-003270</t>
  </si>
  <si>
    <t>LAB-003271</t>
  </si>
  <si>
    <t>LAB-003272</t>
  </si>
  <si>
    <t>LAB-003273</t>
  </si>
  <si>
    <t>LAB-003274</t>
  </si>
  <si>
    <t>LAB-003275</t>
  </si>
  <si>
    <t>LAB-003276</t>
  </si>
  <si>
    <t>LAB-003277</t>
  </si>
  <si>
    <t>LAB-003278</t>
  </si>
  <si>
    <t>LAB-003279</t>
  </si>
  <si>
    <t>LAB-003280</t>
  </si>
  <si>
    <t>LAB-003281</t>
  </si>
  <si>
    <t>LAB-003282</t>
  </si>
  <si>
    <t>LAB-003283</t>
  </si>
  <si>
    <t>LAB-003284</t>
  </si>
  <si>
    <t>LAB-003285</t>
  </si>
  <si>
    <t>LAB-003286</t>
  </si>
  <si>
    <t>LAB-003287</t>
  </si>
  <si>
    <t>LAB-003288</t>
  </si>
  <si>
    <t>LAB-003289</t>
  </si>
  <si>
    <t>LAB-003290</t>
  </si>
  <si>
    <t>LAB-003291</t>
  </si>
  <si>
    <t>LAB-003292</t>
  </si>
  <si>
    <t>LAB-003293</t>
  </si>
  <si>
    <t>LAB-003294</t>
  </si>
  <si>
    <t>LAB-003295</t>
  </si>
  <si>
    <t>LAB-003296</t>
  </si>
  <si>
    <t>LAB-003297</t>
  </si>
  <si>
    <t>LAB-003298</t>
  </si>
  <si>
    <t>LAB-003299</t>
  </si>
  <si>
    <t>LAB-003300</t>
  </si>
  <si>
    <t>LAB-003301</t>
  </si>
  <si>
    <t>LAB-003302</t>
  </si>
  <si>
    <t>LAB-003303</t>
  </si>
  <si>
    <t>LAB-003304</t>
  </si>
  <si>
    <t>LAB-003305</t>
  </si>
  <si>
    <t>LAB-003306</t>
  </si>
  <si>
    <t>LAB-003307</t>
  </si>
  <si>
    <t>LAB-003308</t>
  </si>
  <si>
    <t>LAB-003309</t>
  </si>
  <si>
    <t>LAB-003310</t>
  </si>
  <si>
    <t>LAB-003311</t>
  </si>
  <si>
    <t>LAB-003312</t>
  </si>
  <si>
    <t>LAB-003313</t>
  </si>
  <si>
    <t>LAB-003314</t>
  </si>
  <si>
    <t>LAB-003315</t>
  </si>
  <si>
    <t>LAB-003316</t>
  </si>
  <si>
    <t>LAB-003317</t>
  </si>
  <si>
    <t>LAB-003318</t>
  </si>
  <si>
    <t>LAB-003319</t>
  </si>
  <si>
    <t>LAB-003320</t>
  </si>
  <si>
    <t>LAB-003321</t>
  </si>
  <si>
    <t>LAB-003322</t>
  </si>
  <si>
    <t>LAB-003323</t>
  </si>
  <si>
    <t>LAB-003324</t>
  </si>
  <si>
    <t>LAB-003325</t>
  </si>
  <si>
    <t>LAB-003326</t>
  </si>
  <si>
    <t>LAB-003327</t>
  </si>
  <si>
    <t>LAB-003328</t>
  </si>
  <si>
    <t>LAB-003329</t>
  </si>
  <si>
    <t>LAB-003330</t>
  </si>
  <si>
    <t>LAB-003331</t>
  </si>
  <si>
    <t>LAB-003332</t>
  </si>
  <si>
    <t>LAB-003333</t>
  </si>
  <si>
    <t>LAB-003334</t>
  </si>
  <si>
    <t>LAB-003335</t>
  </si>
  <si>
    <t>LAB-003336</t>
  </si>
  <si>
    <t>LAB-003337</t>
  </si>
  <si>
    <t>LAB-003338</t>
  </si>
  <si>
    <t>LAB-003339</t>
  </si>
  <si>
    <t>LAB-003340</t>
  </si>
  <si>
    <t>LAB-003341</t>
  </si>
  <si>
    <t>LAB-003342</t>
  </si>
  <si>
    <t>LAB-003343</t>
  </si>
  <si>
    <t>LAB-003344</t>
  </si>
  <si>
    <t>LAB-003345</t>
  </si>
  <si>
    <t>LAB-003346</t>
  </si>
  <si>
    <t>LAB-003347</t>
  </si>
  <si>
    <t>LAB-003348</t>
  </si>
  <si>
    <t>LAB-003349</t>
  </si>
  <si>
    <t>LAB-003350</t>
  </si>
  <si>
    <t>LAB-003351</t>
  </si>
  <si>
    <t>LAB-003352</t>
  </si>
  <si>
    <t>LAB-003353</t>
  </si>
  <si>
    <t>LAB-003354</t>
  </si>
  <si>
    <t>LAB-003355</t>
  </si>
  <si>
    <t>LAB-003356</t>
  </si>
  <si>
    <t>LAB-003357</t>
  </si>
  <si>
    <t>LAB-003358</t>
  </si>
  <si>
    <t>LAB-003359</t>
  </si>
  <si>
    <t>LAB-003360</t>
  </si>
  <si>
    <t>LAB-003361</t>
  </si>
  <si>
    <t>LAB-003362</t>
  </si>
  <si>
    <t>LAB-003363</t>
  </si>
  <si>
    <t>LAB-003364</t>
  </si>
  <si>
    <t>LAB-003365</t>
  </si>
  <si>
    <t>LAB-003366</t>
  </si>
  <si>
    <t>LAB-003367</t>
  </si>
  <si>
    <t>LAB-003368</t>
  </si>
  <si>
    <t>LAB-003369</t>
  </si>
  <si>
    <t>LAB-003370</t>
  </si>
  <si>
    <t>LAB-003371</t>
  </si>
  <si>
    <t>LAB-003372</t>
  </si>
  <si>
    <t>LAB-003373</t>
  </si>
  <si>
    <t>LAB-003374</t>
  </si>
  <si>
    <t>LAB-003375</t>
  </si>
  <si>
    <t>LAB-003376</t>
  </si>
  <si>
    <t>LAB-003377</t>
  </si>
  <si>
    <t>LAB-003378</t>
  </si>
  <si>
    <t>LAB-003379</t>
  </si>
  <si>
    <t>LAB-003380</t>
  </si>
  <si>
    <t>LAB-003381</t>
  </si>
  <si>
    <t>LAB-003382</t>
  </si>
  <si>
    <t>LAB-003383</t>
  </si>
  <si>
    <t>LAB-003384</t>
  </si>
  <si>
    <t>LAB-003385</t>
  </si>
  <si>
    <t>LAB-003386</t>
  </si>
  <si>
    <t>LAB-003387</t>
  </si>
  <si>
    <t>LAB-003388</t>
  </si>
  <si>
    <t>LAB-003389</t>
  </si>
  <si>
    <t>LAB-003390</t>
  </si>
  <si>
    <t>LAB-003391</t>
  </si>
  <si>
    <t>LAB-003392</t>
  </si>
  <si>
    <t>LAB-003393</t>
  </si>
  <si>
    <t>LAB-003394</t>
  </si>
  <si>
    <t>LAB-003395</t>
  </si>
  <si>
    <t>LAB-003396</t>
  </si>
  <si>
    <t>LAB-003397</t>
  </si>
  <si>
    <t>LAB-003398</t>
  </si>
  <si>
    <t>LAB-003399</t>
  </si>
  <si>
    <t>LAB-003400</t>
  </si>
  <si>
    <t>LAB-003401</t>
  </si>
  <si>
    <t>LAB-003402</t>
  </si>
  <si>
    <t>LAB-003403</t>
  </si>
  <si>
    <t>LAB-003404</t>
  </si>
  <si>
    <t>LAB-003405</t>
  </si>
  <si>
    <t>LAB-003406</t>
  </si>
  <si>
    <t>LAB-003407</t>
  </si>
  <si>
    <t>LAB-003408</t>
  </si>
  <si>
    <t>LAB-003409</t>
  </si>
  <si>
    <t>LAB-003410</t>
  </si>
  <si>
    <t>LAB-003411</t>
  </si>
  <si>
    <t>LAB-003412</t>
  </si>
  <si>
    <t>LAB-003413</t>
  </si>
  <si>
    <t>LAB-003414</t>
  </si>
  <si>
    <t>LAB-003415</t>
  </si>
  <si>
    <t>LAB-003416</t>
  </si>
  <si>
    <t>LAB-003417</t>
  </si>
  <si>
    <t>LAB-003418</t>
  </si>
  <si>
    <t>LAB-003419</t>
  </si>
  <si>
    <t>LAB-003420</t>
  </si>
  <si>
    <t>LAB-003421</t>
  </si>
  <si>
    <t>LAB-003422</t>
  </si>
  <si>
    <t>2026-02-14</t>
  </si>
  <si>
    <t>LAB-003423</t>
  </si>
  <si>
    <t>LAB-003424</t>
  </si>
  <si>
    <t>LAB-003425</t>
  </si>
  <si>
    <t>LAB-003426</t>
  </si>
  <si>
    <t>LAB-003427</t>
  </si>
  <si>
    <t>LAB-003428</t>
  </si>
  <si>
    <t>LAB-003429</t>
  </si>
  <si>
    <t>LAB-003430</t>
  </si>
  <si>
    <t>LAB-003431</t>
  </si>
  <si>
    <t>LAB-003432</t>
  </si>
  <si>
    <t>LAB-003433</t>
  </si>
  <si>
    <t>LAB-003434</t>
  </si>
  <si>
    <t>LAB-003435</t>
  </si>
  <si>
    <t>LAB-003436</t>
  </si>
  <si>
    <t>LAB-003437</t>
  </si>
  <si>
    <t>LAB-003438</t>
  </si>
  <si>
    <t>LAB-003439</t>
  </si>
  <si>
    <t>LAB-003440</t>
  </si>
  <si>
    <t>LAB-003441</t>
  </si>
  <si>
    <t>LAB-003442</t>
  </si>
  <si>
    <t>LAB-003443</t>
  </si>
  <si>
    <t>LAB-003444</t>
  </si>
  <si>
    <t>LAB-003445</t>
  </si>
  <si>
    <t>LAB-003446</t>
  </si>
  <si>
    <t>LAB-003447</t>
  </si>
  <si>
    <t>LAB-003448</t>
  </si>
  <si>
    <t>LAB-003449</t>
  </si>
  <si>
    <t>LAB-003450</t>
  </si>
  <si>
    <t>LAB-003451</t>
  </si>
  <si>
    <t>LAB-003452</t>
  </si>
  <si>
    <t>LAB-003453</t>
  </si>
  <si>
    <t>LAB-003454</t>
  </si>
  <si>
    <t>LAB-003455</t>
  </si>
  <si>
    <t>LAB-003456</t>
  </si>
  <si>
    <t>LAB-003457</t>
  </si>
  <si>
    <t>LAB-003458</t>
  </si>
  <si>
    <t>LAB-003459</t>
  </si>
  <si>
    <t>LAB-003460</t>
  </si>
  <si>
    <t>LAB-003461</t>
  </si>
  <si>
    <t>LAB-003462</t>
  </si>
  <si>
    <t>LAB-003463</t>
  </si>
  <si>
    <t>LAB-003464</t>
  </si>
  <si>
    <t>LAB-003465</t>
  </si>
  <si>
    <t>LAB-003466</t>
  </si>
  <si>
    <t>LAB-003467</t>
  </si>
  <si>
    <t>LAB-003468</t>
  </si>
  <si>
    <t>LAB-003469</t>
  </si>
  <si>
    <t>LAB-003470</t>
  </si>
  <si>
    <t>LAB-003471</t>
  </si>
  <si>
    <t>LAB-003472</t>
  </si>
  <si>
    <t>LAB-003473</t>
  </si>
  <si>
    <t>LAB-003474</t>
  </si>
  <si>
    <t>LAB-003475</t>
  </si>
  <si>
    <t>LAB-003476</t>
  </si>
  <si>
    <t>LAB-003477</t>
  </si>
  <si>
    <t>LAB-003478</t>
  </si>
  <si>
    <t>LAB-003479</t>
  </si>
  <si>
    <t>LAB-003480</t>
  </si>
  <si>
    <t>LAB-003481</t>
  </si>
  <si>
    <t>LAB-003482</t>
  </si>
  <si>
    <t>LAB-003483</t>
  </si>
  <si>
    <t>LAB-003484</t>
  </si>
  <si>
    <t>LAB-003485</t>
  </si>
  <si>
    <t>LAB-003486</t>
  </si>
  <si>
    <t>LAB-003487</t>
  </si>
  <si>
    <t>LAB-003488</t>
  </si>
  <si>
    <t>LAB-003489</t>
  </si>
  <si>
    <t>LAB-003490</t>
  </si>
  <si>
    <t>LAB-003491</t>
  </si>
  <si>
    <t>LAB-003492</t>
  </si>
  <si>
    <t>LAB-003493</t>
  </si>
  <si>
    <t>LAB-003494</t>
  </si>
  <si>
    <t>LAB-003495</t>
  </si>
  <si>
    <t>LAB-003496</t>
  </si>
  <si>
    <t>LAB-003497</t>
  </si>
  <si>
    <t>LAB-003498</t>
  </si>
  <si>
    <t>LAB-003499</t>
  </si>
  <si>
    <t>LAB-003500</t>
  </si>
  <si>
    <t>LAB-003501</t>
  </si>
  <si>
    <t>LAB-003502</t>
  </si>
  <si>
    <t>LAB-003503</t>
  </si>
  <si>
    <t>LAB-003504</t>
  </si>
  <si>
    <t>LAB-003505</t>
  </si>
  <si>
    <t>LAB-003506</t>
  </si>
  <si>
    <t>LAB-003507</t>
  </si>
  <si>
    <t>LAB-003508</t>
  </si>
  <si>
    <t>LAB-003509</t>
  </si>
  <si>
    <t>LAB-003510</t>
  </si>
  <si>
    <t>LAB-003511</t>
  </si>
  <si>
    <t>LAB-003512</t>
  </si>
  <si>
    <t>LAB-003513</t>
  </si>
  <si>
    <t>LAB-003514</t>
  </si>
  <si>
    <t>LAB-003515</t>
  </si>
  <si>
    <t>LAB-003516</t>
  </si>
  <si>
    <t>LAB-003517</t>
  </si>
  <si>
    <t>LAB-003518</t>
  </si>
  <si>
    <t>LAB-003519</t>
  </si>
  <si>
    <t>LAB-003520</t>
  </si>
  <si>
    <t>LAB-003521</t>
  </si>
  <si>
    <t>LAB-003522</t>
  </si>
  <si>
    <t>LAB-003523</t>
  </si>
  <si>
    <t>LAB-003524</t>
  </si>
  <si>
    <t>LAB-003525</t>
  </si>
  <si>
    <t>LAB-003526</t>
  </si>
  <si>
    <t>LAB-003527</t>
  </si>
  <si>
    <t>LAB-003528</t>
  </si>
  <si>
    <t>LAB-003529</t>
  </si>
  <si>
    <t>LAB-003530</t>
  </si>
  <si>
    <t>LAB-003531</t>
  </si>
  <si>
    <t>LAB-003532</t>
  </si>
  <si>
    <t>LAB-003533</t>
  </si>
  <si>
    <t>LAB-003534</t>
  </si>
  <si>
    <t>LAB-003535</t>
  </si>
  <si>
    <t>LAB-003536</t>
  </si>
  <si>
    <t>LAB-003537</t>
  </si>
  <si>
    <t>LAB-003538</t>
  </si>
  <si>
    <t>LAB-003539</t>
  </si>
  <si>
    <t>LAB-003540</t>
  </si>
  <si>
    <t>LAB-003541</t>
  </si>
  <si>
    <t>LAB-003542</t>
  </si>
  <si>
    <t>LAB-003543</t>
  </si>
  <si>
    <t>LAB-003544</t>
  </si>
  <si>
    <t>LAB-003545</t>
  </si>
  <si>
    <t>LAB-003546</t>
  </si>
  <si>
    <t>LAB-003547</t>
  </si>
  <si>
    <t>LAB-003548</t>
  </si>
  <si>
    <t>LAB-003549</t>
  </si>
  <si>
    <t>LAB-003550</t>
  </si>
  <si>
    <t>LAB-003551</t>
  </si>
  <si>
    <t>LAB-003552</t>
  </si>
  <si>
    <t>LAB-003553</t>
  </si>
  <si>
    <t>LAB-003554</t>
  </si>
  <si>
    <t>LAB-003555</t>
  </si>
  <si>
    <t>LAB-003556</t>
  </si>
  <si>
    <t>LAB-003557</t>
  </si>
  <si>
    <t>LAB-003558</t>
  </si>
  <si>
    <t>LAB-003559</t>
  </si>
  <si>
    <t>LAB-003560</t>
  </si>
  <si>
    <t>LAB-003561</t>
  </si>
  <si>
    <t>LAB-003562</t>
  </si>
  <si>
    <t>LAB-003563</t>
  </si>
  <si>
    <t>LAB-003564</t>
  </si>
  <si>
    <t>LAB-003565</t>
  </si>
  <si>
    <t>LAB-003566</t>
  </si>
  <si>
    <t>LAB-003567</t>
  </si>
  <si>
    <t>LAB-003568</t>
  </si>
  <si>
    <t>LAB-003569</t>
  </si>
  <si>
    <t>LAB-003570</t>
  </si>
  <si>
    <t>LAB-003571</t>
  </si>
  <si>
    <t>LAB-003572</t>
  </si>
  <si>
    <t>LAB-003573</t>
  </si>
  <si>
    <t>LAB-003574</t>
  </si>
  <si>
    <t>LAB-003575</t>
  </si>
  <si>
    <t>LAB-003576</t>
  </si>
  <si>
    <t>LAB-003577</t>
  </si>
  <si>
    <t>LAB-003578</t>
  </si>
  <si>
    <t>LAB-003579</t>
  </si>
  <si>
    <t>LAB-003580</t>
  </si>
  <si>
    <t>LAB-003581</t>
  </si>
  <si>
    <t>LAB-003582</t>
  </si>
  <si>
    <t>LAB-003583</t>
  </si>
  <si>
    <t>LAB-003584</t>
  </si>
  <si>
    <t>LAB-003585</t>
  </si>
  <si>
    <t>LAB-003586</t>
  </si>
  <si>
    <t>LAB-003587</t>
  </si>
  <si>
    <t>LAB-003588</t>
  </si>
  <si>
    <t>LAB-003589</t>
  </si>
  <si>
    <t>LAB-003590</t>
  </si>
  <si>
    <t>LAB-003591</t>
  </si>
  <si>
    <t>LAB-003592</t>
  </si>
  <si>
    <t>LAB-003593</t>
  </si>
  <si>
    <t>LAB-003594</t>
  </si>
  <si>
    <t>LAB-003595</t>
  </si>
  <si>
    <t>LAB-003596</t>
  </si>
  <si>
    <t>LAB-003597</t>
  </si>
  <si>
    <t>LAB-003598</t>
  </si>
  <si>
    <t>LAB-003599</t>
  </si>
  <si>
    <t>LAB-003600</t>
  </si>
  <si>
    <t>LAB-003601</t>
  </si>
  <si>
    <t>LAB-003602</t>
  </si>
  <si>
    <t>LAB-003603</t>
  </si>
  <si>
    <t>LAB-003604</t>
  </si>
  <si>
    <t>LAB-003605</t>
  </si>
  <si>
    <t>LAB-003606</t>
  </si>
  <si>
    <t>LAB-003607</t>
  </si>
  <si>
    <t>LAB-003608</t>
  </si>
  <si>
    <t>LAB-003609</t>
  </si>
  <si>
    <t>LAB-003610</t>
  </si>
  <si>
    <t>LAB-003611</t>
  </si>
  <si>
    <t>LAB-003612</t>
  </si>
  <si>
    <t>LAB-003613</t>
  </si>
  <si>
    <t>LAB-003614</t>
  </si>
  <si>
    <t>LAB-003615</t>
  </si>
  <si>
    <t>LAB-003616</t>
  </si>
  <si>
    <t>LAB-003617</t>
  </si>
  <si>
    <t>LAB-003618</t>
  </si>
  <si>
    <t>LAB-003619</t>
  </si>
  <si>
    <t>LAB-003620</t>
  </si>
  <si>
    <t>LAB-003621</t>
  </si>
  <si>
    <t>LAB-003622</t>
  </si>
  <si>
    <t>LAB-003623</t>
  </si>
  <si>
    <t>LAB-003624</t>
  </si>
  <si>
    <t>LAB-003625</t>
  </si>
  <si>
    <t>LAB-003626</t>
  </si>
  <si>
    <t>LAB-003627</t>
  </si>
  <si>
    <t>LAB-003628</t>
  </si>
  <si>
    <t>LAB-003629</t>
  </si>
  <si>
    <t>LAB-003630</t>
  </si>
  <si>
    <t>LAB-003631</t>
  </si>
  <si>
    <t>LAB-003632</t>
  </si>
  <si>
    <t>LAB-003633</t>
  </si>
  <si>
    <t>LAB-003634</t>
  </si>
  <si>
    <t>LAB-003635</t>
  </si>
  <si>
    <t>LAB-003636</t>
  </si>
  <si>
    <t>LAB-003637</t>
  </si>
  <si>
    <t>LAB-003638</t>
  </si>
  <si>
    <t>LAB-003639</t>
  </si>
  <si>
    <t>LAB-003640</t>
  </si>
  <si>
    <t>LAB-003641</t>
  </si>
  <si>
    <t>LAB-003642</t>
  </si>
  <si>
    <t>LAB-003643</t>
  </si>
  <si>
    <t>LAB-003644</t>
  </si>
  <si>
    <t>LAB-003645</t>
  </si>
  <si>
    <t>LAB-003646</t>
  </si>
  <si>
    <t>LAB-003647</t>
  </si>
  <si>
    <t>LAB-003648</t>
  </si>
  <si>
    <t>LAB-003649</t>
  </si>
  <si>
    <t>LAB-003650</t>
  </si>
  <si>
    <t>LAB-003651</t>
  </si>
  <si>
    <t>LAB-003652</t>
  </si>
  <si>
    <t>LAB-003653</t>
  </si>
  <si>
    <t>LAB-003654</t>
  </si>
  <si>
    <t>LAB-003655</t>
  </si>
  <si>
    <t>LAB-003656</t>
  </si>
  <si>
    <t>LAB-003657</t>
  </si>
  <si>
    <t>LAB-003658</t>
  </si>
  <si>
    <t>LAB-003659</t>
  </si>
  <si>
    <t>LAB-003660</t>
  </si>
  <si>
    <t>LAB-003661</t>
  </si>
  <si>
    <t>LAB-003662</t>
  </si>
  <si>
    <t>LAB-003663</t>
  </si>
  <si>
    <t>LAB-003664</t>
  </si>
  <si>
    <t>LAB-003665</t>
  </si>
  <si>
    <t>LAB-003666</t>
  </si>
  <si>
    <t>LAB-003667</t>
  </si>
  <si>
    <t>LAB-003668</t>
  </si>
  <si>
    <t>LAB-003669</t>
  </si>
  <si>
    <t>LAB-003670</t>
  </si>
  <si>
    <t>LAB-003671</t>
  </si>
  <si>
    <t>LAB-003672</t>
  </si>
  <si>
    <t>LAB-003673</t>
  </si>
  <si>
    <t>LAB-003674</t>
  </si>
  <si>
    <t>LAB-003675</t>
  </si>
  <si>
    <t>LAB-003676</t>
  </si>
  <si>
    <t>LAB-003677</t>
  </si>
  <si>
    <t>LAB-003678</t>
  </si>
  <si>
    <t>LAB-003679</t>
  </si>
  <si>
    <t>LAB-003680</t>
  </si>
  <si>
    <t>LAB-003681</t>
  </si>
  <si>
    <t>LAB-003682</t>
  </si>
  <si>
    <t>LAB-003683</t>
  </si>
  <si>
    <t>LAB-003684</t>
  </si>
  <si>
    <t>LAB-003685</t>
  </si>
  <si>
    <t>LAB-003686</t>
  </si>
  <si>
    <t>LAB-003687</t>
  </si>
  <si>
    <t>LAB-003688</t>
  </si>
  <si>
    <t>LAB-003689</t>
  </si>
  <si>
    <t>LAB-003690</t>
  </si>
  <si>
    <t>LAB-003691</t>
  </si>
  <si>
    <t>LAB-003692</t>
  </si>
  <si>
    <t>LAB-003693</t>
  </si>
  <si>
    <t>LAB-003694</t>
  </si>
  <si>
    <t>LAB-003695</t>
  </si>
  <si>
    <t>LAB-003696</t>
  </si>
  <si>
    <t>LAB-003697</t>
  </si>
  <si>
    <t>LAB-003698</t>
  </si>
  <si>
    <t>LAB-003699</t>
  </si>
  <si>
    <t>LAB-003700</t>
  </si>
  <si>
    <t>LAB-003701</t>
  </si>
  <si>
    <t>LAB-003702</t>
  </si>
  <si>
    <t>LAB-003703</t>
  </si>
  <si>
    <t>LAB-003704</t>
  </si>
  <si>
    <t>LAB-003705</t>
  </si>
  <si>
    <t>LAB-003706</t>
  </si>
  <si>
    <t>LAB-003707</t>
  </si>
  <si>
    <t>LAB-003708</t>
  </si>
  <si>
    <t>LAB-003709</t>
  </si>
  <si>
    <t>LAB-003710</t>
  </si>
  <si>
    <t>LAB-003711</t>
  </si>
  <si>
    <t>LAB-003712</t>
  </si>
  <si>
    <t>LAB-003713</t>
  </si>
  <si>
    <t>LAB-003714</t>
  </si>
  <si>
    <t>LAB-003715</t>
  </si>
  <si>
    <t>LAB-003716</t>
  </si>
  <si>
    <t>LAB-003717</t>
  </si>
  <si>
    <t>LAB-003718</t>
  </si>
  <si>
    <t>LAB-003719</t>
  </si>
  <si>
    <t>LAB-003720</t>
  </si>
  <si>
    <t>LAB-003721</t>
  </si>
  <si>
    <t>LAB-003722</t>
  </si>
  <si>
    <t>LAB-003723</t>
  </si>
  <si>
    <t>LAB-003724</t>
  </si>
  <si>
    <t>LAB-003725</t>
  </si>
  <si>
    <t>LAB-003726</t>
  </si>
  <si>
    <t>LAB-003727</t>
  </si>
  <si>
    <t>LAB-003728</t>
  </si>
  <si>
    <t>LAB-003729</t>
  </si>
  <si>
    <t>LAB-003730</t>
  </si>
  <si>
    <t>LAB-003731</t>
  </si>
  <si>
    <t>LAB-003732</t>
  </si>
  <si>
    <t>LAB-003733</t>
  </si>
  <si>
    <t>LAB-003734</t>
  </si>
  <si>
    <t>LAB-003735</t>
  </si>
  <si>
    <t>LAB-003736</t>
  </si>
  <si>
    <t>LAB-003737</t>
  </si>
  <si>
    <t>LAB-003738</t>
  </si>
  <si>
    <t>LAB-003739</t>
  </si>
  <si>
    <t>LAB-003740</t>
  </si>
  <si>
    <t>LAB-003741</t>
  </si>
  <si>
    <t>LAB-003742</t>
  </si>
  <si>
    <t>LAB-003743</t>
  </si>
  <si>
    <t>LAB-003744</t>
  </si>
  <si>
    <t>LAB-003745</t>
  </si>
  <si>
    <t>LAB-003746</t>
  </si>
  <si>
    <t>LAB-003747</t>
  </si>
  <si>
    <t>LAB-003748</t>
  </si>
  <si>
    <t>LAB-003749</t>
  </si>
  <si>
    <t>LAB-003750</t>
  </si>
  <si>
    <t>LAB-003751</t>
  </si>
  <si>
    <t>LAB-003752</t>
  </si>
  <si>
    <t>LAB-003753</t>
  </si>
  <si>
    <t>LAB-003754</t>
  </si>
  <si>
    <t>LAB-003755</t>
  </si>
  <si>
    <t>LAB-003756</t>
  </si>
  <si>
    <t>LAB-003757</t>
  </si>
  <si>
    <t>LAB-003758</t>
  </si>
  <si>
    <t>LAB-003759</t>
  </si>
  <si>
    <t>LAB-003760</t>
  </si>
  <si>
    <t>LAB-003761</t>
  </si>
  <si>
    <t>LAB-003762</t>
  </si>
  <si>
    <t>LAB-003763</t>
  </si>
  <si>
    <t>LAB-003764</t>
  </si>
  <si>
    <t>LAB-003765</t>
  </si>
  <si>
    <t>LAB-003766</t>
  </si>
  <si>
    <t>LAB-003767</t>
  </si>
  <si>
    <t>LAB-003768</t>
  </si>
  <si>
    <t>LAB-003769</t>
  </si>
  <si>
    <t>LAB-003770</t>
  </si>
  <si>
    <t>LAB-003771</t>
  </si>
  <si>
    <t>LAB-003772</t>
  </si>
  <si>
    <t>LAB-003773</t>
  </si>
  <si>
    <t>LAB-003774</t>
  </si>
  <si>
    <t>LAB-003775</t>
  </si>
  <si>
    <t>LAB-003776</t>
  </si>
  <si>
    <t>LAB-003777</t>
  </si>
  <si>
    <t>LAB-003778</t>
  </si>
  <si>
    <t>LAB-003779</t>
  </si>
  <si>
    <t>LAB-003780</t>
  </si>
  <si>
    <t>LAB-003781</t>
  </si>
  <si>
    <t>LAB-003782</t>
  </si>
  <si>
    <t>LAB-003783</t>
  </si>
  <si>
    <t>LAB-003784</t>
  </si>
  <si>
    <t>LAB-003785</t>
  </si>
  <si>
    <t>LAB-003786</t>
  </si>
  <si>
    <t>LAB-003787</t>
  </si>
  <si>
    <t>LAB-003788</t>
  </si>
  <si>
    <t>LAB-003789</t>
  </si>
  <si>
    <t>LAB-003790</t>
  </si>
  <si>
    <t>LAB-003791</t>
  </si>
  <si>
    <t>LAB-003792</t>
  </si>
  <si>
    <t>LAB-003793</t>
  </si>
  <si>
    <t>LAB-003794</t>
  </si>
  <si>
    <t>LAB-003795</t>
  </si>
  <si>
    <t>LAB-003796</t>
  </si>
  <si>
    <t>LAB-003797</t>
  </si>
  <si>
    <t>LAB-003798</t>
  </si>
  <si>
    <t>LAB-003799</t>
  </si>
  <si>
    <t>LAB-003800</t>
  </si>
  <si>
    <t>LAB-003801</t>
  </si>
  <si>
    <t>LAB-003802</t>
  </si>
  <si>
    <t>LAB-003803</t>
  </si>
  <si>
    <t>LAB-003804</t>
  </si>
  <si>
    <t>LAB-003805</t>
  </si>
  <si>
    <t>LAB-003806</t>
  </si>
  <si>
    <t>LAB-003807</t>
  </si>
  <si>
    <t>LAB-003808</t>
  </si>
  <si>
    <t>LAB-003809</t>
  </si>
  <si>
    <t>LAB-003810</t>
  </si>
  <si>
    <t>LAB-003811</t>
  </si>
  <si>
    <t>LAB-003812</t>
  </si>
  <si>
    <t>LAB-003813</t>
  </si>
  <si>
    <t>LAB-003814</t>
  </si>
  <si>
    <t>LAB-003815</t>
  </si>
  <si>
    <t>LAB-003816</t>
  </si>
  <si>
    <t>LAB-003817</t>
  </si>
  <si>
    <t>LAB-003818</t>
  </si>
  <si>
    <t>LAB-003819</t>
  </si>
  <si>
    <t>LAB-003820</t>
  </si>
  <si>
    <t>LAB-003821</t>
  </si>
  <si>
    <t>LAB-003822</t>
  </si>
  <si>
    <t>LAB-003823</t>
  </si>
  <si>
    <t>LAB-003824</t>
  </si>
  <si>
    <t>LAB-003825</t>
  </si>
  <si>
    <t>LAB-003826</t>
  </si>
  <si>
    <t>LAB-003827</t>
  </si>
  <si>
    <t>LAB-003828</t>
  </si>
  <si>
    <t>LAB-003829</t>
  </si>
  <si>
    <t>LAB-003830</t>
  </si>
  <si>
    <t>LAB-003831</t>
  </si>
  <si>
    <t>LAB-003832</t>
  </si>
  <si>
    <t>LAB-003833</t>
  </si>
  <si>
    <t>LAB-003834</t>
  </si>
  <si>
    <t>LAB-003835</t>
  </si>
  <si>
    <t>LAB-003836</t>
  </si>
  <si>
    <t>LAB-003837</t>
  </si>
  <si>
    <t>LAB-003838</t>
  </si>
  <si>
    <t>LAB-003839</t>
  </si>
  <si>
    <t>LAB-003840</t>
  </si>
  <si>
    <t>LAB-003841</t>
  </si>
  <si>
    <t>LAB-003842</t>
  </si>
  <si>
    <t>LAB-003843</t>
  </si>
  <si>
    <t>LAB-003844</t>
  </si>
  <si>
    <t>LAB-003845</t>
  </si>
  <si>
    <t>LAB-003846</t>
  </si>
  <si>
    <t>LAB-003847</t>
  </si>
  <si>
    <t>LAB-003848</t>
  </si>
  <si>
    <t>LAB-003849</t>
  </si>
  <si>
    <t>LAB-003850</t>
  </si>
  <si>
    <t>LAB-003851</t>
  </si>
  <si>
    <t>LAB-003852</t>
  </si>
  <si>
    <t>LAB-003853</t>
  </si>
  <si>
    <t>LAB-003854</t>
  </si>
  <si>
    <t>LAB-003855</t>
  </si>
  <si>
    <t>LAB-003856</t>
  </si>
  <si>
    <t>LAB-003857</t>
  </si>
  <si>
    <t>LAB-003858</t>
  </si>
  <si>
    <t>LAB-003859</t>
  </si>
  <si>
    <t>LAB-003860</t>
  </si>
  <si>
    <t>LAB-003861</t>
  </si>
  <si>
    <t>LAB-003862</t>
  </si>
  <si>
    <t>LAB-003863</t>
  </si>
  <si>
    <t>LAB-003864</t>
  </si>
  <si>
    <t>LAB-003865</t>
  </si>
  <si>
    <t>LAB-003866</t>
  </si>
  <si>
    <t>LAB-003867</t>
  </si>
  <si>
    <t>LAB-003868</t>
  </si>
  <si>
    <t>LAB-003869</t>
  </si>
  <si>
    <t>LAB-003870</t>
  </si>
  <si>
    <t>LAB-003871</t>
  </si>
  <si>
    <t>LAB-003872</t>
  </si>
  <si>
    <t>LAB-003873</t>
  </si>
  <si>
    <t>LAB-003874</t>
  </si>
  <si>
    <t>LAB-003875</t>
  </si>
  <si>
    <t>LAB-003876</t>
  </si>
  <si>
    <t>LAB-003877</t>
  </si>
  <si>
    <t>LAB-003878</t>
  </si>
  <si>
    <t>LAB-003879</t>
  </si>
  <si>
    <t>LAB-003880</t>
  </si>
  <si>
    <t>LAB-003881</t>
  </si>
  <si>
    <t>LAB-003882</t>
  </si>
  <si>
    <t>LAB-003883</t>
  </si>
  <si>
    <t>LAB-003884</t>
  </si>
  <si>
    <t>LAB-003885</t>
  </si>
  <si>
    <t>LAB-003886</t>
  </si>
  <si>
    <t>LAB-003887</t>
  </si>
  <si>
    <t>LAB-003888</t>
  </si>
  <si>
    <t>LAB-003889</t>
  </si>
  <si>
    <t>LAB-003890</t>
  </si>
  <si>
    <t>LAB-003891</t>
  </si>
  <si>
    <t>LAB-003892</t>
  </si>
  <si>
    <t>LAB-003893</t>
  </si>
  <si>
    <t>LAB-003894</t>
  </si>
  <si>
    <t>LAB-003895</t>
  </si>
  <si>
    <t>LAB-003896</t>
  </si>
  <si>
    <t>LAB-003897</t>
  </si>
  <si>
    <t>LAB-003898</t>
  </si>
  <si>
    <t>LAB-003899</t>
  </si>
  <si>
    <t>LAB-003900</t>
  </si>
  <si>
    <t>LAB-003901</t>
  </si>
  <si>
    <t>LAB-003902</t>
  </si>
  <si>
    <t>LAB-003903</t>
  </si>
  <si>
    <t>LAB-003904</t>
  </si>
  <si>
    <t>LAB-003905</t>
  </si>
  <si>
    <t>LAB-003906</t>
  </si>
  <si>
    <t>LAB-003907</t>
  </si>
  <si>
    <t>LAB-003908</t>
  </si>
  <si>
    <t>LAB-003909</t>
  </si>
  <si>
    <t>LAB-003910</t>
  </si>
  <si>
    <t>LAB-003911</t>
  </si>
  <si>
    <t>LAB-003912</t>
  </si>
  <si>
    <t>LAB-003913</t>
  </si>
  <si>
    <t>LAB-003914</t>
  </si>
  <si>
    <t>LAB-003915</t>
  </si>
  <si>
    <t>LAB-003916</t>
  </si>
  <si>
    <t>LAB-003917</t>
  </si>
  <si>
    <t>LAB-003918</t>
  </si>
  <si>
    <t>LAB-003919</t>
  </si>
  <si>
    <t>LAB-003920</t>
  </si>
  <si>
    <t>LAB-003921</t>
  </si>
  <si>
    <t>LAB-003922</t>
  </si>
  <si>
    <t>LAB-003923</t>
  </si>
  <si>
    <t>LAB-003924</t>
  </si>
  <si>
    <t>LAB-003925</t>
  </si>
  <si>
    <t>LAB-003926</t>
  </si>
  <si>
    <t>LAB-003927</t>
  </si>
  <si>
    <t>LAB-003928</t>
  </si>
  <si>
    <t>LAB-003929</t>
  </si>
  <si>
    <t>LAB-003930</t>
  </si>
  <si>
    <t>LAB-003931</t>
  </si>
  <si>
    <t>LAB-003932</t>
  </si>
  <si>
    <t>LAB-003933</t>
  </si>
  <si>
    <t>LAB-003934</t>
  </si>
  <si>
    <t>LAB-003935</t>
  </si>
  <si>
    <t>LAB-003936</t>
  </si>
  <si>
    <t>LAB-003937</t>
  </si>
  <si>
    <t>LAB-003938</t>
  </si>
  <si>
    <t>LAB-003939</t>
  </si>
  <si>
    <t>LAB-003940</t>
  </si>
  <si>
    <t>LAB-003941</t>
  </si>
  <si>
    <t>LAB-003942</t>
  </si>
  <si>
    <t>LAB-003943</t>
  </si>
  <si>
    <t>LAB-003944</t>
  </si>
  <si>
    <t>LAB-003945</t>
  </si>
  <si>
    <t>LAB-003946</t>
  </si>
  <si>
    <t>LAB-003947</t>
  </si>
  <si>
    <t>LAB-003948</t>
  </si>
  <si>
    <t>LAB-003949</t>
  </si>
  <si>
    <t>LAB-003950</t>
  </si>
  <si>
    <t>LAB-003951</t>
  </si>
  <si>
    <t>LAB-003952</t>
  </si>
  <si>
    <t>LAB-003953</t>
  </si>
  <si>
    <t>LAB-003954</t>
  </si>
  <si>
    <t>LAB-003955</t>
  </si>
  <si>
    <t>LAB-003956</t>
  </si>
  <si>
    <t>LAB-003957</t>
  </si>
  <si>
    <t>LAB-003958</t>
  </si>
  <si>
    <t>LAB-003959</t>
  </si>
  <si>
    <t>LAB-003960</t>
  </si>
  <si>
    <t>LAB-003961</t>
  </si>
  <si>
    <t>LAB-003962</t>
  </si>
  <si>
    <t>LAB-003963</t>
  </si>
  <si>
    <t>LAB-003964</t>
  </si>
  <si>
    <t>LAB-003965</t>
  </si>
  <si>
    <t>LAB-003966</t>
  </si>
  <si>
    <t>LAB-003967</t>
  </si>
  <si>
    <t>LAB-003968</t>
  </si>
  <si>
    <t>LAB-003969</t>
  </si>
  <si>
    <t>LAB-003970</t>
  </si>
  <si>
    <t>LAB-003971</t>
  </si>
  <si>
    <t>LAB-003972</t>
  </si>
  <si>
    <t>LAB-003973</t>
  </si>
  <si>
    <t>LAB-003974</t>
  </si>
  <si>
    <t>LAB-003975</t>
  </si>
  <si>
    <t>LAB-003976</t>
  </si>
  <si>
    <t>LAB-003977</t>
  </si>
  <si>
    <t>LAB-003978</t>
  </si>
  <si>
    <t>LAB-003979</t>
  </si>
  <si>
    <t>LAB-003980</t>
  </si>
  <si>
    <t>LAB-003981</t>
  </si>
  <si>
    <t>LAB-003982</t>
  </si>
  <si>
    <t>LAB-003983</t>
  </si>
  <si>
    <t>LAB-003984</t>
  </si>
  <si>
    <t>LAB-003985</t>
  </si>
  <si>
    <t>LAB-003986</t>
  </si>
  <si>
    <t>LAB-003987</t>
  </si>
  <si>
    <t>LAB-003988</t>
  </si>
  <si>
    <t>LAB-003989</t>
  </si>
  <si>
    <t>LAB-003990</t>
  </si>
  <si>
    <t>LAB-003991</t>
  </si>
  <si>
    <t>LAB-003992</t>
  </si>
  <si>
    <t>LAB-003993</t>
  </si>
  <si>
    <t>LAB-003994</t>
  </si>
  <si>
    <t>LAB-003995</t>
  </si>
  <si>
    <t>LAB-003996</t>
  </si>
  <si>
    <t>LAB-003997</t>
  </si>
  <si>
    <t>LAB-003998</t>
  </si>
  <si>
    <t>LAB-003999</t>
  </si>
  <si>
    <t>LAB-004000</t>
  </si>
  <si>
    <t>LAB-004001</t>
  </si>
  <si>
    <t>LAB-004002</t>
  </si>
  <si>
    <t>LAB-004003</t>
  </si>
  <si>
    <t>LAB-004004</t>
  </si>
  <si>
    <t>LAB-004005</t>
  </si>
  <si>
    <t>LAB-004006</t>
  </si>
  <si>
    <t>LAB-004007</t>
  </si>
  <si>
    <t>LAB-004008</t>
  </si>
  <si>
    <t>LAB-004009</t>
  </si>
  <si>
    <t>LAB-004010</t>
  </si>
  <si>
    <t>LAB-004011</t>
  </si>
  <si>
    <t>LAB-004012</t>
  </si>
  <si>
    <t>LAB-004013</t>
  </si>
  <si>
    <t>LAB-004014</t>
  </si>
  <si>
    <t>LAB-004015</t>
  </si>
  <si>
    <t>LAB-004016</t>
  </si>
  <si>
    <t>LAB-004017</t>
  </si>
  <si>
    <t>LAB-004018</t>
  </si>
  <si>
    <t>LAB-004019</t>
  </si>
  <si>
    <t>LAB-004020</t>
  </si>
  <si>
    <t>LAB-004021</t>
  </si>
  <si>
    <t>LAB-004022</t>
  </si>
  <si>
    <t>LAB-004023</t>
  </si>
  <si>
    <t>LAB-004024</t>
  </si>
  <si>
    <t>LAB-004025</t>
  </si>
  <si>
    <t>LAB-004026</t>
  </si>
  <si>
    <t>LAB-004027</t>
  </si>
  <si>
    <t>LAB-004028</t>
  </si>
  <si>
    <t>LAB-004029</t>
  </si>
  <si>
    <t>LAB-004030</t>
  </si>
  <si>
    <t>LAB-004031</t>
  </si>
  <si>
    <t>LAB-004032</t>
  </si>
  <si>
    <t>LAB-004033</t>
  </si>
  <si>
    <t>LAB-004034</t>
  </si>
  <si>
    <t>LAB-004035</t>
  </si>
  <si>
    <t>LAB-004036</t>
  </si>
  <si>
    <t>LAB-004037</t>
  </si>
  <si>
    <t>LAB-004038</t>
  </si>
  <si>
    <t>LAB-004039</t>
  </si>
  <si>
    <t>LAB-004040</t>
  </si>
  <si>
    <t>LAB-004041</t>
  </si>
  <si>
    <t>LAB-004042</t>
  </si>
  <si>
    <t>LAB-004043</t>
  </si>
  <si>
    <t>LAB-004044</t>
  </si>
  <si>
    <t>LAB-004045</t>
  </si>
  <si>
    <t>LAB-004046</t>
  </si>
  <si>
    <t>LAB-004047</t>
  </si>
  <si>
    <t>LAB-004048</t>
  </si>
  <si>
    <t>LAB-004049</t>
  </si>
  <si>
    <t>LAB-004050</t>
  </si>
  <si>
    <t>LAB-004051</t>
  </si>
  <si>
    <t>LAB-004052</t>
  </si>
  <si>
    <t>LAB-004053</t>
  </si>
  <si>
    <t>LAB-004054</t>
  </si>
  <si>
    <t>LAB-004055</t>
  </si>
  <si>
    <t>LAB-004056</t>
  </si>
  <si>
    <t>LAB-004057</t>
  </si>
  <si>
    <t>LAB-004058</t>
  </si>
  <si>
    <t>LAB-004059</t>
  </si>
  <si>
    <t>LAB-004060</t>
  </si>
  <si>
    <t>LAB-004061</t>
  </si>
  <si>
    <t>LAB-004062</t>
  </si>
  <si>
    <t>LAB-004063</t>
  </si>
  <si>
    <t>LAB-004064</t>
  </si>
  <si>
    <t>LAB-004065</t>
  </si>
  <si>
    <t>LAB-004066</t>
  </si>
  <si>
    <t>LAB-004067</t>
  </si>
  <si>
    <t>LAB-004068</t>
  </si>
  <si>
    <t>LAB-004069</t>
  </si>
  <si>
    <t>LAB-004070</t>
  </si>
  <si>
    <t>LAB-004071</t>
  </si>
  <si>
    <t>LAB-004072</t>
  </si>
  <si>
    <t>LAB-004073</t>
  </si>
  <si>
    <t>LAB-004074</t>
  </si>
  <si>
    <t>LAB-004075</t>
  </si>
  <si>
    <t>LAB-004076</t>
  </si>
  <si>
    <t>LAB-004077</t>
  </si>
  <si>
    <t>LAB-004078</t>
  </si>
  <si>
    <t>LAB-004079</t>
  </si>
  <si>
    <t>LAB-004080</t>
  </si>
  <si>
    <t>LAB-004081</t>
  </si>
  <si>
    <t>LAB-004082</t>
  </si>
  <si>
    <t>LAB-004083</t>
  </si>
  <si>
    <t>LAB-004084</t>
  </si>
  <si>
    <t>LAB-004085</t>
  </si>
  <si>
    <t>LAB-004086</t>
  </si>
  <si>
    <t>LAB-004087</t>
  </si>
  <si>
    <t>LAB-004088</t>
  </si>
  <si>
    <t>LAB-004089</t>
  </si>
  <si>
    <t>LAB-004090</t>
  </si>
  <si>
    <t>LAB-004091</t>
  </si>
  <si>
    <t>LAB-004092</t>
  </si>
  <si>
    <t>LAB-004093</t>
  </si>
  <si>
    <t>LAB-004094</t>
  </si>
  <si>
    <t>LAB-004095</t>
  </si>
  <si>
    <t>LAB-004096</t>
  </si>
  <si>
    <t>LAB-004097</t>
  </si>
  <si>
    <t>LAB-004098</t>
  </si>
  <si>
    <t>LAB-004099</t>
  </si>
  <si>
    <t>LAB-004100</t>
  </si>
  <si>
    <t>LAB-004101</t>
  </si>
  <si>
    <t>LAB-004102</t>
  </si>
  <si>
    <t>LAB-004103</t>
  </si>
  <si>
    <t>LAB-004104</t>
  </si>
  <si>
    <t>LAB-004105</t>
  </si>
  <si>
    <t>LAB-004106</t>
  </si>
  <si>
    <t>LAB-004107</t>
  </si>
  <si>
    <t>LAB-004108</t>
  </si>
  <si>
    <t>LAB-004109</t>
  </si>
  <si>
    <t>LAB-004110</t>
  </si>
  <si>
    <t>LAB-004111</t>
  </si>
  <si>
    <t>LAB-004112</t>
  </si>
  <si>
    <t>LAB-004113</t>
  </si>
  <si>
    <t>LAB-004114</t>
  </si>
  <si>
    <t>LAB-004115</t>
  </si>
  <si>
    <t>LAB-004116</t>
  </si>
  <si>
    <t>LAB-004117</t>
  </si>
  <si>
    <t>LAB-004118</t>
  </si>
  <si>
    <t>LAB-004119</t>
  </si>
  <si>
    <t>LAB-004120</t>
  </si>
  <si>
    <t>LAB-004121</t>
  </si>
  <si>
    <t>LAB-004122</t>
  </si>
  <si>
    <t>LAB-004123</t>
  </si>
  <si>
    <t>LAB-004124</t>
  </si>
  <si>
    <t>LAB-004125</t>
  </si>
  <si>
    <t>LAB-004126</t>
  </si>
  <si>
    <t>LAB-004127</t>
  </si>
  <si>
    <t>LAB-004128</t>
  </si>
  <si>
    <t>LAB-004129</t>
  </si>
  <si>
    <t>LAB-004130</t>
  </si>
  <si>
    <t>LAB-004131</t>
  </si>
  <si>
    <t>LAB-004132</t>
  </si>
  <si>
    <t>LAB-004133</t>
  </si>
  <si>
    <t>LAB-004134</t>
  </si>
  <si>
    <t>LAB-004135</t>
  </si>
  <si>
    <t>LAB-004136</t>
  </si>
  <si>
    <t>LAB-004137</t>
  </si>
  <si>
    <t>LAB-004138</t>
  </si>
  <si>
    <t>LAB-004139</t>
  </si>
  <si>
    <t>LAB-004140</t>
  </si>
  <si>
    <t>LAB-004141</t>
  </si>
  <si>
    <t>LAB-004142</t>
  </si>
  <si>
    <t>LAB-004143</t>
  </si>
  <si>
    <t>LAB-004144</t>
  </si>
  <si>
    <t>LAB-004145</t>
  </si>
  <si>
    <t>LAB-004146</t>
  </si>
  <si>
    <t>LAB-004147</t>
  </si>
  <si>
    <t>LAB-004148</t>
  </si>
  <si>
    <t>LAB-004149</t>
  </si>
  <si>
    <t>LAB-004150</t>
  </si>
  <si>
    <t>LAB-004151</t>
  </si>
  <si>
    <t>LAB-004152</t>
  </si>
  <si>
    <t>LAB-004153</t>
  </si>
  <si>
    <t>LAB-004154</t>
  </si>
  <si>
    <t>LAB-004155</t>
  </si>
  <si>
    <t>LAB-004156</t>
  </si>
  <si>
    <t>LAB-004157</t>
  </si>
  <si>
    <t>LAB-004158</t>
  </si>
  <si>
    <t>LAB-004159</t>
  </si>
  <si>
    <t>LAB-004160</t>
  </si>
  <si>
    <t>LAB-004161</t>
  </si>
  <si>
    <t>LAB-004162</t>
  </si>
  <si>
    <t>LAB-004163</t>
  </si>
  <si>
    <t>LAB-004164</t>
  </si>
  <si>
    <t>LAB-004165</t>
  </si>
  <si>
    <t>LAB-004166</t>
  </si>
  <si>
    <t>LAB-004167</t>
  </si>
  <si>
    <t>LAB-004168</t>
  </si>
  <si>
    <t>LAB-004169</t>
  </si>
  <si>
    <t>LAB-004170</t>
  </si>
  <si>
    <t>LAB-004171</t>
  </si>
  <si>
    <t>LAB-004172</t>
  </si>
  <si>
    <t>LAB-004173</t>
  </si>
  <si>
    <t>LAB-004174</t>
  </si>
  <si>
    <t>LAB-004175</t>
  </si>
  <si>
    <t>LAB-004176</t>
  </si>
  <si>
    <t>LAB-004177</t>
  </si>
  <si>
    <t>LAB-004178</t>
  </si>
  <si>
    <t>LAB-004179</t>
  </si>
  <si>
    <t>LAB-004180</t>
  </si>
  <si>
    <t>LAB-004181</t>
  </si>
  <si>
    <t>LAB-004182</t>
  </si>
  <si>
    <t>LAB-004183</t>
  </si>
  <si>
    <t>LAB-004184</t>
  </si>
  <si>
    <t>LAB-004185</t>
  </si>
  <si>
    <t>LAB-004186</t>
  </si>
  <si>
    <t>LAB-004187</t>
  </si>
  <si>
    <t>LAB-004188</t>
  </si>
  <si>
    <t>LAB-004189</t>
  </si>
  <si>
    <t>LAB-004190</t>
  </si>
  <si>
    <t>LAB-004191</t>
  </si>
  <si>
    <t>LAB-004192</t>
  </si>
  <si>
    <t>LAB-004193</t>
  </si>
  <si>
    <t>LAB-004194</t>
  </si>
  <si>
    <t>LAB-004195</t>
  </si>
  <si>
    <t>LAB-004196</t>
  </si>
  <si>
    <t>LAB-004197</t>
  </si>
  <si>
    <t>LAB-004198</t>
  </si>
  <si>
    <t>LAB-004199</t>
  </si>
  <si>
    <t>LAB-004200</t>
  </si>
  <si>
    <t>LAB-004201</t>
  </si>
  <si>
    <t>LAB-004202</t>
  </si>
  <si>
    <t>LAB-004203</t>
  </si>
  <si>
    <t>LAB-004204</t>
  </si>
  <si>
    <t>2026-02-01</t>
  </si>
  <si>
    <t>LAB-004205</t>
  </si>
  <si>
    <t>2026-02-02</t>
  </si>
  <si>
    <t>LAB-004206</t>
  </si>
  <si>
    <t>2026-02-03</t>
  </si>
  <si>
    <t>LAB-004207</t>
  </si>
  <si>
    <t>LAB-004208</t>
  </si>
  <si>
    <t>LAB-004209</t>
  </si>
  <si>
    <t>LAB-004210</t>
  </si>
  <si>
    <t>LAB-004211</t>
  </si>
  <si>
    <t>LAB-004212</t>
  </si>
  <si>
    <t>LAB-004213</t>
  </si>
  <si>
    <t>LAB-004214</t>
  </si>
  <si>
    <t>LAB-004215</t>
  </si>
  <si>
    <t>LAB-004216</t>
  </si>
  <si>
    <t>LAB-004217</t>
  </si>
  <si>
    <t>LAB-004218</t>
  </si>
  <si>
    <t>LAB-004219</t>
  </si>
  <si>
    <t>LAB-004220</t>
  </si>
  <si>
    <t>LAB-004221</t>
  </si>
  <si>
    <t>LAB-004222</t>
  </si>
  <si>
    <t>LAB-004223</t>
  </si>
  <si>
    <t>LAB-004224</t>
  </si>
  <si>
    <t>LAB-004225</t>
  </si>
  <si>
    <t>LAB-004226</t>
  </si>
  <si>
    <t>LAB-004227</t>
  </si>
  <si>
    <t>LAB-004228</t>
  </si>
  <si>
    <t>LAB-004229</t>
  </si>
  <si>
    <t>LAB-004230</t>
  </si>
  <si>
    <t>LAB-004231</t>
  </si>
  <si>
    <t>LAB-004232</t>
  </si>
  <si>
    <t>LAB-004233</t>
  </si>
  <si>
    <t>LAB-004234</t>
  </si>
  <si>
    <t>LAB-004235</t>
  </si>
  <si>
    <t>LAB-004236</t>
  </si>
  <si>
    <t>LAB-004237</t>
  </si>
  <si>
    <t>LAB-004238</t>
  </si>
  <si>
    <t>LAB-004239</t>
  </si>
  <si>
    <t>LAB-004240</t>
  </si>
  <si>
    <t>LAB-004241</t>
  </si>
  <si>
    <t>LAB-004242</t>
  </si>
  <si>
    <t>LAB-004243</t>
  </si>
  <si>
    <t>LAB-004244</t>
  </si>
  <si>
    <t>LAB-004245</t>
  </si>
  <si>
    <t>LAB-004246</t>
  </si>
  <si>
    <t>LAB-004247</t>
  </si>
  <si>
    <t>LAB-004248</t>
  </si>
  <si>
    <t>LAB-004249</t>
  </si>
  <si>
    <t>LAB-004250</t>
  </si>
  <si>
    <t>LAB-004251</t>
  </si>
  <si>
    <t>LAB-004252</t>
  </si>
  <si>
    <t>LAB-004253</t>
  </si>
  <si>
    <t>LAB-004254</t>
  </si>
  <si>
    <t>LAB-004255</t>
  </si>
  <si>
    <t>LAB-004256</t>
  </si>
  <si>
    <t>LAB-004257</t>
  </si>
  <si>
    <t>LAB-004258</t>
  </si>
  <si>
    <t>LAB-004259</t>
  </si>
  <si>
    <t>LAB-004260</t>
  </si>
  <si>
    <t>LAB-004261</t>
  </si>
  <si>
    <t>LAB-004262</t>
  </si>
  <si>
    <t>LAB-004263</t>
  </si>
  <si>
    <t>LAB-004264</t>
  </si>
  <si>
    <t>LAB-004265</t>
  </si>
  <si>
    <t>LAB-004266</t>
  </si>
  <si>
    <t>LAB-004267</t>
  </si>
  <si>
    <t>LAB-004268</t>
  </si>
  <si>
    <t>LAB-004269</t>
  </si>
  <si>
    <t>LAB-004270</t>
  </si>
  <si>
    <t>LAB-004271</t>
  </si>
  <si>
    <t>2026-01-29</t>
  </si>
  <si>
    <t>LAB-004272</t>
  </si>
  <si>
    <t>2026-01-30</t>
  </si>
  <si>
    <t>LAB-004273</t>
  </si>
  <si>
    <t>LAB-004274</t>
  </si>
  <si>
    <t>LAB-004275</t>
  </si>
  <si>
    <t>LAB-004276</t>
  </si>
  <si>
    <t>LAB-004277</t>
  </si>
  <si>
    <t>LAB-004278</t>
  </si>
  <si>
    <t>LAB-004279</t>
  </si>
  <si>
    <t>LAB-004280</t>
  </si>
  <si>
    <t>LAB-004281</t>
  </si>
  <si>
    <t>LAB-004282</t>
  </si>
  <si>
    <t>LAB-004283</t>
  </si>
  <si>
    <t>LAB-004284</t>
  </si>
  <si>
    <t>LAB-004285</t>
  </si>
  <si>
    <t>LAB-004286</t>
  </si>
  <si>
    <t>LAB-004287</t>
  </si>
  <si>
    <t>LAB-004288</t>
  </si>
  <si>
    <t>LAB-004289</t>
  </si>
  <si>
    <t>LAB-004290</t>
  </si>
  <si>
    <t>LAB-004291</t>
  </si>
  <si>
    <t>LAB-004292</t>
  </si>
  <si>
    <t>LAB-004293</t>
  </si>
  <si>
    <t>LAB-004294</t>
  </si>
  <si>
    <t>LAB-004295</t>
  </si>
  <si>
    <t>LAB-004296</t>
  </si>
  <si>
    <t>LAB-004297</t>
  </si>
  <si>
    <t>LAB-004298</t>
  </si>
  <si>
    <t>LAB-004299</t>
  </si>
  <si>
    <t>LAB-004300</t>
  </si>
  <si>
    <t>LAB-004301</t>
  </si>
  <si>
    <t>LAB-004302</t>
  </si>
  <si>
    <t>LAB-004303</t>
  </si>
  <si>
    <t>LAB-004304</t>
  </si>
  <si>
    <t>LAB-004305</t>
  </si>
  <si>
    <t>LAB-004306</t>
  </si>
  <si>
    <t>LAB-004307</t>
  </si>
  <si>
    <t>LAB-004308</t>
  </si>
  <si>
    <t>LAB-004309</t>
  </si>
  <si>
    <t>LAB-004310</t>
  </si>
  <si>
    <t>LAB-004311</t>
  </si>
  <si>
    <t>LAB-004312</t>
  </si>
  <si>
    <t>LAB-004313</t>
  </si>
  <si>
    <t>LAB-004314</t>
  </si>
  <si>
    <t>LAB-004315</t>
  </si>
  <si>
    <t>LAB-004316</t>
  </si>
  <si>
    <t>LAB-004317</t>
  </si>
  <si>
    <t>LAB-004318</t>
  </si>
  <si>
    <t>LAB-004319</t>
  </si>
  <si>
    <t>LAB-004320</t>
  </si>
  <si>
    <t>LAB-004321</t>
  </si>
  <si>
    <t>LAB-004322</t>
  </si>
  <si>
    <t>LAB-004323</t>
  </si>
  <si>
    <t>LAB-004324</t>
  </si>
  <si>
    <t>LAB-004325</t>
  </si>
  <si>
    <t>LAB-004326</t>
  </si>
  <si>
    <t>LAB-004327</t>
  </si>
  <si>
    <t>LAB-004328</t>
  </si>
  <si>
    <t>LAB-004329</t>
  </si>
  <si>
    <t>LAB-004330</t>
  </si>
  <si>
    <t>LAB-004331</t>
  </si>
  <si>
    <t>LAB-004332</t>
  </si>
  <si>
    <t>LAB-004333</t>
  </si>
  <si>
    <t>LAB-004334</t>
  </si>
  <si>
    <t>LAB-004335</t>
  </si>
  <si>
    <t>LAB-004336</t>
  </si>
  <si>
    <t>LAB-004337</t>
  </si>
  <si>
    <t>LAB-004338</t>
  </si>
  <si>
    <t>LAB-004339</t>
  </si>
  <si>
    <t>LAB-004340</t>
  </si>
  <si>
    <t>LAB-004341</t>
  </si>
  <si>
    <t>LAB-004342</t>
  </si>
  <si>
    <t>LAB-004343</t>
  </si>
  <si>
    <t>LAB-004344</t>
  </si>
  <si>
    <t>LAB-004345</t>
  </si>
  <si>
    <t>LAB-004346</t>
  </si>
  <si>
    <t>LAB-004347</t>
  </si>
  <si>
    <t>LAB-004348</t>
  </si>
  <si>
    <t>LAB-004349</t>
  </si>
  <si>
    <t>LAB-004350</t>
  </si>
  <si>
    <t>LAB-004351</t>
  </si>
  <si>
    <t>LAB-004352</t>
  </si>
  <si>
    <t>LAB-004353</t>
  </si>
  <si>
    <t>LAB-004354</t>
  </si>
  <si>
    <t>LAB-004355</t>
  </si>
  <si>
    <t>LAB-004356</t>
  </si>
  <si>
    <t>LAB-004357</t>
  </si>
  <si>
    <t>LAB-004358</t>
  </si>
  <si>
    <t>LAB-004359</t>
  </si>
  <si>
    <t>LAB-004360</t>
  </si>
  <si>
    <t>LAB-004361</t>
  </si>
  <si>
    <t>LAB-004362</t>
  </si>
  <si>
    <t>LAB-004363</t>
  </si>
  <si>
    <t>LAB-004364</t>
  </si>
  <si>
    <t>LAB-004365</t>
  </si>
  <si>
    <t>LAB-004366</t>
  </si>
  <si>
    <t>LAB-004367</t>
  </si>
  <si>
    <t>LAB-004368</t>
  </si>
  <si>
    <t>LAB-004369</t>
  </si>
  <si>
    <t>LAB-004370</t>
  </si>
  <si>
    <t>LAB-004371</t>
  </si>
  <si>
    <t>LAB-004372</t>
  </si>
  <si>
    <t>LAB-004373</t>
  </si>
  <si>
    <t>LAB-004374</t>
  </si>
  <si>
    <t>LAB-004375</t>
  </si>
  <si>
    <t>LAB-004376</t>
  </si>
  <si>
    <t>LAB-004377</t>
  </si>
  <si>
    <t>LAB-004378</t>
  </si>
  <si>
    <t>LAB-004379</t>
  </si>
  <si>
    <t>LAB-004380</t>
  </si>
  <si>
    <t>LAB-004381</t>
  </si>
  <si>
    <t>LAB-004382</t>
  </si>
  <si>
    <t>LAB-004383</t>
  </si>
  <si>
    <t>LAB-004384</t>
  </si>
  <si>
    <t>LAB-004385</t>
  </si>
  <si>
    <t>LAB-004386</t>
  </si>
  <si>
    <t>LAB-004387</t>
  </si>
  <si>
    <t>LAB-004388</t>
  </si>
  <si>
    <t>LAB-004389</t>
  </si>
  <si>
    <t>LAB-004390</t>
  </si>
  <si>
    <t>LAB-004391</t>
  </si>
  <si>
    <t>LAB-004392</t>
  </si>
  <si>
    <t>LAB-004393</t>
  </si>
  <si>
    <t>LAB-004394</t>
  </si>
  <si>
    <t>LAB-004395</t>
  </si>
  <si>
    <t>LAB-004396</t>
  </si>
  <si>
    <t>LAB-004397</t>
  </si>
  <si>
    <t>LAB-004398</t>
  </si>
  <si>
    <t>LAB-004399</t>
  </si>
  <si>
    <t>LAB-004400</t>
  </si>
  <si>
    <t>LAB-004401</t>
  </si>
  <si>
    <t>LAB-004402</t>
  </si>
  <si>
    <t>LAB-004403</t>
  </si>
  <si>
    <t>LAB-004404</t>
  </si>
  <si>
    <t>LAB-004405</t>
  </si>
  <si>
    <t>LAB-004406</t>
  </si>
  <si>
    <t>LAB-004407</t>
  </si>
  <si>
    <t>LAB-004408</t>
  </si>
  <si>
    <t>LAB-004409</t>
  </si>
  <si>
    <t>LAB-004410</t>
  </si>
  <si>
    <t>LAB-004411</t>
  </si>
  <si>
    <t>LAB-004412</t>
  </si>
  <si>
    <t>LAB-004413</t>
  </si>
  <si>
    <t>LAB-004414</t>
  </si>
  <si>
    <t>LAB-004415</t>
  </si>
  <si>
    <t>LAB-004416</t>
  </si>
  <si>
    <t>LAB-004417</t>
  </si>
  <si>
    <t>LAB-004418</t>
  </si>
  <si>
    <t>LAB-004419</t>
  </si>
  <si>
    <t>LAB-004420</t>
  </si>
  <si>
    <t>LAB-004421</t>
  </si>
  <si>
    <t>LAB-004422</t>
  </si>
  <si>
    <t>LAB-004423</t>
  </si>
  <si>
    <t>LAB-004424</t>
  </si>
  <si>
    <t>LAB-004425</t>
  </si>
  <si>
    <t>LAB-004426</t>
  </si>
  <si>
    <t>LAB-004427</t>
  </si>
  <si>
    <t>LAB-004428</t>
  </si>
  <si>
    <t>LAB-004429</t>
  </si>
  <si>
    <t>LAB-004430</t>
  </si>
  <si>
    <t>LAB-004431</t>
  </si>
  <si>
    <t>LAB-004432</t>
  </si>
  <si>
    <t>LAB-004433</t>
  </si>
  <si>
    <t>LAB-004434</t>
  </si>
  <si>
    <t>LAB-004435</t>
  </si>
  <si>
    <t>LAB-004436</t>
  </si>
  <si>
    <t>LAB-004437</t>
  </si>
  <si>
    <t>LAB-004438</t>
  </si>
  <si>
    <t>LAB-004439</t>
  </si>
  <si>
    <t>LAB-004440</t>
  </si>
  <si>
    <t>LAB-004441</t>
  </si>
  <si>
    <t>LAB-004442</t>
  </si>
  <si>
    <t>LAB-004443</t>
  </si>
  <si>
    <t>LAB-004444</t>
  </si>
  <si>
    <t>LAB-004445</t>
  </si>
  <si>
    <t>LAB-004446</t>
  </si>
  <si>
    <t>LAB-004447</t>
  </si>
  <si>
    <t>LAB-004448</t>
  </si>
  <si>
    <t>LAB-004449</t>
  </si>
  <si>
    <t>LAB-004450</t>
  </si>
  <si>
    <t>LAB-004451</t>
  </si>
  <si>
    <t>LAB-004452</t>
  </si>
  <si>
    <t>LAB-004453</t>
  </si>
  <si>
    <t>LAB-004454</t>
  </si>
  <si>
    <t>LAB-004455</t>
  </si>
  <si>
    <t>LAB-004456</t>
  </si>
  <si>
    <t>LAB-004457</t>
  </si>
  <si>
    <t>LAB-004458</t>
  </si>
  <si>
    <t>LAB-004459</t>
  </si>
  <si>
    <t>LAB-004460</t>
  </si>
  <si>
    <t>LAB-004461</t>
  </si>
  <si>
    <t>LAB-004462</t>
  </si>
  <si>
    <t>LAB-004463</t>
  </si>
  <si>
    <t>LAB-004464</t>
  </si>
  <si>
    <t>LAB-004465</t>
  </si>
  <si>
    <t>LAB-004466</t>
  </si>
  <si>
    <t>LAB-004467</t>
  </si>
  <si>
    <t>LAB-004468</t>
  </si>
  <si>
    <t>LAB-004469</t>
  </si>
  <si>
    <t>LAB-004470</t>
  </si>
  <si>
    <t>LAB-004471</t>
  </si>
  <si>
    <t>LAB-004472</t>
  </si>
  <si>
    <t>LAB-004473</t>
  </si>
  <si>
    <t>LAB-004474</t>
  </si>
  <si>
    <t>LAB-004475</t>
  </si>
  <si>
    <t>LAB-004476</t>
  </si>
  <si>
    <t>LAB-004477</t>
  </si>
  <si>
    <t>LAB-004478</t>
  </si>
  <si>
    <t>LAB-004479</t>
  </si>
  <si>
    <t>LAB-004480</t>
  </si>
  <si>
    <t>LAB-004481</t>
  </si>
  <si>
    <t>LAB-004482</t>
  </si>
  <si>
    <t>LAB-004483</t>
  </si>
  <si>
    <t>LAB-004484</t>
  </si>
  <si>
    <t>LAB-004485</t>
  </si>
  <si>
    <t>LAB-004486</t>
  </si>
  <si>
    <t>LAB-004487</t>
  </si>
  <si>
    <t>LAB-004488</t>
  </si>
  <si>
    <t>LAB-004489</t>
  </si>
  <si>
    <t>LAB-004490</t>
  </si>
  <si>
    <t>LAB-004491</t>
  </si>
  <si>
    <t>LAB-004492</t>
  </si>
  <si>
    <t>LAB-004493</t>
  </si>
  <si>
    <t>LAB-004494</t>
  </si>
  <si>
    <t>LAB-004495</t>
  </si>
  <si>
    <t>LAB-004496</t>
  </si>
  <si>
    <t>LAB-004497</t>
  </si>
  <si>
    <t>LAB-004498</t>
  </si>
  <si>
    <t>LAB-004499</t>
  </si>
  <si>
    <t>LAB-004500</t>
  </si>
  <si>
    <t>LAB-004501</t>
  </si>
  <si>
    <t>LAB-004502</t>
  </si>
  <si>
    <t>LAB-004503</t>
  </si>
  <si>
    <t>LAB-004504</t>
  </si>
  <si>
    <t>LAB-004505</t>
  </si>
  <si>
    <t>LAB-004506</t>
  </si>
  <si>
    <t>LAB-004507</t>
  </si>
  <si>
    <t>LAB-004508</t>
  </si>
  <si>
    <t>LAB-004509</t>
  </si>
  <si>
    <t>LAB-004510</t>
  </si>
  <si>
    <t>LAB-004511</t>
  </si>
  <si>
    <t>LAB-004512</t>
  </si>
  <si>
    <t>LAB-004513</t>
  </si>
  <si>
    <t>LAB-004514</t>
  </si>
  <si>
    <t>LAB-004515</t>
  </si>
  <si>
    <t>LAB-004516</t>
  </si>
  <si>
    <t>LAB-004517</t>
  </si>
  <si>
    <t>LAB-004518</t>
  </si>
  <si>
    <t>LAB-004519</t>
  </si>
  <si>
    <t>LAB-004520</t>
  </si>
  <si>
    <t>LAB-004521</t>
  </si>
  <si>
    <t>LAB-004522</t>
  </si>
  <si>
    <t>LAB-004523</t>
  </si>
  <si>
    <t>LAB-004524</t>
  </si>
  <si>
    <t>LAB-004525</t>
  </si>
  <si>
    <t>LAB-004526</t>
  </si>
  <si>
    <t>LAB-004527</t>
  </si>
  <si>
    <t>LAB-004528</t>
  </si>
  <si>
    <t>LAB-004529</t>
  </si>
  <si>
    <t>LAB-004530</t>
  </si>
  <si>
    <t>LAB-004531</t>
  </si>
  <si>
    <t>LAB-004532</t>
  </si>
  <si>
    <t>LAB-004533</t>
  </si>
  <si>
    <t>LAB-004534</t>
  </si>
  <si>
    <t>LAB-004535</t>
  </si>
  <si>
    <t>LAB-004536</t>
  </si>
  <si>
    <t>LAB-004537</t>
  </si>
  <si>
    <t>LAB-004538</t>
  </si>
  <si>
    <t>LAB-004539</t>
  </si>
  <si>
    <t>LAB-004540</t>
  </si>
  <si>
    <t>LAB-004541</t>
  </si>
  <si>
    <t>LAB-004542</t>
  </si>
  <si>
    <t>LAB-004543</t>
  </si>
  <si>
    <t>LAB-004544</t>
  </si>
  <si>
    <t>LAB-004545</t>
  </si>
  <si>
    <t>LAB-004546</t>
  </si>
  <si>
    <t>LAB-004547</t>
  </si>
  <si>
    <t>LAB-004548</t>
  </si>
  <si>
    <t>LAB-004549</t>
  </si>
  <si>
    <t>LAB-004550</t>
  </si>
  <si>
    <t>LAB-004551</t>
  </si>
  <si>
    <t>LAB-004552</t>
  </si>
  <si>
    <t>LAB-004553</t>
  </si>
  <si>
    <t>LAB-004554</t>
  </si>
  <si>
    <t>LAB-004555</t>
  </si>
  <si>
    <t>LAB-004556</t>
  </si>
  <si>
    <t>LAB-004557</t>
  </si>
  <si>
    <t>LAB-004558</t>
  </si>
  <si>
    <t>LAB-004559</t>
  </si>
  <si>
    <t>LAB-004560</t>
  </si>
  <si>
    <t>LAB-004561</t>
  </si>
  <si>
    <t>LAB-004562</t>
  </si>
  <si>
    <t>LAB-004563</t>
  </si>
  <si>
    <t>LAB-004564</t>
  </si>
  <si>
    <t>LAB-004565</t>
  </si>
  <si>
    <t>LAB-004566</t>
  </si>
  <si>
    <t>LAB-004567</t>
  </si>
  <si>
    <t>LAB-004568</t>
  </si>
  <si>
    <t>LAB-004569</t>
  </si>
  <si>
    <t>LAB-004570</t>
  </si>
  <si>
    <t>LAB-004571</t>
  </si>
  <si>
    <t>LAB-004572</t>
  </si>
  <si>
    <t>LAB-004573</t>
  </si>
  <si>
    <t>LAB-004574</t>
  </si>
  <si>
    <t>LAB-004575</t>
  </si>
  <si>
    <t>LAB-004576</t>
  </si>
  <si>
    <t>LAB-004577</t>
  </si>
  <si>
    <t>LAB-004578</t>
  </si>
  <si>
    <t>LAB-004579</t>
  </si>
  <si>
    <t>LAB-004580</t>
  </si>
  <si>
    <t>LAB-004581</t>
  </si>
  <si>
    <t>LAB-004582</t>
  </si>
  <si>
    <t>LAB-004583</t>
  </si>
  <si>
    <t>LAB-004584</t>
  </si>
  <si>
    <t>LAB-004585</t>
  </si>
  <si>
    <t>LAB-004586</t>
  </si>
  <si>
    <t>LAB-004587</t>
  </si>
  <si>
    <t>LAB-004588</t>
  </si>
  <si>
    <t>LAB-004589</t>
  </si>
  <si>
    <t>LAB-004590</t>
  </si>
  <si>
    <t>LAB-004591</t>
  </si>
  <si>
    <t>LAB-004592</t>
  </si>
  <si>
    <t>LAB-004593</t>
  </si>
  <si>
    <t>LAB-004594</t>
  </si>
  <si>
    <t>LAB-004595</t>
  </si>
  <si>
    <t>LAB-004596</t>
  </si>
  <si>
    <t>LAB-004597</t>
  </si>
  <si>
    <t>LAB-004598</t>
  </si>
  <si>
    <t>LAB-004599</t>
  </si>
  <si>
    <t>LAB-004600</t>
  </si>
  <si>
    <t>LAB-004601</t>
  </si>
  <si>
    <t>LAB-004602</t>
  </si>
  <si>
    <t>LAB-004603</t>
  </si>
  <si>
    <t>LAB-004604</t>
  </si>
  <si>
    <t>LAB-004605</t>
  </si>
  <si>
    <t>LAB-004606</t>
  </si>
  <si>
    <t>LAB-004607</t>
  </si>
  <si>
    <t>LAB-004608</t>
  </si>
  <si>
    <t>LAB-004609</t>
  </si>
  <si>
    <t>LAB-004610</t>
  </si>
  <si>
    <t>LAB-004611</t>
  </si>
  <si>
    <t>LAB-004612</t>
  </si>
  <si>
    <t>LAB-004613</t>
  </si>
  <si>
    <t>LAB-004614</t>
  </si>
  <si>
    <t>LAB-004615</t>
  </si>
  <si>
    <t>LAB-004616</t>
  </si>
  <si>
    <t>LAB-004617</t>
  </si>
  <si>
    <t>LAB-004618</t>
  </si>
  <si>
    <t>LAB-004619</t>
  </si>
  <si>
    <t>LAB-004620</t>
  </si>
  <si>
    <t>LAB-004621</t>
  </si>
  <si>
    <t>LAB-004622</t>
  </si>
  <si>
    <t>LAB-004623</t>
  </si>
  <si>
    <t>LAB-004624</t>
  </si>
  <si>
    <t>LAB-004625</t>
  </si>
  <si>
    <t>LAB-004626</t>
  </si>
  <si>
    <t>LAB-004627</t>
  </si>
  <si>
    <t>LAB-004628</t>
  </si>
  <si>
    <t>LAB-004629</t>
  </si>
  <si>
    <t>LAB-004630</t>
  </si>
  <si>
    <t>LAB-004631</t>
  </si>
  <si>
    <t>LAB-004632</t>
  </si>
  <si>
    <t>LAB-004633</t>
  </si>
  <si>
    <t>LAB-004634</t>
  </si>
  <si>
    <t>LAB-004635</t>
  </si>
  <si>
    <t>LAB-004636</t>
  </si>
  <si>
    <t>LAB-004637</t>
  </si>
  <si>
    <t>LAB-004638</t>
  </si>
  <si>
    <t>LAB-004639</t>
  </si>
  <si>
    <t>LAB-004640</t>
  </si>
  <si>
    <t>LAB-004641</t>
  </si>
  <si>
    <t>LAB-004642</t>
  </si>
  <si>
    <t>LAB-004643</t>
  </si>
  <si>
    <t>LAB-004644</t>
  </si>
  <si>
    <t>LAB-004645</t>
  </si>
  <si>
    <t>LAB-004646</t>
  </si>
  <si>
    <t>LAB-004647</t>
  </si>
  <si>
    <t>LAB-004648</t>
  </si>
  <si>
    <t>LAB-004649</t>
  </si>
  <si>
    <t>LAB-004650</t>
  </si>
  <si>
    <t>LAB-004651</t>
  </si>
  <si>
    <t>LAB-004652</t>
  </si>
  <si>
    <t>LAB-004653</t>
  </si>
  <si>
    <t>LAB-004654</t>
  </si>
  <si>
    <t>LAB-004655</t>
  </si>
  <si>
    <t>LAB-004656</t>
  </si>
  <si>
    <t>LAB-004657</t>
  </si>
  <si>
    <t>LAB-004658</t>
  </si>
  <si>
    <t>LAB-004659</t>
  </si>
  <si>
    <t>LAB-004660</t>
  </si>
  <si>
    <t>LAB-004661</t>
  </si>
  <si>
    <t>LAB-004662</t>
  </si>
  <si>
    <t>LAB-004663</t>
  </si>
  <si>
    <t>LAB-004664</t>
  </si>
  <si>
    <t>LAB-004665</t>
  </si>
  <si>
    <t>LAB-004666</t>
  </si>
  <si>
    <t>LAB-004667</t>
  </si>
  <si>
    <t>LAB-004668</t>
  </si>
  <si>
    <t>LAB-004669</t>
  </si>
  <si>
    <t>2026-02-05</t>
  </si>
  <si>
    <t>LAB-004670</t>
  </si>
  <si>
    <t>LAB-004671</t>
  </si>
  <si>
    <t>LAB-004672</t>
  </si>
  <si>
    <t>LAB-004673</t>
  </si>
  <si>
    <t>LAB-004674</t>
  </si>
  <si>
    <t>LAB-004675</t>
  </si>
  <si>
    <t>LAB-004676</t>
  </si>
  <si>
    <t>LAB-004677</t>
  </si>
  <si>
    <t>LAB-004678</t>
  </si>
  <si>
    <t>LAB-004679</t>
  </si>
  <si>
    <t>LAB-004680</t>
  </si>
  <si>
    <t>LAB-004681</t>
  </si>
  <si>
    <t>LAB-004682</t>
  </si>
  <si>
    <t>LAB-004683</t>
  </si>
  <si>
    <t>LAB-004684</t>
  </si>
  <si>
    <t>LAB-004685</t>
  </si>
  <si>
    <t>LAB-004686</t>
  </si>
  <si>
    <t>LAB-004687</t>
  </si>
  <si>
    <t>LAB-004688</t>
  </si>
  <si>
    <t>LAB-004689</t>
  </si>
  <si>
    <t>LAB-004690</t>
  </si>
  <si>
    <t>LAB-004691</t>
  </si>
  <si>
    <t>LAB-004692</t>
  </si>
  <si>
    <t>LAB-004693</t>
  </si>
  <si>
    <t>LAB-004694</t>
  </si>
  <si>
    <t>LAB-004695</t>
  </si>
  <si>
    <t>LAB-004696</t>
  </si>
  <si>
    <t>LAB-004697</t>
  </si>
  <si>
    <t>LAB-004698</t>
  </si>
  <si>
    <t>LAB-004699</t>
  </si>
  <si>
    <t>LAB-004700</t>
  </si>
  <si>
    <t>LAB-004701</t>
  </si>
  <si>
    <t>LAB-004702</t>
  </si>
  <si>
    <t>LAB-004703</t>
  </si>
  <si>
    <t>LAB-004704</t>
  </si>
  <si>
    <t>LAB-004705</t>
  </si>
  <si>
    <t>LAB-004706</t>
  </si>
  <si>
    <t>LAB-004707</t>
  </si>
  <si>
    <t>LAB-004708</t>
  </si>
  <si>
    <t>LAB-004709</t>
  </si>
  <si>
    <t>LAB-004710</t>
  </si>
  <si>
    <t>LAB-004711</t>
  </si>
  <si>
    <t>LAB-004712</t>
  </si>
  <si>
    <t>LAB-004713</t>
  </si>
  <si>
    <t>LAB-004714</t>
  </si>
  <si>
    <t>LAB-004715</t>
  </si>
  <si>
    <t>LAB-004716</t>
  </si>
  <si>
    <t>LAB-004717</t>
  </si>
  <si>
    <t>LAB-004718</t>
  </si>
  <si>
    <t>LAB-004719</t>
  </si>
  <si>
    <t>LAB-004720</t>
  </si>
  <si>
    <t>LAB-004721</t>
  </si>
  <si>
    <t>LAB-004722</t>
  </si>
  <si>
    <t>LAB-004723</t>
  </si>
  <si>
    <t>LAB-004724</t>
  </si>
  <si>
    <t>LAB-004725</t>
  </si>
  <si>
    <t>LAB-004726</t>
  </si>
  <si>
    <t>LAB-004727</t>
  </si>
  <si>
    <t>LAB-004728</t>
  </si>
  <si>
    <t>LAB-004729</t>
  </si>
  <si>
    <t>LAB-004730</t>
  </si>
  <si>
    <t>LAB-004731</t>
  </si>
  <si>
    <t>LAB-004732</t>
  </si>
  <si>
    <t>LAB-004733</t>
  </si>
  <si>
    <t>LAB-004734</t>
  </si>
  <si>
    <t>LAB-004735</t>
  </si>
  <si>
    <t>LAB-004736</t>
  </si>
  <si>
    <t>LAB-004737</t>
  </si>
  <si>
    <t>LAB-004738</t>
  </si>
  <si>
    <t>LAB-004739</t>
  </si>
  <si>
    <t>LAB-004740</t>
  </si>
  <si>
    <t>LAB-004741</t>
  </si>
  <si>
    <t>LAB-004742</t>
  </si>
  <si>
    <t>LAB-004743</t>
  </si>
  <si>
    <t>LAB-004744</t>
  </si>
  <si>
    <t>LAB-004745</t>
  </si>
  <si>
    <t>LAB-004746</t>
  </si>
  <si>
    <t>LAB-004747</t>
  </si>
  <si>
    <t>LAB-004748</t>
  </si>
  <si>
    <t>LAB-004749</t>
  </si>
  <si>
    <t>LAB-004750</t>
  </si>
  <si>
    <t>LAB-004751</t>
  </si>
  <si>
    <t>LAB-004752</t>
  </si>
  <si>
    <t>LAB-004753</t>
  </si>
  <si>
    <t>LAB-004754</t>
  </si>
  <si>
    <t>LAB-004755</t>
  </si>
  <si>
    <t>LAB-004756</t>
  </si>
  <si>
    <t>LAB-004757</t>
  </si>
  <si>
    <t>LAB-004758</t>
  </si>
  <si>
    <t>LAB-004759</t>
  </si>
  <si>
    <t>LAB-004760</t>
  </si>
  <si>
    <t>LAB-004761</t>
  </si>
  <si>
    <t>LAB-004762</t>
  </si>
  <si>
    <t>LAB-004763</t>
  </si>
  <si>
    <t>LAB-004764</t>
  </si>
  <si>
    <t>LAB-004765</t>
  </si>
  <si>
    <t>LAB-004766</t>
  </si>
  <si>
    <t>LAB-004767</t>
  </si>
  <si>
    <t>LAB-004768</t>
  </si>
  <si>
    <t>LAB-004769</t>
  </si>
  <si>
    <t>LAB-004770</t>
  </si>
  <si>
    <t>LAB-004771</t>
  </si>
  <si>
    <t>LAB-004772</t>
  </si>
  <si>
    <t>LAB-004773</t>
  </si>
  <si>
    <t>LAB-004774</t>
  </si>
  <si>
    <t>LAB-004775</t>
  </si>
  <si>
    <t>LAB-004776</t>
  </si>
  <si>
    <t>LAB-004777</t>
  </si>
  <si>
    <t>LAB-004778</t>
  </si>
  <si>
    <t>LAB-004779</t>
  </si>
  <si>
    <t>LAB-004780</t>
  </si>
  <si>
    <t>LAB-004781</t>
  </si>
  <si>
    <t>LAB-004782</t>
  </si>
  <si>
    <t>LAB-004783</t>
  </si>
  <si>
    <t>LAB-004784</t>
  </si>
  <si>
    <t>LAB-004785</t>
  </si>
  <si>
    <t>LAB-004786</t>
  </si>
  <si>
    <t>LAB-004787</t>
  </si>
  <si>
    <t>LAB-004788</t>
  </si>
  <si>
    <t>LAB-004789</t>
  </si>
  <si>
    <t>LAB-004790</t>
  </si>
  <si>
    <t>LAB-004791</t>
  </si>
  <si>
    <t>LAB-004792</t>
  </si>
  <si>
    <t>LAB-004793</t>
  </si>
  <si>
    <t>LAB-004794</t>
  </si>
  <si>
    <t>LAB-004795</t>
  </si>
  <si>
    <t>LAB-004796</t>
  </si>
  <si>
    <t>LAB-004797</t>
  </si>
  <si>
    <t>LAB-004798</t>
  </si>
  <si>
    <t>LAB-004799</t>
  </si>
  <si>
    <t>LAB-004800</t>
  </si>
  <si>
    <t>LAB-004801</t>
  </si>
  <si>
    <t>LAB-004802</t>
  </si>
  <si>
    <t>LAB-004803</t>
  </si>
  <si>
    <t>LAB-004804</t>
  </si>
  <si>
    <t>LAB-004805</t>
  </si>
  <si>
    <t>LAB-004806</t>
  </si>
  <si>
    <t>LAB-004807</t>
  </si>
  <si>
    <t>LAB-004808</t>
  </si>
  <si>
    <t>LAB-004809</t>
  </si>
  <si>
    <t>LAB-004810</t>
  </si>
  <si>
    <t>LAB-004811</t>
  </si>
  <si>
    <t>LAB-004812</t>
  </si>
  <si>
    <t>LAB-004813</t>
  </si>
  <si>
    <t>LAB-004814</t>
  </si>
  <si>
    <t>LAB-004815</t>
  </si>
  <si>
    <t>LAB-004816</t>
  </si>
  <si>
    <t>LAB-004817</t>
  </si>
  <si>
    <t>LAB-004818</t>
  </si>
  <si>
    <t>LAB-004819</t>
  </si>
  <si>
    <t>LAB-004820</t>
  </si>
  <si>
    <t>LAB-004821</t>
  </si>
  <si>
    <t>LAB-004822</t>
  </si>
  <si>
    <t>LAB-004823</t>
  </si>
  <si>
    <t>LAB-004824</t>
  </si>
  <si>
    <t>LAB-004825</t>
  </si>
  <si>
    <t>LAB-004826</t>
  </si>
  <si>
    <t>LAB-004827</t>
  </si>
  <si>
    <t>LAB-004828</t>
  </si>
  <si>
    <t>LAB-004829</t>
  </si>
  <si>
    <t>LAB-004830</t>
  </si>
  <si>
    <t>LAB-004831</t>
  </si>
  <si>
    <t>LAB-004832</t>
  </si>
  <si>
    <t>LAB-004833</t>
  </si>
  <si>
    <t>LAB-004834</t>
  </si>
  <si>
    <t>LAB-004835</t>
  </si>
  <si>
    <t>LAB-004836</t>
  </si>
  <si>
    <t>LAB-004837</t>
  </si>
  <si>
    <t>LAB-004838</t>
  </si>
  <si>
    <t>LAB-004839</t>
  </si>
  <si>
    <t>LAB-004840</t>
  </si>
  <si>
    <t>LAB-004841</t>
  </si>
  <si>
    <t>LAB-004842</t>
  </si>
  <si>
    <t>LAB-004843</t>
  </si>
  <si>
    <t>Primary skill</t>
  </si>
  <si>
    <t>Shift</t>
  </si>
  <si>
    <t>Start year</t>
  </si>
  <si>
    <t>Availability factor</t>
  </si>
  <si>
    <t>Day</t>
  </si>
  <si>
    <t>Swing</t>
  </si>
  <si>
    <t>Part record ID</t>
  </si>
  <si>
    <t>Part category</t>
  </si>
  <si>
    <t>Needed date</t>
  </si>
  <si>
    <t>Available date</t>
  </si>
  <si>
    <t>Delay days</t>
  </si>
  <si>
    <t>Status</t>
  </si>
  <si>
    <t>PART-00001</t>
  </si>
  <si>
    <t>Valve</t>
  </si>
  <si>
    <t>On time</t>
  </si>
  <si>
    <t>PART-00002</t>
  </si>
  <si>
    <t>Sensor</t>
  </si>
  <si>
    <t>PART-00003</t>
  </si>
  <si>
    <t>Fastener kit</t>
  </si>
  <si>
    <t>PART-00004</t>
  </si>
  <si>
    <t>Delayed</t>
  </si>
  <si>
    <t>PART-00005</t>
  </si>
  <si>
    <t>Seal kit</t>
  </si>
  <si>
    <t>PART-00006</t>
  </si>
  <si>
    <t>Actuator</t>
  </si>
  <si>
    <t>PART-00007</t>
  </si>
  <si>
    <t>Harness</t>
  </si>
  <si>
    <t>PART-00008</t>
  </si>
  <si>
    <t>PART-00009</t>
  </si>
  <si>
    <t>PART-00010</t>
  </si>
  <si>
    <t>PART-00011</t>
  </si>
  <si>
    <t>PART-00012</t>
  </si>
  <si>
    <t>PART-00013</t>
  </si>
  <si>
    <t>PART-00014</t>
  </si>
  <si>
    <t>PART-00015</t>
  </si>
  <si>
    <t>PART-00016</t>
  </si>
  <si>
    <t>PART-00017</t>
  </si>
  <si>
    <t>PART-00018</t>
  </si>
  <si>
    <t>PART-00019</t>
  </si>
  <si>
    <t>PART-00020</t>
  </si>
  <si>
    <t>PART-00021</t>
  </si>
  <si>
    <t>PART-00022</t>
  </si>
  <si>
    <t>PART-00023</t>
  </si>
  <si>
    <t>PART-00024</t>
  </si>
  <si>
    <t>PART-00025</t>
  </si>
  <si>
    <t>PART-00026</t>
  </si>
  <si>
    <t>PART-00027</t>
  </si>
  <si>
    <t>PART-00028</t>
  </si>
  <si>
    <t>PART-00029</t>
  </si>
  <si>
    <t>PART-00030</t>
  </si>
  <si>
    <t>PART-00031</t>
  </si>
  <si>
    <t>PART-00032</t>
  </si>
  <si>
    <t>PART-00033</t>
  </si>
  <si>
    <t>PART-00034</t>
  </si>
  <si>
    <t>PART-00035</t>
  </si>
  <si>
    <t>PART-00036</t>
  </si>
  <si>
    <t>PART-00037</t>
  </si>
  <si>
    <t>PART-00038</t>
  </si>
  <si>
    <t>PART-00039</t>
  </si>
  <si>
    <t>PART-00040</t>
  </si>
  <si>
    <t>PART-00041</t>
  </si>
  <si>
    <t>PART-00042</t>
  </si>
  <si>
    <t>PART-00043</t>
  </si>
  <si>
    <t>PART-00044</t>
  </si>
  <si>
    <t>PART-00045</t>
  </si>
  <si>
    <t>PART-00046</t>
  </si>
  <si>
    <t>PART-00047</t>
  </si>
  <si>
    <t>PART-00048</t>
  </si>
  <si>
    <t>PART-00049</t>
  </si>
  <si>
    <t>PART-00050</t>
  </si>
  <si>
    <t>PART-00051</t>
  </si>
  <si>
    <t>PART-00052</t>
  </si>
  <si>
    <t>PART-00053</t>
  </si>
  <si>
    <t>PART-00054</t>
  </si>
  <si>
    <t>PART-00055</t>
  </si>
  <si>
    <t>PART-00056</t>
  </si>
  <si>
    <t>PART-00057</t>
  </si>
  <si>
    <t>PART-00058</t>
  </si>
  <si>
    <t>PART-00059</t>
  </si>
  <si>
    <t>PART-00060</t>
  </si>
  <si>
    <t>PART-00061</t>
  </si>
  <si>
    <t>PART-00062</t>
  </si>
  <si>
    <t>PART-00063</t>
  </si>
  <si>
    <t>PART-00064</t>
  </si>
  <si>
    <t>PART-00065</t>
  </si>
  <si>
    <t>PART-00066</t>
  </si>
  <si>
    <t>PART-00067</t>
  </si>
  <si>
    <t>PART-00068</t>
  </si>
  <si>
    <t>PART-00069</t>
  </si>
  <si>
    <t>PART-00070</t>
  </si>
  <si>
    <t>PART-00071</t>
  </si>
  <si>
    <t>PART-00072</t>
  </si>
  <si>
    <t>PART-00073</t>
  </si>
  <si>
    <t>PART-00074</t>
  </si>
  <si>
    <t>PART-00075</t>
  </si>
  <si>
    <t>PART-00076</t>
  </si>
  <si>
    <t>PART-00077</t>
  </si>
  <si>
    <t>PART-00078</t>
  </si>
  <si>
    <t>PART-00079</t>
  </si>
  <si>
    <t>PART-00080</t>
  </si>
  <si>
    <t>PART-00081</t>
  </si>
  <si>
    <t>PART-00082</t>
  </si>
  <si>
    <t>PART-00083</t>
  </si>
  <si>
    <t>PART-00084</t>
  </si>
  <si>
    <t>PART-00085</t>
  </si>
  <si>
    <t>PART-00086</t>
  </si>
  <si>
    <t>PART-00087</t>
  </si>
  <si>
    <t>PART-00088</t>
  </si>
  <si>
    <t>PART-00089</t>
  </si>
  <si>
    <t>PART-00090</t>
  </si>
  <si>
    <t>PART-00091</t>
  </si>
  <si>
    <t>PART-00092</t>
  </si>
  <si>
    <t>PART-00093</t>
  </si>
  <si>
    <t>PART-00094</t>
  </si>
  <si>
    <t>PART-00095</t>
  </si>
  <si>
    <t>PART-00096</t>
  </si>
  <si>
    <t>PART-00097</t>
  </si>
  <si>
    <t>PART-00098</t>
  </si>
  <si>
    <t>PART-00099</t>
  </si>
  <si>
    <t>PART-00100</t>
  </si>
  <si>
    <t>PART-00101</t>
  </si>
  <si>
    <t>PART-00102</t>
  </si>
  <si>
    <t>PART-00103</t>
  </si>
  <si>
    <t>PART-00104</t>
  </si>
  <si>
    <t>PART-00105</t>
  </si>
  <si>
    <t>PART-00106</t>
  </si>
  <si>
    <t>PART-00107</t>
  </si>
  <si>
    <t>PART-00108</t>
  </si>
  <si>
    <t>PART-00109</t>
  </si>
  <si>
    <t>PART-00110</t>
  </si>
  <si>
    <t>PART-00111</t>
  </si>
  <si>
    <t>PART-00112</t>
  </si>
  <si>
    <t>PART-00113</t>
  </si>
  <si>
    <t>PART-00114</t>
  </si>
  <si>
    <t>PART-00115</t>
  </si>
  <si>
    <t>PART-00116</t>
  </si>
  <si>
    <t>PART-00117</t>
  </si>
  <si>
    <t>PART-00118</t>
  </si>
  <si>
    <t>PART-00119</t>
  </si>
  <si>
    <t>PART-00120</t>
  </si>
  <si>
    <t>PART-00121</t>
  </si>
  <si>
    <t>PART-00122</t>
  </si>
  <si>
    <t>PART-00123</t>
  </si>
  <si>
    <t>PART-00124</t>
  </si>
  <si>
    <t>PART-00125</t>
  </si>
  <si>
    <t>PART-00126</t>
  </si>
  <si>
    <t>PART-00127</t>
  </si>
  <si>
    <t>PART-00128</t>
  </si>
  <si>
    <t>PART-00129</t>
  </si>
  <si>
    <t>PART-00130</t>
  </si>
  <si>
    <t>PART-00131</t>
  </si>
  <si>
    <t>PART-00132</t>
  </si>
  <si>
    <t>PART-00133</t>
  </si>
  <si>
    <t>PART-00134</t>
  </si>
  <si>
    <t>PART-00135</t>
  </si>
  <si>
    <t>PART-00136</t>
  </si>
  <si>
    <t>PART-00137</t>
  </si>
  <si>
    <t>PART-00138</t>
  </si>
  <si>
    <t>PART-00139</t>
  </si>
  <si>
    <t>PART-00140</t>
  </si>
  <si>
    <t>PART-00141</t>
  </si>
  <si>
    <t>PART-00142</t>
  </si>
  <si>
    <t>PART-00143</t>
  </si>
  <si>
    <t>PART-00144</t>
  </si>
  <si>
    <t>PART-00145</t>
  </si>
  <si>
    <t>PART-00146</t>
  </si>
  <si>
    <t>PART-00147</t>
  </si>
  <si>
    <t>PART-00148</t>
  </si>
  <si>
    <t>PART-00149</t>
  </si>
  <si>
    <t>PART-00150</t>
  </si>
  <si>
    <t>PART-00151</t>
  </si>
  <si>
    <t>PART-00152</t>
  </si>
  <si>
    <t>PART-00153</t>
  </si>
  <si>
    <t>PART-00154</t>
  </si>
  <si>
    <t>PART-00155</t>
  </si>
  <si>
    <t>PART-00156</t>
  </si>
  <si>
    <t>PART-00157</t>
  </si>
  <si>
    <t>PART-00158</t>
  </si>
  <si>
    <t>PART-00159</t>
  </si>
  <si>
    <t>PART-00160</t>
  </si>
  <si>
    <t>PART-00161</t>
  </si>
  <si>
    <t>PART-00162</t>
  </si>
  <si>
    <t>PART-00163</t>
  </si>
  <si>
    <t>PART-00164</t>
  </si>
  <si>
    <t>PART-00165</t>
  </si>
  <si>
    <t>PART-00166</t>
  </si>
  <si>
    <t>PART-00167</t>
  </si>
  <si>
    <t>PART-00168</t>
  </si>
  <si>
    <t>PART-00169</t>
  </si>
  <si>
    <t>PART-00170</t>
  </si>
  <si>
    <t>PART-00171</t>
  </si>
  <si>
    <t>PART-00172</t>
  </si>
  <si>
    <t>PART-00173</t>
  </si>
  <si>
    <t>PART-00174</t>
  </si>
  <si>
    <t>PART-00175</t>
  </si>
  <si>
    <t>PART-00176</t>
  </si>
  <si>
    <t>PART-00177</t>
  </si>
  <si>
    <t>PART-00178</t>
  </si>
  <si>
    <t>PART-00179</t>
  </si>
  <si>
    <t>PART-00180</t>
  </si>
  <si>
    <t>PART-00181</t>
  </si>
  <si>
    <t>PART-00182</t>
  </si>
  <si>
    <t>PART-00183</t>
  </si>
  <si>
    <t>PART-00184</t>
  </si>
  <si>
    <t>PART-00185</t>
  </si>
  <si>
    <t>PART-00186</t>
  </si>
  <si>
    <t>PART-00187</t>
  </si>
  <si>
    <t>PART-00188</t>
  </si>
  <si>
    <t>PART-00189</t>
  </si>
  <si>
    <t>PART-00190</t>
  </si>
  <si>
    <t>PART-00191</t>
  </si>
  <si>
    <t>PART-00192</t>
  </si>
  <si>
    <t>PART-00193</t>
  </si>
  <si>
    <t>PART-00194</t>
  </si>
  <si>
    <t>PART-00195</t>
  </si>
  <si>
    <t>PART-00196</t>
  </si>
  <si>
    <t>PART-00197</t>
  </si>
  <si>
    <t>PART-00198</t>
  </si>
  <si>
    <t>PART-00199</t>
  </si>
  <si>
    <t>PART-00200</t>
  </si>
  <si>
    <t>PART-00201</t>
  </si>
  <si>
    <t>PART-00202</t>
  </si>
  <si>
    <t>PART-00203</t>
  </si>
  <si>
    <t>PART-00204</t>
  </si>
  <si>
    <t>PART-00205</t>
  </si>
  <si>
    <t>PART-00206</t>
  </si>
  <si>
    <t>PART-00207</t>
  </si>
  <si>
    <t>PART-00208</t>
  </si>
  <si>
    <t>PART-00209</t>
  </si>
  <si>
    <t>PART-00210</t>
  </si>
  <si>
    <t>PART-00211</t>
  </si>
  <si>
    <t>PART-00212</t>
  </si>
  <si>
    <t>PART-00213</t>
  </si>
  <si>
    <t>PART-00214</t>
  </si>
  <si>
    <t>PART-00215</t>
  </si>
  <si>
    <t>PART-00216</t>
  </si>
  <si>
    <t>PART-00217</t>
  </si>
  <si>
    <t>PART-00218</t>
  </si>
  <si>
    <t>PART-00219</t>
  </si>
  <si>
    <t>PART-00220</t>
  </si>
  <si>
    <t>PART-00221</t>
  </si>
  <si>
    <t>PART-00222</t>
  </si>
  <si>
    <t>PART-00223</t>
  </si>
  <si>
    <t>PART-00224</t>
  </si>
  <si>
    <t>PART-00225</t>
  </si>
  <si>
    <t>PART-00226</t>
  </si>
  <si>
    <t>PART-00227</t>
  </si>
  <si>
    <t>PART-00228</t>
  </si>
  <si>
    <t>PART-00229</t>
  </si>
  <si>
    <t>PART-00230</t>
  </si>
  <si>
    <t>PART-00231</t>
  </si>
  <si>
    <t>PART-00232</t>
  </si>
  <si>
    <t>PART-00233</t>
  </si>
  <si>
    <t>PART-00234</t>
  </si>
  <si>
    <t>PART-00235</t>
  </si>
  <si>
    <t>PART-00236</t>
  </si>
  <si>
    <t>PART-00237</t>
  </si>
  <si>
    <t>PART-00238</t>
  </si>
  <si>
    <t>PART-00239</t>
  </si>
  <si>
    <t>PART-00240</t>
  </si>
  <si>
    <t>PART-00241</t>
  </si>
  <si>
    <t>PART-00242</t>
  </si>
  <si>
    <t>PART-00243</t>
  </si>
  <si>
    <t>PART-00244</t>
  </si>
  <si>
    <t>PART-00245</t>
  </si>
  <si>
    <t>PART-00246</t>
  </si>
  <si>
    <t>PART-00247</t>
  </si>
  <si>
    <t>PART-00248</t>
  </si>
  <si>
    <t>PART-00249</t>
  </si>
  <si>
    <t>PART-00250</t>
  </si>
  <si>
    <t>PART-00251</t>
  </si>
  <si>
    <t>PART-00252</t>
  </si>
  <si>
    <t>PART-00253</t>
  </si>
  <si>
    <t>PART-00254</t>
  </si>
  <si>
    <t>PART-00255</t>
  </si>
  <si>
    <t>PART-00256</t>
  </si>
  <si>
    <t>PART-00257</t>
  </si>
  <si>
    <t>PART-00258</t>
  </si>
  <si>
    <t>PART-00259</t>
  </si>
  <si>
    <t>PART-00260</t>
  </si>
  <si>
    <t>PART-00261</t>
  </si>
  <si>
    <t>PART-00262</t>
  </si>
  <si>
    <t>PART-00263</t>
  </si>
  <si>
    <t>PART-00264</t>
  </si>
  <si>
    <t>PART-00265</t>
  </si>
  <si>
    <t>PART-00266</t>
  </si>
  <si>
    <t>PART-00267</t>
  </si>
  <si>
    <t>PART-00268</t>
  </si>
  <si>
    <t>PART-00269</t>
  </si>
  <si>
    <t>PART-00270</t>
  </si>
  <si>
    <t>PART-00271</t>
  </si>
  <si>
    <t>PART-00272</t>
  </si>
  <si>
    <t>PART-00273</t>
  </si>
  <si>
    <t>PART-00274</t>
  </si>
  <si>
    <t>PART-00275</t>
  </si>
  <si>
    <t>PART-00276</t>
  </si>
  <si>
    <t>PART-00277</t>
  </si>
  <si>
    <t>PART-00278</t>
  </si>
  <si>
    <t>PART-00279</t>
  </si>
  <si>
    <t>PART-00280</t>
  </si>
  <si>
    <t>PART-00281</t>
  </si>
  <si>
    <t>PART-00282</t>
  </si>
  <si>
    <t>PART-00283</t>
  </si>
  <si>
    <t>PART-00284</t>
  </si>
  <si>
    <t>PART-00285</t>
  </si>
  <si>
    <t>PART-00286</t>
  </si>
  <si>
    <t>PART-00287</t>
  </si>
  <si>
    <t>PART-00288</t>
  </si>
  <si>
    <t>PART-00289</t>
  </si>
  <si>
    <t>PART-00290</t>
  </si>
  <si>
    <t>PART-00291</t>
  </si>
  <si>
    <t>PART-00292</t>
  </si>
  <si>
    <t>PART-00293</t>
  </si>
  <si>
    <t>PART-00294</t>
  </si>
  <si>
    <t>PART-00295</t>
  </si>
  <si>
    <t>PART-00296</t>
  </si>
  <si>
    <t>PART-00297</t>
  </si>
  <si>
    <t>PART-00298</t>
  </si>
  <si>
    <t>PART-00299</t>
  </si>
  <si>
    <t>PART-00300</t>
  </si>
  <si>
    <t>PART-00301</t>
  </si>
  <si>
    <t>PART-00302</t>
  </si>
  <si>
    <t>PART-00303</t>
  </si>
  <si>
    <t>PART-00304</t>
  </si>
  <si>
    <t>PART-00305</t>
  </si>
  <si>
    <t>PART-00306</t>
  </si>
  <si>
    <t>PART-00307</t>
  </si>
  <si>
    <t>PART-00308</t>
  </si>
  <si>
    <t>PART-00309</t>
  </si>
  <si>
    <t>PART-00310</t>
  </si>
  <si>
    <t>PART-00311</t>
  </si>
  <si>
    <t>PART-00312</t>
  </si>
  <si>
    <t>PART-00313</t>
  </si>
  <si>
    <t>PART-00314</t>
  </si>
  <si>
    <t>PART-00315</t>
  </si>
  <si>
    <t>PART-00316</t>
  </si>
  <si>
    <t>PART-00317</t>
  </si>
  <si>
    <t>PART-00318</t>
  </si>
  <si>
    <t>PART-00319</t>
  </si>
  <si>
    <t>PART-00320</t>
  </si>
  <si>
    <t>PART-00321</t>
  </si>
  <si>
    <t>PART-00322</t>
  </si>
  <si>
    <t>PART-00323</t>
  </si>
  <si>
    <t>PART-00324</t>
  </si>
  <si>
    <t>PART-00325</t>
  </si>
  <si>
    <t>PART-00326</t>
  </si>
  <si>
    <t>PART-00327</t>
  </si>
  <si>
    <t>PART-00328</t>
  </si>
  <si>
    <t>PART-00329</t>
  </si>
  <si>
    <t>PART-00330</t>
  </si>
  <si>
    <t>PART-00331</t>
  </si>
  <si>
    <t>PART-00332</t>
  </si>
  <si>
    <t>PART-00333</t>
  </si>
  <si>
    <t>PART-00334</t>
  </si>
  <si>
    <t>PART-00335</t>
  </si>
  <si>
    <t>PART-00336</t>
  </si>
  <si>
    <t>PART-00337</t>
  </si>
  <si>
    <t>PART-00338</t>
  </si>
  <si>
    <t>PART-00339</t>
  </si>
  <si>
    <t>PART-00340</t>
  </si>
  <si>
    <t>PART-00341</t>
  </si>
  <si>
    <t>PART-00342</t>
  </si>
  <si>
    <t>PART-00343</t>
  </si>
  <si>
    <t>PART-00344</t>
  </si>
  <si>
    <t>PART-00345</t>
  </si>
  <si>
    <t>PART-00346</t>
  </si>
  <si>
    <t>PART-00347</t>
  </si>
  <si>
    <t>PART-00348</t>
  </si>
  <si>
    <t>PART-00349</t>
  </si>
  <si>
    <t>PART-00350</t>
  </si>
  <si>
    <t>PART-00351</t>
  </si>
  <si>
    <t>PART-00352</t>
  </si>
  <si>
    <t>PART-00353</t>
  </si>
  <si>
    <t>PART-00354</t>
  </si>
  <si>
    <t>PART-00355</t>
  </si>
  <si>
    <t>PART-00356</t>
  </si>
  <si>
    <t>PART-00357</t>
  </si>
  <si>
    <t>PART-00358</t>
  </si>
  <si>
    <t>PART-00359</t>
  </si>
  <si>
    <t>PART-00360</t>
  </si>
  <si>
    <t>PART-00361</t>
  </si>
  <si>
    <t>PART-00362</t>
  </si>
  <si>
    <t>PART-00363</t>
  </si>
  <si>
    <t>PART-00364</t>
  </si>
  <si>
    <t>PART-00365</t>
  </si>
  <si>
    <t>PART-00366</t>
  </si>
  <si>
    <t>PART-00367</t>
  </si>
  <si>
    <t>PART-00368</t>
  </si>
  <si>
    <t>PART-00369</t>
  </si>
  <si>
    <t>PART-00370</t>
  </si>
  <si>
    <t>PART-00371</t>
  </si>
  <si>
    <t>PART-00372</t>
  </si>
  <si>
    <t>PART-00373</t>
  </si>
  <si>
    <t>PART-00374</t>
  </si>
  <si>
    <t>PART-00375</t>
  </si>
  <si>
    <t>PART-00376</t>
  </si>
  <si>
    <t>PART-00377</t>
  </si>
  <si>
    <t>PART-00378</t>
  </si>
  <si>
    <t>PART-00379</t>
  </si>
  <si>
    <t>PART-00380</t>
  </si>
  <si>
    <t>PART-00381</t>
  </si>
  <si>
    <t>PART-00382</t>
  </si>
  <si>
    <t>PART-00383</t>
  </si>
  <si>
    <t>PART-00384</t>
  </si>
  <si>
    <t>PART-00385</t>
  </si>
  <si>
    <t>PART-00386</t>
  </si>
  <si>
    <t>PART-00387</t>
  </si>
  <si>
    <t>PART-00388</t>
  </si>
  <si>
    <t>PART-00389</t>
  </si>
  <si>
    <t>PART-00390</t>
  </si>
  <si>
    <t>PART-00391</t>
  </si>
  <si>
    <t>PART-00392</t>
  </si>
  <si>
    <t>PART-00393</t>
  </si>
  <si>
    <t>PART-00394</t>
  </si>
  <si>
    <t>PART-00395</t>
  </si>
  <si>
    <t>PART-00396</t>
  </si>
  <si>
    <t>PART-00397</t>
  </si>
  <si>
    <t>PART-00398</t>
  </si>
  <si>
    <t>PART-00399</t>
  </si>
  <si>
    <t>PART-00400</t>
  </si>
  <si>
    <t>PART-00401</t>
  </si>
  <si>
    <t>PART-00402</t>
  </si>
  <si>
    <t>PART-00403</t>
  </si>
  <si>
    <t>PART-00404</t>
  </si>
  <si>
    <t>PART-00405</t>
  </si>
  <si>
    <t>PART-00406</t>
  </si>
  <si>
    <t>PART-00407</t>
  </si>
  <si>
    <t>PART-00408</t>
  </si>
  <si>
    <t>PART-00409</t>
  </si>
  <si>
    <t>PART-00410</t>
  </si>
  <si>
    <t>PART-00411</t>
  </si>
  <si>
    <t>PART-00412</t>
  </si>
  <si>
    <t>PART-00413</t>
  </si>
  <si>
    <t>PART-00414</t>
  </si>
  <si>
    <t>PART-00415</t>
  </si>
  <si>
    <t>PART-00416</t>
  </si>
  <si>
    <t>PART-00417</t>
  </si>
  <si>
    <t>PART-00418</t>
  </si>
  <si>
    <t>PART-00419</t>
  </si>
  <si>
    <t>PART-00420</t>
  </si>
  <si>
    <t>PART-00421</t>
  </si>
  <si>
    <t>PART-00422</t>
  </si>
  <si>
    <t>PART-00423</t>
  </si>
  <si>
    <t>PART-00424</t>
  </si>
  <si>
    <t>PART-00425</t>
  </si>
  <si>
    <t>PART-00426</t>
  </si>
  <si>
    <t>PART-00427</t>
  </si>
  <si>
    <t>PART-00428</t>
  </si>
  <si>
    <t>PART-00429</t>
  </si>
  <si>
    <t>PART-00430</t>
  </si>
  <si>
    <t>PART-00431</t>
  </si>
  <si>
    <t>PART-00432</t>
  </si>
  <si>
    <t>PART-00433</t>
  </si>
  <si>
    <t>PART-00434</t>
  </si>
  <si>
    <t>PART-00435</t>
  </si>
  <si>
    <t>PART-00436</t>
  </si>
  <si>
    <t>PART-00437</t>
  </si>
  <si>
    <t>PART-00438</t>
  </si>
  <si>
    <t>PART-00439</t>
  </si>
  <si>
    <t>PART-00440</t>
  </si>
  <si>
    <t>PART-00441</t>
  </si>
  <si>
    <t>PART-00442</t>
  </si>
  <si>
    <t>PART-00443</t>
  </si>
  <si>
    <t>PART-00444</t>
  </si>
  <si>
    <t>PART-00445</t>
  </si>
  <si>
    <t>PART-00446</t>
  </si>
  <si>
    <t>PART-00447</t>
  </si>
  <si>
    <t>PART-00448</t>
  </si>
  <si>
    <t>PART-00449</t>
  </si>
  <si>
    <t>PART-00450</t>
  </si>
  <si>
    <t>PART-00451</t>
  </si>
  <si>
    <t>PART-00452</t>
  </si>
  <si>
    <t>PART-00453</t>
  </si>
  <si>
    <t>PART-00454</t>
  </si>
  <si>
    <t>PART-00455</t>
  </si>
  <si>
    <t>PART-00456</t>
  </si>
  <si>
    <t>PART-00457</t>
  </si>
  <si>
    <t>PART-00458</t>
  </si>
  <si>
    <t>PART-00459</t>
  </si>
  <si>
    <t>PART-00460</t>
  </si>
  <si>
    <t>PART-00461</t>
  </si>
  <si>
    <t>PART-00462</t>
  </si>
  <si>
    <t>PART-00463</t>
  </si>
  <si>
    <t>PART-00464</t>
  </si>
  <si>
    <t>PART-00465</t>
  </si>
  <si>
    <t>PART-00466</t>
  </si>
  <si>
    <t>PART-00467</t>
  </si>
  <si>
    <t>PART-00468</t>
  </si>
  <si>
    <t>PART-00469</t>
  </si>
  <si>
    <t>PART-00470</t>
  </si>
  <si>
    <t>PART-00471</t>
  </si>
  <si>
    <t>PART-00472</t>
  </si>
  <si>
    <t>PART-00473</t>
  </si>
  <si>
    <t>PART-00474</t>
  </si>
  <si>
    <t>PART-00475</t>
  </si>
  <si>
    <t>PART-00476</t>
  </si>
  <si>
    <t>PART-00477</t>
  </si>
  <si>
    <t>PART-00478</t>
  </si>
  <si>
    <t>PART-00479</t>
  </si>
  <si>
    <t>PART-00480</t>
  </si>
  <si>
    <t>PART-00481</t>
  </si>
  <si>
    <t>PART-00482</t>
  </si>
  <si>
    <t>PART-00483</t>
  </si>
  <si>
    <t>PART-00484</t>
  </si>
  <si>
    <t>PART-00485</t>
  </si>
  <si>
    <t>PART-00486</t>
  </si>
  <si>
    <t>PART-00487</t>
  </si>
  <si>
    <t>PART-00488</t>
  </si>
  <si>
    <t>PART-00489</t>
  </si>
  <si>
    <t>PART-00490</t>
  </si>
  <si>
    <t>PART-00491</t>
  </si>
  <si>
    <t>PART-00492</t>
  </si>
  <si>
    <t>PART-00493</t>
  </si>
  <si>
    <t>PART-00494</t>
  </si>
  <si>
    <t>PART-00495</t>
  </si>
  <si>
    <t>PART-00496</t>
  </si>
  <si>
    <t>PART-00497</t>
  </si>
  <si>
    <t>PART-00498</t>
  </si>
  <si>
    <t>PART-00499</t>
  </si>
  <si>
    <t>PART-00500</t>
  </si>
  <si>
    <t>PART-00501</t>
  </si>
  <si>
    <t>PART-00502</t>
  </si>
  <si>
    <t>PART-00503</t>
  </si>
  <si>
    <t>PART-00504</t>
  </si>
  <si>
    <t>PART-00505</t>
  </si>
  <si>
    <t>PART-00506</t>
  </si>
  <si>
    <t>PART-00507</t>
  </si>
  <si>
    <t>PART-00508</t>
  </si>
  <si>
    <t>PART-00509</t>
  </si>
  <si>
    <t>PART-00510</t>
  </si>
  <si>
    <t>PART-00511</t>
  </si>
  <si>
    <t>PART-00512</t>
  </si>
  <si>
    <t>PART-00513</t>
  </si>
  <si>
    <t>PART-00514</t>
  </si>
  <si>
    <t>PART-00515</t>
  </si>
  <si>
    <t>PART-00516</t>
  </si>
  <si>
    <t>PART-00517</t>
  </si>
  <si>
    <t>PART-00518</t>
  </si>
  <si>
    <t>PART-00519</t>
  </si>
  <si>
    <t>PART-00520</t>
  </si>
  <si>
    <t>PART-00521</t>
  </si>
  <si>
    <t>PART-00522</t>
  </si>
  <si>
    <t>PART-00523</t>
  </si>
  <si>
    <t>PART-00524</t>
  </si>
  <si>
    <t>PART-00525</t>
  </si>
  <si>
    <t>PART-00526</t>
  </si>
  <si>
    <t>PART-00527</t>
  </si>
  <si>
    <t>PART-00528</t>
  </si>
  <si>
    <t>PART-00529</t>
  </si>
  <si>
    <t>PART-00530</t>
  </si>
  <si>
    <t>PART-00531</t>
  </si>
  <si>
    <t>PART-00532</t>
  </si>
  <si>
    <t>PART-00533</t>
  </si>
  <si>
    <t>PART-00534</t>
  </si>
  <si>
    <t>PART-00535</t>
  </si>
  <si>
    <t>PART-00536</t>
  </si>
  <si>
    <t>PART-00537</t>
  </si>
  <si>
    <t>PART-00538</t>
  </si>
  <si>
    <t>PART-00539</t>
  </si>
  <si>
    <t>PART-00540</t>
  </si>
  <si>
    <t>PART-00541</t>
  </si>
  <si>
    <t>PART-00542</t>
  </si>
  <si>
    <t>PART-00543</t>
  </si>
  <si>
    <t>PART-00544</t>
  </si>
  <si>
    <t>PART-00545</t>
  </si>
  <si>
    <t>PART-00546</t>
  </si>
  <si>
    <t>PART-00547</t>
  </si>
  <si>
    <t>PART-00548</t>
  </si>
  <si>
    <t>PART-00549</t>
  </si>
  <si>
    <t>PART-00550</t>
  </si>
  <si>
    <t>PART-00551</t>
  </si>
  <si>
    <t>PART-00552</t>
  </si>
  <si>
    <t>PART-00553</t>
  </si>
  <si>
    <t>PART-00554</t>
  </si>
  <si>
    <t>PART-00555</t>
  </si>
  <si>
    <t>PART-00556</t>
  </si>
  <si>
    <t>PART-00557</t>
  </si>
  <si>
    <t>PART-00558</t>
  </si>
  <si>
    <t>PART-00559</t>
  </si>
  <si>
    <t>PART-00560</t>
  </si>
  <si>
    <t>PART-00561</t>
  </si>
  <si>
    <t>PART-00562</t>
  </si>
  <si>
    <t>PART-00563</t>
  </si>
  <si>
    <t>PART-00564</t>
  </si>
  <si>
    <t>PART-00565</t>
  </si>
  <si>
    <t>PART-00566</t>
  </si>
  <si>
    <t>PART-00567</t>
  </si>
  <si>
    <t>PART-00568</t>
  </si>
  <si>
    <t>PART-00569</t>
  </si>
  <si>
    <t>PART-00570</t>
  </si>
  <si>
    <t>PART-00571</t>
  </si>
  <si>
    <t>PART-00572</t>
  </si>
  <si>
    <t>PART-00573</t>
  </si>
  <si>
    <t>PART-00574</t>
  </si>
  <si>
    <t>PART-00575</t>
  </si>
  <si>
    <t>PART-00576</t>
  </si>
  <si>
    <t>PART-00577</t>
  </si>
  <si>
    <t>PART-00578</t>
  </si>
  <si>
    <t>PART-00579</t>
  </si>
  <si>
    <t>PART-00580</t>
  </si>
  <si>
    <t>PART-00581</t>
  </si>
  <si>
    <t>PART-00582</t>
  </si>
  <si>
    <t>PART-00583</t>
  </si>
  <si>
    <t>PART-00584</t>
  </si>
  <si>
    <t>PART-00585</t>
  </si>
  <si>
    <t>PART-00586</t>
  </si>
  <si>
    <t>PART-00587</t>
  </si>
  <si>
    <t>PART-00588</t>
  </si>
  <si>
    <t>PART-00589</t>
  </si>
  <si>
    <t>PART-00590</t>
  </si>
  <si>
    <t>PART-00591</t>
  </si>
  <si>
    <t>PART-00592</t>
  </si>
  <si>
    <t>PART-00593</t>
  </si>
  <si>
    <t>PART-00594</t>
  </si>
  <si>
    <t>PART-00595</t>
  </si>
  <si>
    <t>PART-00596</t>
  </si>
  <si>
    <t>PART-00597</t>
  </si>
  <si>
    <t>PART-00598</t>
  </si>
  <si>
    <t>PART-00599</t>
  </si>
  <si>
    <t>PART-00600</t>
  </si>
  <si>
    <t>PART-00601</t>
  </si>
  <si>
    <t>PART-00602</t>
  </si>
  <si>
    <t>PART-00603</t>
  </si>
  <si>
    <t>PART-00604</t>
  </si>
  <si>
    <t>PART-00605</t>
  </si>
  <si>
    <t>PART-00606</t>
  </si>
  <si>
    <t>PART-00607</t>
  </si>
  <si>
    <t>PART-00608</t>
  </si>
  <si>
    <t>PART-00609</t>
  </si>
  <si>
    <t>PART-00610</t>
  </si>
  <si>
    <t>PART-00611</t>
  </si>
  <si>
    <t>PART-00612</t>
  </si>
  <si>
    <t>PART-00613</t>
  </si>
  <si>
    <t>PART-00614</t>
  </si>
  <si>
    <t>PART-00615</t>
  </si>
  <si>
    <t>PART-00616</t>
  </si>
  <si>
    <t>PART-00617</t>
  </si>
  <si>
    <t>PART-00618</t>
  </si>
  <si>
    <t>PART-00619</t>
  </si>
  <si>
    <t>PART-00620</t>
  </si>
  <si>
    <t>PART-00621</t>
  </si>
  <si>
    <t>PART-00622</t>
  </si>
  <si>
    <t>PART-00623</t>
  </si>
  <si>
    <t>PART-00624</t>
  </si>
  <si>
    <t>PART-00625</t>
  </si>
  <si>
    <t>PART-00626</t>
  </si>
  <si>
    <t>PART-00627</t>
  </si>
  <si>
    <t>PART-00628</t>
  </si>
  <si>
    <t>PART-00629</t>
  </si>
  <si>
    <t>PART-00630</t>
  </si>
  <si>
    <t>PART-00631</t>
  </si>
  <si>
    <t>PART-00632</t>
  </si>
  <si>
    <t>PART-00633</t>
  </si>
  <si>
    <t>PART-00634</t>
  </si>
  <si>
    <t>PART-00635</t>
  </si>
  <si>
    <t>PART-00636</t>
  </si>
  <si>
    <t>PART-00637</t>
  </si>
  <si>
    <t>PART-00638</t>
  </si>
  <si>
    <t>PART-00639</t>
  </si>
  <si>
    <t>PART-00640</t>
  </si>
  <si>
    <t>PART-00641</t>
  </si>
  <si>
    <t>PART-00642</t>
  </si>
  <si>
    <t>PART-00643</t>
  </si>
  <si>
    <t>PART-00644</t>
  </si>
  <si>
    <t>PART-00645</t>
  </si>
  <si>
    <t>PART-00646</t>
  </si>
  <si>
    <t>PART-00647</t>
  </si>
  <si>
    <t>PART-00648</t>
  </si>
  <si>
    <t>PART-00649</t>
  </si>
  <si>
    <t>PART-00650</t>
  </si>
  <si>
    <t>PART-00651</t>
  </si>
  <si>
    <t>PART-00652</t>
  </si>
  <si>
    <t>PART-00653</t>
  </si>
  <si>
    <t>PART-00654</t>
  </si>
  <si>
    <t>PART-00655</t>
  </si>
  <si>
    <t>PART-00656</t>
  </si>
  <si>
    <t>PART-00657</t>
  </si>
  <si>
    <t>PART-00658</t>
  </si>
  <si>
    <t>PART-00659</t>
  </si>
  <si>
    <t>PART-00660</t>
  </si>
  <si>
    <t>PART-00661</t>
  </si>
  <si>
    <t>PART-00662</t>
  </si>
  <si>
    <t>PART-00663</t>
  </si>
  <si>
    <t>PART-00664</t>
  </si>
  <si>
    <t>PART-00665</t>
  </si>
  <si>
    <t>PART-00666</t>
  </si>
  <si>
    <t>PART-00667</t>
  </si>
  <si>
    <t>PART-00668</t>
  </si>
  <si>
    <t>PART-00669</t>
  </si>
  <si>
    <t>PART-00670</t>
  </si>
  <si>
    <t>PART-00671</t>
  </si>
  <si>
    <t>PART-00672</t>
  </si>
  <si>
    <t>PART-00673</t>
  </si>
  <si>
    <t>PART-00674</t>
  </si>
  <si>
    <t>PART-00675</t>
  </si>
  <si>
    <t>PART-00676</t>
  </si>
  <si>
    <t>PART-00677</t>
  </si>
  <si>
    <t>PART-00678</t>
  </si>
  <si>
    <t>PART-00679</t>
  </si>
  <si>
    <t>PART-00680</t>
  </si>
  <si>
    <t>PART-00681</t>
  </si>
  <si>
    <t>PART-00682</t>
  </si>
  <si>
    <t>PART-00683</t>
  </si>
  <si>
    <t>PART-00684</t>
  </si>
  <si>
    <t>PART-00685</t>
  </si>
  <si>
    <t>PART-00686</t>
  </si>
  <si>
    <t>PART-00687</t>
  </si>
  <si>
    <t>PART-00688</t>
  </si>
  <si>
    <t>PART-00689</t>
  </si>
  <si>
    <t>PART-00690</t>
  </si>
  <si>
    <t>PART-00691</t>
  </si>
  <si>
    <t>PART-00692</t>
  </si>
  <si>
    <t>PART-00693</t>
  </si>
  <si>
    <t>PART-00694</t>
  </si>
  <si>
    <t>PART-00695</t>
  </si>
  <si>
    <t>PART-00696</t>
  </si>
  <si>
    <t>PART-00697</t>
  </si>
  <si>
    <t>PART-00698</t>
  </si>
  <si>
    <t>PART-00699</t>
  </si>
  <si>
    <t>PART-00700</t>
  </si>
  <si>
    <t>PART-00701</t>
  </si>
  <si>
    <t>PART-00702</t>
  </si>
  <si>
    <t>PART-00703</t>
  </si>
  <si>
    <t>PART-00704</t>
  </si>
  <si>
    <t>PART-00705</t>
  </si>
  <si>
    <t>PART-00706</t>
  </si>
  <si>
    <t>PART-00707</t>
  </si>
  <si>
    <t>PART-00708</t>
  </si>
  <si>
    <t>PART-00709</t>
  </si>
  <si>
    <t>PART-00710</t>
  </si>
  <si>
    <t>PART-00711</t>
  </si>
  <si>
    <t>PART-00712</t>
  </si>
  <si>
    <t>PART-00713</t>
  </si>
  <si>
    <t>PART-00714</t>
  </si>
  <si>
    <t>PART-00715</t>
  </si>
  <si>
    <t>PART-00716</t>
  </si>
  <si>
    <t>PART-00717</t>
  </si>
  <si>
    <t>PART-00718</t>
  </si>
  <si>
    <t>PART-00719</t>
  </si>
  <si>
    <t>PART-00720</t>
  </si>
  <si>
    <t>PART-00721</t>
  </si>
  <si>
    <t>PART-00722</t>
  </si>
  <si>
    <t>PART-00723</t>
  </si>
  <si>
    <t>PART-00724</t>
  </si>
  <si>
    <t>PART-00725</t>
  </si>
  <si>
    <t>PART-00726</t>
  </si>
  <si>
    <t>PART-00727</t>
  </si>
  <si>
    <t>PART-00728</t>
  </si>
  <si>
    <t>PART-00729</t>
  </si>
  <si>
    <t>PART-00730</t>
  </si>
  <si>
    <t>PART-00731</t>
  </si>
  <si>
    <t>PART-00732</t>
  </si>
  <si>
    <t>PART-00733</t>
  </si>
  <si>
    <t>PART-00734</t>
  </si>
  <si>
    <t>PART-00735</t>
  </si>
  <si>
    <t>PART-00736</t>
  </si>
  <si>
    <t>PART-00737</t>
  </si>
  <si>
    <t>PART-00738</t>
  </si>
  <si>
    <t>PART-00739</t>
  </si>
  <si>
    <t>PART-00740</t>
  </si>
  <si>
    <t>PART-00741</t>
  </si>
  <si>
    <t>PART-00742</t>
  </si>
  <si>
    <t>PART-00743</t>
  </si>
  <si>
    <t>PART-00744</t>
  </si>
  <si>
    <t>PART-00745</t>
  </si>
  <si>
    <t>PART-00746</t>
  </si>
  <si>
    <t>PART-00747</t>
  </si>
  <si>
    <t>PART-00748</t>
  </si>
  <si>
    <t>PART-00749</t>
  </si>
  <si>
    <t>PART-00750</t>
  </si>
  <si>
    <t>PART-00751</t>
  </si>
  <si>
    <t>PART-00752</t>
  </si>
  <si>
    <t>PART-00753</t>
  </si>
  <si>
    <t>PART-00754</t>
  </si>
  <si>
    <t>PART-00755</t>
  </si>
  <si>
    <t>PART-00756</t>
  </si>
  <si>
    <t>PART-00757</t>
  </si>
  <si>
    <t>PART-00758</t>
  </si>
  <si>
    <t>PART-00759</t>
  </si>
  <si>
    <t>PART-00760</t>
  </si>
  <si>
    <t>PART-00761</t>
  </si>
  <si>
    <t>PART-00762</t>
  </si>
  <si>
    <t>PART-00763</t>
  </si>
  <si>
    <t>PART-00764</t>
  </si>
  <si>
    <t>PART-00765</t>
  </si>
  <si>
    <t>PART-00766</t>
  </si>
  <si>
    <t>PART-00767</t>
  </si>
  <si>
    <t>PART-00768</t>
  </si>
  <si>
    <t>PART-00769</t>
  </si>
  <si>
    <t>PART-00770</t>
  </si>
  <si>
    <t>PART-00771</t>
  </si>
  <si>
    <t>PART-00772</t>
  </si>
  <si>
    <t>PART-00773</t>
  </si>
  <si>
    <t>PART-00774</t>
  </si>
  <si>
    <t>PART-00775</t>
  </si>
  <si>
    <t>PART-00776</t>
  </si>
  <si>
    <t>PART-00777</t>
  </si>
  <si>
    <t>PART-00778</t>
  </si>
  <si>
    <t>PART-00779</t>
  </si>
  <si>
    <t>PART-00780</t>
  </si>
  <si>
    <t>PART-00781</t>
  </si>
  <si>
    <t>PART-00782</t>
  </si>
  <si>
    <t>PART-00783</t>
  </si>
  <si>
    <t>PART-00784</t>
  </si>
  <si>
    <t>PART-00785</t>
  </si>
  <si>
    <t>PART-00786</t>
  </si>
  <si>
    <t>PART-00787</t>
  </si>
  <si>
    <t>PART-00788</t>
  </si>
  <si>
    <t>PART-00789</t>
  </si>
  <si>
    <t>PART-00790</t>
  </si>
  <si>
    <t>PART-00791</t>
  </si>
  <si>
    <t>PART-00792</t>
  </si>
  <si>
    <t>PART-00793</t>
  </si>
  <si>
    <t>PART-00794</t>
  </si>
  <si>
    <t>PART-00795</t>
  </si>
  <si>
    <t>PART-00796</t>
  </si>
  <si>
    <t>PART-00797</t>
  </si>
  <si>
    <t>PART-00798</t>
  </si>
  <si>
    <t>PART-00799</t>
  </si>
  <si>
    <t>PART-00800</t>
  </si>
  <si>
    <t>PART-00801</t>
  </si>
  <si>
    <t>PART-00802</t>
  </si>
  <si>
    <t>PART-00803</t>
  </si>
  <si>
    <t>PART-00804</t>
  </si>
  <si>
    <t>PART-00805</t>
  </si>
  <si>
    <t>PART-00806</t>
  </si>
  <si>
    <t>PART-00807</t>
  </si>
  <si>
    <t>PART-00808</t>
  </si>
  <si>
    <t>PART-00809</t>
  </si>
  <si>
    <t>PART-00810</t>
  </si>
  <si>
    <t>PART-00811</t>
  </si>
  <si>
    <t>PART-00812</t>
  </si>
  <si>
    <t>PART-00813</t>
  </si>
  <si>
    <t>PART-00814</t>
  </si>
  <si>
    <t>PART-00815</t>
  </si>
  <si>
    <t>PART-00816</t>
  </si>
  <si>
    <t>PART-00817</t>
  </si>
  <si>
    <t>PART-00818</t>
  </si>
  <si>
    <t>PART-00819</t>
  </si>
  <si>
    <t>PART-00820</t>
  </si>
  <si>
    <t>PART-00821</t>
  </si>
  <si>
    <t>PART-00822</t>
  </si>
  <si>
    <t>PART-00823</t>
  </si>
  <si>
    <t>PART-00824</t>
  </si>
  <si>
    <t>PART-00825</t>
  </si>
  <si>
    <t>PART-00826</t>
  </si>
  <si>
    <t>PART-00827</t>
  </si>
  <si>
    <t>PART-00828</t>
  </si>
  <si>
    <t>PART-00829</t>
  </si>
  <si>
    <t>PART-00830</t>
  </si>
  <si>
    <t>PART-00831</t>
  </si>
  <si>
    <t>PART-00832</t>
  </si>
  <si>
    <t>PART-00833</t>
  </si>
  <si>
    <t>PART-00834</t>
  </si>
  <si>
    <t>Disruption ID</t>
  </si>
  <si>
    <t>Event type</t>
  </si>
  <si>
    <t>Event date</t>
  </si>
  <si>
    <t>Impact days</t>
  </si>
  <si>
    <t>Cause</t>
  </si>
  <si>
    <t>DIS-00001</t>
  </si>
  <si>
    <t>Part delay</t>
  </si>
  <si>
    <t>Supplier lead time</t>
  </si>
  <si>
    <t>DIS-00002</t>
  </si>
  <si>
    <t>Equipment unavailable</t>
  </si>
  <si>
    <t>Operational event</t>
  </si>
  <si>
    <t>DIS-00003</t>
  </si>
  <si>
    <t>DIS-00004</t>
  </si>
  <si>
    <t>DIS-00005</t>
  </si>
  <si>
    <t>Repeat inspection</t>
  </si>
  <si>
    <t>DIS-00006</t>
  </si>
  <si>
    <t>DIS-00007</t>
  </si>
  <si>
    <t>DIS-00008</t>
  </si>
  <si>
    <t>DIS-00009</t>
  </si>
  <si>
    <t>DIS-00010</t>
  </si>
  <si>
    <t>DIS-00011</t>
  </si>
  <si>
    <t>Technician absence</t>
  </si>
  <si>
    <t>DIS-00012</t>
  </si>
  <si>
    <t>DIS-00013</t>
  </si>
  <si>
    <t>DIS-00014</t>
  </si>
  <si>
    <t>DIS-00015</t>
  </si>
  <si>
    <t>DIS-00016</t>
  </si>
  <si>
    <t>DIS-00017</t>
  </si>
  <si>
    <t>DIS-00018</t>
  </si>
  <si>
    <t>DIS-00019</t>
  </si>
  <si>
    <t>DIS-00020</t>
  </si>
  <si>
    <t>DIS-00021</t>
  </si>
  <si>
    <t>DIS-00022</t>
  </si>
  <si>
    <t>DIS-00023</t>
  </si>
  <si>
    <t>DIS-00024</t>
  </si>
  <si>
    <t>DIS-00025</t>
  </si>
  <si>
    <t>DIS-00026</t>
  </si>
  <si>
    <t>DIS-00027</t>
  </si>
  <si>
    <t>DIS-00028</t>
  </si>
  <si>
    <t>DIS-00029</t>
  </si>
  <si>
    <t>DIS-00030</t>
  </si>
  <si>
    <t>DIS-00031</t>
  </si>
  <si>
    <t>DIS-00032</t>
  </si>
  <si>
    <t>DIS-00033</t>
  </si>
  <si>
    <t>DIS-00034</t>
  </si>
  <si>
    <t>DIS-00035</t>
  </si>
  <si>
    <t>DIS-00036</t>
  </si>
  <si>
    <t>DIS-00037</t>
  </si>
  <si>
    <t>Scope change</t>
  </si>
  <si>
    <t>DIS-00038</t>
  </si>
  <si>
    <t>DIS-00039</t>
  </si>
  <si>
    <t>DIS-00040</t>
  </si>
  <si>
    <t>DIS-00041</t>
  </si>
  <si>
    <t>DIS-00042</t>
  </si>
  <si>
    <t>DIS-00043</t>
  </si>
  <si>
    <t>DIS-00044</t>
  </si>
  <si>
    <t>DIS-00045</t>
  </si>
  <si>
    <t>DIS-00046</t>
  </si>
  <si>
    <t>DIS-00047</t>
  </si>
  <si>
    <t>DIS-00048</t>
  </si>
  <si>
    <t>DIS-00049</t>
  </si>
  <si>
    <t>DIS-00050</t>
  </si>
  <si>
    <t>DIS-00051</t>
  </si>
  <si>
    <t>DIS-00052</t>
  </si>
  <si>
    <t>DIS-00053</t>
  </si>
  <si>
    <t>DIS-00054</t>
  </si>
  <si>
    <t>DIS-00055</t>
  </si>
  <si>
    <t>DIS-00056</t>
  </si>
  <si>
    <t>DIS-00057</t>
  </si>
  <si>
    <t>DIS-00058</t>
  </si>
  <si>
    <t>DIS-00059</t>
  </si>
  <si>
    <t>DIS-00060</t>
  </si>
  <si>
    <t>DIS-00061</t>
  </si>
  <si>
    <t>DIS-00062</t>
  </si>
  <si>
    <t>DIS-00063</t>
  </si>
  <si>
    <t>DIS-00064</t>
  </si>
  <si>
    <t>DIS-00065</t>
  </si>
  <si>
    <t>DIS-00066</t>
  </si>
  <si>
    <t>DIS-00067</t>
  </si>
  <si>
    <t>DIS-00068</t>
  </si>
  <si>
    <t>DIS-00069</t>
  </si>
  <si>
    <t>DIS-00070</t>
  </si>
  <si>
    <t>DIS-00071</t>
  </si>
  <si>
    <t>DIS-00072</t>
  </si>
  <si>
    <t>DIS-00073</t>
  </si>
  <si>
    <t>DIS-00074</t>
  </si>
  <si>
    <t>DIS-00075</t>
  </si>
  <si>
    <t>DIS-00076</t>
  </si>
  <si>
    <t>DIS-00077</t>
  </si>
  <si>
    <t>DIS-00078</t>
  </si>
  <si>
    <t>DIS-00079</t>
  </si>
  <si>
    <t>DIS-00080</t>
  </si>
  <si>
    <t>DIS-00081</t>
  </si>
  <si>
    <t>DIS-00082</t>
  </si>
  <si>
    <t>DIS-00083</t>
  </si>
  <si>
    <t>DIS-00084</t>
  </si>
  <si>
    <t>DIS-00085</t>
  </si>
  <si>
    <t>DIS-00086</t>
  </si>
  <si>
    <t>DIS-00087</t>
  </si>
  <si>
    <t>DIS-00088</t>
  </si>
  <si>
    <t>DIS-00089</t>
  </si>
  <si>
    <t>DIS-00090</t>
  </si>
  <si>
    <t>DIS-00091</t>
  </si>
  <si>
    <t>DIS-00092</t>
  </si>
  <si>
    <t>DIS-00093</t>
  </si>
  <si>
    <t>DIS-00094</t>
  </si>
  <si>
    <t>DIS-00095</t>
  </si>
  <si>
    <t>DIS-00096</t>
  </si>
  <si>
    <t>DIS-00097</t>
  </si>
  <si>
    <t>DIS-00098</t>
  </si>
  <si>
    <t>DIS-00099</t>
  </si>
  <si>
    <t>DIS-00100</t>
  </si>
  <si>
    <t>DIS-00101</t>
  </si>
  <si>
    <t>DIS-00102</t>
  </si>
  <si>
    <t>DIS-00103</t>
  </si>
  <si>
    <t>DIS-00104</t>
  </si>
  <si>
    <t>DIS-00105</t>
  </si>
  <si>
    <t>DIS-00106</t>
  </si>
  <si>
    <t>DIS-00107</t>
  </si>
  <si>
    <t>DIS-00108</t>
  </si>
  <si>
    <t>DIS-00109</t>
  </si>
  <si>
    <t>DIS-00110</t>
  </si>
  <si>
    <t>DIS-00111</t>
  </si>
  <si>
    <t>DIS-00112</t>
  </si>
  <si>
    <t>DIS-00113</t>
  </si>
  <si>
    <t>DIS-00114</t>
  </si>
  <si>
    <t>DIS-00115</t>
  </si>
  <si>
    <t>DIS-00116</t>
  </si>
  <si>
    <t>DIS-00117</t>
  </si>
  <si>
    <t>DIS-00118</t>
  </si>
  <si>
    <t>DIS-00119</t>
  </si>
  <si>
    <t>DIS-00120</t>
  </si>
  <si>
    <t>DIS-00121</t>
  </si>
  <si>
    <t>DIS-00122</t>
  </si>
  <si>
    <t>DIS-00123</t>
  </si>
  <si>
    <t>DIS-00124</t>
  </si>
  <si>
    <t>DIS-00125</t>
  </si>
  <si>
    <t>DIS-00126</t>
  </si>
  <si>
    <t>DIS-00127</t>
  </si>
  <si>
    <t>DIS-00128</t>
  </si>
  <si>
    <t>DIS-00129</t>
  </si>
  <si>
    <t>DIS-00130</t>
  </si>
  <si>
    <t>DIS-00131</t>
  </si>
  <si>
    <t>DIS-00132</t>
  </si>
  <si>
    <t>DIS-00133</t>
  </si>
  <si>
    <t>DIS-00134</t>
  </si>
  <si>
    <t>DIS-00135</t>
  </si>
  <si>
    <t>DIS-00136</t>
  </si>
  <si>
    <t>DIS-00137</t>
  </si>
  <si>
    <t>DIS-00138</t>
  </si>
  <si>
    <t>DIS-00139</t>
  </si>
  <si>
    <t>DIS-00140</t>
  </si>
  <si>
    <t>DIS-00141</t>
  </si>
  <si>
    <t>DIS-00142</t>
  </si>
  <si>
    <t>DIS-00143</t>
  </si>
  <si>
    <t>DIS-00144</t>
  </si>
  <si>
    <t>DIS-00145</t>
  </si>
  <si>
    <t>DIS-00146</t>
  </si>
  <si>
    <t>DIS-00147</t>
  </si>
  <si>
    <t>DIS-00148</t>
  </si>
  <si>
    <t>DIS-00149</t>
  </si>
  <si>
    <t>DIS-00150</t>
  </si>
  <si>
    <t>DIS-00151</t>
  </si>
  <si>
    <t>DIS-00152</t>
  </si>
  <si>
    <t>DIS-00153</t>
  </si>
  <si>
    <t>DIS-00154</t>
  </si>
  <si>
    <t>DIS-00155</t>
  </si>
  <si>
    <t>DIS-00156</t>
  </si>
  <si>
    <t>DIS-00157</t>
  </si>
  <si>
    <t>DIS-00158</t>
  </si>
  <si>
    <t>DIS-00159</t>
  </si>
  <si>
    <t>DIS-00160</t>
  </si>
  <si>
    <t>DIS-00161</t>
  </si>
  <si>
    <t>DIS-00162</t>
  </si>
  <si>
    <t>DIS-00163</t>
  </si>
  <si>
    <t>DIS-00164</t>
  </si>
  <si>
    <t>DIS-00165</t>
  </si>
  <si>
    <t>DIS-00166</t>
  </si>
  <si>
    <t>DIS-00167</t>
  </si>
  <si>
    <t>DIS-00168</t>
  </si>
  <si>
    <t>DIS-00169</t>
  </si>
  <si>
    <t>DIS-00170</t>
  </si>
  <si>
    <t>DIS-00171</t>
  </si>
  <si>
    <t>DIS-00172</t>
  </si>
  <si>
    <t>DIS-00173</t>
  </si>
  <si>
    <t>DIS-00174</t>
  </si>
  <si>
    <t>DIS-00175</t>
  </si>
  <si>
    <t>DIS-00176</t>
  </si>
  <si>
    <t>DIS-00177</t>
  </si>
  <si>
    <t>DIS-00178</t>
  </si>
  <si>
    <t>DIS-00179</t>
  </si>
  <si>
    <t>DIS-00180</t>
  </si>
  <si>
    <t>DIS-00181</t>
  </si>
  <si>
    <t>DIS-00182</t>
  </si>
  <si>
    <t>DIS-00183</t>
  </si>
  <si>
    <t>DIS-00184</t>
  </si>
  <si>
    <t>DIS-00185</t>
  </si>
  <si>
    <t>DIS-00186</t>
  </si>
  <si>
    <t>DIS-00187</t>
  </si>
  <si>
    <t>DIS-00188</t>
  </si>
  <si>
    <t>DIS-00189</t>
  </si>
  <si>
    <t>DIS-00190</t>
  </si>
  <si>
    <t>DIS-00191</t>
  </si>
  <si>
    <t>DIS-00192</t>
  </si>
  <si>
    <t>DIS-00193</t>
  </si>
  <si>
    <t>DIS-00194</t>
  </si>
  <si>
    <t>DIS-00195</t>
  </si>
  <si>
    <t>DIS-00196</t>
  </si>
  <si>
    <t>DIS-00197</t>
  </si>
  <si>
    <t>DIS-00198</t>
  </si>
  <si>
    <t>DIS-00199</t>
  </si>
  <si>
    <t>DIS-00200</t>
  </si>
  <si>
    <t>DIS-00201</t>
  </si>
  <si>
    <t>DIS-00202</t>
  </si>
  <si>
    <t>DIS-00203</t>
  </si>
  <si>
    <t>DIS-00204</t>
  </si>
  <si>
    <t>DIS-00205</t>
  </si>
  <si>
    <t>DIS-00206</t>
  </si>
  <si>
    <t>DIS-00207</t>
  </si>
  <si>
    <t>DIS-00208</t>
  </si>
  <si>
    <t>DIS-00209</t>
  </si>
  <si>
    <t>DIS-00210</t>
  </si>
  <si>
    <t>DIS-00211</t>
  </si>
  <si>
    <t>DIS-00212</t>
  </si>
  <si>
    <t>DIS-00213</t>
  </si>
  <si>
    <t>DIS-00214</t>
  </si>
  <si>
    <t>DIS-00215</t>
  </si>
  <si>
    <t>DIS-00216</t>
  </si>
  <si>
    <t>DIS-00217</t>
  </si>
  <si>
    <t>DIS-00218</t>
  </si>
  <si>
    <t>DIS-00219</t>
  </si>
  <si>
    <t>DIS-00220</t>
  </si>
  <si>
    <t>DIS-00221</t>
  </si>
  <si>
    <t>DIS-00222</t>
  </si>
  <si>
    <t>DIS-00223</t>
  </si>
  <si>
    <t>DIS-00224</t>
  </si>
  <si>
    <t>DIS-00225</t>
  </si>
  <si>
    <t>DIS-00226</t>
  </si>
  <si>
    <t>DIS-00227</t>
  </si>
  <si>
    <t>DIS-00228</t>
  </si>
  <si>
    <t>DIS-00229</t>
  </si>
  <si>
    <t>DIS-00230</t>
  </si>
  <si>
    <t>DIS-00231</t>
  </si>
  <si>
    <t>DIS-00232</t>
  </si>
  <si>
    <t>DIS-00233</t>
  </si>
  <si>
    <t>DIS-00234</t>
  </si>
  <si>
    <t>DIS-00235</t>
  </si>
  <si>
    <t>DIS-00236</t>
  </si>
  <si>
    <t>DIS-00237</t>
  </si>
  <si>
    <t>DIS-00238</t>
  </si>
  <si>
    <t>DIS-00239</t>
  </si>
  <si>
    <t>DIS-00240</t>
  </si>
  <si>
    <t>DIS-00241</t>
  </si>
  <si>
    <t>DIS-00242</t>
  </si>
  <si>
    <t>DIS-00243</t>
  </si>
  <si>
    <t>DIS-00244</t>
  </si>
  <si>
    <t>DIS-00245</t>
  </si>
  <si>
    <t>DIS-00246</t>
  </si>
  <si>
    <t>DIS-00247</t>
  </si>
  <si>
    <t>DIS-00248</t>
  </si>
  <si>
    <t>DIS-00249</t>
  </si>
  <si>
    <t>DIS-00250</t>
  </si>
  <si>
    <t>DIS-00251</t>
  </si>
  <si>
    <t>DIS-00252</t>
  </si>
  <si>
    <t>DIS-00253</t>
  </si>
  <si>
    <t>DIS-00254</t>
  </si>
  <si>
    <t>DIS-00255</t>
  </si>
  <si>
    <t>DIS-00256</t>
  </si>
  <si>
    <t>DIS-00257</t>
  </si>
  <si>
    <t>DIS-00258</t>
  </si>
  <si>
    <t>DIS-00259</t>
  </si>
  <si>
    <t>DIS-00260</t>
  </si>
  <si>
    <t>DIS-00261</t>
  </si>
  <si>
    <t>DIS-00262</t>
  </si>
  <si>
    <t>DIS-00263</t>
  </si>
  <si>
    <t>DIS-00264</t>
  </si>
  <si>
    <t>DIS-00265</t>
  </si>
  <si>
    <t>DIS-00266</t>
  </si>
  <si>
    <t>DIS-00267</t>
  </si>
  <si>
    <t>DIS-00268</t>
  </si>
  <si>
    <t>DIS-00269</t>
  </si>
  <si>
    <t>DIS-00270</t>
  </si>
  <si>
    <t>DIS-00271</t>
  </si>
  <si>
    <t>DIS-00272</t>
  </si>
  <si>
    <t>DIS-00273</t>
  </si>
  <si>
    <t>DIS-00274</t>
  </si>
  <si>
    <t>DIS-00275</t>
  </si>
  <si>
    <t>DIS-00276</t>
  </si>
  <si>
    <t>DIS-00277</t>
  </si>
  <si>
    <t>DIS-00278</t>
  </si>
  <si>
    <t>DIS-00279</t>
  </si>
  <si>
    <t>DIS-00280</t>
  </si>
  <si>
    <t>DIS-00281</t>
  </si>
  <si>
    <t>DIS-00282</t>
  </si>
  <si>
    <t>DIS-00283</t>
  </si>
  <si>
    <t>DIS-00284</t>
  </si>
  <si>
    <t>DIS-00285</t>
  </si>
  <si>
    <t>DIS-00286</t>
  </si>
  <si>
    <t>DIS-00287</t>
  </si>
  <si>
    <t>DIS-00288</t>
  </si>
  <si>
    <t>DIS-00289</t>
  </si>
  <si>
    <t>DIS-00290</t>
  </si>
  <si>
    <t>DIS-00291</t>
  </si>
  <si>
    <t>DIS-00292</t>
  </si>
  <si>
    <t>DIS-00293</t>
  </si>
  <si>
    <t>DIS-00294</t>
  </si>
  <si>
    <t>DIS-00295</t>
  </si>
  <si>
    <t>DIS-00296</t>
  </si>
  <si>
    <t>DIS-00297</t>
  </si>
  <si>
    <t>DIS-00298</t>
  </si>
  <si>
    <t>DIS-00299</t>
  </si>
  <si>
    <t>DIS-00300</t>
  </si>
  <si>
    <t>DIS-00301</t>
  </si>
  <si>
    <t>Baseline hours</t>
  </si>
  <si>
    <t>Spread driver</t>
  </si>
  <si>
    <t>Weekly maintenance workload</t>
  </si>
  <si>
    <t>History</t>
  </si>
  <si>
    <t>105 consecutive weeks</t>
  </si>
  <si>
    <t>First week</t>
  </si>
  <si>
    <t>Last week</t>
  </si>
  <si>
    <t>Jobs requested</t>
  </si>
  <si>
    <t>Actual hours for those jobs</t>
  </si>
  <si>
    <t>Week of (Monday)</t>
  </si>
  <si>
    <t>Estimated hours for requests</t>
  </si>
  <si>
    <t>Actual hours for requests</t>
  </si>
  <si>
    <t>Hours booked that week</t>
  </si>
  <si>
    <t>Urgent jobs requested</t>
  </si>
  <si>
    <t>Planning forecast hours for requests</t>
  </si>
  <si>
    <t>Actual hours for requests group the eventual outcome by request week. Hours booked group technician time by work week.</t>
  </si>
  <si>
    <t>Estimated vs. actual labor hours</t>
  </si>
  <si>
    <t>Work packages</t>
  </si>
  <si>
    <t>Estimated hours</t>
  </si>
  <si>
    <t>Actual hours</t>
  </si>
  <si>
    <t>Total gap (actual less estimate)</t>
  </si>
  <si>
    <t>Average absolute error per job</t>
  </si>
  <si>
    <t>Jobs</t>
  </si>
  <si>
    <t>Gap (actual - estimate)</t>
  </si>
  <si>
    <t>Avg absolute error / job</t>
  </si>
  <si>
    <t>Jobs above estimate</t>
  </si>
  <si>
    <t>Positive gap means the initial estimate was too low. Average absolute error measures typical miss regardless of direction.</t>
  </si>
  <si>
    <t>Weekly capacity and planned backlog</t>
  </si>
  <si>
    <t>Planning input</t>
  </si>
  <si>
    <t>Assigned technicians (FTE)</t>
  </si>
  <si>
    <t>Hours per technician per week</t>
  </si>
  <si>
    <t>Allocated weekly capacity (hours)</t>
  </si>
  <si>
    <t>Assign technician FTE by skill in the yellow cells below. Capacity applies each skill group’s average availability factor to assigned FTE and hours per week.</t>
  </si>
  <si>
    <t>Incoming forecast hours</t>
  </si>
  <si>
    <t>Opening planned backlog</t>
  </si>
  <si>
    <t>Closing planned backlog</t>
  </si>
  <si>
    <t>Booked / capacity</t>
  </si>
  <si>
    <t>Booked less capacity</t>
  </si>
  <si>
    <t>Hours beyond forecast + backlog</t>
  </si>
  <si>
    <t>Closing planned backlog carries unworked forecast hours forward. The 2024 training weeks retain the original estimate; 2025 weeks use the tested task adjustment.</t>
  </si>
  <si>
    <t>Skill</t>
  </si>
  <si>
    <t>Assigned FTE</t>
  </si>
  <si>
    <t>Allocated weekly hours</t>
  </si>
  <si>
    <t>Average weekly hours booked</t>
  </si>
  <si>
    <t>Booked / allocated</t>
  </si>
  <si>
    <t>Labor hour forecast validation</t>
  </si>
  <si>
    <t>New work package example</t>
  </si>
  <si>
    <t>Initial estimate MAE</t>
  </si>
  <si>
    <t>Calibrated MAE</t>
  </si>
  <si>
    <t>Initial estimated hours</t>
  </si>
  <si>
    <t>Learned task adjustment (hours)</t>
  </si>
  <si>
    <t>MAE is the mean absolute difference between estimated and actual hours per work package. Lower is better.</t>
  </si>
  <si>
    <t>Task adjustment learned from earlier work</t>
  </si>
  <si>
    <t>2024 jobs</t>
  </si>
  <si>
    <t>H1 2025 jobs</t>
  </si>
  <si>
    <t>2024 avg actual less estimate</t>
  </si>
  <si>
    <t>Through H1 avg actual less estimate</t>
  </si>
  <si>
    <t>Validation uses 2024 only. Holdout uses 2024 through June 2025. Actual hours from the holdout never train its forecast.</t>
  </si>
  <si>
    <t>Time split cutoffs</t>
  </si>
  <si>
    <t>Validation starts</t>
  </si>
  <si>
    <t>Holdout starts</t>
  </si>
  <si>
    <t>Work packages requested before Validation starts are training data; requests from Validation starts up to Holdout starts are validation; later requests are holdout. Labels in the Time split column update automatically.</t>
  </si>
  <si>
    <t>Open work packages</t>
  </si>
  <si>
    <t>Snapshot date</t>
  </si>
  <si>
    <t>Open packages</t>
  </si>
  <si>
    <t>Forecast hours remaining</t>
  </si>
  <si>
    <t>Overdue packages</t>
  </si>
  <si>
    <t>Due in next 7 days</t>
  </si>
  <si>
    <t>Forecast hours</t>
  </si>
  <si>
    <t>Booked by snapshot</t>
  </si>
  <si>
    <t>Hours remaining</t>
  </si>
  <si>
    <t>Due status</t>
  </si>
  <si>
    <t>Work status</t>
  </si>
  <si>
    <t>Open hours remaining</t>
  </si>
  <si>
    <t>Due within 7 days or overdue</t>
  </si>
  <si>
    <t>Assigned weekly capacity</t>
  </si>
  <si>
    <t>This is a fixed historical snapshot. Rebuild the open-job selection to inspect another date; completion dates are used only to reconstruct which jobs were open.</t>
  </si>
  <si>
    <t>Weekly labor demand forecast</t>
  </si>
  <si>
    <t>Forecast input</t>
  </si>
  <si>
    <t>Method</t>
  </si>
  <si>
    <t>Backtest WMAPE</t>
  </si>
  <si>
    <t>Backtest bias</t>
  </si>
  <si>
    <t>RMSE (hours/week)</t>
  </si>
  <si>
    <t>Winner</t>
  </si>
  <si>
    <t>History weeks</t>
  </si>
  <si>
    <t>Exponential smoothing (ETS)</t>
  </si>
  <si>
    <t>Backtest weeks (held out)</t>
  </si>
  <si>
    <t>Linear trend</t>
  </si>
  <si>
    <t>Training weeks for backtest</t>
  </si>
  <si>
    <t>Moving average</t>
  </si>
  <si>
    <t>ETS seasonality (1 = detect automatically)</t>
  </si>
  <si>
    <t>Same week last year</t>
  </si>
  <si>
    <t>Moving-average window (weeks)</t>
  </si>
  <si>
    <t>Interval z-score (1.28 = 80% band)</t>
  </si>
  <si>
    <t>Selected method (lowest WMAPE)</t>
  </si>
  <si>
    <t>Selected method number</t>
  </si>
  <si>
    <t>Each method is tested on the last backtest weeks using only earlier weeks, then the lowest-WMAPE method produces the forward forecast. Yellow cells are editable.</t>
  </si>
  <si>
    <t>Selected method RMSE</t>
  </si>
  <si>
    <t>Week #</t>
  </si>
  <si>
    <t>Actual labor hours requested</t>
  </si>
  <si>
    <t>ETS forecast</t>
  </si>
  <si>
    <t>Linear forecast</t>
  </si>
  <si>
    <t>Moving-average forecast</t>
  </si>
  <si>
    <t>Same-week-last-year forecast</t>
  </si>
  <si>
    <t>ETS abs error</t>
  </si>
  <si>
    <t>Linear abs error</t>
  </si>
  <si>
    <t>Moving-avg abs error</t>
  </si>
  <si>
    <t>Last-year abs error</t>
  </si>
  <si>
    <t>Selected forecast</t>
  </si>
  <si>
    <t>Lower band</t>
  </si>
  <si>
    <t>Upper band</t>
  </si>
  <si>
    <t>Weekly capacity</t>
  </si>
  <si>
    <t>Forecast less capacity</t>
  </si>
  <si>
    <t>Same week last year needs at least 52 weeks of history and a horizon of 52 weeks or less. The band uses the selected method's backtest RMSE. Shaded rows are the forward forecast.</t>
  </si>
  <si>
    <t>Forward capacity outlook</t>
  </si>
  <si>
    <t>Outlook input</t>
  </si>
  <si>
    <t>First forecast week</t>
  </si>
  <si>
    <t>Forecast weeks</t>
  </si>
  <si>
    <t>Open backlog at snapshot (hours)</t>
  </si>
  <si>
    <t>Total demand (hours)</t>
  </si>
  <si>
    <t>Allocated capacity (hours)</t>
  </si>
  <si>
    <t>Utilization</t>
  </si>
  <si>
    <t>Skill-mix lookback (weeks)</t>
  </si>
  <si>
    <t>Skill-mix lookback start</t>
  </si>
  <si>
    <t>Forecast hours are split by skill using each skill's share of actual hours requested during the lookback. Open backlog, FTE and capacity come from the Open work snapshot and Capacity and backlog tabs.</t>
  </si>
  <si>
    <t>Share of recent demand</t>
  </si>
  <si>
    <t>Open backlog</t>
  </si>
  <si>
    <t>Total demand</t>
  </si>
  <si>
    <t>Demand less capacity</t>
  </si>
  <si>
    <t>FTE change needed</t>
  </si>
  <si>
    <t>Total</t>
  </si>
  <si>
    <t>Status: Short = demand above capacity; Tight = 90-100% utilization; OK = below 90%. FTE change needed = hours gap divided by one FTE's capacity over the forecast window. Change assigned FTE in the yellow cells on Capacity and backlog to test recovery options.</t>
  </si>
  <si>
    <t>Schedule performance and root cause</t>
  </si>
  <si>
    <t>On time means completed on or before the due date. Flow time = queue (request to first labor) + work span (first to last labor) + closeout (last labor to completion).</t>
  </si>
  <si>
    <t>Key findings</t>
  </si>
  <si>
    <t>Jobs completed</t>
  </si>
  <si>
    <t>Late jobs</t>
  </si>
  <si>
    <t>Average days late (late jobs)</t>
  </si>
  <si>
    <t>Median flow days</t>
  </si>
  <si>
    <t>Share of flow time in queue</t>
  </si>
  <si>
    <t>Share of flow time in work span</t>
  </si>
  <si>
    <t>Share of flow time in closeout</t>
  </si>
  <si>
    <t>Days lost to disruptions</t>
  </si>
  <si>
    <t>Late rate: jobs with a delayed part</t>
  </si>
  <si>
    <t>Late rate: all other jobs</t>
  </si>
  <si>
    <t>On-time performance by priority</t>
  </si>
  <si>
    <t>On-time rate</t>
  </si>
  <si>
    <t>Avg days late (late jobs)</t>
  </si>
  <si>
    <t>Avg queue days</t>
  </si>
  <si>
    <t>Avg work span days</t>
  </si>
  <si>
    <t>Avg closeout days</t>
  </si>
  <si>
    <t>Avg flow days</t>
  </si>
  <si>
    <t>On-time performance by task type</t>
  </si>
  <si>
    <t>Root cause: days lost by disruption type (Pareto)</t>
  </si>
  <si>
    <t>Events</t>
  </si>
  <si>
    <t>Days lost</t>
  </si>
  <si>
    <t>Share of days lost</t>
  </si>
  <si>
    <t>Cumulative share</t>
  </si>
  <si>
    <t>Late rate (affected jobs)</t>
  </si>
  <si>
    <t>Avg days late (affected jobs)</t>
  </si>
  <si>
    <t>No disruption (comparison)</t>
  </si>
  <si>
    <t>Rows are sorted by days lost in this dataset. Events count disruption records; jobs with no disruption are shown for comparison.</t>
  </si>
  <si>
    <t>Part delays by category (supplier view)</t>
  </si>
  <si>
    <t>Part records</t>
  </si>
  <si>
    <t>Delay rate</t>
  </si>
  <si>
    <t>Total delay days</t>
  </si>
  <si>
    <t>Avg delay when delayed</t>
  </si>
  <si>
    <t>Monthly on-time trend (by due month)</t>
  </si>
  <si>
    <t>Jobs due</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</si>
  <si>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</si>
  <si>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</si>
  <si>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</si>
  <si>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</si>
  <si>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</si>
  <si>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</si>
  <si>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</si>
  <si>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</si>
  <si>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</si>
  <si>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</si>
  <si>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</si>
  <si>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</si>
  <si>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</si>
  <si>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</si>
  <si>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</si>
  <si>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</si>
  <si>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</si>
  <si>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</si>
  <si>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</si>
  <si>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</si>
  <si>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</si>
  <si>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</si>
  <si>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</si>
  <si>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</si>
  <si>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Recovery scenario planner</t>
  </si>
  <si>
    <t>Set a scenario in the yellow cells. The planner sizes the capacity gap for one skill over the forecast window and compares recovery options. Dollar figures use a hypothetical labor rate.</t>
  </si>
  <si>
    <t>Scenario input</t>
  </si>
  <si>
    <t>Baseline for selected skill</t>
  </si>
  <si>
    <t>Skill under pressure</t>
  </si>
  <si>
    <t>Forecast window (weeks)</t>
  </si>
  <si>
    <t>Demand surge on forecast hours</t>
  </si>
  <si>
    <t>Scenario demand (hours)</t>
  </si>
  <si>
    <t>Additional unplanned hours (e.g., a major finding)</t>
  </si>
  <si>
    <t>Target utilization for lending skills</t>
  </si>
  <si>
    <t>Scenario utilization</t>
  </si>
  <si>
    <t>Cross-training efficiency</t>
  </si>
  <si>
    <t>Capacity gap (hours)</t>
  </si>
  <si>
    <t>Maximum overtime (% of capacity)</t>
  </si>
  <si>
    <t>Useful hours per technician in window</t>
  </si>
  <si>
    <t>Straight-time labor rate ($/hour)</t>
  </si>
  <si>
    <t>Do nothing: extra weeks of backlog</t>
  </si>
  <si>
    <t>Overtime premium (multiplier)</t>
  </si>
  <si>
    <t>Routine share of recent skill demand</t>
  </si>
  <si>
    <t>Training cost per borrowed technician ($)</t>
  </si>
  <si>
    <t>Average routine job size (hours)</t>
  </si>
  <si>
    <t>Share of routine hours that can be deferred</t>
  </si>
  <si>
    <t>Current overtime share of booked hours</t>
  </si>
  <si>
    <t>Capacity other skills can lend</t>
  </si>
  <si>
    <t>Forecast demand</t>
  </si>
  <si>
    <t>Spare at target</t>
  </si>
  <si>
    <t>Lendable hours</t>
  </si>
  <si>
    <t>Lendable hours = spare hours below the target utilization, reduced by cross-training efficiency. The selected skill cannot lend to itself.</t>
  </si>
  <si>
    <t>Recovery options compared (each on its own)</t>
  </si>
  <si>
    <t>Option</t>
  </si>
  <si>
    <t>Hours recovered</t>
  </si>
  <si>
    <t>Remaining gap</t>
  </si>
  <si>
    <t>Estimated cost</t>
  </si>
  <si>
    <t>Cost per hour recovered</t>
  </si>
  <si>
    <t>Resulting utilization</t>
  </si>
  <si>
    <t>Closes gap?</t>
  </si>
  <si>
    <t>Trade-off</t>
  </si>
  <si>
    <t>Do nothing</t>
  </si>
  <si>
    <t>Overtime</t>
  </si>
  <si>
    <t>Borrow cross-trained technicians</t>
  </si>
  <si>
    <t>Defer routine work</t>
  </si>
  <si>
    <t>Recommended plan (layered)</t>
  </si>
  <si>
    <t>Step</t>
  </si>
  <si>
    <t>Starting gap</t>
  </si>
  <si>
    <t>1. Borrow cross-trained technicians</t>
  </si>
  <si>
    <t>2. Overtime (within the cap)</t>
  </si>
  <si>
    <t>3. Defer routine work (last resort)</t>
  </si>
  <si>
    <t>Order: use capacity already paid for first, then overtime, and defer routine work only if a gap remains, because deferral hurts an on-time rate that is already low.</t>
  </si>
  <si>
    <t>Recommendation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</si>
</sst>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yyyy\-mm\-dd"/>
    <numFmt numFmtId="166" formatCode="#,##0.0"/>
    <numFmt numFmtId="167" formatCode="0.0"/>
    <numFmt numFmtId="168" formatCode="\+0.0;\-0.0;0.0"/>
    <numFmt numFmtId="169" formatCode="\$#,##0"/>
    <numFmt numFmtId="170" formatCode="0.0\x"/>
    <numFmt numFmtId="171" formatCode="\$#,##0.00"/>
    <numFmt numFmtId="172" formatCode="0.0%"/>
    <numFmt numFmtId="173" formatCode="0.0"/>
    <numFmt numFmtId="174" formatCode="yyyy-mm-dd"/>
  </numFmts>
  <fonts count="23" x14ac:knownFonts="1">
    <font>
      <sz val="10"/>
      <name val="Arial"/>
      <family val="2"/>
    </font>
    <font>
      <sz val="11"/>
      <name val="Calibri"/>
      <family val="2"/>
    </font>
    <font>
      <b/>
      <sz val="15"/>
      <color rgb="FF17324D"/>
      <name val="Arial"/>
      <family val="2"/>
    </font>
    <font>
      <b/>
      <sz val="10"/>
      <color rgb="FF17324D"/>
      <name val="Arial"/>
      <family val="2"/>
    </font>
    <font>
      <sz val="10"/>
      <name val="Arial"/>
      <family val="2"/>
    </font>
    <font>
      <i/>
      <sz val="9"/>
      <color rgb="FF4B5563"/>
      <name val="Arial"/>
      <family val="2"/>
    </font>
    <font>
      <b/>
      <sz val="10"/>
      <color rgb="FFFFFFFF"/>
      <name val="Arial"/>
      <family val="2"/>
    </font>
    <font>
      <b/>
      <sz val="11"/>
      <color rgb="FF17324D"/>
      <name val="Arial"/>
      <family val="2"/>
    </font>
    <font>
      <i/>
      <sz val="10"/>
      <color rgb="FF4B5563"/>
      <name val="Arial"/>
      <family val="2"/>
    </font>
    <font>
      <sz val="10"/>
      <color rgb="FF1F2937"/>
      <name val="Arial"/>
      <family val="2"/>
    </font>
    <font>
      <b/>
      <sz val="10"/>
      <name val="Arial"/>
      <family val="2"/>
    </font>
    <font>
      <b/>
      <sz val="12"/>
      <color rgb="FF17324D"/>
      <name val="Arial"/>
      <family val="2"/>
    </font>
    <font>
      <i/>
      <sz val="10"/>
      <name val="Arial"/>
      <family val="2"/>
    </font>
    <font>
      <b/>
      <sz val="15"/>
      <color rgb="FF17324D"/>
      <name val="Calibri"/>
      <family val="2"/>
      <scheme val="minor"/>
    </font>
    <font>
      <sz val="10"/>
      <name val="Calibri"/>
      <family val="2"/>
      <scheme val="minor"/>
    </font>
    <font>
      <b/>
      <sz val="10"/>
      <color rgb="FF17324D"/>
      <name val="Calibri"/>
      <family val="2"/>
      <scheme val="minor"/>
    </font>
    <font>
      <i/>
      <sz val="9"/>
      <color rgb="FF4B5563"/>
      <name val="Calibri"/>
      <family val="2"/>
      <scheme val="minor"/>
    </font>
    <font>
      <b/>
      <sz val="10"/>
      <color rgb="FFFFFFFF"/>
      <name val="Calibri"/>
      <family val="2"/>
      <scheme val="minor"/>
    </font>
    <font>
      <b/>
      <sz val="11"/>
      <color rgb="FF17324D"/>
      <name val="Calibri"/>
      <family val="2"/>
      <scheme val="minor"/>
    </font>
    <font>
      <sz val="11"/>
      <name val="Calibri"/>
      <family val="2"/>
      <scheme val="minor"/>
    </font>
    <font>
      <sz val="11"/>
      <name val="Carlito"/>
    </font>
    <font>
      <b/>
      <sz val="11"/>
      <color rgb="FFFFFFFF"/>
      <name val="Arial"/>
    </font>
    <font>
      <sz val="11"/>
      <color rgb="FF17324D"/>
      <name val="Arial"/>
    </font>
  </fonts>
  <fills count="9">
    <fill>
      <patternFill patternType="none"/>
    </fill>
    <fill>
      <patternFill patternType="gray125"/>
    </fill>
    <fill>
      <patternFill patternType="solid">
        <fgColor rgb="FF17324D"/>
        <bgColor rgb="FF1F2937"/>
      </patternFill>
    </fill>
    <fill>
      <patternFill patternType="solid">
        <fgColor rgb="FFFFFFFF"/>
        <bgColor rgb="FFEEF2F7"/>
      </patternFill>
    </fill>
    <fill>
      <patternFill patternType="solid">
        <fgColor rgb="FFFFF1C2"/>
        <bgColor rgb="FFFFFF99"/>
      </patternFill>
    </fill>
    <fill>
      <patternFill patternType="solid">
        <fgColor rgb="FFEEF2F7"/>
        <bgColor rgb="FFFFFFFF"/>
      </patternFill>
    </fill>
    <fill>
      <patternFill patternType="none"/>
    </fill>
    <fill>
      <patternFill patternType="gray125"/>
    </fill>
    <fill>
      <patternFill patternType="solid">
        <fgColor rgb="FF17324D"/>
      </patternFill>
    </fill>
  </fills>
  <borders count="4">
    <border>
      <left/>
      <right/>
      <top/>
      <bottom/>
      <diagonal/>
    </border>
    <border>
      <left style="thin">
        <color rgb="FFD1D5DB"/>
      </left>
      <right style="thin">
        <color rgb="FFD1D5DB"/>
      </right>
      <top style="thin">
        <color rgb="FFD1D5DB"/>
      </top>
      <bottom style="thin">
        <color rgb="FFD1D5DB"/>
      </bottom>
      <diagonal/>
    </border>
    <border>
      <left/>
      <right/>
      <top style="thin">
        <color auto="1"/>
      </top>
      <bottom/>
      <diagonal/>
    </border>
    <border/>
  </borders>
  <cellStyleXfs count="3">
    <xf numFmtId="0" fontId="0" fillId="0" borderId="0"/>
    <xf numFmtId="0" fontId="1" fillId="0" borderId="0"/>
    <xf numFmtId="0" fontId="20" fillId="6" borderId="3"/>
  </cellStyleXfs>
  <cellXfs count="77">
    <xf numFmtId="0" fontId="0" fillId="0" borderId="0" xfId="0"/>
    <xf numFmtId="0" fontId="2" fillId="0" borderId="0" xfId="1" applyFont="1"/>
    <xf numFmtId="0" fontId="3" fillId="0" borderId="0" xfId="1" applyFont="1"/>
    <xf numFmtId="0" fontId="4" fillId="0" borderId="0" xfId="1" applyFont="1"/>
    <xf numFmtId="0" fontId="5" fillId="0" borderId="0" xfId="1" applyFont="1"/>
    <xf numFmtId="0" fontId="6" fillId="2" borderId="0" xfId="1" applyFont="1" applyFill="1" applyAlignment="1">
      <alignment vertical="center" wrapText="1"/>
    </xf>
    <xf numFmtId="164" fontId="4" fillId="0" borderId="0" xfId="1" applyNumberFormat="1" applyFont="1"/>
    <xf numFmtId="0" fontId="6" fillId="2" borderId="0" xfId="1" applyFont="1" applyFill="1"/>
    <xf numFmtId="165" fontId="1" fillId="0" borderId="0" xfId="1" applyNumberFormat="1"/>
    <xf numFmtId="166" fontId="4" fillId="0" borderId="0" xfId="1" applyNumberFormat="1" applyFont="1"/>
    <xf numFmtId="166" fontId="1" fillId="0" borderId="0" xfId="1" applyNumberFormat="1"/>
    <xf numFmtId="0" fontId="8" fillId="0" borderId="0" xfId="1" applyFont="1"/>
    <xf numFmtId="2" fontId="4" fillId="0" borderId="0" xfId="1" applyNumberFormat="1" applyFont="1"/>
    <xf numFmtId="167" fontId="9" fillId="3" borderId="0" xfId="1" applyNumberFormat="1" applyFont="1" applyFill="1"/>
    <xf numFmtId="0" fontId="9" fillId="4" borderId="0" xfId="1" applyFont="1" applyFill="1"/>
    <xf numFmtId="164" fontId="1" fillId="0" borderId="0" xfId="1" applyNumberFormat="1"/>
    <xf numFmtId="2" fontId="1" fillId="0" borderId="0" xfId="1" applyNumberFormat="1"/>
    <xf numFmtId="2" fontId="9" fillId="4" borderId="0" xfId="1" applyNumberFormat="1" applyFont="1" applyFill="1"/>
    <xf numFmtId="0" fontId="7" fillId="0" borderId="0" xfId="1" applyFont="1"/>
    <xf numFmtId="165" fontId="9" fillId="4" borderId="0" xfId="1" applyNumberFormat="1" applyFont="1" applyFill="1"/>
    <xf numFmtId="1" fontId="4" fillId="0" borderId="0" xfId="1" applyNumberFormat="1" applyFont="1"/>
    <xf numFmtId="1" fontId="9" fillId="4" borderId="0" xfId="1" applyNumberFormat="1" applyFont="1" applyFill="1"/>
    <xf numFmtId="0" fontId="10" fillId="0" borderId="0" xfId="1" applyFont="1"/>
    <xf numFmtId="165" fontId="4" fillId="0" borderId="0" xfId="1" applyNumberFormat="1" applyFont="1"/>
    <xf numFmtId="1" fontId="4" fillId="5" borderId="0" xfId="1" applyNumberFormat="1" applyFont="1" applyFill="1"/>
    <xf numFmtId="165" fontId="4" fillId="5" borderId="0" xfId="1" applyNumberFormat="1" applyFont="1" applyFill="1"/>
    <xf numFmtId="166" fontId="4" fillId="5" borderId="0" xfId="1" applyNumberFormat="1" applyFont="1" applyFill="1"/>
    <xf numFmtId="0" fontId="4" fillId="5" borderId="0" xfId="1" applyFont="1" applyFill="1"/>
    <xf numFmtId="167" fontId="4" fillId="0" borderId="0" xfId="1" applyNumberFormat="1" applyFont="1"/>
    <xf numFmtId="168" fontId="4" fillId="0" borderId="0" xfId="1" applyNumberFormat="1" applyFont="1"/>
    <xf numFmtId="0" fontId="10" fillId="0" borderId="2" xfId="1" applyFont="1" applyBorder="1"/>
    <xf numFmtId="164" fontId="10" fillId="0" borderId="2" xfId="1" applyNumberFormat="1" applyFont="1" applyBorder="1"/>
    <xf numFmtId="166" fontId="10" fillId="0" borderId="2" xfId="1" applyNumberFormat="1" applyFont="1" applyBorder="1"/>
    <xf numFmtId="167" fontId="10" fillId="0" borderId="2" xfId="1" applyNumberFormat="1" applyFont="1" applyBorder="1"/>
    <xf numFmtId="168" fontId="10" fillId="0" borderId="2" xfId="1" applyNumberFormat="1" applyFont="1" applyBorder="1"/>
    <xf numFmtId="0" fontId="1" fillId="2" borderId="0" xfId="1" applyFill="1"/>
    <xf numFmtId="3" fontId="4" fillId="0" borderId="0" xfId="1" applyNumberFormat="1" applyFont="1"/>
    <xf numFmtId="0" fontId="9" fillId="5" borderId="0" xfId="1" applyFont="1" applyFill="1"/>
    <xf numFmtId="0" fontId="1" fillId="5" borderId="0" xfId="1" applyFill="1"/>
    <xf numFmtId="0" fontId="11" fillId="0" borderId="0" xfId="1" applyFont="1"/>
    <xf numFmtId="0" fontId="12" fillId="0" borderId="0" xfId="1" applyFont="1"/>
    <xf numFmtId="9" fontId="9" fillId="4" borderId="0" xfId="1" applyNumberFormat="1" applyFont="1" applyFill="1"/>
    <xf numFmtId="3" fontId="9" fillId="4" borderId="0" xfId="1" applyNumberFormat="1" applyFont="1" applyFill="1"/>
    <xf numFmtId="169" fontId="9" fillId="4" borderId="0" xfId="1" applyNumberFormat="1" applyFont="1" applyFill="1"/>
    <xf numFmtId="170" fontId="9" fillId="4" borderId="0" xfId="1" applyNumberFormat="1" applyFont="1" applyFill="1"/>
    <xf numFmtId="166" fontId="10" fillId="0" borderId="0" xfId="1" applyNumberFormat="1" applyFont="1"/>
    <xf numFmtId="169" fontId="4" fillId="0" borderId="0" xfId="1" applyNumberFormat="1" applyFont="1"/>
    <xf numFmtId="171" fontId="4" fillId="0" borderId="0" xfId="1" applyNumberFormat="1" applyFont="1"/>
    <xf numFmtId="169" fontId="10" fillId="0" borderId="0" xfId="1" applyNumberFormat="1" applyFont="1"/>
    <xf numFmtId="0" fontId="7" fillId="5" borderId="0" xfId="1" applyFont="1" applyFill="1"/>
    <xf numFmtId="0" fontId="13" fillId="0" borderId="0" xfId="1" applyFont="1"/>
    <xf numFmtId="0" fontId="14" fillId="0" borderId="0" xfId="0" applyFont="1"/>
    <xf numFmtId="0" fontId="15" fillId="0" borderId="0" xfId="1" applyFont="1"/>
    <xf numFmtId="0" fontId="14" fillId="0" borderId="0" xfId="1" applyFont="1"/>
    <xf numFmtId="0" fontId="16" fillId="0" borderId="0" xfId="1" applyFont="1"/>
    <xf numFmtId="0" fontId="17" fillId="2" borderId="0" xfId="1" applyFont="1" applyFill="1" applyAlignment="1">
      <alignment vertical="center" wrapText="1"/>
    </xf>
    <xf numFmtId="0" fontId="15" fillId="0" borderId="1" xfId="1" applyFont="1" applyBorder="1"/>
    <xf numFmtId="0" fontId="18" fillId="0" borderId="1" xfId="1" applyFont="1" applyBorder="1"/>
    <xf numFmtId="164" fontId="18" fillId="0" borderId="1" xfId="1" applyNumberFormat="1" applyFont="1" applyBorder="1"/>
    <xf numFmtId="165" fontId="18" fillId="0" borderId="1" xfId="1" applyNumberFormat="1" applyFont="1" applyBorder="1"/>
    <xf numFmtId="166" fontId="18" fillId="0" borderId="1" xfId="1" applyNumberFormat="1" applyFont="1" applyBorder="1"/>
    <xf numFmtId="1" fontId="18" fillId="0" borderId="1" xfId="1" applyNumberFormat="1" applyFont="1" applyBorder="1"/>
    <xf numFmtId="164" fontId="14" fillId="0" borderId="0" xfId="1" applyNumberFormat="1" applyFont="1"/>
    <xf numFmtId="0" fontId="17" fillId="2" borderId="0" xfId="1" applyFont="1" applyFill="1"/>
    <xf numFmtId="165" fontId="19" fillId="0" borderId="0" xfId="1" applyNumberFormat="1" applyFont="1"/>
    <xf numFmtId="1" fontId="19" fillId="0" borderId="0" xfId="1" applyNumberFormat="1" applyFont="1"/>
    <xf numFmtId="0" fontId="20" fillId="6" borderId="3" xfId="2"/>
    <xf numFmtId="0" fontId="20" fillId="8" borderId="3" xfId="2" applyNumberFormat="1" applyFont="1" applyFill="1" applyBorder="1"/>
    <xf numFmtId="0" fontId="21" fillId="8" borderId="3" xfId="2" applyNumberFormat="1" applyFont="1" applyFill="1" applyBorder="1"/>
    <xf numFmtId="0" fontId="21" fillId="8" borderId="3" xfId="2" applyNumberFormat="1" applyFont="1" applyFill="1" applyBorder="1" applyAlignment="1">
      <alignment wrapText="1"/>
    </xf>
    <xf numFmtId="0" fontId="22" fillId="6" borderId="3" xfId="2" applyNumberFormat="1" applyFont="1" applyFill="1" applyBorder="1"/>
    <xf numFmtId="0" fontId="22" fillId="6" borderId="3" xfId="2" applyNumberFormat="1" applyFont="1" applyFill="1" applyBorder="1" applyAlignment="1">
      <alignment wrapText="1"/>
    </xf>
    <xf numFmtId="172" fontId="22" fillId="6" borderId="3" xfId="2" applyNumberFormat="1" applyFont="1" applyFill="1" applyBorder="1"/>
    <xf numFmtId="173" fontId="22" fillId="6" borderId="3" xfId="2" applyNumberFormat="1" applyFont="1" applyFill="1" applyBorder="1"/>
    <xf numFmtId="174" fontId="20" fillId="6" borderId="3" xfId="2" applyNumberFormat="1" applyFont="1" applyFill="1" applyBorder="1"/>
    <xf numFmtId="0" fontId="15" fillId="0" borderId="0" xfId="1" applyFont="1" applyAlignment="1">
      <alignment vertical="top"/>
    </xf>
    <xf numFmtId="0" fontId="14" fillId="0" borderId="0" xfId="1" applyFont="1" applyAlignment="1">
      <alignment vertical="top" wrapText="1"/>
    </xf>
  </cellXfs>
  <cellStyles count="2">
    <cellStyle name="Normal" xfId="0" builtinId="0"/>
    <cellStyle name="Normal 2" xfId="1" xr:uid="{00000000-0005-0000-0000-000006000000}"/>
  </cellStyles>
  <dxfs count="68">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B8B8B"/>
      <rgbColor rgb="FF9999FF"/>
      <rgbColor rgb="FF993366"/>
      <rgbColor rgb="FFFFF1C2"/>
      <rgbColor rgb="FFEEF2F7"/>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D97706"/>
      <rgbColor rgb="FF4B5563"/>
      <rgbColor rgb="FF9CA3AF"/>
      <rgbColor rgb="FF17324D"/>
      <rgbColor rgb="FF339966"/>
      <rgbColor rgb="FF003300"/>
      <rgbColor rgb="FF333300"/>
      <rgbColor rgb="FF993300"/>
      <rgbColor rgb="FF993366"/>
      <rgbColor rgb="FF333399"/>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lang="en-US" sz="1800" b="1" strike="noStrike" spc="-1">
                <a:solidFill>
                  <a:srgbClr val="000000"/>
                </a:solidFill>
                <a:latin typeface="Calibri"/>
                <a:ea typeface="Calibri"/>
              </a:rPr>
              <a:t>Weekly labor hours: actual, backtest and forecast</a:t>
            </a:r>
          </a:p>
        </c:rich>
      </c:tx>
      <c:overlay val="0"/>
      <c:spPr>
        <a:noFill/>
        <a:ln w="0">
          <a:noFill/>
        </a:ln>
      </c:spPr>
    </c:title>
    <c:autoTitleDeleted val="0"/>
    <c:plotArea>
      <c:layout/>
      <c:lineChart>
        <c:grouping val="standard"/>
        <c:varyColors val="0"/>
        <c:ser>
          <c:idx val="0"/>
          <c:order val="0"/>
          <c:tx>
            <c:v>Actual</c:v>
          </c:tx>
          <c:spPr>
            <a:ln w="21960">
              <a:solidFill>
                <a:srgbClr val="17324D"/>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'Weekly forecast'!$B$67:$B$132</c:f>
              <c:numCache>
                <c:formatCode>yyyy\-mm\-dd</c:formatCode>
                <c:ptCount val="66"/>
              </c:numCache>
            </c:numRef>
          </c:cat>
          <c:val>
            <c:numRef>
              <c:f>'Weekly forecast'!$C$67:$C$132</c:f>
              <c:numCache>
                <c:formatCode>#,##0.0</c:formatCode>
                <c:ptCount val="66"/>
                <c:pt idx="0">
                  <c:v>235.50000000000003</c:v>
                </c:pt>
                <c:pt idx="1">
                  <c:v>282.00000000000006</c:v>
                </c:pt>
                <c:pt idx="2">
                  <c:v>287.29999999999995</c:v>
                </c:pt>
                <c:pt idx="3">
                  <c:v>326.29999999999995</c:v>
                </c:pt>
                <c:pt idx="4">
                  <c:v>286.5</c:v>
                </c:pt>
                <c:pt idx="5">
                  <c:v>217.70000000000002</c:v>
                </c:pt>
                <c:pt idx="6">
                  <c:v>264.19999999999993</c:v>
                </c:pt>
                <c:pt idx="7">
                  <c:v>318.4</c:v>
                </c:pt>
                <c:pt idx="8">
                  <c:v>361.5</c:v>
                </c:pt>
                <c:pt idx="9">
                  <c:v>425.50000000000006</c:v>
                </c:pt>
                <c:pt idx="10">
                  <c:v>533.3999999999999</c:v>
                </c:pt>
                <c:pt idx="11">
                  <c:v>244.8</c:v>
                </c:pt>
                <c:pt idx="12">
                  <c:v>388.79999999999995</c:v>
                </c:pt>
                <c:pt idx="13">
                  <c:v>398.2000000000001</c:v>
                </c:pt>
                <c:pt idx="14">
                  <c:v>249.99999999999997</c:v>
                </c:pt>
                <c:pt idx="15">
                  <c:v>174.5</c:v>
                </c:pt>
                <c:pt idx="16">
                  <c:v>362.3</c:v>
                </c:pt>
                <c:pt idx="17">
                  <c:v>382.59999999999997</c:v>
                </c:pt>
                <c:pt idx="18">
                  <c:v>311.80000000000007</c:v>
                </c:pt>
                <c:pt idx="19">
                  <c:v>404.50000000000006</c:v>
                </c:pt>
                <c:pt idx="20">
                  <c:v>402.90000000000003</c:v>
                </c:pt>
                <c:pt idx="21">
                  <c:v>179.5</c:v>
                </c:pt>
                <c:pt idx="22">
                  <c:v>362.4</c:v>
                </c:pt>
                <c:pt idx="23">
                  <c:v>329.7999999999999</c:v>
                </c:pt>
                <c:pt idx="24">
                  <c:v>210.00000000000003</c:v>
                </c:pt>
                <c:pt idx="25">
                  <c:v>381.29999999999995</c:v>
                </c:pt>
                <c:pt idx="26">
                  <c:v>178.4</c:v>
                </c:pt>
                <c:pt idx="27">
                  <c:v>185.60000000000002</c:v>
                </c:pt>
                <c:pt idx="28">
                  <c:v>301.40000000000003</c:v>
                </c:pt>
                <c:pt idx="29">
                  <c:v>280.9000000000001</c:v>
                </c:pt>
                <c:pt idx="30">
                  <c:v>162.2</c:v>
                </c:pt>
                <c:pt idx="31">
                  <c:v>342.70000000000005</c:v>
                </c:pt>
                <c:pt idx="32">
                  <c:v>267.20000000000005</c:v>
                </c:pt>
                <c:pt idx="33">
                  <c:v>298.90000000000003</c:v>
                </c:pt>
                <c:pt idx="34">
                  <c:v>194.39999999999995</c:v>
                </c:pt>
                <c:pt idx="35">
                  <c:v>256.9</c:v>
                </c:pt>
                <c:pt idx="36">
                  <c:v>281.3</c:v>
                </c:pt>
                <c:pt idx="37">
                  <c:v>218.30000000000004</c:v>
                </c:pt>
                <c:pt idx="38">
                  <c:v>243.00000000000003</c:v>
                </c:pt>
                <c:pt idx="39">
                  <c:v>150.8</c:v>
                </c:pt>
                <c:pt idx="40">
                  <c:v>229.10000000000005</c:v>
                </c:pt>
                <c:pt idx="41">
                  <c:v>307.70000000000005</c:v>
                </c:pt>
                <c:pt idx="42">
                  <c:v>238.79999999999995</c:v>
                </c:pt>
                <c:pt idx="43">
                  <c:v>258.40000000000003</c:v>
                </c:pt>
                <c:pt idx="44">
                  <c:v>197.39999999999998</c:v>
                </c:pt>
                <c:pt idx="45">
                  <c:v>286.6</c:v>
                </c:pt>
                <c:pt idx="46">
                  <c:v>199.70000000000002</c:v>
                </c:pt>
                <c:pt idx="47">
                  <c:v>207.2</c:v>
                </c:pt>
                <c:pt idx="48">
                  <c:v>207.70000000000005</c:v>
                </c:pt>
                <c:pt idx="49">
                  <c:v>188.89999999999998</c:v>
                </c:pt>
                <c:pt idx="50">
                  <c:v>226.90000000000006</c:v>
                </c:pt>
                <c:pt idx="51">
                  <c:v>331.6</c:v>
                </c:pt>
                <c:pt idx="52">
                  <c:v>174</c:v>
                </c:pt>
              </c:numCache>
            </c:numRef>
          </c:val>
          <c:smooth val="0"/>
          <c:extLst>
            <c:ext xmlns:c16="http://schemas.microsoft.com/office/drawing/2014/chart" uri="{C3380CC4-5D6E-409C-BE32-E72D297353CC}">
              <c16:uniqueId val="{00000000-F2E2-47A3-B021-01617486CC85}"/>
            </c:ext>
          </c:extLst>
        </c:ser>
        <c:ser>
          <c:idx val="1"/>
          <c:order val="1"/>
          <c:tx>
            <c:v>Selected forecast</c:v>
          </c:tx>
          <c:spPr>
            <a:ln w="21960">
              <a:solidFill>
                <a:srgbClr val="D97706"/>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'Weekly forecast'!$B$67:$B$132</c:f>
              <c:numCache>
                <c:formatCode>yyyy\-mm\-dd</c:formatCode>
                <c:ptCount val="66"/>
              </c:numCache>
            </c:numRef>
          </c:cat>
          <c:val>
            <c:numRef>
              <c:f>'Weekly forecast'!$M$67:$M$132</c:f>
              <c:numCache>
                <c:formatCode>#,##0.0</c:formatCode>
                <c:ptCount val="66"/>
                <c:pt idx="26">
                  <c:v>181.29999999999995</c:v>
                </c:pt>
                <c:pt idx="27">
                  <c:v>274.00000000000006</c:v>
                </c:pt>
                <c:pt idx="28">
                  <c:v>333.3</c:v>
                </c:pt>
                <c:pt idx="29">
                  <c:v>392.19999999999993</c:v>
                </c:pt>
                <c:pt idx="30">
                  <c:v>194.60000000000002</c:v>
                </c:pt>
                <c:pt idx="31">
                  <c:v>197.69999999999996</c:v>
                </c:pt>
                <c:pt idx="32">
                  <c:v>218.7</c:v>
                </c:pt>
                <c:pt idx="33">
                  <c:v>216.99999999999997</c:v>
                </c:pt>
                <c:pt idx="34">
                  <c:v>261.79999999999995</c:v>
                </c:pt>
                <c:pt idx="35">
                  <c:v>251.50000000000009</c:v>
                </c:pt>
                <c:pt idx="36">
                  <c:v>206.49999999999997</c:v>
                </c:pt>
                <c:pt idx="37">
                  <c:v>174.50000000000003</c:v>
                </c:pt>
                <c:pt idx="38">
                  <c:v>144.50000000000003</c:v>
                </c:pt>
                <c:pt idx="39">
                  <c:v>191.79999999999998</c:v>
                </c:pt>
                <c:pt idx="40">
                  <c:v>183.00000000000003</c:v>
                </c:pt>
                <c:pt idx="41">
                  <c:v>269.1</c:v>
                </c:pt>
                <c:pt idx="42">
                  <c:v>319.19999999999993</c:v>
                </c:pt>
                <c:pt idx="43">
                  <c:v>187.00000000000003</c:v>
                </c:pt>
                <c:pt idx="44">
                  <c:v>109.80000000000001</c:v>
                </c:pt>
                <c:pt idx="45">
                  <c:v>180.90000000000003</c:v>
                </c:pt>
                <c:pt idx="46">
                  <c:v>228.70000000000002</c:v>
                </c:pt>
                <c:pt idx="47">
                  <c:v>222.69999999999996</c:v>
                </c:pt>
                <c:pt idx="48">
                  <c:v>286.4</c:v>
                </c:pt>
                <c:pt idx="49">
                  <c:v>250.3</c:v>
                </c:pt>
                <c:pt idx="50">
                  <c:v>177.39999999999998</c:v>
                </c:pt>
                <c:pt idx="51">
                  <c:v>228.39999999999998</c:v>
                </c:pt>
                <c:pt idx="53">
                  <c:v>282.00000000000006</c:v>
                </c:pt>
                <c:pt idx="54">
                  <c:v>287.29999999999995</c:v>
                </c:pt>
                <c:pt idx="55">
                  <c:v>326.29999999999995</c:v>
                </c:pt>
                <c:pt idx="56">
                  <c:v>286.5</c:v>
                </c:pt>
                <c:pt idx="57">
                  <c:v>217.70000000000002</c:v>
                </c:pt>
                <c:pt idx="58">
                  <c:v>264.19999999999993</c:v>
                </c:pt>
                <c:pt idx="59">
                  <c:v>318.4</c:v>
                </c:pt>
                <c:pt idx="60">
                  <c:v>361.5</c:v>
                </c:pt>
                <c:pt idx="61">
                  <c:v>425.50000000000006</c:v>
                </c:pt>
                <c:pt idx="62">
                  <c:v>533.3999999999999</c:v>
                </c:pt>
                <c:pt idx="63">
                  <c:v>244.8</c:v>
                </c:pt>
                <c:pt idx="64">
                  <c:v>388.79999999999995</c:v>
                </c:pt>
                <c:pt idx="65">
                  <c:v>398.2000000000001</c:v>
                </c:pt>
              </c:numCache>
            </c:numRef>
          </c:val>
          <c:smooth val="0"/>
          <c:extLst>
            <c:ext xmlns:c16="http://schemas.microsoft.com/office/drawing/2014/chart" uri="{C3380CC4-5D6E-409C-BE32-E72D297353CC}">
              <c16:uniqueId val="{00000001-F2E2-47A3-B021-01617486CC85}"/>
            </c:ext>
          </c:extLst>
        </c:ser>
        <c:ser>
          <c:idx val="2"/>
          <c:order val="2"/>
          <c:tx>
            <c:v>Lower band</c:v>
          </c:tx>
          <c:spPr>
            <a:ln w="11880">
              <a:solidFill>
                <a:srgbClr val="9CA3AF"/>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'Weekly forecast'!$B$67:$B$132</c:f>
              <c:numCache>
                <c:formatCode>yyyy\-mm\-dd</c:formatCode>
                <c:ptCount val="66"/>
              </c:numCache>
            </c:numRef>
          </c:cat>
          <c:val>
            <c:numRef>
              <c:f>'Weekly forecast'!$N$67:$N$132</c:f>
              <c:numCache>
                <c:formatCode>#,##0.0</c:formatCode>
                <c:ptCount val="66"/>
                <c:pt idx="26">
                  <c:v>94.3413786106815</c:v>
                </c:pt>
                <c:pt idx="27">
                  <c:v>187.0413786106816</c:v>
                </c:pt>
                <c:pt idx="28">
                  <c:v>246.34137861068155</c:v>
                </c:pt>
                <c:pt idx="29">
                  <c:v>305.24137861068147</c:v>
                </c:pt>
                <c:pt idx="30">
                  <c:v>107.64137861068157</c:v>
                </c:pt>
                <c:pt idx="31">
                  <c:v>110.74137861068151</c:v>
                </c:pt>
                <c:pt idx="32">
                  <c:v>131.74137861068152</c:v>
                </c:pt>
                <c:pt idx="33">
                  <c:v>130.04137861068153</c:v>
                </c:pt>
                <c:pt idx="34">
                  <c:v>174.8413786106815</c:v>
                </c:pt>
                <c:pt idx="35">
                  <c:v>164.54137861068165</c:v>
                </c:pt>
                <c:pt idx="36">
                  <c:v>119.54137861068152</c:v>
                </c:pt>
                <c:pt idx="37">
                  <c:v>87.54137861068158</c:v>
                </c:pt>
                <c:pt idx="38">
                  <c:v>57.541378610681576</c:v>
                </c:pt>
                <c:pt idx="39">
                  <c:v>104.84137861068153</c:v>
                </c:pt>
                <c:pt idx="40">
                  <c:v>96.04137861068158</c:v>
                </c:pt>
                <c:pt idx="41">
                  <c:v>182.14137861068156</c:v>
                </c:pt>
                <c:pt idx="42">
                  <c:v>232.24137861068147</c:v>
                </c:pt>
                <c:pt idx="43">
                  <c:v>100.04137861068158</c:v>
                </c:pt>
                <c:pt idx="44">
                  <c:v>22.84137861068156</c:v>
                </c:pt>
                <c:pt idx="45">
                  <c:v>93.94137861068158</c:v>
                </c:pt>
                <c:pt idx="46">
                  <c:v>141.74137861068158</c:v>
                </c:pt>
                <c:pt idx="47">
                  <c:v>135.74137861068152</c:v>
                </c:pt>
                <c:pt idx="48">
                  <c:v>199.4413786106815</c:v>
                </c:pt>
                <c:pt idx="49">
                  <c:v>163.34137861068155</c:v>
                </c:pt>
                <c:pt idx="50">
                  <c:v>90.44137861068153</c:v>
                </c:pt>
                <c:pt idx="51">
                  <c:v>141.4413786106815</c:v>
                </c:pt>
                <c:pt idx="53">
                  <c:v>195.0413786106816</c:v>
                </c:pt>
                <c:pt idx="54">
                  <c:v>200.3413786106815</c:v>
                </c:pt>
                <c:pt idx="55">
                  <c:v>239.3413786106815</c:v>
                </c:pt>
                <c:pt idx="56">
                  <c:v>199.54137861068153</c:v>
                </c:pt>
                <c:pt idx="57">
                  <c:v>130.74137861068158</c:v>
                </c:pt>
                <c:pt idx="58">
                  <c:v>177.24137861068147</c:v>
                </c:pt>
                <c:pt idx="59">
                  <c:v>231.4413786106815</c:v>
                </c:pt>
                <c:pt idx="60">
                  <c:v>274.54137861068153</c:v>
                </c:pt>
                <c:pt idx="61">
                  <c:v>338.5413786106816</c:v>
                </c:pt>
                <c:pt idx="62">
                  <c:v>446.4413786106814</c:v>
                </c:pt>
                <c:pt idx="63">
                  <c:v>157.84137861068155</c:v>
                </c:pt>
                <c:pt idx="64">
                  <c:v>301.8413786106815</c:v>
                </c:pt>
                <c:pt idx="65">
                  <c:v>311.24137861068164</c:v>
                </c:pt>
              </c:numCache>
            </c:numRef>
          </c:val>
          <c:smooth val="0"/>
          <c:extLst>
            <c:ext xmlns:c16="http://schemas.microsoft.com/office/drawing/2014/chart" uri="{C3380CC4-5D6E-409C-BE32-E72D297353CC}">
              <c16:uniqueId val="{00000002-F2E2-47A3-B021-01617486CC85}"/>
            </c:ext>
          </c:extLst>
        </c:ser>
        <c:ser>
          <c:idx val="3"/>
          <c:order val="3"/>
          <c:tx>
            <c:v>Upper band</c:v>
          </c:tx>
          <c:spPr>
            <a:ln w="11880">
              <a:solidFill>
                <a:srgbClr val="9CA3AF"/>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'Weekly forecast'!$B$67:$B$132</c:f>
              <c:numCache>
                <c:formatCode>yyyy\-mm\-dd</c:formatCode>
                <c:ptCount val="66"/>
              </c:numCache>
            </c:numRef>
          </c:cat>
          <c:val>
            <c:numRef>
              <c:f>'Weekly forecast'!$O$67:$O$132</c:f>
              <c:numCache>
                <c:formatCode>#,##0.0</c:formatCode>
                <c:ptCount val="66"/>
                <c:pt idx="26">
                  <c:v>268.2586213893184</c:v>
                </c:pt>
                <c:pt idx="27">
                  <c:v>360.9586213893185</c:v>
                </c:pt>
                <c:pt idx="28">
                  <c:v>420.2586213893185</c:v>
                </c:pt>
                <c:pt idx="29">
                  <c:v>479.1586213893184</c:v>
                </c:pt>
                <c:pt idx="30">
                  <c:v>281.5586213893185</c:v>
                </c:pt>
                <c:pt idx="31">
                  <c:v>284.6586213893184</c:v>
                </c:pt>
                <c:pt idx="32">
                  <c:v>305.65862138931845</c:v>
                </c:pt>
                <c:pt idx="33">
                  <c:v>303.9586213893184</c:v>
                </c:pt>
                <c:pt idx="34">
                  <c:v>348.7586213893184</c:v>
                </c:pt>
                <c:pt idx="35">
                  <c:v>338.4586213893185</c:v>
                </c:pt>
                <c:pt idx="36">
                  <c:v>293.4586213893184</c:v>
                </c:pt>
                <c:pt idx="37">
                  <c:v>261.45862138931847</c:v>
                </c:pt>
                <c:pt idx="38">
                  <c:v>231.45862138931847</c:v>
                </c:pt>
                <c:pt idx="39">
                  <c:v>278.7586213893184</c:v>
                </c:pt>
                <c:pt idx="40">
                  <c:v>269.95862138931847</c:v>
                </c:pt>
                <c:pt idx="41">
                  <c:v>356.0586213893185</c:v>
                </c:pt>
                <c:pt idx="42">
                  <c:v>406.1586213893184</c:v>
                </c:pt>
                <c:pt idx="43">
                  <c:v>273.95862138931847</c:v>
                </c:pt>
                <c:pt idx="44">
                  <c:v>196.75862138931848</c:v>
                </c:pt>
                <c:pt idx="45">
                  <c:v>267.8586213893185</c:v>
                </c:pt>
                <c:pt idx="46">
                  <c:v>315.65862138931845</c:v>
                </c:pt>
                <c:pt idx="47">
                  <c:v>309.6586213893184</c:v>
                </c:pt>
                <c:pt idx="48">
                  <c:v>373.35862138931844</c:v>
                </c:pt>
                <c:pt idx="49">
                  <c:v>337.2586213893185</c:v>
                </c:pt>
                <c:pt idx="50">
                  <c:v>264.35862138931844</c:v>
                </c:pt>
                <c:pt idx="51">
                  <c:v>315.35862138931844</c:v>
                </c:pt>
                <c:pt idx="53">
                  <c:v>368.9586213893185</c:v>
                </c:pt>
                <c:pt idx="54">
                  <c:v>374.2586213893184</c:v>
                </c:pt>
                <c:pt idx="55">
                  <c:v>413.2586213893184</c:v>
                </c:pt>
                <c:pt idx="56">
                  <c:v>373.45862138931847</c:v>
                </c:pt>
                <c:pt idx="57">
                  <c:v>304.65862138931845</c:v>
                </c:pt>
                <c:pt idx="58">
                  <c:v>351.1586213893184</c:v>
                </c:pt>
                <c:pt idx="59">
                  <c:v>405.35862138931844</c:v>
                </c:pt>
                <c:pt idx="60">
                  <c:v>448.45862138931847</c:v>
                </c:pt>
                <c:pt idx="61">
                  <c:v>512.4586213893185</c:v>
                </c:pt>
                <c:pt idx="62">
                  <c:v>620.3586213893183</c:v>
                </c:pt>
                <c:pt idx="63">
                  <c:v>331.7586213893185</c:v>
                </c:pt>
                <c:pt idx="64">
                  <c:v>475.7586213893184</c:v>
                </c:pt>
                <c:pt idx="65">
                  <c:v>485.15862138931857</c:v>
                </c:pt>
              </c:numCache>
            </c:numRef>
          </c:val>
          <c:smooth val="0"/>
          <c:extLst>
            <c:ext xmlns:c16="http://schemas.microsoft.com/office/drawing/2014/chart" uri="{C3380CC4-5D6E-409C-BE32-E72D297353CC}">
              <c16:uniqueId val="{00000003-F2E2-47A3-B021-01617486CC85}"/>
            </c:ext>
          </c:extLst>
        </c:ser>
        <c:dLbls>
          <c:showLegendKey val="0"/>
          <c:showVal val="0"/>
          <c:showCatName val="0"/>
          <c:showSerName val="0"/>
          <c:showPercent val="0"/>
          <c:showBubbleSize val="0"/>
        </c:dLbls>
        <c:hiLowLines>
          <c:spPr>
            <a:ln w="0">
              <a:noFill/>
            </a:ln>
          </c:spPr>
        </c:hiLowLines>
        <c:smooth val="0"/>
        <c:axId val="36722508"/>
        <c:axId val="10441520"/>
      </c:lineChart>
      <c:dateAx>
        <c:axId val="36722508"/>
        <c:scaling>
          <c:orientation val="minMax"/>
        </c:scaling>
        <c:delete val="0"/>
        <c:axPos val="b"/>
        <c:numFmt formatCode="mmm\ yy"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10441520"/>
        <c:crosses val="autoZero"/>
        <c:auto val="1"/>
        <c:lblOffset val="100"/>
        <c:baseTimeUnit val="days"/>
      </c:dateAx>
      <c:valAx>
        <c:axId val="10441520"/>
        <c:scaling>
          <c:orientation val="minMax"/>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Labor hours</a:t>
                </a:r>
              </a:p>
            </c:rich>
          </c:tx>
          <c:overlay val="0"/>
          <c:spPr>
            <a:noFill/>
            <a:ln w="0">
              <a:noFill/>
            </a:ln>
          </c:spPr>
        </c:title>
        <c:numFmt formatCode="#,##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36722508"/>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lang="en-US" sz="1800" b="1" strike="noStrike" spc="-1">
                <a:solidFill>
                  <a:srgbClr val="000000"/>
                </a:solidFill>
                <a:latin typeface="Calibri"/>
                <a:ea typeface="Calibri"/>
              </a:rPr>
              <a:t>Forecast window: demand vs capacity by skill</a:t>
            </a:r>
          </a:p>
        </c:rich>
      </c:tx>
      <c:overlay val="0"/>
      <c:spPr>
        <a:noFill/>
        <a:ln w="0">
          <a:noFill/>
        </a:ln>
      </c:spPr>
    </c:title>
    <c:autoTitleDeleted val="0"/>
    <c:plotArea>
      <c:layout/>
      <c:barChart>
        <c:barDir val="col"/>
        <c:grouping val="clustered"/>
        <c:varyColors val="0"/>
        <c:ser>
          <c:idx val="0"/>
          <c:order val="0"/>
          <c:tx>
            <c:strRef>
              <c:f>'Capacity outlook'!$E$17</c:f>
              <c:strCache>
                <c:ptCount val="1"/>
                <c:pt idx="0">
                  <c:v>Total demand</c:v>
                </c:pt>
              </c:strCache>
            </c:strRef>
          </c:tx>
          <c:spPr>
            <a:solidFill>
              <a:srgbClr val="D9770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'Capacity outlook'!$A$18:$A$23</c:f>
              <c:strCache>
                <c:ptCount val="6"/>
                <c:pt idx="0">
                  <c:v>Airframe</c:v>
                </c:pt>
                <c:pt idx="1">
                  <c:v>Avionics</c:v>
                </c:pt>
                <c:pt idx="2">
                  <c:v>Electrical</c:v>
                </c:pt>
                <c:pt idx="3">
                  <c:v>Hydraulics</c:v>
                </c:pt>
                <c:pt idx="4">
                  <c:v>Powerplant</c:v>
                </c:pt>
                <c:pt idx="5">
                  <c:v>Structures</c:v>
                </c:pt>
              </c:strCache>
            </c:strRef>
          </c:cat>
          <c:val>
            <c:numRef>
              <c:f>'Capacity outlook'!$E$18:$E$23</c:f>
              <c:numCache>
                <c:formatCode>#,##0.0</c:formatCode>
                <c:ptCount val="6"/>
                <c:pt idx="0">
                  <c:v>793.0776909912123</c:v>
                </c:pt>
                <c:pt idx="1">
                  <c:v>1515.45587624211</c:v>
                </c:pt>
                <c:pt idx="2">
                  <c:v>438.372558775232</c:v>
                </c:pt>
                <c:pt idx="3">
                  <c:v>406.1380882884929</c:v>
                </c:pt>
                <c:pt idx="4">
                  <c:v>837.0770450695602</c:v>
                </c:pt>
                <c:pt idx="5">
                  <c:v>866.1085173369733</c:v>
                </c:pt>
              </c:numCache>
            </c:numRef>
          </c:val>
          <c:extLst>
            <c:ext xmlns:c16="http://schemas.microsoft.com/office/drawing/2014/chart" uri="{C3380CC4-5D6E-409C-BE32-E72D297353CC}">
              <c16:uniqueId val="{00000000-A646-4C8A-9041-475CCE8F2834}"/>
            </c:ext>
          </c:extLst>
        </c:ser>
        <c:ser>
          <c:idx val="1"/>
          <c:order val="1"/>
          <c:tx>
            <c:strRef>
              <c:f>'Capacity outlook'!$G$17</c:f>
              <c:strCache>
                <c:ptCount val="1"/>
                <c:pt idx="0">
                  <c:v>Allocated capacity</c:v>
                </c:pt>
              </c:strCache>
            </c:strRef>
          </c:tx>
          <c:spPr>
            <a:solidFill>
              <a:srgbClr val="1732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'Capacity outlook'!$A$18:$A$23</c:f>
              <c:strCache>
                <c:ptCount val="6"/>
                <c:pt idx="0">
                  <c:v>Airframe</c:v>
                </c:pt>
                <c:pt idx="1">
                  <c:v>Avionics</c:v>
                </c:pt>
                <c:pt idx="2">
                  <c:v>Electrical</c:v>
                </c:pt>
                <c:pt idx="3">
                  <c:v>Hydraulics</c:v>
                </c:pt>
                <c:pt idx="4">
                  <c:v>Powerplant</c:v>
                </c:pt>
                <c:pt idx="5">
                  <c:v>Structures</c:v>
                </c:pt>
              </c:strCache>
            </c:strRef>
          </c:cat>
          <c:val>
            <c:numRef>
              <c:f>'Capacity outlook'!$G$18:$G$23</c:f>
              <c:numCache>
                <c:formatCode>#,##0.0</c:formatCode>
                <c:ptCount val="6"/>
                <c:pt idx="0">
                  <c:v>847.6102698996664</c:v>
                </c:pt>
                <c:pt idx="1">
                  <c:v>1257.7879510715604</c:v>
                </c:pt>
                <c:pt idx="2">
                  <c:v>424.62565165037904</c:v>
                </c:pt>
                <c:pt idx="3">
                  <c:v>420.53836256787184</c:v>
                </c:pt>
                <c:pt idx="4">
                  <c:v>876.2396242226162</c:v>
                </c:pt>
                <c:pt idx="5">
                  <c:v>835.1504830151794</c:v>
                </c:pt>
              </c:numCache>
            </c:numRef>
          </c:val>
          <c:extLst>
            <c:ext xmlns:c16="http://schemas.microsoft.com/office/drawing/2014/chart" uri="{C3380CC4-5D6E-409C-BE32-E72D297353CC}">
              <c16:uniqueId val="{00000001-A646-4C8A-9041-475CCE8F2834}"/>
            </c:ext>
          </c:extLst>
        </c:ser>
        <c:dLbls>
          <c:showLegendKey val="0"/>
          <c:showVal val="0"/>
          <c:showCatName val="0"/>
          <c:showSerName val="0"/>
          <c:showPercent val="0"/>
          <c:showBubbleSize val="0"/>
        </c:dLbls>
        <c:gapWidth val="150"/>
        <c:axId val="97263658"/>
        <c:axId val="6468385"/>
      </c:barChart>
      <c:catAx>
        <c:axId val="97263658"/>
        <c:scaling>
          <c:orientation val="minMax"/>
        </c:scaling>
        <c:delete val="0"/>
        <c:axPos val="b"/>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6468385"/>
        <c:crosses val="autoZero"/>
        <c:auto val="1"/>
        <c:lblAlgn val="ctr"/>
        <c:lblOffset val="100"/>
        <c:noMultiLvlLbl val="0"/>
      </c:catAx>
      <c:valAx>
        <c:axId val="6468385"/>
        <c:scaling>
          <c:orientation val="minMax"/>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Hours</a:t>
                </a:r>
              </a:p>
            </c:rich>
          </c:tx>
          <c:overlay val="0"/>
          <c:spPr>
            <a:noFill/>
            <a:ln w="0">
              <a:noFill/>
            </a:ln>
          </c:spPr>
        </c:title>
        <c:numFmt formatCode="#,##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97263658"/>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lang="en-US" sz="1800" b="1" strike="noStrike" spc="-1">
                <a:solidFill>
                  <a:srgbClr val="000000"/>
                </a:solidFill>
                <a:latin typeface="Calibri"/>
                <a:ea typeface="Calibri"/>
              </a:rPr>
              <a:t>Estimate bias before and after calibration</a:t>
            </a:r>
          </a:p>
        </c:rich>
      </c:tx>
      <c:overlay val="0"/>
      <c:spPr>
        <a:noFill/>
        <a:ln w="0">
          <a:noFill/>
        </a:ln>
      </c:spPr>
    </c:title>
    <c:autoTitleDeleted val="0"/>
    <c:plotArea>
      <c:layout/>
      <c:barChart>
        <c:barDir val="col"/>
        <c:grouping val="clustered"/>
        <c:varyColors val="0"/>
        <c:ser>
          <c:idx val="0"/>
          <c:order val="0"/>
          <c:tx>
            <c:strRef>
              <c:f>Dashboard!$B$19</c:f>
              <c:strCache>
                <c:ptCount val="1"/>
                <c:pt idx="0">
                  <c:v>Original estimate</c:v>
                </c:pt>
              </c:strCache>
            </c:strRef>
          </c:tx>
          <c:spPr>
            <a:solidFill>
              <a:srgbClr val="9CA3AF"/>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Dashboard!$A$20:$A$21</c:f>
              <c:strCache>
                <c:ptCount val="2"/>
                <c:pt idx="0">
                  <c:v>Validation H1 2025</c:v>
                </c:pt>
                <c:pt idx="1">
                  <c:v>Holdout H2 2025</c:v>
                </c:pt>
              </c:strCache>
            </c:strRef>
          </c:cat>
          <c:val>
            <c:numRef>
              <c:f>Dashboard!$B$20:$B$21</c:f>
              <c:numCache>
                <c:formatCode>0.0%</c:formatCode>
                <c:ptCount val="2"/>
                <c:pt idx="0">
                  <c:v>-0.07188485848685905</c:v>
                </c:pt>
                <c:pt idx="1">
                  <c:v>-0.0747874370987314</c:v>
                </c:pt>
              </c:numCache>
            </c:numRef>
          </c:val>
          <c:extLst>
            <c:ext xmlns:c16="http://schemas.microsoft.com/office/drawing/2014/chart" uri="{C3380CC4-5D6E-409C-BE32-E72D297353CC}">
              <c16:uniqueId val="{00000000-3CFE-466D-AC84-EC2E31304E96}"/>
            </c:ext>
          </c:extLst>
        </c:ser>
        <c:ser>
          <c:idx val="1"/>
          <c:order val="1"/>
          <c:tx>
            <c:strRef>
              <c:f>Dashboard!$C$19</c:f>
              <c:strCache>
                <c:ptCount val="1"/>
                <c:pt idx="0">
                  <c:v>Calibrated forecast</c:v>
                </c:pt>
              </c:strCache>
            </c:strRef>
          </c:tx>
          <c:spPr>
            <a:solidFill>
              <a:srgbClr val="1732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Dashboard!$A$20:$A$21</c:f>
              <c:strCache>
                <c:ptCount val="2"/>
                <c:pt idx="0">
                  <c:v>Validation H1 2025</c:v>
                </c:pt>
                <c:pt idx="1">
                  <c:v>Holdout H2 2025</c:v>
                </c:pt>
              </c:strCache>
            </c:strRef>
          </c:cat>
          <c:val>
            <c:numRef>
              <c:f>Dashboard!$C$20:$C$21</c:f>
              <c:numCache>
                <c:formatCode>0.0%</c:formatCode>
                <c:ptCount val="2"/>
                <c:pt idx="0">
                  <c:v>-0.023018694086435518</c:v>
                </c:pt>
                <c:pt idx="1">
                  <c:v>-0.006055248061924333</c:v>
                </c:pt>
              </c:numCache>
            </c:numRef>
          </c:val>
          <c:extLst>
            <c:ext xmlns:c16="http://schemas.microsoft.com/office/drawing/2014/chart" uri="{C3380CC4-5D6E-409C-BE32-E72D297353CC}">
              <c16:uniqueId val="{00000001-3CFE-466D-AC84-EC2E31304E96}"/>
            </c:ext>
          </c:extLst>
        </c:ser>
        <c:dLbls>
          <c:showLegendKey val="0"/>
          <c:showVal val="0"/>
          <c:showCatName val="0"/>
          <c:showSerName val="0"/>
          <c:showPercent val="0"/>
          <c:showBubbleSize val="0"/>
        </c:dLbls>
        <c:gapWidth val="150"/>
        <c:axId val="21364715"/>
        <c:axId val="44977075"/>
      </c:barChart>
      <c:catAx>
        <c:axId val="21364715"/>
        <c:scaling>
          <c:orientation val="minMax"/>
        </c:scaling>
        <c:delete val="0"/>
        <c:axPos val="b"/>
        <c:numFmt formatCode="General" sourceLinked="1"/>
        <c:majorTickMark val="none"/>
        <c:minorTickMark val="none"/>
        <c:tickLblPos val="low"/>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44977075"/>
        <c:crosses val="autoZero"/>
        <c:auto val="1"/>
        <c:lblAlgn val="ctr"/>
        <c:lblOffset val="100"/>
        <c:noMultiLvlLbl val="0"/>
      </c:catAx>
      <c:valAx>
        <c:axId val="44977075"/>
        <c:scaling>
          <c:orientation val="minMax"/>
        </c:scaling>
        <c:delete val="0"/>
        <c:axPos val="l"/>
        <c:majorGridlines>
          <c:spPr>
            <a:ln w="12600">
              <a:solidFill>
                <a:srgbClr val="8B8B8B"/>
              </a:solidFill>
              <a:round/>
            </a:ln>
          </c:spPr>
        </c:majorGridlines>
        <c:numFmt formatCode="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21364715"/>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lang="en-US" sz="1800" b="1" strike="noStrike" spc="-1">
                <a:solidFill>
                  <a:srgbClr val="000000"/>
                </a:solidFill>
                <a:latin typeface="Calibri"/>
                <a:ea typeface="Calibri"/>
              </a:rPr>
              <a:t>Days lost by disruption type</a:t>
            </a:r>
          </a:p>
        </c:rich>
      </c:tx>
      <c:overlay val="0"/>
      <c:spPr>
        <a:noFill/>
        <a:ln w="0">
          <a:noFill/>
        </a:ln>
      </c:spPr>
    </c:title>
    <c:autoTitleDeleted val="0"/>
    <c:plotArea>
      <c:layout/>
      <c:barChart>
        <c:barDir val="col"/>
        <c:grouping val="clustered"/>
        <c:varyColors val="0"/>
        <c:ser>
          <c:idx val="0"/>
          <c:order val="0"/>
          <c:tx>
            <c:strRef>
              <c:f>'Schedule performance'!$C$43</c:f>
              <c:strCache>
                <c:ptCount val="1"/>
                <c:pt idx="0">
                  <c:v>Days lost</c:v>
                </c:pt>
              </c:strCache>
            </c:strRef>
          </c:tx>
          <c:spPr>
            <a:solidFill>
              <a:srgbClr val="1732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'Schedule performance'!$A$44:$A$48</c:f>
              <c:strCache>
                <c:ptCount val="5"/>
                <c:pt idx="0">
                  <c:v>Part delay</c:v>
                </c:pt>
                <c:pt idx="1">
                  <c:v>Technician absence</c:v>
                </c:pt>
                <c:pt idx="2">
                  <c:v>Repeat inspection</c:v>
                </c:pt>
                <c:pt idx="3">
                  <c:v>Equipment unavailable</c:v>
                </c:pt>
                <c:pt idx="4">
                  <c:v>Scope change</c:v>
                </c:pt>
              </c:strCache>
            </c:strRef>
          </c:cat>
          <c:val>
            <c:numRef>
              <c:f>'Schedule performance'!$C$44:$C$48</c:f>
              <c:numCache>
                <c:formatCode>#,##0</c:formatCode>
                <c:ptCount val="5"/>
                <c:pt idx="0">
                  <c:v>1071</c:v>
                </c:pt>
                <c:pt idx="1">
                  <c:v>96</c:v>
                </c:pt>
                <c:pt idx="2">
                  <c:v>96</c:v>
                </c:pt>
                <c:pt idx="3">
                  <c:v>66</c:v>
                </c:pt>
                <c:pt idx="4">
                  <c:v>56</c:v>
                </c:pt>
              </c:numCache>
            </c:numRef>
          </c:val>
          <c:extLst>
            <c:ext xmlns:c16="http://schemas.microsoft.com/office/drawing/2014/chart" uri="{C3380CC4-5D6E-409C-BE32-E72D297353CC}">
              <c16:uniqueId val="{00000000-9449-4D96-8619-00B4FFD51678}"/>
            </c:ext>
          </c:extLst>
        </c:ser>
        <c:dLbls>
          <c:showLegendKey val="0"/>
          <c:showVal val="0"/>
          <c:showCatName val="0"/>
          <c:showSerName val="0"/>
          <c:showPercent val="0"/>
          <c:showBubbleSize val="0"/>
        </c:dLbls>
        <c:gapWidth val="150"/>
        <c:axId val="99823382"/>
        <c:axId val="85046952"/>
      </c:barChart>
      <c:lineChart>
        <c:grouping val="standard"/>
        <c:varyColors val="0"/>
        <c:ser>
          <c:idx val="1"/>
          <c:order val="1"/>
          <c:tx>
            <c:strRef>
              <c:f>'Schedule performance'!$E$43</c:f>
              <c:strCache>
                <c:ptCount val="1"/>
                <c:pt idx="0">
                  <c:v>Cumulative share</c:v>
                </c:pt>
              </c:strCache>
            </c:strRef>
          </c:tx>
          <c:spPr>
            <a:ln w="21960">
              <a:solidFill>
                <a:srgbClr val="D97706"/>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'Schedule performance'!$A$44:$A$48</c:f>
              <c:strCache>
                <c:ptCount val="5"/>
                <c:pt idx="0">
                  <c:v>Part delay</c:v>
                </c:pt>
                <c:pt idx="1">
                  <c:v>Technician absence</c:v>
                </c:pt>
                <c:pt idx="2">
                  <c:v>Repeat inspection</c:v>
                </c:pt>
                <c:pt idx="3">
                  <c:v>Equipment unavailable</c:v>
                </c:pt>
                <c:pt idx="4">
                  <c:v>Scope change</c:v>
                </c:pt>
              </c:strCache>
            </c:strRef>
          </c:cat>
          <c:val>
            <c:numRef>
              <c:f>'Schedule performance'!$E$44:$E$48</c:f>
              <c:numCache>
                <c:formatCode>0.0%</c:formatCode>
                <c:ptCount val="5"/>
                <c:pt idx="0">
                  <c:v>0.7732851985559567</c:v>
                </c:pt>
                <c:pt idx="1">
                  <c:v>0.8425992779783393</c:v>
                </c:pt>
                <c:pt idx="2">
                  <c:v>0.911913357400722</c:v>
                </c:pt>
                <c:pt idx="3">
                  <c:v>0.9595667870036101</c:v>
                </c:pt>
                <c:pt idx="4">
                  <c:v>1</c:v>
                </c:pt>
              </c:numCache>
            </c:numRef>
          </c:val>
          <c:smooth val="1"/>
          <c:extLst>
            <c:ext xmlns:c16="http://schemas.microsoft.com/office/drawing/2014/chart" uri="{C3380CC4-5D6E-409C-BE32-E72D297353CC}">
              <c16:uniqueId val="{00000001-9449-4D96-8619-00B4FFD51678}"/>
            </c:ext>
          </c:extLst>
        </c:ser>
        <c:dLbls>
          <c:showLegendKey val="0"/>
          <c:showVal val="0"/>
          <c:showCatName val="0"/>
          <c:showSerName val="0"/>
          <c:showPercent val="0"/>
          <c:showBubbleSize val="0"/>
        </c:dLbls>
        <c:hiLowLines>
          <c:spPr>
            <a:ln w="0">
              <a:noFill/>
            </a:ln>
          </c:spPr>
        </c:hiLowLines>
        <c:marker val="1"/>
        <c:smooth val="0"/>
        <c:axId val="48197478"/>
        <c:axId val="40028102"/>
      </c:lineChart>
      <c:catAx>
        <c:axId val="99823382"/>
        <c:scaling>
          <c:orientation val="minMax"/>
        </c:scaling>
        <c:delete val="0"/>
        <c:axPos val="b"/>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85046952"/>
        <c:crosses val="autoZero"/>
        <c:auto val="1"/>
        <c:lblAlgn val="ctr"/>
        <c:lblOffset val="100"/>
        <c:noMultiLvlLbl val="0"/>
      </c:catAx>
      <c:valAx>
        <c:axId val="85046952"/>
        <c:scaling>
          <c:orientation val="minMax"/>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Days lost</a:t>
                </a:r>
              </a:p>
            </c:rich>
          </c:tx>
          <c:overlay val="0"/>
          <c:spPr>
            <a:noFill/>
            <a:ln w="0">
              <a:noFill/>
            </a:ln>
          </c:spPr>
        </c:title>
        <c:numFmt formatCode="#,##0"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99823382"/>
        <c:crosses val="autoZero"/>
        <c:crossBetween val="between"/>
      </c:valAx>
      <c:catAx>
        <c:axId val="48197478"/>
        <c:scaling>
          <c:orientation val="minMax"/>
        </c:scaling>
        <c:delete val="0"/>
        <c:axPos val="b"/>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40028102"/>
        <c:crosses val="autoZero"/>
        <c:auto val="1"/>
        <c:lblAlgn val="ctr"/>
        <c:lblOffset val="100"/>
        <c:noMultiLvlLbl val="0"/>
      </c:catAx>
      <c:valAx>
        <c:axId val="40028102"/>
        <c:scaling>
          <c:orientation val="minMax"/>
          <c:max val="1"/>
          <c:min val="0"/>
        </c:scaling>
        <c:delete val="0"/>
        <c:axPos val="r"/>
        <c:title>
          <c:tx>
            <c:rich>
              <a:bodyPr rot="-5400000"/>
              <a:lstStyle/>
              <a:p>
                <a:pPr>
                  <a:defRPr sz="1000" b="1" strike="noStrike" spc="-1">
                    <a:solidFill>
                      <a:srgbClr val="000000"/>
                    </a:solidFill>
                    <a:latin typeface="Calibri"/>
                    <a:ea typeface="Calibri"/>
                  </a:defRPr>
                </a:pPr>
                <a:r>
                  <a:rPr lang="en-US" sz="1000" b="1" strike="noStrike" spc="-1">
                    <a:solidFill>
                      <a:srgbClr val="000000"/>
                    </a:solidFill>
                    <a:latin typeface="Calibri"/>
                    <a:ea typeface="Calibri"/>
                  </a:rPr>
                  <a:t>Cumulative share</a:t>
                </a:r>
              </a:p>
            </c:rich>
          </c:tx>
          <c:overlay val="0"/>
          <c:spPr>
            <a:noFill/>
            <a:ln w="0">
              <a:noFill/>
            </a:ln>
          </c:spPr>
        </c:title>
        <c:numFmt formatCode="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48197478"/>
        <c:crosses val="max"/>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lang="en-US" sz="1800" b="1" strike="noStrike" spc="-1">
                <a:solidFill>
                  <a:srgbClr val="000000"/>
                </a:solidFill>
                <a:latin typeface="Calibri"/>
                <a:ea typeface="Calibri"/>
              </a:rPr>
              <a:t>Where the time goes: average days by priority</a:t>
            </a:r>
          </a:p>
        </c:rich>
      </c:tx>
      <c:overlay val="0"/>
      <c:spPr>
        <a:noFill/>
        <a:ln w="0">
          <a:noFill/>
        </a:ln>
      </c:spPr>
    </c:title>
    <c:autoTitleDeleted val="0"/>
    <c:plotArea>
      <c:layout/>
      <c:barChart>
        <c:barDir val="bar"/>
        <c:grouping val="stacked"/>
        <c:varyColors val="0"/>
        <c:ser>
          <c:idx val="0"/>
          <c:order val="0"/>
          <c:tx>
            <c:strRef>
              <c:f>'Schedule performance'!$E$20</c:f>
              <c:strCache>
                <c:ptCount val="1"/>
                <c:pt idx="0">
                  <c:v>Avg queue days</c:v>
                </c:pt>
              </c:strCache>
            </c:strRef>
          </c:tx>
          <c:spPr>
            <a:solidFill>
              <a:srgbClr val="D9770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'Schedule performance'!$A$21:$A$23</c:f>
              <c:strCache>
                <c:ptCount val="3"/>
                <c:pt idx="0">
                  <c:v>Urgent</c:v>
                </c:pt>
                <c:pt idx="1">
                  <c:v>High</c:v>
                </c:pt>
                <c:pt idx="2">
                  <c:v>Routine</c:v>
                </c:pt>
              </c:strCache>
            </c:strRef>
          </c:cat>
          <c:val>
            <c:numRef>
              <c:f>'Schedule performance'!$E$21:$E$23</c:f>
              <c:numCache>
                <c:formatCode>0.0</c:formatCode>
                <c:ptCount val="3"/>
                <c:pt idx="0">
                  <c:v>11.601593625498008</c:v>
                </c:pt>
                <c:pt idx="1">
                  <c:v>11.002717391304348</c:v>
                </c:pt>
                <c:pt idx="2">
                  <c:v>10.943382873319178</c:v>
                </c:pt>
              </c:numCache>
            </c:numRef>
          </c:val>
          <c:extLst>
            <c:ext xmlns:c16="http://schemas.microsoft.com/office/drawing/2014/chart" uri="{C3380CC4-5D6E-409C-BE32-E72D297353CC}">
              <c16:uniqueId val="{00000000-ED76-47CE-BC91-1C3399231A74}"/>
            </c:ext>
          </c:extLst>
        </c:ser>
        <c:ser>
          <c:idx val="1"/>
          <c:order val="1"/>
          <c:tx>
            <c:strRef>
              <c:f>'Schedule performance'!$F$20</c:f>
              <c:strCache>
                <c:ptCount val="1"/>
                <c:pt idx="0">
                  <c:v>Avg work span days</c:v>
                </c:pt>
              </c:strCache>
            </c:strRef>
          </c:tx>
          <c:spPr>
            <a:solidFill>
              <a:srgbClr val="1732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'Schedule performance'!$A$21:$A$23</c:f>
              <c:strCache>
                <c:ptCount val="3"/>
                <c:pt idx="0">
                  <c:v>Urgent</c:v>
                </c:pt>
                <c:pt idx="1">
                  <c:v>High</c:v>
                </c:pt>
                <c:pt idx="2">
                  <c:v>Routine</c:v>
                </c:pt>
              </c:strCache>
            </c:strRef>
          </c:cat>
          <c:val>
            <c:numRef>
              <c:f>'Schedule performance'!$F$21:$F$23</c:f>
              <c:numCache>
                <c:formatCode>0.0</c:formatCode>
                <c:ptCount val="3"/>
                <c:pt idx="0">
                  <c:v>1.043824701195219</c:v>
                </c:pt>
                <c:pt idx="1">
                  <c:v>1.0611413043478262</c:v>
                </c:pt>
                <c:pt idx="2">
                  <c:v>0.9907997169143666</c:v>
                </c:pt>
              </c:numCache>
            </c:numRef>
          </c:val>
          <c:extLst>
            <c:ext xmlns:c16="http://schemas.microsoft.com/office/drawing/2014/chart" uri="{C3380CC4-5D6E-409C-BE32-E72D297353CC}">
              <c16:uniqueId val="{00000001-ED76-47CE-BC91-1C3399231A74}"/>
            </c:ext>
          </c:extLst>
        </c:ser>
        <c:ser>
          <c:idx val="2"/>
          <c:order val="2"/>
          <c:tx>
            <c:strRef>
              <c:f>'Schedule performance'!$G$20</c:f>
              <c:strCache>
                <c:ptCount val="1"/>
                <c:pt idx="0">
                  <c:v>Avg closeout days</c:v>
                </c:pt>
              </c:strCache>
            </c:strRef>
          </c:tx>
          <c:spPr>
            <a:solidFill>
              <a:srgbClr val="9CA3AF"/>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'Schedule performance'!$A$21:$A$23</c:f>
              <c:strCache>
                <c:ptCount val="3"/>
                <c:pt idx="0">
                  <c:v>Urgent</c:v>
                </c:pt>
                <c:pt idx="1">
                  <c:v>High</c:v>
                </c:pt>
                <c:pt idx="2">
                  <c:v>Routine</c:v>
                </c:pt>
              </c:strCache>
            </c:strRef>
          </c:cat>
          <c:val>
            <c:numRef>
              <c:f>'Schedule performance'!$G$21:$G$23</c:f>
              <c:numCache>
                <c:formatCode>0.0</c:formatCode>
                <c:ptCount val="3"/>
                <c:pt idx="0">
                  <c:v>1.4621513944223108</c:v>
                </c:pt>
                <c:pt idx="1">
                  <c:v>1.5108695652173914</c:v>
                </c:pt>
                <c:pt idx="2">
                  <c:v>1.5010615711252655</c:v>
                </c:pt>
              </c:numCache>
            </c:numRef>
          </c:val>
          <c:extLst>
            <c:ext xmlns:c16="http://schemas.microsoft.com/office/drawing/2014/chart" uri="{C3380CC4-5D6E-409C-BE32-E72D297353CC}">
              <c16:uniqueId val="{00000002-ED76-47CE-BC91-1C3399231A74}"/>
            </c:ext>
          </c:extLst>
        </c:ser>
        <c:dLbls>
          <c:showLegendKey val="0"/>
          <c:showVal val="0"/>
          <c:showCatName val="0"/>
          <c:showSerName val="0"/>
          <c:showPercent val="0"/>
          <c:showBubbleSize val="0"/>
        </c:dLbls>
        <c:gapWidth val="150"/>
        <c:overlap val="100"/>
        <c:axId val="13179728"/>
        <c:axId val="27859021"/>
      </c:barChart>
      <c:catAx>
        <c:axId val="13179728"/>
        <c:scaling>
          <c:orientation val="minMax"/>
        </c:scaling>
        <c:delete val="0"/>
        <c:axPos val="l"/>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27859021"/>
        <c:crosses val="autoZero"/>
        <c:auto val="1"/>
        <c:lblAlgn val="ctr"/>
        <c:lblOffset val="100"/>
        <c:noMultiLvlLbl val="0"/>
      </c:catAx>
      <c:valAx>
        <c:axId val="27859021"/>
        <c:scaling>
          <c:orientation val="minMax"/>
        </c:scaling>
        <c:delete val="0"/>
        <c:axPos val="b"/>
        <c:majorGridlines>
          <c:spPr>
            <a:ln w="12600">
              <a:solidFill>
                <a:srgbClr val="8B8B8B"/>
              </a:solidFill>
              <a:round/>
            </a:ln>
          </c:spPr>
        </c:majorGridlines>
        <c:numFmt formatCode="0.0"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13179728"/>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lang="en-US" sz="1800" b="1" strike="noStrike" spc="-1">
                <a:solidFill>
                  <a:srgbClr val="000000"/>
                </a:solidFill>
                <a:latin typeface="Calibri"/>
                <a:ea typeface="Calibri"/>
              </a:rPr>
              <a:t>On-time completion rate by due month</a:t>
            </a:r>
          </a:p>
        </c:rich>
      </c:tx>
      <c:overlay val="0"/>
      <c:spPr>
        <a:noFill/>
        <a:ln w="0">
          <a:noFill/>
        </a:ln>
      </c:spPr>
    </c:title>
    <c:autoTitleDeleted val="0"/>
    <c:plotArea>
      <c:layout/>
      <c:lineChart>
        <c:grouping val="standard"/>
        <c:varyColors val="0"/>
        <c:ser>
          <c:idx val="0"/>
          <c:order val="0"/>
          <c:tx>
            <c:strRef>
              <c:f>'Schedule performance'!$C$62</c:f>
              <c:strCache>
                <c:ptCount val="1"/>
                <c:pt idx="0">
                  <c:v>On-time rate</c:v>
                </c:pt>
              </c:strCache>
            </c:strRef>
          </c:tx>
          <c:spPr>
            <a:ln w="21960">
              <a:solidFill>
                <a:srgbClr val="17324D"/>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'Schedule performance'!$A$63:$A$86</c:f>
              <c:strCache>
                <c:ptCount val="24"/>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pt idx="23">
                  <c:v>2025-12</c:v>
                </c:pt>
              </c:strCache>
            </c:strRef>
          </c:cat>
          <c:val>
            <c:numRef>
              <c:f>'Schedule performance'!$C$63:$C$86</c:f>
              <c:numCache>
                <c:formatCode>0.0%</c:formatCode>
                <c:ptCount val="24"/>
                <c:pt idx="0">
                  <c:v>0.49122807017543857</c:v>
                </c:pt>
                <c:pt idx="1">
                  <c:v>0.4787234042553191</c:v>
                </c:pt>
                <c:pt idx="2">
                  <c:v>0.44999999999999996</c:v>
                </c:pt>
                <c:pt idx="3">
                  <c:v>0.5238095238095238</c:v>
                </c:pt>
                <c:pt idx="4">
                  <c:v>0.4787234042553191</c:v>
                </c:pt>
                <c:pt idx="5">
                  <c:v>0.5394736842105263</c:v>
                </c:pt>
                <c:pt idx="6">
                  <c:v>0.43157894736842106</c:v>
                </c:pt>
                <c:pt idx="7">
                  <c:v>0.44897959183673475</c:v>
                </c:pt>
                <c:pt idx="8">
                  <c:v>0.5204081632653061</c:v>
                </c:pt>
                <c:pt idx="9">
                  <c:v>0.5051546391752577</c:v>
                </c:pt>
                <c:pt idx="10">
                  <c:v>0.5104166666666667</c:v>
                </c:pt>
                <c:pt idx="11">
                  <c:v>0.47572815533980584</c:v>
                </c:pt>
                <c:pt idx="12">
                  <c:v>0.6185567010309279</c:v>
                </c:pt>
                <c:pt idx="13">
                  <c:v>0.5824175824175823</c:v>
                </c:pt>
                <c:pt idx="14">
                  <c:v>0.512</c:v>
                </c:pt>
                <c:pt idx="15">
                  <c:v>0.6288659793814433</c:v>
                </c:pt>
                <c:pt idx="16">
                  <c:v>0.5916666666666667</c:v>
                </c:pt>
                <c:pt idx="17">
                  <c:v>0.5504587155963303</c:v>
                </c:pt>
                <c:pt idx="18">
                  <c:v>0.5</c:v>
                </c:pt>
                <c:pt idx="19">
                  <c:v>0.4576271186440678</c:v>
                </c:pt>
                <c:pt idx="20">
                  <c:v>0.4907407407407407</c:v>
                </c:pt>
                <c:pt idx="21">
                  <c:v>0.5894736842105264</c:v>
                </c:pt>
                <c:pt idx="22">
                  <c:v>0.5333333333333333</c:v>
                </c:pt>
                <c:pt idx="23">
                  <c:v>0.46153846153846156</c:v>
                </c:pt>
              </c:numCache>
            </c:numRef>
          </c:val>
          <c:smooth val="1"/>
          <c:extLst>
            <c:ext xmlns:c16="http://schemas.microsoft.com/office/drawing/2014/chart" uri="{C3380CC4-5D6E-409C-BE32-E72D297353CC}">
              <c16:uniqueId val="{00000000-E22B-4185-BE49-BC8749B2E755}"/>
            </c:ext>
          </c:extLst>
        </c:ser>
        <c:dLbls>
          <c:showLegendKey val="0"/>
          <c:showVal val="0"/>
          <c:showCatName val="0"/>
          <c:showSerName val="0"/>
          <c:showPercent val="0"/>
          <c:showBubbleSize val="0"/>
        </c:dLbls>
        <c:hiLowLines>
          <c:spPr>
            <a:ln w="0">
              <a:noFill/>
            </a:ln>
          </c:spPr>
        </c:hiLowLines>
        <c:smooth val="0"/>
        <c:axId val="57902264"/>
        <c:axId val="85581782"/>
      </c:lineChart>
      <c:catAx>
        <c:axId val="57902264"/>
        <c:scaling>
          <c:orientation val="minMax"/>
        </c:scaling>
        <c:delete val="0"/>
        <c:axPos val="b"/>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85581782"/>
        <c:crosses val="autoZero"/>
        <c:auto val="1"/>
        <c:lblAlgn val="ctr"/>
        <c:lblOffset val="100"/>
        <c:noMultiLvlLbl val="0"/>
      </c:catAx>
      <c:valAx>
        <c:axId val="85581782"/>
        <c:scaling>
          <c:orientation val="minMax"/>
          <c:max val="1"/>
          <c:min val="0"/>
        </c:scaling>
        <c:delete val="0"/>
        <c:axPos val="l"/>
        <c:majorGridlines>
          <c:spPr>
            <a:ln w="12600">
              <a:solidFill>
                <a:srgbClr val="8B8B8B"/>
              </a:solidFill>
              <a:round/>
            </a:ln>
          </c:spPr>
        </c:majorGridlines>
        <c:numFmt formatCode="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5790226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lang="en-US" sz="1800" b="1" strike="noStrike" spc="-1">
                <a:solidFill>
                  <a:srgbClr val="000000"/>
                </a:solidFill>
                <a:latin typeface="Calibri"/>
                <a:ea typeface="Calibri"/>
              </a:rPr>
              <a:t>Hours recovered by option vs. gap</a:t>
            </a:r>
          </a:p>
        </c:rich>
      </c:tx>
      <c:overlay val="0"/>
      <c:spPr>
        <a:noFill/>
        <a:ln w="0">
          <a:noFill/>
        </a:ln>
      </c:spPr>
    </c:title>
    <c:autoTitleDeleted val="0"/>
    <c:plotArea>
      <c:layout/>
      <c:barChart>
        <c:barDir val="bar"/>
        <c:grouping val="clustered"/>
        <c:varyColors val="0"/>
        <c:ser>
          <c:idx val="0"/>
          <c:order val="0"/>
          <c:tx>
            <c:strRef>
              <c:f>'Recovery planner'!$B$30</c:f>
              <c:strCache>
                <c:ptCount val="1"/>
                <c:pt idx="0">
                  <c:v>Hours recovered</c:v>
                </c:pt>
              </c:strCache>
            </c:strRef>
          </c:tx>
          <c:spPr>
            <a:solidFill>
              <a:srgbClr val="1732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'Recovery planner'!$A$31:$A$34</c:f>
              <c:strCache>
                <c:ptCount val="4"/>
                <c:pt idx="0">
                  <c:v>Do nothing</c:v>
                </c:pt>
                <c:pt idx="1">
                  <c:v>Overtime</c:v>
                </c:pt>
                <c:pt idx="2">
                  <c:v>Borrow cross-trained technicians</c:v>
                </c:pt>
                <c:pt idx="3">
                  <c:v>Defer routine work</c:v>
                </c:pt>
              </c:strCache>
            </c:strRef>
          </c:cat>
          <c:val>
            <c:numRef>
              <c:f>'Recovery planner'!$B$31:$B$34</c:f>
              <c:numCache>
                <c:formatCode>#,##0.0</c:formatCode>
                <c:ptCount val="4"/>
                <c:pt idx="0">
                  <c:v>0</c:v>
                </c:pt>
                <c:pt idx="1">
                  <c:v>188.66819266073406</c:v>
                </c:pt>
                <c:pt idx="2">
                  <c:v>0</c:v>
                </c:pt>
                <c:pt idx="3">
                  <c:v>258.78176566004447</c:v>
                </c:pt>
              </c:numCache>
            </c:numRef>
          </c:val>
          <c:extLst>
            <c:ext xmlns:c16="http://schemas.microsoft.com/office/drawing/2014/chart" uri="{C3380CC4-5D6E-409C-BE32-E72D297353CC}">
              <c16:uniqueId val="{00000000-452C-44FB-A28E-4CCBC77FF706}"/>
            </c:ext>
          </c:extLst>
        </c:ser>
        <c:ser>
          <c:idx val="1"/>
          <c:order val="1"/>
          <c:tx>
            <c:strRef>
              <c:f>'Recovery planner'!$C$30</c:f>
              <c:strCache>
                <c:ptCount val="1"/>
                <c:pt idx="0">
                  <c:v>Remaining gap</c:v>
                </c:pt>
              </c:strCache>
            </c:strRef>
          </c:tx>
          <c:spPr>
            <a:solidFill>
              <a:srgbClr val="D9770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'Recovery planner'!$A$31:$A$34</c:f>
              <c:strCache>
                <c:ptCount val="4"/>
                <c:pt idx="0">
                  <c:v>Do nothing</c:v>
                </c:pt>
                <c:pt idx="1">
                  <c:v>Overtime</c:v>
                </c:pt>
                <c:pt idx="2">
                  <c:v>Borrow cross-trained technicians</c:v>
                </c:pt>
                <c:pt idx="3">
                  <c:v>Defer routine work</c:v>
                </c:pt>
              </c:strCache>
            </c:strRef>
          </c:cat>
          <c:val>
            <c:numRef>
              <c:f>'Recovery planner'!$C$31:$C$34</c:f>
              <c:numCache>
                <c:formatCode>#,##0.0</c:formatCode>
                <c:ptCount val="4"/>
                <c:pt idx="0">
                  <c:v>716.4430949879154</c:v>
                </c:pt>
                <c:pt idx="1">
                  <c:v>527.7749023271813</c:v>
                </c:pt>
                <c:pt idx="2">
                  <c:v>716.4430949879154</c:v>
                </c:pt>
                <c:pt idx="3">
                  <c:v>457.66132932787093</c:v>
                </c:pt>
              </c:numCache>
            </c:numRef>
          </c:val>
          <c:extLst>
            <c:ext xmlns:c16="http://schemas.microsoft.com/office/drawing/2014/chart" uri="{C3380CC4-5D6E-409C-BE32-E72D297353CC}">
              <c16:uniqueId val="{00000001-452C-44FB-A28E-4CCBC77FF706}"/>
            </c:ext>
          </c:extLst>
        </c:ser>
        <c:dLbls>
          <c:showLegendKey val="0"/>
          <c:showVal val="0"/>
          <c:showCatName val="0"/>
          <c:showSerName val="0"/>
          <c:showPercent val="0"/>
          <c:showBubbleSize val="0"/>
        </c:dLbls>
        <c:gapWidth val="150"/>
        <c:axId val="80882252"/>
        <c:axId val="36910315"/>
      </c:barChart>
      <c:catAx>
        <c:axId val="80882252"/>
        <c:scaling>
          <c:orientation val="minMax"/>
        </c:scaling>
        <c:delete val="0"/>
        <c:axPos val="l"/>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36910315"/>
        <c:crosses val="autoZero"/>
        <c:auto val="1"/>
        <c:lblAlgn val="ctr"/>
        <c:lblOffset val="100"/>
        <c:noMultiLvlLbl val="0"/>
      </c:catAx>
      <c:valAx>
        <c:axId val="36910315"/>
        <c:scaling>
          <c:orientation val="minMax"/>
        </c:scaling>
        <c:delete val="0"/>
        <c:axPos val="b"/>
        <c:majorGridlines>
          <c:spPr>
            <a:ln w="12600">
              <a:solidFill>
                <a:srgbClr val="8B8B8B"/>
              </a:solidFill>
              <a:round/>
            </a:ln>
          </c:spPr>
        </c:majorGridlines>
        <c:numFmt formatCode="#,##0.0"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80882252"/>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145440</xdr:rowOff>
    </xdr:from>
    <xdr:to>
      <xdr:col>18</xdr:col>
      <xdr:colOff>78480</xdr:colOff>
      <xdr:row>20</xdr:row>
      <xdr:rowOff>16980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21</xdr:row>
      <xdr:rowOff>28575</xdr:rowOff>
    </xdr:from>
    <xdr:to>
      <xdr:col>18</xdr:col>
      <xdr:colOff>247650</xdr:colOff>
      <xdr:row>39</xdr:row>
      <xdr:rowOff>95250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76200</xdr:colOff>
      <xdr:row>23</xdr:row>
      <xdr:rowOff>104775</xdr:rowOff>
    </xdr:from>
    <xdr:to>
      <xdr:col>3</xdr:col>
      <xdr:colOff>304800</xdr:colOff>
      <xdr:row>37</xdr:row>
      <xdr:rowOff>53460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581024</xdr:colOff>
      <xdr:row>3</xdr:row>
      <xdr:rowOff>145440</xdr:rowOff>
    </xdr:from>
    <xdr:to>
      <xdr:col>21</xdr:col>
      <xdr:colOff>276224</xdr:colOff>
      <xdr:row>18</xdr:row>
      <xdr:rowOff>167760</xdr:rowOff>
    </xdr:to>
    <xdr:graphicFrame macro="">
      <xdr:nvGraphicFramePr>
        <xdr:cNvPr id="3" name="Chart 1">
          <a:extLst>
            <a:ext uri="{FF2B5EF4-FFF2-40B4-BE49-F238E27FC236}">
              <a16:creationId xmlns:a16="http://schemas.microsoft.com/office/drawing/2014/main" id="{00000000-0008-0000-0F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20</xdr:row>
      <xdr:rowOff>145440</xdr:rowOff>
    </xdr:from>
    <xdr:to>
      <xdr:col>17</xdr:col>
      <xdr:colOff>507600</xdr:colOff>
      <xdr:row>32</xdr:row>
      <xdr:rowOff>188640</xdr:rowOff>
    </xdr:to>
    <xdr:graphicFrame macro="">
      <xdr:nvGraphicFramePr>
        <xdr:cNvPr id="4" name="Chart 2">
          <a:extLst>
            <a:ext uri="{FF2B5EF4-FFF2-40B4-BE49-F238E27FC236}">
              <a16:creationId xmlns:a16="http://schemas.microsoft.com/office/drawing/2014/main" id="{00000000-0008-0000-0F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36</xdr:row>
      <xdr:rowOff>145440</xdr:rowOff>
    </xdr:from>
    <xdr:to>
      <xdr:col>17</xdr:col>
      <xdr:colOff>507600</xdr:colOff>
      <xdr:row>48</xdr:row>
      <xdr:rowOff>188640</xdr:rowOff>
    </xdr:to>
    <xdr:graphicFrame macro="">
      <xdr:nvGraphicFramePr>
        <xdr:cNvPr id="5" name="Chart 3">
          <a:extLst>
            <a:ext uri="{FF2B5EF4-FFF2-40B4-BE49-F238E27FC236}">
              <a16:creationId xmlns:a16="http://schemas.microsoft.com/office/drawing/2014/main" id="{00000000-0008-0000-0F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3</xdr:row>
      <xdr:rowOff>145440</xdr:rowOff>
    </xdr:from>
    <xdr:to>
      <xdr:col>17</xdr:col>
      <xdr:colOff>507600</xdr:colOff>
      <xdr:row>16</xdr:row>
      <xdr:rowOff>188640</xdr:rowOff>
    </xdr:to>
    <xdr:graphicFrame macro="">
      <xdr:nvGraphicFramePr>
        <xdr:cNvPr id="6" name="Chart 1">
          <a:extLst>
            <a:ext uri="{FF2B5EF4-FFF2-40B4-BE49-F238E27FC236}">
              <a16:creationId xmlns:a16="http://schemas.microsoft.com/office/drawing/2014/main" id="{00000000-0008-0000-1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tblWorkPackages" displayName="tblWorkPackages" ref="A1:AJ2401" headerRowDxfId="67" dataDxfId="66" totalsRowDxfId="65">
  <autoFilter ref="A1:AJ2401" xr:uid="{00000000-0009-0000-0100-000006000000}"/>
  <tableColumns count="36">
    <tableColumn id="1" xr3:uid="{00000000-0010-0000-0000-000001000000}" name="Work package ID" dataDxfId="64"/>
    <tableColumn id="2" xr3:uid="{00000000-0010-0000-0000-000002000000}" name="Aircraft ID" dataDxfId="63"/>
    <tableColumn id="3" xr3:uid="{00000000-0010-0000-0000-000003000000}" name="Request date" dataDxfId="62"/>
    <tableColumn id="4" xr3:uid="{00000000-0010-0000-0000-000004000000}" name="Due date" dataDxfId="61"/>
    <tableColumn id="5" xr3:uid="{00000000-0010-0000-0000-000005000000}" name="Task type" dataDxfId="60"/>
    <tableColumn id="6" xr3:uid="{00000000-0010-0000-0000-000006000000}" name="Work class" dataDxfId="59"/>
    <tableColumn id="7" xr3:uid="{00000000-0010-0000-0000-000007000000}" name="Required skill" dataDxfId="58"/>
    <tableColumn id="8" xr3:uid="{00000000-0010-0000-0000-000008000000}" name="Complexity (1-4)" dataDxfId="57"/>
    <tableColumn id="9" xr3:uid="{00000000-0010-0000-0000-000009000000}" name="Priority" dataDxfId="56"/>
    <tableColumn id="10" xr3:uid="{00000000-0010-0000-0000-00000A000000}" name="Repeat work (0/1)" dataDxfId="55"/>
    <tableColumn id="11" xr3:uid="{00000000-0010-0000-0000-00000B000000}" name="Part required (0/1)" dataDxfId="54"/>
    <tableColumn id="12" xr3:uid="{00000000-0010-0000-0000-00000C000000}" name="Estimated labor hours" dataDxfId="53"/>
    <tableColumn id="13" xr3:uid="{00000000-0010-0000-0000-00000D000000}" name="Completion date" dataDxfId="52"/>
    <tableColumn id="14" xr3:uid="{00000000-0010-0000-0000-00000E000000}" name="Actual labor hours" dataDxfId="51"/>
    <tableColumn id="15" xr3:uid="{00000000-0010-0000-0000-00000F000000}" name="Request week (Monday)" dataDxfId="50">
      <calculatedColumnFormula>TEXT(tblWorkPackages[[#This Row],[Request date serial]]-WEEKDAY(tblWorkPackages[[#This Row],[Request date serial]],3),"yyyy-mm-dd")</calculatedColumnFormula>
    </tableColumn>
    <tableColumn id="16" xr3:uid="{00000000-0010-0000-0000-000010000000}" name="Absolute estimate error" dataDxfId="49">
      <calculatedColumnFormula>ABS(tblWorkPackages[[#This Row],[Actual labor hours]]-tblWorkPackages[[#This Row],[Estimated labor hours]])</calculatedColumnFormula>
    </tableColumn>
    <tableColumn id="17" xr3:uid="{00000000-0010-0000-0000-000011000000}" name="Above estimate (0/1)" dataDxfId="48">
      <calculatedColumnFormula>IF(tblWorkPackages[[#This Row],[Actual labor hours]]&gt;tblWorkPackages[[#This Row],[Estimated labor hours]],1,0)</calculatedColumnFormula>
    </tableColumn>
    <tableColumn id="18" xr3:uid="{00000000-0010-0000-0000-000012000000}" name="Actual less estimate" dataDxfId="47">
      <calculatedColumnFormula>tblWorkPackages[[#This Row],[Actual labor hours]]-tblWorkPackages[[#This Row],[Estimated labor hours]]</calculatedColumnFormula>
    </tableColumn>
    <tableColumn id="19" xr3:uid="{00000000-0010-0000-0000-000013000000}" name="Time split" dataDxfId="46">
      <calculatedColumnFormula>IF(tblWorkPackages[[#This Row],[Request date serial]]&lt;ValidationStart,"Train 2024",IF(tblWorkPackages[[#This Row],[Request date serial]]&lt;HoldoutStart,"Validation H1","Holdout H2"))</calculatedColumnFormula>
    </tableColumn>
    <tableColumn id="20" xr3:uid="{00000000-0010-0000-0000-000014000000}" name="Calibrated forecast hours" dataDxfId="45">
      <calculatedColumnFormula>IF(tblWorkPackages[[#This Row],[Time split]]="Train 2024","",tblWorkPackages[[#This Row],[Estimated labor hours]]+VLOOKUP(tblWorkPackages[[#This Row],[Task type]],'Forecast validation'!$A$14:$E$25,IF(tblWorkPackages[[#This Row],[Time split]]="Validation H1",4,5),FALSE))</calculatedColumnFormula>
    </tableColumn>
    <tableColumn id="21" xr3:uid="{00000000-0010-0000-0000-000015000000}" name="Calibrated absolute error" dataDxfId="44">
      <calculatedColumnFormula>IF(tblWorkPackages[[#This Row],[Calibrated forecast hours]]="","",ABS(tblWorkPackages[[#This Row],[Actual labor hours]]-tblWorkPackages[[#This Row],[Calibrated forecast hours]]))</calculatedColumnFormula>
    </tableColumn>
    <tableColumn id="22" xr3:uid="{00000000-0010-0000-0000-000016000000}" name="Planning forecast hours" dataDxfId="43">
      <calculatedColumnFormula>IF(tblWorkPackages[[#This Row],[Time split]]="Train 2024",tblWorkPackages[[#This Row],[Estimated labor hours]],tblWorkPackages[[#This Row],[Calibrated forecast hours]])</calculatedColumnFormula>
    </tableColumn>
    <tableColumn id="23" xr3:uid="{00000000-0010-0000-0000-000017000000}" name="Request date serial" dataDxfId="42">
      <calculatedColumnFormula>DATEVALUE(tblWorkPackages[[#This Row],[Request date]])</calculatedColumnFormula>
    </tableColumn>
    <tableColumn id="24" xr3:uid="{00000000-0010-0000-0000-000018000000}" name="Due date serial" dataDxfId="41">
      <calculatedColumnFormula>DATEVALUE(tblWorkPackages[[#This Row],[Due date]])</calculatedColumnFormula>
    </tableColumn>
    <tableColumn id="25" xr3:uid="{00000000-0010-0000-0000-000019000000}" name="Completion date serial" dataDxfId="40">
      <calculatedColumnFormula>DATEVALUE(tblWorkPackages[[#This Row],[Completion date]])</calculatedColumnFormula>
    </tableColumn>
    <tableColumn id="26" xr3:uid="{00000000-0010-0000-0000-00001A000000}" name="First labor date" dataDxfId="39">
      <calculatedColumnFormula>_xlfn.MINIFS(tblLaborEntries[Work date serial],tblLaborEntries[Work package ID],tblWorkPackages[[#This Row],[Work package ID]])</calculatedColumnFormula>
    </tableColumn>
    <tableColumn id="27" xr3:uid="{00000000-0010-0000-0000-00001B000000}" name="Last labor date" dataDxfId="38">
      <calculatedColumnFormula>_xlfn.MAXIFS(tblLaborEntries[Work date serial],tblLaborEntries[Work package ID],tblWorkPackages[[#This Row],[Work package ID]])</calculatedColumnFormula>
    </tableColumn>
    <tableColumn id="28" xr3:uid="{00000000-0010-0000-0000-00001C000000}" name="Late (0/1)" dataDxfId="37">
      <calculatedColumnFormula>IF(tblWorkPackages[[#This Row],[Completion date serial]]&gt;tblWorkPackages[[#This Row],[Due date serial]],1,0)</calculatedColumnFormula>
    </tableColumn>
    <tableColumn id="29" xr3:uid="{00000000-0010-0000-0000-00001D000000}" name="Days late" dataDxfId="36">
      <calculatedColumnFormula>MAX(0,tblWorkPackages[[#This Row],[Completion date serial]]-tblWorkPackages[[#This Row],[Due date serial]])</calculatedColumnFormula>
    </tableColumn>
    <tableColumn id="30" xr3:uid="{00000000-0010-0000-0000-00001E000000}" name="Queue days" dataDxfId="35">
      <calculatedColumnFormula>tblWorkPackages[[#This Row],[First labor date]]-tblWorkPackages[[#This Row],[Request date serial]]</calculatedColumnFormula>
    </tableColumn>
    <tableColumn id="31" xr3:uid="{00000000-0010-0000-0000-00001F000000}" name="Work span days" dataDxfId="34">
      <calculatedColumnFormula>tblWorkPackages[[#This Row],[Last labor date]]-tblWorkPackages[[#This Row],[First labor date]]</calculatedColumnFormula>
    </tableColumn>
    <tableColumn id="32" xr3:uid="{00000000-0010-0000-0000-000020000000}" name="Closeout days" dataDxfId="33">
      <calculatedColumnFormula>tblWorkPackages[[#This Row],[Completion date serial]]-tblWorkPackages[[#This Row],[Last labor date]]</calculatedColumnFormula>
    </tableColumn>
    <tableColumn id="33" xr3:uid="{00000000-0010-0000-0000-000021000000}" name="Flow days" dataDxfId="32">
      <calculatedColumnFormula>tblWorkPackages[[#This Row],[Completion date serial]]-tblWorkPackages[[#This Row],[Request date serial]]</calculatedColumnFormula>
    </tableColumn>
    <tableColumn id="34" xr3:uid="{00000000-0010-0000-0000-000022000000}" name="Part delay days" dataDxfId="31">
      <calculatedColumnFormula>IFERROR(INDEX(tblParts[Delay days],MATCH(tblWorkPackages[[#This Row],[Work package ID]],tblParts[Work package ID],0)),0)</calculatedColumnFormula>
    </tableColumn>
    <tableColumn id="35" xr3:uid="{00000000-0010-0000-0000-000023000000}" name="Disruption type" dataDxfId="30">
      <calculatedColumnFormula>IFERROR(INDEX(tblDisruptions[Event type],MATCH(tblWorkPackages[[#This Row],[Work package ID]],tblDisruptions[Work package ID],0)),"None")</calculatedColumnFormula>
    </tableColumn>
    <tableColumn id="36" xr3:uid="{00000000-0010-0000-0000-000024000000}" name="Due month" dataDxfId="29">
      <calculatedColumnFormula>TEXT(tblWorkPackages[[#This Row],[Due date serial]],"yyyy-mm")</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LaborEntries" displayName="tblLaborEntries" ref="A1:I5476" headerRowDxfId="28" dataDxfId="27" totalsRowDxfId="26">
  <autoFilter ref="A1:I5476" xr:uid="{00000000-0009-0000-0100-000002000000}"/>
  <tableColumns count="9">
    <tableColumn id="1" xr3:uid="{00000000-0010-0000-0100-000001000000}" name="Labor entry ID" dataDxfId="25"/>
    <tableColumn id="2" xr3:uid="{00000000-0010-0000-0100-000002000000}" name="Work package ID" dataDxfId="24"/>
    <tableColumn id="3" xr3:uid="{00000000-0010-0000-0100-000003000000}" name="Technician ID" dataDxfId="23"/>
    <tableColumn id="4" xr3:uid="{00000000-0010-0000-0100-000004000000}" name="Skill booked" dataDxfId="22"/>
    <tableColumn id="5" xr3:uid="{00000000-0010-0000-0100-000005000000}" name="Work date" dataDxfId="21"/>
    <tableColumn id="6" xr3:uid="{00000000-0010-0000-0100-000006000000}" name="Hours booked" dataDxfId="20"/>
    <tableColumn id="7" xr3:uid="{00000000-0010-0000-0100-000007000000}" name="Overtime hours" dataDxfId="19"/>
    <tableColumn id="8" xr3:uid="{00000000-0010-0000-0100-000008000000}" name="Work week (Monday)" dataDxfId="18">
      <calculatedColumnFormula>TEXT(tblLaborEntries[[#This Row],[Work date serial]]-WEEKDAY(tblLaborEntries[[#This Row],[Work date serial]],3),"yyyy-mm-dd")</calculatedColumnFormula>
    </tableColumn>
    <tableColumn id="9" xr3:uid="{00000000-0010-0000-0100-000009000000}" name="Work date serial" dataDxfId="17">
      <calculatedColumnFormula>DATEVALUE(tblLaborEntries[[#This Row],[Work date]])</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blTechnicians" displayName="tblTechnicians" ref="A1:E76" headerRowDxfId="16" dataDxfId="15" totalsRowDxfId="14">
  <autoFilter ref="A1:E76" xr:uid="{00000000-0009-0000-0100-000005000000}"/>
  <tableColumns count="5">
    <tableColumn id="1" xr3:uid="{00000000-0010-0000-0200-000001000000}" name="Technician ID" dataDxfId="13"/>
    <tableColumn id="2" xr3:uid="{00000000-0010-0000-0200-000002000000}" name="Primary skill" dataDxfId="12"/>
    <tableColumn id="3" xr3:uid="{00000000-0010-0000-0200-000003000000}" name="Shift" dataDxfId="11"/>
    <tableColumn id="4" xr3:uid="{00000000-0010-0000-0200-000004000000}" name="Start year" dataDxfId="10"/>
    <tableColumn id="5" xr3:uid="{00000000-0010-0000-0200-000005000000}" name="Availability factor" dataDxfId="9"/>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blParts" displayName="tblParts" ref="A1:G835">
  <autoFilter ref="A1:G835" xr:uid="{00000000-0009-0000-0100-000003000000}"/>
  <tableColumns count="7">
    <tableColumn id="1" xr3:uid="{00000000-0010-0000-0300-000001000000}" name="Part record ID"/>
    <tableColumn id="2" xr3:uid="{00000000-0010-0000-0300-000002000000}" name="Work package ID"/>
    <tableColumn id="3" xr3:uid="{00000000-0010-0000-0300-000003000000}" name="Part category"/>
    <tableColumn id="4" xr3:uid="{00000000-0010-0000-0300-000004000000}" name="Needed date"/>
    <tableColumn id="5" xr3:uid="{00000000-0010-0000-0300-000005000000}" name="Available date"/>
    <tableColumn id="6" xr3:uid="{00000000-0010-0000-0300-000006000000}" name="Delay days"/>
    <tableColumn id="7" xr3:uid="{00000000-0010-0000-0300-000007000000}" name="Statu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4000000}" name="tblDisruptions" displayName="tblDisruptions" ref="A1:F302" headerRowDxfId="8" dataDxfId="7" totalsRowDxfId="6">
  <autoFilter ref="A1:F302" xr:uid="{00000000-0009-0000-0100-000001000000}"/>
  <tableColumns count="6">
    <tableColumn id="1" xr3:uid="{00000000-0010-0000-0400-000001000000}" name="Disruption ID" dataDxfId="5"/>
    <tableColumn id="2" xr3:uid="{00000000-0010-0000-0400-000002000000}" name="Work package ID" dataDxfId="4"/>
    <tableColumn id="3" xr3:uid="{00000000-0010-0000-0400-000003000000}" name="Event type" dataDxfId="3"/>
    <tableColumn id="4" xr3:uid="{00000000-0010-0000-0400-000004000000}" name="Event date" dataDxfId="2"/>
    <tableColumn id="5" xr3:uid="{00000000-0010-0000-0400-000005000000}" name="Impact days" dataDxfId="1"/>
    <tableColumn id="6" xr3:uid="{00000000-0010-0000-0400-000006000000}" name="Cause" dataDxfId="0"/>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5000000}" name="tblTaskRules" displayName="tblTaskRules" ref="A1:E13">
  <autoFilter ref="A1:E13" xr:uid="{00000000-0009-0000-0100-000004000000}"/>
  <tableColumns count="5">
    <tableColumn id="1" xr3:uid="{00000000-0010-0000-0500-000001000000}" name="Task type"/>
    <tableColumn id="2" xr3:uid="{00000000-0010-0000-0500-000002000000}" name="Work class"/>
    <tableColumn id="3" xr3:uid="{00000000-0010-0000-0500-000003000000}" name="Required skill"/>
    <tableColumn id="4" xr3:uid="{00000000-0010-0000-0500-000004000000}" name="Baseline hours"/>
    <tableColumn id="5" xr3:uid="{00000000-0010-0000-0500-000005000000}" name="Spread driver"/>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
  <sheetViews>
    <sheetView showGridLines="0" topLeftCell="A3" zoomScaleNormal="100" workbookViewId="0">
      <selection activeCell="B8" sqref="B8"/>
    </sheetView>
  </sheetViews>
  <sheetFormatPr defaultColWidth="8.7109375" defaultRowHeight="12.75" x14ac:dyDescent="0.2"/>
  <cols>
    <col min="1" max="1" width="27" style="51" customWidth="1"/>
    <col min="2" max="2" width="105" style="51" customWidth="1"/>
    <col min="3" max="16384" width="8.7109375" style="51"/>
  </cols>
  <sheetData>
    <row r="2" spans="1:2" ht="19.5" x14ac:dyDescent="0.3">
      <c r="A2" s="50" t="s">
        <v>0</v>
      </c>
    </row>
    <row r="4" spans="1:2" ht="24.75" customHeight="1" x14ac:dyDescent="0.2">
      <c r="A4" s="52" t="s">
        <v>1</v>
      </c>
      <c r="B4" s="53" t="s">
        <v>2</v>
      </c>
    </row>
    <row r="5" spans="1:2" ht="24.75" customHeight="1" x14ac:dyDescent="0.2">
      <c r="A5" s="52" t="s">
        <v>3</v>
      </c>
      <c r="B5" s="53" t="s">
        <v>4</v>
      </c>
    </row>
    <row r="6" spans="1:2" ht="24.75" customHeight="1" x14ac:dyDescent="0.2">
      <c r="A6" s="52" t="s">
        <v>5</v>
      </c>
      <c r="B6" s="53" t="s">
        <v>6</v>
      </c>
    </row>
    <row r="7" spans="1:2" ht="24.75" customHeight="1" x14ac:dyDescent="0.2">
      <c r="A7" s="52" t="s">
        <v>7</v>
      </c>
      <c r="B7" t="str" s="53">
        <v>Original synthetic data generated with a fixed random seed (20260928). No aircraft manufacturer or regulatory agency records.</v>
      </c>
    </row>
    <row r="8" spans="1:2" ht="24.75" customHeight="1" x14ac:dyDescent="0.2">
      <c r="A8" s="52" t="s">
        <v>9</v>
      </c>
      <c r="B8" s="53" t="s">
        <v>10</v>
      </c>
    </row>
    <row r="9" spans="1:2" ht="24.75" customHeight="1" x14ac:dyDescent="0.2">
      <c r="A9" s="52" t="s">
        <v>11</v>
      </c>
      <c r="B9" s="53" t="s">
        <v>12</v>
      </c>
    </row>
    <row r="10" spans="1:2" ht="24.75" customHeight="1" x14ac:dyDescent="0.2">
      <c r="A10" s="52" t="s">
        <v>13</v>
      </c>
      <c r="B10" s="53" t="s">
        <v>14</v>
      </c>
    </row>
    <row r="11" spans="1:2" ht="24.75" customHeight="1" x14ac:dyDescent="0.2">
      <c r="A11" s="52" t="s">
        <v>15</v>
      </c>
      <c r="B11" s="53" t="s">
        <v>16</v>
      </c>
    </row>
    <row r="12" spans="1:2" ht="24.75" customHeight="1" x14ac:dyDescent="0.2">
      <c r="A12" s="52" t="s">
        <v>17</v>
      </c>
      <c r="B12" s="53" t="s">
        <v>18</v>
      </c>
    </row>
    <row r="13" spans="1:2" ht="24.75" customHeight="1" x14ac:dyDescent="0.2">
      <c r="A13" s="52" t="s">
        <v>19</v>
      </c>
      <c r="B13" s="53" t="s">
        <v>20</v>
      </c>
    </row>
    <row r="14" spans="1:2" ht="24.75" customHeight="1" x14ac:dyDescent="0.2">
      <c r="A14" s="52" t="s">
        <v>21</v>
      </c>
      <c r="B14" s="53" t="s">
        <v>22</v>
      </c>
    </row>
    <row r="15" spans="1:2" ht="24.75" customHeight="1" x14ac:dyDescent="0.2">
      <c r="A15" s="52" t="s">
        <v>23</v>
      </c>
      <c r="B15" s="53" t="s">
        <v>24</v>
      </c>
    </row>
    <row r="16" spans="1:2" ht="24.75" customHeight="1" x14ac:dyDescent="0.2">
      <c r="A16" s="52" t="s">
        <v>25</v>
      </c>
      <c r="B16" s="53" t="str">
        <v>Requests define evaluation groups. Task adjustments use only work completed before each training cutoff.</v>
      </c>
    </row>
    <row r="17" spans="1:2" ht="24.75" customHeight="1" x14ac:dyDescent="0.2">
      <c r="A17" s="52" t="s">
        <v>27</v>
      </c>
      <c r="B17" s="53" t="s">
        <v>28</v>
      </c>
    </row>
    <row r="18" spans="1:2" ht="24.75" customHeight="1" x14ac:dyDescent="0.2">
      <c r="A18" s="52" t="s">
        <v>29</v>
      </c>
      <c r="B18" s="53" t="s">
        <v>30</v>
      </c>
    </row>
    <row r="19" spans="1:2" ht="24.75" customHeight="1" x14ac:dyDescent="0.2">
      <c r="A19" s="52" t="s">
        <v>31</v>
      </c>
      <c r="B19" s="53" t="s">
        <v>32</v>
      </c>
    </row>
    <row r="20" spans="1:2" ht="24.75" customHeight="1" x14ac:dyDescent="0.2">
      <c r="A20" s="52" t="s">
        <v>33</v>
      </c>
      <c r="B20" s="53" t="s">
        <v>34</v>
      </c>
    </row>
    <row r="21" spans="1:2" ht="24.75" customHeight="1" x14ac:dyDescent="0.2">
      <c r="A21" s="52" t="s">
        <v>35</v>
      </c>
      <c r="B21" s="53" t="str">
        <v>Planned backlog uses forecast incoming hours less booked hours. Open work snapshot provides a separate work-package view.</v>
      </c>
    </row>
    <row r="22" spans="1:2" ht="24.75" customHeight="1" x14ac:dyDescent="0.2">
      <c r="A22" s="52" t="s">
        <v>37</v>
      </c>
      <c r="B22" s="53" t="s">
        <v>38</v>
      </c>
    </row>
    <row r="23" spans="1:2" ht="24.75" customHeight="1" x14ac:dyDescent="0.2">
      <c r="A23" s="52" t="s">
        <v>39</v>
      </c>
      <c r="B23" s="53" t="str">
        <v>Time splits follow request dates. Training adjustments exclude jobs unfinished at the respective cutoff. Validation and job-level holdout remain distinct.</v>
      </c>
    </row>
    <row r="24" spans="1:2" ht="24.75" customHeight="1" x14ac:dyDescent="0.2">
      <c r="A24" s="52" t="s">
        <v>41</v>
      </c>
      <c r="B24" s="53" t="str">
        <v>Weekly time-series forecast predicts incoming initial estimates. Job-level calibration separately improves individual work estimates.</v>
      </c>
    </row>
    <row r="25" spans="1:2" ht="24.75" customHeight="1" x14ac:dyDescent="0.2">
      <c r="A25" s="52" t="s">
        <v>43</v>
      </c>
      <c r="B25" s="53" t="s">
        <v>44</v>
      </c>
    </row>
    <row r="26" spans="1:2" ht="24.75" customHeight="1" x14ac:dyDescent="0.2">
      <c r="A26" s="52" t="s">
        <v>45</v>
      </c>
      <c r="B26" s="53" t="s">
        <v>46</v>
      </c>
    </row>
    <row r="27" spans="1:2" ht="24.75" customHeight="1" x14ac:dyDescent="0.2">
      <c r="A27" s="52" t="s">
        <v>47</v>
      </c>
      <c r="B27" s="53" t="s">
        <v>48</v>
      </c>
    </row>
    <row r="29" spans="1:2" x14ac:dyDescent="0.2">
      <c r="A29" s="52" t="s">
        <v>49</v>
      </c>
      <c r="B29" s="53" t="s">
        <v>50</v>
      </c>
    </row>
    <row r="30" spans="1:2" x14ac:dyDescent="0.2">
      <c r="A30" s="52" t="s">
        <v>51</v>
      </c>
      <c r="B30" s="53" t="str">
        <v>Compares last observation, linear trend, moving average and seasonal naive. Uses separate 13-week selection and final test windows; excludes the final partial week.</v>
      </c>
    </row>
    <row r="31" spans="1:2" x14ac:dyDescent="0.2">
      <c r="A31" s="52" t="s">
        <v>53</v>
      </c>
      <c r="B31" s="53" t="str">
        <v>Splits forward demand using recent incoming estimate shares, adds snapshot backlog and compares with hypothetical staffing. No backlog clearance is assumed before the first forecast week.</v>
      </c>
    </row>
    <row r="32" spans="1:2" x14ac:dyDescent="0.2">
      <c r="A32" s="52" t="s">
        <v>55</v>
      </c>
      <c r="B32" s="53" t="s">
        <v>56</v>
      </c>
    </row>
    <row r="33" spans="1:2" x14ac:dyDescent="0.2">
      <c r="A33" s="52" t="s">
        <v>57</v>
      </c>
      <c r="B33" s="53" t="s">
        <v>58</v>
      </c>
    </row>
    <row r="34" spans="1:2" x14ac:dyDescent="0.2">
      <c r="A34" s="52" t="s">
        <v>59</v>
      </c>
      <c r="B34" s="53" t="s">
        <v>60</v>
      </c>
    </row>
    <row r="35" spans="1:2" x14ac:dyDescent="0.2">
      <c r="A35" s="52" t="s">
        <v>61</v>
      </c>
      <c r="B35" s="53" t="str">
        <v>Recovery options assume qualification and availability. Dollar figures are hypothetical, and recommendations require a task schedule before operational use.</v>
      </c>
    </row>
    <row r="36" spans="1:2" x14ac:dyDescent="0.2">
      <c r="A36" s="52" t="str">
        <v>Final review</v>
      </c>
      <c r="B36" t="str" s="53">
        <v>Technician start years corrected to precede their first labor entries. Error bands are illustrative. This is a synthetic portfolio simulation, not an operational manufacturer model.</v>
      </c>
    </row>
    <row r="37" spans="1:2" x14ac:dyDescent="0.2" ht="75" customHeight="1">
      <c r="A37" s="75" t="inlineStr">
        <is>
          <t>Labor entry correction</t>
        </is>
      </c>
      <c r="B37" s="76" t="inlineStr">
        <is>
          <t>Labor entries are capped at 12 hours per technician per day (8 regular + 4 overtime). Oversized single-day bookings were split across up to three same-skill technicians and earlier days, never before the request date or after the original last labor date. Work package totals and completion dates are unchanged; overtime equals hours above 8 per technician-day.</t>
        </is>
      </c>
    </row>
    <row r="38" ht="75" customHeight="1">
      <c r="A38" s="75" t="str">
        <v>Technician roster scope</v>
      </c>
      <c r="B38" s="76" t="str">
        <v>The 75 technicians form a fictional shared contributor pool across the sampled work over two years; they are not 75 dedicated full-time employees for this workload. Booked hours cover only the sampled packages. Capacity is a separate hypothetical 11-FTE assignment.</v>
      </c>
    </row>
    <row r="39" ht="75" customHeight="1">
      <c r="A39" s="75" t="str">
        <v>Repeat work vs inspection</v>
      </c>
      <c r="B39" s="76" t="str">
        <v>Repeat work marks realized package-level rework reflected in actual labor. Repeat inspection is a separate recorded disruption event. The synthetic generator treats these independently; neither flag requires the other. Neither is an intake-time forecasting feature.</v>
      </c>
    </row>
    <row r="40" ht="75" customHeight="1">
      <c r="A40" s="75" t="str">
        <v>Calendar and availability</v>
      </c>
      <c r="B40" s="76" t="str">
        <v>Historical bookings include weekends. The 12-hour technician-day cap is a simulation constraint, not a verified shift calendar. Shift labels and availability factors do not prove day-level availability. Earlier reassigned bookings assume same-skill staff and task readiness; detailed qualifications, absence calendars and task dependencies are not modeled.</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22"/>
  <sheetViews>
    <sheetView showGridLines="0" topLeftCell="A3" zoomScaleNormal="100" workbookViewId="0">
      <selection activeCell="A41" sqref="A41"/>
    </sheetView>
  </sheetViews>
  <sheetFormatPr defaultColWidth="8.7109375" defaultRowHeight="12.75" x14ac:dyDescent="0.2"/>
  <cols>
    <col min="1" max="1" width="34" style="51" customWidth="1"/>
    <col min="2" max="2" width="26" style="51" customWidth="1"/>
    <col min="3" max="3" width="20" style="51" customWidth="1"/>
    <col min="4" max="16384" width="8.7109375" style="51"/>
  </cols>
  <sheetData>
    <row r="2" spans="1:2" ht="19.5" x14ac:dyDescent="0.3">
      <c r="A2" s="50" t="s">
        <v>65</v>
      </c>
    </row>
    <row r="3" spans="1:2" x14ac:dyDescent="0.2">
      <c r="A3" s="54" t="str">
        <v>Aerospace maintenance planning simulation. Synthetic data; staffing, costs and recovery options are hypothetical.</v>
      </c>
    </row>
    <row r="5" spans="1:2" x14ac:dyDescent="0.2">
      <c r="A5" s="55" t="s">
        <v>67</v>
      </c>
      <c r="B5" s="55" t="s">
        <v>68</v>
      </c>
    </row>
    <row r="6" spans="1:2" ht="15" x14ac:dyDescent="0.25">
      <c r="A6" s="56" t="s">
        <v>69</v>
      </c>
      <c r="B6" s="57" t="str">
        <f ca="1">'Weekly forecast'!F10</f>
        <v>Same week last year</v>
      </c>
    </row>
    <row r="7" spans="1:2" ht="15" x14ac:dyDescent="0.25">
      <c r="A7" s="56" t="str">
        <v>Independent weekly test WMAPE</v>
      </c>
      <c r="B7" s="58">
        <f>INDEX('Weekly forecast'!K5:K8,'Weekly forecast'!F11)</f>
        <v>0.266629272799261</v>
      </c>
    </row>
    <row r="8" spans="1:2" ht="15" x14ac:dyDescent="0.25">
      <c r="A8" s="56" t="str">
        <v>Independent weekly test bias</v>
      </c>
      <c r="B8" s="58">
        <f>INDEX('Weekly forecast'!L5:L8,'Weekly forecast'!F11)</f>
        <v>-0.0647023888082356</v>
      </c>
    </row>
    <row r="9" spans="1:2" ht="15" x14ac:dyDescent="0.25">
      <c r="A9" s="56" t="s">
        <v>72</v>
      </c>
      <c r="B9" s="59">
        <f>'Capacity outlook'!B5</f>
        <v>46027.0</v>
      </c>
    </row>
    <row r="10" spans="1:2" ht="15" x14ac:dyDescent="0.25">
      <c r="A10" s="56" t="s">
        <v>73</v>
      </c>
      <c r="B10" s="60">
        <f ca="1">'Capacity outlook'!B7</f>
        <v>4334.6</v>
      </c>
    </row>
    <row r="11" spans="1:2" ht="15" x14ac:dyDescent="0.25">
      <c r="A11" s="56" t="s">
        <v>74</v>
      </c>
      <c r="B11" s="60">
        <f>'Capacity outlook'!B8</f>
        <v>521.629776703585</v>
      </c>
    </row>
    <row r="12" spans="1:2" ht="15" x14ac:dyDescent="0.25">
      <c r="A12" s="56" t="s">
        <v>75</v>
      </c>
      <c r="B12" s="60">
        <f>'Capacity outlook'!B10</f>
        <v>4661.95234242727</v>
      </c>
    </row>
    <row r="13" spans="1:2" ht="15" x14ac:dyDescent="0.25">
      <c r="A13" s="56" t="s">
        <v>76</v>
      </c>
      <c r="B13" s="58">
        <f ca="1">'Capacity outlook'!B11</f>
        <v>1.04167297732931</v>
      </c>
    </row>
    <row r="14" spans="1:2" ht="15" x14ac:dyDescent="0.25">
      <c r="A14" s="56" t="s">
        <v>77</v>
      </c>
      <c r="B14" s="61">
        <f ca="1">COUNTIFS('Capacity outlook'!K18:K23,"Short")+COUNTIFS('Capacity outlook'!K18:K23,"Tight")</f>
        <v>6</v>
      </c>
    </row>
    <row r="15" spans="1:2" ht="15" x14ac:dyDescent="0.25">
      <c r="A15" s="56" t="s">
        <v>78</v>
      </c>
      <c r="B15" s="57" t="str">
        <f ca="1">INDEX('Capacity outlook'!A18:A23,MATCH(MAX('Capacity outlook'!H18:H23),'Capacity outlook'!H18:H23,0))</f>
        <v>Avionics</v>
      </c>
    </row>
    <row r="16" spans="1:2" ht="15" x14ac:dyDescent="0.25">
      <c r="A16" s="56" t="s">
        <v>79</v>
      </c>
      <c r="B16" s="58">
        <f ca="1">MAX('Capacity outlook'!H18:H23)</f>
        <v>1.20485800086655</v>
      </c>
    </row>
    <row r="17" spans="1:3" ht="15" x14ac:dyDescent="0.25">
      <c r="A17" s="56" t="s">
        <v>80</v>
      </c>
      <c r="B17" s="58">
        <f>'Schedule performance'!B7</f>
        <v>0.515416666666667</v>
      </c>
    </row>
    <row r="19" spans="1:3" x14ac:dyDescent="0.2">
      <c r="A19" s="55" t="s">
        <v>81</v>
      </c>
      <c r="B19" s="55" t="s">
        <v>82</v>
      </c>
      <c r="C19" s="55" t="s">
        <v>83</v>
      </c>
    </row>
    <row r="20" spans="1:3" x14ac:dyDescent="0.2">
      <c r="A20" s="53" t="s">
        <v>84</v>
      </c>
      <c r="B20" s="62">
        <f>(SUMIFS(tblWorkPackages[Estimated labor hours],tblWorkPackages[Time split],"Validation H1")-SUMIFS(tblWorkPackages[Actual labor hours],tblWorkPackages[Time split],"Validation H1"))/SUMIFS(tblWorkPackages[Actual labor hours],tblWorkPackages[Time split],"Validation H1")</f>
        <v>-0.071884858486859</v>
      </c>
      <c r="C20" s="62">
        <f>(SUMIFS(tblWorkPackages[Calibrated forecast hours],tblWorkPackages[Time split],"Validation H1")-SUMIFS(tblWorkPackages[Actual labor hours],tblWorkPackages[Time split],"Validation H1"))/SUMIFS(tblWorkPackages[Actual labor hours],tblWorkPackages[Time split],"Validation H1")</f>
        <v>-0.0230186940864361</v>
      </c>
    </row>
    <row r="21" spans="1:3" x14ac:dyDescent="0.2">
      <c r="A21" s="53" t="s">
        <v>85</v>
      </c>
      <c r="B21" s="62">
        <f>(SUMIFS(tblWorkPackages[Estimated labor hours],tblWorkPackages[Time split],"Holdout H2")-SUMIFS(tblWorkPackages[Actual labor hours],tblWorkPackages[Time split],"Holdout H2"))/SUMIFS(tblWorkPackages[Actual labor hours],tblWorkPackages[Time split],"Holdout H2")</f>
        <v>-0.0747874370987334</v>
      </c>
      <c r="C21" s="62">
        <f>(SUMIFS(tblWorkPackages[Calibrated forecast hours],tblWorkPackages[Time split],"Holdout H2")-SUMIFS(tblWorkPackages[Actual labor hours],tblWorkPackages[Time split],"Holdout H2"))/SUMIFS(tblWorkPackages[Actual labor hours],tblWorkPackages[Time split],"Holdout H2")</f>
        <v>-0.00605524806192656</v>
      </c>
    </row>
    <row r="22" spans="1:3" x14ac:dyDescent="0.2">
      <c r="A22" s="54" t="s">
        <v>86</v>
      </c>
    </row>
  </sheetData>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2401"/>
  <sheetViews>
    <sheetView showGridLines="0" zoomScaleNormal="100" workbookViewId="0">
      <pane ySplit="1" topLeftCell="A2" activePane="bottomLeft" state="frozen"/>
      <selection pane="bottomLeft" activeCell="C7" sqref="C7"/>
    </sheetView>
  </sheetViews>
  <sheetFormatPr defaultColWidth="8.7109375" defaultRowHeight="12.75" x14ac:dyDescent="0.2"/>
  <cols>
    <col min="1" max="1" width="17" style="51" customWidth="1"/>
    <col min="2" max="2" width="14" style="51" customWidth="1"/>
    <col min="3" max="4" width="16" style="51" customWidth="1"/>
    <col min="5" max="5" width="31" style="51" customWidth="1"/>
    <col min="6" max="7" width="17" style="51" customWidth="1"/>
    <col min="8" max="8" width="19" style="51" customWidth="1"/>
    <col min="9" max="9" width="13" style="51" customWidth="1"/>
    <col min="10" max="10" width="19" style="51" customWidth="1"/>
    <col min="11" max="11" width="20" style="51" customWidth="1"/>
    <col min="12" max="12" width="22" style="51" customWidth="1"/>
    <col min="13" max="13" width="18" style="51" customWidth="1"/>
    <col min="14" max="14" width="19" style="51" customWidth="1"/>
    <col min="15" max="17" width="25" style="51" customWidth="1"/>
    <col min="18" max="18" width="23" style="51" customWidth="1"/>
    <col min="19" max="19" width="22" style="51" customWidth="1"/>
    <col min="20" max="21" width="27" style="51" customWidth="1"/>
    <col min="22" max="22" width="25" style="51" customWidth="1"/>
    <col min="23" max="25" width="23" style="51" customWidth="1"/>
    <col min="26" max="36" width="16" style="51" customWidth="1"/>
    <col min="37" max="16384" width="8.7109375" style="51"/>
  </cols>
  <sheetData>
    <row r="1" spans="1:36" x14ac:dyDescent="0.2">
      <c r="A1" s="63" t="s">
        <v>87</v>
      </c>
      <c r="B1" s="63" t="s">
        <v>88</v>
      </c>
      <c r="C1" s="63" t="s">
        <v>89</v>
      </c>
      <c r="D1" s="63" t="s">
        <v>90</v>
      </c>
      <c r="E1" s="63" t="s">
        <v>91</v>
      </c>
      <c r="F1" s="63" t="s">
        <v>92</v>
      </c>
      <c r="G1" s="63" t="s">
        <v>93</v>
      </c>
      <c r="H1" s="63" t="s">
        <v>94</v>
      </c>
      <c r="I1" s="63" t="s">
        <v>95</v>
      </c>
      <c r="J1" s="63" t="s">
        <v>96</v>
      </c>
      <c r="K1" s="63" t="s">
        <v>97</v>
      </c>
      <c r="L1" s="63" t="s">
        <v>98</v>
      </c>
      <c r="M1" s="63" t="s">
        <v>99</v>
      </c>
      <c r="N1" s="63" t="s">
        <v>100</v>
      </c>
      <c r="O1" s="63" t="s">
        <v>101</v>
      </c>
      <c r="P1" s="63" t="s">
        <v>102</v>
      </c>
      <c r="Q1" s="63" t="s">
        <v>103</v>
      </c>
      <c r="R1" s="63" t="s">
        <v>104</v>
      </c>
      <c r="S1" s="63" t="s">
        <v>105</v>
      </c>
      <c r="T1" s="63" t="s">
        <v>106</v>
      </c>
      <c r="U1" s="63" t="s">
        <v>107</v>
      </c>
      <c r="V1" s="63" t="s">
        <v>108</v>
      </c>
      <c r="W1" s="63" t="s">
        <v>109</v>
      </c>
      <c r="X1" s="63" t="s">
        <v>110</v>
      </c>
      <c r="Y1" s="63" t="s">
        <v>111</v>
      </c>
      <c r="Z1" s="63" t="s">
        <v>112</v>
      </c>
      <c r="AA1" s="63" t="s">
        <v>113</v>
      </c>
      <c r="AB1" s="63" t="s">
        <v>114</v>
      </c>
      <c r="AC1" s="63" t="s">
        <v>115</v>
      </c>
      <c r="AD1" s="63" t="s">
        <v>116</v>
      </c>
      <c r="AE1" s="63" t="s">
        <v>117</v>
      </c>
      <c r="AF1" s="63" t="s">
        <v>118</v>
      </c>
      <c r="AG1" s="63" t="s">
        <v>119</v>
      </c>
      <c r="AH1" s="63" t="s">
        <v>120</v>
      </c>
      <c r="AI1" s="63" t="s">
        <v>121</v>
      </c>
      <c r="AJ1" s="63" t="s">
        <v>122</v>
      </c>
    </row>
    <row r="2" spans="1:36" ht="15" x14ac:dyDescent="0.25">
      <c r="A2" s="53" t="s">
        <v>123</v>
      </c>
      <c r="B2" s="53" t="s">
        <v>124</v>
      </c>
      <c r="C2" s="53" t="s">
        <v>125</v>
      </c>
      <c r="D2" s="53" t="s">
        <v>126</v>
      </c>
      <c r="E2" s="53" t="s">
        <v>127</v>
      </c>
      <c r="F2" s="53" t="s">
        <v>128</v>
      </c>
      <c r="G2" s="53" t="s">
        <v>129</v>
      </c>
      <c r="H2" s="53">
        <v>3</v>
      </c>
      <c r="I2" s="53" t="s">
        <v>130</v>
      </c>
      <c r="J2" s="53">
        <v>0</v>
      </c>
      <c r="K2" s="53">
        <v>0</v>
      </c>
      <c r="L2" s="53">
        <v>11</v>
      </c>
      <c r="M2" s="53" t="s">
        <v>131</v>
      </c>
      <c r="N2" s="53">
        <v>10.8</v>
      </c>
      <c r="O2" s="51" t="str">
        <f>TEXT(tblWorkPackages[[#This Row],[Request date serial]]-WEEKDAY(tblWorkPackages[[#This Row],[Request date serial]],3),"yyyy-mm-dd")</f>
        <v>2025-04-28</v>
      </c>
      <c r="P2" s="51">
        <f>ABS(tblWorkPackages[[#This Row],[Actual labor hours]]-tblWorkPackages[[#This Row],[Estimated labor hours]])</f>
        <v>0.199999999999999</v>
      </c>
      <c r="Q2" s="51">
        <f>IF(tblWorkPackages[[#This Row],[Actual labor hours]]&gt;tblWorkPackages[[#This Row],[Estimated labor hours]],1,0)</f>
        <v>0</v>
      </c>
      <c r="R2" s="51">
        <f>tblWorkPackages[[#This Row],[Actual labor hours]]-tblWorkPackages[[#This Row],[Estimated labor hours]]</f>
        <v>-0.199999999999999</v>
      </c>
      <c r="S2" s="51" t="str">
        <f>IF(tblWorkPackages[[#This Row],[Request date serial]]&lt;ValidationStart,"Train 2024",IF(tblWorkPackages[[#This Row],[Request date serial]]&lt;HoldoutStart,"Validation H1","Holdout H2"))</f>
        <v>Validation H1</v>
      </c>
      <c r="T2" s="51">
        <f>IF(tblWorkPackages[[#This Row],[Time split]]="Train 2024","",tblWorkPackages[[#This Row],[Estimated labor hours]]+VLOOKUP(tblWorkPackages[[#This Row],[Task type]],'Forecast validation'!$A$14:$E$25,IF(tblWorkPackages[[#This Row],[Time split]]="Validation H1",4,5),FALSE()))</f>
        <v>11.475641025641</v>
      </c>
      <c r="U2" s="51">
        <f>IF(tblWorkPackages[[#This Row],[Calibrated forecast hours]]="","",ABS(tblWorkPackages[[#This Row],[Actual labor hours]]-tblWorkPackages[[#This Row],[Calibrated forecast hours]]))</f>
        <v>0.675641025641024</v>
      </c>
      <c r="V2" s="51">
        <f>IF(tblWorkPackages[[#This Row],[Time split]]="Train 2024",tblWorkPackages[[#This Row],[Estimated labor hours]],tblWorkPackages[[#This Row],[Calibrated forecast hours]])</f>
        <v>11.475641025641</v>
      </c>
      <c r="W2" s="64">
        <f>DATEVALUE(tblWorkPackages[[#This Row],[Request date]])</f>
        <v>45780.0</v>
      </c>
      <c r="X2" s="64">
        <f>DATEVALUE(tblWorkPackages[[#This Row],[Due date]])</f>
        <v>45793.0</v>
      </c>
      <c r="Y2" s="64">
        <f>DATEVALUE(tblWorkPackages[[#This Row],[Completion date]])</f>
        <v>45791.0</v>
      </c>
      <c r="Z2" s="64">
        <f>_xlfn.MINIFS(tblLaborEntries[Work date serial],tblLaborEntries[Work package ID],tblWorkPackages[[#This Row],[Work package ID]])</f>
        <v>45789.0</v>
      </c>
      <c r="AA2" s="64">
        <f>_xlfn.MAXIFS(tblLaborEntries[Work date serial],tblLaborEntries[Work package ID],tblWorkPackages[[#This Row],[Work package ID]])</f>
        <v>45791.0</v>
      </c>
      <c r="AB2" s="65">
        <f>IF(tblWorkPackages[[#This Row],[Completion date serial]]&gt;tblWorkPackages[[#This Row],[Due date serial]],1,0)</f>
        <v>0</v>
      </c>
      <c r="AC2" s="65">
        <f>MAX(0,tblWorkPackages[[#This Row],[Completion date serial]]-tblWorkPackages[[#This Row],[Due date serial]])</f>
        <v>0</v>
      </c>
      <c r="AD2" s="65">
        <f>tblWorkPackages[[#This Row],[First labor date]]-tblWorkPackages[[#This Row],[Request date serial]]</f>
        <v>9</v>
      </c>
      <c r="AE2" s="65">
        <f>tblWorkPackages[[#This Row],[Last labor date]]-tblWorkPackages[[#This Row],[First labor date]]</f>
        <v>2</v>
      </c>
      <c r="AF2" s="65">
        <f>tblWorkPackages[[#This Row],[Completion date serial]]-tblWorkPackages[[#This Row],[Last labor date]]</f>
        <v>0</v>
      </c>
      <c r="AG2" s="65">
        <f>tblWorkPackages[[#This Row],[Completion date serial]]-tblWorkPackages[[#This Row],[Request date serial]]</f>
        <v>11</v>
      </c>
      <c r="AH2" s="65">
        <f>IFERROR(INDEX(tblParts[Delay days],MATCH(tblWorkPackages[[#This Row],[Work package ID]],tblParts[Work package ID],0)),0)</f>
        <v>0</v>
      </c>
      <c r="AI2" s="51" t="str">
        <f>IFERROR(INDEX(tblDisruptions[Event type],MATCH(tblWorkPackages[[#This Row],[Work package ID]],tblDisruptions[Work package ID],0)),"None")</f>
        <v>None</v>
      </c>
      <c r="AJ2" s="51" t="str">
        <f>TEXT(tblWorkPackages[[#This Row],[Due date serial]],"yyyy-mm")</f>
        <v>2025-05</v>
      </c>
    </row>
    <row r="3" spans="1:36" ht="15" x14ac:dyDescent="0.25">
      <c r="A3" s="53" t="s">
        <v>132</v>
      </c>
      <c r="B3" s="53" t="s">
        <v>133</v>
      </c>
      <c r="C3" s="53" t="s">
        <v>134</v>
      </c>
      <c r="D3" s="53" t="s">
        <v>135</v>
      </c>
      <c r="E3" s="53" t="s">
        <v>136</v>
      </c>
      <c r="F3" s="53" t="s">
        <v>137</v>
      </c>
      <c r="G3" s="53" t="s">
        <v>138</v>
      </c>
      <c r="H3" s="53">
        <v>1</v>
      </c>
      <c r="I3" s="53" t="s">
        <v>130</v>
      </c>
      <c r="J3" s="53">
        <v>0</v>
      </c>
      <c r="K3" s="53">
        <v>0</v>
      </c>
      <c r="L3" s="53">
        <v>8.1</v>
      </c>
      <c r="M3" s="53" t="s">
        <v>139</v>
      </c>
      <c r="N3" s="53">
        <v>6.9</v>
      </c>
      <c r="O3" s="51" t="str">
        <f>TEXT(tblWorkPackages[[#This Row],[Request date serial]]-WEEKDAY(tblWorkPackages[[#This Row],[Request date serial]],3),"yyyy-mm-dd")</f>
        <v>2025-09-01</v>
      </c>
      <c r="P3" s="51">
        <f>ABS(tblWorkPackages[[#This Row],[Actual labor hours]]-tblWorkPackages[[#This Row],[Estimated labor hours]])</f>
        <v>1.2</v>
      </c>
      <c r="Q3" s="51">
        <f>IF(tblWorkPackages[[#This Row],[Actual labor hours]]&gt;tblWorkPackages[[#This Row],[Estimated labor hours]],1,0)</f>
        <v>0</v>
      </c>
      <c r="R3" s="51">
        <f>tblWorkPackages[[#This Row],[Actual labor hours]]-tblWorkPackages[[#This Row],[Estimated labor hours]]</f>
        <v>-1.2</v>
      </c>
      <c r="S3" s="51" t="str">
        <f>IF(tblWorkPackages[[#This Row],[Request date serial]]&lt;ValidationStart,"Train 2024",IF(tblWorkPackages[[#This Row],[Request date serial]]&lt;HoldoutStart,"Validation H1","Holdout H2"))</f>
        <v>Holdout H2</v>
      </c>
      <c r="T3" s="51">
        <f>IF(tblWorkPackages[[#This Row],[Time split]]="Train 2024","",tblWorkPackages[[#This Row],[Estimated labor hours]]+VLOOKUP(tblWorkPackages[[#This Row],[Task type]],'Forecast validation'!$A$14:$E$25,IF(tblWorkPackages[[#This Row],[Time split]]="Validation H1",4,5),FALSE()))</f>
        <v>9.02075471698113</v>
      </c>
      <c r="U3" s="51">
        <f>IF(tblWorkPackages[[#This Row],[Calibrated forecast hours]]="","",ABS(tblWorkPackages[[#This Row],[Actual labor hours]]-tblWorkPackages[[#This Row],[Calibrated forecast hours]]))</f>
        <v>2.12075471698113</v>
      </c>
      <c r="V3" s="51">
        <f>IF(tblWorkPackages[[#This Row],[Time split]]="Train 2024",tblWorkPackages[[#This Row],[Estimated labor hours]],tblWorkPackages[[#This Row],[Calibrated forecast hours]])</f>
        <v>9.02075471698113</v>
      </c>
      <c r="W3" s="64">
        <f>DATEVALUE(tblWorkPackages[[#This Row],[Request date]])</f>
        <v>45905.0</v>
      </c>
      <c r="X3" s="64">
        <f>DATEVALUE(tblWorkPackages[[#This Row],[Due date]])</f>
        <v>45918.0</v>
      </c>
      <c r="Y3" s="64">
        <f>DATEVALUE(tblWorkPackages[[#This Row],[Completion date]])</f>
        <v>45908.0</v>
      </c>
      <c r="Z3" s="64">
        <f>_xlfn.MINIFS(tblLaborEntries[Work date serial],tblLaborEntries[Work package ID],tblWorkPackages[[#This Row],[Work package ID]])</f>
        <v>45907.0</v>
      </c>
      <c r="AA3" s="64">
        <f>_xlfn.MAXIFS(tblLaborEntries[Work date serial],tblLaborEntries[Work package ID],tblWorkPackages[[#This Row],[Work package ID]])</f>
        <v>45907.0</v>
      </c>
      <c r="AB3" s="65">
        <f>IF(tblWorkPackages[[#This Row],[Completion date serial]]&gt;tblWorkPackages[[#This Row],[Due date serial]],1,0)</f>
        <v>0</v>
      </c>
      <c r="AC3" s="65">
        <f>MAX(0,tblWorkPackages[[#This Row],[Completion date serial]]-tblWorkPackages[[#This Row],[Due date serial]])</f>
        <v>0</v>
      </c>
      <c r="AD3" s="65">
        <f>tblWorkPackages[[#This Row],[First labor date]]-tblWorkPackages[[#This Row],[Request date serial]]</f>
        <v>2</v>
      </c>
      <c r="AE3" s="65">
        <f>tblWorkPackages[[#This Row],[Last labor date]]-tblWorkPackages[[#This Row],[First labor date]]</f>
        <v>0</v>
      </c>
      <c r="AF3" s="65">
        <f>tblWorkPackages[[#This Row],[Completion date serial]]-tblWorkPackages[[#This Row],[Last labor date]]</f>
        <v>1</v>
      </c>
      <c r="AG3" s="65">
        <f>tblWorkPackages[[#This Row],[Completion date serial]]-tblWorkPackages[[#This Row],[Request date serial]]</f>
        <v>3</v>
      </c>
      <c r="AH3" s="65">
        <f>IFERROR(INDEX(tblParts[Delay days],MATCH(tblWorkPackages[[#This Row],[Work package ID]],tblParts[Work package ID],0)),0)</f>
        <v>0</v>
      </c>
      <c r="AI3" s="51" t="str">
        <f>IFERROR(INDEX(tblDisruptions[Event type],MATCH(tblWorkPackages[[#This Row],[Work package ID]],tblDisruptions[Work package ID],0)),"None")</f>
        <v>None</v>
      </c>
      <c r="AJ3" s="51" t="str">
        <f>TEXT(tblWorkPackages[[#This Row],[Due date serial]],"yyyy-mm")</f>
        <v>2025-09</v>
      </c>
    </row>
    <row r="4" spans="1:36" ht="15" x14ac:dyDescent="0.25">
      <c r="A4" s="53" t="s">
        <v>140</v>
      </c>
      <c r="B4" s="53" t="s">
        <v>141</v>
      </c>
      <c r="C4" s="53" t="s">
        <v>142</v>
      </c>
      <c r="D4" s="53" t="s">
        <v>143</v>
      </c>
      <c r="E4" s="53" t="s">
        <v>144</v>
      </c>
      <c r="F4" s="53" t="s">
        <v>145</v>
      </c>
      <c r="G4" s="53" t="s">
        <v>146</v>
      </c>
      <c r="H4" s="53">
        <v>4</v>
      </c>
      <c r="I4" s="53" t="s">
        <v>147</v>
      </c>
      <c r="J4" s="53">
        <v>0</v>
      </c>
      <c r="K4" s="53">
        <v>1</v>
      </c>
      <c r="L4" s="53">
        <v>19.100000000000001</v>
      </c>
      <c r="M4" s="53" t="s">
        <v>148</v>
      </c>
      <c r="N4" s="53">
        <v>14.7</v>
      </c>
      <c r="O4" s="51" t="str">
        <f>TEXT(tblWorkPackages[[#This Row],[Request date serial]]-WEEKDAY(tblWorkPackages[[#This Row],[Request date serial]],3),"yyyy-mm-dd")</f>
        <v>2024-01-29</v>
      </c>
      <c r="P4" s="51">
        <f>ABS(tblWorkPackages[[#This Row],[Actual labor hours]]-tblWorkPackages[[#This Row],[Estimated labor hours]])</f>
        <v>4.4</v>
      </c>
      <c r="Q4" s="51">
        <f>IF(tblWorkPackages[[#This Row],[Actual labor hours]]&gt;tblWorkPackages[[#This Row],[Estimated labor hours]],1,0)</f>
        <v>0</v>
      </c>
      <c r="R4" s="51">
        <f>tblWorkPackages[[#This Row],[Actual labor hours]]-tblWorkPackages[[#This Row],[Estimated labor hours]]</f>
        <v>-4.4</v>
      </c>
      <c r="S4" s="51" t="str">
        <f>IF(tblWorkPackages[[#This Row],[Request date serial]]&lt;ValidationStart,"Train 2024",IF(tblWorkPackages[[#This Row],[Request date serial]]&lt;HoldoutStart,"Validation H1","Holdout H2"))</f>
        <v>Train 2024</v>
      </c>
      <c r="T4" s="51" t="str">
        <f>IF(tblWorkPackages[[#This Row],[Time split]]="Train 2024","",tblWorkPackages[[#This Row],[Estimated labor hours]]+VLOOKUP(tblWorkPackages[[#This Row],[Task type]],'Forecast validation'!$A$14:$E$25,IF(tblWorkPackages[[#This Row],[Time split]]="Validation H1",4,5),FALSE()))</f>
        <v/>
      </c>
      <c r="U4" s="51" t="str">
        <f>IF(tblWorkPackages[[#This Row],[Calibrated forecast hours]]="","",ABS(tblWorkPackages[[#This Row],[Actual labor hours]]-tblWorkPackages[[#This Row],[Calibrated forecast hours]]))</f>
        <v/>
      </c>
      <c r="V4" s="51">
        <f>IF(tblWorkPackages[[#This Row],[Time split]]="Train 2024",tblWorkPackages[[#This Row],[Estimated labor hours]],tblWorkPackages[[#This Row],[Calibrated forecast hours]])</f>
        <v>19.1</v>
      </c>
      <c r="W4" s="64">
        <f>DATEVALUE(tblWorkPackages[[#This Row],[Request date]])</f>
        <v>45322.0</v>
      </c>
      <c r="X4" s="64">
        <f>DATEVALUE(tblWorkPackages[[#This Row],[Due date]])</f>
        <v>45324.0</v>
      </c>
      <c r="Y4" s="64">
        <f>DATEVALUE(tblWorkPackages[[#This Row],[Completion date]])</f>
        <v>45348.0</v>
      </c>
      <c r="Z4" s="64">
        <f>_xlfn.MINIFS(tblLaborEntries[Work date serial],tblLaborEntries[Work package ID],tblWorkPackages[[#This Row],[Work package ID]])</f>
        <v>45345.0</v>
      </c>
      <c r="AA4" s="64">
        <f>_xlfn.MAXIFS(tblLaborEntries[Work date serial],tblLaborEntries[Work package ID],tblWorkPackages[[#This Row],[Work package ID]])</f>
        <v>45346.0</v>
      </c>
      <c r="AB4" s="65">
        <f>IF(tblWorkPackages[[#This Row],[Completion date serial]]&gt;tblWorkPackages[[#This Row],[Due date serial]],1,0)</f>
        <v>1</v>
      </c>
      <c r="AC4" s="65">
        <f>MAX(0,tblWorkPackages[[#This Row],[Completion date serial]]-tblWorkPackages[[#This Row],[Due date serial]])</f>
        <v>24</v>
      </c>
      <c r="AD4" s="65">
        <f>tblWorkPackages[[#This Row],[First labor date]]-tblWorkPackages[[#This Row],[Request date serial]]</f>
        <v>23</v>
      </c>
      <c r="AE4" s="65">
        <f>tblWorkPackages[[#This Row],[Last labor date]]-tblWorkPackages[[#This Row],[First labor date]]</f>
        <v>1</v>
      </c>
      <c r="AF4" s="65">
        <f>tblWorkPackages[[#This Row],[Completion date serial]]-tblWorkPackages[[#This Row],[Last labor date]]</f>
        <v>2</v>
      </c>
      <c r="AG4" s="65">
        <f>tblWorkPackages[[#This Row],[Completion date serial]]-tblWorkPackages[[#This Row],[Request date serial]]</f>
        <v>26</v>
      </c>
      <c r="AH4" s="65">
        <f>IFERROR(INDEX(tblParts[Delay days],MATCH(tblWorkPackages[[#This Row],[Work package ID]],tblParts[Work package ID],0)),0)</f>
        <v>0</v>
      </c>
      <c r="AI4" s="51" t="str">
        <f>IFERROR(INDEX(tblDisruptions[Event type],MATCH(tblWorkPackages[[#This Row],[Work package ID]],tblDisruptions[Work package ID],0)),"None")</f>
        <v>None</v>
      </c>
      <c r="AJ4" s="51" t="str">
        <f>TEXT(tblWorkPackages[[#This Row],[Due date serial]],"yyyy-mm")</f>
        <v>2024-02</v>
      </c>
    </row>
    <row r="5" spans="1:36" ht="15" x14ac:dyDescent="0.25">
      <c r="A5" s="53" t="s">
        <v>149</v>
      </c>
      <c r="B5" s="53" t="s">
        <v>150</v>
      </c>
      <c r="C5" s="53" t="s">
        <v>151</v>
      </c>
      <c r="D5" s="53" t="s">
        <v>152</v>
      </c>
      <c r="E5" s="53" t="s">
        <v>153</v>
      </c>
      <c r="F5" s="53" t="s">
        <v>128</v>
      </c>
      <c r="G5" s="53" t="s">
        <v>154</v>
      </c>
      <c r="H5" s="53">
        <v>2</v>
      </c>
      <c r="I5" s="53" t="s">
        <v>147</v>
      </c>
      <c r="J5" s="53">
        <v>1</v>
      </c>
      <c r="K5" s="53">
        <v>0</v>
      </c>
      <c r="L5" s="53">
        <v>9.4</v>
      </c>
      <c r="M5" s="53" t="s">
        <v>155</v>
      </c>
      <c r="N5" s="53">
        <v>12.9</v>
      </c>
      <c r="O5" s="51" t="str">
        <f>TEXT(tblWorkPackages[[#This Row],[Request date serial]]-WEEKDAY(tblWorkPackages[[#This Row],[Request date serial]],3),"yyyy-mm-dd")</f>
        <v>2024-08-19</v>
      </c>
      <c r="P5" s="51">
        <f>ABS(tblWorkPackages[[#This Row],[Actual labor hours]]-tblWorkPackages[[#This Row],[Estimated labor hours]])</f>
        <v>3.5</v>
      </c>
      <c r="Q5" s="51">
        <f>IF(tblWorkPackages[[#This Row],[Actual labor hours]]&gt;tblWorkPackages[[#This Row],[Estimated labor hours]],1,0)</f>
        <v>1</v>
      </c>
      <c r="R5" s="51">
        <f>tblWorkPackages[[#This Row],[Actual labor hours]]-tblWorkPackages[[#This Row],[Estimated labor hours]]</f>
        <v>3.5</v>
      </c>
      <c r="S5" s="51" t="str">
        <f>IF(tblWorkPackages[[#This Row],[Request date serial]]&lt;ValidationStart,"Train 2024",IF(tblWorkPackages[[#This Row],[Request date serial]]&lt;HoldoutStart,"Validation H1","Holdout H2"))</f>
        <v>Train 2024</v>
      </c>
      <c r="T5" s="51" t="str">
        <f>IF(tblWorkPackages[[#This Row],[Time split]]="Train 2024","",tblWorkPackages[[#This Row],[Estimated labor hours]]+VLOOKUP(tblWorkPackages[[#This Row],[Task type]],'Forecast validation'!$A$14:$E$25,IF(tblWorkPackages[[#This Row],[Time split]]="Validation H1",4,5),FALSE()))</f>
        <v/>
      </c>
      <c r="U5" s="51" t="str">
        <f>IF(tblWorkPackages[[#This Row],[Calibrated forecast hours]]="","",ABS(tblWorkPackages[[#This Row],[Actual labor hours]]-tblWorkPackages[[#This Row],[Calibrated forecast hours]]))</f>
        <v/>
      </c>
      <c r="V5" s="51">
        <f>IF(tblWorkPackages[[#This Row],[Time split]]="Train 2024",tblWorkPackages[[#This Row],[Estimated labor hours]],tblWorkPackages[[#This Row],[Calibrated forecast hours]])</f>
        <v>9.4</v>
      </c>
      <c r="W5" s="64">
        <f>DATEVALUE(tblWorkPackages[[#This Row],[Request date]])</f>
        <v>45527.0</v>
      </c>
      <c r="X5" s="64">
        <f>DATEVALUE(tblWorkPackages[[#This Row],[Due date]])</f>
        <v>45529.0</v>
      </c>
      <c r="Y5" s="64">
        <f>DATEVALUE(tblWorkPackages[[#This Row],[Completion date]])</f>
        <v>45535.0</v>
      </c>
      <c r="Z5" s="64">
        <f>_xlfn.MINIFS(tblLaborEntries[Work date serial],tblLaborEntries[Work package ID],tblWorkPackages[[#This Row],[Work package ID]])</f>
        <v>45531.0</v>
      </c>
      <c r="AA5" s="64">
        <f>_xlfn.MAXIFS(tblLaborEntries[Work date serial],tblLaborEntries[Work package ID],tblWorkPackages[[#This Row],[Work package ID]])</f>
        <v>45532.0</v>
      </c>
      <c r="AB5" s="65">
        <f>IF(tblWorkPackages[[#This Row],[Completion date serial]]&gt;tblWorkPackages[[#This Row],[Due date serial]],1,0)</f>
        <v>1</v>
      </c>
      <c r="AC5" s="65">
        <f>MAX(0,tblWorkPackages[[#This Row],[Completion date serial]]-tblWorkPackages[[#This Row],[Due date serial]])</f>
        <v>6</v>
      </c>
      <c r="AD5" s="65">
        <f>tblWorkPackages[[#This Row],[First labor date]]-tblWorkPackages[[#This Row],[Request date serial]]</f>
        <v>4</v>
      </c>
      <c r="AE5" s="65">
        <f>tblWorkPackages[[#This Row],[Last labor date]]-tblWorkPackages[[#This Row],[First labor date]]</f>
        <v>1</v>
      </c>
      <c r="AF5" s="65">
        <f>tblWorkPackages[[#This Row],[Completion date serial]]-tblWorkPackages[[#This Row],[Last labor date]]</f>
        <v>3</v>
      </c>
      <c r="AG5" s="65">
        <f>tblWorkPackages[[#This Row],[Completion date serial]]-tblWorkPackages[[#This Row],[Request date serial]]</f>
        <v>8</v>
      </c>
      <c r="AH5" s="65">
        <f>IFERROR(INDEX(tblParts[Delay days],MATCH(tblWorkPackages[[#This Row],[Work package ID]],tblParts[Work package ID],0)),0)</f>
        <v>0</v>
      </c>
      <c r="AI5" s="51" t="str">
        <f>IFERROR(INDEX(tblDisruptions[Event type],MATCH(tblWorkPackages[[#This Row],[Work package ID]],tblDisruptions[Work package ID],0)),"None")</f>
        <v>None</v>
      </c>
      <c r="AJ5" s="51" t="str">
        <f>TEXT(tblWorkPackages[[#This Row],[Due date serial]],"yyyy-mm")</f>
        <v>2024-08</v>
      </c>
    </row>
    <row r="6" spans="1:36" ht="15" x14ac:dyDescent="0.25">
      <c r="A6" s="53" t="s">
        <v>156</v>
      </c>
      <c r="B6" s="53" t="s">
        <v>157</v>
      </c>
      <c r="C6" s="53" t="s">
        <v>158</v>
      </c>
      <c r="D6" s="53" t="s">
        <v>159</v>
      </c>
      <c r="E6" s="53" t="s">
        <v>160</v>
      </c>
      <c r="F6" s="53" t="s">
        <v>128</v>
      </c>
      <c r="G6" s="53" t="s">
        <v>138</v>
      </c>
      <c r="H6" s="53">
        <v>4</v>
      </c>
      <c r="I6" s="53" t="s">
        <v>130</v>
      </c>
      <c r="J6" s="53">
        <v>0</v>
      </c>
      <c r="K6" s="53">
        <v>1</v>
      </c>
      <c r="L6" s="53">
        <v>7.3</v>
      </c>
      <c r="M6" s="53" t="s">
        <v>161</v>
      </c>
      <c r="N6" s="53">
        <v>8</v>
      </c>
      <c r="O6" s="51" t="str">
        <f>TEXT(tblWorkPackages[[#This Row],[Request date serial]]-WEEKDAY(tblWorkPackages[[#This Row],[Request date serial]],3),"yyyy-mm-dd")</f>
        <v>2024-11-25</v>
      </c>
      <c r="P6" s="51">
        <f>ABS(tblWorkPackages[[#This Row],[Actual labor hours]]-tblWorkPackages[[#This Row],[Estimated labor hours]])</f>
        <v>0.7</v>
      </c>
      <c r="Q6" s="51">
        <f>IF(tblWorkPackages[[#This Row],[Actual labor hours]]&gt;tblWorkPackages[[#This Row],[Estimated labor hours]],1,0)</f>
        <v>1</v>
      </c>
      <c r="R6" s="51">
        <f>tblWorkPackages[[#This Row],[Actual labor hours]]-tblWorkPackages[[#This Row],[Estimated labor hours]]</f>
        <v>0.7</v>
      </c>
      <c r="S6" s="51" t="str">
        <f>IF(tblWorkPackages[[#This Row],[Request date serial]]&lt;ValidationStart,"Train 2024",IF(tblWorkPackages[[#This Row],[Request date serial]]&lt;HoldoutStart,"Validation H1","Holdout H2"))</f>
        <v>Train 2024</v>
      </c>
      <c r="T6" s="51" t="str">
        <f>IF(tblWorkPackages[[#This Row],[Time split]]="Train 2024","",tblWorkPackages[[#This Row],[Estimated labor hours]]+VLOOKUP(tblWorkPackages[[#This Row],[Task type]],'Forecast validation'!$A$14:$E$25,IF(tblWorkPackages[[#This Row],[Time split]]="Validation H1",4,5),FALSE()))</f>
        <v/>
      </c>
      <c r="U6" s="51" t="str">
        <f>IF(tblWorkPackages[[#This Row],[Calibrated forecast hours]]="","",ABS(tblWorkPackages[[#This Row],[Actual labor hours]]-tblWorkPackages[[#This Row],[Calibrated forecast hours]]))</f>
        <v/>
      </c>
      <c r="V6" s="51">
        <f>IF(tblWorkPackages[[#This Row],[Time split]]="Train 2024",tblWorkPackages[[#This Row],[Estimated labor hours]],tblWorkPackages[[#This Row],[Calibrated forecast hours]])</f>
        <v>7.3</v>
      </c>
      <c r="W6" s="64">
        <f>DATEVALUE(tblWorkPackages[[#This Row],[Request date]])</f>
        <v>45627.0</v>
      </c>
      <c r="X6" s="64">
        <f>DATEVALUE(tblWorkPackages[[#This Row],[Due date]])</f>
        <v>45640.0</v>
      </c>
      <c r="Y6" s="64">
        <f>DATEVALUE(tblWorkPackages[[#This Row],[Completion date]])</f>
        <v>45628.0</v>
      </c>
      <c r="Z6" s="64">
        <f>_xlfn.MINIFS(tblLaborEntries[Work date serial],tblLaborEntries[Work package ID],tblWorkPackages[[#This Row],[Work package ID]])</f>
        <v>45628.0</v>
      </c>
      <c r="AA6" s="64">
        <f>_xlfn.MAXIFS(tblLaborEntries[Work date serial],tblLaborEntries[Work package ID],tblWorkPackages[[#This Row],[Work package ID]])</f>
        <v>45628.0</v>
      </c>
      <c r="AB6" s="65">
        <f>IF(tblWorkPackages[[#This Row],[Completion date serial]]&gt;tblWorkPackages[[#This Row],[Due date serial]],1,0)</f>
        <v>0</v>
      </c>
      <c r="AC6" s="65">
        <f>MAX(0,tblWorkPackages[[#This Row],[Completion date serial]]-tblWorkPackages[[#This Row],[Due date serial]])</f>
        <v>0</v>
      </c>
      <c r="AD6" s="65">
        <f>tblWorkPackages[[#This Row],[First labor date]]-tblWorkPackages[[#This Row],[Request date serial]]</f>
        <v>1</v>
      </c>
      <c r="AE6" s="65">
        <f>tblWorkPackages[[#This Row],[Last labor date]]-tblWorkPackages[[#This Row],[First labor date]]</f>
        <v>0</v>
      </c>
      <c r="AF6" s="65">
        <f>tblWorkPackages[[#This Row],[Completion date serial]]-tblWorkPackages[[#This Row],[Last labor date]]</f>
        <v>0</v>
      </c>
      <c r="AG6" s="65">
        <f>tblWorkPackages[[#This Row],[Completion date serial]]-tblWorkPackages[[#This Row],[Request date serial]]</f>
        <v>1</v>
      </c>
      <c r="AH6" s="65">
        <f>IFERROR(INDEX(tblParts[Delay days],MATCH(tblWorkPackages[[#This Row],[Work package ID]],tblParts[Work package ID],0)),0)</f>
        <v>0</v>
      </c>
      <c r="AI6" s="51" t="str">
        <f>IFERROR(INDEX(tblDisruptions[Event type],MATCH(tblWorkPackages[[#This Row],[Work package ID]],tblDisruptions[Work package ID],0)),"None")</f>
        <v>None</v>
      </c>
      <c r="AJ6" s="51" t="str">
        <f>TEXT(tblWorkPackages[[#This Row],[Due date serial]],"yyyy-mm")</f>
        <v>2024-12</v>
      </c>
    </row>
    <row r="7" spans="1:36" ht="15" x14ac:dyDescent="0.25">
      <c r="A7" s="53" t="s">
        <v>162</v>
      </c>
      <c r="B7" s="53" t="s">
        <v>163</v>
      </c>
      <c r="C7" s="53" t="s">
        <v>164</v>
      </c>
      <c r="D7" s="53" t="s">
        <v>165</v>
      </c>
      <c r="E7" s="53" t="s">
        <v>127</v>
      </c>
      <c r="F7" s="53" t="s">
        <v>128</v>
      </c>
      <c r="G7" s="53" t="s">
        <v>129</v>
      </c>
      <c r="H7" s="53">
        <v>2</v>
      </c>
      <c r="I7" s="53" t="s">
        <v>147</v>
      </c>
      <c r="J7" s="53">
        <v>0</v>
      </c>
      <c r="K7" s="53">
        <v>1</v>
      </c>
      <c r="L7" s="53">
        <v>7.2</v>
      </c>
      <c r="M7" s="53" t="s">
        <v>166</v>
      </c>
      <c r="N7" s="53">
        <v>7.2</v>
      </c>
      <c r="O7" s="51" t="str">
        <f>TEXT(tblWorkPackages[[#This Row],[Request date serial]]-WEEKDAY(tblWorkPackages[[#This Row],[Request date serial]],3),"yyyy-mm-dd")</f>
        <v>2024-06-24</v>
      </c>
      <c r="P7" s="51">
        <f>ABS(tblWorkPackages[[#This Row],[Actual labor hours]]-tblWorkPackages[[#This Row],[Estimated labor hours]])</f>
        <v>0</v>
      </c>
      <c r="Q7" s="51">
        <f>IF(tblWorkPackages[[#This Row],[Actual labor hours]]&gt;tblWorkPackages[[#This Row],[Estimated labor hours]],1,0)</f>
        <v>0</v>
      </c>
      <c r="R7" s="51">
        <f>tblWorkPackages[[#This Row],[Actual labor hours]]-tblWorkPackages[[#This Row],[Estimated labor hours]]</f>
        <v>0</v>
      </c>
      <c r="S7" s="51" t="str">
        <f>IF(tblWorkPackages[[#This Row],[Request date serial]]&lt;ValidationStart,"Train 2024",IF(tblWorkPackages[[#This Row],[Request date serial]]&lt;HoldoutStart,"Validation H1","Holdout H2"))</f>
        <v>Train 2024</v>
      </c>
      <c r="T7" s="51" t="str">
        <f>IF(tblWorkPackages[[#This Row],[Time split]]="Train 2024","",tblWorkPackages[[#This Row],[Estimated labor hours]]+VLOOKUP(tblWorkPackages[[#This Row],[Task type]],'Forecast validation'!$A$14:$E$25,IF(tblWorkPackages[[#This Row],[Time split]]="Validation H1",4,5),FALSE()))</f>
        <v/>
      </c>
      <c r="U7" s="51" t="str">
        <f>IF(tblWorkPackages[[#This Row],[Calibrated forecast hours]]="","",ABS(tblWorkPackages[[#This Row],[Actual labor hours]]-tblWorkPackages[[#This Row],[Calibrated forecast hours]]))</f>
        <v/>
      </c>
      <c r="V7" s="51">
        <f>IF(tblWorkPackages[[#This Row],[Time split]]="Train 2024",tblWorkPackages[[#This Row],[Estimated labor hours]],tblWorkPackages[[#This Row],[Calibrated forecast hours]])</f>
        <v>7.2</v>
      </c>
      <c r="W7" s="64">
        <f>DATEVALUE(tblWorkPackages[[#This Row],[Request date]])</f>
        <v>45472.0</v>
      </c>
      <c r="X7" s="64">
        <f>DATEVALUE(tblWorkPackages[[#This Row],[Due date]])</f>
        <v>45474.0</v>
      </c>
      <c r="Y7" s="64">
        <f>DATEVALUE(tblWorkPackages[[#This Row],[Completion date]])</f>
        <v>45485.0</v>
      </c>
      <c r="Z7" s="64">
        <f>_xlfn.MINIFS(tblLaborEntries[Work date serial],tblLaborEntries[Work package ID],tblWorkPackages[[#This Row],[Work package ID]])</f>
        <v>45484.0</v>
      </c>
      <c r="AA7" s="64">
        <f>_xlfn.MAXIFS(tblLaborEntries[Work date serial],tblLaborEntries[Work package ID],tblWorkPackages[[#This Row],[Work package ID]])</f>
        <v>45484.0</v>
      </c>
      <c r="AB7" s="65">
        <f>IF(tblWorkPackages[[#This Row],[Completion date serial]]&gt;tblWorkPackages[[#This Row],[Due date serial]],1,0)</f>
        <v>1</v>
      </c>
      <c r="AC7" s="65">
        <f>MAX(0,tblWorkPackages[[#This Row],[Completion date serial]]-tblWorkPackages[[#This Row],[Due date serial]])</f>
        <v>11</v>
      </c>
      <c r="AD7" s="65">
        <f>tblWorkPackages[[#This Row],[First labor date]]-tblWorkPackages[[#This Row],[Request date serial]]</f>
        <v>12</v>
      </c>
      <c r="AE7" s="65">
        <f>tblWorkPackages[[#This Row],[Last labor date]]-tblWorkPackages[[#This Row],[First labor date]]</f>
        <v>0</v>
      </c>
      <c r="AF7" s="65">
        <f>tblWorkPackages[[#This Row],[Completion date serial]]-tblWorkPackages[[#This Row],[Last labor date]]</f>
        <v>1</v>
      </c>
      <c r="AG7" s="65">
        <f>tblWorkPackages[[#This Row],[Completion date serial]]-tblWorkPackages[[#This Row],[Request date serial]]</f>
        <v>13</v>
      </c>
      <c r="AH7" s="65">
        <f>IFERROR(INDEX(tblParts[Delay days],MATCH(tblWorkPackages[[#This Row],[Work package ID]],tblParts[Work package ID],0)),0)</f>
        <v>0</v>
      </c>
      <c r="AI7" s="51" t="str">
        <f>IFERROR(INDEX(tblDisruptions[Event type],MATCH(tblWorkPackages[[#This Row],[Work package ID]],tblDisruptions[Work package ID],0)),"None")</f>
        <v>None</v>
      </c>
      <c r="AJ7" s="51" t="str">
        <f>TEXT(tblWorkPackages[[#This Row],[Due date serial]],"yyyy-mm")</f>
        <v>2024-07</v>
      </c>
    </row>
    <row r="8" spans="1:36" ht="15" x14ac:dyDescent="0.25">
      <c r="A8" s="53" t="s">
        <v>167</v>
      </c>
      <c r="B8" s="53" t="s">
        <v>168</v>
      </c>
      <c r="C8" s="53" t="s">
        <v>169</v>
      </c>
      <c r="D8" s="53" t="s">
        <v>170</v>
      </c>
      <c r="E8" s="53" t="s">
        <v>127</v>
      </c>
      <c r="F8" s="53" t="s">
        <v>128</v>
      </c>
      <c r="G8" s="53" t="s">
        <v>129</v>
      </c>
      <c r="H8" s="53">
        <v>1</v>
      </c>
      <c r="I8" s="53" t="s">
        <v>147</v>
      </c>
      <c r="J8" s="53">
        <v>0</v>
      </c>
      <c r="K8" s="53">
        <v>0</v>
      </c>
      <c r="L8" s="53">
        <v>4.2</v>
      </c>
      <c r="M8" s="53" t="s">
        <v>171</v>
      </c>
      <c r="N8" s="53">
        <v>4.9000000000000004</v>
      </c>
      <c r="O8" s="51" t="str">
        <f>TEXT(tblWorkPackages[[#This Row],[Request date serial]]-WEEKDAY(tblWorkPackages[[#This Row],[Request date serial]],3),"yyyy-mm-dd")</f>
        <v>2024-10-14</v>
      </c>
      <c r="P8" s="51">
        <f>ABS(tblWorkPackages[[#This Row],[Actual labor hours]]-tblWorkPackages[[#This Row],[Estimated labor hours]])</f>
        <v>0.7</v>
      </c>
      <c r="Q8" s="51">
        <f>IF(tblWorkPackages[[#This Row],[Actual labor hours]]&gt;tblWorkPackages[[#This Row],[Estimated labor hours]],1,0)</f>
        <v>1</v>
      </c>
      <c r="R8" s="51">
        <f>tblWorkPackages[[#This Row],[Actual labor hours]]-tblWorkPackages[[#This Row],[Estimated labor hours]]</f>
        <v>0.7</v>
      </c>
      <c r="S8" s="51" t="str">
        <f>IF(tblWorkPackages[[#This Row],[Request date serial]]&lt;ValidationStart,"Train 2024",IF(tblWorkPackages[[#This Row],[Request date serial]]&lt;HoldoutStart,"Validation H1","Holdout H2"))</f>
        <v>Train 2024</v>
      </c>
      <c r="T8" s="51" t="str">
        <f>IF(tblWorkPackages[[#This Row],[Time split]]="Train 2024","",tblWorkPackages[[#This Row],[Estimated labor hours]]+VLOOKUP(tblWorkPackages[[#This Row],[Task type]],'Forecast validation'!$A$14:$E$25,IF(tblWorkPackages[[#This Row],[Time split]]="Validation H1",4,5),FALSE()))</f>
        <v/>
      </c>
      <c r="U8" s="51" t="str">
        <f>IF(tblWorkPackages[[#This Row],[Calibrated forecast hours]]="","",ABS(tblWorkPackages[[#This Row],[Actual labor hours]]-tblWorkPackages[[#This Row],[Calibrated forecast hours]]))</f>
        <v/>
      </c>
      <c r="V8" s="51">
        <f>IF(tblWorkPackages[[#This Row],[Time split]]="Train 2024",tblWorkPackages[[#This Row],[Estimated labor hours]],tblWorkPackages[[#This Row],[Calibrated forecast hours]])</f>
        <v>4.2</v>
      </c>
      <c r="W8" s="64">
        <f>DATEVALUE(tblWorkPackages[[#This Row],[Request date]])</f>
        <v>45585.0</v>
      </c>
      <c r="X8" s="64">
        <f>DATEVALUE(tblWorkPackages[[#This Row],[Due date]])</f>
        <v>45587.0</v>
      </c>
      <c r="Y8" s="64">
        <f>DATEVALUE(tblWorkPackages[[#This Row],[Completion date]])</f>
        <v>45590.0</v>
      </c>
      <c r="Z8" s="64">
        <f>_xlfn.MINIFS(tblLaborEntries[Work date serial],tblLaborEntries[Work package ID],tblWorkPackages[[#This Row],[Work package ID]])</f>
        <v>45588.0</v>
      </c>
      <c r="AA8" s="64">
        <f>_xlfn.MAXIFS(tblLaborEntries[Work date serial],tblLaborEntries[Work package ID],tblWorkPackages[[#This Row],[Work package ID]])</f>
        <v>45588.0</v>
      </c>
      <c r="AB8" s="65">
        <f>IF(tblWorkPackages[[#This Row],[Completion date serial]]&gt;tblWorkPackages[[#This Row],[Due date serial]],1,0)</f>
        <v>1</v>
      </c>
      <c r="AC8" s="65">
        <f>MAX(0,tblWorkPackages[[#This Row],[Completion date serial]]-tblWorkPackages[[#This Row],[Due date serial]])</f>
        <v>3</v>
      </c>
      <c r="AD8" s="65">
        <f>tblWorkPackages[[#This Row],[First labor date]]-tblWorkPackages[[#This Row],[Request date serial]]</f>
        <v>3</v>
      </c>
      <c r="AE8" s="65">
        <f>tblWorkPackages[[#This Row],[Last labor date]]-tblWorkPackages[[#This Row],[First labor date]]</f>
        <v>0</v>
      </c>
      <c r="AF8" s="65">
        <f>tblWorkPackages[[#This Row],[Completion date serial]]-tblWorkPackages[[#This Row],[Last labor date]]</f>
        <v>2</v>
      </c>
      <c r="AG8" s="65">
        <f>tblWorkPackages[[#This Row],[Completion date serial]]-tblWorkPackages[[#This Row],[Request date serial]]</f>
        <v>5</v>
      </c>
      <c r="AH8" s="65">
        <f>IFERROR(INDEX(tblParts[Delay days],MATCH(tblWorkPackages[[#This Row],[Work package ID]],tblParts[Work package ID],0)),0)</f>
        <v>0</v>
      </c>
      <c r="AI8" s="51" t="str">
        <f>IFERROR(INDEX(tblDisruptions[Event type],MATCH(tblWorkPackages[[#This Row],[Work package ID]],tblDisruptions[Work package ID],0)),"None")</f>
        <v>None</v>
      </c>
      <c r="AJ8" s="51" t="str">
        <f>TEXT(tblWorkPackages[[#This Row],[Due date serial]],"yyyy-mm")</f>
        <v>2024-10</v>
      </c>
    </row>
    <row r="9" spans="1:36" ht="15" x14ac:dyDescent="0.25">
      <c r="A9" s="53" t="s">
        <v>172</v>
      </c>
      <c r="B9" s="53" t="s">
        <v>173</v>
      </c>
      <c r="C9" s="53" t="s">
        <v>174</v>
      </c>
      <c r="D9" s="53" t="s">
        <v>175</v>
      </c>
      <c r="E9" s="53" t="s">
        <v>144</v>
      </c>
      <c r="F9" s="53" t="s">
        <v>145</v>
      </c>
      <c r="G9" s="53" t="s">
        <v>146</v>
      </c>
      <c r="H9" s="53">
        <v>1</v>
      </c>
      <c r="I9" s="53" t="s">
        <v>176</v>
      </c>
      <c r="J9" s="53">
        <v>0</v>
      </c>
      <c r="K9" s="53">
        <v>1</v>
      </c>
      <c r="L9" s="53">
        <v>7</v>
      </c>
      <c r="M9" s="53" t="s">
        <v>177</v>
      </c>
      <c r="N9" s="53">
        <v>11</v>
      </c>
      <c r="O9" s="51" t="str">
        <f>TEXT(tblWorkPackages[[#This Row],[Request date serial]]-WEEKDAY(tblWorkPackages[[#This Row],[Request date serial]],3),"yyyy-mm-dd")</f>
        <v>2025-06-23</v>
      </c>
      <c r="P9" s="51">
        <f>ABS(tblWorkPackages[[#This Row],[Actual labor hours]]-tblWorkPackages[[#This Row],[Estimated labor hours]])</f>
        <v>4</v>
      </c>
      <c r="Q9" s="51">
        <f>IF(tblWorkPackages[[#This Row],[Actual labor hours]]&gt;tblWorkPackages[[#This Row],[Estimated labor hours]],1,0)</f>
        <v>1</v>
      </c>
      <c r="R9" s="51">
        <f>tblWorkPackages[[#This Row],[Actual labor hours]]-tblWorkPackages[[#This Row],[Estimated labor hours]]</f>
        <v>4</v>
      </c>
      <c r="S9" s="51" t="str">
        <f>IF(tblWorkPackages[[#This Row],[Request date serial]]&lt;ValidationStart,"Train 2024",IF(tblWorkPackages[[#This Row],[Request date serial]]&lt;HoldoutStart,"Validation H1","Holdout H2"))</f>
        <v>Validation H1</v>
      </c>
      <c r="T9" s="51">
        <f>IF(tblWorkPackages[[#This Row],[Time split]]="Train 2024","",tblWorkPackages[[#This Row],[Estimated labor hours]]+VLOOKUP(tblWorkPackages[[#This Row],[Task type]],'Forecast validation'!$A$14:$E$25,IF(tblWorkPackages[[#This Row],[Time split]]="Validation H1",4,5),FALSE()))</f>
        <v>7.75473684210526</v>
      </c>
      <c r="U9" s="51">
        <f>IF(tblWorkPackages[[#This Row],[Calibrated forecast hours]]="","",ABS(tblWorkPackages[[#This Row],[Actual labor hours]]-tblWorkPackages[[#This Row],[Calibrated forecast hours]]))</f>
        <v>3.24526315789474</v>
      </c>
      <c r="V9" s="51">
        <f>IF(tblWorkPackages[[#This Row],[Time split]]="Train 2024",tblWorkPackages[[#This Row],[Estimated labor hours]],tblWorkPackages[[#This Row],[Calibrated forecast hours]])</f>
        <v>7.75473684210526</v>
      </c>
      <c r="W9" s="64">
        <f>DATEVALUE(tblWorkPackages[[#This Row],[Request date]])</f>
        <v>45836.0</v>
      </c>
      <c r="X9" s="64">
        <f>DATEVALUE(tblWorkPackages[[#This Row],[Due date]])</f>
        <v>45842.0</v>
      </c>
      <c r="Y9" s="64">
        <f>DATEVALUE(tblWorkPackages[[#This Row],[Completion date]])</f>
        <v>45886.0</v>
      </c>
      <c r="Z9" s="64">
        <f>_xlfn.MINIFS(tblLaborEntries[Work date serial],tblLaborEntries[Work package ID],tblWorkPackages[[#This Row],[Work package ID]])</f>
        <v>45882.0</v>
      </c>
      <c r="AA9" s="64">
        <f>_xlfn.MAXIFS(tblLaborEntries[Work date serial],tblLaborEntries[Work package ID],tblWorkPackages[[#This Row],[Work package ID]])</f>
        <v>45883.0</v>
      </c>
      <c r="AB9" s="65">
        <f>IF(tblWorkPackages[[#This Row],[Completion date serial]]&gt;tblWorkPackages[[#This Row],[Due date serial]],1,0)</f>
        <v>1</v>
      </c>
      <c r="AC9" s="65">
        <f>MAX(0,tblWorkPackages[[#This Row],[Completion date serial]]-tblWorkPackages[[#This Row],[Due date serial]])</f>
        <v>44</v>
      </c>
      <c r="AD9" s="65">
        <f>tblWorkPackages[[#This Row],[First labor date]]-tblWorkPackages[[#This Row],[Request date serial]]</f>
        <v>46</v>
      </c>
      <c r="AE9" s="65">
        <f>tblWorkPackages[[#This Row],[Last labor date]]-tblWorkPackages[[#This Row],[First labor date]]</f>
        <v>1</v>
      </c>
      <c r="AF9" s="65">
        <f>tblWorkPackages[[#This Row],[Completion date serial]]-tblWorkPackages[[#This Row],[Last labor date]]</f>
        <v>3</v>
      </c>
      <c r="AG9" s="65">
        <f>tblWorkPackages[[#This Row],[Completion date serial]]-tblWorkPackages[[#This Row],[Request date serial]]</f>
        <v>50</v>
      </c>
      <c r="AH9" s="65">
        <f>IFERROR(INDEX(tblParts[Delay days],MATCH(tblWorkPackages[[#This Row],[Work package ID]],tblParts[Work package ID],0)),0)</f>
        <v>10</v>
      </c>
      <c r="AI9" s="51" t="str">
        <f>IFERROR(INDEX(tblDisruptions[Event type],MATCH(tblWorkPackages[[#This Row],[Work package ID]],tblDisruptions[Work package ID],0)),"None")</f>
        <v>Part delay</v>
      </c>
      <c r="AJ9" s="51" t="str">
        <f>TEXT(tblWorkPackages[[#This Row],[Due date serial]],"yyyy-mm")</f>
        <v>2025-07</v>
      </c>
    </row>
    <row r="10" spans="1:36" ht="15" x14ac:dyDescent="0.25">
      <c r="A10" s="53" t="s">
        <v>178</v>
      </c>
      <c r="B10" s="53" t="s">
        <v>124</v>
      </c>
      <c r="C10" s="53" t="s">
        <v>179</v>
      </c>
      <c r="D10" s="53" t="s">
        <v>180</v>
      </c>
      <c r="E10" s="53" t="s">
        <v>181</v>
      </c>
      <c r="F10" s="53" t="s">
        <v>182</v>
      </c>
      <c r="G10" s="53" t="s">
        <v>138</v>
      </c>
      <c r="H10" s="53">
        <v>2</v>
      </c>
      <c r="I10" s="53" t="s">
        <v>130</v>
      </c>
      <c r="J10" s="53">
        <v>0</v>
      </c>
      <c r="K10" s="53">
        <v>1</v>
      </c>
      <c r="L10" s="53">
        <v>8.6</v>
      </c>
      <c r="M10" s="53" t="s">
        <v>183</v>
      </c>
      <c r="N10" s="53">
        <v>8.1999999999999993</v>
      </c>
      <c r="O10" s="51" t="str">
        <f>TEXT(tblWorkPackages[[#This Row],[Request date serial]]-WEEKDAY(tblWorkPackages[[#This Row],[Request date serial]],3),"yyyy-mm-dd")</f>
        <v>2025-05-12</v>
      </c>
      <c r="P10" s="51">
        <f>ABS(tblWorkPackages[[#This Row],[Actual labor hours]]-tblWorkPackages[[#This Row],[Estimated labor hours]])</f>
        <v>0.4</v>
      </c>
      <c r="Q10" s="51">
        <f>IF(tblWorkPackages[[#This Row],[Actual labor hours]]&gt;tblWorkPackages[[#This Row],[Estimated labor hours]],1,0)</f>
        <v>0</v>
      </c>
      <c r="R10" s="51">
        <f>tblWorkPackages[[#This Row],[Actual labor hours]]-tblWorkPackages[[#This Row],[Estimated labor hours]]</f>
        <v>-0.4</v>
      </c>
      <c r="S10" s="51" t="str">
        <f>IF(tblWorkPackages[[#This Row],[Request date serial]]&lt;ValidationStart,"Train 2024",IF(tblWorkPackages[[#This Row],[Request date serial]]&lt;HoldoutStart,"Validation H1","Holdout H2"))</f>
        <v>Validation H1</v>
      </c>
      <c r="T10" s="51">
        <f>IF(tblWorkPackages[[#This Row],[Time split]]="Train 2024","",tblWorkPackages[[#This Row],[Estimated labor hours]]+VLOOKUP(tblWorkPackages[[#This Row],[Task type]],'Forecast validation'!$A$14:$E$25,IF(tblWorkPackages[[#This Row],[Time split]]="Validation H1",4,5),FALSE()))</f>
        <v>9.18409090909091</v>
      </c>
      <c r="U10" s="51">
        <f>IF(tblWorkPackages[[#This Row],[Calibrated forecast hours]]="","",ABS(tblWorkPackages[[#This Row],[Actual labor hours]]-tblWorkPackages[[#This Row],[Calibrated forecast hours]]))</f>
        <v>0.984090909090909</v>
      </c>
      <c r="V10" s="51">
        <f>IF(tblWorkPackages[[#This Row],[Time split]]="Train 2024",tblWorkPackages[[#This Row],[Estimated labor hours]],tblWorkPackages[[#This Row],[Calibrated forecast hours]])</f>
        <v>9.18409090909091</v>
      </c>
      <c r="W10" s="64">
        <f>DATEVALUE(tblWorkPackages[[#This Row],[Request date]])</f>
        <v>45792.0</v>
      </c>
      <c r="X10" s="64">
        <f>DATEVALUE(tblWorkPackages[[#This Row],[Due date]])</f>
        <v>45805.0</v>
      </c>
      <c r="Y10" s="64">
        <f>DATEVALUE(tblWorkPackages[[#This Row],[Completion date]])</f>
        <v>45799.0</v>
      </c>
      <c r="Z10" s="64">
        <f>_xlfn.MINIFS(tblLaborEntries[Work date serial],tblLaborEntries[Work package ID],tblWorkPackages[[#This Row],[Work package ID]])</f>
        <v>45799.0</v>
      </c>
      <c r="AA10" s="64">
        <f>_xlfn.MAXIFS(tblLaborEntries[Work date serial],tblLaborEntries[Work package ID],tblWorkPackages[[#This Row],[Work package ID]])</f>
        <v>45799.0</v>
      </c>
      <c r="AB10" s="65">
        <f>IF(tblWorkPackages[[#This Row],[Completion date serial]]&gt;tblWorkPackages[[#This Row],[Due date serial]],1,0)</f>
        <v>0</v>
      </c>
      <c r="AC10" s="65">
        <f>MAX(0,tblWorkPackages[[#This Row],[Completion date serial]]-tblWorkPackages[[#This Row],[Due date serial]])</f>
        <v>0</v>
      </c>
      <c r="AD10" s="65">
        <f>tblWorkPackages[[#This Row],[First labor date]]-tblWorkPackages[[#This Row],[Request date serial]]</f>
        <v>7</v>
      </c>
      <c r="AE10" s="65">
        <f>tblWorkPackages[[#This Row],[Last labor date]]-tblWorkPackages[[#This Row],[First labor date]]</f>
        <v>0</v>
      </c>
      <c r="AF10" s="65">
        <f>tblWorkPackages[[#This Row],[Completion date serial]]-tblWorkPackages[[#This Row],[Last labor date]]</f>
        <v>0</v>
      </c>
      <c r="AG10" s="65">
        <f>tblWorkPackages[[#This Row],[Completion date serial]]-tblWorkPackages[[#This Row],[Request date serial]]</f>
        <v>7</v>
      </c>
      <c r="AH10" s="65">
        <f>IFERROR(INDEX(tblParts[Delay days],MATCH(tblWorkPackages[[#This Row],[Work package ID]],tblParts[Work package ID],0)),0)</f>
        <v>0</v>
      </c>
      <c r="AI10" s="51" t="str">
        <f>IFERROR(INDEX(tblDisruptions[Event type],MATCH(tblWorkPackages[[#This Row],[Work package ID]],tblDisruptions[Work package ID],0)),"None")</f>
        <v>None</v>
      </c>
      <c r="AJ10" s="51" t="str">
        <f>TEXT(tblWorkPackages[[#This Row],[Due date serial]],"yyyy-mm")</f>
        <v>2025-05</v>
      </c>
    </row>
    <row r="11" spans="1:36" ht="15" x14ac:dyDescent="0.25">
      <c r="A11" s="53" t="s">
        <v>184</v>
      </c>
      <c r="B11" s="53" t="s">
        <v>185</v>
      </c>
      <c r="C11" s="53" t="s">
        <v>186</v>
      </c>
      <c r="D11" s="53" t="s">
        <v>187</v>
      </c>
      <c r="E11" s="53" t="s">
        <v>136</v>
      </c>
      <c r="F11" s="53" t="s">
        <v>137</v>
      </c>
      <c r="G11" s="53" t="s">
        <v>138</v>
      </c>
      <c r="H11" s="53">
        <v>1</v>
      </c>
      <c r="I11" s="53" t="s">
        <v>176</v>
      </c>
      <c r="J11" s="53">
        <v>0</v>
      </c>
      <c r="K11" s="53">
        <v>0</v>
      </c>
      <c r="L11" s="53">
        <v>10.5</v>
      </c>
      <c r="M11" s="53" t="s">
        <v>188</v>
      </c>
      <c r="N11" s="53">
        <v>9</v>
      </c>
      <c r="O11" s="51" t="str">
        <f>TEXT(tblWorkPackages[[#This Row],[Request date serial]]-WEEKDAY(tblWorkPackages[[#This Row],[Request date serial]],3),"yyyy-mm-dd")</f>
        <v>2025-02-17</v>
      </c>
      <c r="P11" s="51">
        <f>ABS(tblWorkPackages[[#This Row],[Actual labor hours]]-tblWorkPackages[[#This Row],[Estimated labor hours]])</f>
        <v>1.5</v>
      </c>
      <c r="Q11" s="51">
        <f>IF(tblWorkPackages[[#This Row],[Actual labor hours]]&gt;tblWorkPackages[[#This Row],[Estimated labor hours]],1,0)</f>
        <v>0</v>
      </c>
      <c r="R11" s="51">
        <f>tblWorkPackages[[#This Row],[Actual labor hours]]-tblWorkPackages[[#This Row],[Estimated labor hours]]</f>
        <v>-1.5</v>
      </c>
      <c r="S11" s="51" t="str">
        <f>IF(tblWorkPackages[[#This Row],[Request date serial]]&lt;ValidationStart,"Train 2024",IF(tblWorkPackages[[#This Row],[Request date serial]]&lt;HoldoutStart,"Validation H1","Holdout H2"))</f>
        <v>Validation H1</v>
      </c>
      <c r="T11" s="51">
        <f>IF(tblWorkPackages[[#This Row],[Time split]]="Train 2024","",tblWorkPackages[[#This Row],[Estimated labor hours]]+VLOOKUP(tblWorkPackages[[#This Row],[Task type]],'Forecast validation'!$A$14:$E$25,IF(tblWorkPackages[[#This Row],[Time split]]="Validation H1",4,5),FALSE()))</f>
        <v>11.3765306122449</v>
      </c>
      <c r="U11" s="51">
        <f>IF(tblWorkPackages[[#This Row],[Calibrated forecast hours]]="","",ABS(tblWorkPackages[[#This Row],[Actual labor hours]]-tblWorkPackages[[#This Row],[Calibrated forecast hours]]))</f>
        <v>2.3765306122449</v>
      </c>
      <c r="V11" s="51">
        <f>IF(tblWorkPackages[[#This Row],[Time split]]="Train 2024",tblWorkPackages[[#This Row],[Estimated labor hours]],tblWorkPackages[[#This Row],[Calibrated forecast hours]])</f>
        <v>11.3765306122449</v>
      </c>
      <c r="W11" s="64">
        <f>DATEVALUE(tblWorkPackages[[#This Row],[Request date]])</f>
        <v>45707.0</v>
      </c>
      <c r="X11" s="64">
        <f>DATEVALUE(tblWorkPackages[[#This Row],[Due date]])</f>
        <v>45713.0</v>
      </c>
      <c r="Y11" s="64">
        <f>DATEVALUE(tblWorkPackages[[#This Row],[Completion date]])</f>
        <v>45711.0</v>
      </c>
      <c r="Z11" s="64">
        <f>_xlfn.MINIFS(tblLaborEntries[Work date serial],tblLaborEntries[Work package ID],tblWorkPackages[[#This Row],[Work package ID]])</f>
        <v>45709.0</v>
      </c>
      <c r="AA11" s="64">
        <f>_xlfn.MAXIFS(tblLaborEntries[Work date serial],tblLaborEntries[Work package ID],tblWorkPackages[[#This Row],[Work package ID]])</f>
        <v>45710.0</v>
      </c>
      <c r="AB11" s="65">
        <f>IF(tblWorkPackages[[#This Row],[Completion date serial]]&gt;tblWorkPackages[[#This Row],[Due date serial]],1,0)</f>
        <v>0</v>
      </c>
      <c r="AC11" s="65">
        <f>MAX(0,tblWorkPackages[[#This Row],[Completion date serial]]-tblWorkPackages[[#This Row],[Due date serial]])</f>
        <v>0</v>
      </c>
      <c r="AD11" s="65">
        <f>tblWorkPackages[[#This Row],[First labor date]]-tblWorkPackages[[#This Row],[Request date serial]]</f>
        <v>2</v>
      </c>
      <c r="AE11" s="65">
        <f>tblWorkPackages[[#This Row],[Last labor date]]-tblWorkPackages[[#This Row],[First labor date]]</f>
        <v>1</v>
      </c>
      <c r="AF11" s="65">
        <f>tblWorkPackages[[#This Row],[Completion date serial]]-tblWorkPackages[[#This Row],[Last labor date]]</f>
        <v>1</v>
      </c>
      <c r="AG11" s="65">
        <f>tblWorkPackages[[#This Row],[Completion date serial]]-tblWorkPackages[[#This Row],[Request date serial]]</f>
        <v>4</v>
      </c>
      <c r="AH11" s="65">
        <f>IFERROR(INDEX(tblParts[Delay days],MATCH(tblWorkPackages[[#This Row],[Work package ID]],tblParts[Work package ID],0)),0)</f>
        <v>0</v>
      </c>
      <c r="AI11" s="51" t="str">
        <f>IFERROR(INDEX(tblDisruptions[Event type],MATCH(tblWorkPackages[[#This Row],[Work package ID]],tblDisruptions[Work package ID],0)),"None")</f>
        <v>None</v>
      </c>
      <c r="AJ11" s="51" t="str">
        <f>TEXT(tblWorkPackages[[#This Row],[Due date serial]],"yyyy-mm")</f>
        <v>2025-02</v>
      </c>
    </row>
    <row r="12" spans="1:36" ht="15" x14ac:dyDescent="0.25">
      <c r="A12" s="53" t="s">
        <v>189</v>
      </c>
      <c r="B12" s="53" t="s">
        <v>133</v>
      </c>
      <c r="C12" s="53" t="s">
        <v>190</v>
      </c>
      <c r="D12" s="53" t="s">
        <v>191</v>
      </c>
      <c r="E12" s="53" t="s">
        <v>181</v>
      </c>
      <c r="F12" s="53" t="s">
        <v>182</v>
      </c>
      <c r="G12" s="53" t="s">
        <v>138</v>
      </c>
      <c r="H12" s="53">
        <v>2</v>
      </c>
      <c r="I12" s="53" t="s">
        <v>130</v>
      </c>
      <c r="J12" s="53">
        <v>0</v>
      </c>
      <c r="K12" s="53">
        <v>0</v>
      </c>
      <c r="L12" s="53">
        <v>6.8</v>
      </c>
      <c r="M12" s="53" t="s">
        <v>192</v>
      </c>
      <c r="N12" s="53">
        <v>5.2</v>
      </c>
      <c r="O12" s="51" t="str">
        <f>TEXT(tblWorkPackages[[#This Row],[Request date serial]]-WEEKDAY(tblWorkPackages[[#This Row],[Request date serial]],3),"yyyy-mm-dd")</f>
        <v>2025-08-11</v>
      </c>
      <c r="P12" s="51">
        <f>ABS(tblWorkPackages[[#This Row],[Actual labor hours]]-tblWorkPackages[[#This Row],[Estimated labor hours]])</f>
        <v>1.6</v>
      </c>
      <c r="Q12" s="51">
        <f>IF(tblWorkPackages[[#This Row],[Actual labor hours]]&gt;tblWorkPackages[[#This Row],[Estimated labor hours]],1,0)</f>
        <v>0</v>
      </c>
      <c r="R12" s="51">
        <f>tblWorkPackages[[#This Row],[Actual labor hours]]-tblWorkPackages[[#This Row],[Estimated labor hours]]</f>
        <v>-1.6</v>
      </c>
      <c r="S12" s="51" t="str">
        <f>IF(tblWorkPackages[[#This Row],[Request date serial]]&lt;ValidationStart,"Train 2024",IF(tblWorkPackages[[#This Row],[Request date serial]]&lt;HoldoutStart,"Validation H1","Holdout H2"))</f>
        <v>Holdout H2</v>
      </c>
      <c r="T12" s="51">
        <f>IF(tblWorkPackages[[#This Row],[Time split]]="Train 2024","",tblWorkPackages[[#This Row],[Estimated labor hours]]+VLOOKUP(tblWorkPackages[[#This Row],[Task type]],'Forecast validation'!$A$14:$E$25,IF(tblWorkPackages[[#This Row],[Time split]]="Validation H1",4,5),FALSE()))</f>
        <v>7.39160839160839</v>
      </c>
      <c r="U12" s="51">
        <f>IF(tblWorkPackages[[#This Row],[Calibrated forecast hours]]="","",ABS(tblWorkPackages[[#This Row],[Actual labor hours]]-tblWorkPackages[[#This Row],[Calibrated forecast hours]]))</f>
        <v>2.19160839160839</v>
      </c>
      <c r="V12" s="51">
        <f>IF(tblWorkPackages[[#This Row],[Time split]]="Train 2024",tblWorkPackages[[#This Row],[Estimated labor hours]],tblWorkPackages[[#This Row],[Calibrated forecast hours]])</f>
        <v>7.39160839160839</v>
      </c>
      <c r="W12" s="64">
        <f>DATEVALUE(tblWorkPackages[[#This Row],[Request date]])</f>
        <v>45883.0</v>
      </c>
      <c r="X12" s="64">
        <f>DATEVALUE(tblWorkPackages[[#This Row],[Due date]])</f>
        <v>45896.0</v>
      </c>
      <c r="Y12" s="64">
        <f>DATEVALUE(tblWorkPackages[[#This Row],[Completion date]])</f>
        <v>45900.0</v>
      </c>
      <c r="Z12" s="64">
        <f>_xlfn.MINIFS(tblLaborEntries[Work date serial],tblLaborEntries[Work package ID],tblWorkPackages[[#This Row],[Work package ID]])</f>
        <v>45898.0</v>
      </c>
      <c r="AA12" s="64">
        <f>_xlfn.MAXIFS(tblLaborEntries[Work date serial],tblLaborEntries[Work package ID],tblWorkPackages[[#This Row],[Work package ID]])</f>
        <v>45898.0</v>
      </c>
      <c r="AB12" s="65">
        <f>IF(tblWorkPackages[[#This Row],[Completion date serial]]&gt;tblWorkPackages[[#This Row],[Due date serial]],1,0)</f>
        <v>1</v>
      </c>
      <c r="AC12" s="65">
        <f>MAX(0,tblWorkPackages[[#This Row],[Completion date serial]]-tblWorkPackages[[#This Row],[Due date serial]])</f>
        <v>4</v>
      </c>
      <c r="AD12" s="65">
        <f>tblWorkPackages[[#This Row],[First labor date]]-tblWorkPackages[[#This Row],[Request date serial]]</f>
        <v>15</v>
      </c>
      <c r="AE12" s="65">
        <f>tblWorkPackages[[#This Row],[Last labor date]]-tblWorkPackages[[#This Row],[First labor date]]</f>
        <v>0</v>
      </c>
      <c r="AF12" s="65">
        <f>tblWorkPackages[[#This Row],[Completion date serial]]-tblWorkPackages[[#This Row],[Last labor date]]</f>
        <v>2</v>
      </c>
      <c r="AG12" s="65">
        <f>tblWorkPackages[[#This Row],[Completion date serial]]-tblWorkPackages[[#This Row],[Request date serial]]</f>
        <v>17</v>
      </c>
      <c r="AH12" s="65">
        <f>IFERROR(INDEX(tblParts[Delay days],MATCH(tblWorkPackages[[#This Row],[Work package ID]],tblParts[Work package ID],0)),0)</f>
        <v>0</v>
      </c>
      <c r="AI12" s="51" t="str">
        <f>IFERROR(INDEX(tblDisruptions[Event type],MATCH(tblWorkPackages[[#This Row],[Work package ID]],tblDisruptions[Work package ID],0)),"None")</f>
        <v>None</v>
      </c>
      <c r="AJ12" s="51" t="str">
        <f>TEXT(tblWorkPackages[[#This Row],[Due date serial]],"yyyy-mm")</f>
        <v>2025-08</v>
      </c>
    </row>
    <row r="13" spans="1:36" ht="15" x14ac:dyDescent="0.25">
      <c r="A13" s="53" t="s">
        <v>193</v>
      </c>
      <c r="B13" s="53" t="s">
        <v>168</v>
      </c>
      <c r="C13" s="53" t="s">
        <v>194</v>
      </c>
      <c r="D13" s="53" t="s">
        <v>195</v>
      </c>
      <c r="E13" s="53" t="s">
        <v>181</v>
      </c>
      <c r="F13" s="53" t="s">
        <v>182</v>
      </c>
      <c r="G13" s="53" t="s">
        <v>138</v>
      </c>
      <c r="H13" s="53">
        <v>1</v>
      </c>
      <c r="I13" s="53" t="s">
        <v>176</v>
      </c>
      <c r="J13" s="53">
        <v>0</v>
      </c>
      <c r="K13" s="53">
        <v>0</v>
      </c>
      <c r="L13" s="53">
        <v>4.5</v>
      </c>
      <c r="M13" s="53" t="s">
        <v>196</v>
      </c>
      <c r="N13" s="53">
        <v>5.7</v>
      </c>
      <c r="O13" s="51" t="str">
        <f>TEXT(tblWorkPackages[[#This Row],[Request date serial]]-WEEKDAY(tblWorkPackages[[#This Row],[Request date serial]],3),"yyyy-mm-dd")</f>
        <v>2024-10-07</v>
      </c>
      <c r="P13" s="51">
        <f>ABS(tblWorkPackages[[#This Row],[Actual labor hours]]-tblWorkPackages[[#This Row],[Estimated labor hours]])</f>
        <v>1.2</v>
      </c>
      <c r="Q13" s="51">
        <f>IF(tblWorkPackages[[#This Row],[Actual labor hours]]&gt;tblWorkPackages[[#This Row],[Estimated labor hours]],1,0)</f>
        <v>1</v>
      </c>
      <c r="R13" s="51">
        <f>tblWorkPackages[[#This Row],[Actual labor hours]]-tblWorkPackages[[#This Row],[Estimated labor hours]]</f>
        <v>1.2</v>
      </c>
      <c r="S13" s="51" t="str">
        <f>IF(tblWorkPackages[[#This Row],[Request date serial]]&lt;ValidationStart,"Train 2024",IF(tblWorkPackages[[#This Row],[Request date serial]]&lt;HoldoutStart,"Validation H1","Holdout H2"))</f>
        <v>Train 2024</v>
      </c>
      <c r="T13" s="51" t="str">
        <f>IF(tblWorkPackages[[#This Row],[Time split]]="Train 2024","",tblWorkPackages[[#This Row],[Estimated labor hours]]+VLOOKUP(tblWorkPackages[[#This Row],[Task type]],'Forecast validation'!$A$14:$E$25,IF(tblWorkPackages[[#This Row],[Time split]]="Validation H1",4,5),FALSE()))</f>
        <v/>
      </c>
      <c r="U13" s="51" t="str">
        <f>IF(tblWorkPackages[[#This Row],[Calibrated forecast hours]]="","",ABS(tblWorkPackages[[#This Row],[Actual labor hours]]-tblWorkPackages[[#This Row],[Calibrated forecast hours]]))</f>
        <v/>
      </c>
      <c r="V13" s="51">
        <f>IF(tblWorkPackages[[#This Row],[Time split]]="Train 2024",tblWorkPackages[[#This Row],[Estimated labor hours]],tblWorkPackages[[#This Row],[Calibrated forecast hours]])</f>
        <v>4.5</v>
      </c>
      <c r="W13" s="64">
        <f>DATEVALUE(tblWorkPackages[[#This Row],[Request date]])</f>
        <v>45574.0</v>
      </c>
      <c r="X13" s="64">
        <f>DATEVALUE(tblWorkPackages[[#This Row],[Due date]])</f>
        <v>45580.0</v>
      </c>
      <c r="Y13" s="64">
        <f>DATEVALUE(tblWorkPackages[[#This Row],[Completion date]])</f>
        <v>45582.0</v>
      </c>
      <c r="Z13" s="64">
        <f>_xlfn.MINIFS(tblLaborEntries[Work date serial],tblLaborEntries[Work package ID],tblWorkPackages[[#This Row],[Work package ID]])</f>
        <v>45578.0</v>
      </c>
      <c r="AA13" s="64">
        <f>_xlfn.MAXIFS(tblLaborEntries[Work date serial],tblLaborEntries[Work package ID],tblWorkPackages[[#This Row],[Work package ID]])</f>
        <v>45579.0</v>
      </c>
      <c r="AB13" s="65">
        <f>IF(tblWorkPackages[[#This Row],[Completion date serial]]&gt;tblWorkPackages[[#This Row],[Due date serial]],1,0)</f>
        <v>1</v>
      </c>
      <c r="AC13" s="65">
        <f>MAX(0,tblWorkPackages[[#This Row],[Completion date serial]]-tblWorkPackages[[#This Row],[Due date serial]])</f>
        <v>2</v>
      </c>
      <c r="AD13" s="65">
        <f>tblWorkPackages[[#This Row],[First labor date]]-tblWorkPackages[[#This Row],[Request date serial]]</f>
        <v>4</v>
      </c>
      <c r="AE13" s="65">
        <f>tblWorkPackages[[#This Row],[Last labor date]]-tblWorkPackages[[#This Row],[First labor date]]</f>
        <v>1</v>
      </c>
      <c r="AF13" s="65">
        <f>tblWorkPackages[[#This Row],[Completion date serial]]-tblWorkPackages[[#This Row],[Last labor date]]</f>
        <v>3</v>
      </c>
      <c r="AG13" s="65">
        <f>tblWorkPackages[[#This Row],[Completion date serial]]-tblWorkPackages[[#This Row],[Request date serial]]</f>
        <v>8</v>
      </c>
      <c r="AH13" s="65">
        <f>IFERROR(INDEX(tblParts[Delay days],MATCH(tblWorkPackages[[#This Row],[Work package ID]],tblParts[Work package ID],0)),0)</f>
        <v>0</v>
      </c>
      <c r="AI13" s="51" t="str">
        <f>IFERROR(INDEX(tblDisruptions[Event type],MATCH(tblWorkPackages[[#This Row],[Work package ID]],tblDisruptions[Work package ID],0)),"None")</f>
        <v>None</v>
      </c>
      <c r="AJ13" s="51" t="str">
        <f>TEXT(tblWorkPackages[[#This Row],[Due date serial]],"yyyy-mm")</f>
        <v>2024-10</v>
      </c>
    </row>
    <row r="14" spans="1:36" ht="15" x14ac:dyDescent="0.25">
      <c r="A14" s="53" t="s">
        <v>197</v>
      </c>
      <c r="B14" s="53" t="s">
        <v>157</v>
      </c>
      <c r="C14" s="53" t="s">
        <v>198</v>
      </c>
      <c r="D14" s="53" t="s">
        <v>199</v>
      </c>
      <c r="E14" s="53" t="s">
        <v>200</v>
      </c>
      <c r="F14" s="53" t="s">
        <v>128</v>
      </c>
      <c r="G14" s="53" t="s">
        <v>129</v>
      </c>
      <c r="H14" s="53">
        <v>4</v>
      </c>
      <c r="I14" s="53" t="s">
        <v>176</v>
      </c>
      <c r="J14" s="53">
        <v>0</v>
      </c>
      <c r="K14" s="53">
        <v>0</v>
      </c>
      <c r="L14" s="53">
        <v>5.5</v>
      </c>
      <c r="M14" s="53" t="s">
        <v>201</v>
      </c>
      <c r="N14" s="53">
        <v>6.9</v>
      </c>
      <c r="O14" s="51" t="str">
        <f>TEXT(tblWorkPackages[[#This Row],[Request date serial]]-WEEKDAY(tblWorkPackages[[#This Row],[Request date serial]],3),"yyyy-mm-dd")</f>
        <v>2025-06-23</v>
      </c>
      <c r="P14" s="51">
        <f>ABS(tblWorkPackages[[#This Row],[Actual labor hours]]-tblWorkPackages[[#This Row],[Estimated labor hours]])</f>
        <v>1.4</v>
      </c>
      <c r="Q14" s="51">
        <f>IF(tblWorkPackages[[#This Row],[Actual labor hours]]&gt;tblWorkPackages[[#This Row],[Estimated labor hours]],1,0)</f>
        <v>1</v>
      </c>
      <c r="R14" s="51">
        <f>tblWorkPackages[[#This Row],[Actual labor hours]]-tblWorkPackages[[#This Row],[Estimated labor hours]]</f>
        <v>1.4</v>
      </c>
      <c r="S14" s="51" t="str">
        <f>IF(tblWorkPackages[[#This Row],[Request date serial]]&lt;ValidationStart,"Train 2024",IF(tblWorkPackages[[#This Row],[Request date serial]]&lt;HoldoutStart,"Validation H1","Holdout H2"))</f>
        <v>Validation H1</v>
      </c>
      <c r="T14" s="51">
        <f>IF(tblWorkPackages[[#This Row],[Time split]]="Train 2024","",tblWorkPackages[[#This Row],[Estimated labor hours]]+VLOOKUP(tblWorkPackages[[#This Row],[Task type]],'Forecast validation'!$A$14:$E$25,IF(tblWorkPackages[[#This Row],[Time split]]="Validation H1",4,5),FALSE()))</f>
        <v>5.83069306930693</v>
      </c>
      <c r="U14" s="51">
        <f>IF(tblWorkPackages[[#This Row],[Calibrated forecast hours]]="","",ABS(tblWorkPackages[[#This Row],[Actual labor hours]]-tblWorkPackages[[#This Row],[Calibrated forecast hours]]))</f>
        <v>1.06930693069307</v>
      </c>
      <c r="V14" s="51">
        <f>IF(tblWorkPackages[[#This Row],[Time split]]="Train 2024",tblWorkPackages[[#This Row],[Estimated labor hours]],tblWorkPackages[[#This Row],[Calibrated forecast hours]])</f>
        <v>5.83069306930693</v>
      </c>
      <c r="W14" s="64">
        <f>DATEVALUE(tblWorkPackages[[#This Row],[Request date]])</f>
        <v>45832.0</v>
      </c>
      <c r="X14" s="64">
        <f>DATEVALUE(tblWorkPackages[[#This Row],[Due date]])</f>
        <v>45838.0</v>
      </c>
      <c r="Y14" s="64">
        <f>DATEVALUE(tblWorkPackages[[#This Row],[Completion date]])</f>
        <v>45835.0</v>
      </c>
      <c r="Z14" s="64">
        <f>_xlfn.MINIFS(tblLaborEntries[Work date serial],tblLaborEntries[Work package ID],tblWorkPackages[[#This Row],[Work package ID]])</f>
        <v>45833.0</v>
      </c>
      <c r="AA14" s="64">
        <f>_xlfn.MAXIFS(tblLaborEntries[Work date serial],tblLaborEntries[Work package ID],tblWorkPackages[[#This Row],[Work package ID]])</f>
        <v>45835.0</v>
      </c>
      <c r="AB14" s="65">
        <f>IF(tblWorkPackages[[#This Row],[Completion date serial]]&gt;tblWorkPackages[[#This Row],[Due date serial]],1,0)</f>
        <v>0</v>
      </c>
      <c r="AC14" s="65">
        <f>MAX(0,tblWorkPackages[[#This Row],[Completion date serial]]-tblWorkPackages[[#This Row],[Due date serial]])</f>
        <v>0</v>
      </c>
      <c r="AD14" s="65">
        <f>tblWorkPackages[[#This Row],[First labor date]]-tblWorkPackages[[#This Row],[Request date serial]]</f>
        <v>1</v>
      </c>
      <c r="AE14" s="65">
        <f>tblWorkPackages[[#This Row],[Last labor date]]-tblWorkPackages[[#This Row],[First labor date]]</f>
        <v>2</v>
      </c>
      <c r="AF14" s="65">
        <f>tblWorkPackages[[#This Row],[Completion date serial]]-tblWorkPackages[[#This Row],[Last labor date]]</f>
        <v>0</v>
      </c>
      <c r="AG14" s="65">
        <f>tblWorkPackages[[#This Row],[Completion date serial]]-tblWorkPackages[[#This Row],[Request date serial]]</f>
        <v>3</v>
      </c>
      <c r="AH14" s="65">
        <f>IFERROR(INDEX(tblParts[Delay days],MATCH(tblWorkPackages[[#This Row],[Work package ID]],tblParts[Work package ID],0)),0)</f>
        <v>0</v>
      </c>
      <c r="AI14" s="51" t="str">
        <f>IFERROR(INDEX(tblDisruptions[Event type],MATCH(tblWorkPackages[[#This Row],[Work package ID]],tblDisruptions[Work package ID],0)),"None")</f>
        <v>None</v>
      </c>
      <c r="AJ14" s="51" t="str">
        <f>TEXT(tblWorkPackages[[#This Row],[Due date serial]],"yyyy-mm")</f>
        <v>2025-06</v>
      </c>
    </row>
    <row r="15" spans="1:36" ht="15" x14ac:dyDescent="0.25">
      <c r="A15" s="53" t="s">
        <v>202</v>
      </c>
      <c r="B15" s="53" t="s">
        <v>203</v>
      </c>
      <c r="C15" s="53" t="s">
        <v>204</v>
      </c>
      <c r="D15" s="53" t="s">
        <v>205</v>
      </c>
      <c r="E15" s="53" t="s">
        <v>160</v>
      </c>
      <c r="F15" s="53" t="s">
        <v>128</v>
      </c>
      <c r="G15" s="53" t="s">
        <v>138</v>
      </c>
      <c r="H15" s="53">
        <v>4</v>
      </c>
      <c r="I15" s="53" t="s">
        <v>130</v>
      </c>
      <c r="J15" s="53">
        <v>1</v>
      </c>
      <c r="K15" s="53">
        <v>0</v>
      </c>
      <c r="L15" s="53">
        <v>6.8</v>
      </c>
      <c r="M15" s="53" t="s">
        <v>206</v>
      </c>
      <c r="N15" s="53">
        <v>9.4</v>
      </c>
      <c r="O15" s="51" t="str">
        <f>TEXT(tblWorkPackages[[#This Row],[Request date serial]]-WEEKDAY(tblWorkPackages[[#This Row],[Request date serial]],3),"yyyy-mm-dd")</f>
        <v>2024-10-28</v>
      </c>
      <c r="P15" s="51">
        <f>ABS(tblWorkPackages[[#This Row],[Actual labor hours]]-tblWorkPackages[[#This Row],[Estimated labor hours]])</f>
        <v>2.6</v>
      </c>
      <c r="Q15" s="51">
        <f>IF(tblWorkPackages[[#This Row],[Actual labor hours]]&gt;tblWorkPackages[[#This Row],[Estimated labor hours]],1,0)</f>
        <v>1</v>
      </c>
      <c r="R15" s="51">
        <f>tblWorkPackages[[#This Row],[Actual labor hours]]-tblWorkPackages[[#This Row],[Estimated labor hours]]</f>
        <v>2.6</v>
      </c>
      <c r="S15" s="51" t="str">
        <f>IF(tblWorkPackages[[#This Row],[Request date serial]]&lt;ValidationStart,"Train 2024",IF(tblWorkPackages[[#This Row],[Request date serial]]&lt;HoldoutStart,"Validation H1","Holdout H2"))</f>
        <v>Train 2024</v>
      </c>
      <c r="T15" s="51" t="str">
        <f>IF(tblWorkPackages[[#This Row],[Time split]]="Train 2024","",tblWorkPackages[[#This Row],[Estimated labor hours]]+VLOOKUP(tblWorkPackages[[#This Row],[Task type]],'Forecast validation'!$A$14:$E$25,IF(tblWorkPackages[[#This Row],[Time split]]="Validation H1",4,5),FALSE()))</f>
        <v/>
      </c>
      <c r="U15" s="51" t="str">
        <f>IF(tblWorkPackages[[#This Row],[Calibrated forecast hours]]="","",ABS(tblWorkPackages[[#This Row],[Actual labor hours]]-tblWorkPackages[[#This Row],[Calibrated forecast hours]]))</f>
        <v/>
      </c>
      <c r="V15" s="51">
        <f>IF(tblWorkPackages[[#This Row],[Time split]]="Train 2024",tblWorkPackages[[#This Row],[Estimated labor hours]],tblWorkPackages[[#This Row],[Calibrated forecast hours]])</f>
        <v>6.8</v>
      </c>
      <c r="W15" s="64">
        <f>DATEVALUE(tblWorkPackages[[#This Row],[Request date]])</f>
        <v>45596.0</v>
      </c>
      <c r="X15" s="64">
        <f>DATEVALUE(tblWorkPackages[[#This Row],[Due date]])</f>
        <v>45609.0</v>
      </c>
      <c r="Y15" s="64">
        <f>DATEVALUE(tblWorkPackages[[#This Row],[Completion date]])</f>
        <v>45607.0</v>
      </c>
      <c r="Z15" s="64">
        <f>_xlfn.MINIFS(tblLaborEntries[Work date serial],tblLaborEntries[Work package ID],tblWorkPackages[[#This Row],[Work package ID]])</f>
        <v>45606.0</v>
      </c>
      <c r="AA15" s="64">
        <f>_xlfn.MAXIFS(tblLaborEntries[Work date serial],tblLaborEntries[Work package ID],tblWorkPackages[[#This Row],[Work package ID]])</f>
        <v>45606.0</v>
      </c>
      <c r="AB15" s="65">
        <f>IF(tblWorkPackages[[#This Row],[Completion date serial]]&gt;tblWorkPackages[[#This Row],[Due date serial]],1,0)</f>
        <v>0</v>
      </c>
      <c r="AC15" s="65">
        <f>MAX(0,tblWorkPackages[[#This Row],[Completion date serial]]-tblWorkPackages[[#This Row],[Due date serial]])</f>
        <v>0</v>
      </c>
      <c r="AD15" s="65">
        <f>tblWorkPackages[[#This Row],[First labor date]]-tblWorkPackages[[#This Row],[Request date serial]]</f>
        <v>10</v>
      </c>
      <c r="AE15" s="65">
        <f>tblWorkPackages[[#This Row],[Last labor date]]-tblWorkPackages[[#This Row],[First labor date]]</f>
        <v>0</v>
      </c>
      <c r="AF15" s="65">
        <f>tblWorkPackages[[#This Row],[Completion date serial]]-tblWorkPackages[[#This Row],[Last labor date]]</f>
        <v>1</v>
      </c>
      <c r="AG15" s="65">
        <f>tblWorkPackages[[#This Row],[Completion date serial]]-tblWorkPackages[[#This Row],[Request date serial]]</f>
        <v>11</v>
      </c>
      <c r="AH15" s="65">
        <f>IFERROR(INDEX(tblParts[Delay days],MATCH(tblWorkPackages[[#This Row],[Work package ID]],tblParts[Work package ID],0)),0)</f>
        <v>0</v>
      </c>
      <c r="AI15" s="51" t="str">
        <f>IFERROR(INDEX(tblDisruptions[Event type],MATCH(tblWorkPackages[[#This Row],[Work package ID]],tblDisruptions[Work package ID],0)),"None")</f>
        <v>None</v>
      </c>
      <c r="AJ15" s="51" t="str">
        <f>TEXT(tblWorkPackages[[#This Row],[Due date serial]],"yyyy-mm")</f>
        <v>2024-11</v>
      </c>
    </row>
    <row r="16" spans="1:36" ht="15" x14ac:dyDescent="0.25">
      <c r="A16" s="53" t="s">
        <v>207</v>
      </c>
      <c r="B16" s="53" t="s">
        <v>168</v>
      </c>
      <c r="C16" s="53" t="s">
        <v>208</v>
      </c>
      <c r="D16" s="53" t="s">
        <v>190</v>
      </c>
      <c r="E16" s="53" t="s">
        <v>209</v>
      </c>
      <c r="F16" s="53" t="s">
        <v>145</v>
      </c>
      <c r="G16" s="53" t="s">
        <v>210</v>
      </c>
      <c r="H16" s="53">
        <v>3</v>
      </c>
      <c r="I16" s="53" t="s">
        <v>176</v>
      </c>
      <c r="J16" s="53">
        <v>0</v>
      </c>
      <c r="K16" s="53">
        <v>1</v>
      </c>
      <c r="L16" s="53">
        <v>27.4</v>
      </c>
      <c r="M16" s="53" t="s">
        <v>211</v>
      </c>
      <c r="N16" s="53">
        <v>33.700000000000003</v>
      </c>
      <c r="O16" s="51" t="str">
        <f>TEXT(tblWorkPackages[[#This Row],[Request date serial]]-WEEKDAY(tblWorkPackages[[#This Row],[Request date serial]],3),"yyyy-mm-dd")</f>
        <v>2025-08-04</v>
      </c>
      <c r="P16" s="51">
        <f>ABS(tblWorkPackages[[#This Row],[Actual labor hours]]-tblWorkPackages[[#This Row],[Estimated labor hours]])</f>
        <v>6.3</v>
      </c>
      <c r="Q16" s="51">
        <f>IF(tblWorkPackages[[#This Row],[Actual labor hours]]&gt;tblWorkPackages[[#This Row],[Estimated labor hours]],1,0)</f>
        <v>1</v>
      </c>
      <c r="R16" s="51">
        <f>tblWorkPackages[[#This Row],[Actual labor hours]]-tblWorkPackages[[#This Row],[Estimated labor hours]]</f>
        <v>6.3</v>
      </c>
      <c r="S16" s="51" t="str">
        <f>IF(tblWorkPackages[[#This Row],[Request date serial]]&lt;ValidationStart,"Train 2024",IF(tblWorkPackages[[#This Row],[Request date serial]]&lt;HoldoutStart,"Validation H1","Holdout H2"))</f>
        <v>Holdout H2</v>
      </c>
      <c r="T16" s="51">
        <f>IF(tblWorkPackages[[#This Row],[Time split]]="Train 2024","",tblWorkPackages[[#This Row],[Estimated labor hours]]+VLOOKUP(tblWorkPackages[[#This Row],[Task type]],'Forecast validation'!$A$14:$E$25,IF(tblWorkPackages[[#This Row],[Time split]]="Validation H1",4,5),FALSE()))</f>
        <v>29.195652173913</v>
      </c>
      <c r="U16" s="51">
        <f>IF(tblWorkPackages[[#This Row],[Calibrated forecast hours]]="","",ABS(tblWorkPackages[[#This Row],[Actual labor hours]]-tblWorkPackages[[#This Row],[Calibrated forecast hours]]))</f>
        <v>4.50434782608696</v>
      </c>
      <c r="V16" s="51">
        <f>IF(tblWorkPackages[[#This Row],[Time split]]="Train 2024",tblWorkPackages[[#This Row],[Estimated labor hours]],tblWorkPackages[[#This Row],[Calibrated forecast hours]])</f>
        <v>29.195652173913</v>
      </c>
      <c r="W16" s="64">
        <f>DATEVALUE(tblWorkPackages[[#This Row],[Request date]])</f>
        <v>45877.0</v>
      </c>
      <c r="X16" s="64">
        <f>DATEVALUE(tblWorkPackages[[#This Row],[Due date]])</f>
        <v>45883.0</v>
      </c>
      <c r="Y16" s="64">
        <f>DATEVALUE(tblWorkPackages[[#This Row],[Completion date]])</f>
        <v>45882.0</v>
      </c>
      <c r="Z16" s="64">
        <f>_xlfn.MINIFS(tblLaborEntries[Work date serial],tblLaborEntries[Work package ID],tblWorkPackages[[#This Row],[Work package ID]])</f>
        <v>45880.0</v>
      </c>
      <c r="AA16" s="64">
        <f>_xlfn.MAXIFS(tblLaborEntries[Work date serial],tblLaborEntries[Work package ID],tblWorkPackages[[#This Row],[Work package ID]])</f>
        <v>45880.0</v>
      </c>
      <c r="AB16" s="65">
        <f>IF(tblWorkPackages[[#This Row],[Completion date serial]]&gt;tblWorkPackages[[#This Row],[Due date serial]],1,0)</f>
        <v>0</v>
      </c>
      <c r="AC16" s="65">
        <f>MAX(0,tblWorkPackages[[#This Row],[Completion date serial]]-tblWorkPackages[[#This Row],[Due date serial]])</f>
        <v>0</v>
      </c>
      <c r="AD16" s="65">
        <f>tblWorkPackages[[#This Row],[First labor date]]-tblWorkPackages[[#This Row],[Request date serial]]</f>
        <v>3</v>
      </c>
      <c r="AE16" s="65">
        <f>tblWorkPackages[[#This Row],[Last labor date]]-tblWorkPackages[[#This Row],[First labor date]]</f>
        <v>0</v>
      </c>
      <c r="AF16" s="65">
        <f>tblWorkPackages[[#This Row],[Completion date serial]]-tblWorkPackages[[#This Row],[Last labor date]]</f>
        <v>2</v>
      </c>
      <c r="AG16" s="65">
        <f>tblWorkPackages[[#This Row],[Completion date serial]]-tblWorkPackages[[#This Row],[Request date serial]]</f>
        <v>5</v>
      </c>
      <c r="AH16" s="65">
        <f>IFERROR(INDEX(tblParts[Delay days],MATCH(tblWorkPackages[[#This Row],[Work package ID]],tblParts[Work package ID],0)),0)</f>
        <v>0</v>
      </c>
      <c r="AI16" s="51" t="str">
        <f>IFERROR(INDEX(tblDisruptions[Event type],MATCH(tblWorkPackages[[#This Row],[Work package ID]],tblDisruptions[Work package ID],0)),"None")</f>
        <v>None</v>
      </c>
      <c r="AJ16" s="51" t="str">
        <f>TEXT(tblWorkPackages[[#This Row],[Due date serial]],"yyyy-mm")</f>
        <v>2025-08</v>
      </c>
    </row>
    <row r="17" spans="1:36" ht="15" x14ac:dyDescent="0.25">
      <c r="A17" s="53" t="s">
        <v>212</v>
      </c>
      <c r="B17" s="53" t="s">
        <v>163</v>
      </c>
      <c r="C17" s="53" t="s">
        <v>213</v>
      </c>
      <c r="D17" s="53" t="s">
        <v>214</v>
      </c>
      <c r="E17" s="53" t="s">
        <v>127</v>
      </c>
      <c r="F17" s="53" t="s">
        <v>128</v>
      </c>
      <c r="G17" s="53" t="s">
        <v>129</v>
      </c>
      <c r="H17" s="53">
        <v>2</v>
      </c>
      <c r="I17" s="53" t="s">
        <v>176</v>
      </c>
      <c r="J17" s="53">
        <v>1</v>
      </c>
      <c r="K17" s="53">
        <v>0</v>
      </c>
      <c r="L17" s="53">
        <v>6.8</v>
      </c>
      <c r="M17" s="53" t="s">
        <v>215</v>
      </c>
      <c r="N17" s="53">
        <v>7</v>
      </c>
      <c r="O17" s="51" t="str">
        <f>TEXT(tblWorkPackages[[#This Row],[Request date serial]]-WEEKDAY(tblWorkPackages[[#This Row],[Request date serial]],3),"yyyy-mm-dd")</f>
        <v>2024-01-08</v>
      </c>
      <c r="P17" s="51">
        <f>ABS(tblWorkPackages[[#This Row],[Actual labor hours]]-tblWorkPackages[[#This Row],[Estimated labor hours]])</f>
        <v>0.2</v>
      </c>
      <c r="Q17" s="51">
        <f>IF(tblWorkPackages[[#This Row],[Actual labor hours]]&gt;tblWorkPackages[[#This Row],[Estimated labor hours]],1,0)</f>
        <v>1</v>
      </c>
      <c r="R17" s="51">
        <f>tblWorkPackages[[#This Row],[Actual labor hours]]-tblWorkPackages[[#This Row],[Estimated labor hours]]</f>
        <v>0.2</v>
      </c>
      <c r="S17" s="51" t="str">
        <f>IF(tblWorkPackages[[#This Row],[Request date serial]]&lt;ValidationStart,"Train 2024",IF(tblWorkPackages[[#This Row],[Request date serial]]&lt;HoldoutStart,"Validation H1","Holdout H2"))</f>
        <v>Train 2024</v>
      </c>
      <c r="T17" s="51" t="str">
        <f>IF(tblWorkPackages[[#This Row],[Time split]]="Train 2024","",tblWorkPackages[[#This Row],[Estimated labor hours]]+VLOOKUP(tblWorkPackages[[#This Row],[Task type]],'Forecast validation'!$A$14:$E$25,IF(tblWorkPackages[[#This Row],[Time split]]="Validation H1",4,5),FALSE()))</f>
        <v/>
      </c>
      <c r="U17" s="51" t="str">
        <f>IF(tblWorkPackages[[#This Row],[Calibrated forecast hours]]="","",ABS(tblWorkPackages[[#This Row],[Actual labor hours]]-tblWorkPackages[[#This Row],[Calibrated forecast hours]]))</f>
        <v/>
      </c>
      <c r="V17" s="51">
        <f>IF(tblWorkPackages[[#This Row],[Time split]]="Train 2024",tblWorkPackages[[#This Row],[Estimated labor hours]],tblWorkPackages[[#This Row],[Calibrated forecast hours]])</f>
        <v>6.8</v>
      </c>
      <c r="W17" s="64">
        <f>DATEVALUE(tblWorkPackages[[#This Row],[Request date]])</f>
        <v>45305.0</v>
      </c>
      <c r="X17" s="64">
        <f>DATEVALUE(tblWorkPackages[[#This Row],[Due date]])</f>
        <v>45311.0</v>
      </c>
      <c r="Y17" s="64">
        <f>DATEVALUE(tblWorkPackages[[#This Row],[Completion date]])</f>
        <v>45336.0</v>
      </c>
      <c r="Z17" s="64">
        <f>_xlfn.MINIFS(tblLaborEntries[Work date serial],tblLaborEntries[Work package ID],tblWorkPackages[[#This Row],[Work package ID]])</f>
        <v>45333.0</v>
      </c>
      <c r="AA17" s="64">
        <f>_xlfn.MAXIFS(tblLaborEntries[Work date serial],tblLaborEntries[Work package ID],tblWorkPackages[[#This Row],[Work package ID]])</f>
        <v>45333.0</v>
      </c>
      <c r="AB17" s="65">
        <f>IF(tblWorkPackages[[#This Row],[Completion date serial]]&gt;tblWorkPackages[[#This Row],[Due date serial]],1,0)</f>
        <v>1</v>
      </c>
      <c r="AC17" s="65">
        <f>MAX(0,tblWorkPackages[[#This Row],[Completion date serial]]-tblWorkPackages[[#This Row],[Due date serial]])</f>
        <v>25</v>
      </c>
      <c r="AD17" s="65">
        <f>tblWorkPackages[[#This Row],[First labor date]]-tblWorkPackages[[#This Row],[Request date serial]]</f>
        <v>28</v>
      </c>
      <c r="AE17" s="65">
        <f>tblWorkPackages[[#This Row],[Last labor date]]-tblWorkPackages[[#This Row],[First labor date]]</f>
        <v>0</v>
      </c>
      <c r="AF17" s="65">
        <f>tblWorkPackages[[#This Row],[Completion date serial]]-tblWorkPackages[[#This Row],[Last labor date]]</f>
        <v>3</v>
      </c>
      <c r="AG17" s="65">
        <f>tblWorkPackages[[#This Row],[Completion date serial]]-tblWorkPackages[[#This Row],[Request date serial]]</f>
        <v>31</v>
      </c>
      <c r="AH17" s="65">
        <f>IFERROR(INDEX(tblParts[Delay days],MATCH(tblWorkPackages[[#This Row],[Work package ID]],tblParts[Work package ID],0)),0)</f>
        <v>0</v>
      </c>
      <c r="AI17" s="51" t="str">
        <f>IFERROR(INDEX(tblDisruptions[Event type],MATCH(tblWorkPackages[[#This Row],[Work package ID]],tblDisruptions[Work package ID],0)),"None")</f>
        <v>None</v>
      </c>
      <c r="AJ17" s="51" t="str">
        <f>TEXT(tblWorkPackages[[#This Row],[Due date serial]],"yyyy-mm")</f>
        <v>2024-01</v>
      </c>
    </row>
    <row r="18" spans="1:36" ht="15" x14ac:dyDescent="0.25">
      <c r="A18" s="53" t="s">
        <v>216</v>
      </c>
      <c r="B18" s="53" t="s">
        <v>185</v>
      </c>
      <c r="C18" s="53" t="s">
        <v>217</v>
      </c>
      <c r="D18" s="53" t="s">
        <v>218</v>
      </c>
      <c r="E18" s="53" t="s">
        <v>200</v>
      </c>
      <c r="F18" s="53" t="s">
        <v>128</v>
      </c>
      <c r="G18" s="53" t="s">
        <v>129</v>
      </c>
      <c r="H18" s="53">
        <v>4</v>
      </c>
      <c r="I18" s="53" t="s">
        <v>130</v>
      </c>
      <c r="J18" s="53">
        <v>0</v>
      </c>
      <c r="K18" s="53">
        <v>0</v>
      </c>
      <c r="L18" s="53">
        <v>5.6</v>
      </c>
      <c r="M18" s="53" t="s">
        <v>219</v>
      </c>
      <c r="N18" s="53">
        <v>6.8</v>
      </c>
      <c r="O18" s="51" t="str">
        <f>TEXT(tblWorkPackages[[#This Row],[Request date serial]]-WEEKDAY(tblWorkPackages[[#This Row],[Request date serial]],3),"yyyy-mm-dd")</f>
        <v>2025-12-08</v>
      </c>
      <c r="P18" s="51">
        <f>ABS(tblWorkPackages[[#This Row],[Actual labor hours]]-tblWorkPackages[[#This Row],[Estimated labor hours]])</f>
        <v>1.2</v>
      </c>
      <c r="Q18" s="51">
        <f>IF(tblWorkPackages[[#This Row],[Actual labor hours]]&gt;tblWorkPackages[[#This Row],[Estimated labor hours]],1,0)</f>
        <v>1</v>
      </c>
      <c r="R18" s="51">
        <f>tblWorkPackages[[#This Row],[Actual labor hours]]-tblWorkPackages[[#This Row],[Estimated labor hours]]</f>
        <v>1.2</v>
      </c>
      <c r="S18" s="51" t="str">
        <f>IF(tblWorkPackages[[#This Row],[Request date serial]]&lt;ValidationStart,"Train 2024",IF(tblWorkPackages[[#This Row],[Request date serial]]&lt;HoldoutStart,"Validation H1","Holdout H2"))</f>
        <v>Holdout H2</v>
      </c>
      <c r="T18" s="51">
        <f>IF(tblWorkPackages[[#This Row],[Time split]]="Train 2024","",tblWorkPackages[[#This Row],[Estimated labor hours]]+VLOOKUP(tblWorkPackages[[#This Row],[Task type]],'Forecast validation'!$A$14:$E$25,IF(tblWorkPackages[[#This Row],[Time split]]="Validation H1",4,5),FALSE()))</f>
        <v>5.92893081761006</v>
      </c>
      <c r="U18" s="51">
        <f>IF(tblWorkPackages[[#This Row],[Calibrated forecast hours]]="","",ABS(tblWorkPackages[[#This Row],[Actual labor hours]]-tblWorkPackages[[#This Row],[Calibrated forecast hours]]))</f>
        <v>0.871069182389937</v>
      </c>
      <c r="V18" s="51">
        <f>IF(tblWorkPackages[[#This Row],[Time split]]="Train 2024",tblWorkPackages[[#This Row],[Estimated labor hours]],tblWorkPackages[[#This Row],[Calibrated forecast hours]])</f>
        <v>5.92893081761006</v>
      </c>
      <c r="W18" s="64">
        <f>DATEVALUE(tblWorkPackages[[#This Row],[Request date]])</f>
        <v>46004.0</v>
      </c>
      <c r="X18" s="64">
        <f>DATEVALUE(tblWorkPackages[[#This Row],[Due date]])</f>
        <v>46017.0</v>
      </c>
      <c r="Y18" s="64">
        <f>DATEVALUE(tblWorkPackages[[#This Row],[Completion date]])</f>
        <v>46011.0</v>
      </c>
      <c r="Z18" s="64">
        <f>_xlfn.MINIFS(tblLaborEntries[Work date serial],tblLaborEntries[Work package ID],tblWorkPackages[[#This Row],[Work package ID]])</f>
        <v>46009.0</v>
      </c>
      <c r="AA18" s="64">
        <f>_xlfn.MAXIFS(tblLaborEntries[Work date serial],tblLaborEntries[Work package ID],tblWorkPackages[[#This Row],[Work package ID]])</f>
        <v>46011.0</v>
      </c>
      <c r="AB18" s="65">
        <f>IF(tblWorkPackages[[#This Row],[Completion date serial]]&gt;tblWorkPackages[[#This Row],[Due date serial]],1,0)</f>
        <v>0</v>
      </c>
      <c r="AC18" s="65">
        <f>MAX(0,tblWorkPackages[[#This Row],[Completion date serial]]-tblWorkPackages[[#This Row],[Due date serial]])</f>
        <v>0</v>
      </c>
      <c r="AD18" s="65">
        <f>tblWorkPackages[[#This Row],[First labor date]]-tblWorkPackages[[#This Row],[Request date serial]]</f>
        <v>5</v>
      </c>
      <c r="AE18" s="65">
        <f>tblWorkPackages[[#This Row],[Last labor date]]-tblWorkPackages[[#This Row],[First labor date]]</f>
        <v>2</v>
      </c>
      <c r="AF18" s="65">
        <f>tblWorkPackages[[#This Row],[Completion date serial]]-tblWorkPackages[[#This Row],[Last labor date]]</f>
        <v>0</v>
      </c>
      <c r="AG18" s="65">
        <f>tblWorkPackages[[#This Row],[Completion date serial]]-tblWorkPackages[[#This Row],[Request date serial]]</f>
        <v>7</v>
      </c>
      <c r="AH18" s="65">
        <f>IFERROR(INDEX(tblParts[Delay days],MATCH(tblWorkPackages[[#This Row],[Work package ID]],tblParts[Work package ID],0)),0)</f>
        <v>0</v>
      </c>
      <c r="AI18" s="51" t="str">
        <f>IFERROR(INDEX(tblDisruptions[Event type],MATCH(tblWorkPackages[[#This Row],[Work package ID]],tblDisruptions[Work package ID],0)),"None")</f>
        <v>None</v>
      </c>
      <c r="AJ18" s="51" t="str">
        <f>TEXT(tblWorkPackages[[#This Row],[Due date serial]],"yyyy-mm")</f>
        <v>2025-12</v>
      </c>
    </row>
    <row r="19" spans="1:36" ht="15" x14ac:dyDescent="0.25">
      <c r="A19" s="53" t="s">
        <v>220</v>
      </c>
      <c r="B19" s="53" t="s">
        <v>185</v>
      </c>
      <c r="C19" s="53" t="s">
        <v>221</v>
      </c>
      <c r="D19" s="53" t="s">
        <v>222</v>
      </c>
      <c r="E19" s="53" t="s">
        <v>223</v>
      </c>
      <c r="F19" s="53" t="s">
        <v>182</v>
      </c>
      <c r="G19" s="53" t="s">
        <v>154</v>
      </c>
      <c r="H19" s="53">
        <v>1</v>
      </c>
      <c r="I19" s="53" t="s">
        <v>147</v>
      </c>
      <c r="J19" s="53">
        <v>0</v>
      </c>
      <c r="K19" s="53">
        <v>0</v>
      </c>
      <c r="L19" s="53">
        <v>8.1</v>
      </c>
      <c r="M19" s="53" t="s">
        <v>224</v>
      </c>
      <c r="N19" s="53">
        <v>8.5</v>
      </c>
      <c r="O19" s="51" t="str">
        <f>TEXT(tblWorkPackages[[#This Row],[Request date serial]]-WEEKDAY(tblWorkPackages[[#This Row],[Request date serial]],3),"yyyy-mm-dd")</f>
        <v>2024-12-16</v>
      </c>
      <c r="P19" s="51">
        <f>ABS(tblWorkPackages[[#This Row],[Actual labor hours]]-tblWorkPackages[[#This Row],[Estimated labor hours]])</f>
        <v>0.4</v>
      </c>
      <c r="Q19" s="51">
        <f>IF(tblWorkPackages[[#This Row],[Actual labor hours]]&gt;tblWorkPackages[[#This Row],[Estimated labor hours]],1,0)</f>
        <v>1</v>
      </c>
      <c r="R19" s="51">
        <f>tblWorkPackages[[#This Row],[Actual labor hours]]-tblWorkPackages[[#This Row],[Estimated labor hours]]</f>
        <v>0.4</v>
      </c>
      <c r="S19" s="51" t="str">
        <f>IF(tblWorkPackages[[#This Row],[Request date serial]]&lt;ValidationStart,"Train 2024",IF(tblWorkPackages[[#This Row],[Request date serial]]&lt;HoldoutStart,"Validation H1","Holdout H2"))</f>
        <v>Train 2024</v>
      </c>
      <c r="T19" s="51" t="str">
        <f>IF(tblWorkPackages[[#This Row],[Time split]]="Train 2024","",tblWorkPackages[[#This Row],[Estimated labor hours]]+VLOOKUP(tblWorkPackages[[#This Row],[Task type]],'Forecast validation'!$A$14:$E$25,IF(tblWorkPackages[[#This Row],[Time split]]="Validation H1",4,5),FALSE()))</f>
        <v/>
      </c>
      <c r="U19" s="51" t="str">
        <f>IF(tblWorkPackages[[#This Row],[Calibrated forecast hours]]="","",ABS(tblWorkPackages[[#This Row],[Actual labor hours]]-tblWorkPackages[[#This Row],[Calibrated forecast hours]]))</f>
        <v/>
      </c>
      <c r="V19" s="51">
        <f>IF(tblWorkPackages[[#This Row],[Time split]]="Train 2024",tblWorkPackages[[#This Row],[Estimated labor hours]],tblWorkPackages[[#This Row],[Calibrated forecast hours]])</f>
        <v>8.1</v>
      </c>
      <c r="W19" s="64">
        <f>DATEVALUE(tblWorkPackages[[#This Row],[Request date]])</f>
        <v>45645.0</v>
      </c>
      <c r="X19" s="64">
        <f>DATEVALUE(tblWorkPackages[[#This Row],[Due date]])</f>
        <v>45647.0</v>
      </c>
      <c r="Y19" s="64">
        <f>DATEVALUE(tblWorkPackages[[#This Row],[Completion date]])</f>
        <v>45648.0</v>
      </c>
      <c r="Z19" s="64">
        <f>_xlfn.MINIFS(tblLaborEntries[Work date serial],tblLaborEntries[Work package ID],tblWorkPackages[[#This Row],[Work package ID]])</f>
        <v>45646.0</v>
      </c>
      <c r="AA19" s="64">
        <f>_xlfn.MAXIFS(tblLaborEntries[Work date serial],tblLaborEntries[Work package ID],tblWorkPackages[[#This Row],[Work package ID]])</f>
        <v>45647.0</v>
      </c>
      <c r="AB19" s="65">
        <f>IF(tblWorkPackages[[#This Row],[Completion date serial]]&gt;tblWorkPackages[[#This Row],[Due date serial]],1,0)</f>
        <v>1</v>
      </c>
      <c r="AC19" s="65">
        <f>MAX(0,tblWorkPackages[[#This Row],[Completion date serial]]-tblWorkPackages[[#This Row],[Due date serial]])</f>
        <v>1</v>
      </c>
      <c r="AD19" s="65">
        <f>tblWorkPackages[[#This Row],[First labor date]]-tblWorkPackages[[#This Row],[Request date serial]]</f>
        <v>1</v>
      </c>
      <c r="AE19" s="65">
        <f>tblWorkPackages[[#This Row],[Last labor date]]-tblWorkPackages[[#This Row],[First labor date]]</f>
        <v>1</v>
      </c>
      <c r="AF19" s="65">
        <f>tblWorkPackages[[#This Row],[Completion date serial]]-tblWorkPackages[[#This Row],[Last labor date]]</f>
        <v>1</v>
      </c>
      <c r="AG19" s="65">
        <f>tblWorkPackages[[#This Row],[Completion date serial]]-tblWorkPackages[[#This Row],[Request date serial]]</f>
        <v>3</v>
      </c>
      <c r="AH19" s="65">
        <f>IFERROR(INDEX(tblParts[Delay days],MATCH(tblWorkPackages[[#This Row],[Work package ID]],tblParts[Work package ID],0)),0)</f>
        <v>0</v>
      </c>
      <c r="AI19" s="51" t="str">
        <f>IFERROR(INDEX(tblDisruptions[Event type],MATCH(tblWorkPackages[[#This Row],[Work package ID]],tblDisruptions[Work package ID],0)),"None")</f>
        <v>None</v>
      </c>
      <c r="AJ19" s="51" t="str">
        <f>TEXT(tblWorkPackages[[#This Row],[Due date serial]],"yyyy-mm")</f>
        <v>2024-12</v>
      </c>
    </row>
    <row r="20" spans="1:36" ht="15" x14ac:dyDescent="0.25">
      <c r="A20" s="53" t="s">
        <v>225</v>
      </c>
      <c r="B20" s="53" t="s">
        <v>168</v>
      </c>
      <c r="C20" s="53" t="s">
        <v>226</v>
      </c>
      <c r="D20" s="53" t="s">
        <v>227</v>
      </c>
      <c r="E20" s="53" t="s">
        <v>181</v>
      </c>
      <c r="F20" s="53" t="s">
        <v>182</v>
      </c>
      <c r="G20" s="53" t="s">
        <v>138</v>
      </c>
      <c r="H20" s="53">
        <v>3</v>
      </c>
      <c r="I20" s="53" t="s">
        <v>130</v>
      </c>
      <c r="J20" s="53">
        <v>0</v>
      </c>
      <c r="K20" s="53">
        <v>0</v>
      </c>
      <c r="L20" s="53">
        <v>10.6</v>
      </c>
      <c r="M20" s="53" t="s">
        <v>228</v>
      </c>
      <c r="N20" s="53">
        <v>12.1</v>
      </c>
      <c r="O20" s="51" t="str">
        <f>TEXT(tblWorkPackages[[#This Row],[Request date serial]]-WEEKDAY(tblWorkPackages[[#This Row],[Request date serial]],3),"yyyy-mm-dd")</f>
        <v>2025-07-14</v>
      </c>
      <c r="P20" s="51">
        <f>ABS(tblWorkPackages[[#This Row],[Actual labor hours]]-tblWorkPackages[[#This Row],[Estimated labor hours]])</f>
        <v>1.5</v>
      </c>
      <c r="Q20" s="51">
        <f>IF(tblWorkPackages[[#This Row],[Actual labor hours]]&gt;tblWorkPackages[[#This Row],[Estimated labor hours]],1,0)</f>
        <v>1</v>
      </c>
      <c r="R20" s="51">
        <f>tblWorkPackages[[#This Row],[Actual labor hours]]-tblWorkPackages[[#This Row],[Estimated labor hours]]</f>
        <v>1.5</v>
      </c>
      <c r="S20" s="51" t="str">
        <f>IF(tblWorkPackages[[#This Row],[Request date serial]]&lt;ValidationStart,"Train 2024",IF(tblWorkPackages[[#This Row],[Request date serial]]&lt;HoldoutStart,"Validation H1","Holdout H2"))</f>
        <v>Holdout H2</v>
      </c>
      <c r="T20" s="51">
        <f>IF(tblWorkPackages[[#This Row],[Time split]]="Train 2024","",tblWorkPackages[[#This Row],[Estimated labor hours]]+VLOOKUP(tblWorkPackages[[#This Row],[Task type]],'Forecast validation'!$A$14:$E$25,IF(tblWorkPackages[[#This Row],[Time split]]="Validation H1",4,5),FALSE()))</f>
        <v>11.1916083916084</v>
      </c>
      <c r="U20" s="51">
        <f>IF(tblWorkPackages[[#This Row],[Calibrated forecast hours]]="","",ABS(tblWorkPackages[[#This Row],[Actual labor hours]]-tblWorkPackages[[#This Row],[Calibrated forecast hours]]))</f>
        <v>0.908391608391609</v>
      </c>
      <c r="V20" s="51">
        <f>IF(tblWorkPackages[[#This Row],[Time split]]="Train 2024",tblWorkPackages[[#This Row],[Estimated labor hours]],tblWorkPackages[[#This Row],[Calibrated forecast hours]])</f>
        <v>11.1916083916084</v>
      </c>
      <c r="W20" s="64">
        <f>DATEVALUE(tblWorkPackages[[#This Row],[Request date]])</f>
        <v>45857.0</v>
      </c>
      <c r="X20" s="64">
        <f>DATEVALUE(tblWorkPackages[[#This Row],[Due date]])</f>
        <v>45870.0</v>
      </c>
      <c r="Y20" s="64">
        <f>DATEVALUE(tblWorkPackages[[#This Row],[Completion date]])</f>
        <v>45872.0</v>
      </c>
      <c r="Z20" s="64">
        <f>_xlfn.MINIFS(tblLaborEntries[Work date serial],tblLaborEntries[Work package ID],tblWorkPackages[[#This Row],[Work package ID]])</f>
        <v>45870.0</v>
      </c>
      <c r="AA20" s="64">
        <f>_xlfn.MAXIFS(tblLaborEntries[Work date serial],tblLaborEntries[Work package ID],tblWorkPackages[[#This Row],[Work package ID]])</f>
        <v>45870.0</v>
      </c>
      <c r="AB20" s="65">
        <f>IF(tblWorkPackages[[#This Row],[Completion date serial]]&gt;tblWorkPackages[[#This Row],[Due date serial]],1,0)</f>
        <v>1</v>
      </c>
      <c r="AC20" s="65">
        <f>MAX(0,tblWorkPackages[[#This Row],[Completion date serial]]-tblWorkPackages[[#This Row],[Due date serial]])</f>
        <v>2</v>
      </c>
      <c r="AD20" s="65">
        <f>tblWorkPackages[[#This Row],[First labor date]]-tblWorkPackages[[#This Row],[Request date serial]]</f>
        <v>13</v>
      </c>
      <c r="AE20" s="65">
        <f>tblWorkPackages[[#This Row],[Last labor date]]-tblWorkPackages[[#This Row],[First labor date]]</f>
        <v>0</v>
      </c>
      <c r="AF20" s="65">
        <f>tblWorkPackages[[#This Row],[Completion date serial]]-tblWorkPackages[[#This Row],[Last labor date]]</f>
        <v>2</v>
      </c>
      <c r="AG20" s="65">
        <f>tblWorkPackages[[#This Row],[Completion date serial]]-tblWorkPackages[[#This Row],[Request date serial]]</f>
        <v>15</v>
      </c>
      <c r="AH20" s="65">
        <f>IFERROR(INDEX(tblParts[Delay days],MATCH(tblWorkPackages[[#This Row],[Work package ID]],tblParts[Work package ID],0)),0)</f>
        <v>0</v>
      </c>
      <c r="AI20" s="51" t="str">
        <f>IFERROR(INDEX(tblDisruptions[Event type],MATCH(tblWorkPackages[[#This Row],[Work package ID]],tblDisruptions[Work package ID],0)),"None")</f>
        <v>None</v>
      </c>
      <c r="AJ20" s="51" t="str">
        <f>TEXT(tblWorkPackages[[#This Row],[Due date serial]],"yyyy-mm")</f>
        <v>2025-08</v>
      </c>
    </row>
    <row r="21" spans="1:36" ht="15" x14ac:dyDescent="0.25">
      <c r="A21" s="53" t="s">
        <v>229</v>
      </c>
      <c r="B21" s="53" t="s">
        <v>230</v>
      </c>
      <c r="C21" s="53" t="s">
        <v>231</v>
      </c>
      <c r="D21" s="53" t="s">
        <v>232</v>
      </c>
      <c r="E21" s="53" t="s">
        <v>136</v>
      </c>
      <c r="F21" s="53" t="s">
        <v>137</v>
      </c>
      <c r="G21" s="53" t="s">
        <v>138</v>
      </c>
      <c r="H21" s="53">
        <v>3</v>
      </c>
      <c r="I21" s="53" t="s">
        <v>130</v>
      </c>
      <c r="J21" s="53">
        <v>0</v>
      </c>
      <c r="K21" s="53">
        <v>0</v>
      </c>
      <c r="L21" s="53">
        <v>19.3</v>
      </c>
      <c r="M21" s="53" t="s">
        <v>233</v>
      </c>
      <c r="N21" s="53">
        <v>24.6</v>
      </c>
      <c r="O21" s="51" t="str">
        <f>TEXT(tblWorkPackages[[#This Row],[Request date serial]]-WEEKDAY(tblWorkPackages[[#This Row],[Request date serial]],3),"yyyy-mm-dd")</f>
        <v>2024-12-23</v>
      </c>
      <c r="P21" s="51">
        <f>ABS(tblWorkPackages[[#This Row],[Actual labor hours]]-tblWorkPackages[[#This Row],[Estimated labor hours]])</f>
        <v>5.3</v>
      </c>
      <c r="Q21" s="51">
        <f>IF(tblWorkPackages[[#This Row],[Actual labor hours]]&gt;tblWorkPackages[[#This Row],[Estimated labor hours]],1,0)</f>
        <v>1</v>
      </c>
      <c r="R21" s="51">
        <f>tblWorkPackages[[#This Row],[Actual labor hours]]-tblWorkPackages[[#This Row],[Estimated labor hours]]</f>
        <v>5.3</v>
      </c>
      <c r="S21" s="51" t="str">
        <f>IF(tblWorkPackages[[#This Row],[Request date serial]]&lt;ValidationStart,"Train 2024",IF(tblWorkPackages[[#This Row],[Request date serial]]&lt;HoldoutStart,"Validation H1","Holdout H2"))</f>
        <v>Train 2024</v>
      </c>
      <c r="T21" s="51" t="str">
        <f>IF(tblWorkPackages[[#This Row],[Time split]]="Train 2024","",tblWorkPackages[[#This Row],[Estimated labor hours]]+VLOOKUP(tblWorkPackages[[#This Row],[Task type]],'Forecast validation'!$A$14:$E$25,IF(tblWorkPackages[[#This Row],[Time split]]="Validation H1",4,5),FALSE()))</f>
        <v/>
      </c>
      <c r="U21" s="51" t="str">
        <f>IF(tblWorkPackages[[#This Row],[Calibrated forecast hours]]="","",ABS(tblWorkPackages[[#This Row],[Actual labor hours]]-tblWorkPackages[[#This Row],[Calibrated forecast hours]]))</f>
        <v/>
      </c>
      <c r="V21" s="51">
        <f>IF(tblWorkPackages[[#This Row],[Time split]]="Train 2024",tblWorkPackages[[#This Row],[Estimated labor hours]],tblWorkPackages[[#This Row],[Calibrated forecast hours]])</f>
        <v>19.3</v>
      </c>
      <c r="W21" s="64">
        <f>DATEVALUE(tblWorkPackages[[#This Row],[Request date]])</f>
        <v>45655.0</v>
      </c>
      <c r="X21" s="64">
        <f>DATEVALUE(tblWorkPackages[[#This Row],[Due date]])</f>
        <v>45668.0</v>
      </c>
      <c r="Y21" s="64">
        <f>DATEVALUE(tblWorkPackages[[#This Row],[Completion date]])</f>
        <v>45661.0</v>
      </c>
      <c r="Z21" s="64">
        <f>_xlfn.MINIFS(tblLaborEntries[Work date serial],tblLaborEntries[Work package ID],tblWorkPackages[[#This Row],[Work package ID]])</f>
        <v>45658.0</v>
      </c>
      <c r="AA21" s="64">
        <f>_xlfn.MAXIFS(tblLaborEntries[Work date serial],tblLaborEntries[Work package ID],tblWorkPackages[[#This Row],[Work package ID]])</f>
        <v>45658.0</v>
      </c>
      <c r="AB21" s="65">
        <f>IF(tblWorkPackages[[#This Row],[Completion date serial]]&gt;tblWorkPackages[[#This Row],[Due date serial]],1,0)</f>
        <v>0</v>
      </c>
      <c r="AC21" s="65">
        <f>MAX(0,tblWorkPackages[[#This Row],[Completion date serial]]-tblWorkPackages[[#This Row],[Due date serial]])</f>
        <v>0</v>
      </c>
      <c r="AD21" s="65">
        <f>tblWorkPackages[[#This Row],[First labor date]]-tblWorkPackages[[#This Row],[Request date serial]]</f>
        <v>3</v>
      </c>
      <c r="AE21" s="65">
        <f>tblWorkPackages[[#This Row],[Last labor date]]-tblWorkPackages[[#This Row],[First labor date]]</f>
        <v>0</v>
      </c>
      <c r="AF21" s="65">
        <f>tblWorkPackages[[#This Row],[Completion date serial]]-tblWorkPackages[[#This Row],[Last labor date]]</f>
        <v>3</v>
      </c>
      <c r="AG21" s="65">
        <f>tblWorkPackages[[#This Row],[Completion date serial]]-tblWorkPackages[[#This Row],[Request date serial]]</f>
        <v>6</v>
      </c>
      <c r="AH21" s="65">
        <f>IFERROR(INDEX(tblParts[Delay days],MATCH(tblWorkPackages[[#This Row],[Work package ID]],tblParts[Work package ID],0)),0)</f>
        <v>0</v>
      </c>
      <c r="AI21" s="51" t="str">
        <f>IFERROR(INDEX(tblDisruptions[Event type],MATCH(tblWorkPackages[[#This Row],[Work package ID]],tblDisruptions[Work package ID],0)),"None")</f>
        <v>None</v>
      </c>
      <c r="AJ21" s="51" t="str">
        <f>TEXT(tblWorkPackages[[#This Row],[Due date serial]],"yyyy-mm")</f>
        <v>2025-01</v>
      </c>
    </row>
    <row r="22" spans="1:36" ht="15" x14ac:dyDescent="0.25">
      <c r="A22" s="53" t="s">
        <v>234</v>
      </c>
      <c r="B22" s="53" t="s">
        <v>235</v>
      </c>
      <c r="C22" s="53" t="s">
        <v>125</v>
      </c>
      <c r="D22" s="53" t="s">
        <v>236</v>
      </c>
      <c r="E22" s="53" t="s">
        <v>237</v>
      </c>
      <c r="F22" s="53" t="s">
        <v>182</v>
      </c>
      <c r="G22" s="53" t="s">
        <v>138</v>
      </c>
      <c r="H22" s="53">
        <v>2</v>
      </c>
      <c r="I22" s="53" t="s">
        <v>147</v>
      </c>
      <c r="J22" s="53">
        <v>0</v>
      </c>
      <c r="K22" s="53">
        <v>0</v>
      </c>
      <c r="L22" s="53">
        <v>5.7</v>
      </c>
      <c r="M22" s="53" t="s">
        <v>238</v>
      </c>
      <c r="N22" s="53">
        <v>6.5</v>
      </c>
      <c r="O22" s="51" t="str">
        <f>TEXT(tblWorkPackages[[#This Row],[Request date serial]]-WEEKDAY(tblWorkPackages[[#This Row],[Request date serial]],3),"yyyy-mm-dd")</f>
        <v>2025-04-28</v>
      </c>
      <c r="P22" s="51">
        <f>ABS(tblWorkPackages[[#This Row],[Actual labor hours]]-tblWorkPackages[[#This Row],[Estimated labor hours]])</f>
        <v>0.8</v>
      </c>
      <c r="Q22" s="51">
        <f>IF(tblWorkPackages[[#This Row],[Actual labor hours]]&gt;tblWorkPackages[[#This Row],[Estimated labor hours]],1,0)</f>
        <v>1</v>
      </c>
      <c r="R22" s="51">
        <f>tblWorkPackages[[#This Row],[Actual labor hours]]-tblWorkPackages[[#This Row],[Estimated labor hours]]</f>
        <v>0.8</v>
      </c>
      <c r="S22" s="51" t="str">
        <f>IF(tblWorkPackages[[#This Row],[Request date serial]]&lt;ValidationStart,"Train 2024",IF(tblWorkPackages[[#This Row],[Request date serial]]&lt;HoldoutStart,"Validation H1","Holdout H2"))</f>
        <v>Validation H1</v>
      </c>
      <c r="T22" s="51">
        <f>IF(tblWorkPackages[[#This Row],[Time split]]="Train 2024","",tblWorkPackages[[#This Row],[Estimated labor hours]]+VLOOKUP(tblWorkPackages[[#This Row],[Task type]],'Forecast validation'!$A$14:$E$25,IF(tblWorkPackages[[#This Row],[Time split]]="Validation H1",4,5),FALSE()))</f>
        <v>6.2037037037037</v>
      </c>
      <c r="U22" s="51">
        <f>IF(tblWorkPackages[[#This Row],[Calibrated forecast hours]]="","",ABS(tblWorkPackages[[#This Row],[Actual labor hours]]-tblWorkPackages[[#This Row],[Calibrated forecast hours]]))</f>
        <v>0.296296296296296</v>
      </c>
      <c r="V22" s="51">
        <f>IF(tblWorkPackages[[#This Row],[Time split]]="Train 2024",tblWorkPackages[[#This Row],[Estimated labor hours]],tblWorkPackages[[#This Row],[Calibrated forecast hours]])</f>
        <v>6.2037037037037</v>
      </c>
      <c r="W22" s="64">
        <f>DATEVALUE(tblWorkPackages[[#This Row],[Request date]])</f>
        <v>45780.0</v>
      </c>
      <c r="X22" s="64">
        <f>DATEVALUE(tblWorkPackages[[#This Row],[Due date]])</f>
        <v>45782.0</v>
      </c>
      <c r="Y22" s="64">
        <f>DATEVALUE(tblWorkPackages[[#This Row],[Completion date]])</f>
        <v>45833.0</v>
      </c>
      <c r="Z22" s="64">
        <f>_xlfn.MINIFS(tblLaborEntries[Work date serial],tblLaborEntries[Work package ID],tblWorkPackages[[#This Row],[Work package ID]])</f>
        <v>45831.0</v>
      </c>
      <c r="AA22" s="64">
        <f>_xlfn.MAXIFS(tblLaborEntries[Work date serial],tblLaborEntries[Work package ID],tblWorkPackages[[#This Row],[Work package ID]])</f>
        <v>45833.0</v>
      </c>
      <c r="AB22" s="65">
        <f>IF(tblWorkPackages[[#This Row],[Completion date serial]]&gt;tblWorkPackages[[#This Row],[Due date serial]],1,0)</f>
        <v>1</v>
      </c>
      <c r="AC22" s="65">
        <f>MAX(0,tblWorkPackages[[#This Row],[Completion date serial]]-tblWorkPackages[[#This Row],[Due date serial]])</f>
        <v>51</v>
      </c>
      <c r="AD22" s="65">
        <f>tblWorkPackages[[#This Row],[First labor date]]-tblWorkPackages[[#This Row],[Request date serial]]</f>
        <v>51</v>
      </c>
      <c r="AE22" s="65">
        <f>tblWorkPackages[[#This Row],[Last labor date]]-tblWorkPackages[[#This Row],[First labor date]]</f>
        <v>2</v>
      </c>
      <c r="AF22" s="65">
        <f>tblWorkPackages[[#This Row],[Completion date serial]]-tblWorkPackages[[#This Row],[Last labor date]]</f>
        <v>0</v>
      </c>
      <c r="AG22" s="65">
        <f>tblWorkPackages[[#This Row],[Completion date serial]]-tblWorkPackages[[#This Row],[Request date serial]]</f>
        <v>53</v>
      </c>
      <c r="AH22" s="65">
        <f>IFERROR(INDEX(tblParts[Delay days],MATCH(tblWorkPackages[[#This Row],[Work package ID]],tblParts[Work package ID],0)),0)</f>
        <v>0</v>
      </c>
      <c r="AI22" s="51" t="str">
        <f>IFERROR(INDEX(tblDisruptions[Event type],MATCH(tblWorkPackages[[#This Row],[Work package ID]],tblDisruptions[Work package ID],0)),"None")</f>
        <v>None</v>
      </c>
      <c r="AJ22" s="51" t="str">
        <f>TEXT(tblWorkPackages[[#This Row],[Due date serial]],"yyyy-mm")</f>
        <v>2025-05</v>
      </c>
    </row>
    <row r="23" spans="1:36" ht="15" x14ac:dyDescent="0.25">
      <c r="A23" s="53" t="s">
        <v>239</v>
      </c>
      <c r="B23" s="53" t="s">
        <v>133</v>
      </c>
      <c r="C23" s="53" t="s">
        <v>240</v>
      </c>
      <c r="D23" s="53" t="s">
        <v>241</v>
      </c>
      <c r="E23" s="53" t="s">
        <v>242</v>
      </c>
      <c r="F23" s="53" t="s">
        <v>243</v>
      </c>
      <c r="G23" s="53" t="s">
        <v>129</v>
      </c>
      <c r="H23" s="53">
        <v>4</v>
      </c>
      <c r="I23" s="53" t="s">
        <v>130</v>
      </c>
      <c r="J23" s="53">
        <v>0</v>
      </c>
      <c r="K23" s="53">
        <v>0</v>
      </c>
      <c r="L23" s="53">
        <v>13.5</v>
      </c>
      <c r="M23" s="53" t="s">
        <v>244</v>
      </c>
      <c r="N23" s="53">
        <v>16.8</v>
      </c>
      <c r="O23" s="51" t="str">
        <f>TEXT(tblWorkPackages[[#This Row],[Request date serial]]-WEEKDAY(tblWorkPackages[[#This Row],[Request date serial]],3),"yyyy-mm-dd")</f>
        <v>2024-11-04</v>
      </c>
      <c r="P23" s="51">
        <f>ABS(tblWorkPackages[[#This Row],[Actual labor hours]]-tblWorkPackages[[#This Row],[Estimated labor hours]])</f>
        <v>3.3</v>
      </c>
      <c r="Q23" s="51">
        <f>IF(tblWorkPackages[[#This Row],[Actual labor hours]]&gt;tblWorkPackages[[#This Row],[Estimated labor hours]],1,0)</f>
        <v>1</v>
      </c>
      <c r="R23" s="51">
        <f>tblWorkPackages[[#This Row],[Actual labor hours]]-tblWorkPackages[[#This Row],[Estimated labor hours]]</f>
        <v>3.3</v>
      </c>
      <c r="S23" s="51" t="str">
        <f>IF(tblWorkPackages[[#This Row],[Request date serial]]&lt;ValidationStart,"Train 2024",IF(tblWorkPackages[[#This Row],[Request date serial]]&lt;HoldoutStart,"Validation H1","Holdout H2"))</f>
        <v>Train 2024</v>
      </c>
      <c r="T23" s="51" t="str">
        <f>IF(tblWorkPackages[[#This Row],[Time split]]="Train 2024","",tblWorkPackages[[#This Row],[Estimated labor hours]]+VLOOKUP(tblWorkPackages[[#This Row],[Task type]],'Forecast validation'!$A$14:$E$25,IF(tblWorkPackages[[#This Row],[Time split]]="Validation H1",4,5),FALSE()))</f>
        <v/>
      </c>
      <c r="U23" s="51" t="str">
        <f>IF(tblWorkPackages[[#This Row],[Calibrated forecast hours]]="","",ABS(tblWorkPackages[[#This Row],[Actual labor hours]]-tblWorkPackages[[#This Row],[Calibrated forecast hours]]))</f>
        <v/>
      </c>
      <c r="V23" s="51">
        <f>IF(tblWorkPackages[[#This Row],[Time split]]="Train 2024",tblWorkPackages[[#This Row],[Estimated labor hours]],tblWorkPackages[[#This Row],[Calibrated forecast hours]])</f>
        <v>13.5</v>
      </c>
      <c r="W23" s="64">
        <f>DATEVALUE(tblWorkPackages[[#This Row],[Request date]])</f>
        <v>45604.0</v>
      </c>
      <c r="X23" s="64">
        <f>DATEVALUE(tblWorkPackages[[#This Row],[Due date]])</f>
        <v>45617.0</v>
      </c>
      <c r="Y23" s="64">
        <f>DATEVALUE(tblWorkPackages[[#This Row],[Completion date]])</f>
        <v>45614.0</v>
      </c>
      <c r="Z23" s="64">
        <f>_xlfn.MINIFS(tblLaborEntries[Work date serial],tblLaborEntries[Work package ID],tblWorkPackages[[#This Row],[Work package ID]])</f>
        <v>45612.0</v>
      </c>
      <c r="AA23" s="64">
        <f>_xlfn.MAXIFS(tblLaborEntries[Work date serial],tblLaborEntries[Work package ID],tblWorkPackages[[#This Row],[Work package ID]])</f>
        <v>45613.0</v>
      </c>
      <c r="AB23" s="65">
        <f>IF(tblWorkPackages[[#This Row],[Completion date serial]]&gt;tblWorkPackages[[#This Row],[Due date serial]],1,0)</f>
        <v>0</v>
      </c>
      <c r="AC23" s="65">
        <f>MAX(0,tblWorkPackages[[#This Row],[Completion date serial]]-tblWorkPackages[[#This Row],[Due date serial]])</f>
        <v>0</v>
      </c>
      <c r="AD23" s="65">
        <f>tblWorkPackages[[#This Row],[First labor date]]-tblWorkPackages[[#This Row],[Request date serial]]</f>
        <v>8</v>
      </c>
      <c r="AE23" s="65">
        <f>tblWorkPackages[[#This Row],[Last labor date]]-tblWorkPackages[[#This Row],[First labor date]]</f>
        <v>1</v>
      </c>
      <c r="AF23" s="65">
        <f>tblWorkPackages[[#This Row],[Completion date serial]]-tblWorkPackages[[#This Row],[Last labor date]]</f>
        <v>1</v>
      </c>
      <c r="AG23" s="65">
        <f>tblWorkPackages[[#This Row],[Completion date serial]]-tblWorkPackages[[#This Row],[Request date serial]]</f>
        <v>10</v>
      </c>
      <c r="AH23" s="65">
        <f>IFERROR(INDEX(tblParts[Delay days],MATCH(tblWorkPackages[[#This Row],[Work package ID]],tblParts[Work package ID],0)),0)</f>
        <v>0</v>
      </c>
      <c r="AI23" s="51" t="str">
        <f>IFERROR(INDEX(tblDisruptions[Event type],MATCH(tblWorkPackages[[#This Row],[Work package ID]],tblDisruptions[Work package ID],0)),"None")</f>
        <v>None</v>
      </c>
      <c r="AJ23" s="51" t="str">
        <f>TEXT(tblWorkPackages[[#This Row],[Due date serial]],"yyyy-mm")</f>
        <v>2024-11</v>
      </c>
    </row>
    <row r="24" spans="1:36" ht="15" x14ac:dyDescent="0.25">
      <c r="A24" s="53" t="s">
        <v>245</v>
      </c>
      <c r="B24" s="53" t="s">
        <v>235</v>
      </c>
      <c r="C24" s="53" t="s">
        <v>246</v>
      </c>
      <c r="D24" s="53" t="s">
        <v>247</v>
      </c>
      <c r="E24" s="53" t="s">
        <v>136</v>
      </c>
      <c r="F24" s="53" t="s">
        <v>137</v>
      </c>
      <c r="G24" s="53" t="s">
        <v>138</v>
      </c>
      <c r="H24" s="53">
        <v>4</v>
      </c>
      <c r="I24" s="53" t="s">
        <v>130</v>
      </c>
      <c r="J24" s="53">
        <v>0</v>
      </c>
      <c r="K24" s="53">
        <v>0</v>
      </c>
      <c r="L24" s="53">
        <v>28.7</v>
      </c>
      <c r="M24" s="53" t="s">
        <v>248</v>
      </c>
      <c r="N24" s="53">
        <v>25.7</v>
      </c>
      <c r="O24" s="51" t="str">
        <f>TEXT(tblWorkPackages[[#This Row],[Request date serial]]-WEEKDAY(tblWorkPackages[[#This Row],[Request date serial]],3),"yyyy-mm-dd")</f>
        <v>2024-03-11</v>
      </c>
      <c r="P24" s="51">
        <f>ABS(tblWorkPackages[[#This Row],[Actual labor hours]]-tblWorkPackages[[#This Row],[Estimated labor hours]])</f>
        <v>3</v>
      </c>
      <c r="Q24" s="51">
        <f>IF(tblWorkPackages[[#This Row],[Actual labor hours]]&gt;tblWorkPackages[[#This Row],[Estimated labor hours]],1,0)</f>
        <v>0</v>
      </c>
      <c r="R24" s="51">
        <f>tblWorkPackages[[#This Row],[Actual labor hours]]-tblWorkPackages[[#This Row],[Estimated labor hours]]</f>
        <v>-3</v>
      </c>
      <c r="S24" s="51" t="str">
        <f>IF(tblWorkPackages[[#This Row],[Request date serial]]&lt;ValidationStart,"Train 2024",IF(tblWorkPackages[[#This Row],[Request date serial]]&lt;HoldoutStart,"Validation H1","Holdout H2"))</f>
        <v>Train 2024</v>
      </c>
      <c r="T24" s="51" t="str">
        <f>IF(tblWorkPackages[[#This Row],[Time split]]="Train 2024","",tblWorkPackages[[#This Row],[Estimated labor hours]]+VLOOKUP(tblWorkPackages[[#This Row],[Task type]],'Forecast validation'!$A$14:$E$25,IF(tblWorkPackages[[#This Row],[Time split]]="Validation H1",4,5),FALSE()))</f>
        <v/>
      </c>
      <c r="U24" s="51" t="str">
        <f>IF(tblWorkPackages[[#This Row],[Calibrated forecast hours]]="","",ABS(tblWorkPackages[[#This Row],[Actual labor hours]]-tblWorkPackages[[#This Row],[Calibrated forecast hours]]))</f>
        <v/>
      </c>
      <c r="V24" s="51">
        <f>IF(tblWorkPackages[[#This Row],[Time split]]="Train 2024",tblWorkPackages[[#This Row],[Estimated labor hours]],tblWorkPackages[[#This Row],[Calibrated forecast hours]])</f>
        <v>28.7</v>
      </c>
      <c r="W24" s="64">
        <f>DATEVALUE(tblWorkPackages[[#This Row],[Request date]])</f>
        <v>45364.0</v>
      </c>
      <c r="X24" s="64">
        <f>DATEVALUE(tblWorkPackages[[#This Row],[Due date]])</f>
        <v>45377.0</v>
      </c>
      <c r="Y24" s="64">
        <f>DATEVALUE(tblWorkPackages[[#This Row],[Completion date]])</f>
        <v>45368.0</v>
      </c>
      <c r="Z24" s="64">
        <f>_xlfn.MINIFS(tblLaborEntries[Work date serial],tblLaborEntries[Work package ID],tblWorkPackages[[#This Row],[Work package ID]])</f>
        <v>45366.0</v>
      </c>
      <c r="AA24" s="64">
        <f>_xlfn.MAXIFS(tblLaborEntries[Work date serial],tblLaborEntries[Work package ID],tblWorkPackages[[#This Row],[Work package ID]])</f>
        <v>45366.0</v>
      </c>
      <c r="AB24" s="65">
        <f>IF(tblWorkPackages[[#This Row],[Completion date serial]]&gt;tblWorkPackages[[#This Row],[Due date serial]],1,0)</f>
        <v>0</v>
      </c>
      <c r="AC24" s="65">
        <f>MAX(0,tblWorkPackages[[#This Row],[Completion date serial]]-tblWorkPackages[[#This Row],[Due date serial]])</f>
        <v>0</v>
      </c>
      <c r="AD24" s="65">
        <f>tblWorkPackages[[#This Row],[First labor date]]-tblWorkPackages[[#This Row],[Request date serial]]</f>
        <v>2</v>
      </c>
      <c r="AE24" s="65">
        <f>tblWorkPackages[[#This Row],[Last labor date]]-tblWorkPackages[[#This Row],[First labor date]]</f>
        <v>0</v>
      </c>
      <c r="AF24" s="65">
        <f>tblWorkPackages[[#This Row],[Completion date serial]]-tblWorkPackages[[#This Row],[Last labor date]]</f>
        <v>2</v>
      </c>
      <c r="AG24" s="65">
        <f>tblWorkPackages[[#This Row],[Completion date serial]]-tblWorkPackages[[#This Row],[Request date serial]]</f>
        <v>4</v>
      </c>
      <c r="AH24" s="65">
        <f>IFERROR(INDEX(tblParts[Delay days],MATCH(tblWorkPackages[[#This Row],[Work package ID]],tblParts[Work package ID],0)),0)</f>
        <v>0</v>
      </c>
      <c r="AI24" s="51" t="str">
        <f>IFERROR(INDEX(tblDisruptions[Event type],MATCH(tblWorkPackages[[#This Row],[Work package ID]],tblDisruptions[Work package ID],0)),"None")</f>
        <v>None</v>
      </c>
      <c r="AJ24" s="51" t="str">
        <f>TEXT(tblWorkPackages[[#This Row],[Due date serial]],"yyyy-mm")</f>
        <v>2024-03</v>
      </c>
    </row>
    <row r="25" spans="1:36" ht="15" x14ac:dyDescent="0.25">
      <c r="A25" s="53" t="s">
        <v>249</v>
      </c>
      <c r="B25" s="53" t="s">
        <v>250</v>
      </c>
      <c r="C25" s="53" t="s">
        <v>251</v>
      </c>
      <c r="D25" s="53" t="s">
        <v>252</v>
      </c>
      <c r="E25" s="53" t="s">
        <v>144</v>
      </c>
      <c r="F25" s="53" t="s">
        <v>145</v>
      </c>
      <c r="G25" s="53" t="s">
        <v>146</v>
      </c>
      <c r="H25" s="53">
        <v>3</v>
      </c>
      <c r="I25" s="53" t="s">
        <v>147</v>
      </c>
      <c r="J25" s="53">
        <v>0</v>
      </c>
      <c r="K25" s="53">
        <v>1</v>
      </c>
      <c r="L25" s="53">
        <v>13.3</v>
      </c>
      <c r="M25" s="53" t="s">
        <v>253</v>
      </c>
      <c r="N25" s="53">
        <v>16.600000000000001</v>
      </c>
      <c r="O25" s="51" t="str">
        <f>TEXT(tblWorkPackages[[#This Row],[Request date serial]]-WEEKDAY(tblWorkPackages[[#This Row],[Request date serial]],3),"yyyy-mm-dd")</f>
        <v>2024-12-23</v>
      </c>
      <c r="P25" s="51">
        <f>ABS(tblWorkPackages[[#This Row],[Actual labor hours]]-tblWorkPackages[[#This Row],[Estimated labor hours]])</f>
        <v>3.3</v>
      </c>
      <c r="Q25" s="51">
        <f>IF(tblWorkPackages[[#This Row],[Actual labor hours]]&gt;tblWorkPackages[[#This Row],[Estimated labor hours]],1,0)</f>
        <v>1</v>
      </c>
      <c r="R25" s="51">
        <f>tblWorkPackages[[#This Row],[Actual labor hours]]-tblWorkPackages[[#This Row],[Estimated labor hours]]</f>
        <v>3.3</v>
      </c>
      <c r="S25" s="51" t="str">
        <f>IF(tblWorkPackages[[#This Row],[Request date serial]]&lt;ValidationStart,"Train 2024",IF(tblWorkPackages[[#This Row],[Request date serial]]&lt;HoldoutStart,"Validation H1","Holdout H2"))</f>
        <v>Train 2024</v>
      </c>
      <c r="T25" s="51" t="str">
        <f>IF(tblWorkPackages[[#This Row],[Time split]]="Train 2024","",tblWorkPackages[[#This Row],[Estimated labor hours]]+VLOOKUP(tblWorkPackages[[#This Row],[Task type]],'Forecast validation'!$A$14:$E$25,IF(tblWorkPackages[[#This Row],[Time split]]="Validation H1",4,5),FALSE()))</f>
        <v/>
      </c>
      <c r="U25" s="51" t="str">
        <f>IF(tblWorkPackages[[#This Row],[Calibrated forecast hours]]="","",ABS(tblWorkPackages[[#This Row],[Actual labor hours]]-tblWorkPackages[[#This Row],[Calibrated forecast hours]]))</f>
        <v/>
      </c>
      <c r="V25" s="51">
        <f>IF(tblWorkPackages[[#This Row],[Time split]]="Train 2024",tblWorkPackages[[#This Row],[Estimated labor hours]],tblWorkPackages[[#This Row],[Calibrated forecast hours]])</f>
        <v>13.3</v>
      </c>
      <c r="W25" s="64">
        <f>DATEVALUE(tblWorkPackages[[#This Row],[Request date]])</f>
        <v>45652.0</v>
      </c>
      <c r="X25" s="64">
        <f>DATEVALUE(tblWorkPackages[[#This Row],[Due date]])</f>
        <v>45654.0</v>
      </c>
      <c r="Y25" s="64">
        <f>DATEVALUE(tblWorkPackages[[#This Row],[Completion date]])</f>
        <v>45677.0</v>
      </c>
      <c r="Z25" s="64">
        <f>_xlfn.MINIFS(tblLaborEntries[Work date serial],tblLaborEntries[Work package ID],tblWorkPackages[[#This Row],[Work package ID]])</f>
        <v>45672.0</v>
      </c>
      <c r="AA25" s="64">
        <f>_xlfn.MAXIFS(tblLaborEntries[Work date serial],tblLaborEntries[Work package ID],tblWorkPackages[[#This Row],[Work package ID]])</f>
        <v>45674.0</v>
      </c>
      <c r="AB25" s="65">
        <f>IF(tblWorkPackages[[#This Row],[Completion date serial]]&gt;tblWorkPackages[[#This Row],[Due date serial]],1,0)</f>
        <v>1</v>
      </c>
      <c r="AC25" s="65">
        <f>MAX(0,tblWorkPackages[[#This Row],[Completion date serial]]-tblWorkPackages[[#This Row],[Due date serial]])</f>
        <v>23</v>
      </c>
      <c r="AD25" s="65">
        <f>tblWorkPackages[[#This Row],[First labor date]]-tblWorkPackages[[#This Row],[Request date serial]]</f>
        <v>20</v>
      </c>
      <c r="AE25" s="65">
        <f>tblWorkPackages[[#This Row],[Last labor date]]-tblWorkPackages[[#This Row],[First labor date]]</f>
        <v>2</v>
      </c>
      <c r="AF25" s="65">
        <f>tblWorkPackages[[#This Row],[Completion date serial]]-tblWorkPackages[[#This Row],[Last labor date]]</f>
        <v>3</v>
      </c>
      <c r="AG25" s="65">
        <f>tblWorkPackages[[#This Row],[Completion date serial]]-tblWorkPackages[[#This Row],[Request date serial]]</f>
        <v>25</v>
      </c>
      <c r="AH25" s="65">
        <f>IFERROR(INDEX(tblParts[Delay days],MATCH(tblWorkPackages[[#This Row],[Work package ID]],tblParts[Work package ID],0)),0)</f>
        <v>0</v>
      </c>
      <c r="AI25" s="51" t="str">
        <f>IFERROR(INDEX(tblDisruptions[Event type],MATCH(tblWorkPackages[[#This Row],[Work package ID]],tblDisruptions[Work package ID],0)),"None")</f>
        <v>None</v>
      </c>
      <c r="AJ25" s="51" t="str">
        <f>TEXT(tblWorkPackages[[#This Row],[Due date serial]],"yyyy-mm")</f>
        <v>2024-12</v>
      </c>
    </row>
    <row r="26" spans="1:36" ht="15" x14ac:dyDescent="0.25">
      <c r="A26" s="53" t="s">
        <v>254</v>
      </c>
      <c r="B26" s="53" t="s">
        <v>173</v>
      </c>
      <c r="C26" s="53" t="s">
        <v>255</v>
      </c>
      <c r="D26" s="53" t="s">
        <v>256</v>
      </c>
      <c r="E26" s="53" t="s">
        <v>237</v>
      </c>
      <c r="F26" s="53" t="s">
        <v>182</v>
      </c>
      <c r="G26" s="53" t="s">
        <v>138</v>
      </c>
      <c r="H26" s="53">
        <v>3</v>
      </c>
      <c r="I26" s="53" t="s">
        <v>147</v>
      </c>
      <c r="J26" s="53">
        <v>1</v>
      </c>
      <c r="K26" s="53">
        <v>1</v>
      </c>
      <c r="L26" s="53">
        <v>6.4</v>
      </c>
      <c r="M26" s="53" t="s">
        <v>257</v>
      </c>
      <c r="N26" s="53">
        <v>6.6</v>
      </c>
      <c r="O26" s="51" t="str">
        <f>TEXT(tblWorkPackages[[#This Row],[Request date serial]]-WEEKDAY(tblWorkPackages[[#This Row],[Request date serial]],3),"yyyy-mm-dd")</f>
        <v>2024-12-02</v>
      </c>
      <c r="P26" s="51">
        <f>ABS(tblWorkPackages[[#This Row],[Actual labor hours]]-tblWorkPackages[[#This Row],[Estimated labor hours]])</f>
        <v>0.199999999999999</v>
      </c>
      <c r="Q26" s="51">
        <f>IF(tblWorkPackages[[#This Row],[Actual labor hours]]&gt;tblWorkPackages[[#This Row],[Estimated labor hours]],1,0)</f>
        <v>1</v>
      </c>
      <c r="R26" s="51">
        <f>tblWorkPackages[[#This Row],[Actual labor hours]]-tblWorkPackages[[#This Row],[Estimated labor hours]]</f>
        <v>0.199999999999999</v>
      </c>
      <c r="S26" s="51" t="str">
        <f>IF(tblWorkPackages[[#This Row],[Request date serial]]&lt;ValidationStart,"Train 2024",IF(tblWorkPackages[[#This Row],[Request date serial]]&lt;HoldoutStart,"Validation H1","Holdout H2"))</f>
        <v>Train 2024</v>
      </c>
      <c r="T26" s="51" t="str">
        <f>IF(tblWorkPackages[[#This Row],[Time split]]="Train 2024","",tblWorkPackages[[#This Row],[Estimated labor hours]]+VLOOKUP(tblWorkPackages[[#This Row],[Task type]],'Forecast validation'!$A$14:$E$25,IF(tblWorkPackages[[#This Row],[Time split]]="Validation H1",4,5),FALSE()))</f>
        <v/>
      </c>
      <c r="U26" s="51" t="str">
        <f>IF(tblWorkPackages[[#This Row],[Calibrated forecast hours]]="","",ABS(tblWorkPackages[[#This Row],[Actual labor hours]]-tblWorkPackages[[#This Row],[Calibrated forecast hours]]))</f>
        <v/>
      </c>
      <c r="V26" s="51">
        <f>IF(tblWorkPackages[[#This Row],[Time split]]="Train 2024",tblWorkPackages[[#This Row],[Estimated labor hours]],tblWorkPackages[[#This Row],[Calibrated forecast hours]])</f>
        <v>6.4</v>
      </c>
      <c r="W26" s="64">
        <f>DATEVALUE(tblWorkPackages[[#This Row],[Request date]])</f>
        <v>45632.0</v>
      </c>
      <c r="X26" s="64">
        <f>DATEVALUE(tblWorkPackages[[#This Row],[Due date]])</f>
        <v>45634.0</v>
      </c>
      <c r="Y26" s="64">
        <f>DATEVALUE(tblWorkPackages[[#This Row],[Completion date]])</f>
        <v>45638.0</v>
      </c>
      <c r="Z26" s="64">
        <f>_xlfn.MINIFS(tblLaborEntries[Work date serial],tblLaborEntries[Work package ID],tblWorkPackages[[#This Row],[Work package ID]])</f>
        <v>45636.0</v>
      </c>
      <c r="AA26" s="64">
        <f>_xlfn.MAXIFS(tblLaborEntries[Work date serial],tblLaborEntries[Work package ID],tblWorkPackages[[#This Row],[Work package ID]])</f>
        <v>45638.0</v>
      </c>
      <c r="AB26" s="65">
        <f>IF(tblWorkPackages[[#This Row],[Completion date serial]]&gt;tblWorkPackages[[#This Row],[Due date serial]],1,0)</f>
        <v>1</v>
      </c>
      <c r="AC26" s="65">
        <f>MAX(0,tblWorkPackages[[#This Row],[Completion date serial]]-tblWorkPackages[[#This Row],[Due date serial]])</f>
        <v>4</v>
      </c>
      <c r="AD26" s="65">
        <f>tblWorkPackages[[#This Row],[First labor date]]-tblWorkPackages[[#This Row],[Request date serial]]</f>
        <v>4</v>
      </c>
      <c r="AE26" s="65">
        <f>tblWorkPackages[[#This Row],[Last labor date]]-tblWorkPackages[[#This Row],[First labor date]]</f>
        <v>2</v>
      </c>
      <c r="AF26" s="65">
        <f>tblWorkPackages[[#This Row],[Completion date serial]]-tblWorkPackages[[#This Row],[Last labor date]]</f>
        <v>0</v>
      </c>
      <c r="AG26" s="65">
        <f>tblWorkPackages[[#This Row],[Completion date serial]]-tblWorkPackages[[#This Row],[Request date serial]]</f>
        <v>6</v>
      </c>
      <c r="AH26" s="65">
        <f>IFERROR(INDEX(tblParts[Delay days],MATCH(tblWorkPackages[[#This Row],[Work package ID]],tblParts[Work package ID],0)),0)</f>
        <v>0</v>
      </c>
      <c r="AI26" s="51" t="str">
        <f>IFERROR(INDEX(tblDisruptions[Event type],MATCH(tblWorkPackages[[#This Row],[Work package ID]],tblDisruptions[Work package ID],0)),"None")</f>
        <v>None</v>
      </c>
      <c r="AJ26" s="51" t="str">
        <f>TEXT(tblWorkPackages[[#This Row],[Due date serial]],"yyyy-mm")</f>
        <v>2024-12</v>
      </c>
    </row>
    <row r="27" spans="1:36" ht="15" x14ac:dyDescent="0.25">
      <c r="A27" s="53" t="s">
        <v>258</v>
      </c>
      <c r="B27" s="53" t="s">
        <v>124</v>
      </c>
      <c r="C27" s="53" t="s">
        <v>259</v>
      </c>
      <c r="D27" s="53" t="s">
        <v>260</v>
      </c>
      <c r="E27" s="53" t="s">
        <v>127</v>
      </c>
      <c r="F27" s="53" t="s">
        <v>128</v>
      </c>
      <c r="G27" s="53" t="s">
        <v>129</v>
      </c>
      <c r="H27" s="53">
        <v>1</v>
      </c>
      <c r="I27" s="53" t="s">
        <v>130</v>
      </c>
      <c r="J27" s="53">
        <v>0</v>
      </c>
      <c r="K27" s="53">
        <v>0</v>
      </c>
      <c r="L27" s="53">
        <v>4.8</v>
      </c>
      <c r="M27" s="53" t="s">
        <v>261</v>
      </c>
      <c r="N27" s="53">
        <v>4.3</v>
      </c>
      <c r="O27" s="51" t="str">
        <f>TEXT(tblWorkPackages[[#This Row],[Request date serial]]-WEEKDAY(tblWorkPackages[[#This Row],[Request date serial]],3),"yyyy-mm-dd")</f>
        <v>2025-01-13</v>
      </c>
      <c r="P27" s="51">
        <f>ABS(tblWorkPackages[[#This Row],[Actual labor hours]]-tblWorkPackages[[#This Row],[Estimated labor hours]])</f>
        <v>0.5</v>
      </c>
      <c r="Q27" s="51">
        <f>IF(tblWorkPackages[[#This Row],[Actual labor hours]]&gt;tblWorkPackages[[#This Row],[Estimated labor hours]],1,0)</f>
        <v>0</v>
      </c>
      <c r="R27" s="51">
        <f>tblWorkPackages[[#This Row],[Actual labor hours]]-tblWorkPackages[[#This Row],[Estimated labor hours]]</f>
        <v>-0.5</v>
      </c>
      <c r="S27" s="51" t="str">
        <f>IF(tblWorkPackages[[#This Row],[Request date serial]]&lt;ValidationStart,"Train 2024",IF(tblWorkPackages[[#This Row],[Request date serial]]&lt;HoldoutStart,"Validation H1","Holdout H2"))</f>
        <v>Validation H1</v>
      </c>
      <c r="T27" s="51">
        <f>IF(tblWorkPackages[[#This Row],[Time split]]="Train 2024","",tblWorkPackages[[#This Row],[Estimated labor hours]]+VLOOKUP(tblWorkPackages[[#This Row],[Task type]],'Forecast validation'!$A$14:$E$25,IF(tblWorkPackages[[#This Row],[Time split]]="Validation H1",4,5),FALSE()))</f>
        <v>5.27564102564103</v>
      </c>
      <c r="U27" s="51">
        <f>IF(tblWorkPackages[[#This Row],[Calibrated forecast hours]]="","",ABS(tblWorkPackages[[#This Row],[Actual labor hours]]-tblWorkPackages[[#This Row],[Calibrated forecast hours]]))</f>
        <v>0.975641025641026</v>
      </c>
      <c r="V27" s="51">
        <f>IF(tblWorkPackages[[#This Row],[Time split]]="Train 2024",tblWorkPackages[[#This Row],[Estimated labor hours]],tblWorkPackages[[#This Row],[Calibrated forecast hours]])</f>
        <v>5.27564102564103</v>
      </c>
      <c r="W27" s="64">
        <f>DATEVALUE(tblWorkPackages[[#This Row],[Request date]])</f>
        <v>45673.0</v>
      </c>
      <c r="X27" s="64">
        <f>DATEVALUE(tblWorkPackages[[#This Row],[Due date]])</f>
        <v>45686.0</v>
      </c>
      <c r="Y27" s="64">
        <f>DATEVALUE(tblWorkPackages[[#This Row],[Completion date]])</f>
        <v>45676.0</v>
      </c>
      <c r="Z27" s="64">
        <f>_xlfn.MINIFS(tblLaborEntries[Work date serial],tblLaborEntries[Work package ID],tblWorkPackages[[#This Row],[Work package ID]])</f>
        <v>45674.0</v>
      </c>
      <c r="AA27" s="64">
        <f>_xlfn.MAXIFS(tblLaborEntries[Work date serial],tblLaborEntries[Work package ID],tblWorkPackages[[#This Row],[Work package ID]])</f>
        <v>45675.0</v>
      </c>
      <c r="AB27" s="65">
        <f>IF(tblWorkPackages[[#This Row],[Completion date serial]]&gt;tblWorkPackages[[#This Row],[Due date serial]],1,0)</f>
        <v>0</v>
      </c>
      <c r="AC27" s="65">
        <f>MAX(0,tblWorkPackages[[#This Row],[Completion date serial]]-tblWorkPackages[[#This Row],[Due date serial]])</f>
        <v>0</v>
      </c>
      <c r="AD27" s="65">
        <f>tblWorkPackages[[#This Row],[First labor date]]-tblWorkPackages[[#This Row],[Request date serial]]</f>
        <v>1</v>
      </c>
      <c r="AE27" s="65">
        <f>tblWorkPackages[[#This Row],[Last labor date]]-tblWorkPackages[[#This Row],[First labor date]]</f>
        <v>1</v>
      </c>
      <c r="AF27" s="65">
        <f>tblWorkPackages[[#This Row],[Completion date serial]]-tblWorkPackages[[#This Row],[Last labor date]]</f>
        <v>1</v>
      </c>
      <c r="AG27" s="65">
        <f>tblWorkPackages[[#This Row],[Completion date serial]]-tblWorkPackages[[#This Row],[Request date serial]]</f>
        <v>3</v>
      </c>
      <c r="AH27" s="65">
        <f>IFERROR(INDEX(tblParts[Delay days],MATCH(tblWorkPackages[[#This Row],[Work package ID]],tblParts[Work package ID],0)),0)</f>
        <v>0</v>
      </c>
      <c r="AI27" s="51" t="str">
        <f>IFERROR(INDEX(tblDisruptions[Event type],MATCH(tblWorkPackages[[#This Row],[Work package ID]],tblDisruptions[Work package ID],0)),"None")</f>
        <v>None</v>
      </c>
      <c r="AJ27" s="51" t="str">
        <f>TEXT(tblWorkPackages[[#This Row],[Due date serial]],"yyyy-mm")</f>
        <v>2025-01</v>
      </c>
    </row>
    <row r="28" spans="1:36" ht="15" x14ac:dyDescent="0.25">
      <c r="A28" s="53" t="s">
        <v>262</v>
      </c>
      <c r="B28" s="53" t="s">
        <v>163</v>
      </c>
      <c r="C28" s="53" t="s">
        <v>263</v>
      </c>
      <c r="D28" s="53" t="s">
        <v>264</v>
      </c>
      <c r="E28" s="53" t="s">
        <v>160</v>
      </c>
      <c r="F28" s="53" t="s">
        <v>128</v>
      </c>
      <c r="G28" s="53" t="s">
        <v>138</v>
      </c>
      <c r="H28" s="53">
        <v>1</v>
      </c>
      <c r="I28" s="53" t="s">
        <v>176</v>
      </c>
      <c r="J28" s="53">
        <v>0</v>
      </c>
      <c r="K28" s="53">
        <v>0</v>
      </c>
      <c r="L28" s="53">
        <v>2.7</v>
      </c>
      <c r="M28" s="53" t="s">
        <v>265</v>
      </c>
      <c r="N28" s="53">
        <v>3.3</v>
      </c>
      <c r="O28" s="51" t="str">
        <f>TEXT(tblWorkPackages[[#This Row],[Request date serial]]-WEEKDAY(tblWorkPackages[[#This Row],[Request date serial]],3),"yyyy-mm-dd")</f>
        <v>2024-08-12</v>
      </c>
      <c r="P28" s="51">
        <f>ABS(tblWorkPackages[[#This Row],[Actual labor hours]]-tblWorkPackages[[#This Row],[Estimated labor hours]])</f>
        <v>0.6</v>
      </c>
      <c r="Q28" s="51">
        <f>IF(tblWorkPackages[[#This Row],[Actual labor hours]]&gt;tblWorkPackages[[#This Row],[Estimated labor hours]],1,0)</f>
        <v>1</v>
      </c>
      <c r="R28" s="51">
        <f>tblWorkPackages[[#This Row],[Actual labor hours]]-tblWorkPackages[[#This Row],[Estimated labor hours]]</f>
        <v>0.6</v>
      </c>
      <c r="S28" s="51" t="str">
        <f>IF(tblWorkPackages[[#This Row],[Request date serial]]&lt;ValidationStart,"Train 2024",IF(tblWorkPackages[[#This Row],[Request date serial]]&lt;HoldoutStart,"Validation H1","Holdout H2"))</f>
        <v>Train 2024</v>
      </c>
      <c r="T28" s="51" t="str">
        <f>IF(tblWorkPackages[[#This Row],[Time split]]="Train 2024","",tblWorkPackages[[#This Row],[Estimated labor hours]]+VLOOKUP(tblWorkPackages[[#This Row],[Task type]],'Forecast validation'!$A$14:$E$25,IF(tblWorkPackages[[#This Row],[Time split]]="Validation H1",4,5),FALSE()))</f>
        <v/>
      </c>
      <c r="U28" s="51" t="str">
        <f>IF(tblWorkPackages[[#This Row],[Calibrated forecast hours]]="","",ABS(tblWorkPackages[[#This Row],[Actual labor hours]]-tblWorkPackages[[#This Row],[Calibrated forecast hours]]))</f>
        <v/>
      </c>
      <c r="V28" s="51">
        <f>IF(tblWorkPackages[[#This Row],[Time split]]="Train 2024",tblWorkPackages[[#This Row],[Estimated labor hours]],tblWorkPackages[[#This Row],[Calibrated forecast hours]])</f>
        <v>2.7</v>
      </c>
      <c r="W28" s="64">
        <f>DATEVALUE(tblWorkPackages[[#This Row],[Request date]])</f>
        <v>45522.0</v>
      </c>
      <c r="X28" s="64">
        <f>DATEVALUE(tblWorkPackages[[#This Row],[Due date]])</f>
        <v>45528.0</v>
      </c>
      <c r="Y28" s="64">
        <f>DATEVALUE(tblWorkPackages[[#This Row],[Completion date]])</f>
        <v>45536.0</v>
      </c>
      <c r="Z28" s="64">
        <f>_xlfn.MINIFS(tblLaborEntries[Work date serial],tblLaborEntries[Work package ID],tblWorkPackages[[#This Row],[Work package ID]])</f>
        <v>45533.0</v>
      </c>
      <c r="AA28" s="64">
        <f>_xlfn.MAXIFS(tblLaborEntries[Work date serial],tblLaborEntries[Work package ID],tblWorkPackages[[#This Row],[Work package ID]])</f>
        <v>45534.0</v>
      </c>
      <c r="AB28" s="65">
        <f>IF(tblWorkPackages[[#This Row],[Completion date serial]]&gt;tblWorkPackages[[#This Row],[Due date serial]],1,0)</f>
        <v>1</v>
      </c>
      <c r="AC28" s="65">
        <f>MAX(0,tblWorkPackages[[#This Row],[Completion date serial]]-tblWorkPackages[[#This Row],[Due date serial]])</f>
        <v>8</v>
      </c>
      <c r="AD28" s="65">
        <f>tblWorkPackages[[#This Row],[First labor date]]-tblWorkPackages[[#This Row],[Request date serial]]</f>
        <v>11</v>
      </c>
      <c r="AE28" s="65">
        <f>tblWorkPackages[[#This Row],[Last labor date]]-tblWorkPackages[[#This Row],[First labor date]]</f>
        <v>1</v>
      </c>
      <c r="AF28" s="65">
        <f>tblWorkPackages[[#This Row],[Completion date serial]]-tblWorkPackages[[#This Row],[Last labor date]]</f>
        <v>2</v>
      </c>
      <c r="AG28" s="65">
        <f>tblWorkPackages[[#This Row],[Completion date serial]]-tblWorkPackages[[#This Row],[Request date serial]]</f>
        <v>14</v>
      </c>
      <c r="AH28" s="65">
        <f>IFERROR(INDEX(tblParts[Delay days],MATCH(tblWorkPackages[[#This Row],[Work package ID]],tblParts[Work package ID],0)),0)</f>
        <v>0</v>
      </c>
      <c r="AI28" s="51" t="str">
        <f>IFERROR(INDEX(tblDisruptions[Event type],MATCH(tblWorkPackages[[#This Row],[Work package ID]],tblDisruptions[Work package ID],0)),"None")</f>
        <v>Equipment unavailable</v>
      </c>
      <c r="AJ28" s="51" t="str">
        <f>TEXT(tblWorkPackages[[#This Row],[Due date serial]],"yyyy-mm")</f>
        <v>2024-08</v>
      </c>
    </row>
    <row r="29" spans="1:36" ht="15" x14ac:dyDescent="0.25">
      <c r="A29" s="53" t="s">
        <v>266</v>
      </c>
      <c r="B29" s="53" t="s">
        <v>168</v>
      </c>
      <c r="C29" s="53" t="s">
        <v>267</v>
      </c>
      <c r="D29" s="53" t="s">
        <v>268</v>
      </c>
      <c r="E29" s="53" t="s">
        <v>136</v>
      </c>
      <c r="F29" s="53" t="s">
        <v>137</v>
      </c>
      <c r="G29" s="53" t="s">
        <v>138</v>
      </c>
      <c r="H29" s="53">
        <v>4</v>
      </c>
      <c r="I29" s="53" t="s">
        <v>130</v>
      </c>
      <c r="J29" s="53">
        <v>0</v>
      </c>
      <c r="K29" s="53">
        <v>0</v>
      </c>
      <c r="L29" s="53">
        <v>25.2</v>
      </c>
      <c r="M29" s="53" t="s">
        <v>257</v>
      </c>
      <c r="N29" s="53">
        <v>23.2</v>
      </c>
      <c r="O29" s="51" t="str">
        <f>TEXT(tblWorkPackages[[#This Row],[Request date serial]]-WEEKDAY(tblWorkPackages[[#This Row],[Request date serial]],3),"yyyy-mm-dd")</f>
        <v>2024-12-02</v>
      </c>
      <c r="P29" s="51">
        <f>ABS(tblWorkPackages[[#This Row],[Actual labor hours]]-tblWorkPackages[[#This Row],[Estimated labor hours]])</f>
        <v>2</v>
      </c>
      <c r="Q29" s="51">
        <f>IF(tblWorkPackages[[#This Row],[Actual labor hours]]&gt;tblWorkPackages[[#This Row],[Estimated labor hours]],1,0)</f>
        <v>0</v>
      </c>
      <c r="R29" s="51">
        <f>tblWorkPackages[[#This Row],[Actual labor hours]]-tblWorkPackages[[#This Row],[Estimated labor hours]]</f>
        <v>-2</v>
      </c>
      <c r="S29" s="51" t="str">
        <f>IF(tblWorkPackages[[#This Row],[Request date serial]]&lt;ValidationStart,"Train 2024",IF(tblWorkPackages[[#This Row],[Request date serial]]&lt;HoldoutStart,"Validation H1","Holdout H2"))</f>
        <v>Train 2024</v>
      </c>
      <c r="T29" s="51" t="str">
        <f>IF(tblWorkPackages[[#This Row],[Time split]]="Train 2024","",tblWorkPackages[[#This Row],[Estimated labor hours]]+VLOOKUP(tblWorkPackages[[#This Row],[Task type]],'Forecast validation'!$A$14:$E$25,IF(tblWorkPackages[[#This Row],[Time split]]="Validation H1",4,5),FALSE()))</f>
        <v/>
      </c>
      <c r="U29" s="51" t="str">
        <f>IF(tblWorkPackages[[#This Row],[Calibrated forecast hours]]="","",ABS(tblWorkPackages[[#This Row],[Actual labor hours]]-tblWorkPackages[[#This Row],[Calibrated forecast hours]]))</f>
        <v/>
      </c>
      <c r="V29" s="51">
        <f>IF(tblWorkPackages[[#This Row],[Time split]]="Train 2024",tblWorkPackages[[#This Row],[Estimated labor hours]],tblWorkPackages[[#This Row],[Calibrated forecast hours]])</f>
        <v>25.2</v>
      </c>
      <c r="W29" s="64">
        <f>DATEVALUE(tblWorkPackages[[#This Row],[Request date]])</f>
        <v>45631.0</v>
      </c>
      <c r="X29" s="64">
        <f>DATEVALUE(tblWorkPackages[[#This Row],[Due date]])</f>
        <v>45644.0</v>
      </c>
      <c r="Y29" s="64">
        <f>DATEVALUE(tblWorkPackages[[#This Row],[Completion date]])</f>
        <v>45638.0</v>
      </c>
      <c r="Z29" s="64">
        <f>_xlfn.MINIFS(tblLaborEntries[Work date serial],tblLaborEntries[Work package ID],tblWorkPackages[[#This Row],[Work package ID]])</f>
        <v>45634.0</v>
      </c>
      <c r="AA29" s="64">
        <f>_xlfn.MAXIFS(tblLaborEntries[Work date serial],tblLaborEntries[Work package ID],tblWorkPackages[[#This Row],[Work package ID]])</f>
        <v>45635.0</v>
      </c>
      <c r="AB29" s="65">
        <f>IF(tblWorkPackages[[#This Row],[Completion date serial]]&gt;tblWorkPackages[[#This Row],[Due date serial]],1,0)</f>
        <v>0</v>
      </c>
      <c r="AC29" s="65">
        <f>MAX(0,tblWorkPackages[[#This Row],[Completion date serial]]-tblWorkPackages[[#This Row],[Due date serial]])</f>
        <v>0</v>
      </c>
      <c r="AD29" s="65">
        <f>tblWorkPackages[[#This Row],[First labor date]]-tblWorkPackages[[#This Row],[Request date serial]]</f>
        <v>3</v>
      </c>
      <c r="AE29" s="65">
        <f>tblWorkPackages[[#This Row],[Last labor date]]-tblWorkPackages[[#This Row],[First labor date]]</f>
        <v>1</v>
      </c>
      <c r="AF29" s="65">
        <f>tblWorkPackages[[#This Row],[Completion date serial]]-tblWorkPackages[[#This Row],[Last labor date]]</f>
        <v>3</v>
      </c>
      <c r="AG29" s="65">
        <f>tblWorkPackages[[#This Row],[Completion date serial]]-tblWorkPackages[[#This Row],[Request date serial]]</f>
        <v>7</v>
      </c>
      <c r="AH29" s="65">
        <f>IFERROR(INDEX(tblParts[Delay days],MATCH(tblWorkPackages[[#This Row],[Work package ID]],tblParts[Work package ID],0)),0)</f>
        <v>0</v>
      </c>
      <c r="AI29" s="51" t="str">
        <f>IFERROR(INDEX(tblDisruptions[Event type],MATCH(tblWorkPackages[[#This Row],[Work package ID]],tblDisruptions[Work package ID],0)),"None")</f>
        <v>None</v>
      </c>
      <c r="AJ29" s="51" t="str">
        <f>TEXT(tblWorkPackages[[#This Row],[Due date serial]],"yyyy-mm")</f>
        <v>2024-12</v>
      </c>
    </row>
    <row r="30" spans="1:36" ht="15" x14ac:dyDescent="0.25">
      <c r="A30" s="53" t="s">
        <v>269</v>
      </c>
      <c r="B30" s="53" t="s">
        <v>141</v>
      </c>
      <c r="C30" s="53" t="s">
        <v>270</v>
      </c>
      <c r="D30" s="53" t="s">
        <v>271</v>
      </c>
      <c r="E30" s="53" t="s">
        <v>272</v>
      </c>
      <c r="F30" s="53" t="s">
        <v>145</v>
      </c>
      <c r="G30" s="53" t="s">
        <v>273</v>
      </c>
      <c r="H30" s="53">
        <v>4</v>
      </c>
      <c r="I30" s="53" t="s">
        <v>130</v>
      </c>
      <c r="J30" s="53">
        <v>0</v>
      </c>
      <c r="K30" s="53">
        <v>1</v>
      </c>
      <c r="L30" s="53">
        <v>23.3</v>
      </c>
      <c r="M30" s="53" t="s">
        <v>274</v>
      </c>
      <c r="N30" s="53">
        <v>25.2</v>
      </c>
      <c r="O30" s="51" t="str">
        <f>TEXT(tblWorkPackages[[#This Row],[Request date serial]]-WEEKDAY(tblWorkPackages[[#This Row],[Request date serial]],3),"yyyy-mm-dd")</f>
        <v>2025-03-31</v>
      </c>
      <c r="P30" s="51">
        <f>ABS(tblWorkPackages[[#This Row],[Actual labor hours]]-tblWorkPackages[[#This Row],[Estimated labor hours]])</f>
        <v>1.9</v>
      </c>
      <c r="Q30" s="51">
        <f>IF(tblWorkPackages[[#This Row],[Actual labor hours]]&gt;tblWorkPackages[[#This Row],[Estimated labor hours]],1,0)</f>
        <v>1</v>
      </c>
      <c r="R30" s="51">
        <f>tblWorkPackages[[#This Row],[Actual labor hours]]-tblWorkPackages[[#This Row],[Estimated labor hours]]</f>
        <v>1.9</v>
      </c>
      <c r="S30" s="51" t="str">
        <f>IF(tblWorkPackages[[#This Row],[Request date serial]]&lt;ValidationStart,"Train 2024",IF(tblWorkPackages[[#This Row],[Request date serial]]&lt;HoldoutStart,"Validation H1","Holdout H2"))</f>
        <v>Validation H1</v>
      </c>
      <c r="T30" s="51">
        <f>IF(tblWorkPackages[[#This Row],[Time split]]="Train 2024","",tblWorkPackages[[#This Row],[Estimated labor hours]]+VLOOKUP(tblWorkPackages[[#This Row],[Task type]],'Forecast validation'!$A$14:$E$25,IF(tblWorkPackages[[#This Row],[Time split]]="Validation H1",4,5),FALSE()))</f>
        <v>24.3320512820513</v>
      </c>
      <c r="U30" s="51">
        <f>IF(tblWorkPackages[[#This Row],[Calibrated forecast hours]]="","",ABS(tblWorkPackages[[#This Row],[Actual labor hours]]-tblWorkPackages[[#This Row],[Calibrated forecast hours]]))</f>
        <v>0.867948717948718</v>
      </c>
      <c r="V30" s="51">
        <f>IF(tblWorkPackages[[#This Row],[Time split]]="Train 2024",tblWorkPackages[[#This Row],[Estimated labor hours]],tblWorkPackages[[#This Row],[Calibrated forecast hours]])</f>
        <v>24.3320512820513</v>
      </c>
      <c r="W30" s="64">
        <f>DATEVALUE(tblWorkPackages[[#This Row],[Request date]])</f>
        <v>45748.0</v>
      </c>
      <c r="X30" s="64">
        <f>DATEVALUE(tblWorkPackages[[#This Row],[Due date]])</f>
        <v>45761.0</v>
      </c>
      <c r="Y30" s="64">
        <f>DATEVALUE(tblWorkPackages[[#This Row],[Completion date]])</f>
        <v>45783.0</v>
      </c>
      <c r="Z30" s="64">
        <f>_xlfn.MINIFS(tblLaborEntries[Work date serial],tblLaborEntries[Work package ID],tblWorkPackages[[#This Row],[Work package ID]])</f>
        <v>45781.0</v>
      </c>
      <c r="AA30" s="64">
        <f>_xlfn.MAXIFS(tblLaborEntries[Work date serial],tblLaborEntries[Work package ID],tblWorkPackages[[#This Row],[Work package ID]])</f>
        <v>45783.0</v>
      </c>
      <c r="AB30" s="65">
        <f>IF(tblWorkPackages[[#This Row],[Completion date serial]]&gt;tblWorkPackages[[#This Row],[Due date serial]],1,0)</f>
        <v>1</v>
      </c>
      <c r="AC30" s="65">
        <f>MAX(0,tblWorkPackages[[#This Row],[Completion date serial]]-tblWorkPackages[[#This Row],[Due date serial]])</f>
        <v>22</v>
      </c>
      <c r="AD30" s="65">
        <f>tblWorkPackages[[#This Row],[First labor date]]-tblWorkPackages[[#This Row],[Request date serial]]</f>
        <v>33</v>
      </c>
      <c r="AE30" s="65">
        <f>tblWorkPackages[[#This Row],[Last labor date]]-tblWorkPackages[[#This Row],[First labor date]]</f>
        <v>2</v>
      </c>
      <c r="AF30" s="65">
        <f>tblWorkPackages[[#This Row],[Completion date serial]]-tblWorkPackages[[#This Row],[Last labor date]]</f>
        <v>0</v>
      </c>
      <c r="AG30" s="65">
        <f>tblWorkPackages[[#This Row],[Completion date serial]]-tblWorkPackages[[#This Row],[Request date serial]]</f>
        <v>35</v>
      </c>
      <c r="AH30" s="65">
        <f>IFERROR(INDEX(tblParts[Delay days],MATCH(tblWorkPackages[[#This Row],[Work package ID]],tblParts[Work package ID],0)),0)</f>
        <v>0</v>
      </c>
      <c r="AI30" s="51" t="str">
        <f>IFERROR(INDEX(tblDisruptions[Event type],MATCH(tblWorkPackages[[#This Row],[Work package ID]],tblDisruptions[Work package ID],0)),"None")</f>
        <v>None</v>
      </c>
      <c r="AJ30" s="51" t="str">
        <f>TEXT(tblWorkPackages[[#This Row],[Due date serial]],"yyyy-mm")</f>
        <v>2025-04</v>
      </c>
    </row>
    <row r="31" spans="1:36" ht="15" x14ac:dyDescent="0.25">
      <c r="A31" s="53" t="s">
        <v>275</v>
      </c>
      <c r="B31" s="53" t="s">
        <v>203</v>
      </c>
      <c r="C31" s="53" t="s">
        <v>276</v>
      </c>
      <c r="D31" s="53" t="s">
        <v>171</v>
      </c>
      <c r="E31" s="53" t="s">
        <v>223</v>
      </c>
      <c r="F31" s="53" t="s">
        <v>182</v>
      </c>
      <c r="G31" s="53" t="s">
        <v>154</v>
      </c>
      <c r="H31" s="53">
        <v>3</v>
      </c>
      <c r="I31" s="53" t="s">
        <v>176</v>
      </c>
      <c r="J31" s="53">
        <v>0</v>
      </c>
      <c r="K31" s="53">
        <v>0</v>
      </c>
      <c r="L31" s="53">
        <v>13.7</v>
      </c>
      <c r="M31" s="53" t="s">
        <v>277</v>
      </c>
      <c r="N31" s="53">
        <v>13.3</v>
      </c>
      <c r="O31" s="51" t="str">
        <f>TEXT(tblWorkPackages[[#This Row],[Request date serial]]-WEEKDAY(tblWorkPackages[[#This Row],[Request date serial]],3),"yyyy-mm-dd")</f>
        <v>2024-10-14</v>
      </c>
      <c r="P31" s="51">
        <f>ABS(tblWorkPackages[[#This Row],[Actual labor hours]]-tblWorkPackages[[#This Row],[Estimated labor hours]])</f>
        <v>0.399999999999999</v>
      </c>
      <c r="Q31" s="51">
        <f>IF(tblWorkPackages[[#This Row],[Actual labor hours]]&gt;tblWorkPackages[[#This Row],[Estimated labor hours]],1,0)</f>
        <v>0</v>
      </c>
      <c r="R31" s="51">
        <f>tblWorkPackages[[#This Row],[Actual labor hours]]-tblWorkPackages[[#This Row],[Estimated labor hours]]</f>
        <v>-0.399999999999999</v>
      </c>
      <c r="S31" s="51" t="str">
        <f>IF(tblWorkPackages[[#This Row],[Request date serial]]&lt;ValidationStart,"Train 2024",IF(tblWorkPackages[[#This Row],[Request date serial]]&lt;HoldoutStart,"Validation H1","Holdout H2"))</f>
        <v>Train 2024</v>
      </c>
      <c r="T31" s="51" t="str">
        <f>IF(tblWorkPackages[[#This Row],[Time split]]="Train 2024","",tblWorkPackages[[#This Row],[Estimated labor hours]]+VLOOKUP(tblWorkPackages[[#This Row],[Task type]],'Forecast validation'!$A$14:$E$25,IF(tblWorkPackages[[#This Row],[Time split]]="Validation H1",4,5),FALSE()))</f>
        <v/>
      </c>
      <c r="U31" s="51" t="str">
        <f>IF(tblWorkPackages[[#This Row],[Calibrated forecast hours]]="","",ABS(tblWorkPackages[[#This Row],[Actual labor hours]]-tblWorkPackages[[#This Row],[Calibrated forecast hours]]))</f>
        <v/>
      </c>
      <c r="V31" s="51">
        <f>IF(tblWorkPackages[[#This Row],[Time split]]="Train 2024",tblWorkPackages[[#This Row],[Estimated labor hours]],tblWorkPackages[[#This Row],[Calibrated forecast hours]])</f>
        <v>13.7</v>
      </c>
      <c r="W31" s="64">
        <f>DATEVALUE(tblWorkPackages[[#This Row],[Request date]])</f>
        <v>45584.0</v>
      </c>
      <c r="X31" s="64">
        <f>DATEVALUE(tblWorkPackages[[#This Row],[Due date]])</f>
        <v>45590.0</v>
      </c>
      <c r="Y31" s="64">
        <f>DATEVALUE(tblWorkPackages[[#This Row],[Completion date]])</f>
        <v>45592.0</v>
      </c>
      <c r="Z31" s="64">
        <f>_xlfn.MINIFS(tblLaborEntries[Work date serial],tblLaborEntries[Work package ID],tblWorkPackages[[#This Row],[Work package ID]])</f>
        <v>45590.0</v>
      </c>
      <c r="AA31" s="64">
        <f>_xlfn.MAXIFS(tblLaborEntries[Work date serial],tblLaborEntries[Work package ID],tblWorkPackages[[#This Row],[Work package ID]])</f>
        <v>45591.0</v>
      </c>
      <c r="AB31" s="65">
        <f>IF(tblWorkPackages[[#This Row],[Completion date serial]]&gt;tblWorkPackages[[#This Row],[Due date serial]],1,0)</f>
        <v>1</v>
      </c>
      <c r="AC31" s="65">
        <f>MAX(0,tblWorkPackages[[#This Row],[Completion date serial]]-tblWorkPackages[[#This Row],[Due date serial]])</f>
        <v>2</v>
      </c>
      <c r="AD31" s="65">
        <f>tblWorkPackages[[#This Row],[First labor date]]-tblWorkPackages[[#This Row],[Request date serial]]</f>
        <v>6</v>
      </c>
      <c r="AE31" s="65">
        <f>tblWorkPackages[[#This Row],[Last labor date]]-tblWorkPackages[[#This Row],[First labor date]]</f>
        <v>1</v>
      </c>
      <c r="AF31" s="65">
        <f>tblWorkPackages[[#This Row],[Completion date serial]]-tblWorkPackages[[#This Row],[Last labor date]]</f>
        <v>1</v>
      </c>
      <c r="AG31" s="65">
        <f>tblWorkPackages[[#This Row],[Completion date serial]]-tblWorkPackages[[#This Row],[Request date serial]]</f>
        <v>8</v>
      </c>
      <c r="AH31" s="65">
        <f>IFERROR(INDEX(tblParts[Delay days],MATCH(tblWorkPackages[[#This Row],[Work package ID]],tblParts[Work package ID],0)),0)</f>
        <v>0</v>
      </c>
      <c r="AI31" s="51" t="str">
        <f>IFERROR(INDEX(tblDisruptions[Event type],MATCH(tblWorkPackages[[#This Row],[Work package ID]],tblDisruptions[Work package ID],0)),"None")</f>
        <v>None</v>
      </c>
      <c r="AJ31" s="51" t="str">
        <f>TEXT(tblWorkPackages[[#This Row],[Due date serial]],"yyyy-mm")</f>
        <v>2024-10</v>
      </c>
    </row>
    <row r="32" spans="1:36" ht="15" x14ac:dyDescent="0.25">
      <c r="A32" s="53" t="s">
        <v>278</v>
      </c>
      <c r="B32" s="53" t="s">
        <v>235</v>
      </c>
      <c r="C32" s="53" t="s">
        <v>279</v>
      </c>
      <c r="D32" s="53" t="s">
        <v>280</v>
      </c>
      <c r="E32" s="53" t="s">
        <v>144</v>
      </c>
      <c r="F32" s="53" t="s">
        <v>145</v>
      </c>
      <c r="G32" s="53" t="s">
        <v>146</v>
      </c>
      <c r="H32" s="53">
        <v>1</v>
      </c>
      <c r="I32" s="53" t="s">
        <v>176</v>
      </c>
      <c r="J32" s="53">
        <v>0</v>
      </c>
      <c r="K32" s="53">
        <v>1</v>
      </c>
      <c r="L32" s="53">
        <v>6.8</v>
      </c>
      <c r="M32" s="53" t="s">
        <v>281</v>
      </c>
      <c r="N32" s="53">
        <v>5.9</v>
      </c>
      <c r="O32" s="51" t="str">
        <f>TEXT(tblWorkPackages[[#This Row],[Request date serial]]-WEEKDAY(tblWorkPackages[[#This Row],[Request date serial]],3),"yyyy-mm-dd")</f>
        <v>2025-01-20</v>
      </c>
      <c r="P32" s="51">
        <f>ABS(tblWorkPackages[[#This Row],[Actual labor hours]]-tblWorkPackages[[#This Row],[Estimated labor hours]])</f>
        <v>0.9</v>
      </c>
      <c r="Q32" s="51">
        <f>IF(tblWorkPackages[[#This Row],[Actual labor hours]]&gt;tblWorkPackages[[#This Row],[Estimated labor hours]],1,0)</f>
        <v>0</v>
      </c>
      <c r="R32" s="51">
        <f>tblWorkPackages[[#This Row],[Actual labor hours]]-tblWorkPackages[[#This Row],[Estimated labor hours]]</f>
        <v>-0.9</v>
      </c>
      <c r="S32" s="51" t="str">
        <f>IF(tblWorkPackages[[#This Row],[Request date serial]]&lt;ValidationStart,"Train 2024",IF(tblWorkPackages[[#This Row],[Request date serial]]&lt;HoldoutStart,"Validation H1","Holdout H2"))</f>
        <v>Validation H1</v>
      </c>
      <c r="T32" s="51">
        <f>IF(tblWorkPackages[[#This Row],[Time split]]="Train 2024","",tblWorkPackages[[#This Row],[Estimated labor hours]]+VLOOKUP(tblWorkPackages[[#This Row],[Task type]],'Forecast validation'!$A$14:$E$25,IF(tblWorkPackages[[#This Row],[Time split]]="Validation H1",4,5),FALSE()))</f>
        <v>7.55473684210526</v>
      </c>
      <c r="U32" s="51">
        <f>IF(tblWorkPackages[[#This Row],[Calibrated forecast hours]]="","",ABS(tblWorkPackages[[#This Row],[Actual labor hours]]-tblWorkPackages[[#This Row],[Calibrated forecast hours]]))</f>
        <v>1.65473684210526</v>
      </c>
      <c r="V32" s="51">
        <f>IF(tblWorkPackages[[#This Row],[Time split]]="Train 2024",tblWorkPackages[[#This Row],[Estimated labor hours]],tblWorkPackages[[#This Row],[Calibrated forecast hours]])</f>
        <v>7.55473684210526</v>
      </c>
      <c r="W32" s="64">
        <f>DATEVALUE(tblWorkPackages[[#This Row],[Request date]])</f>
        <v>45679.0</v>
      </c>
      <c r="X32" s="64">
        <f>DATEVALUE(tblWorkPackages[[#This Row],[Due date]])</f>
        <v>45685.0</v>
      </c>
      <c r="Y32" s="64">
        <f>DATEVALUE(tblWorkPackages[[#This Row],[Completion date]])</f>
        <v>45684.0</v>
      </c>
      <c r="Z32" s="64">
        <f>_xlfn.MINIFS(tblLaborEntries[Work date serial],tblLaborEntries[Work package ID],tblWorkPackages[[#This Row],[Work package ID]])</f>
        <v>45681.0</v>
      </c>
      <c r="AA32" s="64">
        <f>_xlfn.MAXIFS(tblLaborEntries[Work date serial],tblLaborEntries[Work package ID],tblWorkPackages[[#This Row],[Work package ID]])</f>
        <v>45682.0</v>
      </c>
      <c r="AB32" s="65">
        <f>IF(tblWorkPackages[[#This Row],[Completion date serial]]&gt;tblWorkPackages[[#This Row],[Due date serial]],1,0)</f>
        <v>0</v>
      </c>
      <c r="AC32" s="65">
        <f>MAX(0,tblWorkPackages[[#This Row],[Completion date serial]]-tblWorkPackages[[#This Row],[Due date serial]])</f>
        <v>0</v>
      </c>
      <c r="AD32" s="65">
        <f>tblWorkPackages[[#This Row],[First labor date]]-tblWorkPackages[[#This Row],[Request date serial]]</f>
        <v>2</v>
      </c>
      <c r="AE32" s="65">
        <f>tblWorkPackages[[#This Row],[Last labor date]]-tblWorkPackages[[#This Row],[First labor date]]</f>
        <v>1</v>
      </c>
      <c r="AF32" s="65">
        <f>tblWorkPackages[[#This Row],[Completion date serial]]-tblWorkPackages[[#This Row],[Last labor date]]</f>
        <v>2</v>
      </c>
      <c r="AG32" s="65">
        <f>tblWorkPackages[[#This Row],[Completion date serial]]-tblWorkPackages[[#This Row],[Request date serial]]</f>
        <v>5</v>
      </c>
      <c r="AH32" s="65">
        <f>IFERROR(INDEX(tblParts[Delay days],MATCH(tblWorkPackages[[#This Row],[Work package ID]],tblParts[Work package ID],0)),0)</f>
        <v>0</v>
      </c>
      <c r="AI32" s="51" t="str">
        <f>IFERROR(INDEX(tblDisruptions[Event type],MATCH(tblWorkPackages[[#This Row],[Work package ID]],tblDisruptions[Work package ID],0)),"None")</f>
        <v>None</v>
      </c>
      <c r="AJ32" s="51" t="str">
        <f>TEXT(tblWorkPackages[[#This Row],[Due date serial]],"yyyy-mm")</f>
        <v>2025-01</v>
      </c>
    </row>
    <row r="33" spans="1:36" ht="15" x14ac:dyDescent="0.25">
      <c r="A33" s="53" t="s">
        <v>282</v>
      </c>
      <c r="B33" s="53" t="s">
        <v>124</v>
      </c>
      <c r="C33" s="53" t="s">
        <v>283</v>
      </c>
      <c r="D33" s="53" t="s">
        <v>284</v>
      </c>
      <c r="E33" s="53" t="s">
        <v>242</v>
      </c>
      <c r="F33" s="53" t="s">
        <v>243</v>
      </c>
      <c r="G33" s="53" t="s">
        <v>129</v>
      </c>
      <c r="H33" s="53">
        <v>1</v>
      </c>
      <c r="I33" s="53" t="s">
        <v>130</v>
      </c>
      <c r="J33" s="53">
        <v>0</v>
      </c>
      <c r="K33" s="53">
        <v>1</v>
      </c>
      <c r="L33" s="53">
        <v>5.4</v>
      </c>
      <c r="M33" s="53" t="s">
        <v>285</v>
      </c>
      <c r="N33" s="53">
        <v>4.2</v>
      </c>
      <c r="O33" s="51" t="str">
        <f>TEXT(tblWorkPackages[[#This Row],[Request date serial]]-WEEKDAY(tblWorkPackages[[#This Row],[Request date serial]],3),"yyyy-mm-dd")</f>
        <v>2025-08-25</v>
      </c>
      <c r="P33" s="51">
        <f>ABS(tblWorkPackages[[#This Row],[Actual labor hours]]-tblWorkPackages[[#This Row],[Estimated labor hours]])</f>
        <v>1.2</v>
      </c>
      <c r="Q33" s="51">
        <f>IF(tblWorkPackages[[#This Row],[Actual labor hours]]&gt;tblWorkPackages[[#This Row],[Estimated labor hours]],1,0)</f>
        <v>0</v>
      </c>
      <c r="R33" s="51">
        <f>tblWorkPackages[[#This Row],[Actual labor hours]]-tblWorkPackages[[#This Row],[Estimated labor hours]]</f>
        <v>-1.2</v>
      </c>
      <c r="S33" s="51" t="str">
        <f>IF(tblWorkPackages[[#This Row],[Request date serial]]&lt;ValidationStart,"Train 2024",IF(tblWorkPackages[[#This Row],[Request date serial]]&lt;HoldoutStart,"Validation H1","Holdout H2"))</f>
        <v>Holdout H2</v>
      </c>
      <c r="T33" s="51">
        <f>IF(tblWorkPackages[[#This Row],[Time split]]="Train 2024","",tblWorkPackages[[#This Row],[Estimated labor hours]]+VLOOKUP(tblWorkPackages[[#This Row],[Task type]],'Forecast validation'!$A$14:$E$25,IF(tblWorkPackages[[#This Row],[Time split]]="Validation H1",4,5),FALSE()))</f>
        <v>6.22545454545455</v>
      </c>
      <c r="U33" s="51">
        <f>IF(tblWorkPackages[[#This Row],[Calibrated forecast hours]]="","",ABS(tblWorkPackages[[#This Row],[Actual labor hours]]-tblWorkPackages[[#This Row],[Calibrated forecast hours]]))</f>
        <v>2.02545454545455</v>
      </c>
      <c r="V33" s="51">
        <f>IF(tblWorkPackages[[#This Row],[Time split]]="Train 2024",tblWorkPackages[[#This Row],[Estimated labor hours]],tblWorkPackages[[#This Row],[Calibrated forecast hours]])</f>
        <v>6.22545454545455</v>
      </c>
      <c r="W33" s="64">
        <f>DATEVALUE(tblWorkPackages[[#This Row],[Request date]])</f>
        <v>45897.0</v>
      </c>
      <c r="X33" s="64">
        <f>DATEVALUE(tblWorkPackages[[#This Row],[Due date]])</f>
        <v>45910.0</v>
      </c>
      <c r="Y33" s="64">
        <f>DATEVALUE(tblWorkPackages[[#This Row],[Completion date]])</f>
        <v>45915.0</v>
      </c>
      <c r="Z33" s="64">
        <f>_xlfn.MINIFS(tblLaborEntries[Work date serial],tblLaborEntries[Work package ID],tblWorkPackages[[#This Row],[Work package ID]])</f>
        <v>45912.0</v>
      </c>
      <c r="AA33" s="64">
        <f>_xlfn.MAXIFS(tblLaborEntries[Work date serial],tblLaborEntries[Work package ID],tblWorkPackages[[#This Row],[Work package ID]])</f>
        <v>45912.0</v>
      </c>
      <c r="AB33" s="65">
        <f>IF(tblWorkPackages[[#This Row],[Completion date serial]]&gt;tblWorkPackages[[#This Row],[Due date serial]],1,0)</f>
        <v>1</v>
      </c>
      <c r="AC33" s="65">
        <f>MAX(0,tblWorkPackages[[#This Row],[Completion date serial]]-tblWorkPackages[[#This Row],[Due date serial]])</f>
        <v>5</v>
      </c>
      <c r="AD33" s="65">
        <f>tblWorkPackages[[#This Row],[First labor date]]-tblWorkPackages[[#This Row],[Request date serial]]</f>
        <v>15</v>
      </c>
      <c r="AE33" s="65">
        <f>tblWorkPackages[[#This Row],[Last labor date]]-tblWorkPackages[[#This Row],[First labor date]]</f>
        <v>0</v>
      </c>
      <c r="AF33" s="65">
        <f>tblWorkPackages[[#This Row],[Completion date serial]]-tblWorkPackages[[#This Row],[Last labor date]]</f>
        <v>3</v>
      </c>
      <c r="AG33" s="65">
        <f>tblWorkPackages[[#This Row],[Completion date serial]]-tblWorkPackages[[#This Row],[Request date serial]]</f>
        <v>18</v>
      </c>
      <c r="AH33" s="65">
        <f>IFERROR(INDEX(tblParts[Delay days],MATCH(tblWorkPackages[[#This Row],[Work package ID]],tblParts[Work package ID],0)),0)</f>
        <v>0</v>
      </c>
      <c r="AI33" s="51" t="str">
        <f>IFERROR(INDEX(tblDisruptions[Event type],MATCH(tblWorkPackages[[#This Row],[Work package ID]],tblDisruptions[Work package ID],0)),"None")</f>
        <v>None</v>
      </c>
      <c r="AJ33" s="51" t="str">
        <f>TEXT(tblWorkPackages[[#This Row],[Due date serial]],"yyyy-mm")</f>
        <v>2025-09</v>
      </c>
    </row>
    <row r="34" spans="1:36" ht="15" x14ac:dyDescent="0.25">
      <c r="A34" s="53" t="s">
        <v>286</v>
      </c>
      <c r="B34" s="53" t="s">
        <v>287</v>
      </c>
      <c r="C34" s="53" t="s">
        <v>285</v>
      </c>
      <c r="D34" s="53" t="s">
        <v>288</v>
      </c>
      <c r="E34" s="53" t="s">
        <v>181</v>
      </c>
      <c r="F34" s="53" t="s">
        <v>182</v>
      </c>
      <c r="G34" s="53" t="s">
        <v>138</v>
      </c>
      <c r="H34" s="53">
        <v>1</v>
      </c>
      <c r="I34" s="53" t="s">
        <v>130</v>
      </c>
      <c r="J34" s="53">
        <v>0</v>
      </c>
      <c r="K34" s="53">
        <v>0</v>
      </c>
      <c r="L34" s="53">
        <v>4.5999999999999996</v>
      </c>
      <c r="M34" s="53" t="s">
        <v>289</v>
      </c>
      <c r="N34" s="53">
        <v>4.0999999999999996</v>
      </c>
      <c r="O34" s="51" t="str">
        <f>TEXT(tblWorkPackages[[#This Row],[Request date serial]]-WEEKDAY(tblWorkPackages[[#This Row],[Request date serial]],3),"yyyy-mm-dd")</f>
        <v>2025-09-15</v>
      </c>
      <c r="P34" s="51">
        <f>ABS(tblWorkPackages[[#This Row],[Actual labor hours]]-tblWorkPackages[[#This Row],[Estimated labor hours]])</f>
        <v>0.5</v>
      </c>
      <c r="Q34" s="51">
        <f>IF(tblWorkPackages[[#This Row],[Actual labor hours]]&gt;tblWorkPackages[[#This Row],[Estimated labor hours]],1,0)</f>
        <v>0</v>
      </c>
      <c r="R34" s="51">
        <f>tblWorkPackages[[#This Row],[Actual labor hours]]-tblWorkPackages[[#This Row],[Estimated labor hours]]</f>
        <v>-0.5</v>
      </c>
      <c r="S34" s="51" t="str">
        <f>IF(tblWorkPackages[[#This Row],[Request date serial]]&lt;ValidationStart,"Train 2024",IF(tblWorkPackages[[#This Row],[Request date serial]]&lt;HoldoutStart,"Validation H1","Holdout H2"))</f>
        <v>Holdout H2</v>
      </c>
      <c r="T34" s="51">
        <f>IF(tblWorkPackages[[#This Row],[Time split]]="Train 2024","",tblWorkPackages[[#This Row],[Estimated labor hours]]+VLOOKUP(tblWorkPackages[[#This Row],[Task type]],'Forecast validation'!$A$14:$E$25,IF(tblWorkPackages[[#This Row],[Time split]]="Validation H1",4,5),FALSE()))</f>
        <v>5.19160839160839</v>
      </c>
      <c r="U34" s="51">
        <f>IF(tblWorkPackages[[#This Row],[Calibrated forecast hours]]="","",ABS(tblWorkPackages[[#This Row],[Actual labor hours]]-tblWorkPackages[[#This Row],[Calibrated forecast hours]]))</f>
        <v>1.09160839160839</v>
      </c>
      <c r="V34" s="51">
        <f>IF(tblWorkPackages[[#This Row],[Time split]]="Train 2024",tblWorkPackages[[#This Row],[Estimated labor hours]],tblWorkPackages[[#This Row],[Calibrated forecast hours]])</f>
        <v>5.19160839160839</v>
      </c>
      <c r="W34" s="64">
        <f>DATEVALUE(tblWorkPackages[[#This Row],[Request date]])</f>
        <v>45915.0</v>
      </c>
      <c r="X34" s="64">
        <f>DATEVALUE(tblWorkPackages[[#This Row],[Due date]])</f>
        <v>45928.0</v>
      </c>
      <c r="Y34" s="64">
        <f>DATEVALUE(tblWorkPackages[[#This Row],[Completion date]])</f>
        <v>45920.0</v>
      </c>
      <c r="Z34" s="64">
        <f>_xlfn.MINIFS(tblLaborEntries[Work date serial],tblLaborEntries[Work package ID],tblWorkPackages[[#This Row],[Work package ID]])</f>
        <v>45919.0</v>
      </c>
      <c r="AA34" s="64">
        <f>_xlfn.MAXIFS(tblLaborEntries[Work date serial],tblLaborEntries[Work package ID],tblWorkPackages[[#This Row],[Work package ID]])</f>
        <v>45920.0</v>
      </c>
      <c r="AB34" s="65">
        <f>IF(tblWorkPackages[[#This Row],[Completion date serial]]&gt;tblWorkPackages[[#This Row],[Due date serial]],1,0)</f>
        <v>0</v>
      </c>
      <c r="AC34" s="65">
        <f>MAX(0,tblWorkPackages[[#This Row],[Completion date serial]]-tblWorkPackages[[#This Row],[Due date serial]])</f>
        <v>0</v>
      </c>
      <c r="AD34" s="65">
        <f>tblWorkPackages[[#This Row],[First labor date]]-tblWorkPackages[[#This Row],[Request date serial]]</f>
        <v>4</v>
      </c>
      <c r="AE34" s="65">
        <f>tblWorkPackages[[#This Row],[Last labor date]]-tblWorkPackages[[#This Row],[First labor date]]</f>
        <v>1</v>
      </c>
      <c r="AF34" s="65">
        <f>tblWorkPackages[[#This Row],[Completion date serial]]-tblWorkPackages[[#This Row],[Last labor date]]</f>
        <v>0</v>
      </c>
      <c r="AG34" s="65">
        <f>tblWorkPackages[[#This Row],[Completion date serial]]-tblWorkPackages[[#This Row],[Request date serial]]</f>
        <v>5</v>
      </c>
      <c r="AH34" s="65">
        <f>IFERROR(INDEX(tblParts[Delay days],MATCH(tblWorkPackages[[#This Row],[Work package ID]],tblParts[Work package ID],0)),0)</f>
        <v>0</v>
      </c>
      <c r="AI34" s="51" t="str">
        <f>IFERROR(INDEX(tblDisruptions[Event type],MATCH(tblWorkPackages[[#This Row],[Work package ID]],tblDisruptions[Work package ID],0)),"None")</f>
        <v>None</v>
      </c>
      <c r="AJ34" s="51" t="str">
        <f>TEXT(tblWorkPackages[[#This Row],[Due date serial]],"yyyy-mm")</f>
        <v>2025-09</v>
      </c>
    </row>
    <row r="35" spans="1:36" ht="15" x14ac:dyDescent="0.25">
      <c r="A35" s="53" t="s">
        <v>290</v>
      </c>
      <c r="B35" s="53" t="s">
        <v>203</v>
      </c>
      <c r="C35" s="53" t="s">
        <v>186</v>
      </c>
      <c r="D35" s="53" t="s">
        <v>187</v>
      </c>
      <c r="E35" s="53" t="s">
        <v>181</v>
      </c>
      <c r="F35" s="53" t="s">
        <v>182</v>
      </c>
      <c r="G35" s="53" t="s">
        <v>138</v>
      </c>
      <c r="H35" s="53">
        <v>4</v>
      </c>
      <c r="I35" s="53" t="s">
        <v>176</v>
      </c>
      <c r="J35" s="53">
        <v>0</v>
      </c>
      <c r="K35" s="53">
        <v>0</v>
      </c>
      <c r="L35" s="53">
        <v>13.7</v>
      </c>
      <c r="M35" s="53" t="s">
        <v>291</v>
      </c>
      <c r="N35" s="53">
        <v>11.7</v>
      </c>
      <c r="O35" s="51" t="str">
        <f>TEXT(tblWorkPackages[[#This Row],[Request date serial]]-WEEKDAY(tblWorkPackages[[#This Row],[Request date serial]],3),"yyyy-mm-dd")</f>
        <v>2025-02-17</v>
      </c>
      <c r="P35" s="51">
        <f>ABS(tblWorkPackages[[#This Row],[Actual labor hours]]-tblWorkPackages[[#This Row],[Estimated labor hours]])</f>
        <v>2</v>
      </c>
      <c r="Q35" s="51">
        <f>IF(tblWorkPackages[[#This Row],[Actual labor hours]]&gt;tblWorkPackages[[#This Row],[Estimated labor hours]],1,0)</f>
        <v>0</v>
      </c>
      <c r="R35" s="51">
        <f>tblWorkPackages[[#This Row],[Actual labor hours]]-tblWorkPackages[[#This Row],[Estimated labor hours]]</f>
        <v>-2</v>
      </c>
      <c r="S35" s="51" t="str">
        <f>IF(tblWorkPackages[[#This Row],[Request date serial]]&lt;ValidationStart,"Train 2024",IF(tblWorkPackages[[#This Row],[Request date serial]]&lt;HoldoutStart,"Validation H1","Holdout H2"))</f>
        <v>Validation H1</v>
      </c>
      <c r="T35" s="51">
        <f>IF(tblWorkPackages[[#This Row],[Time split]]="Train 2024","",tblWorkPackages[[#This Row],[Estimated labor hours]]+VLOOKUP(tblWorkPackages[[#This Row],[Task type]],'Forecast validation'!$A$14:$E$25,IF(tblWorkPackages[[#This Row],[Time split]]="Validation H1",4,5),FALSE()))</f>
        <v>14.2840909090909</v>
      </c>
      <c r="U35" s="51">
        <f>IF(tblWorkPackages[[#This Row],[Calibrated forecast hours]]="","",ABS(tblWorkPackages[[#This Row],[Actual labor hours]]-tblWorkPackages[[#This Row],[Calibrated forecast hours]]))</f>
        <v>2.58409090909091</v>
      </c>
      <c r="V35" s="51">
        <f>IF(tblWorkPackages[[#This Row],[Time split]]="Train 2024",tblWorkPackages[[#This Row],[Estimated labor hours]],tblWorkPackages[[#This Row],[Calibrated forecast hours]])</f>
        <v>14.2840909090909</v>
      </c>
      <c r="W35" s="64">
        <f>DATEVALUE(tblWorkPackages[[#This Row],[Request date]])</f>
        <v>45707.0</v>
      </c>
      <c r="X35" s="64">
        <f>DATEVALUE(tblWorkPackages[[#This Row],[Due date]])</f>
        <v>45713.0</v>
      </c>
      <c r="Y35" s="64">
        <f>DATEVALUE(tblWorkPackages[[#This Row],[Completion date]])</f>
        <v>45709.0</v>
      </c>
      <c r="Z35" s="64">
        <f>_xlfn.MINIFS(tblLaborEntries[Work date serial],tblLaborEntries[Work package ID],tblWorkPackages[[#This Row],[Work package ID]])</f>
        <v>45708.0</v>
      </c>
      <c r="AA35" s="64">
        <f>_xlfn.MAXIFS(tblLaborEntries[Work date serial],tblLaborEntries[Work package ID],tblWorkPackages[[#This Row],[Work package ID]])</f>
        <v>45708.0</v>
      </c>
      <c r="AB35" s="65">
        <f>IF(tblWorkPackages[[#This Row],[Completion date serial]]&gt;tblWorkPackages[[#This Row],[Due date serial]],1,0)</f>
        <v>0</v>
      </c>
      <c r="AC35" s="65">
        <f>MAX(0,tblWorkPackages[[#This Row],[Completion date serial]]-tblWorkPackages[[#This Row],[Due date serial]])</f>
        <v>0</v>
      </c>
      <c r="AD35" s="65">
        <f>tblWorkPackages[[#This Row],[First labor date]]-tblWorkPackages[[#This Row],[Request date serial]]</f>
        <v>1</v>
      </c>
      <c r="AE35" s="65">
        <f>tblWorkPackages[[#This Row],[Last labor date]]-tblWorkPackages[[#This Row],[First labor date]]</f>
        <v>0</v>
      </c>
      <c r="AF35" s="65">
        <f>tblWorkPackages[[#This Row],[Completion date serial]]-tblWorkPackages[[#This Row],[Last labor date]]</f>
        <v>1</v>
      </c>
      <c r="AG35" s="65">
        <f>tblWorkPackages[[#This Row],[Completion date serial]]-tblWorkPackages[[#This Row],[Request date serial]]</f>
        <v>2</v>
      </c>
      <c r="AH35" s="65">
        <f>IFERROR(INDEX(tblParts[Delay days],MATCH(tblWorkPackages[[#This Row],[Work package ID]],tblParts[Work package ID],0)),0)</f>
        <v>0</v>
      </c>
      <c r="AI35" s="51" t="str">
        <f>IFERROR(INDEX(tblDisruptions[Event type],MATCH(tblWorkPackages[[#This Row],[Work package ID]],tblDisruptions[Work package ID],0)),"None")</f>
        <v>None</v>
      </c>
      <c r="AJ35" s="51" t="str">
        <f>TEXT(tblWorkPackages[[#This Row],[Due date serial]],"yyyy-mm")</f>
        <v>2025-02</v>
      </c>
    </row>
    <row r="36" spans="1:36" ht="15" x14ac:dyDescent="0.25">
      <c r="A36" s="53" t="s">
        <v>292</v>
      </c>
      <c r="B36" s="53" t="s">
        <v>250</v>
      </c>
      <c r="C36" s="53" t="s">
        <v>293</v>
      </c>
      <c r="D36" s="53" t="s">
        <v>294</v>
      </c>
      <c r="E36" s="53" t="s">
        <v>181</v>
      </c>
      <c r="F36" s="53" t="s">
        <v>182</v>
      </c>
      <c r="G36" s="53" t="s">
        <v>138</v>
      </c>
      <c r="H36" s="53">
        <v>3</v>
      </c>
      <c r="I36" s="53" t="s">
        <v>130</v>
      </c>
      <c r="J36" s="53">
        <v>0</v>
      </c>
      <c r="K36" s="53">
        <v>1</v>
      </c>
      <c r="L36" s="53">
        <v>9.6999999999999993</v>
      </c>
      <c r="M36" s="53" t="s">
        <v>294</v>
      </c>
      <c r="N36" s="53">
        <v>9.4</v>
      </c>
      <c r="O36" s="51" t="str">
        <f>TEXT(tblWorkPackages[[#This Row],[Request date serial]]-WEEKDAY(tblWorkPackages[[#This Row],[Request date serial]],3),"yyyy-mm-dd")</f>
        <v>2024-08-26</v>
      </c>
      <c r="P36" s="51">
        <f>ABS(tblWorkPackages[[#This Row],[Actual labor hours]]-tblWorkPackages[[#This Row],[Estimated labor hours]])</f>
        <v>0.299999999999999</v>
      </c>
      <c r="Q36" s="51">
        <f>IF(tblWorkPackages[[#This Row],[Actual labor hours]]&gt;tblWorkPackages[[#This Row],[Estimated labor hours]],1,0)</f>
        <v>0</v>
      </c>
      <c r="R36" s="51">
        <f>tblWorkPackages[[#This Row],[Actual labor hours]]-tblWorkPackages[[#This Row],[Estimated labor hours]]</f>
        <v>-0.299999999999999</v>
      </c>
      <c r="S36" s="51" t="str">
        <f>IF(tblWorkPackages[[#This Row],[Request date serial]]&lt;ValidationStart,"Train 2024",IF(tblWorkPackages[[#This Row],[Request date serial]]&lt;HoldoutStart,"Validation H1","Holdout H2"))</f>
        <v>Train 2024</v>
      </c>
      <c r="T36" s="51" t="str">
        <f>IF(tblWorkPackages[[#This Row],[Time split]]="Train 2024","",tblWorkPackages[[#This Row],[Estimated labor hours]]+VLOOKUP(tblWorkPackages[[#This Row],[Task type]],'Forecast validation'!$A$14:$E$25,IF(tblWorkPackages[[#This Row],[Time split]]="Validation H1",4,5),FALSE()))</f>
        <v/>
      </c>
      <c r="U36" s="51" t="str">
        <f>IF(tblWorkPackages[[#This Row],[Calibrated forecast hours]]="","",ABS(tblWorkPackages[[#This Row],[Actual labor hours]]-tblWorkPackages[[#This Row],[Calibrated forecast hours]]))</f>
        <v/>
      </c>
      <c r="V36" s="51">
        <f>IF(tblWorkPackages[[#This Row],[Time split]]="Train 2024",tblWorkPackages[[#This Row],[Estimated labor hours]],tblWorkPackages[[#This Row],[Calibrated forecast hours]])</f>
        <v>9.7</v>
      </c>
      <c r="W36" s="64">
        <f>DATEVALUE(tblWorkPackages[[#This Row],[Request date]])</f>
        <v>45530.0</v>
      </c>
      <c r="X36" s="64">
        <f>DATEVALUE(tblWorkPackages[[#This Row],[Due date]])</f>
        <v>45543.0</v>
      </c>
      <c r="Y36" s="64">
        <f>DATEVALUE(tblWorkPackages[[#This Row],[Completion date]])</f>
        <v>45543.0</v>
      </c>
      <c r="Z36" s="64">
        <f>_xlfn.MINIFS(tblLaborEntries[Work date serial],tblLaborEntries[Work package ID],tblWorkPackages[[#This Row],[Work package ID]])</f>
        <v>45539.0</v>
      </c>
      <c r="AA36" s="64">
        <f>_xlfn.MAXIFS(tblLaborEntries[Work date serial],tblLaborEntries[Work package ID],tblWorkPackages[[#This Row],[Work package ID]])</f>
        <v>45541.0</v>
      </c>
      <c r="AB36" s="65">
        <f>IF(tblWorkPackages[[#This Row],[Completion date serial]]&gt;tblWorkPackages[[#This Row],[Due date serial]],1,0)</f>
        <v>0</v>
      </c>
      <c r="AC36" s="65">
        <f>MAX(0,tblWorkPackages[[#This Row],[Completion date serial]]-tblWorkPackages[[#This Row],[Due date serial]])</f>
        <v>0</v>
      </c>
      <c r="AD36" s="65">
        <f>tblWorkPackages[[#This Row],[First labor date]]-tblWorkPackages[[#This Row],[Request date serial]]</f>
        <v>9</v>
      </c>
      <c r="AE36" s="65">
        <f>tblWorkPackages[[#This Row],[Last labor date]]-tblWorkPackages[[#This Row],[First labor date]]</f>
        <v>2</v>
      </c>
      <c r="AF36" s="65">
        <f>tblWorkPackages[[#This Row],[Completion date serial]]-tblWorkPackages[[#This Row],[Last labor date]]</f>
        <v>2</v>
      </c>
      <c r="AG36" s="65">
        <f>tblWorkPackages[[#This Row],[Completion date serial]]-tblWorkPackages[[#This Row],[Request date serial]]</f>
        <v>13</v>
      </c>
      <c r="AH36" s="65">
        <f>IFERROR(INDEX(tblParts[Delay days],MATCH(tblWorkPackages[[#This Row],[Work package ID]],tblParts[Work package ID],0)),0)</f>
        <v>0</v>
      </c>
      <c r="AI36" s="51" t="str">
        <f>IFERROR(INDEX(tblDisruptions[Event type],MATCH(tblWorkPackages[[#This Row],[Work package ID]],tblDisruptions[Work package ID],0)),"None")</f>
        <v>None</v>
      </c>
      <c r="AJ36" s="51" t="str">
        <f>TEXT(tblWorkPackages[[#This Row],[Due date serial]],"yyyy-mm")</f>
        <v>2024-09</v>
      </c>
    </row>
    <row r="37" spans="1:36" ht="15" x14ac:dyDescent="0.25">
      <c r="A37" s="53" t="s">
        <v>295</v>
      </c>
      <c r="B37" s="53" t="s">
        <v>141</v>
      </c>
      <c r="C37" s="53" t="s">
        <v>296</v>
      </c>
      <c r="D37" s="53" t="s">
        <v>297</v>
      </c>
      <c r="E37" s="53" t="s">
        <v>223</v>
      </c>
      <c r="F37" s="53" t="s">
        <v>182</v>
      </c>
      <c r="G37" s="53" t="s">
        <v>154</v>
      </c>
      <c r="H37" s="53">
        <v>3</v>
      </c>
      <c r="I37" s="53" t="s">
        <v>147</v>
      </c>
      <c r="J37" s="53">
        <v>0</v>
      </c>
      <c r="K37" s="53">
        <v>0</v>
      </c>
      <c r="L37" s="53">
        <v>15.7</v>
      </c>
      <c r="M37" s="53" t="s">
        <v>293</v>
      </c>
      <c r="N37" s="53">
        <v>19.5</v>
      </c>
      <c r="O37" s="51" t="str">
        <f>TEXT(tblWorkPackages[[#This Row],[Request date serial]]-WEEKDAY(tblWorkPackages[[#This Row],[Request date serial]],3),"yyyy-mm-dd")</f>
        <v>2024-08-19</v>
      </c>
      <c r="P37" s="51">
        <f>ABS(tblWorkPackages[[#This Row],[Actual labor hours]]-tblWorkPackages[[#This Row],[Estimated labor hours]])</f>
        <v>3.8</v>
      </c>
      <c r="Q37" s="51">
        <f>IF(tblWorkPackages[[#This Row],[Actual labor hours]]&gt;tblWorkPackages[[#This Row],[Estimated labor hours]],1,0)</f>
        <v>1</v>
      </c>
      <c r="R37" s="51">
        <f>tblWorkPackages[[#This Row],[Actual labor hours]]-tblWorkPackages[[#This Row],[Estimated labor hours]]</f>
        <v>3.8</v>
      </c>
      <c r="S37" s="51" t="str">
        <f>IF(tblWorkPackages[[#This Row],[Request date serial]]&lt;ValidationStart,"Train 2024",IF(tblWorkPackages[[#This Row],[Request date serial]]&lt;HoldoutStart,"Validation H1","Holdout H2"))</f>
        <v>Train 2024</v>
      </c>
      <c r="T37" s="51" t="str">
        <f>IF(tblWorkPackages[[#This Row],[Time split]]="Train 2024","",tblWorkPackages[[#This Row],[Estimated labor hours]]+VLOOKUP(tblWorkPackages[[#This Row],[Task type]],'Forecast validation'!$A$14:$E$25,IF(tblWorkPackages[[#This Row],[Time split]]="Validation H1",4,5),FALSE()))</f>
        <v/>
      </c>
      <c r="U37" s="51" t="str">
        <f>IF(tblWorkPackages[[#This Row],[Calibrated forecast hours]]="","",ABS(tblWorkPackages[[#This Row],[Actual labor hours]]-tblWorkPackages[[#This Row],[Calibrated forecast hours]]))</f>
        <v/>
      </c>
      <c r="V37" s="51">
        <f>IF(tblWorkPackages[[#This Row],[Time split]]="Train 2024",tblWorkPackages[[#This Row],[Estimated labor hours]],tblWorkPackages[[#This Row],[Calibrated forecast hours]])</f>
        <v>15.7</v>
      </c>
      <c r="W37" s="64">
        <f>DATEVALUE(tblWorkPackages[[#This Row],[Request date]])</f>
        <v>45523.0</v>
      </c>
      <c r="X37" s="64">
        <f>DATEVALUE(tblWorkPackages[[#This Row],[Due date]])</f>
        <v>45525.0</v>
      </c>
      <c r="Y37" s="64">
        <f>DATEVALUE(tblWorkPackages[[#This Row],[Completion date]])</f>
        <v>45530.0</v>
      </c>
      <c r="Z37" s="64">
        <f>_xlfn.MINIFS(tblLaborEntries[Work date serial],tblLaborEntries[Work package ID],tblWorkPackages[[#This Row],[Work package ID]])</f>
        <v>45525.0</v>
      </c>
      <c r="AA37" s="64">
        <f>_xlfn.MAXIFS(tblLaborEntries[Work date serial],tblLaborEntries[Work package ID],tblWorkPackages[[#This Row],[Work package ID]])</f>
        <v>45527.0</v>
      </c>
      <c r="AB37" s="65">
        <f>IF(tblWorkPackages[[#This Row],[Completion date serial]]&gt;tblWorkPackages[[#This Row],[Due date serial]],1,0)</f>
        <v>1</v>
      </c>
      <c r="AC37" s="65">
        <f>MAX(0,tblWorkPackages[[#This Row],[Completion date serial]]-tblWorkPackages[[#This Row],[Due date serial]])</f>
        <v>5</v>
      </c>
      <c r="AD37" s="65">
        <f>tblWorkPackages[[#This Row],[First labor date]]-tblWorkPackages[[#This Row],[Request date serial]]</f>
        <v>2</v>
      </c>
      <c r="AE37" s="65">
        <f>tblWorkPackages[[#This Row],[Last labor date]]-tblWorkPackages[[#This Row],[First labor date]]</f>
        <v>2</v>
      </c>
      <c r="AF37" s="65">
        <f>tblWorkPackages[[#This Row],[Completion date serial]]-tblWorkPackages[[#This Row],[Last labor date]]</f>
        <v>3</v>
      </c>
      <c r="AG37" s="65">
        <f>tblWorkPackages[[#This Row],[Completion date serial]]-tblWorkPackages[[#This Row],[Request date serial]]</f>
        <v>7</v>
      </c>
      <c r="AH37" s="65">
        <f>IFERROR(INDEX(tblParts[Delay days],MATCH(tblWorkPackages[[#This Row],[Work package ID]],tblParts[Work package ID],0)),0)</f>
        <v>0</v>
      </c>
      <c r="AI37" s="51" t="str">
        <f>IFERROR(INDEX(tblDisruptions[Event type],MATCH(tblWorkPackages[[#This Row],[Work package ID]],tblDisruptions[Work package ID],0)),"None")</f>
        <v>None</v>
      </c>
      <c r="AJ37" s="51" t="str">
        <f>TEXT(tblWorkPackages[[#This Row],[Due date serial]],"yyyy-mm")</f>
        <v>2024-08</v>
      </c>
    </row>
    <row r="38" spans="1:36" ht="15" x14ac:dyDescent="0.25">
      <c r="A38" s="53" t="s">
        <v>298</v>
      </c>
      <c r="B38" s="53" t="s">
        <v>157</v>
      </c>
      <c r="C38" s="53" t="s">
        <v>299</v>
      </c>
      <c r="D38" s="53" t="s">
        <v>300</v>
      </c>
      <c r="E38" s="53" t="s">
        <v>223</v>
      </c>
      <c r="F38" s="53" t="s">
        <v>182</v>
      </c>
      <c r="G38" s="53" t="s">
        <v>154</v>
      </c>
      <c r="H38" s="53">
        <v>2</v>
      </c>
      <c r="I38" s="53" t="s">
        <v>147</v>
      </c>
      <c r="J38" s="53">
        <v>0</v>
      </c>
      <c r="K38" s="53">
        <v>0</v>
      </c>
      <c r="L38" s="53">
        <v>12.8</v>
      </c>
      <c r="M38" s="53" t="s">
        <v>301</v>
      </c>
      <c r="N38" s="53">
        <v>14.1</v>
      </c>
      <c r="O38" s="51" t="str">
        <f>TEXT(tblWorkPackages[[#This Row],[Request date serial]]-WEEKDAY(tblWorkPackages[[#This Row],[Request date serial]],3),"yyyy-mm-dd")</f>
        <v>2024-04-08</v>
      </c>
      <c r="P38" s="51">
        <f>ABS(tblWorkPackages[[#This Row],[Actual labor hours]]-tblWorkPackages[[#This Row],[Estimated labor hours]])</f>
        <v>1.3</v>
      </c>
      <c r="Q38" s="51">
        <f>IF(tblWorkPackages[[#This Row],[Actual labor hours]]&gt;tblWorkPackages[[#This Row],[Estimated labor hours]],1,0)</f>
        <v>1</v>
      </c>
      <c r="R38" s="51">
        <f>tblWorkPackages[[#This Row],[Actual labor hours]]-tblWorkPackages[[#This Row],[Estimated labor hours]]</f>
        <v>1.3</v>
      </c>
      <c r="S38" s="51" t="str">
        <f>IF(tblWorkPackages[[#This Row],[Request date serial]]&lt;ValidationStart,"Train 2024",IF(tblWorkPackages[[#This Row],[Request date serial]]&lt;HoldoutStart,"Validation H1","Holdout H2"))</f>
        <v>Train 2024</v>
      </c>
      <c r="T38" s="51" t="str">
        <f>IF(tblWorkPackages[[#This Row],[Time split]]="Train 2024","",tblWorkPackages[[#This Row],[Estimated labor hours]]+VLOOKUP(tblWorkPackages[[#This Row],[Task type]],'Forecast validation'!$A$14:$E$25,IF(tblWorkPackages[[#This Row],[Time split]]="Validation H1",4,5),FALSE()))</f>
        <v/>
      </c>
      <c r="U38" s="51" t="str">
        <f>IF(tblWorkPackages[[#This Row],[Calibrated forecast hours]]="","",ABS(tblWorkPackages[[#This Row],[Actual labor hours]]-tblWorkPackages[[#This Row],[Calibrated forecast hours]]))</f>
        <v/>
      </c>
      <c r="V38" s="51">
        <f>IF(tblWorkPackages[[#This Row],[Time split]]="Train 2024",tblWorkPackages[[#This Row],[Estimated labor hours]],tblWorkPackages[[#This Row],[Calibrated forecast hours]])</f>
        <v>12.8</v>
      </c>
      <c r="W38" s="64">
        <f>DATEVALUE(tblWorkPackages[[#This Row],[Request date]])</f>
        <v>45395.0</v>
      </c>
      <c r="X38" s="64">
        <f>DATEVALUE(tblWorkPackages[[#This Row],[Due date]])</f>
        <v>45397.0</v>
      </c>
      <c r="Y38" s="64">
        <f>DATEVALUE(tblWorkPackages[[#This Row],[Completion date]])</f>
        <v>45422.0</v>
      </c>
      <c r="Z38" s="64">
        <f>_xlfn.MINIFS(tblLaborEntries[Work date serial],tblLaborEntries[Work package ID],tblWorkPackages[[#This Row],[Work package ID]])</f>
        <v>45420.0</v>
      </c>
      <c r="AA38" s="64">
        <f>_xlfn.MAXIFS(tblLaborEntries[Work date serial],tblLaborEntries[Work package ID],tblWorkPackages[[#This Row],[Work package ID]])</f>
        <v>45422.0</v>
      </c>
      <c r="AB38" s="65">
        <f>IF(tblWorkPackages[[#This Row],[Completion date serial]]&gt;tblWorkPackages[[#This Row],[Due date serial]],1,0)</f>
        <v>1</v>
      </c>
      <c r="AC38" s="65">
        <f>MAX(0,tblWorkPackages[[#This Row],[Completion date serial]]-tblWorkPackages[[#This Row],[Due date serial]])</f>
        <v>25</v>
      </c>
      <c r="AD38" s="65">
        <f>tblWorkPackages[[#This Row],[First labor date]]-tblWorkPackages[[#This Row],[Request date serial]]</f>
        <v>25</v>
      </c>
      <c r="AE38" s="65">
        <f>tblWorkPackages[[#This Row],[Last labor date]]-tblWorkPackages[[#This Row],[First labor date]]</f>
        <v>2</v>
      </c>
      <c r="AF38" s="65">
        <f>tblWorkPackages[[#This Row],[Completion date serial]]-tblWorkPackages[[#This Row],[Last labor date]]</f>
        <v>0</v>
      </c>
      <c r="AG38" s="65">
        <f>tblWorkPackages[[#This Row],[Completion date serial]]-tblWorkPackages[[#This Row],[Request date serial]]</f>
        <v>27</v>
      </c>
      <c r="AH38" s="65">
        <f>IFERROR(INDEX(tblParts[Delay days],MATCH(tblWorkPackages[[#This Row],[Work package ID]],tblParts[Work package ID],0)),0)</f>
        <v>0</v>
      </c>
      <c r="AI38" s="51" t="str">
        <f>IFERROR(INDEX(tblDisruptions[Event type],MATCH(tblWorkPackages[[#This Row],[Work package ID]],tblDisruptions[Work package ID],0)),"None")</f>
        <v>None</v>
      </c>
      <c r="AJ38" s="51" t="str">
        <f>TEXT(tblWorkPackages[[#This Row],[Due date serial]],"yyyy-mm")</f>
        <v>2024-04</v>
      </c>
    </row>
    <row r="39" spans="1:36" ht="15" x14ac:dyDescent="0.25">
      <c r="A39" s="53" t="s">
        <v>302</v>
      </c>
      <c r="B39" s="53" t="s">
        <v>250</v>
      </c>
      <c r="C39" s="53" t="s">
        <v>303</v>
      </c>
      <c r="D39" s="53" t="s">
        <v>304</v>
      </c>
      <c r="E39" s="53" t="s">
        <v>223</v>
      </c>
      <c r="F39" s="53" t="s">
        <v>182</v>
      </c>
      <c r="G39" s="53" t="s">
        <v>154</v>
      </c>
      <c r="H39" s="53">
        <v>2</v>
      </c>
      <c r="I39" s="53" t="s">
        <v>147</v>
      </c>
      <c r="J39" s="53">
        <v>0</v>
      </c>
      <c r="K39" s="53">
        <v>0</v>
      </c>
      <c r="L39" s="53">
        <v>13</v>
      </c>
      <c r="M39" s="53" t="s">
        <v>305</v>
      </c>
      <c r="N39" s="53">
        <v>12.4</v>
      </c>
      <c r="O39" s="51" t="str">
        <f>TEXT(tblWorkPackages[[#This Row],[Request date serial]]-WEEKDAY(tblWorkPackages[[#This Row],[Request date serial]],3),"yyyy-mm-dd")</f>
        <v>2024-06-24</v>
      </c>
      <c r="P39" s="51">
        <f>ABS(tblWorkPackages[[#This Row],[Actual labor hours]]-tblWorkPackages[[#This Row],[Estimated labor hours]])</f>
        <v>0.6</v>
      </c>
      <c r="Q39" s="51">
        <f>IF(tblWorkPackages[[#This Row],[Actual labor hours]]&gt;tblWorkPackages[[#This Row],[Estimated labor hours]],1,0)</f>
        <v>0</v>
      </c>
      <c r="R39" s="51">
        <f>tblWorkPackages[[#This Row],[Actual labor hours]]-tblWorkPackages[[#This Row],[Estimated labor hours]]</f>
        <v>-0.6</v>
      </c>
      <c r="S39" s="51" t="str">
        <f>IF(tblWorkPackages[[#This Row],[Request date serial]]&lt;ValidationStart,"Train 2024",IF(tblWorkPackages[[#This Row],[Request date serial]]&lt;HoldoutStart,"Validation H1","Holdout H2"))</f>
        <v>Train 2024</v>
      </c>
      <c r="T39" s="51" t="str">
        <f>IF(tblWorkPackages[[#This Row],[Time split]]="Train 2024","",tblWorkPackages[[#This Row],[Estimated labor hours]]+VLOOKUP(tblWorkPackages[[#This Row],[Task type]],'Forecast validation'!$A$14:$E$25,IF(tblWorkPackages[[#This Row],[Time split]]="Validation H1",4,5),FALSE()))</f>
        <v/>
      </c>
      <c r="U39" s="51" t="str">
        <f>IF(tblWorkPackages[[#This Row],[Calibrated forecast hours]]="","",ABS(tblWorkPackages[[#This Row],[Actual labor hours]]-tblWorkPackages[[#This Row],[Calibrated forecast hours]]))</f>
        <v/>
      </c>
      <c r="V39" s="51">
        <f>IF(tblWorkPackages[[#This Row],[Time split]]="Train 2024",tblWorkPackages[[#This Row],[Estimated labor hours]],tblWorkPackages[[#This Row],[Calibrated forecast hours]])</f>
        <v>13</v>
      </c>
      <c r="W39" s="64">
        <f>DATEVALUE(tblWorkPackages[[#This Row],[Request date]])</f>
        <v>45468.0</v>
      </c>
      <c r="X39" s="64">
        <f>DATEVALUE(tblWorkPackages[[#This Row],[Due date]])</f>
        <v>45470.0</v>
      </c>
      <c r="Y39" s="64">
        <f>DATEVALUE(tblWorkPackages[[#This Row],[Completion date]])</f>
        <v>45475.0</v>
      </c>
      <c r="Z39" s="64">
        <f>_xlfn.MINIFS(tblLaborEntries[Work date serial],tblLaborEntries[Work package ID],tblWorkPackages[[#This Row],[Work package ID]])</f>
        <v>45472.0</v>
      </c>
      <c r="AA39" s="64">
        <f>_xlfn.MAXIFS(tblLaborEntries[Work date serial],tblLaborEntries[Work package ID],tblWorkPackages[[#This Row],[Work package ID]])</f>
        <v>45474.0</v>
      </c>
      <c r="AB39" s="65">
        <f>IF(tblWorkPackages[[#This Row],[Completion date serial]]&gt;tblWorkPackages[[#This Row],[Due date serial]],1,0)</f>
        <v>1</v>
      </c>
      <c r="AC39" s="65">
        <f>MAX(0,tblWorkPackages[[#This Row],[Completion date serial]]-tblWorkPackages[[#This Row],[Due date serial]])</f>
        <v>5</v>
      </c>
      <c r="AD39" s="65">
        <f>tblWorkPackages[[#This Row],[First labor date]]-tblWorkPackages[[#This Row],[Request date serial]]</f>
        <v>4</v>
      </c>
      <c r="AE39" s="65">
        <f>tblWorkPackages[[#This Row],[Last labor date]]-tblWorkPackages[[#This Row],[First labor date]]</f>
        <v>2</v>
      </c>
      <c r="AF39" s="65">
        <f>tblWorkPackages[[#This Row],[Completion date serial]]-tblWorkPackages[[#This Row],[Last labor date]]</f>
        <v>1</v>
      </c>
      <c r="AG39" s="65">
        <f>tblWorkPackages[[#This Row],[Completion date serial]]-tblWorkPackages[[#This Row],[Request date serial]]</f>
        <v>7</v>
      </c>
      <c r="AH39" s="65">
        <f>IFERROR(INDEX(tblParts[Delay days],MATCH(tblWorkPackages[[#This Row],[Work package ID]],tblParts[Work package ID],0)),0)</f>
        <v>0</v>
      </c>
      <c r="AI39" s="51" t="str">
        <f>IFERROR(INDEX(tblDisruptions[Event type],MATCH(tblWorkPackages[[#This Row],[Work package ID]],tblDisruptions[Work package ID],0)),"None")</f>
        <v>None</v>
      </c>
      <c r="AJ39" s="51" t="str">
        <f>TEXT(tblWorkPackages[[#This Row],[Due date serial]],"yyyy-mm")</f>
        <v>2024-06</v>
      </c>
    </row>
    <row r="40" spans="1:36" ht="15" x14ac:dyDescent="0.25">
      <c r="A40" s="53" t="s">
        <v>306</v>
      </c>
      <c r="B40" s="53" t="s">
        <v>168</v>
      </c>
      <c r="C40" s="53" t="s">
        <v>307</v>
      </c>
      <c r="D40" s="53" t="s">
        <v>308</v>
      </c>
      <c r="E40" s="53" t="s">
        <v>160</v>
      </c>
      <c r="F40" s="53" t="s">
        <v>128</v>
      </c>
      <c r="G40" s="53" t="s">
        <v>138</v>
      </c>
      <c r="H40" s="53">
        <v>2</v>
      </c>
      <c r="I40" s="53" t="s">
        <v>130</v>
      </c>
      <c r="J40" s="53">
        <v>0</v>
      </c>
      <c r="K40" s="53">
        <v>1</v>
      </c>
      <c r="L40" s="53">
        <v>4.2</v>
      </c>
      <c r="M40" s="53" t="s">
        <v>309</v>
      </c>
      <c r="N40" s="53">
        <v>4.7</v>
      </c>
      <c r="O40" s="51" t="str">
        <f>TEXT(tblWorkPackages[[#This Row],[Request date serial]]-WEEKDAY(tblWorkPackages[[#This Row],[Request date serial]],3),"yyyy-mm-dd")</f>
        <v>2025-11-03</v>
      </c>
      <c r="P40" s="51">
        <f>ABS(tblWorkPackages[[#This Row],[Actual labor hours]]-tblWorkPackages[[#This Row],[Estimated labor hours]])</f>
        <v>0.5</v>
      </c>
      <c r="Q40" s="51">
        <f>IF(tblWorkPackages[[#This Row],[Actual labor hours]]&gt;tblWorkPackages[[#This Row],[Estimated labor hours]],1,0)</f>
        <v>1</v>
      </c>
      <c r="R40" s="51">
        <f>tblWorkPackages[[#This Row],[Actual labor hours]]-tblWorkPackages[[#This Row],[Estimated labor hours]]</f>
        <v>0.5</v>
      </c>
      <c r="S40" s="51" t="str">
        <f>IF(tblWorkPackages[[#This Row],[Request date serial]]&lt;ValidationStart,"Train 2024",IF(tblWorkPackages[[#This Row],[Request date serial]]&lt;HoldoutStart,"Validation H1","Holdout H2"))</f>
        <v>Holdout H2</v>
      </c>
      <c r="T40" s="51">
        <f>IF(tblWorkPackages[[#This Row],[Time split]]="Train 2024","",tblWorkPackages[[#This Row],[Estimated labor hours]]+VLOOKUP(tblWorkPackages[[#This Row],[Task type]],'Forecast validation'!$A$14:$E$25,IF(tblWorkPackages[[#This Row],[Time split]]="Validation H1",4,5),FALSE()))</f>
        <v>4.63739837398374</v>
      </c>
      <c r="U40" s="51">
        <f>IF(tblWorkPackages[[#This Row],[Calibrated forecast hours]]="","",ABS(tblWorkPackages[[#This Row],[Actual labor hours]]-tblWorkPackages[[#This Row],[Calibrated forecast hours]]))</f>
        <v>0.0626016260162601</v>
      </c>
      <c r="V40" s="51">
        <f>IF(tblWorkPackages[[#This Row],[Time split]]="Train 2024",tblWorkPackages[[#This Row],[Estimated labor hours]],tblWorkPackages[[#This Row],[Calibrated forecast hours]])</f>
        <v>4.63739837398374</v>
      </c>
      <c r="W40" s="64">
        <f>DATEVALUE(tblWorkPackages[[#This Row],[Request date]])</f>
        <v>45964.0</v>
      </c>
      <c r="X40" s="64">
        <f>DATEVALUE(tblWorkPackages[[#This Row],[Due date]])</f>
        <v>45977.0</v>
      </c>
      <c r="Y40" s="64">
        <f>DATEVALUE(tblWorkPackages[[#This Row],[Completion date]])</f>
        <v>45967.0</v>
      </c>
      <c r="Z40" s="64">
        <f>_xlfn.MINIFS(tblLaborEntries[Work date serial],tblLaborEntries[Work package ID],tblWorkPackages[[#This Row],[Work package ID]])</f>
        <v>45965.0</v>
      </c>
      <c r="AA40" s="64">
        <f>_xlfn.MAXIFS(tblLaborEntries[Work date serial],tblLaborEntries[Work package ID],tblWorkPackages[[#This Row],[Work package ID]])</f>
        <v>45965.0</v>
      </c>
      <c r="AB40" s="65">
        <f>IF(tblWorkPackages[[#This Row],[Completion date serial]]&gt;tblWorkPackages[[#This Row],[Due date serial]],1,0)</f>
        <v>0</v>
      </c>
      <c r="AC40" s="65">
        <f>MAX(0,tblWorkPackages[[#This Row],[Completion date serial]]-tblWorkPackages[[#This Row],[Due date serial]])</f>
        <v>0</v>
      </c>
      <c r="AD40" s="65">
        <f>tblWorkPackages[[#This Row],[First labor date]]-tblWorkPackages[[#This Row],[Request date serial]]</f>
        <v>1</v>
      </c>
      <c r="AE40" s="65">
        <f>tblWorkPackages[[#This Row],[Last labor date]]-tblWorkPackages[[#This Row],[First labor date]]</f>
        <v>0</v>
      </c>
      <c r="AF40" s="65">
        <f>tblWorkPackages[[#This Row],[Completion date serial]]-tblWorkPackages[[#This Row],[Last labor date]]</f>
        <v>2</v>
      </c>
      <c r="AG40" s="65">
        <f>tblWorkPackages[[#This Row],[Completion date serial]]-tblWorkPackages[[#This Row],[Request date serial]]</f>
        <v>3</v>
      </c>
      <c r="AH40" s="65">
        <f>IFERROR(INDEX(tblParts[Delay days],MATCH(tblWorkPackages[[#This Row],[Work package ID]],tblParts[Work package ID],0)),0)</f>
        <v>0</v>
      </c>
      <c r="AI40" s="51" t="str">
        <f>IFERROR(INDEX(tblDisruptions[Event type],MATCH(tblWorkPackages[[#This Row],[Work package ID]],tblDisruptions[Work package ID],0)),"None")</f>
        <v>None</v>
      </c>
      <c r="AJ40" s="51" t="str">
        <f>TEXT(tblWorkPackages[[#This Row],[Due date serial]],"yyyy-mm")</f>
        <v>2025-11</v>
      </c>
    </row>
    <row r="41" spans="1:36" ht="15" x14ac:dyDescent="0.25">
      <c r="A41" s="53" t="s">
        <v>310</v>
      </c>
      <c r="B41" s="53" t="s">
        <v>150</v>
      </c>
      <c r="C41" s="53" t="s">
        <v>311</v>
      </c>
      <c r="D41" s="53" t="s">
        <v>312</v>
      </c>
      <c r="E41" s="53" t="s">
        <v>223</v>
      </c>
      <c r="F41" s="53" t="s">
        <v>182</v>
      </c>
      <c r="G41" s="53" t="s">
        <v>154</v>
      </c>
      <c r="H41" s="53">
        <v>3</v>
      </c>
      <c r="I41" s="53" t="s">
        <v>176</v>
      </c>
      <c r="J41" s="53">
        <v>0</v>
      </c>
      <c r="K41" s="53">
        <v>0</v>
      </c>
      <c r="L41" s="53">
        <v>16.7</v>
      </c>
      <c r="M41" s="53" t="s">
        <v>313</v>
      </c>
      <c r="N41" s="53">
        <v>21.3</v>
      </c>
      <c r="O41" s="51" t="str">
        <f>TEXT(tblWorkPackages[[#This Row],[Request date serial]]-WEEKDAY(tblWorkPackages[[#This Row],[Request date serial]],3),"yyyy-mm-dd")</f>
        <v>2025-08-11</v>
      </c>
      <c r="P41" s="51">
        <f>ABS(tblWorkPackages[[#This Row],[Actual labor hours]]-tblWorkPackages[[#This Row],[Estimated labor hours]])</f>
        <v>4.6</v>
      </c>
      <c r="Q41" s="51">
        <f>IF(tblWorkPackages[[#This Row],[Actual labor hours]]&gt;tblWorkPackages[[#This Row],[Estimated labor hours]],1,0)</f>
        <v>1</v>
      </c>
      <c r="R41" s="51">
        <f>tblWorkPackages[[#This Row],[Actual labor hours]]-tblWorkPackages[[#This Row],[Estimated labor hours]]</f>
        <v>4.6</v>
      </c>
      <c r="S41" s="51" t="str">
        <f>IF(tblWorkPackages[[#This Row],[Request date serial]]&lt;ValidationStart,"Train 2024",IF(tblWorkPackages[[#This Row],[Request date serial]]&lt;HoldoutStart,"Validation H1","Holdout H2"))</f>
        <v>Holdout H2</v>
      </c>
      <c r="T41" s="51">
        <f>IF(tblWorkPackages[[#This Row],[Time split]]="Train 2024","",tblWorkPackages[[#This Row],[Estimated labor hours]]+VLOOKUP(tblWorkPackages[[#This Row],[Task type]],'Forecast validation'!$A$14:$E$25,IF(tblWorkPackages[[#This Row],[Time split]]="Validation H1",4,5),FALSE()))</f>
        <v>17.6246575342466</v>
      </c>
      <c r="U41" s="51">
        <f>IF(tblWorkPackages[[#This Row],[Calibrated forecast hours]]="","",ABS(tblWorkPackages[[#This Row],[Actual labor hours]]-tblWorkPackages[[#This Row],[Calibrated forecast hours]]))</f>
        <v>3.67534246575343</v>
      </c>
      <c r="V41" s="51">
        <f>IF(tblWorkPackages[[#This Row],[Time split]]="Train 2024",tblWorkPackages[[#This Row],[Estimated labor hours]],tblWorkPackages[[#This Row],[Calibrated forecast hours]])</f>
        <v>17.6246575342466</v>
      </c>
      <c r="W41" s="64">
        <f>DATEVALUE(tblWorkPackages[[#This Row],[Request date]])</f>
        <v>45881.0</v>
      </c>
      <c r="X41" s="64">
        <f>DATEVALUE(tblWorkPackages[[#This Row],[Due date]])</f>
        <v>45887.0</v>
      </c>
      <c r="Y41" s="64">
        <f>DATEVALUE(tblWorkPackages[[#This Row],[Completion date]])</f>
        <v>45899.0</v>
      </c>
      <c r="Z41" s="64">
        <f>_xlfn.MINIFS(tblLaborEntries[Work date serial],tblLaborEntries[Work package ID],tblWorkPackages[[#This Row],[Work package ID]])</f>
        <v>45894.0</v>
      </c>
      <c r="AA41" s="64">
        <f>_xlfn.MAXIFS(tblLaborEntries[Work date serial],tblLaborEntries[Work package ID],tblWorkPackages[[#This Row],[Work package ID]])</f>
        <v>45896.0</v>
      </c>
      <c r="AB41" s="65">
        <f>IF(tblWorkPackages[[#This Row],[Completion date serial]]&gt;tblWorkPackages[[#This Row],[Due date serial]],1,0)</f>
        <v>1</v>
      </c>
      <c r="AC41" s="65">
        <f>MAX(0,tblWorkPackages[[#This Row],[Completion date serial]]-tblWorkPackages[[#This Row],[Due date serial]])</f>
        <v>12</v>
      </c>
      <c r="AD41" s="65">
        <f>tblWorkPackages[[#This Row],[First labor date]]-tblWorkPackages[[#This Row],[Request date serial]]</f>
        <v>13</v>
      </c>
      <c r="AE41" s="65">
        <f>tblWorkPackages[[#This Row],[Last labor date]]-tblWorkPackages[[#This Row],[First labor date]]</f>
        <v>2</v>
      </c>
      <c r="AF41" s="65">
        <f>tblWorkPackages[[#This Row],[Completion date serial]]-tblWorkPackages[[#This Row],[Last labor date]]</f>
        <v>3</v>
      </c>
      <c r="AG41" s="65">
        <f>tblWorkPackages[[#This Row],[Completion date serial]]-tblWorkPackages[[#This Row],[Request date serial]]</f>
        <v>18</v>
      </c>
      <c r="AH41" s="65">
        <f>IFERROR(INDEX(tblParts[Delay days],MATCH(tblWorkPackages[[#This Row],[Work package ID]],tblParts[Work package ID],0)),0)</f>
        <v>0</v>
      </c>
      <c r="AI41" s="51" t="str">
        <f>IFERROR(INDEX(tblDisruptions[Event type],MATCH(tblWorkPackages[[#This Row],[Work package ID]],tblDisruptions[Work package ID],0)),"None")</f>
        <v>None</v>
      </c>
      <c r="AJ41" s="51" t="str">
        <f>TEXT(tblWorkPackages[[#This Row],[Due date serial]],"yyyy-mm")</f>
        <v>2025-08</v>
      </c>
    </row>
    <row r="42" spans="1:36" ht="15" x14ac:dyDescent="0.25">
      <c r="A42" s="53" t="s">
        <v>314</v>
      </c>
      <c r="B42" s="53" t="s">
        <v>173</v>
      </c>
      <c r="C42" s="53" t="s">
        <v>315</v>
      </c>
      <c r="D42" s="53" t="s">
        <v>316</v>
      </c>
      <c r="E42" s="53" t="s">
        <v>160</v>
      </c>
      <c r="F42" s="53" t="s">
        <v>128</v>
      </c>
      <c r="G42" s="53" t="s">
        <v>138</v>
      </c>
      <c r="H42" s="53">
        <v>4</v>
      </c>
      <c r="I42" s="53" t="s">
        <v>130</v>
      </c>
      <c r="J42" s="53">
        <v>0</v>
      </c>
      <c r="K42" s="53">
        <v>1</v>
      </c>
      <c r="L42" s="53">
        <v>9</v>
      </c>
      <c r="M42" s="53" t="s">
        <v>317</v>
      </c>
      <c r="N42" s="53">
        <v>9.4</v>
      </c>
      <c r="O42" s="51" t="str">
        <f>TEXT(tblWorkPackages[[#This Row],[Request date serial]]-WEEKDAY(tblWorkPackages[[#This Row],[Request date serial]],3),"yyyy-mm-dd")</f>
        <v>2024-04-08</v>
      </c>
      <c r="P42" s="51">
        <f>ABS(tblWorkPackages[[#This Row],[Actual labor hours]]-tblWorkPackages[[#This Row],[Estimated labor hours]])</f>
        <v>0.4</v>
      </c>
      <c r="Q42" s="51">
        <f>IF(tblWorkPackages[[#This Row],[Actual labor hours]]&gt;tblWorkPackages[[#This Row],[Estimated labor hours]],1,0)</f>
        <v>1</v>
      </c>
      <c r="R42" s="51">
        <f>tblWorkPackages[[#This Row],[Actual labor hours]]-tblWorkPackages[[#This Row],[Estimated labor hours]]</f>
        <v>0.4</v>
      </c>
      <c r="S42" s="51" t="str">
        <f>IF(tblWorkPackages[[#This Row],[Request date serial]]&lt;ValidationStart,"Train 2024",IF(tblWorkPackages[[#This Row],[Request date serial]]&lt;HoldoutStart,"Validation H1","Holdout H2"))</f>
        <v>Train 2024</v>
      </c>
      <c r="T42" s="51" t="str">
        <f>IF(tblWorkPackages[[#This Row],[Time split]]="Train 2024","",tblWorkPackages[[#This Row],[Estimated labor hours]]+VLOOKUP(tblWorkPackages[[#This Row],[Task type]],'Forecast validation'!$A$14:$E$25,IF(tblWorkPackages[[#This Row],[Time split]]="Validation H1",4,5),FALSE()))</f>
        <v/>
      </c>
      <c r="U42" s="51" t="str">
        <f>IF(tblWorkPackages[[#This Row],[Calibrated forecast hours]]="","",ABS(tblWorkPackages[[#This Row],[Actual labor hours]]-tblWorkPackages[[#This Row],[Calibrated forecast hours]]))</f>
        <v/>
      </c>
      <c r="V42" s="51">
        <f>IF(tblWorkPackages[[#This Row],[Time split]]="Train 2024",tblWorkPackages[[#This Row],[Estimated labor hours]],tblWorkPackages[[#This Row],[Calibrated forecast hours]])</f>
        <v>9</v>
      </c>
      <c r="W42" s="64">
        <f>DATEVALUE(tblWorkPackages[[#This Row],[Request date]])</f>
        <v>45390.0</v>
      </c>
      <c r="X42" s="64">
        <f>DATEVALUE(tblWorkPackages[[#This Row],[Due date]])</f>
        <v>45403.0</v>
      </c>
      <c r="Y42" s="64">
        <f>DATEVALUE(tblWorkPackages[[#This Row],[Completion date]])</f>
        <v>45394.0</v>
      </c>
      <c r="Z42" s="64">
        <f>_xlfn.MINIFS(tblLaborEntries[Work date serial],tblLaborEntries[Work package ID],tblWorkPackages[[#This Row],[Work package ID]])</f>
        <v>45393.0</v>
      </c>
      <c r="AA42" s="64">
        <f>_xlfn.MAXIFS(tblLaborEntries[Work date serial],tblLaborEntries[Work package ID],tblWorkPackages[[#This Row],[Work package ID]])</f>
        <v>45394.0</v>
      </c>
      <c r="AB42" s="65">
        <f>IF(tblWorkPackages[[#This Row],[Completion date serial]]&gt;tblWorkPackages[[#This Row],[Due date serial]],1,0)</f>
        <v>0</v>
      </c>
      <c r="AC42" s="65">
        <f>MAX(0,tblWorkPackages[[#This Row],[Completion date serial]]-tblWorkPackages[[#This Row],[Due date serial]])</f>
        <v>0</v>
      </c>
      <c r="AD42" s="65">
        <f>tblWorkPackages[[#This Row],[First labor date]]-tblWorkPackages[[#This Row],[Request date serial]]</f>
        <v>3</v>
      </c>
      <c r="AE42" s="65">
        <f>tblWorkPackages[[#This Row],[Last labor date]]-tblWorkPackages[[#This Row],[First labor date]]</f>
        <v>1</v>
      </c>
      <c r="AF42" s="65">
        <f>tblWorkPackages[[#This Row],[Completion date serial]]-tblWorkPackages[[#This Row],[Last labor date]]</f>
        <v>0</v>
      </c>
      <c r="AG42" s="65">
        <f>tblWorkPackages[[#This Row],[Completion date serial]]-tblWorkPackages[[#This Row],[Request date serial]]</f>
        <v>4</v>
      </c>
      <c r="AH42" s="65">
        <f>IFERROR(INDEX(tblParts[Delay days],MATCH(tblWorkPackages[[#This Row],[Work package ID]],tblParts[Work package ID],0)),0)</f>
        <v>0</v>
      </c>
      <c r="AI42" s="51" t="str">
        <f>IFERROR(INDEX(tblDisruptions[Event type],MATCH(tblWorkPackages[[#This Row],[Work package ID]],tblDisruptions[Work package ID],0)),"None")</f>
        <v>None</v>
      </c>
      <c r="AJ42" s="51" t="str">
        <f>TEXT(tblWorkPackages[[#This Row],[Due date serial]],"yyyy-mm")</f>
        <v>2024-04</v>
      </c>
    </row>
    <row r="43" spans="1:36" ht="15" x14ac:dyDescent="0.25">
      <c r="A43" s="53" t="s">
        <v>318</v>
      </c>
      <c r="B43" s="53" t="s">
        <v>287</v>
      </c>
      <c r="C43" s="53" t="s">
        <v>319</v>
      </c>
      <c r="D43" s="53" t="s">
        <v>320</v>
      </c>
      <c r="E43" s="53" t="s">
        <v>200</v>
      </c>
      <c r="F43" s="53" t="s">
        <v>128</v>
      </c>
      <c r="G43" s="53" t="s">
        <v>129</v>
      </c>
      <c r="H43" s="53">
        <v>3</v>
      </c>
      <c r="I43" s="53" t="s">
        <v>130</v>
      </c>
      <c r="J43" s="53">
        <v>0</v>
      </c>
      <c r="K43" s="53">
        <v>0</v>
      </c>
      <c r="L43" s="53">
        <v>4.5</v>
      </c>
      <c r="M43" s="53" t="s">
        <v>321</v>
      </c>
      <c r="N43" s="53">
        <v>5.7</v>
      </c>
      <c r="O43" s="51" t="str">
        <f>TEXT(tblWorkPackages[[#This Row],[Request date serial]]-WEEKDAY(tblWorkPackages[[#This Row],[Request date serial]],3),"yyyy-mm-dd")</f>
        <v>2024-02-19</v>
      </c>
      <c r="P43" s="51">
        <f>ABS(tblWorkPackages[[#This Row],[Actual labor hours]]-tblWorkPackages[[#This Row],[Estimated labor hours]])</f>
        <v>1.2</v>
      </c>
      <c r="Q43" s="51">
        <f>IF(tblWorkPackages[[#This Row],[Actual labor hours]]&gt;tblWorkPackages[[#This Row],[Estimated labor hours]],1,0)</f>
        <v>1</v>
      </c>
      <c r="R43" s="51">
        <f>tblWorkPackages[[#This Row],[Actual labor hours]]-tblWorkPackages[[#This Row],[Estimated labor hours]]</f>
        <v>1.2</v>
      </c>
      <c r="S43" s="51" t="str">
        <f>IF(tblWorkPackages[[#This Row],[Request date serial]]&lt;ValidationStart,"Train 2024",IF(tblWorkPackages[[#This Row],[Request date serial]]&lt;HoldoutStart,"Validation H1","Holdout H2"))</f>
        <v>Train 2024</v>
      </c>
      <c r="T43" s="51" t="str">
        <f>IF(tblWorkPackages[[#This Row],[Time split]]="Train 2024","",tblWorkPackages[[#This Row],[Estimated labor hours]]+VLOOKUP(tblWorkPackages[[#This Row],[Task type]],'Forecast validation'!$A$14:$E$25,IF(tblWorkPackages[[#This Row],[Time split]]="Validation H1",4,5),FALSE()))</f>
        <v/>
      </c>
      <c r="U43" s="51" t="str">
        <f>IF(tblWorkPackages[[#This Row],[Calibrated forecast hours]]="","",ABS(tblWorkPackages[[#This Row],[Actual labor hours]]-tblWorkPackages[[#This Row],[Calibrated forecast hours]]))</f>
        <v/>
      </c>
      <c r="V43" s="51">
        <f>IF(tblWorkPackages[[#This Row],[Time split]]="Train 2024",tblWorkPackages[[#This Row],[Estimated labor hours]],tblWorkPackages[[#This Row],[Calibrated forecast hours]])</f>
        <v>4.5</v>
      </c>
      <c r="W43" s="64">
        <f>DATEVALUE(tblWorkPackages[[#This Row],[Request date]])</f>
        <v>45347.0</v>
      </c>
      <c r="X43" s="64">
        <f>DATEVALUE(tblWorkPackages[[#This Row],[Due date]])</f>
        <v>45360.0</v>
      </c>
      <c r="Y43" s="64">
        <f>DATEVALUE(tblWorkPackages[[#This Row],[Completion date]])</f>
        <v>45388.0</v>
      </c>
      <c r="Z43" s="64">
        <f>_xlfn.MINIFS(tblLaborEntries[Work date serial],tblLaborEntries[Work package ID],tblWorkPackages[[#This Row],[Work package ID]])</f>
        <v>45387.0</v>
      </c>
      <c r="AA43" s="64">
        <f>_xlfn.MAXIFS(tblLaborEntries[Work date serial],tblLaborEntries[Work package ID],tblWorkPackages[[#This Row],[Work package ID]])</f>
        <v>45387.0</v>
      </c>
      <c r="AB43" s="65">
        <f>IF(tblWorkPackages[[#This Row],[Completion date serial]]&gt;tblWorkPackages[[#This Row],[Due date serial]],1,0)</f>
        <v>1</v>
      </c>
      <c r="AC43" s="65">
        <f>MAX(0,tblWorkPackages[[#This Row],[Completion date serial]]-tblWorkPackages[[#This Row],[Due date serial]])</f>
        <v>28</v>
      </c>
      <c r="AD43" s="65">
        <f>tblWorkPackages[[#This Row],[First labor date]]-tblWorkPackages[[#This Row],[Request date serial]]</f>
        <v>40</v>
      </c>
      <c r="AE43" s="65">
        <f>tblWorkPackages[[#This Row],[Last labor date]]-tblWorkPackages[[#This Row],[First labor date]]</f>
        <v>0</v>
      </c>
      <c r="AF43" s="65">
        <f>tblWorkPackages[[#This Row],[Completion date serial]]-tblWorkPackages[[#This Row],[Last labor date]]</f>
        <v>1</v>
      </c>
      <c r="AG43" s="65">
        <f>tblWorkPackages[[#This Row],[Completion date serial]]-tblWorkPackages[[#This Row],[Request date serial]]</f>
        <v>41</v>
      </c>
      <c r="AH43" s="65">
        <f>IFERROR(INDEX(tblParts[Delay days],MATCH(tblWorkPackages[[#This Row],[Work package ID]],tblParts[Work package ID],0)),0)</f>
        <v>0</v>
      </c>
      <c r="AI43" s="51" t="str">
        <f>IFERROR(INDEX(tblDisruptions[Event type],MATCH(tblWorkPackages[[#This Row],[Work package ID]],tblDisruptions[Work package ID],0)),"None")</f>
        <v>None</v>
      </c>
      <c r="AJ43" s="51" t="str">
        <f>TEXT(tblWorkPackages[[#This Row],[Due date serial]],"yyyy-mm")</f>
        <v>2024-03</v>
      </c>
    </row>
    <row r="44" spans="1:36" ht="15" x14ac:dyDescent="0.25">
      <c r="A44" s="53" t="s">
        <v>322</v>
      </c>
      <c r="B44" s="53" t="s">
        <v>141</v>
      </c>
      <c r="C44" s="53" t="s">
        <v>174</v>
      </c>
      <c r="D44" s="53" t="s">
        <v>175</v>
      </c>
      <c r="E44" s="53" t="s">
        <v>127</v>
      </c>
      <c r="F44" s="53" t="s">
        <v>128</v>
      </c>
      <c r="G44" s="53" t="s">
        <v>129</v>
      </c>
      <c r="H44" s="53">
        <v>4</v>
      </c>
      <c r="I44" s="53" t="s">
        <v>176</v>
      </c>
      <c r="J44" s="53">
        <v>0</v>
      </c>
      <c r="K44" s="53">
        <v>0</v>
      </c>
      <c r="L44" s="53">
        <v>13.8</v>
      </c>
      <c r="M44" s="53" t="s">
        <v>323</v>
      </c>
      <c r="N44" s="53">
        <v>12.1</v>
      </c>
      <c r="O44" s="51" t="str">
        <f>TEXT(tblWorkPackages[[#This Row],[Request date serial]]-WEEKDAY(tblWorkPackages[[#This Row],[Request date serial]],3),"yyyy-mm-dd")</f>
        <v>2025-06-23</v>
      </c>
      <c r="P44" s="51">
        <f>ABS(tblWorkPackages[[#This Row],[Actual labor hours]]-tblWorkPackages[[#This Row],[Estimated labor hours]])</f>
        <v>1.7</v>
      </c>
      <c r="Q44" s="51">
        <f>IF(tblWorkPackages[[#This Row],[Actual labor hours]]&gt;tblWorkPackages[[#This Row],[Estimated labor hours]],1,0)</f>
        <v>0</v>
      </c>
      <c r="R44" s="51">
        <f>tblWorkPackages[[#This Row],[Actual labor hours]]-tblWorkPackages[[#This Row],[Estimated labor hours]]</f>
        <v>-1.7</v>
      </c>
      <c r="S44" s="51" t="str">
        <f>IF(tblWorkPackages[[#This Row],[Request date serial]]&lt;ValidationStart,"Train 2024",IF(tblWorkPackages[[#This Row],[Request date serial]]&lt;HoldoutStart,"Validation H1","Holdout H2"))</f>
        <v>Validation H1</v>
      </c>
      <c r="T44" s="51">
        <f>IF(tblWorkPackages[[#This Row],[Time split]]="Train 2024","",tblWorkPackages[[#This Row],[Estimated labor hours]]+VLOOKUP(tblWorkPackages[[#This Row],[Task type]],'Forecast validation'!$A$14:$E$25,IF(tblWorkPackages[[#This Row],[Time split]]="Validation H1",4,5),FALSE()))</f>
        <v>14.275641025641</v>
      </c>
      <c r="U44" s="51">
        <f>IF(tblWorkPackages[[#This Row],[Calibrated forecast hours]]="","",ABS(tblWorkPackages[[#This Row],[Actual labor hours]]-tblWorkPackages[[#This Row],[Calibrated forecast hours]]))</f>
        <v>2.17564102564103</v>
      </c>
      <c r="V44" s="51">
        <f>IF(tblWorkPackages[[#This Row],[Time split]]="Train 2024",tblWorkPackages[[#This Row],[Estimated labor hours]],tblWorkPackages[[#This Row],[Calibrated forecast hours]])</f>
        <v>14.275641025641</v>
      </c>
      <c r="W44" s="64">
        <f>DATEVALUE(tblWorkPackages[[#This Row],[Request date]])</f>
        <v>45836.0</v>
      </c>
      <c r="X44" s="64">
        <f>DATEVALUE(tblWorkPackages[[#This Row],[Due date]])</f>
        <v>45842.0</v>
      </c>
      <c r="Y44" s="64">
        <f>DATEVALUE(tblWorkPackages[[#This Row],[Completion date]])</f>
        <v>45845.0</v>
      </c>
      <c r="Z44" s="64">
        <f>_xlfn.MINIFS(tblLaborEntries[Work date serial],tblLaborEntries[Work package ID],tblWorkPackages[[#This Row],[Work package ID]])</f>
        <v>45843.0</v>
      </c>
      <c r="AA44" s="64">
        <f>_xlfn.MAXIFS(tblLaborEntries[Work date serial],tblLaborEntries[Work package ID],tblWorkPackages[[#This Row],[Work package ID]])</f>
        <v>45843.0</v>
      </c>
      <c r="AB44" s="65">
        <f>IF(tblWorkPackages[[#This Row],[Completion date serial]]&gt;tblWorkPackages[[#This Row],[Due date serial]],1,0)</f>
        <v>1</v>
      </c>
      <c r="AC44" s="65">
        <f>MAX(0,tblWorkPackages[[#This Row],[Completion date serial]]-tblWorkPackages[[#This Row],[Due date serial]])</f>
        <v>3</v>
      </c>
      <c r="AD44" s="65">
        <f>tblWorkPackages[[#This Row],[First labor date]]-tblWorkPackages[[#This Row],[Request date serial]]</f>
        <v>7</v>
      </c>
      <c r="AE44" s="65">
        <f>tblWorkPackages[[#This Row],[Last labor date]]-tblWorkPackages[[#This Row],[First labor date]]</f>
        <v>0</v>
      </c>
      <c r="AF44" s="65">
        <f>tblWorkPackages[[#This Row],[Completion date serial]]-tblWorkPackages[[#This Row],[Last labor date]]</f>
        <v>2</v>
      </c>
      <c r="AG44" s="65">
        <f>tblWorkPackages[[#This Row],[Completion date serial]]-tblWorkPackages[[#This Row],[Request date serial]]</f>
        <v>9</v>
      </c>
      <c r="AH44" s="65">
        <f>IFERROR(INDEX(tblParts[Delay days],MATCH(tblWorkPackages[[#This Row],[Work package ID]],tblParts[Work package ID],0)),0)</f>
        <v>0</v>
      </c>
      <c r="AI44" s="51" t="str">
        <f>IFERROR(INDEX(tblDisruptions[Event type],MATCH(tblWorkPackages[[#This Row],[Work package ID]],tblDisruptions[Work package ID],0)),"None")</f>
        <v>None</v>
      </c>
      <c r="AJ44" s="51" t="str">
        <f>TEXT(tblWorkPackages[[#This Row],[Due date serial]],"yyyy-mm")</f>
        <v>2025-07</v>
      </c>
    </row>
    <row r="45" spans="1:36" ht="15" x14ac:dyDescent="0.25">
      <c r="A45" s="53" t="s">
        <v>324</v>
      </c>
      <c r="B45" s="53" t="s">
        <v>163</v>
      </c>
      <c r="C45" s="53" t="s">
        <v>325</v>
      </c>
      <c r="D45" s="53" t="s">
        <v>326</v>
      </c>
      <c r="E45" s="53" t="s">
        <v>127</v>
      </c>
      <c r="F45" s="53" t="s">
        <v>128</v>
      </c>
      <c r="G45" s="53" t="s">
        <v>129</v>
      </c>
      <c r="H45" s="53">
        <v>1</v>
      </c>
      <c r="I45" s="53" t="s">
        <v>130</v>
      </c>
      <c r="J45" s="53">
        <v>1</v>
      </c>
      <c r="K45" s="53">
        <v>0</v>
      </c>
      <c r="L45" s="53">
        <v>4</v>
      </c>
      <c r="M45" s="53" t="s">
        <v>309</v>
      </c>
      <c r="N45" s="53">
        <v>4.0999999999999996</v>
      </c>
      <c r="O45" s="51" t="str">
        <f>TEXT(tblWorkPackages[[#This Row],[Request date serial]]-WEEKDAY(tblWorkPackages[[#This Row],[Request date serial]],3),"yyyy-mm-dd")</f>
        <v>2025-10-27</v>
      </c>
      <c r="P45" s="51">
        <f>ABS(tblWorkPackages[[#This Row],[Actual labor hours]]-tblWorkPackages[[#This Row],[Estimated labor hours]])</f>
        <v>0.0999999999999996</v>
      </c>
      <c r="Q45" s="51">
        <f>IF(tblWorkPackages[[#This Row],[Actual labor hours]]&gt;tblWorkPackages[[#This Row],[Estimated labor hours]],1,0)</f>
        <v>1</v>
      </c>
      <c r="R45" s="51">
        <f>tblWorkPackages[[#This Row],[Actual labor hours]]-tblWorkPackages[[#This Row],[Estimated labor hours]]</f>
        <v>0.0999999999999996</v>
      </c>
      <c r="S45" s="51" t="str">
        <f>IF(tblWorkPackages[[#This Row],[Request date serial]]&lt;ValidationStart,"Train 2024",IF(tblWorkPackages[[#This Row],[Request date serial]]&lt;HoldoutStart,"Validation H1","Holdout H2"))</f>
        <v>Holdout H2</v>
      </c>
      <c r="T45" s="51">
        <f>IF(tblWorkPackages[[#This Row],[Time split]]="Train 2024","",tblWorkPackages[[#This Row],[Estimated labor hours]]+VLOOKUP(tblWorkPackages[[#This Row],[Task type]],'Forecast validation'!$A$14:$E$25,IF(tblWorkPackages[[#This Row],[Time split]]="Validation H1",4,5),FALSE()))</f>
        <v>4.54341085271318</v>
      </c>
      <c r="U45" s="51">
        <f>IF(tblWorkPackages[[#This Row],[Calibrated forecast hours]]="","",ABS(tblWorkPackages[[#This Row],[Actual labor hours]]-tblWorkPackages[[#This Row],[Calibrated forecast hours]]))</f>
        <v>0.443410852713178</v>
      </c>
      <c r="V45" s="51">
        <f>IF(tblWorkPackages[[#This Row],[Time split]]="Train 2024",tblWorkPackages[[#This Row],[Estimated labor hours]],tblWorkPackages[[#This Row],[Calibrated forecast hours]])</f>
        <v>4.54341085271318</v>
      </c>
      <c r="W45" s="64">
        <f>DATEVALUE(tblWorkPackages[[#This Row],[Request date]])</f>
        <v>45962.0</v>
      </c>
      <c r="X45" s="64">
        <f>DATEVALUE(tblWorkPackages[[#This Row],[Due date]])</f>
        <v>45975.0</v>
      </c>
      <c r="Y45" s="64">
        <f>DATEVALUE(tblWorkPackages[[#This Row],[Completion date]])</f>
        <v>45967.0</v>
      </c>
      <c r="Z45" s="64">
        <f>_xlfn.MINIFS(tblLaborEntries[Work date serial],tblLaborEntries[Work package ID],tblWorkPackages[[#This Row],[Work package ID]])</f>
        <v>45964.0</v>
      </c>
      <c r="AA45" s="64">
        <f>_xlfn.MAXIFS(tblLaborEntries[Work date serial],tblLaborEntries[Work package ID],tblWorkPackages[[#This Row],[Work package ID]])</f>
        <v>45964.0</v>
      </c>
      <c r="AB45" s="65">
        <f>IF(tblWorkPackages[[#This Row],[Completion date serial]]&gt;tblWorkPackages[[#This Row],[Due date serial]],1,0)</f>
        <v>0</v>
      </c>
      <c r="AC45" s="65">
        <f>MAX(0,tblWorkPackages[[#This Row],[Completion date serial]]-tblWorkPackages[[#This Row],[Due date serial]])</f>
        <v>0</v>
      </c>
      <c r="AD45" s="65">
        <f>tblWorkPackages[[#This Row],[First labor date]]-tblWorkPackages[[#This Row],[Request date serial]]</f>
        <v>2</v>
      </c>
      <c r="AE45" s="65">
        <f>tblWorkPackages[[#This Row],[Last labor date]]-tblWorkPackages[[#This Row],[First labor date]]</f>
        <v>0</v>
      </c>
      <c r="AF45" s="65">
        <f>tblWorkPackages[[#This Row],[Completion date serial]]-tblWorkPackages[[#This Row],[Last labor date]]</f>
        <v>3</v>
      </c>
      <c r="AG45" s="65">
        <f>tblWorkPackages[[#This Row],[Completion date serial]]-tblWorkPackages[[#This Row],[Request date serial]]</f>
        <v>5</v>
      </c>
      <c r="AH45" s="65">
        <f>IFERROR(INDEX(tblParts[Delay days],MATCH(tblWorkPackages[[#This Row],[Work package ID]],tblParts[Work package ID],0)),0)</f>
        <v>0</v>
      </c>
      <c r="AI45" s="51" t="str">
        <f>IFERROR(INDEX(tblDisruptions[Event type],MATCH(tblWorkPackages[[#This Row],[Work package ID]],tblDisruptions[Work package ID],0)),"None")</f>
        <v>None</v>
      </c>
      <c r="AJ45" s="51" t="str">
        <f>TEXT(tblWorkPackages[[#This Row],[Due date serial]],"yyyy-mm")</f>
        <v>2025-11</v>
      </c>
    </row>
    <row r="46" spans="1:36" ht="15" x14ac:dyDescent="0.25">
      <c r="A46" s="53" t="s">
        <v>327</v>
      </c>
      <c r="B46" s="53" t="s">
        <v>163</v>
      </c>
      <c r="C46" s="53" t="s">
        <v>148</v>
      </c>
      <c r="D46" s="53" t="s">
        <v>328</v>
      </c>
      <c r="E46" s="53" t="s">
        <v>242</v>
      </c>
      <c r="F46" s="53" t="s">
        <v>243</v>
      </c>
      <c r="G46" s="53" t="s">
        <v>129</v>
      </c>
      <c r="H46" s="53">
        <v>4</v>
      </c>
      <c r="I46" s="53" t="s">
        <v>130</v>
      </c>
      <c r="J46" s="53">
        <v>0</v>
      </c>
      <c r="K46" s="53">
        <v>0</v>
      </c>
      <c r="L46" s="53">
        <v>16</v>
      </c>
      <c r="M46" s="53" t="s">
        <v>329</v>
      </c>
      <c r="N46" s="53">
        <v>17.600000000000001</v>
      </c>
      <c r="O46" s="51" t="str">
        <f>TEXT(tblWorkPackages[[#This Row],[Request date serial]]-WEEKDAY(tblWorkPackages[[#This Row],[Request date serial]],3),"yyyy-mm-dd")</f>
        <v>2024-02-26</v>
      </c>
      <c r="P46" s="51">
        <f>ABS(tblWorkPackages[[#This Row],[Actual labor hours]]-tblWorkPackages[[#This Row],[Estimated labor hours]])</f>
        <v>1.6</v>
      </c>
      <c r="Q46" s="51">
        <f>IF(tblWorkPackages[[#This Row],[Actual labor hours]]&gt;tblWorkPackages[[#This Row],[Estimated labor hours]],1,0)</f>
        <v>1</v>
      </c>
      <c r="R46" s="51">
        <f>tblWorkPackages[[#This Row],[Actual labor hours]]-tblWorkPackages[[#This Row],[Estimated labor hours]]</f>
        <v>1.6</v>
      </c>
      <c r="S46" s="51" t="str">
        <f>IF(tblWorkPackages[[#This Row],[Request date serial]]&lt;ValidationStart,"Train 2024",IF(tblWorkPackages[[#This Row],[Request date serial]]&lt;HoldoutStart,"Validation H1","Holdout H2"))</f>
        <v>Train 2024</v>
      </c>
      <c r="T46" s="51" t="str">
        <f>IF(tblWorkPackages[[#This Row],[Time split]]="Train 2024","",tblWorkPackages[[#This Row],[Estimated labor hours]]+VLOOKUP(tblWorkPackages[[#This Row],[Task type]],'Forecast validation'!$A$14:$E$25,IF(tblWorkPackages[[#This Row],[Time split]]="Validation H1",4,5),FALSE()))</f>
        <v/>
      </c>
      <c r="U46" s="51" t="str">
        <f>IF(tblWorkPackages[[#This Row],[Calibrated forecast hours]]="","",ABS(tblWorkPackages[[#This Row],[Actual labor hours]]-tblWorkPackages[[#This Row],[Calibrated forecast hours]]))</f>
        <v/>
      </c>
      <c r="V46" s="51">
        <f>IF(tblWorkPackages[[#This Row],[Time split]]="Train 2024",tblWorkPackages[[#This Row],[Estimated labor hours]],tblWorkPackages[[#This Row],[Calibrated forecast hours]])</f>
        <v>16</v>
      </c>
      <c r="W46" s="64">
        <f>DATEVALUE(tblWorkPackages[[#This Row],[Request date]])</f>
        <v>45348.0</v>
      </c>
      <c r="X46" s="64">
        <f>DATEVALUE(tblWorkPackages[[#This Row],[Due date]])</f>
        <v>45361.0</v>
      </c>
      <c r="Y46" s="64">
        <f>DATEVALUE(tblWorkPackages[[#This Row],[Completion date]])</f>
        <v>45367.0</v>
      </c>
      <c r="Z46" s="64">
        <f>_xlfn.MINIFS(tblLaborEntries[Work date serial],tblLaborEntries[Work package ID],tblWorkPackages[[#This Row],[Work package ID]])</f>
        <v>45365.0</v>
      </c>
      <c r="AA46" s="64">
        <f>_xlfn.MAXIFS(tblLaborEntries[Work date serial],tblLaborEntries[Work package ID],tblWorkPackages[[#This Row],[Work package ID]])</f>
        <v>45367.0</v>
      </c>
      <c r="AB46" s="65">
        <f>IF(tblWorkPackages[[#This Row],[Completion date serial]]&gt;tblWorkPackages[[#This Row],[Due date serial]],1,0)</f>
        <v>1</v>
      </c>
      <c r="AC46" s="65">
        <f>MAX(0,tblWorkPackages[[#This Row],[Completion date serial]]-tblWorkPackages[[#This Row],[Due date serial]])</f>
        <v>6</v>
      </c>
      <c r="AD46" s="65">
        <f>tblWorkPackages[[#This Row],[First labor date]]-tblWorkPackages[[#This Row],[Request date serial]]</f>
        <v>17</v>
      </c>
      <c r="AE46" s="65">
        <f>tblWorkPackages[[#This Row],[Last labor date]]-tblWorkPackages[[#This Row],[First labor date]]</f>
        <v>2</v>
      </c>
      <c r="AF46" s="65">
        <f>tblWorkPackages[[#This Row],[Completion date serial]]-tblWorkPackages[[#This Row],[Last labor date]]</f>
        <v>0</v>
      </c>
      <c r="AG46" s="65">
        <f>tblWorkPackages[[#This Row],[Completion date serial]]-tblWorkPackages[[#This Row],[Request date serial]]</f>
        <v>19</v>
      </c>
      <c r="AH46" s="65">
        <f>IFERROR(INDEX(tblParts[Delay days],MATCH(tblWorkPackages[[#This Row],[Work package ID]],tblParts[Work package ID],0)),0)</f>
        <v>0</v>
      </c>
      <c r="AI46" s="51" t="str">
        <f>IFERROR(INDEX(tblDisruptions[Event type],MATCH(tblWorkPackages[[#This Row],[Work package ID]],tblDisruptions[Work package ID],0)),"None")</f>
        <v>None</v>
      </c>
      <c r="AJ46" s="51" t="str">
        <f>TEXT(tblWorkPackages[[#This Row],[Due date serial]],"yyyy-mm")</f>
        <v>2024-03</v>
      </c>
    </row>
    <row r="47" spans="1:36" ht="15" x14ac:dyDescent="0.25">
      <c r="A47" s="53" t="s">
        <v>330</v>
      </c>
      <c r="B47" s="53" t="s">
        <v>203</v>
      </c>
      <c r="C47" s="53" t="s">
        <v>331</v>
      </c>
      <c r="D47" s="53" t="s">
        <v>325</v>
      </c>
      <c r="E47" s="53" t="s">
        <v>223</v>
      </c>
      <c r="F47" s="53" t="s">
        <v>182</v>
      </c>
      <c r="G47" s="53" t="s">
        <v>154</v>
      </c>
      <c r="H47" s="53">
        <v>2</v>
      </c>
      <c r="I47" s="53" t="s">
        <v>130</v>
      </c>
      <c r="J47" s="53">
        <v>0</v>
      </c>
      <c r="K47" s="53">
        <v>0</v>
      </c>
      <c r="L47" s="53">
        <v>10.1</v>
      </c>
      <c r="M47" s="53" t="s">
        <v>332</v>
      </c>
      <c r="N47" s="53">
        <v>11</v>
      </c>
      <c r="O47" s="51" t="str">
        <f>TEXT(tblWorkPackages[[#This Row],[Request date serial]]-WEEKDAY(tblWorkPackages[[#This Row],[Request date serial]],3),"yyyy-mm-dd")</f>
        <v>2025-10-13</v>
      </c>
      <c r="P47" s="51">
        <f>ABS(tblWorkPackages[[#This Row],[Actual labor hours]]-tblWorkPackages[[#This Row],[Estimated labor hours]])</f>
        <v>0.9</v>
      </c>
      <c r="Q47" s="51">
        <f>IF(tblWorkPackages[[#This Row],[Actual labor hours]]&gt;tblWorkPackages[[#This Row],[Estimated labor hours]],1,0)</f>
        <v>1</v>
      </c>
      <c r="R47" s="51">
        <f>tblWorkPackages[[#This Row],[Actual labor hours]]-tblWorkPackages[[#This Row],[Estimated labor hours]]</f>
        <v>0.9</v>
      </c>
      <c r="S47" s="51" t="str">
        <f>IF(tblWorkPackages[[#This Row],[Request date serial]]&lt;ValidationStart,"Train 2024",IF(tblWorkPackages[[#This Row],[Request date serial]]&lt;HoldoutStart,"Validation H1","Holdout H2"))</f>
        <v>Holdout H2</v>
      </c>
      <c r="T47" s="51">
        <f>IF(tblWorkPackages[[#This Row],[Time split]]="Train 2024","",tblWorkPackages[[#This Row],[Estimated labor hours]]+VLOOKUP(tblWorkPackages[[#This Row],[Task type]],'Forecast validation'!$A$14:$E$25,IF(tblWorkPackages[[#This Row],[Time split]]="Validation H1",4,5),FALSE()))</f>
        <v>11.0246575342466</v>
      </c>
      <c r="U47" s="51">
        <f>IF(tblWorkPackages[[#This Row],[Calibrated forecast hours]]="","",ABS(tblWorkPackages[[#This Row],[Actual labor hours]]-tblWorkPackages[[#This Row],[Calibrated forecast hours]]))</f>
        <v>0.0246575342465754</v>
      </c>
      <c r="V47" s="51">
        <f>IF(tblWorkPackages[[#This Row],[Time split]]="Train 2024",tblWorkPackages[[#This Row],[Estimated labor hours]],tblWorkPackages[[#This Row],[Calibrated forecast hours]])</f>
        <v>11.0246575342466</v>
      </c>
      <c r="W47" s="64">
        <f>DATEVALUE(tblWorkPackages[[#This Row],[Request date]])</f>
        <v>45949.0</v>
      </c>
      <c r="X47" s="64">
        <f>DATEVALUE(tblWorkPackages[[#This Row],[Due date]])</f>
        <v>45962.0</v>
      </c>
      <c r="Y47" s="64">
        <f>DATEVALUE(tblWorkPackages[[#This Row],[Completion date]])</f>
        <v>45954.0</v>
      </c>
      <c r="Z47" s="64">
        <f>_xlfn.MINIFS(tblLaborEntries[Work date serial],tblLaborEntries[Work package ID],tblWorkPackages[[#This Row],[Work package ID]])</f>
        <v>45953.0</v>
      </c>
      <c r="AA47" s="64">
        <f>_xlfn.MAXIFS(tblLaborEntries[Work date serial],tblLaborEntries[Work package ID],tblWorkPackages[[#This Row],[Work package ID]])</f>
        <v>45953.0</v>
      </c>
      <c r="AB47" s="65">
        <f>IF(tblWorkPackages[[#This Row],[Completion date serial]]&gt;tblWorkPackages[[#This Row],[Due date serial]],1,0)</f>
        <v>0</v>
      </c>
      <c r="AC47" s="65">
        <f>MAX(0,tblWorkPackages[[#This Row],[Completion date serial]]-tblWorkPackages[[#This Row],[Due date serial]])</f>
        <v>0</v>
      </c>
      <c r="AD47" s="65">
        <f>tblWorkPackages[[#This Row],[First labor date]]-tblWorkPackages[[#This Row],[Request date serial]]</f>
        <v>4</v>
      </c>
      <c r="AE47" s="65">
        <f>tblWorkPackages[[#This Row],[Last labor date]]-tblWorkPackages[[#This Row],[First labor date]]</f>
        <v>0</v>
      </c>
      <c r="AF47" s="65">
        <f>tblWorkPackages[[#This Row],[Completion date serial]]-tblWorkPackages[[#This Row],[Last labor date]]</f>
        <v>1</v>
      </c>
      <c r="AG47" s="65">
        <f>tblWorkPackages[[#This Row],[Completion date serial]]-tblWorkPackages[[#This Row],[Request date serial]]</f>
        <v>5</v>
      </c>
      <c r="AH47" s="65">
        <f>IFERROR(INDEX(tblParts[Delay days],MATCH(tblWorkPackages[[#This Row],[Work package ID]],tblParts[Work package ID],0)),0)</f>
        <v>0</v>
      </c>
      <c r="AI47" s="51" t="str">
        <f>IFERROR(INDEX(tblDisruptions[Event type],MATCH(tblWorkPackages[[#This Row],[Work package ID]],tblDisruptions[Work package ID],0)),"None")</f>
        <v>Equipment unavailable</v>
      </c>
      <c r="AJ47" s="51" t="str">
        <f>TEXT(tblWorkPackages[[#This Row],[Due date serial]],"yyyy-mm")</f>
        <v>2025-11</v>
      </c>
    </row>
    <row r="48" spans="1:36" ht="15" x14ac:dyDescent="0.25">
      <c r="A48" s="53" t="s">
        <v>333</v>
      </c>
      <c r="B48" s="53" t="s">
        <v>168</v>
      </c>
      <c r="C48" s="53" t="s">
        <v>308</v>
      </c>
      <c r="D48" s="53" t="s">
        <v>334</v>
      </c>
      <c r="E48" s="53" t="s">
        <v>209</v>
      </c>
      <c r="F48" s="53" t="s">
        <v>145</v>
      </c>
      <c r="G48" s="53" t="s">
        <v>210</v>
      </c>
      <c r="H48" s="53">
        <v>1</v>
      </c>
      <c r="I48" s="53" t="s">
        <v>130</v>
      </c>
      <c r="J48" s="53">
        <v>0</v>
      </c>
      <c r="K48" s="53">
        <v>1</v>
      </c>
      <c r="L48" s="53">
        <v>12.6</v>
      </c>
      <c r="M48" s="53" t="s">
        <v>335</v>
      </c>
      <c r="N48" s="53">
        <v>16</v>
      </c>
      <c r="O48" s="51" t="str">
        <f>TEXT(tblWorkPackages[[#This Row],[Request date serial]]-WEEKDAY(tblWorkPackages[[#This Row],[Request date serial]],3),"yyyy-mm-dd")</f>
        <v>2025-11-10</v>
      </c>
      <c r="P48" s="51">
        <f>ABS(tblWorkPackages[[#This Row],[Actual labor hours]]-tblWorkPackages[[#This Row],[Estimated labor hours]])</f>
        <v>3.4</v>
      </c>
      <c r="Q48" s="51">
        <f>IF(tblWorkPackages[[#This Row],[Actual labor hours]]&gt;tblWorkPackages[[#This Row],[Estimated labor hours]],1,0)</f>
        <v>1</v>
      </c>
      <c r="R48" s="51">
        <f>tblWorkPackages[[#This Row],[Actual labor hours]]-tblWorkPackages[[#This Row],[Estimated labor hours]]</f>
        <v>3.4</v>
      </c>
      <c r="S48" s="51" t="str">
        <f>IF(tblWorkPackages[[#This Row],[Request date serial]]&lt;ValidationStart,"Train 2024",IF(tblWorkPackages[[#This Row],[Request date serial]]&lt;HoldoutStart,"Validation H1","Holdout H2"))</f>
        <v>Holdout H2</v>
      </c>
      <c r="T48" s="51">
        <f>IF(tblWorkPackages[[#This Row],[Time split]]="Train 2024","",tblWorkPackages[[#This Row],[Estimated labor hours]]+VLOOKUP(tblWorkPackages[[#This Row],[Task type]],'Forecast validation'!$A$14:$E$25,IF(tblWorkPackages[[#This Row],[Time split]]="Validation H1",4,5),FALSE()))</f>
        <v>14.395652173913</v>
      </c>
      <c r="U48" s="51">
        <f>IF(tblWorkPackages[[#This Row],[Calibrated forecast hours]]="","",ABS(tblWorkPackages[[#This Row],[Actual labor hours]]-tblWorkPackages[[#This Row],[Calibrated forecast hours]]))</f>
        <v>1.60434782608696</v>
      </c>
      <c r="V48" s="51">
        <f>IF(tblWorkPackages[[#This Row],[Time split]]="Train 2024",tblWorkPackages[[#This Row],[Estimated labor hours]],tblWorkPackages[[#This Row],[Calibrated forecast hours]])</f>
        <v>14.395652173913</v>
      </c>
      <c r="W48" s="64">
        <f>DATEVALUE(tblWorkPackages[[#This Row],[Request date]])</f>
        <v>45977.0</v>
      </c>
      <c r="X48" s="64">
        <f>DATEVALUE(tblWorkPackages[[#This Row],[Due date]])</f>
        <v>45990.0</v>
      </c>
      <c r="Y48" s="64">
        <f>DATEVALUE(tblWorkPackages[[#This Row],[Completion date]])</f>
        <v>45984.0</v>
      </c>
      <c r="Z48" s="64">
        <f>_xlfn.MINIFS(tblLaborEntries[Work date serial],tblLaborEntries[Work package ID],tblWorkPackages[[#This Row],[Work package ID]])</f>
        <v>45982.0</v>
      </c>
      <c r="AA48" s="64">
        <f>_xlfn.MAXIFS(tblLaborEntries[Work date serial],tblLaborEntries[Work package ID],tblWorkPackages[[#This Row],[Work package ID]])</f>
        <v>45982.0</v>
      </c>
      <c r="AB48" s="65">
        <f>IF(tblWorkPackages[[#This Row],[Completion date serial]]&gt;tblWorkPackages[[#This Row],[Due date serial]],1,0)</f>
        <v>0</v>
      </c>
      <c r="AC48" s="65">
        <f>MAX(0,tblWorkPackages[[#This Row],[Completion date serial]]-tblWorkPackages[[#This Row],[Due date serial]])</f>
        <v>0</v>
      </c>
      <c r="AD48" s="65">
        <f>tblWorkPackages[[#This Row],[First labor date]]-tblWorkPackages[[#This Row],[Request date serial]]</f>
        <v>5</v>
      </c>
      <c r="AE48" s="65">
        <f>tblWorkPackages[[#This Row],[Last labor date]]-tblWorkPackages[[#This Row],[First labor date]]</f>
        <v>0</v>
      </c>
      <c r="AF48" s="65">
        <f>tblWorkPackages[[#This Row],[Completion date serial]]-tblWorkPackages[[#This Row],[Last labor date]]</f>
        <v>2</v>
      </c>
      <c r="AG48" s="65">
        <f>tblWorkPackages[[#This Row],[Completion date serial]]-tblWorkPackages[[#This Row],[Request date serial]]</f>
        <v>7</v>
      </c>
      <c r="AH48" s="65">
        <f>IFERROR(INDEX(tblParts[Delay days],MATCH(tblWorkPackages[[#This Row],[Work package ID]],tblParts[Work package ID],0)),0)</f>
        <v>4</v>
      </c>
      <c r="AI48" s="51" t="str">
        <f>IFERROR(INDEX(tblDisruptions[Event type],MATCH(tblWorkPackages[[#This Row],[Work package ID]],tblDisruptions[Work package ID],0)),"None")</f>
        <v>Part delay</v>
      </c>
      <c r="AJ48" s="51" t="str">
        <f>TEXT(tblWorkPackages[[#This Row],[Due date serial]],"yyyy-mm")</f>
        <v>2025-11</v>
      </c>
    </row>
    <row r="49" spans="1:36" ht="15" x14ac:dyDescent="0.25">
      <c r="A49" s="53" t="s">
        <v>336</v>
      </c>
      <c r="B49" s="53" t="s">
        <v>173</v>
      </c>
      <c r="C49" s="53" t="s">
        <v>337</v>
      </c>
      <c r="D49" s="53" t="s">
        <v>338</v>
      </c>
      <c r="E49" s="53" t="s">
        <v>136</v>
      </c>
      <c r="F49" s="53" t="s">
        <v>137</v>
      </c>
      <c r="G49" s="53" t="s">
        <v>138</v>
      </c>
      <c r="H49" s="53">
        <v>2</v>
      </c>
      <c r="I49" s="53" t="s">
        <v>176</v>
      </c>
      <c r="J49" s="53">
        <v>0</v>
      </c>
      <c r="K49" s="53">
        <v>0</v>
      </c>
      <c r="L49" s="53">
        <v>15.3</v>
      </c>
      <c r="M49" s="53" t="s">
        <v>339</v>
      </c>
      <c r="N49" s="53">
        <v>15.4</v>
      </c>
      <c r="O49" s="51" t="str">
        <f>TEXT(tblWorkPackages[[#This Row],[Request date serial]]-WEEKDAY(tblWorkPackages[[#This Row],[Request date serial]],3),"yyyy-mm-dd")</f>
        <v>2024-04-29</v>
      </c>
      <c r="P49" s="51">
        <f>ABS(tblWorkPackages[[#This Row],[Actual labor hours]]-tblWorkPackages[[#This Row],[Estimated labor hours]])</f>
        <v>0.0999999999999996</v>
      </c>
      <c r="Q49" s="51">
        <f>IF(tblWorkPackages[[#This Row],[Actual labor hours]]&gt;tblWorkPackages[[#This Row],[Estimated labor hours]],1,0)</f>
        <v>1</v>
      </c>
      <c r="R49" s="51">
        <f>tblWorkPackages[[#This Row],[Actual labor hours]]-tblWorkPackages[[#This Row],[Estimated labor hours]]</f>
        <v>0.0999999999999996</v>
      </c>
      <c r="S49" s="51" t="str">
        <f>IF(tblWorkPackages[[#This Row],[Request date serial]]&lt;ValidationStart,"Train 2024",IF(tblWorkPackages[[#This Row],[Request date serial]]&lt;HoldoutStart,"Validation H1","Holdout H2"))</f>
        <v>Train 2024</v>
      </c>
      <c r="T49" s="51" t="str">
        <f>IF(tblWorkPackages[[#This Row],[Time split]]="Train 2024","",tblWorkPackages[[#This Row],[Estimated labor hours]]+VLOOKUP(tblWorkPackages[[#This Row],[Task type]],'Forecast validation'!$A$14:$E$25,IF(tblWorkPackages[[#This Row],[Time split]]="Validation H1",4,5),FALSE()))</f>
        <v/>
      </c>
      <c r="U49" s="51" t="str">
        <f>IF(tblWorkPackages[[#This Row],[Calibrated forecast hours]]="","",ABS(tblWorkPackages[[#This Row],[Actual labor hours]]-tblWorkPackages[[#This Row],[Calibrated forecast hours]]))</f>
        <v/>
      </c>
      <c r="V49" s="51">
        <f>IF(tblWorkPackages[[#This Row],[Time split]]="Train 2024",tblWorkPackages[[#This Row],[Estimated labor hours]],tblWorkPackages[[#This Row],[Calibrated forecast hours]])</f>
        <v>15.3</v>
      </c>
      <c r="W49" s="64">
        <f>DATEVALUE(tblWorkPackages[[#This Row],[Request date]])</f>
        <v>45411.0</v>
      </c>
      <c r="X49" s="64">
        <f>DATEVALUE(tblWorkPackages[[#This Row],[Due date]])</f>
        <v>45417.0</v>
      </c>
      <c r="Y49" s="64">
        <f>DATEVALUE(tblWorkPackages[[#This Row],[Completion date]])</f>
        <v>45426.0</v>
      </c>
      <c r="Z49" s="64">
        <f>_xlfn.MINIFS(tblLaborEntries[Work date serial],tblLaborEntries[Work package ID],tblWorkPackages[[#This Row],[Work package ID]])</f>
        <v>45422.0</v>
      </c>
      <c r="AA49" s="64">
        <f>_xlfn.MAXIFS(tblLaborEntries[Work date serial],tblLaborEntries[Work package ID],tblWorkPackages[[#This Row],[Work package ID]])</f>
        <v>45423.0</v>
      </c>
      <c r="AB49" s="65">
        <f>IF(tblWorkPackages[[#This Row],[Completion date serial]]&gt;tblWorkPackages[[#This Row],[Due date serial]],1,0)</f>
        <v>1</v>
      </c>
      <c r="AC49" s="65">
        <f>MAX(0,tblWorkPackages[[#This Row],[Completion date serial]]-tblWorkPackages[[#This Row],[Due date serial]])</f>
        <v>9</v>
      </c>
      <c r="AD49" s="65">
        <f>tblWorkPackages[[#This Row],[First labor date]]-tblWorkPackages[[#This Row],[Request date serial]]</f>
        <v>11</v>
      </c>
      <c r="AE49" s="65">
        <f>tblWorkPackages[[#This Row],[Last labor date]]-tblWorkPackages[[#This Row],[First labor date]]</f>
        <v>1</v>
      </c>
      <c r="AF49" s="65">
        <f>tblWorkPackages[[#This Row],[Completion date serial]]-tblWorkPackages[[#This Row],[Last labor date]]</f>
        <v>3</v>
      </c>
      <c r="AG49" s="65">
        <f>tblWorkPackages[[#This Row],[Completion date serial]]-tblWorkPackages[[#This Row],[Request date serial]]</f>
        <v>15</v>
      </c>
      <c r="AH49" s="65">
        <f>IFERROR(INDEX(tblParts[Delay days],MATCH(tblWorkPackages[[#This Row],[Work package ID]],tblParts[Work package ID],0)),0)</f>
        <v>0</v>
      </c>
      <c r="AI49" s="51" t="str">
        <f>IFERROR(INDEX(tblDisruptions[Event type],MATCH(tblWorkPackages[[#This Row],[Work package ID]],tblDisruptions[Work package ID],0)),"None")</f>
        <v>None</v>
      </c>
      <c r="AJ49" s="51" t="str">
        <f>TEXT(tblWorkPackages[[#This Row],[Due date serial]],"yyyy-mm")</f>
        <v>2024-05</v>
      </c>
    </row>
    <row r="50" spans="1:36" ht="15" x14ac:dyDescent="0.25">
      <c r="A50" s="53" t="s">
        <v>340</v>
      </c>
      <c r="B50" s="53" t="s">
        <v>168</v>
      </c>
      <c r="C50" s="53" t="s">
        <v>341</v>
      </c>
      <c r="D50" s="53" t="s">
        <v>342</v>
      </c>
      <c r="E50" s="53" t="s">
        <v>153</v>
      </c>
      <c r="F50" s="53" t="s">
        <v>128</v>
      </c>
      <c r="G50" s="53" t="s">
        <v>154</v>
      </c>
      <c r="H50" s="53">
        <v>4</v>
      </c>
      <c r="I50" s="53" t="s">
        <v>130</v>
      </c>
      <c r="J50" s="53">
        <v>0</v>
      </c>
      <c r="K50" s="53">
        <v>0</v>
      </c>
      <c r="L50" s="53">
        <v>17.899999999999999</v>
      </c>
      <c r="M50" s="53" t="s">
        <v>343</v>
      </c>
      <c r="N50" s="53">
        <v>17.5</v>
      </c>
      <c r="O50" s="51" t="str">
        <f>TEXT(tblWorkPackages[[#This Row],[Request date serial]]-WEEKDAY(tblWorkPackages[[#This Row],[Request date serial]],3),"yyyy-mm-dd")</f>
        <v>2025-07-14</v>
      </c>
      <c r="P50" s="51">
        <f>ABS(tblWorkPackages[[#This Row],[Actual labor hours]]-tblWorkPackages[[#This Row],[Estimated labor hours]])</f>
        <v>0.399999999999999</v>
      </c>
      <c r="Q50" s="51">
        <f>IF(tblWorkPackages[[#This Row],[Actual labor hours]]&gt;tblWorkPackages[[#This Row],[Estimated labor hours]],1,0)</f>
        <v>0</v>
      </c>
      <c r="R50" s="51">
        <f>tblWorkPackages[[#This Row],[Actual labor hours]]-tblWorkPackages[[#This Row],[Estimated labor hours]]</f>
        <v>-0.399999999999999</v>
      </c>
      <c r="S50" s="51" t="str">
        <f>IF(tblWorkPackages[[#This Row],[Request date serial]]&lt;ValidationStart,"Train 2024",IF(tblWorkPackages[[#This Row],[Request date serial]]&lt;HoldoutStart,"Validation H1","Holdout H2"))</f>
        <v>Holdout H2</v>
      </c>
      <c r="T50" s="51">
        <f>IF(tblWorkPackages[[#This Row],[Time split]]="Train 2024","",tblWorkPackages[[#This Row],[Estimated labor hours]]+VLOOKUP(tblWorkPackages[[#This Row],[Task type]],'Forecast validation'!$A$14:$E$25,IF(tblWorkPackages[[#This Row],[Time split]]="Validation H1",4,5),FALSE()))</f>
        <v>18.5026666666667</v>
      </c>
      <c r="U50" s="51">
        <f>IF(tblWorkPackages[[#This Row],[Calibrated forecast hours]]="","",ABS(tblWorkPackages[[#This Row],[Actual labor hours]]-tblWorkPackages[[#This Row],[Calibrated forecast hours]]))</f>
        <v>1.00266666666667</v>
      </c>
      <c r="V50" s="51">
        <f>IF(tblWorkPackages[[#This Row],[Time split]]="Train 2024",tblWorkPackages[[#This Row],[Estimated labor hours]],tblWorkPackages[[#This Row],[Calibrated forecast hours]])</f>
        <v>18.5026666666667</v>
      </c>
      <c r="W50" s="64">
        <f>DATEVALUE(tblWorkPackages[[#This Row],[Request date]])</f>
        <v>45858.0</v>
      </c>
      <c r="X50" s="64">
        <f>DATEVALUE(tblWorkPackages[[#This Row],[Due date]])</f>
        <v>45871.0</v>
      </c>
      <c r="Y50" s="64">
        <f>DATEVALUE(tblWorkPackages[[#This Row],[Completion date]])</f>
        <v>45862.0</v>
      </c>
      <c r="Z50" s="64">
        <f>_xlfn.MINIFS(tblLaborEntries[Work date serial],tblLaborEntries[Work package ID],tblWorkPackages[[#This Row],[Work package ID]])</f>
        <v>45861.0</v>
      </c>
      <c r="AA50" s="64">
        <f>_xlfn.MAXIFS(tblLaborEntries[Work date serial],tblLaborEntries[Work package ID],tblWorkPackages[[#This Row],[Work package ID]])</f>
        <v>45862.0</v>
      </c>
      <c r="AB50" s="65">
        <f>IF(tblWorkPackages[[#This Row],[Completion date serial]]&gt;tblWorkPackages[[#This Row],[Due date serial]],1,0)</f>
        <v>0</v>
      </c>
      <c r="AC50" s="65">
        <f>MAX(0,tblWorkPackages[[#This Row],[Completion date serial]]-tblWorkPackages[[#This Row],[Due date serial]])</f>
        <v>0</v>
      </c>
      <c r="AD50" s="65">
        <f>tblWorkPackages[[#This Row],[First labor date]]-tblWorkPackages[[#This Row],[Request date serial]]</f>
        <v>3</v>
      </c>
      <c r="AE50" s="65">
        <f>tblWorkPackages[[#This Row],[Last labor date]]-tblWorkPackages[[#This Row],[First labor date]]</f>
        <v>1</v>
      </c>
      <c r="AF50" s="65">
        <f>tblWorkPackages[[#This Row],[Completion date serial]]-tblWorkPackages[[#This Row],[Last labor date]]</f>
        <v>0</v>
      </c>
      <c r="AG50" s="65">
        <f>tblWorkPackages[[#This Row],[Completion date serial]]-tblWorkPackages[[#This Row],[Request date serial]]</f>
        <v>4</v>
      </c>
      <c r="AH50" s="65">
        <f>IFERROR(INDEX(tblParts[Delay days],MATCH(tblWorkPackages[[#This Row],[Work package ID]],tblParts[Work package ID],0)),0)</f>
        <v>0</v>
      </c>
      <c r="AI50" s="51" t="str">
        <f>IFERROR(INDEX(tblDisruptions[Event type],MATCH(tblWorkPackages[[#This Row],[Work package ID]],tblDisruptions[Work package ID],0)),"None")</f>
        <v>None</v>
      </c>
      <c r="AJ50" s="51" t="str">
        <f>TEXT(tblWorkPackages[[#This Row],[Due date serial]],"yyyy-mm")</f>
        <v>2025-08</v>
      </c>
    </row>
    <row r="51" spans="1:36" ht="15" x14ac:dyDescent="0.25">
      <c r="A51" s="53" t="s">
        <v>344</v>
      </c>
      <c r="B51" s="53" t="s">
        <v>150</v>
      </c>
      <c r="C51" s="53" t="s">
        <v>345</v>
      </c>
      <c r="D51" s="53" t="s">
        <v>346</v>
      </c>
      <c r="E51" s="53" t="s">
        <v>160</v>
      </c>
      <c r="F51" s="53" t="s">
        <v>128</v>
      </c>
      <c r="G51" s="53" t="s">
        <v>138</v>
      </c>
      <c r="H51" s="53">
        <v>1</v>
      </c>
      <c r="I51" s="53" t="s">
        <v>130</v>
      </c>
      <c r="J51" s="53">
        <v>0</v>
      </c>
      <c r="K51" s="53">
        <v>0</v>
      </c>
      <c r="L51" s="53">
        <v>3.4</v>
      </c>
      <c r="M51" s="53" t="s">
        <v>347</v>
      </c>
      <c r="N51" s="53">
        <v>3.7</v>
      </c>
      <c r="O51" s="51" t="str">
        <f>TEXT(tblWorkPackages[[#This Row],[Request date serial]]-WEEKDAY(tblWorkPackages[[#This Row],[Request date serial]],3),"yyyy-mm-dd")</f>
        <v>2024-01-29</v>
      </c>
      <c r="P51" s="51">
        <f>ABS(tblWorkPackages[[#This Row],[Actual labor hours]]-tblWorkPackages[[#This Row],[Estimated labor hours]])</f>
        <v>0.3</v>
      </c>
      <c r="Q51" s="51">
        <f>IF(tblWorkPackages[[#This Row],[Actual labor hours]]&gt;tblWorkPackages[[#This Row],[Estimated labor hours]],1,0)</f>
        <v>1</v>
      </c>
      <c r="R51" s="51">
        <f>tblWorkPackages[[#This Row],[Actual labor hours]]-tblWorkPackages[[#This Row],[Estimated labor hours]]</f>
        <v>0.3</v>
      </c>
      <c r="S51" s="51" t="str">
        <f>IF(tblWorkPackages[[#This Row],[Request date serial]]&lt;ValidationStart,"Train 2024",IF(tblWorkPackages[[#This Row],[Request date serial]]&lt;HoldoutStart,"Validation H1","Holdout H2"))</f>
        <v>Train 2024</v>
      </c>
      <c r="T51" s="51" t="str">
        <f>IF(tblWorkPackages[[#This Row],[Time split]]="Train 2024","",tblWorkPackages[[#This Row],[Estimated labor hours]]+VLOOKUP(tblWorkPackages[[#This Row],[Task type]],'Forecast validation'!$A$14:$E$25,IF(tblWorkPackages[[#This Row],[Time split]]="Validation H1",4,5),FALSE()))</f>
        <v/>
      </c>
      <c r="U51" s="51" t="str">
        <f>IF(tblWorkPackages[[#This Row],[Calibrated forecast hours]]="","",ABS(tblWorkPackages[[#This Row],[Actual labor hours]]-tblWorkPackages[[#This Row],[Calibrated forecast hours]]))</f>
        <v/>
      </c>
      <c r="V51" s="51">
        <f>IF(tblWorkPackages[[#This Row],[Time split]]="Train 2024",tblWorkPackages[[#This Row],[Estimated labor hours]],tblWorkPackages[[#This Row],[Calibrated forecast hours]])</f>
        <v>3.4</v>
      </c>
      <c r="W51" s="64">
        <f>DATEVALUE(tblWorkPackages[[#This Row],[Request date]])</f>
        <v>45325.0</v>
      </c>
      <c r="X51" s="64">
        <f>DATEVALUE(tblWorkPackages[[#This Row],[Due date]])</f>
        <v>45338.0</v>
      </c>
      <c r="Y51" s="64">
        <f>DATEVALUE(tblWorkPackages[[#This Row],[Completion date]])</f>
        <v>45358.0</v>
      </c>
      <c r="Z51" s="64">
        <f>_xlfn.MINIFS(tblLaborEntries[Work date serial],tblLaborEntries[Work package ID],tblWorkPackages[[#This Row],[Work package ID]])</f>
        <v>45355.0</v>
      </c>
      <c r="AA51" s="64">
        <f>_xlfn.MAXIFS(tblLaborEntries[Work date serial],tblLaborEntries[Work package ID],tblWorkPackages[[#This Row],[Work package ID]])</f>
        <v>45357.0</v>
      </c>
      <c r="AB51" s="65">
        <f>IF(tblWorkPackages[[#This Row],[Completion date serial]]&gt;tblWorkPackages[[#This Row],[Due date serial]],1,0)</f>
        <v>1</v>
      </c>
      <c r="AC51" s="65">
        <f>MAX(0,tblWorkPackages[[#This Row],[Completion date serial]]-tblWorkPackages[[#This Row],[Due date serial]])</f>
        <v>20</v>
      </c>
      <c r="AD51" s="65">
        <f>tblWorkPackages[[#This Row],[First labor date]]-tblWorkPackages[[#This Row],[Request date serial]]</f>
        <v>30</v>
      </c>
      <c r="AE51" s="65">
        <f>tblWorkPackages[[#This Row],[Last labor date]]-tblWorkPackages[[#This Row],[First labor date]]</f>
        <v>2</v>
      </c>
      <c r="AF51" s="65">
        <f>tblWorkPackages[[#This Row],[Completion date serial]]-tblWorkPackages[[#This Row],[Last labor date]]</f>
        <v>1</v>
      </c>
      <c r="AG51" s="65">
        <f>tblWorkPackages[[#This Row],[Completion date serial]]-tblWorkPackages[[#This Row],[Request date serial]]</f>
        <v>33</v>
      </c>
      <c r="AH51" s="65">
        <f>IFERROR(INDEX(tblParts[Delay days],MATCH(tblWorkPackages[[#This Row],[Work package ID]],tblParts[Work package ID],0)),0)</f>
        <v>0</v>
      </c>
      <c r="AI51" s="51" t="str">
        <f>IFERROR(INDEX(tblDisruptions[Event type],MATCH(tblWorkPackages[[#This Row],[Work package ID]],tblDisruptions[Work package ID],0)),"None")</f>
        <v>None</v>
      </c>
      <c r="AJ51" s="51" t="str">
        <f>TEXT(tblWorkPackages[[#This Row],[Due date serial]],"yyyy-mm")</f>
        <v>2024-02</v>
      </c>
    </row>
    <row r="52" spans="1:36" ht="15" x14ac:dyDescent="0.25">
      <c r="A52" s="53" t="s">
        <v>348</v>
      </c>
      <c r="B52" s="53" t="s">
        <v>203</v>
      </c>
      <c r="C52" s="53" t="s">
        <v>349</v>
      </c>
      <c r="D52" s="53" t="s">
        <v>350</v>
      </c>
      <c r="E52" s="53" t="s">
        <v>181</v>
      </c>
      <c r="F52" s="53" t="s">
        <v>182</v>
      </c>
      <c r="G52" s="53" t="s">
        <v>138</v>
      </c>
      <c r="H52" s="53">
        <v>2</v>
      </c>
      <c r="I52" s="53" t="s">
        <v>130</v>
      </c>
      <c r="J52" s="53">
        <v>0</v>
      </c>
      <c r="K52" s="53">
        <v>0</v>
      </c>
      <c r="L52" s="53">
        <v>7</v>
      </c>
      <c r="M52" s="53" t="s">
        <v>351</v>
      </c>
      <c r="N52" s="53">
        <v>5.6</v>
      </c>
      <c r="O52" s="51" t="str">
        <f>TEXT(tblWorkPackages[[#This Row],[Request date serial]]-WEEKDAY(tblWorkPackages[[#This Row],[Request date serial]],3),"yyyy-mm-dd")</f>
        <v>2024-01-15</v>
      </c>
      <c r="P52" s="51">
        <f>ABS(tblWorkPackages[[#This Row],[Actual labor hours]]-tblWorkPackages[[#This Row],[Estimated labor hours]])</f>
        <v>1.4</v>
      </c>
      <c r="Q52" s="51">
        <f>IF(tblWorkPackages[[#This Row],[Actual labor hours]]&gt;tblWorkPackages[[#This Row],[Estimated labor hours]],1,0)</f>
        <v>0</v>
      </c>
      <c r="R52" s="51">
        <f>tblWorkPackages[[#This Row],[Actual labor hours]]-tblWorkPackages[[#This Row],[Estimated labor hours]]</f>
        <v>-1.4</v>
      </c>
      <c r="S52" s="51" t="str">
        <f>IF(tblWorkPackages[[#This Row],[Request date serial]]&lt;ValidationStart,"Train 2024",IF(tblWorkPackages[[#This Row],[Request date serial]]&lt;HoldoutStart,"Validation H1","Holdout H2"))</f>
        <v>Train 2024</v>
      </c>
      <c r="T52" s="51" t="str">
        <f>IF(tblWorkPackages[[#This Row],[Time split]]="Train 2024","",tblWorkPackages[[#This Row],[Estimated labor hours]]+VLOOKUP(tblWorkPackages[[#This Row],[Task type]],'Forecast validation'!$A$14:$E$25,IF(tblWorkPackages[[#This Row],[Time split]]="Validation H1",4,5),FALSE()))</f>
        <v/>
      </c>
      <c r="U52" s="51" t="str">
        <f>IF(tblWorkPackages[[#This Row],[Calibrated forecast hours]]="","",ABS(tblWorkPackages[[#This Row],[Actual labor hours]]-tblWorkPackages[[#This Row],[Calibrated forecast hours]]))</f>
        <v/>
      </c>
      <c r="V52" s="51">
        <f>IF(tblWorkPackages[[#This Row],[Time split]]="Train 2024",tblWorkPackages[[#This Row],[Estimated labor hours]],tblWorkPackages[[#This Row],[Calibrated forecast hours]])</f>
        <v>7</v>
      </c>
      <c r="W52" s="64">
        <f>DATEVALUE(tblWorkPackages[[#This Row],[Request date]])</f>
        <v>45310.0</v>
      </c>
      <c r="X52" s="64">
        <f>DATEVALUE(tblWorkPackages[[#This Row],[Due date]])</f>
        <v>45323.0</v>
      </c>
      <c r="Y52" s="64">
        <f>DATEVALUE(tblWorkPackages[[#This Row],[Completion date]])</f>
        <v>45319.0</v>
      </c>
      <c r="Z52" s="64">
        <f>_xlfn.MINIFS(tblLaborEntries[Work date serial],tblLaborEntries[Work package ID],tblWorkPackages[[#This Row],[Work package ID]])</f>
        <v>45315.0</v>
      </c>
      <c r="AA52" s="64">
        <f>_xlfn.MAXIFS(tblLaborEntries[Work date serial],tblLaborEntries[Work package ID],tblWorkPackages[[#This Row],[Work package ID]])</f>
        <v>45317.0</v>
      </c>
      <c r="AB52" s="65">
        <f>IF(tblWorkPackages[[#This Row],[Completion date serial]]&gt;tblWorkPackages[[#This Row],[Due date serial]],1,0)</f>
        <v>0</v>
      </c>
      <c r="AC52" s="65">
        <f>MAX(0,tblWorkPackages[[#This Row],[Completion date serial]]-tblWorkPackages[[#This Row],[Due date serial]])</f>
        <v>0</v>
      </c>
      <c r="AD52" s="65">
        <f>tblWorkPackages[[#This Row],[First labor date]]-tblWorkPackages[[#This Row],[Request date serial]]</f>
        <v>5</v>
      </c>
      <c r="AE52" s="65">
        <f>tblWorkPackages[[#This Row],[Last labor date]]-tblWorkPackages[[#This Row],[First labor date]]</f>
        <v>2</v>
      </c>
      <c r="AF52" s="65">
        <f>tblWorkPackages[[#This Row],[Completion date serial]]-tblWorkPackages[[#This Row],[Last labor date]]</f>
        <v>2</v>
      </c>
      <c r="AG52" s="65">
        <f>tblWorkPackages[[#This Row],[Completion date serial]]-tblWorkPackages[[#This Row],[Request date serial]]</f>
        <v>9</v>
      </c>
      <c r="AH52" s="65">
        <f>IFERROR(INDEX(tblParts[Delay days],MATCH(tblWorkPackages[[#This Row],[Work package ID]],tblParts[Work package ID],0)),0)</f>
        <v>0</v>
      </c>
      <c r="AI52" s="51" t="str">
        <f>IFERROR(INDEX(tblDisruptions[Event type],MATCH(tblWorkPackages[[#This Row],[Work package ID]],tblDisruptions[Work package ID],0)),"None")</f>
        <v>None</v>
      </c>
      <c r="AJ52" s="51" t="str">
        <f>TEXT(tblWorkPackages[[#This Row],[Due date serial]],"yyyy-mm")</f>
        <v>2024-02</v>
      </c>
    </row>
    <row r="53" spans="1:36" ht="15" x14ac:dyDescent="0.25">
      <c r="A53" s="53" t="s">
        <v>352</v>
      </c>
      <c r="B53" s="53" t="s">
        <v>185</v>
      </c>
      <c r="C53" s="53" t="s">
        <v>291</v>
      </c>
      <c r="D53" s="53" t="s">
        <v>353</v>
      </c>
      <c r="E53" s="53" t="s">
        <v>136</v>
      </c>
      <c r="F53" s="53" t="s">
        <v>137</v>
      </c>
      <c r="G53" s="53" t="s">
        <v>138</v>
      </c>
      <c r="H53" s="53">
        <v>1</v>
      </c>
      <c r="I53" s="53" t="s">
        <v>176</v>
      </c>
      <c r="J53" s="53">
        <v>0</v>
      </c>
      <c r="K53" s="53">
        <v>0</v>
      </c>
      <c r="L53" s="53">
        <v>10.5</v>
      </c>
      <c r="M53" s="53" t="s">
        <v>354</v>
      </c>
      <c r="N53" s="53">
        <v>8</v>
      </c>
      <c r="O53" s="51" t="str">
        <f>TEXT(tblWorkPackages[[#This Row],[Request date serial]]-WEEKDAY(tblWorkPackages[[#This Row],[Request date serial]],3),"yyyy-mm-dd")</f>
        <v>2025-02-17</v>
      </c>
      <c r="P53" s="51">
        <f>ABS(tblWorkPackages[[#This Row],[Actual labor hours]]-tblWorkPackages[[#This Row],[Estimated labor hours]])</f>
        <v>2.5</v>
      </c>
      <c r="Q53" s="51">
        <f>IF(tblWorkPackages[[#This Row],[Actual labor hours]]&gt;tblWorkPackages[[#This Row],[Estimated labor hours]],1,0)</f>
        <v>0</v>
      </c>
      <c r="R53" s="51">
        <f>tblWorkPackages[[#This Row],[Actual labor hours]]-tblWorkPackages[[#This Row],[Estimated labor hours]]</f>
        <v>-2.5</v>
      </c>
      <c r="S53" s="51" t="str">
        <f>IF(tblWorkPackages[[#This Row],[Request date serial]]&lt;ValidationStart,"Train 2024",IF(tblWorkPackages[[#This Row],[Request date serial]]&lt;HoldoutStart,"Validation H1","Holdout H2"))</f>
        <v>Validation H1</v>
      </c>
      <c r="T53" s="51">
        <f>IF(tblWorkPackages[[#This Row],[Time split]]="Train 2024","",tblWorkPackages[[#This Row],[Estimated labor hours]]+VLOOKUP(tblWorkPackages[[#This Row],[Task type]],'Forecast validation'!$A$14:$E$25,IF(tblWorkPackages[[#This Row],[Time split]]="Validation H1",4,5),FALSE()))</f>
        <v>11.3765306122449</v>
      </c>
      <c r="U53" s="51">
        <f>IF(tblWorkPackages[[#This Row],[Calibrated forecast hours]]="","",ABS(tblWorkPackages[[#This Row],[Actual labor hours]]-tblWorkPackages[[#This Row],[Calibrated forecast hours]]))</f>
        <v>3.3765306122449</v>
      </c>
      <c r="V53" s="51">
        <f>IF(tblWorkPackages[[#This Row],[Time split]]="Train 2024",tblWorkPackages[[#This Row],[Estimated labor hours]],tblWorkPackages[[#This Row],[Calibrated forecast hours]])</f>
        <v>11.3765306122449</v>
      </c>
      <c r="W53" s="64">
        <f>DATEVALUE(tblWorkPackages[[#This Row],[Request date]])</f>
        <v>45709.0</v>
      </c>
      <c r="X53" s="64">
        <f>DATEVALUE(tblWorkPackages[[#This Row],[Due date]])</f>
        <v>45715.0</v>
      </c>
      <c r="Y53" s="64">
        <f>DATEVALUE(tblWorkPackages[[#This Row],[Completion date]])</f>
        <v>45716.0</v>
      </c>
      <c r="Z53" s="64">
        <f>_xlfn.MINIFS(tblLaborEntries[Work date serial],tblLaborEntries[Work package ID],tblWorkPackages[[#This Row],[Work package ID]])</f>
        <v>45711.0</v>
      </c>
      <c r="AA53" s="64">
        <f>_xlfn.MAXIFS(tblLaborEntries[Work date serial],tblLaborEntries[Work package ID],tblWorkPackages[[#This Row],[Work package ID]])</f>
        <v>45713.0</v>
      </c>
      <c r="AB53" s="65">
        <f>IF(tblWorkPackages[[#This Row],[Completion date serial]]&gt;tblWorkPackages[[#This Row],[Due date serial]],1,0)</f>
        <v>1</v>
      </c>
      <c r="AC53" s="65">
        <f>MAX(0,tblWorkPackages[[#This Row],[Completion date serial]]-tblWorkPackages[[#This Row],[Due date serial]])</f>
        <v>1</v>
      </c>
      <c r="AD53" s="65">
        <f>tblWorkPackages[[#This Row],[First labor date]]-tblWorkPackages[[#This Row],[Request date serial]]</f>
        <v>2</v>
      </c>
      <c r="AE53" s="65">
        <f>tblWorkPackages[[#This Row],[Last labor date]]-tblWorkPackages[[#This Row],[First labor date]]</f>
        <v>2</v>
      </c>
      <c r="AF53" s="65">
        <f>tblWorkPackages[[#This Row],[Completion date serial]]-tblWorkPackages[[#This Row],[Last labor date]]</f>
        <v>3</v>
      </c>
      <c r="AG53" s="65">
        <f>tblWorkPackages[[#This Row],[Completion date serial]]-tblWorkPackages[[#This Row],[Request date serial]]</f>
        <v>7</v>
      </c>
      <c r="AH53" s="65">
        <f>IFERROR(INDEX(tblParts[Delay days],MATCH(tblWorkPackages[[#This Row],[Work package ID]],tblParts[Work package ID],0)),0)</f>
        <v>0</v>
      </c>
      <c r="AI53" s="51" t="str">
        <f>IFERROR(INDEX(tblDisruptions[Event type],MATCH(tblWorkPackages[[#This Row],[Work package ID]],tblDisruptions[Work package ID],0)),"None")</f>
        <v>None</v>
      </c>
      <c r="AJ53" s="51" t="str">
        <f>TEXT(tblWorkPackages[[#This Row],[Due date serial]],"yyyy-mm")</f>
        <v>2025-02</v>
      </c>
    </row>
    <row r="54" spans="1:36" ht="15" x14ac:dyDescent="0.25">
      <c r="A54" s="53" t="s">
        <v>355</v>
      </c>
      <c r="B54" s="53" t="s">
        <v>230</v>
      </c>
      <c r="C54" s="53" t="s">
        <v>356</v>
      </c>
      <c r="D54" s="53" t="s">
        <v>357</v>
      </c>
      <c r="E54" s="53" t="s">
        <v>160</v>
      </c>
      <c r="F54" s="53" t="s">
        <v>128</v>
      </c>
      <c r="G54" s="53" t="s">
        <v>138</v>
      </c>
      <c r="H54" s="53">
        <v>1</v>
      </c>
      <c r="I54" s="53" t="s">
        <v>130</v>
      </c>
      <c r="J54" s="53">
        <v>0</v>
      </c>
      <c r="K54" s="53">
        <v>0</v>
      </c>
      <c r="L54" s="53">
        <v>3</v>
      </c>
      <c r="M54" s="53" t="s">
        <v>358</v>
      </c>
      <c r="N54" s="53">
        <v>2.8</v>
      </c>
      <c r="O54" s="51" t="str">
        <f>TEXT(tblWorkPackages[[#This Row],[Request date serial]]-WEEKDAY(tblWorkPackages[[#This Row],[Request date serial]],3),"yyyy-mm-dd")</f>
        <v>2025-12-15</v>
      </c>
      <c r="P54" s="51">
        <f>ABS(tblWorkPackages[[#This Row],[Actual labor hours]]-tblWorkPackages[[#This Row],[Estimated labor hours]])</f>
        <v>0.2</v>
      </c>
      <c r="Q54" s="51">
        <f>IF(tblWorkPackages[[#This Row],[Actual labor hours]]&gt;tblWorkPackages[[#This Row],[Estimated labor hours]],1,0)</f>
        <v>0</v>
      </c>
      <c r="R54" s="51">
        <f>tblWorkPackages[[#This Row],[Actual labor hours]]-tblWorkPackages[[#This Row],[Estimated labor hours]]</f>
        <v>-0.2</v>
      </c>
      <c r="S54" s="51" t="str">
        <f>IF(tblWorkPackages[[#This Row],[Request date serial]]&lt;ValidationStart,"Train 2024",IF(tblWorkPackages[[#This Row],[Request date serial]]&lt;HoldoutStart,"Validation H1","Holdout H2"))</f>
        <v>Holdout H2</v>
      </c>
      <c r="T54" s="51">
        <f>IF(tblWorkPackages[[#This Row],[Time split]]="Train 2024","",tblWorkPackages[[#This Row],[Estimated labor hours]]+VLOOKUP(tblWorkPackages[[#This Row],[Task type]],'Forecast validation'!$A$14:$E$25,IF(tblWorkPackages[[#This Row],[Time split]]="Validation H1",4,5),FALSE()))</f>
        <v>3.43739837398374</v>
      </c>
      <c r="U54" s="51">
        <f>IF(tblWorkPackages[[#This Row],[Calibrated forecast hours]]="","",ABS(tblWorkPackages[[#This Row],[Actual labor hours]]-tblWorkPackages[[#This Row],[Calibrated forecast hours]]))</f>
        <v>0.63739837398374</v>
      </c>
      <c r="V54" s="51">
        <f>IF(tblWorkPackages[[#This Row],[Time split]]="Train 2024",tblWorkPackages[[#This Row],[Estimated labor hours]],tblWorkPackages[[#This Row],[Calibrated forecast hours]])</f>
        <v>3.43739837398374</v>
      </c>
      <c r="W54" s="64">
        <f>DATEVALUE(tblWorkPackages[[#This Row],[Request date]])</f>
        <v>46012.0</v>
      </c>
      <c r="X54" s="64">
        <f>DATEVALUE(tblWorkPackages[[#This Row],[Due date]])</f>
        <v>46025.0</v>
      </c>
      <c r="Y54" s="64">
        <f>DATEVALUE(tblWorkPackages[[#This Row],[Completion date]])</f>
        <v>46026.0</v>
      </c>
      <c r="Z54" s="64">
        <f>_xlfn.MINIFS(tblLaborEntries[Work date serial],tblLaborEntries[Work package ID],tblWorkPackages[[#This Row],[Work package ID]])</f>
        <v>46026.0</v>
      </c>
      <c r="AA54" s="64">
        <f>_xlfn.MAXIFS(tblLaborEntries[Work date serial],tblLaborEntries[Work package ID],tblWorkPackages[[#This Row],[Work package ID]])</f>
        <v>46026.0</v>
      </c>
      <c r="AB54" s="65">
        <f>IF(tblWorkPackages[[#This Row],[Completion date serial]]&gt;tblWorkPackages[[#This Row],[Due date serial]],1,0)</f>
        <v>1</v>
      </c>
      <c r="AC54" s="65">
        <f>MAX(0,tblWorkPackages[[#This Row],[Completion date serial]]-tblWorkPackages[[#This Row],[Due date serial]])</f>
        <v>1</v>
      </c>
      <c r="AD54" s="65">
        <f>tblWorkPackages[[#This Row],[First labor date]]-tblWorkPackages[[#This Row],[Request date serial]]</f>
        <v>14</v>
      </c>
      <c r="AE54" s="65">
        <f>tblWorkPackages[[#This Row],[Last labor date]]-tblWorkPackages[[#This Row],[First labor date]]</f>
        <v>0</v>
      </c>
      <c r="AF54" s="65">
        <f>tblWorkPackages[[#This Row],[Completion date serial]]-tblWorkPackages[[#This Row],[Last labor date]]</f>
        <v>0</v>
      </c>
      <c r="AG54" s="65">
        <f>tblWorkPackages[[#This Row],[Completion date serial]]-tblWorkPackages[[#This Row],[Request date serial]]</f>
        <v>14</v>
      </c>
      <c r="AH54" s="65">
        <f>IFERROR(INDEX(tblParts[Delay days],MATCH(tblWorkPackages[[#This Row],[Work package ID]],tblParts[Work package ID],0)),0)</f>
        <v>0</v>
      </c>
      <c r="AI54" s="51" t="str">
        <f>IFERROR(INDEX(tblDisruptions[Event type],MATCH(tblWorkPackages[[#This Row],[Work package ID]],tblDisruptions[Work package ID],0)),"None")</f>
        <v>None</v>
      </c>
      <c r="AJ54" s="51" t="str">
        <f>TEXT(tblWorkPackages[[#This Row],[Due date serial]],"yyyy-mm")</f>
        <v>2026-01</v>
      </c>
    </row>
    <row r="55" spans="1:36" ht="15" x14ac:dyDescent="0.25">
      <c r="A55" s="53" t="s">
        <v>359</v>
      </c>
      <c r="B55" s="53" t="s">
        <v>133</v>
      </c>
      <c r="C55" s="53" t="s">
        <v>360</v>
      </c>
      <c r="D55" s="53" t="s">
        <v>361</v>
      </c>
      <c r="E55" s="53" t="s">
        <v>160</v>
      </c>
      <c r="F55" s="53" t="s">
        <v>128</v>
      </c>
      <c r="G55" s="53" t="s">
        <v>138</v>
      </c>
      <c r="H55" s="53">
        <v>4</v>
      </c>
      <c r="I55" s="53" t="s">
        <v>130</v>
      </c>
      <c r="J55" s="53">
        <v>0</v>
      </c>
      <c r="K55" s="53">
        <v>1</v>
      </c>
      <c r="L55" s="53">
        <v>8</v>
      </c>
      <c r="M55" s="53" t="s">
        <v>362</v>
      </c>
      <c r="N55" s="53">
        <v>6.6</v>
      </c>
      <c r="O55" s="51" t="str">
        <f>TEXT(tblWorkPackages[[#This Row],[Request date serial]]-WEEKDAY(tblWorkPackages[[#This Row],[Request date serial]],3),"yyyy-mm-dd")</f>
        <v>2024-07-15</v>
      </c>
      <c r="P55" s="51">
        <f>ABS(tblWorkPackages[[#This Row],[Actual labor hours]]-tblWorkPackages[[#This Row],[Estimated labor hours]])</f>
        <v>1.4</v>
      </c>
      <c r="Q55" s="51">
        <f>IF(tblWorkPackages[[#This Row],[Actual labor hours]]&gt;tblWorkPackages[[#This Row],[Estimated labor hours]],1,0)</f>
        <v>0</v>
      </c>
      <c r="R55" s="51">
        <f>tblWorkPackages[[#This Row],[Actual labor hours]]-tblWorkPackages[[#This Row],[Estimated labor hours]]</f>
        <v>-1.4</v>
      </c>
      <c r="S55" s="51" t="str">
        <f>IF(tblWorkPackages[[#This Row],[Request date serial]]&lt;ValidationStart,"Train 2024",IF(tblWorkPackages[[#This Row],[Request date serial]]&lt;HoldoutStart,"Validation H1","Holdout H2"))</f>
        <v>Train 2024</v>
      </c>
      <c r="T55" s="51" t="str">
        <f>IF(tblWorkPackages[[#This Row],[Time split]]="Train 2024","",tblWorkPackages[[#This Row],[Estimated labor hours]]+VLOOKUP(tblWorkPackages[[#This Row],[Task type]],'Forecast validation'!$A$14:$E$25,IF(tblWorkPackages[[#This Row],[Time split]]="Validation H1",4,5),FALSE()))</f>
        <v/>
      </c>
      <c r="U55" s="51" t="str">
        <f>IF(tblWorkPackages[[#This Row],[Calibrated forecast hours]]="","",ABS(tblWorkPackages[[#This Row],[Actual labor hours]]-tblWorkPackages[[#This Row],[Calibrated forecast hours]]))</f>
        <v/>
      </c>
      <c r="V55" s="51">
        <f>IF(tblWorkPackages[[#This Row],[Time split]]="Train 2024",tblWorkPackages[[#This Row],[Estimated labor hours]],tblWorkPackages[[#This Row],[Calibrated forecast hours]])</f>
        <v>8</v>
      </c>
      <c r="W55" s="64">
        <f>DATEVALUE(tblWorkPackages[[#This Row],[Request date]])</f>
        <v>45489.0</v>
      </c>
      <c r="X55" s="64">
        <f>DATEVALUE(tblWorkPackages[[#This Row],[Due date]])</f>
        <v>45502.0</v>
      </c>
      <c r="Y55" s="64">
        <f>DATEVALUE(tblWorkPackages[[#This Row],[Completion date]])</f>
        <v>45494.0</v>
      </c>
      <c r="Z55" s="64">
        <f>_xlfn.MINIFS(tblLaborEntries[Work date serial],tblLaborEntries[Work package ID],tblWorkPackages[[#This Row],[Work package ID]])</f>
        <v>45492.0</v>
      </c>
      <c r="AA55" s="64">
        <f>_xlfn.MAXIFS(tblLaborEntries[Work date serial],tblLaborEntries[Work package ID],tblWorkPackages[[#This Row],[Work package ID]])</f>
        <v>45493.0</v>
      </c>
      <c r="AB55" s="65">
        <f>IF(tblWorkPackages[[#This Row],[Completion date serial]]&gt;tblWorkPackages[[#This Row],[Due date serial]],1,0)</f>
        <v>0</v>
      </c>
      <c r="AC55" s="65">
        <f>MAX(0,tblWorkPackages[[#This Row],[Completion date serial]]-tblWorkPackages[[#This Row],[Due date serial]])</f>
        <v>0</v>
      </c>
      <c r="AD55" s="65">
        <f>tblWorkPackages[[#This Row],[First labor date]]-tblWorkPackages[[#This Row],[Request date serial]]</f>
        <v>3</v>
      </c>
      <c r="AE55" s="65">
        <f>tblWorkPackages[[#This Row],[Last labor date]]-tblWorkPackages[[#This Row],[First labor date]]</f>
        <v>1</v>
      </c>
      <c r="AF55" s="65">
        <f>tblWorkPackages[[#This Row],[Completion date serial]]-tblWorkPackages[[#This Row],[Last labor date]]</f>
        <v>1</v>
      </c>
      <c r="AG55" s="65">
        <f>tblWorkPackages[[#This Row],[Completion date serial]]-tblWorkPackages[[#This Row],[Request date serial]]</f>
        <v>5</v>
      </c>
      <c r="AH55" s="65">
        <f>IFERROR(INDEX(tblParts[Delay days],MATCH(tblWorkPackages[[#This Row],[Work package ID]],tblParts[Work package ID],0)),0)</f>
        <v>0</v>
      </c>
      <c r="AI55" s="51" t="str">
        <f>IFERROR(INDEX(tblDisruptions[Event type],MATCH(tblWorkPackages[[#This Row],[Work package ID]],tblDisruptions[Work package ID],0)),"None")</f>
        <v>None</v>
      </c>
      <c r="AJ55" s="51" t="str">
        <f>TEXT(tblWorkPackages[[#This Row],[Due date serial]],"yyyy-mm")</f>
        <v>2024-07</v>
      </c>
    </row>
    <row r="56" spans="1:36" ht="15" x14ac:dyDescent="0.25">
      <c r="A56" s="53" t="s">
        <v>363</v>
      </c>
      <c r="B56" s="53" t="s">
        <v>150</v>
      </c>
      <c r="C56" s="53" t="s">
        <v>364</v>
      </c>
      <c r="D56" s="53" t="s">
        <v>365</v>
      </c>
      <c r="E56" s="53" t="s">
        <v>242</v>
      </c>
      <c r="F56" s="53" t="s">
        <v>243</v>
      </c>
      <c r="G56" s="53" t="s">
        <v>129</v>
      </c>
      <c r="H56" s="53">
        <v>4</v>
      </c>
      <c r="I56" s="53" t="s">
        <v>176</v>
      </c>
      <c r="J56" s="53">
        <v>0</v>
      </c>
      <c r="K56" s="53">
        <v>0</v>
      </c>
      <c r="L56" s="53">
        <v>18.3</v>
      </c>
      <c r="M56" s="53" t="s">
        <v>366</v>
      </c>
      <c r="N56" s="53">
        <v>17.899999999999999</v>
      </c>
      <c r="O56" s="51" t="str">
        <f>TEXT(tblWorkPackages[[#This Row],[Request date serial]]-WEEKDAY(tblWorkPackages[[#This Row],[Request date serial]],3),"yyyy-mm-dd")</f>
        <v>2025-05-12</v>
      </c>
      <c r="P56" s="51">
        <f>ABS(tblWorkPackages[[#This Row],[Actual labor hours]]-tblWorkPackages[[#This Row],[Estimated labor hours]])</f>
        <v>0.400000000000002</v>
      </c>
      <c r="Q56" s="51">
        <f>IF(tblWorkPackages[[#This Row],[Actual labor hours]]&gt;tblWorkPackages[[#This Row],[Estimated labor hours]],1,0)</f>
        <v>0</v>
      </c>
      <c r="R56" s="51">
        <f>tblWorkPackages[[#This Row],[Actual labor hours]]-tblWorkPackages[[#This Row],[Estimated labor hours]]</f>
        <v>-0.400000000000002</v>
      </c>
      <c r="S56" s="51" t="str">
        <f>IF(tblWorkPackages[[#This Row],[Request date serial]]&lt;ValidationStart,"Train 2024",IF(tblWorkPackages[[#This Row],[Request date serial]]&lt;HoldoutStart,"Validation H1","Holdout H2"))</f>
        <v>Validation H1</v>
      </c>
      <c r="T56" s="51">
        <f>IF(tblWorkPackages[[#This Row],[Time split]]="Train 2024","",tblWorkPackages[[#This Row],[Estimated labor hours]]+VLOOKUP(tblWorkPackages[[#This Row],[Task type]],'Forecast validation'!$A$14:$E$25,IF(tblWorkPackages[[#This Row],[Time split]]="Validation H1",4,5),FALSE()))</f>
        <v>18.8561224489796</v>
      </c>
      <c r="U56" s="51">
        <f>IF(tblWorkPackages[[#This Row],[Calibrated forecast hours]]="","",ABS(tblWorkPackages[[#This Row],[Actual labor hours]]-tblWorkPackages[[#This Row],[Calibrated forecast hours]]))</f>
        <v>0.956122448979595</v>
      </c>
      <c r="V56" s="51">
        <f>IF(tblWorkPackages[[#This Row],[Time split]]="Train 2024",tblWorkPackages[[#This Row],[Estimated labor hours]],tblWorkPackages[[#This Row],[Calibrated forecast hours]])</f>
        <v>18.8561224489796</v>
      </c>
      <c r="W56" s="64">
        <f>DATEVALUE(tblWorkPackages[[#This Row],[Request date]])</f>
        <v>45790.0</v>
      </c>
      <c r="X56" s="64">
        <f>DATEVALUE(tblWorkPackages[[#This Row],[Due date]])</f>
        <v>45796.0</v>
      </c>
      <c r="Y56" s="64">
        <f>DATEVALUE(tblWorkPackages[[#This Row],[Completion date]])</f>
        <v>45851.0</v>
      </c>
      <c r="Z56" s="64">
        <f>_xlfn.MINIFS(tblLaborEntries[Work date serial],tblLaborEntries[Work package ID],tblWorkPackages[[#This Row],[Work package ID]])</f>
        <v>45847.0</v>
      </c>
      <c r="AA56" s="64">
        <f>_xlfn.MAXIFS(tblLaborEntries[Work date serial],tblLaborEntries[Work package ID],tblWorkPackages[[#This Row],[Work package ID]])</f>
        <v>45849.0</v>
      </c>
      <c r="AB56" s="65">
        <f>IF(tblWorkPackages[[#This Row],[Completion date serial]]&gt;tblWorkPackages[[#This Row],[Due date serial]],1,0)</f>
        <v>1</v>
      </c>
      <c r="AC56" s="65">
        <f>MAX(0,tblWorkPackages[[#This Row],[Completion date serial]]-tblWorkPackages[[#This Row],[Due date serial]])</f>
        <v>55</v>
      </c>
      <c r="AD56" s="65">
        <f>tblWorkPackages[[#This Row],[First labor date]]-tblWorkPackages[[#This Row],[Request date serial]]</f>
        <v>57</v>
      </c>
      <c r="AE56" s="65">
        <f>tblWorkPackages[[#This Row],[Last labor date]]-tblWorkPackages[[#This Row],[First labor date]]</f>
        <v>2</v>
      </c>
      <c r="AF56" s="65">
        <f>tblWorkPackages[[#This Row],[Completion date serial]]-tblWorkPackages[[#This Row],[Last labor date]]</f>
        <v>2</v>
      </c>
      <c r="AG56" s="65">
        <f>tblWorkPackages[[#This Row],[Completion date serial]]-tblWorkPackages[[#This Row],[Request date serial]]</f>
        <v>61</v>
      </c>
      <c r="AH56" s="65">
        <f>IFERROR(INDEX(tblParts[Delay days],MATCH(tblWorkPackages[[#This Row],[Work package ID]],tblParts[Work package ID],0)),0)</f>
        <v>0</v>
      </c>
      <c r="AI56" s="51" t="str">
        <f>IFERROR(INDEX(tblDisruptions[Event type],MATCH(tblWorkPackages[[#This Row],[Work package ID]],tblDisruptions[Work package ID],0)),"None")</f>
        <v>None</v>
      </c>
      <c r="AJ56" s="51" t="str">
        <f>TEXT(tblWorkPackages[[#This Row],[Due date serial]],"yyyy-mm")</f>
        <v>2025-05</v>
      </c>
    </row>
    <row r="57" spans="1:36" ht="15" x14ac:dyDescent="0.25">
      <c r="A57" s="53" t="s">
        <v>367</v>
      </c>
      <c r="B57" s="53" t="s">
        <v>157</v>
      </c>
      <c r="C57" s="53" t="s">
        <v>368</v>
      </c>
      <c r="D57" s="53" t="s">
        <v>369</v>
      </c>
      <c r="E57" s="53" t="s">
        <v>223</v>
      </c>
      <c r="F57" s="53" t="s">
        <v>182</v>
      </c>
      <c r="G57" s="53" t="s">
        <v>154</v>
      </c>
      <c r="H57" s="53">
        <v>2</v>
      </c>
      <c r="I57" s="53" t="s">
        <v>130</v>
      </c>
      <c r="J57" s="53">
        <v>0</v>
      </c>
      <c r="K57" s="53">
        <v>1</v>
      </c>
      <c r="L57" s="53">
        <v>12.6</v>
      </c>
      <c r="M57" s="53" t="s">
        <v>369</v>
      </c>
      <c r="N57" s="53">
        <v>10.7</v>
      </c>
      <c r="O57" s="51" t="str">
        <f>TEXT(tblWorkPackages[[#This Row],[Request date serial]]-WEEKDAY(tblWorkPackages[[#This Row],[Request date serial]],3),"yyyy-mm-dd")</f>
        <v>2024-05-27</v>
      </c>
      <c r="P57" s="51">
        <f>ABS(tblWorkPackages[[#This Row],[Actual labor hours]]-tblWorkPackages[[#This Row],[Estimated labor hours]])</f>
        <v>1.9</v>
      </c>
      <c r="Q57" s="51">
        <f>IF(tblWorkPackages[[#This Row],[Actual labor hours]]&gt;tblWorkPackages[[#This Row],[Estimated labor hours]],1,0)</f>
        <v>0</v>
      </c>
      <c r="R57" s="51">
        <f>tblWorkPackages[[#This Row],[Actual labor hours]]-tblWorkPackages[[#This Row],[Estimated labor hours]]</f>
        <v>-1.9</v>
      </c>
      <c r="S57" s="51" t="str">
        <f>IF(tblWorkPackages[[#This Row],[Request date serial]]&lt;ValidationStart,"Train 2024",IF(tblWorkPackages[[#This Row],[Request date serial]]&lt;HoldoutStart,"Validation H1","Holdout H2"))</f>
        <v>Train 2024</v>
      </c>
      <c r="T57" s="51" t="str">
        <f>IF(tblWorkPackages[[#This Row],[Time split]]="Train 2024","",tblWorkPackages[[#This Row],[Estimated labor hours]]+VLOOKUP(tblWorkPackages[[#This Row],[Task type]],'Forecast validation'!$A$14:$E$25,IF(tblWorkPackages[[#This Row],[Time split]]="Validation H1",4,5),FALSE()))</f>
        <v/>
      </c>
      <c r="U57" s="51" t="str">
        <f>IF(tblWorkPackages[[#This Row],[Calibrated forecast hours]]="","",ABS(tblWorkPackages[[#This Row],[Actual labor hours]]-tblWorkPackages[[#This Row],[Calibrated forecast hours]]))</f>
        <v/>
      </c>
      <c r="V57" s="51">
        <f>IF(tblWorkPackages[[#This Row],[Time split]]="Train 2024",tblWorkPackages[[#This Row],[Estimated labor hours]],tblWorkPackages[[#This Row],[Calibrated forecast hours]])</f>
        <v>12.6</v>
      </c>
      <c r="W57" s="64">
        <f>DATEVALUE(tblWorkPackages[[#This Row],[Request date]])</f>
        <v>45442.0</v>
      </c>
      <c r="X57" s="64">
        <f>DATEVALUE(tblWorkPackages[[#This Row],[Due date]])</f>
        <v>45455.0</v>
      </c>
      <c r="Y57" s="64">
        <f>DATEVALUE(tblWorkPackages[[#This Row],[Completion date]])</f>
        <v>45455.0</v>
      </c>
      <c r="Z57" s="64">
        <f>_xlfn.MINIFS(tblLaborEntries[Work date serial],tblLaborEntries[Work package ID],tblWorkPackages[[#This Row],[Work package ID]])</f>
        <v>45451.0</v>
      </c>
      <c r="AA57" s="64">
        <f>_xlfn.MAXIFS(tblLaborEntries[Work date serial],tblLaborEntries[Work package ID],tblWorkPackages[[#This Row],[Work package ID]])</f>
        <v>45452.0</v>
      </c>
      <c r="AB57" s="65">
        <f>IF(tblWorkPackages[[#This Row],[Completion date serial]]&gt;tblWorkPackages[[#This Row],[Due date serial]],1,0)</f>
        <v>0</v>
      </c>
      <c r="AC57" s="65">
        <f>MAX(0,tblWorkPackages[[#This Row],[Completion date serial]]-tblWorkPackages[[#This Row],[Due date serial]])</f>
        <v>0</v>
      </c>
      <c r="AD57" s="65">
        <f>tblWorkPackages[[#This Row],[First labor date]]-tblWorkPackages[[#This Row],[Request date serial]]</f>
        <v>9</v>
      </c>
      <c r="AE57" s="65">
        <f>tblWorkPackages[[#This Row],[Last labor date]]-tblWorkPackages[[#This Row],[First labor date]]</f>
        <v>1</v>
      </c>
      <c r="AF57" s="65">
        <f>tblWorkPackages[[#This Row],[Completion date serial]]-tblWorkPackages[[#This Row],[Last labor date]]</f>
        <v>3</v>
      </c>
      <c r="AG57" s="65">
        <f>tblWorkPackages[[#This Row],[Completion date serial]]-tblWorkPackages[[#This Row],[Request date serial]]</f>
        <v>13</v>
      </c>
      <c r="AH57" s="65">
        <f>IFERROR(INDEX(tblParts[Delay days],MATCH(tblWorkPackages[[#This Row],[Work package ID]],tblParts[Work package ID],0)),0)</f>
        <v>0</v>
      </c>
      <c r="AI57" s="51" t="str">
        <f>IFERROR(INDEX(tblDisruptions[Event type],MATCH(tblWorkPackages[[#This Row],[Work package ID]],tblDisruptions[Work package ID],0)),"None")</f>
        <v>None</v>
      </c>
      <c r="AJ57" s="51" t="str">
        <f>TEXT(tblWorkPackages[[#This Row],[Due date serial]],"yyyy-mm")</f>
        <v>2024-06</v>
      </c>
    </row>
    <row r="58" spans="1:36" ht="15" x14ac:dyDescent="0.25">
      <c r="A58" s="53" t="s">
        <v>370</v>
      </c>
      <c r="B58" s="53" t="s">
        <v>157</v>
      </c>
      <c r="C58" s="53" t="s">
        <v>371</v>
      </c>
      <c r="D58" s="53" t="s">
        <v>372</v>
      </c>
      <c r="E58" s="53" t="s">
        <v>153</v>
      </c>
      <c r="F58" s="53" t="s">
        <v>128</v>
      </c>
      <c r="G58" s="53" t="s">
        <v>154</v>
      </c>
      <c r="H58" s="53">
        <v>2</v>
      </c>
      <c r="I58" s="53" t="s">
        <v>130</v>
      </c>
      <c r="J58" s="53">
        <v>0</v>
      </c>
      <c r="K58" s="53">
        <v>0</v>
      </c>
      <c r="L58" s="53">
        <v>7.7</v>
      </c>
      <c r="M58" s="53" t="s">
        <v>373</v>
      </c>
      <c r="N58" s="53">
        <v>7.5</v>
      </c>
      <c r="O58" s="51" t="str">
        <f>TEXT(tblWorkPackages[[#This Row],[Request date serial]]-WEEKDAY(tblWorkPackages[[#This Row],[Request date serial]],3),"yyyy-mm-dd")</f>
        <v>2024-10-07</v>
      </c>
      <c r="P58" s="51">
        <f>ABS(tblWorkPackages[[#This Row],[Actual labor hours]]-tblWorkPackages[[#This Row],[Estimated labor hours]])</f>
        <v>0.2</v>
      </c>
      <c r="Q58" s="51">
        <f>IF(tblWorkPackages[[#This Row],[Actual labor hours]]&gt;tblWorkPackages[[#This Row],[Estimated labor hours]],1,0)</f>
        <v>0</v>
      </c>
      <c r="R58" s="51">
        <f>tblWorkPackages[[#This Row],[Actual labor hours]]-tblWorkPackages[[#This Row],[Estimated labor hours]]</f>
        <v>-0.2</v>
      </c>
      <c r="S58" s="51" t="str">
        <f>IF(tblWorkPackages[[#This Row],[Request date serial]]&lt;ValidationStart,"Train 2024",IF(tblWorkPackages[[#This Row],[Request date serial]]&lt;HoldoutStart,"Validation H1","Holdout H2"))</f>
        <v>Train 2024</v>
      </c>
      <c r="T58" s="51" t="str">
        <f>IF(tblWorkPackages[[#This Row],[Time split]]="Train 2024","",tblWorkPackages[[#This Row],[Estimated labor hours]]+VLOOKUP(tblWorkPackages[[#This Row],[Task type]],'Forecast validation'!$A$14:$E$25,IF(tblWorkPackages[[#This Row],[Time split]]="Validation H1",4,5),FALSE()))</f>
        <v/>
      </c>
      <c r="U58" s="51" t="str">
        <f>IF(tblWorkPackages[[#This Row],[Calibrated forecast hours]]="","",ABS(tblWorkPackages[[#This Row],[Actual labor hours]]-tblWorkPackages[[#This Row],[Calibrated forecast hours]]))</f>
        <v/>
      </c>
      <c r="V58" s="51">
        <f>IF(tblWorkPackages[[#This Row],[Time split]]="Train 2024",tblWorkPackages[[#This Row],[Estimated labor hours]],tblWorkPackages[[#This Row],[Calibrated forecast hours]])</f>
        <v>7.7</v>
      </c>
      <c r="W58" s="64">
        <f>DATEVALUE(tblWorkPackages[[#This Row],[Request date]])</f>
        <v>45573.0</v>
      </c>
      <c r="X58" s="64">
        <f>DATEVALUE(tblWorkPackages[[#This Row],[Due date]])</f>
        <v>45586.0</v>
      </c>
      <c r="Y58" s="64">
        <f>DATEVALUE(tblWorkPackages[[#This Row],[Completion date]])</f>
        <v>45575.0</v>
      </c>
      <c r="Z58" s="64">
        <f>_xlfn.MINIFS(tblLaborEntries[Work date serial],tblLaborEntries[Work package ID],tblWorkPackages[[#This Row],[Work package ID]])</f>
        <v>45575.0</v>
      </c>
      <c r="AA58" s="64">
        <f>_xlfn.MAXIFS(tblLaborEntries[Work date serial],tblLaborEntries[Work package ID],tblWorkPackages[[#This Row],[Work package ID]])</f>
        <v>45575.0</v>
      </c>
      <c r="AB58" s="65">
        <f>IF(tblWorkPackages[[#This Row],[Completion date serial]]&gt;tblWorkPackages[[#This Row],[Due date serial]],1,0)</f>
        <v>0</v>
      </c>
      <c r="AC58" s="65">
        <f>MAX(0,tblWorkPackages[[#This Row],[Completion date serial]]-tblWorkPackages[[#This Row],[Due date serial]])</f>
        <v>0</v>
      </c>
      <c r="AD58" s="65">
        <f>tblWorkPackages[[#This Row],[First labor date]]-tblWorkPackages[[#This Row],[Request date serial]]</f>
        <v>2</v>
      </c>
      <c r="AE58" s="65">
        <f>tblWorkPackages[[#This Row],[Last labor date]]-tblWorkPackages[[#This Row],[First labor date]]</f>
        <v>0</v>
      </c>
      <c r="AF58" s="65">
        <f>tblWorkPackages[[#This Row],[Completion date serial]]-tblWorkPackages[[#This Row],[Last labor date]]</f>
        <v>0</v>
      </c>
      <c r="AG58" s="65">
        <f>tblWorkPackages[[#This Row],[Completion date serial]]-tblWorkPackages[[#This Row],[Request date serial]]</f>
        <v>2</v>
      </c>
      <c r="AH58" s="65">
        <f>IFERROR(INDEX(tblParts[Delay days],MATCH(tblWorkPackages[[#This Row],[Work package ID]],tblParts[Work package ID],0)),0)</f>
        <v>0</v>
      </c>
      <c r="AI58" s="51" t="str">
        <f>IFERROR(INDEX(tblDisruptions[Event type],MATCH(tblWorkPackages[[#This Row],[Work package ID]],tblDisruptions[Work package ID],0)),"None")</f>
        <v>None</v>
      </c>
      <c r="AJ58" s="51" t="str">
        <f>TEXT(tblWorkPackages[[#This Row],[Due date serial]],"yyyy-mm")</f>
        <v>2024-10</v>
      </c>
    </row>
    <row r="59" spans="1:36" ht="15" x14ac:dyDescent="0.25">
      <c r="A59" s="53" t="s">
        <v>374</v>
      </c>
      <c r="B59" s="53" t="s">
        <v>124</v>
      </c>
      <c r="C59" s="53" t="s">
        <v>375</v>
      </c>
      <c r="D59" s="53" t="s">
        <v>376</v>
      </c>
      <c r="E59" s="53" t="s">
        <v>223</v>
      </c>
      <c r="F59" s="53" t="s">
        <v>182</v>
      </c>
      <c r="G59" s="53" t="s">
        <v>154</v>
      </c>
      <c r="H59" s="53">
        <v>2</v>
      </c>
      <c r="I59" s="53" t="s">
        <v>176</v>
      </c>
      <c r="J59" s="53">
        <v>0</v>
      </c>
      <c r="K59" s="53">
        <v>0</v>
      </c>
      <c r="L59" s="53">
        <v>14.2</v>
      </c>
      <c r="M59" s="53" t="s">
        <v>126</v>
      </c>
      <c r="N59" s="53">
        <v>15.5</v>
      </c>
      <c r="O59" s="51" t="str">
        <f>TEXT(tblWorkPackages[[#This Row],[Request date serial]]-WEEKDAY(tblWorkPackages[[#This Row],[Request date serial]],3),"yyyy-mm-dd")</f>
        <v>2025-04-21</v>
      </c>
      <c r="P59" s="51">
        <f>ABS(tblWorkPackages[[#This Row],[Actual labor hours]]-tblWorkPackages[[#This Row],[Estimated labor hours]])</f>
        <v>1.3</v>
      </c>
      <c r="Q59" s="51">
        <f>IF(tblWorkPackages[[#This Row],[Actual labor hours]]&gt;tblWorkPackages[[#This Row],[Estimated labor hours]],1,0)</f>
        <v>1</v>
      </c>
      <c r="R59" s="51">
        <f>tblWorkPackages[[#This Row],[Actual labor hours]]-tblWorkPackages[[#This Row],[Estimated labor hours]]</f>
        <v>1.3</v>
      </c>
      <c r="S59" s="51" t="str">
        <f>IF(tblWorkPackages[[#This Row],[Request date serial]]&lt;ValidationStart,"Train 2024",IF(tblWorkPackages[[#This Row],[Request date serial]]&lt;HoldoutStart,"Validation H1","Holdout H2"))</f>
        <v>Validation H1</v>
      </c>
      <c r="T59" s="51">
        <f>IF(tblWorkPackages[[#This Row],[Time split]]="Train 2024","",tblWorkPackages[[#This Row],[Estimated labor hours]]+VLOOKUP(tblWorkPackages[[#This Row],[Task type]],'Forecast validation'!$A$14:$E$25,IF(tblWorkPackages[[#This Row],[Time split]]="Validation H1",4,5),FALSE()))</f>
        <v>15.0824175824176</v>
      </c>
      <c r="U59" s="51">
        <f>IF(tblWorkPackages[[#This Row],[Calibrated forecast hours]]="","",ABS(tblWorkPackages[[#This Row],[Actual labor hours]]-tblWorkPackages[[#This Row],[Calibrated forecast hours]]))</f>
        <v>0.417582417582418</v>
      </c>
      <c r="V59" s="51">
        <f>IF(tblWorkPackages[[#This Row],[Time split]]="Train 2024",tblWorkPackages[[#This Row],[Estimated labor hours]],tblWorkPackages[[#This Row],[Calibrated forecast hours]])</f>
        <v>15.0824175824176</v>
      </c>
      <c r="W59" s="64">
        <f>DATEVALUE(tblWorkPackages[[#This Row],[Request date]])</f>
        <v>45770.0</v>
      </c>
      <c r="X59" s="64">
        <f>DATEVALUE(tblWorkPackages[[#This Row],[Due date]])</f>
        <v>45776.0</v>
      </c>
      <c r="Y59" s="64">
        <f>DATEVALUE(tblWorkPackages[[#This Row],[Completion date]])</f>
        <v>45793.0</v>
      </c>
      <c r="Z59" s="64">
        <f>_xlfn.MINIFS(tblLaborEntries[Work date serial],tblLaborEntries[Work package ID],tblWorkPackages[[#This Row],[Work package ID]])</f>
        <v>45792.0</v>
      </c>
      <c r="AA59" s="64">
        <f>_xlfn.MAXIFS(tblLaborEntries[Work date serial],tblLaborEntries[Work package ID],tblWorkPackages[[#This Row],[Work package ID]])</f>
        <v>45792.0</v>
      </c>
      <c r="AB59" s="65">
        <f>IF(tblWorkPackages[[#This Row],[Completion date serial]]&gt;tblWorkPackages[[#This Row],[Due date serial]],1,0)</f>
        <v>1</v>
      </c>
      <c r="AC59" s="65">
        <f>MAX(0,tblWorkPackages[[#This Row],[Completion date serial]]-tblWorkPackages[[#This Row],[Due date serial]])</f>
        <v>17</v>
      </c>
      <c r="AD59" s="65">
        <f>tblWorkPackages[[#This Row],[First labor date]]-tblWorkPackages[[#This Row],[Request date serial]]</f>
        <v>22</v>
      </c>
      <c r="AE59" s="65">
        <f>tblWorkPackages[[#This Row],[Last labor date]]-tblWorkPackages[[#This Row],[First labor date]]</f>
        <v>0</v>
      </c>
      <c r="AF59" s="65">
        <f>tblWorkPackages[[#This Row],[Completion date serial]]-tblWorkPackages[[#This Row],[Last labor date]]</f>
        <v>1</v>
      </c>
      <c r="AG59" s="65">
        <f>tblWorkPackages[[#This Row],[Completion date serial]]-tblWorkPackages[[#This Row],[Request date serial]]</f>
        <v>23</v>
      </c>
      <c r="AH59" s="65">
        <f>IFERROR(INDEX(tblParts[Delay days],MATCH(tblWorkPackages[[#This Row],[Work package ID]],tblParts[Work package ID],0)),0)</f>
        <v>0</v>
      </c>
      <c r="AI59" s="51" t="str">
        <f>IFERROR(INDEX(tblDisruptions[Event type],MATCH(tblWorkPackages[[#This Row],[Work package ID]],tblDisruptions[Work package ID],0)),"None")</f>
        <v>None</v>
      </c>
      <c r="AJ59" s="51" t="str">
        <f>TEXT(tblWorkPackages[[#This Row],[Due date serial]],"yyyy-mm")</f>
        <v>2025-04</v>
      </c>
    </row>
    <row r="60" spans="1:36" ht="15" x14ac:dyDescent="0.25">
      <c r="A60" s="53" t="s">
        <v>377</v>
      </c>
      <c r="B60" s="53" t="s">
        <v>235</v>
      </c>
      <c r="C60" s="53" t="s">
        <v>378</v>
      </c>
      <c r="D60" s="53" t="s">
        <v>379</v>
      </c>
      <c r="E60" s="53" t="s">
        <v>223</v>
      </c>
      <c r="F60" s="53" t="s">
        <v>182</v>
      </c>
      <c r="G60" s="53" t="s">
        <v>154</v>
      </c>
      <c r="H60" s="53">
        <v>4</v>
      </c>
      <c r="I60" s="53" t="s">
        <v>130</v>
      </c>
      <c r="J60" s="53">
        <v>1</v>
      </c>
      <c r="K60" s="53">
        <v>0</v>
      </c>
      <c r="L60" s="53">
        <v>19.8</v>
      </c>
      <c r="M60" s="53" t="s">
        <v>331</v>
      </c>
      <c r="N60" s="53">
        <v>30.4</v>
      </c>
      <c r="O60" s="51" t="str">
        <f>TEXT(tblWorkPackages[[#This Row],[Request date serial]]-WEEKDAY(tblWorkPackages[[#This Row],[Request date serial]],3),"yyyy-mm-dd")</f>
        <v>2025-10-13</v>
      </c>
      <c r="P60" s="51">
        <f>ABS(tblWorkPackages[[#This Row],[Actual labor hours]]-tblWorkPackages[[#This Row],[Estimated labor hours]])</f>
        <v>10.6</v>
      </c>
      <c r="Q60" s="51">
        <f>IF(tblWorkPackages[[#This Row],[Actual labor hours]]&gt;tblWorkPackages[[#This Row],[Estimated labor hours]],1,0)</f>
        <v>1</v>
      </c>
      <c r="R60" s="51">
        <f>tblWorkPackages[[#This Row],[Actual labor hours]]-tblWorkPackages[[#This Row],[Estimated labor hours]]</f>
        <v>10.6</v>
      </c>
      <c r="S60" s="51" t="str">
        <f>IF(tblWorkPackages[[#This Row],[Request date serial]]&lt;ValidationStart,"Train 2024",IF(tblWorkPackages[[#This Row],[Request date serial]]&lt;HoldoutStart,"Validation H1","Holdout H2"))</f>
        <v>Holdout H2</v>
      </c>
      <c r="T60" s="51">
        <f>IF(tblWorkPackages[[#This Row],[Time split]]="Train 2024","",tblWorkPackages[[#This Row],[Estimated labor hours]]+VLOOKUP(tblWorkPackages[[#This Row],[Task type]],'Forecast validation'!$A$14:$E$25,IF(tblWorkPackages[[#This Row],[Time split]]="Validation H1",4,5),FALSE()))</f>
        <v>20.7246575342466</v>
      </c>
      <c r="U60" s="51">
        <f>IF(tblWorkPackages[[#This Row],[Calibrated forecast hours]]="","",ABS(tblWorkPackages[[#This Row],[Actual labor hours]]-tblWorkPackages[[#This Row],[Calibrated forecast hours]]))</f>
        <v>9.67534246575342</v>
      </c>
      <c r="V60" s="51">
        <f>IF(tblWorkPackages[[#This Row],[Time split]]="Train 2024",tblWorkPackages[[#This Row],[Estimated labor hours]],tblWorkPackages[[#This Row],[Calibrated forecast hours]])</f>
        <v>20.7246575342466</v>
      </c>
      <c r="W60" s="64">
        <f>DATEVALUE(tblWorkPackages[[#This Row],[Request date]])</f>
        <v>45943.0</v>
      </c>
      <c r="X60" s="64">
        <f>DATEVALUE(tblWorkPackages[[#This Row],[Due date]])</f>
        <v>45956.0</v>
      </c>
      <c r="Y60" s="64">
        <f>DATEVALUE(tblWorkPackages[[#This Row],[Completion date]])</f>
        <v>45949.0</v>
      </c>
      <c r="Z60" s="64">
        <f>_xlfn.MINIFS(tblLaborEntries[Work date serial],tblLaborEntries[Work package ID],tblWorkPackages[[#This Row],[Work package ID]])</f>
        <v>45947.0</v>
      </c>
      <c r="AA60" s="64">
        <f>_xlfn.MAXIFS(tblLaborEntries[Work date serial],tblLaborEntries[Work package ID],tblWorkPackages[[#This Row],[Work package ID]])</f>
        <v>45947.0</v>
      </c>
      <c r="AB60" s="65">
        <f>IF(tblWorkPackages[[#This Row],[Completion date serial]]&gt;tblWorkPackages[[#This Row],[Due date serial]],1,0)</f>
        <v>0</v>
      </c>
      <c r="AC60" s="65">
        <f>MAX(0,tblWorkPackages[[#This Row],[Completion date serial]]-tblWorkPackages[[#This Row],[Due date serial]])</f>
        <v>0</v>
      </c>
      <c r="AD60" s="65">
        <f>tblWorkPackages[[#This Row],[First labor date]]-tblWorkPackages[[#This Row],[Request date serial]]</f>
        <v>4</v>
      </c>
      <c r="AE60" s="65">
        <f>tblWorkPackages[[#This Row],[Last labor date]]-tblWorkPackages[[#This Row],[First labor date]]</f>
        <v>0</v>
      </c>
      <c r="AF60" s="65">
        <f>tblWorkPackages[[#This Row],[Completion date serial]]-tblWorkPackages[[#This Row],[Last labor date]]</f>
        <v>2</v>
      </c>
      <c r="AG60" s="65">
        <f>tblWorkPackages[[#This Row],[Completion date serial]]-tblWorkPackages[[#This Row],[Request date serial]]</f>
        <v>6</v>
      </c>
      <c r="AH60" s="65">
        <f>IFERROR(INDEX(tblParts[Delay days],MATCH(tblWorkPackages[[#This Row],[Work package ID]],tblParts[Work package ID],0)),0)</f>
        <v>0</v>
      </c>
      <c r="AI60" s="51" t="str">
        <f>IFERROR(INDEX(tblDisruptions[Event type],MATCH(tblWorkPackages[[#This Row],[Work package ID]],tblDisruptions[Work package ID],0)),"None")</f>
        <v>None</v>
      </c>
      <c r="AJ60" s="51" t="str">
        <f>TEXT(tblWorkPackages[[#This Row],[Due date serial]],"yyyy-mm")</f>
        <v>2025-10</v>
      </c>
    </row>
    <row r="61" spans="1:36" ht="15" x14ac:dyDescent="0.25">
      <c r="A61" s="53" t="s">
        <v>380</v>
      </c>
      <c r="B61" s="53" t="s">
        <v>235</v>
      </c>
      <c r="C61" s="53" t="s">
        <v>372</v>
      </c>
      <c r="D61" s="53" t="s">
        <v>381</v>
      </c>
      <c r="E61" s="53" t="s">
        <v>272</v>
      </c>
      <c r="F61" s="53" t="s">
        <v>145</v>
      </c>
      <c r="G61" s="53" t="s">
        <v>273</v>
      </c>
      <c r="H61" s="53">
        <v>4</v>
      </c>
      <c r="I61" s="53" t="s">
        <v>147</v>
      </c>
      <c r="J61" s="53">
        <v>0</v>
      </c>
      <c r="K61" s="53">
        <v>1</v>
      </c>
      <c r="L61" s="53">
        <v>18.3</v>
      </c>
      <c r="M61" s="53" t="s">
        <v>171</v>
      </c>
      <c r="N61" s="53">
        <v>22.9</v>
      </c>
      <c r="O61" s="51" t="str">
        <f>TEXT(tblWorkPackages[[#This Row],[Request date serial]]-WEEKDAY(tblWorkPackages[[#This Row],[Request date serial]],3),"yyyy-mm-dd")</f>
        <v>2024-10-21</v>
      </c>
      <c r="P61" s="51">
        <f>ABS(tblWorkPackages[[#This Row],[Actual labor hours]]-tblWorkPackages[[#This Row],[Estimated labor hours]])</f>
        <v>4.6</v>
      </c>
      <c r="Q61" s="51">
        <f>IF(tblWorkPackages[[#This Row],[Actual labor hours]]&gt;tblWorkPackages[[#This Row],[Estimated labor hours]],1,0)</f>
        <v>1</v>
      </c>
      <c r="R61" s="51">
        <f>tblWorkPackages[[#This Row],[Actual labor hours]]-tblWorkPackages[[#This Row],[Estimated labor hours]]</f>
        <v>4.6</v>
      </c>
      <c r="S61" s="51" t="str">
        <f>IF(tblWorkPackages[[#This Row],[Request date serial]]&lt;ValidationStart,"Train 2024",IF(tblWorkPackages[[#This Row],[Request date serial]]&lt;HoldoutStart,"Validation H1","Holdout H2"))</f>
        <v>Train 2024</v>
      </c>
      <c r="T61" s="51" t="str">
        <f>IF(tblWorkPackages[[#This Row],[Time split]]="Train 2024","",tblWorkPackages[[#This Row],[Estimated labor hours]]+VLOOKUP(tblWorkPackages[[#This Row],[Task type]],'Forecast validation'!$A$14:$E$25,IF(tblWorkPackages[[#This Row],[Time split]]="Validation H1",4,5),FALSE()))</f>
        <v/>
      </c>
      <c r="U61" s="51" t="str">
        <f>IF(tblWorkPackages[[#This Row],[Calibrated forecast hours]]="","",ABS(tblWorkPackages[[#This Row],[Actual labor hours]]-tblWorkPackages[[#This Row],[Calibrated forecast hours]]))</f>
        <v/>
      </c>
      <c r="V61" s="51">
        <f>IF(tblWorkPackages[[#This Row],[Time split]]="Train 2024",tblWorkPackages[[#This Row],[Estimated labor hours]],tblWorkPackages[[#This Row],[Calibrated forecast hours]])</f>
        <v>18.3</v>
      </c>
      <c r="W61" s="64">
        <f>DATEVALUE(tblWorkPackages[[#This Row],[Request date]])</f>
        <v>45586.0</v>
      </c>
      <c r="X61" s="64">
        <f>DATEVALUE(tblWorkPackages[[#This Row],[Due date]])</f>
        <v>45588.0</v>
      </c>
      <c r="Y61" s="64">
        <f>DATEVALUE(tblWorkPackages[[#This Row],[Completion date]])</f>
        <v>45590.0</v>
      </c>
      <c r="Z61" s="64">
        <f>_xlfn.MINIFS(tblLaborEntries[Work date serial],tblLaborEntries[Work package ID],tblWorkPackages[[#This Row],[Work package ID]])</f>
        <v>45587.0</v>
      </c>
      <c r="AA61" s="64">
        <f>_xlfn.MAXIFS(tblLaborEntries[Work date serial],tblLaborEntries[Work package ID],tblWorkPackages[[#This Row],[Work package ID]])</f>
        <v>45587.0</v>
      </c>
      <c r="AB61" s="65">
        <f>IF(tblWorkPackages[[#This Row],[Completion date serial]]&gt;tblWorkPackages[[#This Row],[Due date serial]],1,0)</f>
        <v>1</v>
      </c>
      <c r="AC61" s="65">
        <f>MAX(0,tblWorkPackages[[#This Row],[Completion date serial]]-tblWorkPackages[[#This Row],[Due date serial]])</f>
        <v>2</v>
      </c>
      <c r="AD61" s="65">
        <f>tblWorkPackages[[#This Row],[First labor date]]-tblWorkPackages[[#This Row],[Request date serial]]</f>
        <v>1</v>
      </c>
      <c r="AE61" s="65">
        <f>tblWorkPackages[[#This Row],[Last labor date]]-tblWorkPackages[[#This Row],[First labor date]]</f>
        <v>0</v>
      </c>
      <c r="AF61" s="65">
        <f>tblWorkPackages[[#This Row],[Completion date serial]]-tblWorkPackages[[#This Row],[Last labor date]]</f>
        <v>3</v>
      </c>
      <c r="AG61" s="65">
        <f>tblWorkPackages[[#This Row],[Completion date serial]]-tblWorkPackages[[#This Row],[Request date serial]]</f>
        <v>4</v>
      </c>
      <c r="AH61" s="65">
        <f>IFERROR(INDEX(tblParts[Delay days],MATCH(tblWorkPackages[[#This Row],[Work package ID]],tblParts[Work package ID],0)),0)</f>
        <v>0</v>
      </c>
      <c r="AI61" s="51" t="str">
        <f>IFERROR(INDEX(tblDisruptions[Event type],MATCH(tblWorkPackages[[#This Row],[Work package ID]],tblDisruptions[Work package ID],0)),"None")</f>
        <v>None</v>
      </c>
      <c r="AJ61" s="51" t="str">
        <f>TEXT(tblWorkPackages[[#This Row],[Due date serial]],"yyyy-mm")</f>
        <v>2024-10</v>
      </c>
    </row>
    <row r="62" spans="1:36" ht="15" x14ac:dyDescent="0.25">
      <c r="A62" s="53" t="s">
        <v>382</v>
      </c>
      <c r="B62" s="53" t="s">
        <v>133</v>
      </c>
      <c r="C62" s="53" t="s">
        <v>383</v>
      </c>
      <c r="D62" s="53" t="s">
        <v>384</v>
      </c>
      <c r="E62" s="53" t="s">
        <v>200</v>
      </c>
      <c r="F62" s="53" t="s">
        <v>128</v>
      </c>
      <c r="G62" s="53" t="s">
        <v>129</v>
      </c>
      <c r="H62" s="53">
        <v>1</v>
      </c>
      <c r="I62" s="53" t="s">
        <v>130</v>
      </c>
      <c r="J62" s="53">
        <v>0</v>
      </c>
      <c r="K62" s="53">
        <v>0</v>
      </c>
      <c r="L62" s="53">
        <v>2</v>
      </c>
      <c r="M62" s="53" t="s">
        <v>384</v>
      </c>
      <c r="N62" s="53">
        <v>2.1</v>
      </c>
      <c r="O62" s="51" t="str">
        <f>TEXT(tblWorkPackages[[#This Row],[Request date serial]]-WEEKDAY(tblWorkPackages[[#This Row],[Request date serial]],3),"yyyy-mm-dd")</f>
        <v>2025-02-03</v>
      </c>
      <c r="P62" s="51">
        <f>ABS(tblWorkPackages[[#This Row],[Actual labor hours]]-tblWorkPackages[[#This Row],[Estimated labor hours]])</f>
        <v>0.1</v>
      </c>
      <c r="Q62" s="51">
        <f>IF(tblWorkPackages[[#This Row],[Actual labor hours]]&gt;tblWorkPackages[[#This Row],[Estimated labor hours]],1,0)</f>
        <v>1</v>
      </c>
      <c r="R62" s="51">
        <f>tblWorkPackages[[#This Row],[Actual labor hours]]-tblWorkPackages[[#This Row],[Estimated labor hours]]</f>
        <v>0.1</v>
      </c>
      <c r="S62" s="51" t="str">
        <f>IF(tblWorkPackages[[#This Row],[Request date serial]]&lt;ValidationStart,"Train 2024",IF(tblWorkPackages[[#This Row],[Request date serial]]&lt;HoldoutStart,"Validation H1","Holdout H2"))</f>
        <v>Validation H1</v>
      </c>
      <c r="T62" s="51">
        <f>IF(tblWorkPackages[[#This Row],[Time split]]="Train 2024","",tblWorkPackages[[#This Row],[Estimated labor hours]]+VLOOKUP(tblWorkPackages[[#This Row],[Task type]],'Forecast validation'!$A$14:$E$25,IF(tblWorkPackages[[#This Row],[Time split]]="Validation H1",4,5),FALSE()))</f>
        <v>2.33069306930693</v>
      </c>
      <c r="U62" s="51">
        <f>IF(tblWorkPackages[[#This Row],[Calibrated forecast hours]]="","",ABS(tblWorkPackages[[#This Row],[Actual labor hours]]-tblWorkPackages[[#This Row],[Calibrated forecast hours]]))</f>
        <v>0.23069306930693</v>
      </c>
      <c r="V62" s="51">
        <f>IF(tblWorkPackages[[#This Row],[Time split]]="Train 2024",tblWorkPackages[[#This Row],[Estimated labor hours]],tblWorkPackages[[#This Row],[Calibrated forecast hours]])</f>
        <v>2.33069306930693</v>
      </c>
      <c r="W62" s="64">
        <f>DATEVALUE(tblWorkPackages[[#This Row],[Request date]])</f>
        <v>45693.0</v>
      </c>
      <c r="X62" s="64">
        <f>DATEVALUE(tblWorkPackages[[#This Row],[Due date]])</f>
        <v>45706.0</v>
      </c>
      <c r="Y62" s="64">
        <f>DATEVALUE(tblWorkPackages[[#This Row],[Completion date]])</f>
        <v>45706.0</v>
      </c>
      <c r="Z62" s="64">
        <f>_xlfn.MINIFS(tblLaborEntries[Work date serial],tblLaborEntries[Work package ID],tblWorkPackages[[#This Row],[Work package ID]])</f>
        <v>45705.0</v>
      </c>
      <c r="AA62" s="64">
        <f>_xlfn.MAXIFS(tblLaborEntries[Work date serial],tblLaborEntries[Work package ID],tblWorkPackages[[#This Row],[Work package ID]])</f>
        <v>45706.0</v>
      </c>
      <c r="AB62" s="65">
        <f>IF(tblWorkPackages[[#This Row],[Completion date serial]]&gt;tblWorkPackages[[#This Row],[Due date serial]],1,0)</f>
        <v>0</v>
      </c>
      <c r="AC62" s="65">
        <f>MAX(0,tblWorkPackages[[#This Row],[Completion date serial]]-tblWorkPackages[[#This Row],[Due date serial]])</f>
        <v>0</v>
      </c>
      <c r="AD62" s="65">
        <f>tblWorkPackages[[#This Row],[First labor date]]-tblWorkPackages[[#This Row],[Request date serial]]</f>
        <v>12</v>
      </c>
      <c r="AE62" s="65">
        <f>tblWorkPackages[[#This Row],[Last labor date]]-tblWorkPackages[[#This Row],[First labor date]]</f>
        <v>1</v>
      </c>
      <c r="AF62" s="65">
        <f>tblWorkPackages[[#This Row],[Completion date serial]]-tblWorkPackages[[#This Row],[Last labor date]]</f>
        <v>0</v>
      </c>
      <c r="AG62" s="65">
        <f>tblWorkPackages[[#This Row],[Completion date serial]]-tblWorkPackages[[#This Row],[Request date serial]]</f>
        <v>13</v>
      </c>
      <c r="AH62" s="65">
        <f>IFERROR(INDEX(tblParts[Delay days],MATCH(tblWorkPackages[[#This Row],[Work package ID]],tblParts[Work package ID],0)),0)</f>
        <v>0</v>
      </c>
      <c r="AI62" s="51" t="str">
        <f>IFERROR(INDEX(tblDisruptions[Event type],MATCH(tblWorkPackages[[#This Row],[Work package ID]],tblDisruptions[Work package ID],0)),"None")</f>
        <v>None</v>
      </c>
      <c r="AJ62" s="51" t="str">
        <f>TEXT(tblWorkPackages[[#This Row],[Due date serial]],"yyyy-mm")</f>
        <v>2025-02</v>
      </c>
    </row>
    <row r="63" spans="1:36" ht="15" x14ac:dyDescent="0.25">
      <c r="A63" s="53" t="s">
        <v>385</v>
      </c>
      <c r="B63" s="53" t="s">
        <v>133</v>
      </c>
      <c r="C63" s="53" t="s">
        <v>386</v>
      </c>
      <c r="D63" s="53" t="s">
        <v>387</v>
      </c>
      <c r="E63" s="53" t="s">
        <v>223</v>
      </c>
      <c r="F63" s="53" t="s">
        <v>182</v>
      </c>
      <c r="G63" s="53" t="s">
        <v>154</v>
      </c>
      <c r="H63" s="53">
        <v>3</v>
      </c>
      <c r="I63" s="53" t="s">
        <v>130</v>
      </c>
      <c r="J63" s="53">
        <v>0</v>
      </c>
      <c r="K63" s="53">
        <v>0</v>
      </c>
      <c r="L63" s="53">
        <v>15.2</v>
      </c>
      <c r="M63" s="53" t="s">
        <v>388</v>
      </c>
      <c r="N63" s="53">
        <v>12.9</v>
      </c>
      <c r="O63" s="51" t="str">
        <f>TEXT(tblWorkPackages[[#This Row],[Request date serial]]-WEEKDAY(tblWorkPackages[[#This Row],[Request date serial]],3),"yyyy-mm-dd")</f>
        <v>2024-08-26</v>
      </c>
      <c r="P63" s="51">
        <f>ABS(tblWorkPackages[[#This Row],[Actual labor hours]]-tblWorkPackages[[#This Row],[Estimated labor hours]])</f>
        <v>2.3</v>
      </c>
      <c r="Q63" s="51">
        <f>IF(tblWorkPackages[[#This Row],[Actual labor hours]]&gt;tblWorkPackages[[#This Row],[Estimated labor hours]],1,0)</f>
        <v>0</v>
      </c>
      <c r="R63" s="51">
        <f>tblWorkPackages[[#This Row],[Actual labor hours]]-tblWorkPackages[[#This Row],[Estimated labor hours]]</f>
        <v>-2.3</v>
      </c>
      <c r="S63" s="51" t="str">
        <f>IF(tblWorkPackages[[#This Row],[Request date serial]]&lt;ValidationStart,"Train 2024",IF(tblWorkPackages[[#This Row],[Request date serial]]&lt;HoldoutStart,"Validation H1","Holdout H2"))</f>
        <v>Train 2024</v>
      </c>
      <c r="T63" s="51" t="str">
        <f>IF(tblWorkPackages[[#This Row],[Time split]]="Train 2024","",tblWorkPackages[[#This Row],[Estimated labor hours]]+VLOOKUP(tblWorkPackages[[#This Row],[Task type]],'Forecast validation'!$A$14:$E$25,IF(tblWorkPackages[[#This Row],[Time split]]="Validation H1",4,5),FALSE()))</f>
        <v/>
      </c>
      <c r="U63" s="51" t="str">
        <f>IF(tblWorkPackages[[#This Row],[Calibrated forecast hours]]="","",ABS(tblWorkPackages[[#This Row],[Actual labor hours]]-tblWorkPackages[[#This Row],[Calibrated forecast hours]]))</f>
        <v/>
      </c>
      <c r="V63" s="51">
        <f>IF(tblWorkPackages[[#This Row],[Time split]]="Train 2024",tblWorkPackages[[#This Row],[Estimated labor hours]],tblWorkPackages[[#This Row],[Calibrated forecast hours]])</f>
        <v>15.2</v>
      </c>
      <c r="W63" s="64">
        <f>DATEVALUE(tblWorkPackages[[#This Row],[Request date]])</f>
        <v>45533.0</v>
      </c>
      <c r="X63" s="64">
        <f>DATEVALUE(tblWorkPackages[[#This Row],[Due date]])</f>
        <v>45546.0</v>
      </c>
      <c r="Y63" s="64">
        <f>DATEVALUE(tblWorkPackages[[#This Row],[Completion date]])</f>
        <v>45537.0</v>
      </c>
      <c r="Z63" s="64">
        <f>_xlfn.MINIFS(tblLaborEntries[Work date serial],tblLaborEntries[Work package ID],tblWorkPackages[[#This Row],[Work package ID]])</f>
        <v>45536.0</v>
      </c>
      <c r="AA63" s="64">
        <f>_xlfn.MAXIFS(tblLaborEntries[Work date serial],tblLaborEntries[Work package ID],tblWorkPackages[[#This Row],[Work package ID]])</f>
        <v>45536.0</v>
      </c>
      <c r="AB63" s="65">
        <f>IF(tblWorkPackages[[#This Row],[Completion date serial]]&gt;tblWorkPackages[[#This Row],[Due date serial]],1,0)</f>
        <v>0</v>
      </c>
      <c r="AC63" s="65">
        <f>MAX(0,tblWorkPackages[[#This Row],[Completion date serial]]-tblWorkPackages[[#This Row],[Due date serial]])</f>
        <v>0</v>
      </c>
      <c r="AD63" s="65">
        <f>tblWorkPackages[[#This Row],[First labor date]]-tblWorkPackages[[#This Row],[Request date serial]]</f>
        <v>3</v>
      </c>
      <c r="AE63" s="65">
        <f>tblWorkPackages[[#This Row],[Last labor date]]-tblWorkPackages[[#This Row],[First labor date]]</f>
        <v>0</v>
      </c>
      <c r="AF63" s="65">
        <f>tblWorkPackages[[#This Row],[Completion date serial]]-tblWorkPackages[[#This Row],[Last labor date]]</f>
        <v>1</v>
      </c>
      <c r="AG63" s="65">
        <f>tblWorkPackages[[#This Row],[Completion date serial]]-tblWorkPackages[[#This Row],[Request date serial]]</f>
        <v>4</v>
      </c>
      <c r="AH63" s="65">
        <f>IFERROR(INDEX(tblParts[Delay days],MATCH(tblWorkPackages[[#This Row],[Work package ID]],tblParts[Work package ID],0)),0)</f>
        <v>0</v>
      </c>
      <c r="AI63" s="51" t="str">
        <f>IFERROR(INDEX(tblDisruptions[Event type],MATCH(tblWorkPackages[[#This Row],[Work package ID]],tblDisruptions[Work package ID],0)),"None")</f>
        <v>None</v>
      </c>
      <c r="AJ63" s="51" t="str">
        <f>TEXT(tblWorkPackages[[#This Row],[Due date serial]],"yyyy-mm")</f>
        <v>2024-09</v>
      </c>
    </row>
    <row r="64" spans="1:36" ht="15" x14ac:dyDescent="0.25">
      <c r="A64" s="53" t="s">
        <v>389</v>
      </c>
      <c r="B64" s="53" t="s">
        <v>185</v>
      </c>
      <c r="C64" s="53" t="s">
        <v>390</v>
      </c>
      <c r="D64" s="53" t="s">
        <v>391</v>
      </c>
      <c r="E64" s="53" t="s">
        <v>136</v>
      </c>
      <c r="F64" s="53" t="s">
        <v>137</v>
      </c>
      <c r="G64" s="53" t="s">
        <v>138</v>
      </c>
      <c r="H64" s="53">
        <v>3</v>
      </c>
      <c r="I64" s="53" t="s">
        <v>130</v>
      </c>
      <c r="J64" s="53">
        <v>0</v>
      </c>
      <c r="K64" s="53">
        <v>1</v>
      </c>
      <c r="L64" s="53">
        <v>20.5</v>
      </c>
      <c r="M64" s="53" t="s">
        <v>392</v>
      </c>
      <c r="N64" s="53">
        <v>25.2</v>
      </c>
      <c r="O64" s="51" t="str">
        <f>TEXT(tblWorkPackages[[#This Row],[Request date serial]]-WEEKDAY(tblWorkPackages[[#This Row],[Request date serial]],3),"yyyy-mm-dd")</f>
        <v>2024-07-22</v>
      </c>
      <c r="P64" s="51">
        <f>ABS(tblWorkPackages[[#This Row],[Actual labor hours]]-tblWorkPackages[[#This Row],[Estimated labor hours]])</f>
        <v>4.7</v>
      </c>
      <c r="Q64" s="51">
        <f>IF(tblWorkPackages[[#This Row],[Actual labor hours]]&gt;tblWorkPackages[[#This Row],[Estimated labor hours]],1,0)</f>
        <v>1</v>
      </c>
      <c r="R64" s="51">
        <f>tblWorkPackages[[#This Row],[Actual labor hours]]-tblWorkPackages[[#This Row],[Estimated labor hours]]</f>
        <v>4.7</v>
      </c>
      <c r="S64" s="51" t="str">
        <f>IF(tblWorkPackages[[#This Row],[Request date serial]]&lt;ValidationStart,"Train 2024",IF(tblWorkPackages[[#This Row],[Request date serial]]&lt;HoldoutStart,"Validation H1","Holdout H2"))</f>
        <v>Train 2024</v>
      </c>
      <c r="T64" s="51" t="str">
        <f>IF(tblWorkPackages[[#This Row],[Time split]]="Train 2024","",tblWorkPackages[[#This Row],[Estimated labor hours]]+VLOOKUP(tblWorkPackages[[#This Row],[Task type]],'Forecast validation'!$A$14:$E$25,IF(tblWorkPackages[[#This Row],[Time split]]="Validation H1",4,5),FALSE()))</f>
        <v/>
      </c>
      <c r="U64" s="51" t="str">
        <f>IF(tblWorkPackages[[#This Row],[Calibrated forecast hours]]="","",ABS(tblWorkPackages[[#This Row],[Actual labor hours]]-tblWorkPackages[[#This Row],[Calibrated forecast hours]]))</f>
        <v/>
      </c>
      <c r="V64" s="51">
        <f>IF(tblWorkPackages[[#This Row],[Time split]]="Train 2024",tblWorkPackages[[#This Row],[Estimated labor hours]],tblWorkPackages[[#This Row],[Calibrated forecast hours]])</f>
        <v>20.5</v>
      </c>
      <c r="W64" s="64">
        <f>DATEVALUE(tblWorkPackages[[#This Row],[Request date]])</f>
        <v>45497.0</v>
      </c>
      <c r="X64" s="64">
        <f>DATEVALUE(tblWorkPackages[[#This Row],[Due date]])</f>
        <v>45510.0</v>
      </c>
      <c r="Y64" s="64">
        <f>DATEVALUE(tblWorkPackages[[#This Row],[Completion date]])</f>
        <v>45534.0</v>
      </c>
      <c r="Z64" s="64">
        <f>_xlfn.MINIFS(tblLaborEntries[Work date serial],tblLaborEntries[Work package ID],tblWorkPackages[[#This Row],[Work package ID]])</f>
        <v>45532.0</v>
      </c>
      <c r="AA64" s="64">
        <f>_xlfn.MAXIFS(tblLaborEntries[Work date serial],tblLaborEntries[Work package ID],tblWorkPackages[[#This Row],[Work package ID]])</f>
        <v>45532.0</v>
      </c>
      <c r="AB64" s="65">
        <f>IF(tblWorkPackages[[#This Row],[Completion date serial]]&gt;tblWorkPackages[[#This Row],[Due date serial]],1,0)</f>
        <v>1</v>
      </c>
      <c r="AC64" s="65">
        <f>MAX(0,tblWorkPackages[[#This Row],[Completion date serial]]-tblWorkPackages[[#This Row],[Due date serial]])</f>
        <v>24</v>
      </c>
      <c r="AD64" s="65">
        <f>tblWorkPackages[[#This Row],[First labor date]]-tblWorkPackages[[#This Row],[Request date serial]]</f>
        <v>35</v>
      </c>
      <c r="AE64" s="65">
        <f>tblWorkPackages[[#This Row],[Last labor date]]-tblWorkPackages[[#This Row],[First labor date]]</f>
        <v>0</v>
      </c>
      <c r="AF64" s="65">
        <f>tblWorkPackages[[#This Row],[Completion date serial]]-tblWorkPackages[[#This Row],[Last labor date]]</f>
        <v>2</v>
      </c>
      <c r="AG64" s="65">
        <f>tblWorkPackages[[#This Row],[Completion date serial]]-tblWorkPackages[[#This Row],[Request date serial]]</f>
        <v>37</v>
      </c>
      <c r="AH64" s="65">
        <f>IFERROR(INDEX(tblParts[Delay days],MATCH(tblWorkPackages[[#This Row],[Work package ID]],tblParts[Work package ID],0)),0)</f>
        <v>0</v>
      </c>
      <c r="AI64" s="51" t="str">
        <f>IFERROR(INDEX(tblDisruptions[Event type],MATCH(tblWorkPackages[[#This Row],[Work package ID]],tblDisruptions[Work package ID],0)),"None")</f>
        <v>None</v>
      </c>
      <c r="AJ64" s="51" t="str">
        <f>TEXT(tblWorkPackages[[#This Row],[Due date serial]],"yyyy-mm")</f>
        <v>2024-08</v>
      </c>
    </row>
    <row r="65" spans="1:36" ht="15" x14ac:dyDescent="0.25">
      <c r="A65" s="53" t="s">
        <v>393</v>
      </c>
      <c r="B65" s="53" t="s">
        <v>250</v>
      </c>
      <c r="C65" s="53" t="s">
        <v>394</v>
      </c>
      <c r="D65" s="53" t="s">
        <v>395</v>
      </c>
      <c r="E65" s="53" t="s">
        <v>200</v>
      </c>
      <c r="F65" s="53" t="s">
        <v>128</v>
      </c>
      <c r="G65" s="53" t="s">
        <v>129</v>
      </c>
      <c r="H65" s="53">
        <v>4</v>
      </c>
      <c r="I65" s="53" t="s">
        <v>130</v>
      </c>
      <c r="J65" s="53">
        <v>0</v>
      </c>
      <c r="K65" s="53">
        <v>0</v>
      </c>
      <c r="L65" s="53">
        <v>5.2</v>
      </c>
      <c r="M65" s="53" t="s">
        <v>396</v>
      </c>
      <c r="N65" s="53">
        <v>6.5</v>
      </c>
      <c r="O65" s="51" t="str">
        <f>TEXT(tblWorkPackages[[#This Row],[Request date serial]]-WEEKDAY(tblWorkPackages[[#This Row],[Request date serial]],3),"yyyy-mm-dd")</f>
        <v>2024-12-16</v>
      </c>
      <c r="P65" s="51">
        <f>ABS(tblWorkPackages[[#This Row],[Actual labor hours]]-tblWorkPackages[[#This Row],[Estimated labor hours]])</f>
        <v>1.3</v>
      </c>
      <c r="Q65" s="51">
        <f>IF(tblWorkPackages[[#This Row],[Actual labor hours]]&gt;tblWorkPackages[[#This Row],[Estimated labor hours]],1,0)</f>
        <v>1</v>
      </c>
      <c r="R65" s="51">
        <f>tblWorkPackages[[#This Row],[Actual labor hours]]-tblWorkPackages[[#This Row],[Estimated labor hours]]</f>
        <v>1.3</v>
      </c>
      <c r="S65" s="51" t="str">
        <f>IF(tblWorkPackages[[#This Row],[Request date serial]]&lt;ValidationStart,"Train 2024",IF(tblWorkPackages[[#This Row],[Request date serial]]&lt;HoldoutStart,"Validation H1","Holdout H2"))</f>
        <v>Train 2024</v>
      </c>
      <c r="T65" s="51" t="str">
        <f>IF(tblWorkPackages[[#This Row],[Time split]]="Train 2024","",tblWorkPackages[[#This Row],[Estimated labor hours]]+VLOOKUP(tblWorkPackages[[#This Row],[Task type]],'Forecast validation'!$A$14:$E$25,IF(tblWorkPackages[[#This Row],[Time split]]="Validation H1",4,5),FALSE()))</f>
        <v/>
      </c>
      <c r="U65" s="51" t="str">
        <f>IF(tblWorkPackages[[#This Row],[Calibrated forecast hours]]="","",ABS(tblWorkPackages[[#This Row],[Actual labor hours]]-tblWorkPackages[[#This Row],[Calibrated forecast hours]]))</f>
        <v/>
      </c>
      <c r="V65" s="51">
        <f>IF(tblWorkPackages[[#This Row],[Time split]]="Train 2024",tblWorkPackages[[#This Row],[Estimated labor hours]],tblWorkPackages[[#This Row],[Calibrated forecast hours]])</f>
        <v>5.2</v>
      </c>
      <c r="W65" s="64">
        <f>DATEVALUE(tblWorkPackages[[#This Row],[Request date]])</f>
        <v>45646.0</v>
      </c>
      <c r="X65" s="64">
        <f>DATEVALUE(tblWorkPackages[[#This Row],[Due date]])</f>
        <v>45659.0</v>
      </c>
      <c r="Y65" s="64">
        <f>DATEVALUE(tblWorkPackages[[#This Row],[Completion date]])</f>
        <v>45657.0</v>
      </c>
      <c r="Z65" s="64">
        <f>_xlfn.MINIFS(tblLaborEntries[Work date serial],tblLaborEntries[Work package ID],tblWorkPackages[[#This Row],[Work package ID]])</f>
        <v>45652.0</v>
      </c>
      <c r="AA65" s="64">
        <f>_xlfn.MAXIFS(tblLaborEntries[Work date serial],tblLaborEntries[Work package ID],tblWorkPackages[[#This Row],[Work package ID]])</f>
        <v>45654.0</v>
      </c>
      <c r="AB65" s="65">
        <f>IF(tblWorkPackages[[#This Row],[Completion date serial]]&gt;tblWorkPackages[[#This Row],[Due date serial]],1,0)</f>
        <v>0</v>
      </c>
      <c r="AC65" s="65">
        <f>MAX(0,tblWorkPackages[[#This Row],[Completion date serial]]-tblWorkPackages[[#This Row],[Due date serial]])</f>
        <v>0</v>
      </c>
      <c r="AD65" s="65">
        <f>tblWorkPackages[[#This Row],[First labor date]]-tblWorkPackages[[#This Row],[Request date serial]]</f>
        <v>6</v>
      </c>
      <c r="AE65" s="65">
        <f>tblWorkPackages[[#This Row],[Last labor date]]-tblWorkPackages[[#This Row],[First labor date]]</f>
        <v>2</v>
      </c>
      <c r="AF65" s="65">
        <f>tblWorkPackages[[#This Row],[Completion date serial]]-tblWorkPackages[[#This Row],[Last labor date]]</f>
        <v>3</v>
      </c>
      <c r="AG65" s="65">
        <f>tblWorkPackages[[#This Row],[Completion date serial]]-tblWorkPackages[[#This Row],[Request date serial]]</f>
        <v>11</v>
      </c>
      <c r="AH65" s="65">
        <f>IFERROR(INDEX(tblParts[Delay days],MATCH(tblWorkPackages[[#This Row],[Work package ID]],tblParts[Work package ID],0)),0)</f>
        <v>0</v>
      </c>
      <c r="AI65" s="51" t="str">
        <f>IFERROR(INDEX(tblDisruptions[Event type],MATCH(tblWorkPackages[[#This Row],[Work package ID]],tblDisruptions[Work package ID],0)),"None")</f>
        <v>None</v>
      </c>
      <c r="AJ65" s="51" t="str">
        <f>TEXT(tblWorkPackages[[#This Row],[Due date serial]],"yyyy-mm")</f>
        <v>2025-01</v>
      </c>
    </row>
    <row r="66" spans="1:36" ht="15" x14ac:dyDescent="0.25">
      <c r="A66" s="53" t="s">
        <v>397</v>
      </c>
      <c r="B66" s="53" t="s">
        <v>133</v>
      </c>
      <c r="C66" s="53" t="s">
        <v>398</v>
      </c>
      <c r="D66" s="53" t="s">
        <v>399</v>
      </c>
      <c r="E66" s="53" t="s">
        <v>181</v>
      </c>
      <c r="F66" s="53" t="s">
        <v>182</v>
      </c>
      <c r="G66" s="53" t="s">
        <v>138</v>
      </c>
      <c r="H66" s="53">
        <v>1</v>
      </c>
      <c r="I66" s="53" t="s">
        <v>176</v>
      </c>
      <c r="J66" s="53">
        <v>0</v>
      </c>
      <c r="K66" s="53">
        <v>0</v>
      </c>
      <c r="L66" s="53">
        <v>5.3</v>
      </c>
      <c r="M66" s="53" t="s">
        <v>400</v>
      </c>
      <c r="N66" s="53">
        <v>5.7</v>
      </c>
      <c r="O66" s="51" t="str">
        <f>TEXT(tblWorkPackages[[#This Row],[Request date serial]]-WEEKDAY(tblWorkPackages[[#This Row],[Request date serial]],3),"yyyy-mm-dd")</f>
        <v>2024-05-13</v>
      </c>
      <c r="P66" s="51">
        <f>ABS(tblWorkPackages[[#This Row],[Actual labor hours]]-tblWorkPackages[[#This Row],[Estimated labor hours]])</f>
        <v>0.4</v>
      </c>
      <c r="Q66" s="51">
        <f>IF(tblWorkPackages[[#This Row],[Actual labor hours]]&gt;tblWorkPackages[[#This Row],[Estimated labor hours]],1,0)</f>
        <v>1</v>
      </c>
      <c r="R66" s="51">
        <f>tblWorkPackages[[#This Row],[Actual labor hours]]-tblWorkPackages[[#This Row],[Estimated labor hours]]</f>
        <v>0.4</v>
      </c>
      <c r="S66" s="51" t="str">
        <f>IF(tblWorkPackages[[#This Row],[Request date serial]]&lt;ValidationStart,"Train 2024",IF(tblWorkPackages[[#This Row],[Request date serial]]&lt;HoldoutStart,"Validation H1","Holdout H2"))</f>
        <v>Train 2024</v>
      </c>
      <c r="T66" s="51" t="str">
        <f>IF(tblWorkPackages[[#This Row],[Time split]]="Train 2024","",tblWorkPackages[[#This Row],[Estimated labor hours]]+VLOOKUP(tblWorkPackages[[#This Row],[Task type]],'Forecast validation'!$A$14:$E$25,IF(tblWorkPackages[[#This Row],[Time split]]="Validation H1",4,5),FALSE()))</f>
        <v/>
      </c>
      <c r="U66" s="51" t="str">
        <f>IF(tblWorkPackages[[#This Row],[Calibrated forecast hours]]="","",ABS(tblWorkPackages[[#This Row],[Actual labor hours]]-tblWorkPackages[[#This Row],[Calibrated forecast hours]]))</f>
        <v/>
      </c>
      <c r="V66" s="51">
        <f>IF(tblWorkPackages[[#This Row],[Time split]]="Train 2024",tblWorkPackages[[#This Row],[Estimated labor hours]],tblWorkPackages[[#This Row],[Calibrated forecast hours]])</f>
        <v>5.3</v>
      </c>
      <c r="W66" s="64">
        <f>DATEVALUE(tblWorkPackages[[#This Row],[Request date]])</f>
        <v>45430.0</v>
      </c>
      <c r="X66" s="64">
        <f>DATEVALUE(tblWorkPackages[[#This Row],[Due date]])</f>
        <v>45436.0</v>
      </c>
      <c r="Y66" s="64">
        <f>DATEVALUE(tblWorkPackages[[#This Row],[Completion date]])</f>
        <v>45434.0</v>
      </c>
      <c r="Z66" s="64">
        <f>_xlfn.MINIFS(tblLaborEntries[Work date serial],tblLaborEntries[Work package ID],tblWorkPackages[[#This Row],[Work package ID]])</f>
        <v>45432.0</v>
      </c>
      <c r="AA66" s="64">
        <f>_xlfn.MAXIFS(tblLaborEntries[Work date serial],tblLaborEntries[Work package ID],tblWorkPackages[[#This Row],[Work package ID]])</f>
        <v>45434.0</v>
      </c>
      <c r="AB66" s="65">
        <f>IF(tblWorkPackages[[#This Row],[Completion date serial]]&gt;tblWorkPackages[[#This Row],[Due date serial]],1,0)</f>
        <v>0</v>
      </c>
      <c r="AC66" s="65">
        <f>MAX(0,tblWorkPackages[[#This Row],[Completion date serial]]-tblWorkPackages[[#This Row],[Due date serial]])</f>
        <v>0</v>
      </c>
      <c r="AD66" s="65">
        <f>tblWorkPackages[[#This Row],[First labor date]]-tblWorkPackages[[#This Row],[Request date serial]]</f>
        <v>2</v>
      </c>
      <c r="AE66" s="65">
        <f>tblWorkPackages[[#This Row],[Last labor date]]-tblWorkPackages[[#This Row],[First labor date]]</f>
        <v>2</v>
      </c>
      <c r="AF66" s="65">
        <f>tblWorkPackages[[#This Row],[Completion date serial]]-tblWorkPackages[[#This Row],[Last labor date]]</f>
        <v>0</v>
      </c>
      <c r="AG66" s="65">
        <f>tblWorkPackages[[#This Row],[Completion date serial]]-tblWorkPackages[[#This Row],[Request date serial]]</f>
        <v>4</v>
      </c>
      <c r="AH66" s="65">
        <f>IFERROR(INDEX(tblParts[Delay days],MATCH(tblWorkPackages[[#This Row],[Work package ID]],tblParts[Work package ID],0)),0)</f>
        <v>0</v>
      </c>
      <c r="AI66" s="51" t="str">
        <f>IFERROR(INDEX(tblDisruptions[Event type],MATCH(tblWorkPackages[[#This Row],[Work package ID]],tblDisruptions[Work package ID],0)),"None")</f>
        <v>None</v>
      </c>
      <c r="AJ66" s="51" t="str">
        <f>TEXT(tblWorkPackages[[#This Row],[Due date serial]],"yyyy-mm")</f>
        <v>2024-05</v>
      </c>
    </row>
    <row r="67" spans="1:36" ht="15" x14ac:dyDescent="0.25">
      <c r="A67" s="53" t="s">
        <v>401</v>
      </c>
      <c r="B67" s="53" t="s">
        <v>287</v>
      </c>
      <c r="C67" s="53" t="s">
        <v>402</v>
      </c>
      <c r="D67" s="53" t="s">
        <v>194</v>
      </c>
      <c r="E67" s="53" t="s">
        <v>237</v>
      </c>
      <c r="F67" s="53" t="s">
        <v>182</v>
      </c>
      <c r="G67" s="53" t="s">
        <v>138</v>
      </c>
      <c r="H67" s="53">
        <v>4</v>
      </c>
      <c r="I67" s="53" t="s">
        <v>130</v>
      </c>
      <c r="J67" s="53">
        <v>0</v>
      </c>
      <c r="K67" s="53">
        <v>0</v>
      </c>
      <c r="L67" s="53">
        <v>8.8000000000000007</v>
      </c>
      <c r="M67" s="53" t="s">
        <v>403</v>
      </c>
      <c r="N67" s="53">
        <v>7.1</v>
      </c>
      <c r="O67" s="51" t="str">
        <f>TEXT(tblWorkPackages[[#This Row],[Request date serial]]-WEEKDAY(tblWorkPackages[[#This Row],[Request date serial]],3),"yyyy-mm-dd")</f>
        <v>2024-09-23</v>
      </c>
      <c r="P67" s="51">
        <f>ABS(tblWorkPackages[[#This Row],[Actual labor hours]]-tblWorkPackages[[#This Row],[Estimated labor hours]])</f>
        <v>1.7</v>
      </c>
      <c r="Q67" s="51">
        <f>IF(tblWorkPackages[[#This Row],[Actual labor hours]]&gt;tblWorkPackages[[#This Row],[Estimated labor hours]],1,0)</f>
        <v>0</v>
      </c>
      <c r="R67" s="51">
        <f>tblWorkPackages[[#This Row],[Actual labor hours]]-tblWorkPackages[[#This Row],[Estimated labor hours]]</f>
        <v>-1.7</v>
      </c>
      <c r="S67" s="51" t="str">
        <f>IF(tblWorkPackages[[#This Row],[Request date serial]]&lt;ValidationStart,"Train 2024",IF(tblWorkPackages[[#This Row],[Request date serial]]&lt;HoldoutStart,"Validation H1","Holdout H2"))</f>
        <v>Train 2024</v>
      </c>
      <c r="T67" s="51" t="str">
        <f>IF(tblWorkPackages[[#This Row],[Time split]]="Train 2024","",tblWorkPackages[[#This Row],[Estimated labor hours]]+VLOOKUP(tblWorkPackages[[#This Row],[Task type]],'Forecast validation'!$A$14:$E$25,IF(tblWorkPackages[[#This Row],[Time split]]="Validation H1",4,5),FALSE()))</f>
        <v/>
      </c>
      <c r="U67" s="51" t="str">
        <f>IF(tblWorkPackages[[#This Row],[Calibrated forecast hours]]="","",ABS(tblWorkPackages[[#This Row],[Actual labor hours]]-tblWorkPackages[[#This Row],[Calibrated forecast hours]]))</f>
        <v/>
      </c>
      <c r="V67" s="51">
        <f>IF(tblWorkPackages[[#This Row],[Time split]]="Train 2024",tblWorkPackages[[#This Row],[Estimated labor hours]],tblWorkPackages[[#This Row],[Calibrated forecast hours]])</f>
        <v>8.8</v>
      </c>
      <c r="W67" s="64">
        <f>DATEVALUE(tblWorkPackages[[#This Row],[Request date]])</f>
        <v>45561.0</v>
      </c>
      <c r="X67" s="64">
        <f>DATEVALUE(tblWorkPackages[[#This Row],[Due date]])</f>
        <v>45574.0</v>
      </c>
      <c r="Y67" s="64">
        <f>DATEVALUE(tblWorkPackages[[#This Row],[Completion date]])</f>
        <v>45577.0</v>
      </c>
      <c r="Z67" s="64">
        <f>_xlfn.MINIFS(tblLaborEntries[Work date serial],tblLaborEntries[Work package ID],tblWorkPackages[[#This Row],[Work package ID]])</f>
        <v>45576.0</v>
      </c>
      <c r="AA67" s="64">
        <f>_xlfn.MAXIFS(tblLaborEntries[Work date serial],tblLaborEntries[Work package ID],tblWorkPackages[[#This Row],[Work package ID]])</f>
        <v>45576.0</v>
      </c>
      <c r="AB67" s="65">
        <f>IF(tblWorkPackages[[#This Row],[Completion date serial]]&gt;tblWorkPackages[[#This Row],[Due date serial]],1,0)</f>
        <v>1</v>
      </c>
      <c r="AC67" s="65">
        <f>MAX(0,tblWorkPackages[[#This Row],[Completion date serial]]-tblWorkPackages[[#This Row],[Due date serial]])</f>
        <v>3</v>
      </c>
      <c r="AD67" s="65">
        <f>tblWorkPackages[[#This Row],[First labor date]]-tblWorkPackages[[#This Row],[Request date serial]]</f>
        <v>15</v>
      </c>
      <c r="AE67" s="65">
        <f>tblWorkPackages[[#This Row],[Last labor date]]-tblWorkPackages[[#This Row],[First labor date]]</f>
        <v>0</v>
      </c>
      <c r="AF67" s="65">
        <f>tblWorkPackages[[#This Row],[Completion date serial]]-tblWorkPackages[[#This Row],[Last labor date]]</f>
        <v>1</v>
      </c>
      <c r="AG67" s="65">
        <f>tblWorkPackages[[#This Row],[Completion date serial]]-tblWorkPackages[[#This Row],[Request date serial]]</f>
        <v>16</v>
      </c>
      <c r="AH67" s="65">
        <f>IFERROR(INDEX(tblParts[Delay days],MATCH(tblWorkPackages[[#This Row],[Work package ID]],tblParts[Work package ID],0)),0)</f>
        <v>0</v>
      </c>
      <c r="AI67" s="51" t="str">
        <f>IFERROR(INDEX(tblDisruptions[Event type],MATCH(tblWorkPackages[[#This Row],[Work package ID]],tblDisruptions[Work package ID],0)),"None")</f>
        <v>None</v>
      </c>
      <c r="AJ67" s="51" t="str">
        <f>TEXT(tblWorkPackages[[#This Row],[Due date serial]],"yyyy-mm")</f>
        <v>2024-10</v>
      </c>
    </row>
    <row r="68" spans="1:36" ht="15" x14ac:dyDescent="0.25">
      <c r="A68" s="53" t="s">
        <v>404</v>
      </c>
      <c r="B68" s="53" t="s">
        <v>173</v>
      </c>
      <c r="C68" s="53" t="s">
        <v>405</v>
      </c>
      <c r="D68" s="53" t="s">
        <v>406</v>
      </c>
      <c r="E68" s="53" t="s">
        <v>127</v>
      </c>
      <c r="F68" s="53" t="s">
        <v>128</v>
      </c>
      <c r="G68" s="53" t="s">
        <v>129</v>
      </c>
      <c r="H68" s="53">
        <v>1</v>
      </c>
      <c r="I68" s="53" t="s">
        <v>130</v>
      </c>
      <c r="J68" s="53">
        <v>0</v>
      </c>
      <c r="K68" s="53">
        <v>0</v>
      </c>
      <c r="L68" s="53">
        <v>5</v>
      </c>
      <c r="M68" s="53" t="s">
        <v>407</v>
      </c>
      <c r="N68" s="53">
        <v>7.1</v>
      </c>
      <c r="O68" s="51" t="str">
        <f>TEXT(tblWorkPackages[[#This Row],[Request date serial]]-WEEKDAY(tblWorkPackages[[#This Row],[Request date serial]],3),"yyyy-mm-dd")</f>
        <v>2024-05-20</v>
      </c>
      <c r="P68" s="51">
        <f>ABS(tblWorkPackages[[#This Row],[Actual labor hours]]-tblWorkPackages[[#This Row],[Estimated labor hours]])</f>
        <v>2.1</v>
      </c>
      <c r="Q68" s="51">
        <f>IF(tblWorkPackages[[#This Row],[Actual labor hours]]&gt;tblWorkPackages[[#This Row],[Estimated labor hours]],1,0)</f>
        <v>1</v>
      </c>
      <c r="R68" s="51">
        <f>tblWorkPackages[[#This Row],[Actual labor hours]]-tblWorkPackages[[#This Row],[Estimated labor hours]]</f>
        <v>2.1</v>
      </c>
      <c r="S68" s="51" t="str">
        <f>IF(tblWorkPackages[[#This Row],[Request date serial]]&lt;ValidationStart,"Train 2024",IF(tblWorkPackages[[#This Row],[Request date serial]]&lt;HoldoutStart,"Validation H1","Holdout H2"))</f>
        <v>Train 2024</v>
      </c>
      <c r="T68" s="51" t="str">
        <f>IF(tblWorkPackages[[#This Row],[Time split]]="Train 2024","",tblWorkPackages[[#This Row],[Estimated labor hours]]+VLOOKUP(tblWorkPackages[[#This Row],[Task type]],'Forecast validation'!$A$14:$E$25,IF(tblWorkPackages[[#This Row],[Time split]]="Validation H1",4,5),FALSE()))</f>
        <v/>
      </c>
      <c r="U68" s="51" t="str">
        <f>IF(tblWorkPackages[[#This Row],[Calibrated forecast hours]]="","",ABS(tblWorkPackages[[#This Row],[Actual labor hours]]-tblWorkPackages[[#This Row],[Calibrated forecast hours]]))</f>
        <v/>
      </c>
      <c r="V68" s="51">
        <f>IF(tblWorkPackages[[#This Row],[Time split]]="Train 2024",tblWorkPackages[[#This Row],[Estimated labor hours]],tblWorkPackages[[#This Row],[Calibrated forecast hours]])</f>
        <v>5</v>
      </c>
      <c r="W68" s="64">
        <f>DATEVALUE(tblWorkPackages[[#This Row],[Request date]])</f>
        <v>45433.0</v>
      </c>
      <c r="X68" s="64">
        <f>DATEVALUE(tblWorkPackages[[#This Row],[Due date]])</f>
        <v>45446.0</v>
      </c>
      <c r="Y68" s="64">
        <f>DATEVALUE(tblWorkPackages[[#This Row],[Completion date]])</f>
        <v>45441.0</v>
      </c>
      <c r="Z68" s="64">
        <f>_xlfn.MINIFS(tblLaborEntries[Work date serial],tblLaborEntries[Work package ID],tblWorkPackages[[#This Row],[Work package ID]])</f>
        <v>45437.0</v>
      </c>
      <c r="AA68" s="64">
        <f>_xlfn.MAXIFS(tblLaborEntries[Work date serial],tblLaborEntries[Work package ID],tblWorkPackages[[#This Row],[Work package ID]])</f>
        <v>45439.0</v>
      </c>
      <c r="AB68" s="65">
        <f>IF(tblWorkPackages[[#This Row],[Completion date serial]]&gt;tblWorkPackages[[#This Row],[Due date serial]],1,0)</f>
        <v>0</v>
      </c>
      <c r="AC68" s="65">
        <f>MAX(0,tblWorkPackages[[#This Row],[Completion date serial]]-tblWorkPackages[[#This Row],[Due date serial]])</f>
        <v>0</v>
      </c>
      <c r="AD68" s="65">
        <f>tblWorkPackages[[#This Row],[First labor date]]-tblWorkPackages[[#This Row],[Request date serial]]</f>
        <v>4</v>
      </c>
      <c r="AE68" s="65">
        <f>tblWorkPackages[[#This Row],[Last labor date]]-tblWorkPackages[[#This Row],[First labor date]]</f>
        <v>2</v>
      </c>
      <c r="AF68" s="65">
        <f>tblWorkPackages[[#This Row],[Completion date serial]]-tblWorkPackages[[#This Row],[Last labor date]]</f>
        <v>2</v>
      </c>
      <c r="AG68" s="65">
        <f>tblWorkPackages[[#This Row],[Completion date serial]]-tblWorkPackages[[#This Row],[Request date serial]]</f>
        <v>8</v>
      </c>
      <c r="AH68" s="65">
        <f>IFERROR(INDEX(tblParts[Delay days],MATCH(tblWorkPackages[[#This Row],[Work package ID]],tblParts[Work package ID],0)),0)</f>
        <v>0</v>
      </c>
      <c r="AI68" s="51" t="str">
        <f>IFERROR(INDEX(tblDisruptions[Event type],MATCH(tblWorkPackages[[#This Row],[Work package ID]],tblDisruptions[Work package ID],0)),"None")</f>
        <v>Repeat inspection</v>
      </c>
      <c r="AJ68" s="51" t="str">
        <f>TEXT(tblWorkPackages[[#This Row],[Due date serial]],"yyyy-mm")</f>
        <v>2024-06</v>
      </c>
    </row>
    <row r="69" spans="1:36" ht="15" x14ac:dyDescent="0.25">
      <c r="A69" s="53" t="s">
        <v>408</v>
      </c>
      <c r="B69" s="53" t="s">
        <v>133</v>
      </c>
      <c r="C69" s="53" t="s">
        <v>409</v>
      </c>
      <c r="D69" s="53" t="s">
        <v>410</v>
      </c>
      <c r="E69" s="53" t="s">
        <v>237</v>
      </c>
      <c r="F69" s="53" t="s">
        <v>182</v>
      </c>
      <c r="G69" s="53" t="s">
        <v>138</v>
      </c>
      <c r="H69" s="53">
        <v>3</v>
      </c>
      <c r="I69" s="53" t="s">
        <v>176</v>
      </c>
      <c r="J69" s="53">
        <v>0</v>
      </c>
      <c r="K69" s="53">
        <v>0</v>
      </c>
      <c r="L69" s="53">
        <v>7.7</v>
      </c>
      <c r="M69" s="53" t="s">
        <v>410</v>
      </c>
      <c r="N69" s="53">
        <v>6.8</v>
      </c>
      <c r="O69" s="51" t="str">
        <f>TEXT(tblWorkPackages[[#This Row],[Request date serial]]-WEEKDAY(tblWorkPackages[[#This Row],[Request date serial]],3),"yyyy-mm-dd")</f>
        <v>2025-04-21</v>
      </c>
      <c r="P69" s="51">
        <f>ABS(tblWorkPackages[[#This Row],[Actual labor hours]]-tblWorkPackages[[#This Row],[Estimated labor hours]])</f>
        <v>0.9</v>
      </c>
      <c r="Q69" s="51">
        <f>IF(tblWorkPackages[[#This Row],[Actual labor hours]]&gt;tblWorkPackages[[#This Row],[Estimated labor hours]],1,0)</f>
        <v>0</v>
      </c>
      <c r="R69" s="51">
        <f>tblWorkPackages[[#This Row],[Actual labor hours]]-tblWorkPackages[[#This Row],[Estimated labor hours]]</f>
        <v>-0.9</v>
      </c>
      <c r="S69" s="51" t="str">
        <f>IF(tblWorkPackages[[#This Row],[Request date serial]]&lt;ValidationStart,"Train 2024",IF(tblWorkPackages[[#This Row],[Request date serial]]&lt;HoldoutStart,"Validation H1","Holdout H2"))</f>
        <v>Validation H1</v>
      </c>
      <c r="T69" s="51">
        <f>IF(tblWorkPackages[[#This Row],[Time split]]="Train 2024","",tblWorkPackages[[#This Row],[Estimated labor hours]]+VLOOKUP(tblWorkPackages[[#This Row],[Task type]],'Forecast validation'!$A$14:$E$25,IF(tblWorkPackages[[#This Row],[Time split]]="Validation H1",4,5),FALSE()))</f>
        <v>8.2037037037037</v>
      </c>
      <c r="U69" s="51">
        <f>IF(tblWorkPackages[[#This Row],[Calibrated forecast hours]]="","",ABS(tblWorkPackages[[#This Row],[Actual labor hours]]-tblWorkPackages[[#This Row],[Calibrated forecast hours]]))</f>
        <v>1.4037037037037</v>
      </c>
      <c r="V69" s="51">
        <f>IF(tblWorkPackages[[#This Row],[Time split]]="Train 2024",tblWorkPackages[[#This Row],[Estimated labor hours]],tblWorkPackages[[#This Row],[Calibrated forecast hours]])</f>
        <v>8.2037037037037</v>
      </c>
      <c r="W69" s="64">
        <f>DATEVALUE(tblWorkPackages[[#This Row],[Request date]])</f>
        <v>45772.0</v>
      </c>
      <c r="X69" s="64">
        <f>DATEVALUE(tblWorkPackages[[#This Row],[Due date]])</f>
        <v>45778.0</v>
      </c>
      <c r="Y69" s="64">
        <f>DATEVALUE(tblWorkPackages[[#This Row],[Completion date]])</f>
        <v>45778.0</v>
      </c>
      <c r="Z69" s="64">
        <f>_xlfn.MINIFS(tblLaborEntries[Work date serial],tblLaborEntries[Work package ID],tblWorkPackages[[#This Row],[Work package ID]])</f>
        <v>45773.0</v>
      </c>
      <c r="AA69" s="64">
        <f>_xlfn.MAXIFS(tblLaborEntries[Work date serial],tblLaborEntries[Work package ID],tblWorkPackages[[#This Row],[Work package ID]])</f>
        <v>45775.0</v>
      </c>
      <c r="AB69" s="65">
        <f>IF(tblWorkPackages[[#This Row],[Completion date serial]]&gt;tblWorkPackages[[#This Row],[Due date serial]],1,0)</f>
        <v>0</v>
      </c>
      <c r="AC69" s="65">
        <f>MAX(0,tblWorkPackages[[#This Row],[Completion date serial]]-tblWorkPackages[[#This Row],[Due date serial]])</f>
        <v>0</v>
      </c>
      <c r="AD69" s="65">
        <f>tblWorkPackages[[#This Row],[First labor date]]-tblWorkPackages[[#This Row],[Request date serial]]</f>
        <v>1</v>
      </c>
      <c r="AE69" s="65">
        <f>tblWorkPackages[[#This Row],[Last labor date]]-tblWorkPackages[[#This Row],[First labor date]]</f>
        <v>2</v>
      </c>
      <c r="AF69" s="65">
        <f>tblWorkPackages[[#This Row],[Completion date serial]]-tblWorkPackages[[#This Row],[Last labor date]]</f>
        <v>3</v>
      </c>
      <c r="AG69" s="65">
        <f>tblWorkPackages[[#This Row],[Completion date serial]]-tblWorkPackages[[#This Row],[Request date serial]]</f>
        <v>6</v>
      </c>
      <c r="AH69" s="65">
        <f>IFERROR(INDEX(tblParts[Delay days],MATCH(tblWorkPackages[[#This Row],[Work package ID]],tblParts[Work package ID],0)),0)</f>
        <v>0</v>
      </c>
      <c r="AI69" s="51" t="str">
        <f>IFERROR(INDEX(tblDisruptions[Event type],MATCH(tblWorkPackages[[#This Row],[Work package ID]],tblDisruptions[Work package ID],0)),"None")</f>
        <v>None</v>
      </c>
      <c r="AJ69" s="51" t="str">
        <f>TEXT(tblWorkPackages[[#This Row],[Due date serial]],"yyyy-mm")</f>
        <v>2025-05</v>
      </c>
    </row>
    <row r="70" spans="1:36" ht="15" x14ac:dyDescent="0.25">
      <c r="A70" s="53" t="s">
        <v>411</v>
      </c>
      <c r="B70" s="53" t="s">
        <v>133</v>
      </c>
      <c r="C70" s="53" t="s">
        <v>384</v>
      </c>
      <c r="D70" s="53" t="s">
        <v>412</v>
      </c>
      <c r="E70" s="53" t="s">
        <v>136</v>
      </c>
      <c r="F70" s="53" t="s">
        <v>137</v>
      </c>
      <c r="G70" s="53" t="s">
        <v>138</v>
      </c>
      <c r="H70" s="53">
        <v>3</v>
      </c>
      <c r="I70" s="53" t="s">
        <v>176</v>
      </c>
      <c r="J70" s="53">
        <v>0</v>
      </c>
      <c r="K70" s="53">
        <v>0</v>
      </c>
      <c r="L70" s="53">
        <v>19.7</v>
      </c>
      <c r="M70" s="53" t="s">
        <v>413</v>
      </c>
      <c r="N70" s="53">
        <v>20.2</v>
      </c>
      <c r="O70" s="51" t="str">
        <f>TEXT(tblWorkPackages[[#This Row],[Request date serial]]-WEEKDAY(tblWorkPackages[[#This Row],[Request date serial]],3),"yyyy-mm-dd")</f>
        <v>2025-02-17</v>
      </c>
      <c r="P70" s="51">
        <f>ABS(tblWorkPackages[[#This Row],[Actual labor hours]]-tblWorkPackages[[#This Row],[Estimated labor hours]])</f>
        <v>0.5</v>
      </c>
      <c r="Q70" s="51">
        <f>IF(tblWorkPackages[[#This Row],[Actual labor hours]]&gt;tblWorkPackages[[#This Row],[Estimated labor hours]],1,0)</f>
        <v>1</v>
      </c>
      <c r="R70" s="51">
        <f>tblWorkPackages[[#This Row],[Actual labor hours]]-tblWorkPackages[[#This Row],[Estimated labor hours]]</f>
        <v>0.5</v>
      </c>
      <c r="S70" s="51" t="str">
        <f>IF(tblWorkPackages[[#This Row],[Request date serial]]&lt;ValidationStart,"Train 2024",IF(tblWorkPackages[[#This Row],[Request date serial]]&lt;HoldoutStart,"Validation H1","Holdout H2"))</f>
        <v>Validation H1</v>
      </c>
      <c r="T70" s="51">
        <f>IF(tblWorkPackages[[#This Row],[Time split]]="Train 2024","",tblWorkPackages[[#This Row],[Estimated labor hours]]+VLOOKUP(tblWorkPackages[[#This Row],[Task type]],'Forecast validation'!$A$14:$E$25,IF(tblWorkPackages[[#This Row],[Time split]]="Validation H1",4,5),FALSE()))</f>
        <v>20.5765306122449</v>
      </c>
      <c r="U70" s="51">
        <f>IF(tblWorkPackages[[#This Row],[Calibrated forecast hours]]="","",ABS(tblWorkPackages[[#This Row],[Actual labor hours]]-tblWorkPackages[[#This Row],[Calibrated forecast hours]]))</f>
        <v>0.376530612244899</v>
      </c>
      <c r="V70" s="51">
        <f>IF(tblWorkPackages[[#This Row],[Time split]]="Train 2024",tblWorkPackages[[#This Row],[Estimated labor hours]],tblWorkPackages[[#This Row],[Calibrated forecast hours]])</f>
        <v>20.5765306122449</v>
      </c>
      <c r="W70" s="64">
        <f>DATEVALUE(tblWorkPackages[[#This Row],[Request date]])</f>
        <v>45706.0</v>
      </c>
      <c r="X70" s="64">
        <f>DATEVALUE(tblWorkPackages[[#This Row],[Due date]])</f>
        <v>45712.0</v>
      </c>
      <c r="Y70" s="64">
        <f>DATEVALUE(tblWorkPackages[[#This Row],[Completion date]])</f>
        <v>45717.0</v>
      </c>
      <c r="Z70" s="64">
        <f>_xlfn.MINIFS(tblLaborEntries[Work date serial],tblLaborEntries[Work package ID],tblWorkPackages[[#This Row],[Work package ID]])</f>
        <v>45716.0</v>
      </c>
      <c r="AA70" s="64">
        <f>_xlfn.MAXIFS(tblLaborEntries[Work date serial],tblLaborEntries[Work package ID],tblWorkPackages[[#This Row],[Work package ID]])</f>
        <v>45717.0</v>
      </c>
      <c r="AB70" s="65">
        <f>IF(tblWorkPackages[[#This Row],[Completion date serial]]&gt;tblWorkPackages[[#This Row],[Due date serial]],1,0)</f>
        <v>1</v>
      </c>
      <c r="AC70" s="65">
        <f>MAX(0,tblWorkPackages[[#This Row],[Completion date serial]]-tblWorkPackages[[#This Row],[Due date serial]])</f>
        <v>5</v>
      </c>
      <c r="AD70" s="65">
        <f>tblWorkPackages[[#This Row],[First labor date]]-tblWorkPackages[[#This Row],[Request date serial]]</f>
        <v>10</v>
      </c>
      <c r="AE70" s="65">
        <f>tblWorkPackages[[#This Row],[Last labor date]]-tblWorkPackages[[#This Row],[First labor date]]</f>
        <v>1</v>
      </c>
      <c r="AF70" s="65">
        <f>tblWorkPackages[[#This Row],[Completion date serial]]-tblWorkPackages[[#This Row],[Last labor date]]</f>
        <v>0</v>
      </c>
      <c r="AG70" s="65">
        <f>tblWorkPackages[[#This Row],[Completion date serial]]-tblWorkPackages[[#This Row],[Request date serial]]</f>
        <v>11</v>
      </c>
      <c r="AH70" s="65">
        <f>IFERROR(INDEX(tblParts[Delay days],MATCH(tblWorkPackages[[#This Row],[Work package ID]],tblParts[Work package ID],0)),0)</f>
        <v>0</v>
      </c>
      <c r="AI70" s="51" t="str">
        <f>IFERROR(INDEX(tblDisruptions[Event type],MATCH(tblWorkPackages[[#This Row],[Work package ID]],tblDisruptions[Work package ID],0)),"None")</f>
        <v>None</v>
      </c>
      <c r="AJ70" s="51" t="str">
        <f>TEXT(tblWorkPackages[[#This Row],[Due date serial]],"yyyy-mm")</f>
        <v>2025-02</v>
      </c>
    </row>
    <row r="71" spans="1:36" ht="15" x14ac:dyDescent="0.25">
      <c r="A71" s="53" t="s">
        <v>414</v>
      </c>
      <c r="B71" s="53" t="s">
        <v>203</v>
      </c>
      <c r="C71" s="53" t="s">
        <v>191</v>
      </c>
      <c r="D71" s="53" t="s">
        <v>415</v>
      </c>
      <c r="E71" s="53" t="s">
        <v>209</v>
      </c>
      <c r="F71" s="53" t="s">
        <v>145</v>
      </c>
      <c r="G71" s="53" t="s">
        <v>210</v>
      </c>
      <c r="H71" s="53">
        <v>3</v>
      </c>
      <c r="I71" s="53" t="s">
        <v>176</v>
      </c>
      <c r="J71" s="53">
        <v>0</v>
      </c>
      <c r="K71" s="53">
        <v>0</v>
      </c>
      <c r="L71" s="53">
        <v>24.8</v>
      </c>
      <c r="M71" s="53" t="s">
        <v>415</v>
      </c>
      <c r="N71" s="53">
        <v>24.8</v>
      </c>
      <c r="O71" s="51" t="str">
        <f>TEXT(tblWorkPackages[[#This Row],[Request date serial]]-WEEKDAY(tblWorkPackages[[#This Row],[Request date serial]],3),"yyyy-mm-dd")</f>
        <v>2025-08-25</v>
      </c>
      <c r="P71" s="51">
        <f>ABS(tblWorkPackages[[#This Row],[Actual labor hours]]-tblWorkPackages[[#This Row],[Estimated labor hours]])</f>
        <v>0</v>
      </c>
      <c r="Q71" s="51">
        <f>IF(tblWorkPackages[[#This Row],[Actual labor hours]]&gt;tblWorkPackages[[#This Row],[Estimated labor hours]],1,0)</f>
        <v>0</v>
      </c>
      <c r="R71" s="51">
        <f>tblWorkPackages[[#This Row],[Actual labor hours]]-tblWorkPackages[[#This Row],[Estimated labor hours]]</f>
        <v>0</v>
      </c>
      <c r="S71" s="51" t="str">
        <f>IF(tblWorkPackages[[#This Row],[Request date serial]]&lt;ValidationStart,"Train 2024",IF(tblWorkPackages[[#This Row],[Request date serial]]&lt;HoldoutStart,"Validation H1","Holdout H2"))</f>
        <v>Holdout H2</v>
      </c>
      <c r="T71" s="51">
        <f>IF(tblWorkPackages[[#This Row],[Time split]]="Train 2024","",tblWorkPackages[[#This Row],[Estimated labor hours]]+VLOOKUP(tblWorkPackages[[#This Row],[Task type]],'Forecast validation'!$A$14:$E$25,IF(tblWorkPackages[[#This Row],[Time split]]="Validation H1",4,5),FALSE()))</f>
        <v>26.595652173913</v>
      </c>
      <c r="U71" s="51">
        <f>IF(tblWorkPackages[[#This Row],[Calibrated forecast hours]]="","",ABS(tblWorkPackages[[#This Row],[Actual labor hours]]-tblWorkPackages[[#This Row],[Calibrated forecast hours]]))</f>
        <v>1.79565217391304</v>
      </c>
      <c r="V71" s="51">
        <f>IF(tblWorkPackages[[#This Row],[Time split]]="Train 2024",tblWorkPackages[[#This Row],[Estimated labor hours]],tblWorkPackages[[#This Row],[Calibrated forecast hours]])</f>
        <v>26.595652173913</v>
      </c>
      <c r="W71" s="64">
        <f>DATEVALUE(tblWorkPackages[[#This Row],[Request date]])</f>
        <v>45896.0</v>
      </c>
      <c r="X71" s="64">
        <f>DATEVALUE(tblWorkPackages[[#This Row],[Due date]])</f>
        <v>45902.0</v>
      </c>
      <c r="Y71" s="64">
        <f>DATEVALUE(tblWorkPackages[[#This Row],[Completion date]])</f>
        <v>45902.0</v>
      </c>
      <c r="Z71" s="64">
        <f>_xlfn.MINIFS(tblLaborEntries[Work date serial],tblLaborEntries[Work package ID],tblWorkPackages[[#This Row],[Work package ID]])</f>
        <v>45899.0</v>
      </c>
      <c r="AA71" s="64">
        <f>_xlfn.MAXIFS(tblLaborEntries[Work date serial],tblLaborEntries[Work package ID],tblWorkPackages[[#This Row],[Work package ID]])</f>
        <v>45901.0</v>
      </c>
      <c r="AB71" s="65">
        <f>IF(tblWorkPackages[[#This Row],[Completion date serial]]&gt;tblWorkPackages[[#This Row],[Due date serial]],1,0)</f>
        <v>0</v>
      </c>
      <c r="AC71" s="65">
        <f>MAX(0,tblWorkPackages[[#This Row],[Completion date serial]]-tblWorkPackages[[#This Row],[Due date serial]])</f>
        <v>0</v>
      </c>
      <c r="AD71" s="65">
        <f>tblWorkPackages[[#This Row],[First labor date]]-tblWorkPackages[[#This Row],[Request date serial]]</f>
        <v>3</v>
      </c>
      <c r="AE71" s="65">
        <f>tblWorkPackages[[#This Row],[Last labor date]]-tblWorkPackages[[#This Row],[First labor date]]</f>
        <v>2</v>
      </c>
      <c r="AF71" s="65">
        <f>tblWorkPackages[[#This Row],[Completion date serial]]-tblWorkPackages[[#This Row],[Last labor date]]</f>
        <v>1</v>
      </c>
      <c r="AG71" s="65">
        <f>tblWorkPackages[[#This Row],[Completion date serial]]-tblWorkPackages[[#This Row],[Request date serial]]</f>
        <v>6</v>
      </c>
      <c r="AH71" s="65">
        <f>IFERROR(INDEX(tblParts[Delay days],MATCH(tblWorkPackages[[#This Row],[Work package ID]],tblParts[Work package ID],0)),0)</f>
        <v>0</v>
      </c>
      <c r="AI71" s="51" t="str">
        <f>IFERROR(INDEX(tblDisruptions[Event type],MATCH(tblWorkPackages[[#This Row],[Work package ID]],tblDisruptions[Work package ID],0)),"None")</f>
        <v>None</v>
      </c>
      <c r="AJ71" s="51" t="str">
        <f>TEXT(tblWorkPackages[[#This Row],[Due date serial]],"yyyy-mm")</f>
        <v>2025-09</v>
      </c>
    </row>
    <row r="72" spans="1:36" ht="15" x14ac:dyDescent="0.25">
      <c r="A72" s="53" t="s">
        <v>416</v>
      </c>
      <c r="B72" s="53" t="s">
        <v>150</v>
      </c>
      <c r="C72" s="53" t="s">
        <v>417</v>
      </c>
      <c r="D72" s="53" t="s">
        <v>418</v>
      </c>
      <c r="E72" s="53" t="s">
        <v>272</v>
      </c>
      <c r="F72" s="53" t="s">
        <v>145</v>
      </c>
      <c r="G72" s="53" t="s">
        <v>273</v>
      </c>
      <c r="H72" s="53">
        <v>3</v>
      </c>
      <c r="I72" s="53" t="s">
        <v>130</v>
      </c>
      <c r="J72" s="53">
        <v>0</v>
      </c>
      <c r="K72" s="53">
        <v>1</v>
      </c>
      <c r="L72" s="53">
        <v>18.100000000000001</v>
      </c>
      <c r="M72" s="53" t="s">
        <v>419</v>
      </c>
      <c r="N72" s="53">
        <v>24.8</v>
      </c>
      <c r="O72" s="51" t="str">
        <f>TEXT(tblWorkPackages[[#This Row],[Request date serial]]-WEEKDAY(tblWorkPackages[[#This Row],[Request date serial]],3),"yyyy-mm-dd")</f>
        <v>2024-04-29</v>
      </c>
      <c r="P72" s="51">
        <f>ABS(tblWorkPackages[[#This Row],[Actual labor hours]]-tblWorkPackages[[#This Row],[Estimated labor hours]])</f>
        <v>6.7</v>
      </c>
      <c r="Q72" s="51">
        <f>IF(tblWorkPackages[[#This Row],[Actual labor hours]]&gt;tblWorkPackages[[#This Row],[Estimated labor hours]],1,0)</f>
        <v>1</v>
      </c>
      <c r="R72" s="51">
        <f>tblWorkPackages[[#This Row],[Actual labor hours]]-tblWorkPackages[[#This Row],[Estimated labor hours]]</f>
        <v>6.7</v>
      </c>
      <c r="S72" s="51" t="str">
        <f>IF(tblWorkPackages[[#This Row],[Request date serial]]&lt;ValidationStart,"Train 2024",IF(tblWorkPackages[[#This Row],[Request date serial]]&lt;HoldoutStart,"Validation H1","Holdout H2"))</f>
        <v>Train 2024</v>
      </c>
      <c r="T72" s="51" t="str">
        <f>IF(tblWorkPackages[[#This Row],[Time split]]="Train 2024","",tblWorkPackages[[#This Row],[Estimated labor hours]]+VLOOKUP(tblWorkPackages[[#This Row],[Task type]],'Forecast validation'!$A$14:$E$25,IF(tblWorkPackages[[#This Row],[Time split]]="Validation H1",4,5),FALSE()))</f>
        <v/>
      </c>
      <c r="U72" s="51" t="str">
        <f>IF(tblWorkPackages[[#This Row],[Calibrated forecast hours]]="","",ABS(tblWorkPackages[[#This Row],[Actual labor hours]]-tblWorkPackages[[#This Row],[Calibrated forecast hours]]))</f>
        <v/>
      </c>
      <c r="V72" s="51">
        <f>IF(tblWorkPackages[[#This Row],[Time split]]="Train 2024",tblWorkPackages[[#This Row],[Estimated labor hours]],tblWorkPackages[[#This Row],[Calibrated forecast hours]])</f>
        <v>18.1</v>
      </c>
      <c r="W72" s="64">
        <f>DATEVALUE(tblWorkPackages[[#This Row],[Request date]])</f>
        <v>45416.0</v>
      </c>
      <c r="X72" s="64">
        <f>DATEVALUE(tblWorkPackages[[#This Row],[Due date]])</f>
        <v>45429.0</v>
      </c>
      <c r="Y72" s="64">
        <f>DATEVALUE(tblWorkPackages[[#This Row],[Completion date]])</f>
        <v>45457.0</v>
      </c>
      <c r="Z72" s="64">
        <f>_xlfn.MINIFS(tblLaborEntries[Work date serial],tblLaborEntries[Work package ID],tblWorkPackages[[#This Row],[Work package ID]])</f>
        <v>45453.0</v>
      </c>
      <c r="AA72" s="64">
        <f>_xlfn.MAXIFS(tblLaborEntries[Work date serial],tblLaborEntries[Work package ID],tblWorkPackages[[#This Row],[Work package ID]])</f>
        <v>45455.0</v>
      </c>
      <c r="AB72" s="65">
        <f>IF(tblWorkPackages[[#This Row],[Completion date serial]]&gt;tblWorkPackages[[#This Row],[Due date serial]],1,0)</f>
        <v>1</v>
      </c>
      <c r="AC72" s="65">
        <f>MAX(0,tblWorkPackages[[#This Row],[Completion date serial]]-tblWorkPackages[[#This Row],[Due date serial]])</f>
        <v>28</v>
      </c>
      <c r="AD72" s="65">
        <f>tblWorkPackages[[#This Row],[First labor date]]-tblWorkPackages[[#This Row],[Request date serial]]</f>
        <v>37</v>
      </c>
      <c r="AE72" s="65">
        <f>tblWorkPackages[[#This Row],[Last labor date]]-tblWorkPackages[[#This Row],[First labor date]]</f>
        <v>2</v>
      </c>
      <c r="AF72" s="65">
        <f>tblWorkPackages[[#This Row],[Completion date serial]]-tblWorkPackages[[#This Row],[Last labor date]]</f>
        <v>2</v>
      </c>
      <c r="AG72" s="65">
        <f>tblWorkPackages[[#This Row],[Completion date serial]]-tblWorkPackages[[#This Row],[Request date serial]]</f>
        <v>41</v>
      </c>
      <c r="AH72" s="65">
        <f>IFERROR(INDEX(tblParts[Delay days],MATCH(tblWorkPackages[[#This Row],[Work package ID]],tblParts[Work package ID],0)),0)</f>
        <v>10</v>
      </c>
      <c r="AI72" s="51" t="str">
        <f>IFERROR(INDEX(tblDisruptions[Event type],MATCH(tblWorkPackages[[#This Row],[Work package ID]],tblDisruptions[Work package ID],0)),"None")</f>
        <v>Part delay</v>
      </c>
      <c r="AJ72" s="51" t="str">
        <f>TEXT(tblWorkPackages[[#This Row],[Due date serial]],"yyyy-mm")</f>
        <v>2024-05</v>
      </c>
    </row>
    <row r="73" spans="1:36" ht="15" x14ac:dyDescent="0.25">
      <c r="A73" s="53" t="s">
        <v>420</v>
      </c>
      <c r="B73" s="53" t="s">
        <v>133</v>
      </c>
      <c r="C73" s="53" t="s">
        <v>421</v>
      </c>
      <c r="D73" s="53" t="s">
        <v>422</v>
      </c>
      <c r="E73" s="53" t="s">
        <v>200</v>
      </c>
      <c r="F73" s="53" t="s">
        <v>128</v>
      </c>
      <c r="G73" s="53" t="s">
        <v>129</v>
      </c>
      <c r="H73" s="53">
        <v>1</v>
      </c>
      <c r="I73" s="53" t="s">
        <v>130</v>
      </c>
      <c r="J73" s="53">
        <v>0</v>
      </c>
      <c r="K73" s="53">
        <v>0</v>
      </c>
      <c r="L73" s="53">
        <v>1.7</v>
      </c>
      <c r="M73" s="53" t="s">
        <v>309</v>
      </c>
      <c r="N73" s="53">
        <v>1.6</v>
      </c>
      <c r="O73" s="51" t="str">
        <f>TEXT(tblWorkPackages[[#This Row],[Request date serial]]-WEEKDAY(tblWorkPackages[[#This Row],[Request date serial]],3),"yyyy-mm-dd")</f>
        <v>2025-10-27</v>
      </c>
      <c r="P73" s="51">
        <f>ABS(tblWorkPackages[[#This Row],[Actual labor hours]]-tblWorkPackages[[#This Row],[Estimated labor hours]])</f>
        <v>0.0999999999999999</v>
      </c>
      <c r="Q73" s="51">
        <f>IF(tblWorkPackages[[#This Row],[Actual labor hours]]&gt;tblWorkPackages[[#This Row],[Estimated labor hours]],1,0)</f>
        <v>0</v>
      </c>
      <c r="R73" s="51">
        <f>tblWorkPackages[[#This Row],[Actual labor hours]]-tblWorkPackages[[#This Row],[Estimated labor hours]]</f>
        <v>-0.0999999999999999</v>
      </c>
      <c r="S73" s="51" t="str">
        <f>IF(tblWorkPackages[[#This Row],[Request date serial]]&lt;ValidationStart,"Train 2024",IF(tblWorkPackages[[#This Row],[Request date serial]]&lt;HoldoutStart,"Validation H1","Holdout H2"))</f>
        <v>Holdout H2</v>
      </c>
      <c r="T73" s="51">
        <f>IF(tblWorkPackages[[#This Row],[Time split]]="Train 2024","",tblWorkPackages[[#This Row],[Estimated labor hours]]+VLOOKUP(tblWorkPackages[[#This Row],[Task type]],'Forecast validation'!$A$14:$E$25,IF(tblWorkPackages[[#This Row],[Time split]]="Validation H1",4,5),FALSE()))</f>
        <v>2.02893081761006</v>
      </c>
      <c r="U73" s="51">
        <f>IF(tblWorkPackages[[#This Row],[Calibrated forecast hours]]="","",ABS(tblWorkPackages[[#This Row],[Actual labor hours]]-tblWorkPackages[[#This Row],[Calibrated forecast hours]]))</f>
        <v>0.428930817610063</v>
      </c>
      <c r="V73" s="51">
        <f>IF(tblWorkPackages[[#This Row],[Time split]]="Train 2024",tblWorkPackages[[#This Row],[Estimated labor hours]],tblWorkPackages[[#This Row],[Calibrated forecast hours]])</f>
        <v>2.02893081761006</v>
      </c>
      <c r="W73" s="64">
        <f>DATEVALUE(tblWorkPackages[[#This Row],[Request date]])</f>
        <v>45960.0</v>
      </c>
      <c r="X73" s="64">
        <f>DATEVALUE(tblWorkPackages[[#This Row],[Due date]])</f>
        <v>45973.0</v>
      </c>
      <c r="Y73" s="64">
        <f>DATEVALUE(tblWorkPackages[[#This Row],[Completion date]])</f>
        <v>45967.0</v>
      </c>
      <c r="Z73" s="64">
        <f>_xlfn.MINIFS(tblLaborEntries[Work date serial],tblLaborEntries[Work package ID],tblWorkPackages[[#This Row],[Work package ID]])</f>
        <v>45964.0</v>
      </c>
      <c r="AA73" s="64">
        <f>_xlfn.MAXIFS(tblLaborEntries[Work date serial],tblLaborEntries[Work package ID],tblWorkPackages[[#This Row],[Work package ID]])</f>
        <v>45964.0</v>
      </c>
      <c r="AB73" s="65">
        <f>IF(tblWorkPackages[[#This Row],[Completion date serial]]&gt;tblWorkPackages[[#This Row],[Due date serial]],1,0)</f>
        <v>0</v>
      </c>
      <c r="AC73" s="65">
        <f>MAX(0,tblWorkPackages[[#This Row],[Completion date serial]]-tblWorkPackages[[#This Row],[Due date serial]])</f>
        <v>0</v>
      </c>
      <c r="AD73" s="65">
        <f>tblWorkPackages[[#This Row],[First labor date]]-tblWorkPackages[[#This Row],[Request date serial]]</f>
        <v>4</v>
      </c>
      <c r="AE73" s="65">
        <f>tblWorkPackages[[#This Row],[Last labor date]]-tblWorkPackages[[#This Row],[First labor date]]</f>
        <v>0</v>
      </c>
      <c r="AF73" s="65">
        <f>tblWorkPackages[[#This Row],[Completion date serial]]-tblWorkPackages[[#This Row],[Last labor date]]</f>
        <v>3</v>
      </c>
      <c r="AG73" s="65">
        <f>tblWorkPackages[[#This Row],[Completion date serial]]-tblWorkPackages[[#This Row],[Request date serial]]</f>
        <v>7</v>
      </c>
      <c r="AH73" s="65">
        <f>IFERROR(INDEX(tblParts[Delay days],MATCH(tblWorkPackages[[#This Row],[Work package ID]],tblParts[Work package ID],0)),0)</f>
        <v>0</v>
      </c>
      <c r="AI73" s="51" t="str">
        <f>IFERROR(INDEX(tblDisruptions[Event type],MATCH(tblWorkPackages[[#This Row],[Work package ID]],tblDisruptions[Work package ID],0)),"None")</f>
        <v>None</v>
      </c>
      <c r="AJ73" s="51" t="str">
        <f>TEXT(tblWorkPackages[[#This Row],[Due date serial]],"yyyy-mm")</f>
        <v>2025-11</v>
      </c>
    </row>
    <row r="74" spans="1:36" ht="15" x14ac:dyDescent="0.25">
      <c r="A74" s="53" t="s">
        <v>423</v>
      </c>
      <c r="B74" s="53" t="s">
        <v>141</v>
      </c>
      <c r="C74" s="53" t="s">
        <v>424</v>
      </c>
      <c r="D74" s="53" t="s">
        <v>198</v>
      </c>
      <c r="E74" s="53" t="s">
        <v>242</v>
      </c>
      <c r="F74" s="53" t="s">
        <v>243</v>
      </c>
      <c r="G74" s="53" t="s">
        <v>129</v>
      </c>
      <c r="H74" s="53">
        <v>1</v>
      </c>
      <c r="I74" s="53" t="s">
        <v>130</v>
      </c>
      <c r="J74" s="53">
        <v>0</v>
      </c>
      <c r="K74" s="53">
        <v>0</v>
      </c>
      <c r="L74" s="53">
        <v>5.9</v>
      </c>
      <c r="M74" s="53" t="s">
        <v>425</v>
      </c>
      <c r="N74" s="53">
        <v>5.9</v>
      </c>
      <c r="O74" s="51" t="str">
        <f>TEXT(tblWorkPackages[[#This Row],[Request date serial]]-WEEKDAY(tblWorkPackages[[#This Row],[Request date serial]],3),"yyyy-mm-dd")</f>
        <v>2025-06-09</v>
      </c>
      <c r="P74" s="51">
        <f>ABS(tblWorkPackages[[#This Row],[Actual labor hours]]-tblWorkPackages[[#This Row],[Estimated labor hours]])</f>
        <v>0</v>
      </c>
      <c r="Q74" s="51">
        <f>IF(tblWorkPackages[[#This Row],[Actual labor hours]]&gt;tblWorkPackages[[#This Row],[Estimated labor hours]],1,0)</f>
        <v>0</v>
      </c>
      <c r="R74" s="51">
        <f>tblWorkPackages[[#This Row],[Actual labor hours]]-tblWorkPackages[[#This Row],[Estimated labor hours]]</f>
        <v>0</v>
      </c>
      <c r="S74" s="51" t="str">
        <f>IF(tblWorkPackages[[#This Row],[Request date serial]]&lt;ValidationStart,"Train 2024",IF(tblWorkPackages[[#This Row],[Request date serial]]&lt;HoldoutStart,"Validation H1","Holdout H2"))</f>
        <v>Validation H1</v>
      </c>
      <c r="T74" s="51">
        <f>IF(tblWorkPackages[[#This Row],[Time split]]="Train 2024","",tblWorkPackages[[#This Row],[Estimated labor hours]]+VLOOKUP(tblWorkPackages[[#This Row],[Task type]],'Forecast validation'!$A$14:$E$25,IF(tblWorkPackages[[#This Row],[Time split]]="Validation H1",4,5),FALSE()))</f>
        <v>6.45612244897959</v>
      </c>
      <c r="U74" s="51">
        <f>IF(tblWorkPackages[[#This Row],[Calibrated forecast hours]]="","",ABS(tblWorkPackages[[#This Row],[Actual labor hours]]-tblWorkPackages[[#This Row],[Calibrated forecast hours]]))</f>
        <v>0.556122448979592</v>
      </c>
      <c r="V74" s="51">
        <f>IF(tblWorkPackages[[#This Row],[Time split]]="Train 2024",tblWorkPackages[[#This Row],[Estimated labor hours]],tblWorkPackages[[#This Row],[Calibrated forecast hours]])</f>
        <v>6.45612244897959</v>
      </c>
      <c r="W74" s="64">
        <f>DATEVALUE(tblWorkPackages[[#This Row],[Request date]])</f>
        <v>45819.0</v>
      </c>
      <c r="X74" s="64">
        <f>DATEVALUE(tblWorkPackages[[#This Row],[Due date]])</f>
        <v>45832.0</v>
      </c>
      <c r="Y74" s="64">
        <f>DATEVALUE(tblWorkPackages[[#This Row],[Completion date]])</f>
        <v>45820.0</v>
      </c>
      <c r="Z74" s="64">
        <f>_xlfn.MINIFS(tblLaborEntries[Work date serial],tblLaborEntries[Work package ID],tblWorkPackages[[#This Row],[Work package ID]])</f>
        <v>45820.0</v>
      </c>
      <c r="AA74" s="64">
        <f>_xlfn.MAXIFS(tblLaborEntries[Work date serial],tblLaborEntries[Work package ID],tblWorkPackages[[#This Row],[Work package ID]])</f>
        <v>45820.0</v>
      </c>
      <c r="AB74" s="65">
        <f>IF(tblWorkPackages[[#This Row],[Completion date serial]]&gt;tblWorkPackages[[#This Row],[Due date serial]],1,0)</f>
        <v>0</v>
      </c>
      <c r="AC74" s="65">
        <f>MAX(0,tblWorkPackages[[#This Row],[Completion date serial]]-tblWorkPackages[[#This Row],[Due date serial]])</f>
        <v>0</v>
      </c>
      <c r="AD74" s="65">
        <f>tblWorkPackages[[#This Row],[First labor date]]-tblWorkPackages[[#This Row],[Request date serial]]</f>
        <v>1</v>
      </c>
      <c r="AE74" s="65">
        <f>tblWorkPackages[[#This Row],[Last labor date]]-tblWorkPackages[[#This Row],[First labor date]]</f>
        <v>0</v>
      </c>
      <c r="AF74" s="65">
        <f>tblWorkPackages[[#This Row],[Completion date serial]]-tblWorkPackages[[#This Row],[Last labor date]]</f>
        <v>0</v>
      </c>
      <c r="AG74" s="65">
        <f>tblWorkPackages[[#This Row],[Completion date serial]]-tblWorkPackages[[#This Row],[Request date serial]]</f>
        <v>1</v>
      </c>
      <c r="AH74" s="65">
        <f>IFERROR(INDEX(tblParts[Delay days],MATCH(tblWorkPackages[[#This Row],[Work package ID]],tblParts[Work package ID],0)),0)</f>
        <v>0</v>
      </c>
      <c r="AI74" s="51" t="str">
        <f>IFERROR(INDEX(tblDisruptions[Event type],MATCH(tblWorkPackages[[#This Row],[Work package ID]],tblDisruptions[Work package ID],0)),"None")</f>
        <v>None</v>
      </c>
      <c r="AJ74" s="51" t="str">
        <f>TEXT(tblWorkPackages[[#This Row],[Due date serial]],"yyyy-mm")</f>
        <v>2025-06</v>
      </c>
    </row>
    <row r="75" spans="1:36" ht="15" x14ac:dyDescent="0.25">
      <c r="A75" s="53" t="s">
        <v>426</v>
      </c>
      <c r="B75" s="53" t="s">
        <v>287</v>
      </c>
      <c r="C75" s="53" t="s">
        <v>427</v>
      </c>
      <c r="D75" s="53" t="s">
        <v>428</v>
      </c>
      <c r="E75" s="53" t="s">
        <v>200</v>
      </c>
      <c r="F75" s="53" t="s">
        <v>128</v>
      </c>
      <c r="G75" s="53" t="s">
        <v>129</v>
      </c>
      <c r="H75" s="53">
        <v>3</v>
      </c>
      <c r="I75" s="53" t="s">
        <v>176</v>
      </c>
      <c r="J75" s="53">
        <v>0</v>
      </c>
      <c r="K75" s="53">
        <v>0</v>
      </c>
      <c r="L75" s="53">
        <v>4.8</v>
      </c>
      <c r="M75" s="53" t="s">
        <v>337</v>
      </c>
      <c r="N75" s="53">
        <v>5.3</v>
      </c>
      <c r="O75" s="51" t="str">
        <f>TEXT(tblWorkPackages[[#This Row],[Request date serial]]-WEEKDAY(tblWorkPackages[[#This Row],[Request date serial]],3),"yyyy-mm-dd")</f>
        <v>2024-04-08</v>
      </c>
      <c r="P75" s="51">
        <f>ABS(tblWorkPackages[[#This Row],[Actual labor hours]]-tblWorkPackages[[#This Row],[Estimated labor hours]])</f>
        <v>0.5</v>
      </c>
      <c r="Q75" s="51">
        <f>IF(tblWorkPackages[[#This Row],[Actual labor hours]]&gt;tblWorkPackages[[#This Row],[Estimated labor hours]],1,0)</f>
        <v>1</v>
      </c>
      <c r="R75" s="51">
        <f>tblWorkPackages[[#This Row],[Actual labor hours]]-tblWorkPackages[[#This Row],[Estimated labor hours]]</f>
        <v>0.5</v>
      </c>
      <c r="S75" s="51" t="str">
        <f>IF(tblWorkPackages[[#This Row],[Request date serial]]&lt;ValidationStart,"Train 2024",IF(tblWorkPackages[[#This Row],[Request date serial]]&lt;HoldoutStart,"Validation H1","Holdout H2"))</f>
        <v>Train 2024</v>
      </c>
      <c r="T75" s="51" t="str">
        <f>IF(tblWorkPackages[[#This Row],[Time split]]="Train 2024","",tblWorkPackages[[#This Row],[Estimated labor hours]]+VLOOKUP(tblWorkPackages[[#This Row],[Task type]],'Forecast validation'!$A$14:$E$25,IF(tblWorkPackages[[#This Row],[Time split]]="Validation H1",4,5),FALSE()))</f>
        <v/>
      </c>
      <c r="U75" s="51" t="str">
        <f>IF(tblWorkPackages[[#This Row],[Calibrated forecast hours]]="","",ABS(tblWorkPackages[[#This Row],[Actual labor hours]]-tblWorkPackages[[#This Row],[Calibrated forecast hours]]))</f>
        <v/>
      </c>
      <c r="V75" s="51">
        <f>IF(tblWorkPackages[[#This Row],[Time split]]="Train 2024",tblWorkPackages[[#This Row],[Estimated labor hours]],tblWorkPackages[[#This Row],[Calibrated forecast hours]])</f>
        <v>4.8</v>
      </c>
      <c r="W75" s="64">
        <f>DATEVALUE(tblWorkPackages[[#This Row],[Request date]])</f>
        <v>45396.0</v>
      </c>
      <c r="X75" s="64">
        <f>DATEVALUE(tblWorkPackages[[#This Row],[Due date]])</f>
        <v>45402.0</v>
      </c>
      <c r="Y75" s="64">
        <f>DATEVALUE(tblWorkPackages[[#This Row],[Completion date]])</f>
        <v>45411.0</v>
      </c>
      <c r="Z75" s="64">
        <f>_xlfn.MINIFS(tblLaborEntries[Work date serial],tblLaborEntries[Work package ID],tblWorkPackages[[#This Row],[Work package ID]])</f>
        <v>45409.0</v>
      </c>
      <c r="AA75" s="64">
        <f>_xlfn.MAXIFS(tblLaborEntries[Work date serial],tblLaborEntries[Work package ID],tblWorkPackages[[#This Row],[Work package ID]])</f>
        <v>45410.0</v>
      </c>
      <c r="AB75" s="65">
        <f>IF(tblWorkPackages[[#This Row],[Completion date serial]]&gt;tblWorkPackages[[#This Row],[Due date serial]],1,0)</f>
        <v>1</v>
      </c>
      <c r="AC75" s="65">
        <f>MAX(0,tblWorkPackages[[#This Row],[Completion date serial]]-tblWorkPackages[[#This Row],[Due date serial]])</f>
        <v>9</v>
      </c>
      <c r="AD75" s="65">
        <f>tblWorkPackages[[#This Row],[First labor date]]-tblWorkPackages[[#This Row],[Request date serial]]</f>
        <v>13</v>
      </c>
      <c r="AE75" s="65">
        <f>tblWorkPackages[[#This Row],[Last labor date]]-tblWorkPackages[[#This Row],[First labor date]]</f>
        <v>1</v>
      </c>
      <c r="AF75" s="65">
        <f>tblWorkPackages[[#This Row],[Completion date serial]]-tblWorkPackages[[#This Row],[Last labor date]]</f>
        <v>1</v>
      </c>
      <c r="AG75" s="65">
        <f>tblWorkPackages[[#This Row],[Completion date serial]]-tblWorkPackages[[#This Row],[Request date serial]]</f>
        <v>15</v>
      </c>
      <c r="AH75" s="65">
        <f>IFERROR(INDEX(tblParts[Delay days],MATCH(tblWorkPackages[[#This Row],[Work package ID]],tblParts[Work package ID],0)),0)</f>
        <v>0</v>
      </c>
      <c r="AI75" s="51" t="str">
        <f>IFERROR(INDEX(tblDisruptions[Event type],MATCH(tblWorkPackages[[#This Row],[Work package ID]],tblDisruptions[Work package ID],0)),"None")</f>
        <v>None</v>
      </c>
      <c r="AJ75" s="51" t="str">
        <f>TEXT(tblWorkPackages[[#This Row],[Due date serial]],"yyyy-mm")</f>
        <v>2024-04</v>
      </c>
    </row>
    <row r="76" spans="1:36" ht="15" x14ac:dyDescent="0.25">
      <c r="A76" s="53" t="s">
        <v>429</v>
      </c>
      <c r="B76" s="53" t="s">
        <v>141</v>
      </c>
      <c r="C76" s="53" t="s">
        <v>430</v>
      </c>
      <c r="D76" s="53" t="s">
        <v>431</v>
      </c>
      <c r="E76" s="53" t="s">
        <v>136</v>
      </c>
      <c r="F76" s="53" t="s">
        <v>137</v>
      </c>
      <c r="G76" s="53" t="s">
        <v>138</v>
      </c>
      <c r="H76" s="53">
        <v>1</v>
      </c>
      <c r="I76" s="53" t="s">
        <v>176</v>
      </c>
      <c r="J76" s="53">
        <v>0</v>
      </c>
      <c r="K76" s="53">
        <v>1</v>
      </c>
      <c r="L76" s="53">
        <v>9.3000000000000007</v>
      </c>
      <c r="M76" s="53" t="s">
        <v>431</v>
      </c>
      <c r="N76" s="53">
        <v>7.7</v>
      </c>
      <c r="O76" s="51" t="str">
        <f>TEXT(tblWorkPackages[[#This Row],[Request date serial]]-WEEKDAY(tblWorkPackages[[#This Row],[Request date serial]],3),"yyyy-mm-dd")</f>
        <v>2025-07-07</v>
      </c>
      <c r="P76" s="51">
        <f>ABS(tblWorkPackages[[#This Row],[Actual labor hours]]-tblWorkPackages[[#This Row],[Estimated labor hours]])</f>
        <v>1.6</v>
      </c>
      <c r="Q76" s="51">
        <f>IF(tblWorkPackages[[#This Row],[Actual labor hours]]&gt;tblWorkPackages[[#This Row],[Estimated labor hours]],1,0)</f>
        <v>0</v>
      </c>
      <c r="R76" s="51">
        <f>tblWorkPackages[[#This Row],[Actual labor hours]]-tblWorkPackages[[#This Row],[Estimated labor hours]]</f>
        <v>-1.6</v>
      </c>
      <c r="S76" s="51" t="str">
        <f>IF(tblWorkPackages[[#This Row],[Request date serial]]&lt;ValidationStart,"Train 2024",IF(tblWorkPackages[[#This Row],[Request date serial]]&lt;HoldoutStart,"Validation H1","Holdout H2"))</f>
        <v>Holdout H2</v>
      </c>
      <c r="T76" s="51">
        <f>IF(tblWorkPackages[[#This Row],[Time split]]="Train 2024","",tblWorkPackages[[#This Row],[Estimated labor hours]]+VLOOKUP(tblWorkPackages[[#This Row],[Task type]],'Forecast validation'!$A$14:$E$25,IF(tblWorkPackages[[#This Row],[Time split]]="Validation H1",4,5),FALSE()))</f>
        <v>10.2207547169811</v>
      </c>
      <c r="U76" s="51">
        <f>IF(tblWorkPackages[[#This Row],[Calibrated forecast hours]]="","",ABS(tblWorkPackages[[#This Row],[Actual labor hours]]-tblWorkPackages[[#This Row],[Calibrated forecast hours]]))</f>
        <v>2.52075471698113</v>
      </c>
      <c r="V76" s="51">
        <f>IF(tblWorkPackages[[#This Row],[Time split]]="Train 2024",tblWorkPackages[[#This Row],[Estimated labor hours]],tblWorkPackages[[#This Row],[Calibrated forecast hours]])</f>
        <v>10.2207547169811</v>
      </c>
      <c r="W76" s="64">
        <f>DATEVALUE(tblWorkPackages[[#This Row],[Request date]])</f>
        <v>45846.0</v>
      </c>
      <c r="X76" s="64">
        <f>DATEVALUE(tblWorkPackages[[#This Row],[Due date]])</f>
        <v>45852.0</v>
      </c>
      <c r="Y76" s="64">
        <f>DATEVALUE(tblWorkPackages[[#This Row],[Completion date]])</f>
        <v>45852.0</v>
      </c>
      <c r="Z76" s="64">
        <f>_xlfn.MINIFS(tblLaborEntries[Work date serial],tblLaborEntries[Work package ID],tblWorkPackages[[#This Row],[Work package ID]])</f>
        <v>45849.0</v>
      </c>
      <c r="AA76" s="64">
        <f>_xlfn.MAXIFS(tblLaborEntries[Work date serial],tblLaborEntries[Work package ID],tblWorkPackages[[#This Row],[Work package ID]])</f>
        <v>45850.0</v>
      </c>
      <c r="AB76" s="65">
        <f>IF(tblWorkPackages[[#This Row],[Completion date serial]]&gt;tblWorkPackages[[#This Row],[Due date serial]],1,0)</f>
        <v>0</v>
      </c>
      <c r="AC76" s="65">
        <f>MAX(0,tblWorkPackages[[#This Row],[Completion date serial]]-tblWorkPackages[[#This Row],[Due date serial]])</f>
        <v>0</v>
      </c>
      <c r="AD76" s="65">
        <f>tblWorkPackages[[#This Row],[First labor date]]-tblWorkPackages[[#This Row],[Request date serial]]</f>
        <v>3</v>
      </c>
      <c r="AE76" s="65">
        <f>tblWorkPackages[[#This Row],[Last labor date]]-tblWorkPackages[[#This Row],[First labor date]]</f>
        <v>1</v>
      </c>
      <c r="AF76" s="65">
        <f>tblWorkPackages[[#This Row],[Completion date serial]]-tblWorkPackages[[#This Row],[Last labor date]]</f>
        <v>2</v>
      </c>
      <c r="AG76" s="65">
        <f>tblWorkPackages[[#This Row],[Completion date serial]]-tblWorkPackages[[#This Row],[Request date serial]]</f>
        <v>6</v>
      </c>
      <c r="AH76" s="65">
        <f>IFERROR(INDEX(tblParts[Delay days],MATCH(tblWorkPackages[[#This Row],[Work package ID]],tblParts[Work package ID],0)),0)</f>
        <v>0</v>
      </c>
      <c r="AI76" s="51" t="str">
        <f>IFERROR(INDEX(tblDisruptions[Event type],MATCH(tblWorkPackages[[#This Row],[Work package ID]],tblDisruptions[Work package ID],0)),"None")</f>
        <v>None</v>
      </c>
      <c r="AJ76" s="51" t="str">
        <f>TEXT(tblWorkPackages[[#This Row],[Due date serial]],"yyyy-mm")</f>
        <v>2025-07</v>
      </c>
    </row>
    <row r="77" spans="1:36" ht="15" x14ac:dyDescent="0.25">
      <c r="A77" s="53" t="s">
        <v>432</v>
      </c>
      <c r="B77" s="53" t="s">
        <v>287</v>
      </c>
      <c r="C77" s="53" t="s">
        <v>433</v>
      </c>
      <c r="D77" s="53" t="s">
        <v>434</v>
      </c>
      <c r="E77" s="53" t="s">
        <v>223</v>
      </c>
      <c r="F77" s="53" t="s">
        <v>182</v>
      </c>
      <c r="G77" s="53" t="s">
        <v>154</v>
      </c>
      <c r="H77" s="53">
        <v>1</v>
      </c>
      <c r="I77" s="53" t="s">
        <v>176</v>
      </c>
      <c r="J77" s="53">
        <v>0</v>
      </c>
      <c r="K77" s="53">
        <v>0</v>
      </c>
      <c r="L77" s="53">
        <v>7.5</v>
      </c>
      <c r="M77" s="53" t="s">
        <v>171</v>
      </c>
      <c r="N77" s="53">
        <v>9.6999999999999993</v>
      </c>
      <c r="O77" s="51" t="str">
        <f>TEXT(tblWorkPackages[[#This Row],[Request date serial]]-WEEKDAY(tblWorkPackages[[#This Row],[Request date serial]],3),"yyyy-mm-dd")</f>
        <v>2024-09-02</v>
      </c>
      <c r="P77" s="51">
        <f>ABS(tblWorkPackages[[#This Row],[Actual labor hours]]-tblWorkPackages[[#This Row],[Estimated labor hours]])</f>
        <v>2.2</v>
      </c>
      <c r="Q77" s="51">
        <f>IF(tblWorkPackages[[#This Row],[Actual labor hours]]&gt;tblWorkPackages[[#This Row],[Estimated labor hours]],1,0)</f>
        <v>1</v>
      </c>
      <c r="R77" s="51">
        <f>tblWorkPackages[[#This Row],[Actual labor hours]]-tblWorkPackages[[#This Row],[Estimated labor hours]]</f>
        <v>2.2</v>
      </c>
      <c r="S77" s="51" t="str">
        <f>IF(tblWorkPackages[[#This Row],[Request date serial]]&lt;ValidationStart,"Train 2024",IF(tblWorkPackages[[#This Row],[Request date serial]]&lt;HoldoutStart,"Validation H1","Holdout H2"))</f>
        <v>Train 2024</v>
      </c>
      <c r="T77" s="51" t="str">
        <f>IF(tblWorkPackages[[#This Row],[Time split]]="Train 2024","",tblWorkPackages[[#This Row],[Estimated labor hours]]+VLOOKUP(tblWorkPackages[[#This Row],[Task type]],'Forecast validation'!$A$14:$E$25,IF(tblWorkPackages[[#This Row],[Time split]]="Validation H1",4,5),FALSE()))</f>
        <v/>
      </c>
      <c r="U77" s="51" t="str">
        <f>IF(tblWorkPackages[[#This Row],[Calibrated forecast hours]]="","",ABS(tblWorkPackages[[#This Row],[Actual labor hours]]-tblWorkPackages[[#This Row],[Calibrated forecast hours]]))</f>
        <v/>
      </c>
      <c r="V77" s="51">
        <f>IF(tblWorkPackages[[#This Row],[Time split]]="Train 2024",tblWorkPackages[[#This Row],[Estimated labor hours]],tblWorkPackages[[#This Row],[Calibrated forecast hours]])</f>
        <v>7.5</v>
      </c>
      <c r="W77" s="64">
        <f>DATEVALUE(tblWorkPackages[[#This Row],[Request date]])</f>
        <v>45539.0</v>
      </c>
      <c r="X77" s="64">
        <f>DATEVALUE(tblWorkPackages[[#This Row],[Due date]])</f>
        <v>45545.0</v>
      </c>
      <c r="Y77" s="64">
        <f>DATEVALUE(tblWorkPackages[[#This Row],[Completion date]])</f>
        <v>45590.0</v>
      </c>
      <c r="Z77" s="64">
        <f>_xlfn.MINIFS(tblLaborEntries[Work date serial],tblLaborEntries[Work package ID],tblWorkPackages[[#This Row],[Work package ID]])</f>
        <v>45586.0</v>
      </c>
      <c r="AA77" s="64">
        <f>_xlfn.MAXIFS(tblLaborEntries[Work date serial],tblLaborEntries[Work package ID],tblWorkPackages[[#This Row],[Work package ID]])</f>
        <v>45587.0</v>
      </c>
      <c r="AB77" s="65">
        <f>IF(tblWorkPackages[[#This Row],[Completion date serial]]&gt;tblWorkPackages[[#This Row],[Due date serial]],1,0)</f>
        <v>1</v>
      </c>
      <c r="AC77" s="65">
        <f>MAX(0,tblWorkPackages[[#This Row],[Completion date serial]]-tblWorkPackages[[#This Row],[Due date serial]])</f>
        <v>45</v>
      </c>
      <c r="AD77" s="65">
        <f>tblWorkPackages[[#This Row],[First labor date]]-tblWorkPackages[[#This Row],[Request date serial]]</f>
        <v>47</v>
      </c>
      <c r="AE77" s="65">
        <f>tblWorkPackages[[#This Row],[Last labor date]]-tblWorkPackages[[#This Row],[First labor date]]</f>
        <v>1</v>
      </c>
      <c r="AF77" s="65">
        <f>tblWorkPackages[[#This Row],[Completion date serial]]-tblWorkPackages[[#This Row],[Last labor date]]</f>
        <v>3</v>
      </c>
      <c r="AG77" s="65">
        <f>tblWorkPackages[[#This Row],[Completion date serial]]-tblWorkPackages[[#This Row],[Request date serial]]</f>
        <v>51</v>
      </c>
      <c r="AH77" s="65">
        <f>IFERROR(INDEX(tblParts[Delay days],MATCH(tblWorkPackages[[#This Row],[Work package ID]],tblParts[Work package ID],0)),0)</f>
        <v>0</v>
      </c>
      <c r="AI77" s="51" t="str">
        <f>IFERROR(INDEX(tblDisruptions[Event type],MATCH(tblWorkPackages[[#This Row],[Work package ID]],tblDisruptions[Work package ID],0)),"None")</f>
        <v>Equipment unavailable</v>
      </c>
      <c r="AJ77" s="51" t="str">
        <f>TEXT(tblWorkPackages[[#This Row],[Due date serial]],"yyyy-mm")</f>
        <v>2024-09</v>
      </c>
    </row>
    <row r="78" spans="1:36" ht="15" x14ac:dyDescent="0.25">
      <c r="A78" s="53" t="s">
        <v>435</v>
      </c>
      <c r="B78" s="53" t="s">
        <v>185</v>
      </c>
      <c r="C78" s="53" t="s">
        <v>436</v>
      </c>
      <c r="D78" s="53" t="s">
        <v>427</v>
      </c>
      <c r="E78" s="53" t="s">
        <v>127</v>
      </c>
      <c r="F78" s="53" t="s">
        <v>128</v>
      </c>
      <c r="G78" s="53" t="s">
        <v>129</v>
      </c>
      <c r="H78" s="53">
        <v>2</v>
      </c>
      <c r="I78" s="53" t="s">
        <v>130</v>
      </c>
      <c r="J78" s="53">
        <v>0</v>
      </c>
      <c r="K78" s="53">
        <v>0</v>
      </c>
      <c r="L78" s="53">
        <v>8.4</v>
      </c>
      <c r="M78" s="53" t="s">
        <v>437</v>
      </c>
      <c r="N78" s="53">
        <v>10.8</v>
      </c>
      <c r="O78" s="51" t="str">
        <f>TEXT(tblWorkPackages[[#This Row],[Request date serial]]-WEEKDAY(tblWorkPackages[[#This Row],[Request date serial]],3),"yyyy-mm-dd")</f>
        <v>2024-04-01</v>
      </c>
      <c r="P78" s="51">
        <f>ABS(tblWorkPackages[[#This Row],[Actual labor hours]]-tblWorkPackages[[#This Row],[Estimated labor hours]])</f>
        <v>2.4</v>
      </c>
      <c r="Q78" s="51">
        <f>IF(tblWorkPackages[[#This Row],[Actual labor hours]]&gt;tblWorkPackages[[#This Row],[Estimated labor hours]],1,0)</f>
        <v>1</v>
      </c>
      <c r="R78" s="51">
        <f>tblWorkPackages[[#This Row],[Actual labor hours]]-tblWorkPackages[[#This Row],[Estimated labor hours]]</f>
        <v>2.4</v>
      </c>
      <c r="S78" s="51" t="str">
        <f>IF(tblWorkPackages[[#This Row],[Request date serial]]&lt;ValidationStart,"Train 2024",IF(tblWorkPackages[[#This Row],[Request date serial]]&lt;HoldoutStart,"Validation H1","Holdout H2"))</f>
        <v>Train 2024</v>
      </c>
      <c r="T78" s="51" t="str">
        <f>IF(tblWorkPackages[[#This Row],[Time split]]="Train 2024","",tblWorkPackages[[#This Row],[Estimated labor hours]]+VLOOKUP(tblWorkPackages[[#This Row],[Task type]],'Forecast validation'!$A$14:$E$25,IF(tblWorkPackages[[#This Row],[Time split]]="Validation H1",4,5),FALSE()))</f>
        <v/>
      </c>
      <c r="U78" s="51" t="str">
        <f>IF(tblWorkPackages[[#This Row],[Calibrated forecast hours]]="","",ABS(tblWorkPackages[[#This Row],[Actual labor hours]]-tblWorkPackages[[#This Row],[Calibrated forecast hours]]))</f>
        <v/>
      </c>
      <c r="V78" s="51">
        <f>IF(tblWorkPackages[[#This Row],[Time split]]="Train 2024",tblWorkPackages[[#This Row],[Estimated labor hours]],tblWorkPackages[[#This Row],[Calibrated forecast hours]])</f>
        <v>8.4</v>
      </c>
      <c r="W78" s="64">
        <f>DATEVALUE(tblWorkPackages[[#This Row],[Request date]])</f>
        <v>45383.0</v>
      </c>
      <c r="X78" s="64">
        <f>DATEVALUE(tblWorkPackages[[#This Row],[Due date]])</f>
        <v>45396.0</v>
      </c>
      <c r="Y78" s="64">
        <f>DATEVALUE(tblWorkPackages[[#This Row],[Completion date]])</f>
        <v>45393.0</v>
      </c>
      <c r="Z78" s="64">
        <f>_xlfn.MINIFS(tblLaborEntries[Work date serial],tblLaborEntries[Work package ID],tblWorkPackages[[#This Row],[Work package ID]])</f>
        <v>45391.0</v>
      </c>
      <c r="AA78" s="64">
        <f>_xlfn.MAXIFS(tblLaborEntries[Work date serial],tblLaborEntries[Work package ID],tblWorkPackages[[#This Row],[Work package ID]])</f>
        <v>45393.0</v>
      </c>
      <c r="AB78" s="65">
        <f>IF(tblWorkPackages[[#This Row],[Completion date serial]]&gt;tblWorkPackages[[#This Row],[Due date serial]],1,0)</f>
        <v>0</v>
      </c>
      <c r="AC78" s="65">
        <f>MAX(0,tblWorkPackages[[#This Row],[Completion date serial]]-tblWorkPackages[[#This Row],[Due date serial]])</f>
        <v>0</v>
      </c>
      <c r="AD78" s="65">
        <f>tblWorkPackages[[#This Row],[First labor date]]-tblWorkPackages[[#This Row],[Request date serial]]</f>
        <v>8</v>
      </c>
      <c r="AE78" s="65">
        <f>tblWorkPackages[[#This Row],[Last labor date]]-tblWorkPackages[[#This Row],[First labor date]]</f>
        <v>2</v>
      </c>
      <c r="AF78" s="65">
        <f>tblWorkPackages[[#This Row],[Completion date serial]]-tblWorkPackages[[#This Row],[Last labor date]]</f>
        <v>0</v>
      </c>
      <c r="AG78" s="65">
        <f>tblWorkPackages[[#This Row],[Completion date serial]]-tblWorkPackages[[#This Row],[Request date serial]]</f>
        <v>10</v>
      </c>
      <c r="AH78" s="65">
        <f>IFERROR(INDEX(tblParts[Delay days],MATCH(tblWorkPackages[[#This Row],[Work package ID]],tblParts[Work package ID],0)),0)</f>
        <v>0</v>
      </c>
      <c r="AI78" s="51" t="str">
        <f>IFERROR(INDEX(tblDisruptions[Event type],MATCH(tblWorkPackages[[#This Row],[Work package ID]],tblDisruptions[Work package ID],0)),"None")</f>
        <v>None</v>
      </c>
      <c r="AJ78" s="51" t="str">
        <f>TEXT(tblWorkPackages[[#This Row],[Due date serial]],"yyyy-mm")</f>
        <v>2024-04</v>
      </c>
    </row>
    <row r="79" spans="1:36" ht="15" x14ac:dyDescent="0.25">
      <c r="A79" s="53" t="s">
        <v>438</v>
      </c>
      <c r="B79" s="53" t="s">
        <v>157</v>
      </c>
      <c r="C79" s="53" t="s">
        <v>304</v>
      </c>
      <c r="D79" s="53" t="s">
        <v>164</v>
      </c>
      <c r="E79" s="53" t="s">
        <v>144</v>
      </c>
      <c r="F79" s="53" t="s">
        <v>145</v>
      </c>
      <c r="G79" s="53" t="s">
        <v>146</v>
      </c>
      <c r="H79" s="53">
        <v>1</v>
      </c>
      <c r="I79" s="53" t="s">
        <v>147</v>
      </c>
      <c r="J79" s="53">
        <v>0</v>
      </c>
      <c r="K79" s="53">
        <v>1</v>
      </c>
      <c r="L79" s="53">
        <v>6.8</v>
      </c>
      <c r="M79" s="53" t="s">
        <v>439</v>
      </c>
      <c r="N79" s="53">
        <v>9.8000000000000007</v>
      </c>
      <c r="O79" s="51" t="str">
        <f>TEXT(tblWorkPackages[[#This Row],[Request date serial]]-WEEKDAY(tblWorkPackages[[#This Row],[Request date serial]],3),"yyyy-mm-dd")</f>
        <v>2024-06-24</v>
      </c>
      <c r="P79" s="51">
        <f>ABS(tblWorkPackages[[#This Row],[Actual labor hours]]-tblWorkPackages[[#This Row],[Estimated labor hours]])</f>
        <v>3</v>
      </c>
      <c r="Q79" s="51">
        <f>IF(tblWorkPackages[[#This Row],[Actual labor hours]]&gt;tblWorkPackages[[#This Row],[Estimated labor hours]],1,0)</f>
        <v>1</v>
      </c>
      <c r="R79" s="51">
        <f>tblWorkPackages[[#This Row],[Actual labor hours]]-tblWorkPackages[[#This Row],[Estimated labor hours]]</f>
        <v>3</v>
      </c>
      <c r="S79" s="51" t="str">
        <f>IF(tblWorkPackages[[#This Row],[Request date serial]]&lt;ValidationStart,"Train 2024",IF(tblWorkPackages[[#This Row],[Request date serial]]&lt;HoldoutStart,"Validation H1","Holdout H2"))</f>
        <v>Train 2024</v>
      </c>
      <c r="T79" s="51" t="str">
        <f>IF(tblWorkPackages[[#This Row],[Time split]]="Train 2024","",tblWorkPackages[[#This Row],[Estimated labor hours]]+VLOOKUP(tblWorkPackages[[#This Row],[Task type]],'Forecast validation'!$A$14:$E$25,IF(tblWorkPackages[[#This Row],[Time split]]="Validation H1",4,5),FALSE()))</f>
        <v/>
      </c>
      <c r="U79" s="51" t="str">
        <f>IF(tblWorkPackages[[#This Row],[Calibrated forecast hours]]="","",ABS(tblWorkPackages[[#This Row],[Actual labor hours]]-tblWorkPackages[[#This Row],[Calibrated forecast hours]]))</f>
        <v/>
      </c>
      <c r="V79" s="51">
        <f>IF(tblWorkPackages[[#This Row],[Time split]]="Train 2024",tblWorkPackages[[#This Row],[Estimated labor hours]],tblWorkPackages[[#This Row],[Calibrated forecast hours]])</f>
        <v>6.8</v>
      </c>
      <c r="W79" s="64">
        <f>DATEVALUE(tblWorkPackages[[#This Row],[Request date]])</f>
        <v>45470.0</v>
      </c>
      <c r="X79" s="64">
        <f>DATEVALUE(tblWorkPackages[[#This Row],[Due date]])</f>
        <v>45472.0</v>
      </c>
      <c r="Y79" s="64">
        <f>DATEVALUE(tblWorkPackages[[#This Row],[Completion date]])</f>
        <v>45480.0</v>
      </c>
      <c r="Z79" s="64">
        <f>_xlfn.MINIFS(tblLaborEntries[Work date serial],tblLaborEntries[Work package ID],tblWorkPackages[[#This Row],[Work package ID]])</f>
        <v>45478.0</v>
      </c>
      <c r="AA79" s="64">
        <f>_xlfn.MAXIFS(tblLaborEntries[Work date serial],tblLaborEntries[Work package ID],tblWorkPackages[[#This Row],[Work package ID]])</f>
        <v>45479.0</v>
      </c>
      <c r="AB79" s="65">
        <f>IF(tblWorkPackages[[#This Row],[Completion date serial]]&gt;tblWorkPackages[[#This Row],[Due date serial]],1,0)</f>
        <v>1</v>
      </c>
      <c r="AC79" s="65">
        <f>MAX(0,tblWorkPackages[[#This Row],[Completion date serial]]-tblWorkPackages[[#This Row],[Due date serial]])</f>
        <v>8</v>
      </c>
      <c r="AD79" s="65">
        <f>tblWorkPackages[[#This Row],[First labor date]]-tblWorkPackages[[#This Row],[Request date serial]]</f>
        <v>8</v>
      </c>
      <c r="AE79" s="65">
        <f>tblWorkPackages[[#This Row],[Last labor date]]-tblWorkPackages[[#This Row],[First labor date]]</f>
        <v>1</v>
      </c>
      <c r="AF79" s="65">
        <f>tblWorkPackages[[#This Row],[Completion date serial]]-tblWorkPackages[[#This Row],[Last labor date]]</f>
        <v>1</v>
      </c>
      <c r="AG79" s="65">
        <f>tblWorkPackages[[#This Row],[Completion date serial]]-tblWorkPackages[[#This Row],[Request date serial]]</f>
        <v>10</v>
      </c>
      <c r="AH79" s="65">
        <f>IFERROR(INDEX(tblParts[Delay days],MATCH(tblWorkPackages[[#This Row],[Work package ID]],tblParts[Work package ID],0)),0)</f>
        <v>6</v>
      </c>
      <c r="AI79" s="51" t="str">
        <f>IFERROR(INDEX(tblDisruptions[Event type],MATCH(tblWorkPackages[[#This Row],[Work package ID]],tblDisruptions[Work package ID],0)),"None")</f>
        <v>Part delay</v>
      </c>
      <c r="AJ79" s="51" t="str">
        <f>TEXT(tblWorkPackages[[#This Row],[Due date serial]],"yyyy-mm")</f>
        <v>2024-06</v>
      </c>
    </row>
    <row r="80" spans="1:36" ht="15" x14ac:dyDescent="0.25">
      <c r="A80" s="53" t="s">
        <v>440</v>
      </c>
      <c r="B80" s="53" t="s">
        <v>157</v>
      </c>
      <c r="C80" s="53" t="s">
        <v>441</v>
      </c>
      <c r="D80" s="53" t="s">
        <v>442</v>
      </c>
      <c r="E80" s="53" t="s">
        <v>144</v>
      </c>
      <c r="F80" s="53" t="s">
        <v>145</v>
      </c>
      <c r="G80" s="53" t="s">
        <v>146</v>
      </c>
      <c r="H80" s="53">
        <v>1</v>
      </c>
      <c r="I80" s="53" t="s">
        <v>130</v>
      </c>
      <c r="J80" s="53">
        <v>0</v>
      </c>
      <c r="K80" s="53">
        <v>1</v>
      </c>
      <c r="L80" s="53">
        <v>6.4</v>
      </c>
      <c r="M80" s="53" t="s">
        <v>443</v>
      </c>
      <c r="N80" s="53">
        <v>7.9</v>
      </c>
      <c r="O80" s="51" t="str">
        <f>TEXT(tblWorkPackages[[#This Row],[Request date serial]]-WEEKDAY(tblWorkPackages[[#This Row],[Request date serial]],3),"yyyy-mm-dd")</f>
        <v>2024-01-22</v>
      </c>
      <c r="P80" s="51">
        <f>ABS(tblWorkPackages[[#This Row],[Actual labor hours]]-tblWorkPackages[[#This Row],[Estimated labor hours]])</f>
        <v>1.5</v>
      </c>
      <c r="Q80" s="51">
        <f>IF(tblWorkPackages[[#This Row],[Actual labor hours]]&gt;tblWorkPackages[[#This Row],[Estimated labor hours]],1,0)</f>
        <v>1</v>
      </c>
      <c r="R80" s="51">
        <f>tblWorkPackages[[#This Row],[Actual labor hours]]-tblWorkPackages[[#This Row],[Estimated labor hours]]</f>
        <v>1.5</v>
      </c>
      <c r="S80" s="51" t="str">
        <f>IF(tblWorkPackages[[#This Row],[Request date serial]]&lt;ValidationStart,"Train 2024",IF(tblWorkPackages[[#This Row],[Request date serial]]&lt;HoldoutStart,"Validation H1","Holdout H2"))</f>
        <v>Train 2024</v>
      </c>
      <c r="T80" s="51" t="str">
        <f>IF(tblWorkPackages[[#This Row],[Time split]]="Train 2024","",tblWorkPackages[[#This Row],[Estimated labor hours]]+VLOOKUP(tblWorkPackages[[#This Row],[Task type]],'Forecast validation'!$A$14:$E$25,IF(tblWorkPackages[[#This Row],[Time split]]="Validation H1",4,5),FALSE()))</f>
        <v/>
      </c>
      <c r="U80" s="51" t="str">
        <f>IF(tblWorkPackages[[#This Row],[Calibrated forecast hours]]="","",ABS(tblWorkPackages[[#This Row],[Actual labor hours]]-tblWorkPackages[[#This Row],[Calibrated forecast hours]]))</f>
        <v/>
      </c>
      <c r="V80" s="51">
        <f>IF(tblWorkPackages[[#This Row],[Time split]]="Train 2024",tblWorkPackages[[#This Row],[Estimated labor hours]],tblWorkPackages[[#This Row],[Calibrated forecast hours]])</f>
        <v>6.4</v>
      </c>
      <c r="W80" s="64">
        <f>DATEVALUE(tblWorkPackages[[#This Row],[Request date]])</f>
        <v>45317.0</v>
      </c>
      <c r="X80" s="64">
        <f>DATEVALUE(tblWorkPackages[[#This Row],[Due date]])</f>
        <v>45330.0</v>
      </c>
      <c r="Y80" s="64">
        <f>DATEVALUE(tblWorkPackages[[#This Row],[Completion date]])</f>
        <v>45351.0</v>
      </c>
      <c r="Z80" s="64">
        <f>_xlfn.MINIFS(tblLaborEntries[Work date serial],tblLaborEntries[Work package ID],tblWorkPackages[[#This Row],[Work package ID]])</f>
        <v>45347.0</v>
      </c>
      <c r="AA80" s="64">
        <f>_xlfn.MAXIFS(tblLaborEntries[Work date serial],tblLaborEntries[Work package ID],tblWorkPackages[[#This Row],[Work package ID]])</f>
        <v>45349.0</v>
      </c>
      <c r="AB80" s="65">
        <f>IF(tblWorkPackages[[#This Row],[Completion date serial]]&gt;tblWorkPackages[[#This Row],[Due date serial]],1,0)</f>
        <v>1</v>
      </c>
      <c r="AC80" s="65">
        <f>MAX(0,tblWorkPackages[[#This Row],[Completion date serial]]-tblWorkPackages[[#This Row],[Due date serial]])</f>
        <v>21</v>
      </c>
      <c r="AD80" s="65">
        <f>tblWorkPackages[[#This Row],[First labor date]]-tblWorkPackages[[#This Row],[Request date serial]]</f>
        <v>30</v>
      </c>
      <c r="AE80" s="65">
        <f>tblWorkPackages[[#This Row],[Last labor date]]-tblWorkPackages[[#This Row],[First labor date]]</f>
        <v>2</v>
      </c>
      <c r="AF80" s="65">
        <f>tblWorkPackages[[#This Row],[Completion date serial]]-tblWorkPackages[[#This Row],[Last labor date]]</f>
        <v>2</v>
      </c>
      <c r="AG80" s="65">
        <f>tblWorkPackages[[#This Row],[Completion date serial]]-tblWorkPackages[[#This Row],[Request date serial]]</f>
        <v>34</v>
      </c>
      <c r="AH80" s="65">
        <f>IFERROR(INDEX(tblParts[Delay days],MATCH(tblWorkPackages[[#This Row],[Work package ID]],tblParts[Work package ID],0)),0)</f>
        <v>11</v>
      </c>
      <c r="AI80" s="51" t="str">
        <f>IFERROR(INDEX(tblDisruptions[Event type],MATCH(tblWorkPackages[[#This Row],[Work package ID]],tblDisruptions[Work package ID],0)),"None")</f>
        <v>Part delay</v>
      </c>
      <c r="AJ80" s="51" t="str">
        <f>TEXT(tblWorkPackages[[#This Row],[Due date serial]],"yyyy-mm")</f>
        <v>2024-02</v>
      </c>
    </row>
    <row r="81" spans="1:36" ht="15" x14ac:dyDescent="0.25">
      <c r="A81" s="53" t="s">
        <v>444</v>
      </c>
      <c r="B81" s="53" t="s">
        <v>141</v>
      </c>
      <c r="C81" s="53" t="s">
        <v>445</v>
      </c>
      <c r="D81" s="53" t="s">
        <v>446</v>
      </c>
      <c r="E81" s="53" t="s">
        <v>181</v>
      </c>
      <c r="F81" s="53" t="s">
        <v>182</v>
      </c>
      <c r="G81" s="53" t="s">
        <v>138</v>
      </c>
      <c r="H81" s="53">
        <v>1</v>
      </c>
      <c r="I81" s="53" t="s">
        <v>147</v>
      </c>
      <c r="J81" s="53">
        <v>0</v>
      </c>
      <c r="K81" s="53">
        <v>0</v>
      </c>
      <c r="L81" s="53">
        <v>5.5</v>
      </c>
      <c r="M81" s="53" t="s">
        <v>447</v>
      </c>
      <c r="N81" s="53">
        <v>4.9000000000000004</v>
      </c>
      <c r="O81" s="51" t="str">
        <f>TEXT(tblWorkPackages[[#This Row],[Request date serial]]-WEEKDAY(tblWorkPackages[[#This Row],[Request date serial]],3),"yyyy-mm-dd")</f>
        <v>2025-03-17</v>
      </c>
      <c r="P81" s="51">
        <f>ABS(tblWorkPackages[[#This Row],[Actual labor hours]]-tblWorkPackages[[#This Row],[Estimated labor hours]])</f>
        <v>0.6</v>
      </c>
      <c r="Q81" s="51">
        <f>IF(tblWorkPackages[[#This Row],[Actual labor hours]]&gt;tblWorkPackages[[#This Row],[Estimated labor hours]],1,0)</f>
        <v>0</v>
      </c>
      <c r="R81" s="51">
        <f>tblWorkPackages[[#This Row],[Actual labor hours]]-tblWorkPackages[[#This Row],[Estimated labor hours]]</f>
        <v>-0.6</v>
      </c>
      <c r="S81" s="51" t="str">
        <f>IF(tblWorkPackages[[#This Row],[Request date serial]]&lt;ValidationStart,"Train 2024",IF(tblWorkPackages[[#This Row],[Request date serial]]&lt;HoldoutStart,"Validation H1","Holdout H2"))</f>
        <v>Validation H1</v>
      </c>
      <c r="T81" s="51">
        <f>IF(tblWorkPackages[[#This Row],[Time split]]="Train 2024","",tblWorkPackages[[#This Row],[Estimated labor hours]]+VLOOKUP(tblWorkPackages[[#This Row],[Task type]],'Forecast validation'!$A$14:$E$25,IF(tblWorkPackages[[#This Row],[Time split]]="Validation H1",4,5),FALSE()))</f>
        <v>6.08409090909091</v>
      </c>
      <c r="U81" s="51">
        <f>IF(tblWorkPackages[[#This Row],[Calibrated forecast hours]]="","",ABS(tblWorkPackages[[#This Row],[Actual labor hours]]-tblWorkPackages[[#This Row],[Calibrated forecast hours]]))</f>
        <v>1.18409090909091</v>
      </c>
      <c r="V81" s="51">
        <f>IF(tblWorkPackages[[#This Row],[Time split]]="Train 2024",tblWorkPackages[[#This Row],[Estimated labor hours]],tblWorkPackages[[#This Row],[Calibrated forecast hours]])</f>
        <v>6.08409090909091</v>
      </c>
      <c r="W81" s="64">
        <f>DATEVALUE(tblWorkPackages[[#This Row],[Request date]])</f>
        <v>45735.0</v>
      </c>
      <c r="X81" s="64">
        <f>DATEVALUE(tblWorkPackages[[#This Row],[Due date]])</f>
        <v>45737.0</v>
      </c>
      <c r="Y81" s="64">
        <f>DATEVALUE(tblWorkPackages[[#This Row],[Completion date]])</f>
        <v>45744.0</v>
      </c>
      <c r="Z81" s="64">
        <f>_xlfn.MINIFS(tblLaborEntries[Work date serial],tblLaborEntries[Work package ID],tblWorkPackages[[#This Row],[Work package ID]])</f>
        <v>45739.0</v>
      </c>
      <c r="AA81" s="64">
        <f>_xlfn.MAXIFS(tblLaborEntries[Work date serial],tblLaborEntries[Work package ID],tblWorkPackages[[#This Row],[Work package ID]])</f>
        <v>45741.0</v>
      </c>
      <c r="AB81" s="65">
        <f>IF(tblWorkPackages[[#This Row],[Completion date serial]]&gt;tblWorkPackages[[#This Row],[Due date serial]],1,0)</f>
        <v>1</v>
      </c>
      <c r="AC81" s="65">
        <f>MAX(0,tblWorkPackages[[#This Row],[Completion date serial]]-tblWorkPackages[[#This Row],[Due date serial]])</f>
        <v>7</v>
      </c>
      <c r="AD81" s="65">
        <f>tblWorkPackages[[#This Row],[First labor date]]-tblWorkPackages[[#This Row],[Request date serial]]</f>
        <v>4</v>
      </c>
      <c r="AE81" s="65">
        <f>tblWorkPackages[[#This Row],[Last labor date]]-tblWorkPackages[[#This Row],[First labor date]]</f>
        <v>2</v>
      </c>
      <c r="AF81" s="65">
        <f>tblWorkPackages[[#This Row],[Completion date serial]]-tblWorkPackages[[#This Row],[Last labor date]]</f>
        <v>3</v>
      </c>
      <c r="AG81" s="65">
        <f>tblWorkPackages[[#This Row],[Completion date serial]]-tblWorkPackages[[#This Row],[Request date serial]]</f>
        <v>9</v>
      </c>
      <c r="AH81" s="65">
        <f>IFERROR(INDEX(tblParts[Delay days],MATCH(tblWorkPackages[[#This Row],[Work package ID]],tblParts[Work package ID],0)),0)</f>
        <v>0</v>
      </c>
      <c r="AI81" s="51" t="str">
        <f>IFERROR(INDEX(tblDisruptions[Event type],MATCH(tblWorkPackages[[#This Row],[Work package ID]],tblDisruptions[Work package ID],0)),"None")</f>
        <v>None</v>
      </c>
      <c r="AJ81" s="51" t="str">
        <f>TEXT(tblWorkPackages[[#This Row],[Due date serial]],"yyyy-mm")</f>
        <v>2025-03</v>
      </c>
    </row>
    <row r="82" spans="1:36" ht="15" x14ac:dyDescent="0.25">
      <c r="A82" s="53" t="s">
        <v>448</v>
      </c>
      <c r="B82" s="53" t="s">
        <v>163</v>
      </c>
      <c r="C82" s="53" t="s">
        <v>449</v>
      </c>
      <c r="D82" s="53" t="s">
        <v>450</v>
      </c>
      <c r="E82" s="53" t="s">
        <v>242</v>
      </c>
      <c r="F82" s="53" t="s">
        <v>243</v>
      </c>
      <c r="G82" s="53" t="s">
        <v>129</v>
      </c>
      <c r="H82" s="53">
        <v>2</v>
      </c>
      <c r="I82" s="53" t="s">
        <v>176</v>
      </c>
      <c r="J82" s="53">
        <v>0</v>
      </c>
      <c r="K82" s="53">
        <v>0</v>
      </c>
      <c r="L82" s="53">
        <v>8.1999999999999993</v>
      </c>
      <c r="M82" s="53" t="s">
        <v>451</v>
      </c>
      <c r="N82" s="53">
        <v>10.3</v>
      </c>
      <c r="O82" s="51" t="str">
        <f>TEXT(tblWorkPackages[[#This Row],[Request date serial]]-WEEKDAY(tblWorkPackages[[#This Row],[Request date serial]],3),"yyyy-mm-dd")</f>
        <v>2024-07-08</v>
      </c>
      <c r="P82" s="51">
        <f>ABS(tblWorkPackages[[#This Row],[Actual labor hours]]-tblWorkPackages[[#This Row],[Estimated labor hours]])</f>
        <v>2.1</v>
      </c>
      <c r="Q82" s="51">
        <f>IF(tblWorkPackages[[#This Row],[Actual labor hours]]&gt;tblWorkPackages[[#This Row],[Estimated labor hours]],1,0)</f>
        <v>1</v>
      </c>
      <c r="R82" s="51">
        <f>tblWorkPackages[[#This Row],[Actual labor hours]]-tblWorkPackages[[#This Row],[Estimated labor hours]]</f>
        <v>2.1</v>
      </c>
      <c r="S82" s="51" t="str">
        <f>IF(tblWorkPackages[[#This Row],[Request date serial]]&lt;ValidationStart,"Train 2024",IF(tblWorkPackages[[#This Row],[Request date serial]]&lt;HoldoutStart,"Validation H1","Holdout H2"))</f>
        <v>Train 2024</v>
      </c>
      <c r="T82" s="51" t="str">
        <f>IF(tblWorkPackages[[#This Row],[Time split]]="Train 2024","",tblWorkPackages[[#This Row],[Estimated labor hours]]+VLOOKUP(tblWorkPackages[[#This Row],[Task type]],'Forecast validation'!$A$14:$E$25,IF(tblWorkPackages[[#This Row],[Time split]]="Validation H1",4,5),FALSE()))</f>
        <v/>
      </c>
      <c r="U82" s="51" t="str">
        <f>IF(tblWorkPackages[[#This Row],[Calibrated forecast hours]]="","",ABS(tblWorkPackages[[#This Row],[Actual labor hours]]-tblWorkPackages[[#This Row],[Calibrated forecast hours]]))</f>
        <v/>
      </c>
      <c r="V82" s="51">
        <f>IF(tblWorkPackages[[#This Row],[Time split]]="Train 2024",tblWorkPackages[[#This Row],[Estimated labor hours]],tblWorkPackages[[#This Row],[Calibrated forecast hours]])</f>
        <v>8.2</v>
      </c>
      <c r="W82" s="64">
        <f>DATEVALUE(tblWorkPackages[[#This Row],[Request date]])</f>
        <v>45481.0</v>
      </c>
      <c r="X82" s="64">
        <f>DATEVALUE(tblWorkPackages[[#This Row],[Due date]])</f>
        <v>45487.0</v>
      </c>
      <c r="Y82" s="64">
        <f>DATEVALUE(tblWorkPackages[[#This Row],[Completion date]])</f>
        <v>45484.0</v>
      </c>
      <c r="Z82" s="64">
        <f>_xlfn.MINIFS(tblLaborEntries[Work date serial],tblLaborEntries[Work package ID],tblWorkPackages[[#This Row],[Work package ID]])</f>
        <v>45482.0</v>
      </c>
      <c r="AA82" s="64">
        <f>_xlfn.MAXIFS(tblLaborEntries[Work date serial],tblLaborEntries[Work package ID],tblWorkPackages[[#This Row],[Work package ID]])</f>
        <v>45484.0</v>
      </c>
      <c r="AB82" s="65">
        <f>IF(tblWorkPackages[[#This Row],[Completion date serial]]&gt;tblWorkPackages[[#This Row],[Due date serial]],1,0)</f>
        <v>0</v>
      </c>
      <c r="AC82" s="65">
        <f>MAX(0,tblWorkPackages[[#This Row],[Completion date serial]]-tblWorkPackages[[#This Row],[Due date serial]])</f>
        <v>0</v>
      </c>
      <c r="AD82" s="65">
        <f>tblWorkPackages[[#This Row],[First labor date]]-tblWorkPackages[[#This Row],[Request date serial]]</f>
        <v>1</v>
      </c>
      <c r="AE82" s="65">
        <f>tblWorkPackages[[#This Row],[Last labor date]]-tblWorkPackages[[#This Row],[First labor date]]</f>
        <v>2</v>
      </c>
      <c r="AF82" s="65">
        <f>tblWorkPackages[[#This Row],[Completion date serial]]-tblWorkPackages[[#This Row],[Last labor date]]</f>
        <v>0</v>
      </c>
      <c r="AG82" s="65">
        <f>tblWorkPackages[[#This Row],[Completion date serial]]-tblWorkPackages[[#This Row],[Request date serial]]</f>
        <v>3</v>
      </c>
      <c r="AH82" s="65">
        <f>IFERROR(INDEX(tblParts[Delay days],MATCH(tblWorkPackages[[#This Row],[Work package ID]],tblParts[Work package ID],0)),0)</f>
        <v>0</v>
      </c>
      <c r="AI82" s="51" t="str">
        <f>IFERROR(INDEX(tblDisruptions[Event type],MATCH(tblWorkPackages[[#This Row],[Work package ID]],tblDisruptions[Work package ID],0)),"None")</f>
        <v>None</v>
      </c>
      <c r="AJ82" s="51" t="str">
        <f>TEXT(tblWorkPackages[[#This Row],[Due date serial]],"yyyy-mm")</f>
        <v>2024-07</v>
      </c>
    </row>
    <row r="83" spans="1:36" ht="15" x14ac:dyDescent="0.25">
      <c r="A83" s="53" t="s">
        <v>452</v>
      </c>
      <c r="B83" s="53" t="s">
        <v>124</v>
      </c>
      <c r="C83" s="53" t="s">
        <v>213</v>
      </c>
      <c r="D83" s="53" t="s">
        <v>453</v>
      </c>
      <c r="E83" s="53" t="s">
        <v>237</v>
      </c>
      <c r="F83" s="53" t="s">
        <v>182</v>
      </c>
      <c r="G83" s="53" t="s">
        <v>138</v>
      </c>
      <c r="H83" s="53">
        <v>3</v>
      </c>
      <c r="I83" s="53" t="s">
        <v>147</v>
      </c>
      <c r="J83" s="53">
        <v>0</v>
      </c>
      <c r="K83" s="53">
        <v>0</v>
      </c>
      <c r="L83" s="53">
        <v>7.3</v>
      </c>
      <c r="M83" s="53" t="s">
        <v>454</v>
      </c>
      <c r="N83" s="53">
        <v>8.6</v>
      </c>
      <c r="O83" s="51" t="str">
        <f>TEXT(tblWorkPackages[[#This Row],[Request date serial]]-WEEKDAY(tblWorkPackages[[#This Row],[Request date serial]],3),"yyyy-mm-dd")</f>
        <v>2024-01-08</v>
      </c>
      <c r="P83" s="51">
        <f>ABS(tblWorkPackages[[#This Row],[Actual labor hours]]-tblWorkPackages[[#This Row],[Estimated labor hours]])</f>
        <v>1.3</v>
      </c>
      <c r="Q83" s="51">
        <f>IF(tblWorkPackages[[#This Row],[Actual labor hours]]&gt;tblWorkPackages[[#This Row],[Estimated labor hours]],1,0)</f>
        <v>1</v>
      </c>
      <c r="R83" s="51">
        <f>tblWorkPackages[[#This Row],[Actual labor hours]]-tblWorkPackages[[#This Row],[Estimated labor hours]]</f>
        <v>1.3</v>
      </c>
      <c r="S83" s="51" t="str">
        <f>IF(tblWorkPackages[[#This Row],[Request date serial]]&lt;ValidationStart,"Train 2024",IF(tblWorkPackages[[#This Row],[Request date serial]]&lt;HoldoutStart,"Validation H1","Holdout H2"))</f>
        <v>Train 2024</v>
      </c>
      <c r="T83" s="51" t="str">
        <f>IF(tblWorkPackages[[#This Row],[Time split]]="Train 2024","",tblWorkPackages[[#This Row],[Estimated labor hours]]+VLOOKUP(tblWorkPackages[[#This Row],[Task type]],'Forecast validation'!$A$14:$E$25,IF(tblWorkPackages[[#This Row],[Time split]]="Validation H1",4,5),FALSE()))</f>
        <v/>
      </c>
      <c r="U83" s="51" t="str">
        <f>IF(tblWorkPackages[[#This Row],[Calibrated forecast hours]]="","",ABS(tblWorkPackages[[#This Row],[Actual labor hours]]-tblWorkPackages[[#This Row],[Calibrated forecast hours]]))</f>
        <v/>
      </c>
      <c r="V83" s="51">
        <f>IF(tblWorkPackages[[#This Row],[Time split]]="Train 2024",tblWorkPackages[[#This Row],[Estimated labor hours]],tblWorkPackages[[#This Row],[Calibrated forecast hours]])</f>
        <v>7.3</v>
      </c>
      <c r="W83" s="64">
        <f>DATEVALUE(tblWorkPackages[[#This Row],[Request date]])</f>
        <v>45305.0</v>
      </c>
      <c r="X83" s="64">
        <f>DATEVALUE(tblWorkPackages[[#This Row],[Due date]])</f>
        <v>45307.0</v>
      </c>
      <c r="Y83" s="64">
        <f>DATEVALUE(tblWorkPackages[[#This Row],[Completion date]])</f>
        <v>45318.0</v>
      </c>
      <c r="Z83" s="64">
        <f>_xlfn.MINIFS(tblLaborEntries[Work date serial],tblLaborEntries[Work package ID],tblWorkPackages[[#This Row],[Work package ID]])</f>
        <v>45316.0</v>
      </c>
      <c r="AA83" s="64">
        <f>_xlfn.MAXIFS(tblLaborEntries[Work date serial],tblLaborEntries[Work package ID],tblWorkPackages[[#This Row],[Work package ID]])</f>
        <v>45317.0</v>
      </c>
      <c r="AB83" s="65">
        <f>IF(tblWorkPackages[[#This Row],[Completion date serial]]&gt;tblWorkPackages[[#This Row],[Due date serial]],1,0)</f>
        <v>1</v>
      </c>
      <c r="AC83" s="65">
        <f>MAX(0,tblWorkPackages[[#This Row],[Completion date serial]]-tblWorkPackages[[#This Row],[Due date serial]])</f>
        <v>11</v>
      </c>
      <c r="AD83" s="65">
        <f>tblWorkPackages[[#This Row],[First labor date]]-tblWorkPackages[[#This Row],[Request date serial]]</f>
        <v>11</v>
      </c>
      <c r="AE83" s="65">
        <f>tblWorkPackages[[#This Row],[Last labor date]]-tblWorkPackages[[#This Row],[First labor date]]</f>
        <v>1</v>
      </c>
      <c r="AF83" s="65">
        <f>tblWorkPackages[[#This Row],[Completion date serial]]-tblWorkPackages[[#This Row],[Last labor date]]</f>
        <v>1</v>
      </c>
      <c r="AG83" s="65">
        <f>tblWorkPackages[[#This Row],[Completion date serial]]-tblWorkPackages[[#This Row],[Request date serial]]</f>
        <v>13</v>
      </c>
      <c r="AH83" s="65">
        <f>IFERROR(INDEX(tblParts[Delay days],MATCH(tblWorkPackages[[#This Row],[Work package ID]],tblParts[Work package ID],0)),0)</f>
        <v>0</v>
      </c>
      <c r="AI83" s="51" t="str">
        <f>IFERROR(INDEX(tblDisruptions[Event type],MATCH(tblWorkPackages[[#This Row],[Work package ID]],tblDisruptions[Work package ID],0)),"None")</f>
        <v>None</v>
      </c>
      <c r="AJ83" s="51" t="str">
        <f>TEXT(tblWorkPackages[[#This Row],[Due date serial]],"yyyy-mm")</f>
        <v>2024-01</v>
      </c>
    </row>
    <row r="84" spans="1:36" ht="15" x14ac:dyDescent="0.25">
      <c r="A84" s="53" t="s">
        <v>455</v>
      </c>
      <c r="B84" s="53" t="s">
        <v>173</v>
      </c>
      <c r="C84" s="53" t="s">
        <v>456</v>
      </c>
      <c r="D84" s="53" t="s">
        <v>253</v>
      </c>
      <c r="E84" s="53" t="s">
        <v>200</v>
      </c>
      <c r="F84" s="53" t="s">
        <v>128</v>
      </c>
      <c r="G84" s="53" t="s">
        <v>129</v>
      </c>
      <c r="H84" s="53">
        <v>3</v>
      </c>
      <c r="I84" s="53" t="s">
        <v>130</v>
      </c>
      <c r="J84" s="53">
        <v>0</v>
      </c>
      <c r="K84" s="53">
        <v>0</v>
      </c>
      <c r="L84" s="53">
        <v>4</v>
      </c>
      <c r="M84" s="53" t="s">
        <v>457</v>
      </c>
      <c r="N84" s="53">
        <v>4.9000000000000004</v>
      </c>
      <c r="O84" s="51" t="str">
        <f>TEXT(tblWorkPackages[[#This Row],[Request date serial]]-WEEKDAY(tblWorkPackages[[#This Row],[Request date serial]],3),"yyyy-mm-dd")</f>
        <v>2025-01-06</v>
      </c>
      <c r="P84" s="51">
        <f>ABS(tblWorkPackages[[#This Row],[Actual labor hours]]-tblWorkPackages[[#This Row],[Estimated labor hours]])</f>
        <v>0.9</v>
      </c>
      <c r="Q84" s="51">
        <f>IF(tblWorkPackages[[#This Row],[Actual labor hours]]&gt;tblWorkPackages[[#This Row],[Estimated labor hours]],1,0)</f>
        <v>1</v>
      </c>
      <c r="R84" s="51">
        <f>tblWorkPackages[[#This Row],[Actual labor hours]]-tblWorkPackages[[#This Row],[Estimated labor hours]]</f>
        <v>0.9</v>
      </c>
      <c r="S84" s="51" t="str">
        <f>IF(tblWorkPackages[[#This Row],[Request date serial]]&lt;ValidationStart,"Train 2024",IF(tblWorkPackages[[#This Row],[Request date serial]]&lt;HoldoutStart,"Validation H1","Holdout H2"))</f>
        <v>Validation H1</v>
      </c>
      <c r="T84" s="51">
        <f>IF(tblWorkPackages[[#This Row],[Time split]]="Train 2024","",tblWorkPackages[[#This Row],[Estimated labor hours]]+VLOOKUP(tblWorkPackages[[#This Row],[Task type]],'Forecast validation'!$A$14:$E$25,IF(tblWorkPackages[[#This Row],[Time split]]="Validation H1",4,5),FALSE()))</f>
        <v>4.33069306930693</v>
      </c>
      <c r="U84" s="51">
        <f>IF(tblWorkPackages[[#This Row],[Calibrated forecast hours]]="","",ABS(tblWorkPackages[[#This Row],[Actual labor hours]]-tblWorkPackages[[#This Row],[Calibrated forecast hours]]))</f>
        <v>0.569306930693069</v>
      </c>
      <c r="V84" s="51">
        <f>IF(tblWorkPackages[[#This Row],[Time split]]="Train 2024",tblWorkPackages[[#This Row],[Estimated labor hours]],tblWorkPackages[[#This Row],[Calibrated forecast hours]])</f>
        <v>4.33069306930693</v>
      </c>
      <c r="W84" s="64">
        <f>DATEVALUE(tblWorkPackages[[#This Row],[Request date]])</f>
        <v>45664.0</v>
      </c>
      <c r="X84" s="64">
        <f>DATEVALUE(tblWorkPackages[[#This Row],[Due date]])</f>
        <v>45677.0</v>
      </c>
      <c r="Y84" s="64">
        <f>DATEVALUE(tblWorkPackages[[#This Row],[Completion date]])</f>
        <v>45669.0</v>
      </c>
      <c r="Z84" s="64">
        <f>_xlfn.MINIFS(tblLaborEntries[Work date serial],tblLaborEntries[Work package ID],tblWorkPackages[[#This Row],[Work package ID]])</f>
        <v>45667.0</v>
      </c>
      <c r="AA84" s="64">
        <f>_xlfn.MAXIFS(tblLaborEntries[Work date serial],tblLaborEntries[Work package ID],tblWorkPackages[[#This Row],[Work package ID]])</f>
        <v>45667.0</v>
      </c>
      <c r="AB84" s="65">
        <f>IF(tblWorkPackages[[#This Row],[Completion date serial]]&gt;tblWorkPackages[[#This Row],[Due date serial]],1,0)</f>
        <v>0</v>
      </c>
      <c r="AC84" s="65">
        <f>MAX(0,tblWorkPackages[[#This Row],[Completion date serial]]-tblWorkPackages[[#This Row],[Due date serial]])</f>
        <v>0</v>
      </c>
      <c r="AD84" s="65">
        <f>tblWorkPackages[[#This Row],[First labor date]]-tblWorkPackages[[#This Row],[Request date serial]]</f>
        <v>3</v>
      </c>
      <c r="AE84" s="65">
        <f>tblWorkPackages[[#This Row],[Last labor date]]-tblWorkPackages[[#This Row],[First labor date]]</f>
        <v>0</v>
      </c>
      <c r="AF84" s="65">
        <f>tblWorkPackages[[#This Row],[Completion date serial]]-tblWorkPackages[[#This Row],[Last labor date]]</f>
        <v>2</v>
      </c>
      <c r="AG84" s="65">
        <f>tblWorkPackages[[#This Row],[Completion date serial]]-tblWorkPackages[[#This Row],[Request date serial]]</f>
        <v>5</v>
      </c>
      <c r="AH84" s="65">
        <f>IFERROR(INDEX(tblParts[Delay days],MATCH(tblWorkPackages[[#This Row],[Work package ID]],tblParts[Work package ID],0)),0)</f>
        <v>0</v>
      </c>
      <c r="AI84" s="51" t="str">
        <f>IFERROR(INDEX(tblDisruptions[Event type],MATCH(tblWorkPackages[[#This Row],[Work package ID]],tblDisruptions[Work package ID],0)),"None")</f>
        <v>None</v>
      </c>
      <c r="AJ84" s="51" t="str">
        <f>TEXT(tblWorkPackages[[#This Row],[Due date serial]],"yyyy-mm")</f>
        <v>2025-01</v>
      </c>
    </row>
    <row r="85" spans="1:36" ht="15" x14ac:dyDescent="0.25">
      <c r="A85" s="53" t="s">
        <v>458</v>
      </c>
      <c r="B85" s="53" t="s">
        <v>157</v>
      </c>
      <c r="C85" s="53" t="s">
        <v>226</v>
      </c>
      <c r="D85" s="53" t="s">
        <v>227</v>
      </c>
      <c r="E85" s="53" t="s">
        <v>153</v>
      </c>
      <c r="F85" s="53" t="s">
        <v>128</v>
      </c>
      <c r="G85" s="53" t="s">
        <v>154</v>
      </c>
      <c r="H85" s="53">
        <v>3</v>
      </c>
      <c r="I85" s="53" t="s">
        <v>130</v>
      </c>
      <c r="J85" s="53">
        <v>0</v>
      </c>
      <c r="K85" s="53">
        <v>0</v>
      </c>
      <c r="L85" s="53">
        <v>12</v>
      </c>
      <c r="M85" s="53" t="s">
        <v>459</v>
      </c>
      <c r="N85" s="53">
        <v>15.1</v>
      </c>
      <c r="O85" s="51" t="str">
        <f>TEXT(tblWorkPackages[[#This Row],[Request date serial]]-WEEKDAY(tblWorkPackages[[#This Row],[Request date serial]],3),"yyyy-mm-dd")</f>
        <v>2025-07-14</v>
      </c>
      <c r="P85" s="51">
        <f>ABS(tblWorkPackages[[#This Row],[Actual labor hours]]-tblWorkPackages[[#This Row],[Estimated labor hours]])</f>
        <v>3.1</v>
      </c>
      <c r="Q85" s="51">
        <f>IF(tblWorkPackages[[#This Row],[Actual labor hours]]&gt;tblWorkPackages[[#This Row],[Estimated labor hours]],1,0)</f>
        <v>1</v>
      </c>
      <c r="R85" s="51">
        <f>tblWorkPackages[[#This Row],[Actual labor hours]]-tblWorkPackages[[#This Row],[Estimated labor hours]]</f>
        <v>3.1</v>
      </c>
      <c r="S85" s="51" t="str">
        <f>IF(tblWorkPackages[[#This Row],[Request date serial]]&lt;ValidationStart,"Train 2024",IF(tblWorkPackages[[#This Row],[Request date serial]]&lt;HoldoutStart,"Validation H1","Holdout H2"))</f>
        <v>Holdout H2</v>
      </c>
      <c r="T85" s="51">
        <f>IF(tblWorkPackages[[#This Row],[Time split]]="Train 2024","",tblWorkPackages[[#This Row],[Estimated labor hours]]+VLOOKUP(tblWorkPackages[[#This Row],[Task type]],'Forecast validation'!$A$14:$E$25,IF(tblWorkPackages[[#This Row],[Time split]]="Validation H1",4,5),FALSE()))</f>
        <v>12.6026666666667</v>
      </c>
      <c r="U85" s="51">
        <f>IF(tblWorkPackages[[#This Row],[Calibrated forecast hours]]="","",ABS(tblWorkPackages[[#This Row],[Actual labor hours]]-tblWorkPackages[[#This Row],[Calibrated forecast hours]]))</f>
        <v>2.49733333333333</v>
      </c>
      <c r="V85" s="51">
        <f>IF(tblWorkPackages[[#This Row],[Time split]]="Train 2024",tblWorkPackages[[#This Row],[Estimated labor hours]],tblWorkPackages[[#This Row],[Calibrated forecast hours]])</f>
        <v>12.6026666666667</v>
      </c>
      <c r="W85" s="64">
        <f>DATEVALUE(tblWorkPackages[[#This Row],[Request date]])</f>
        <v>45857.0</v>
      </c>
      <c r="X85" s="64">
        <f>DATEVALUE(tblWorkPackages[[#This Row],[Due date]])</f>
        <v>45870.0</v>
      </c>
      <c r="Y85" s="64">
        <f>DATEVALUE(tblWorkPackages[[#This Row],[Completion date]])</f>
        <v>45892.0</v>
      </c>
      <c r="Z85" s="64">
        <f>_xlfn.MINIFS(tblLaborEntries[Work date serial],tblLaborEntries[Work package ID],tblWorkPackages[[#This Row],[Work package ID]])</f>
        <v>45889.0</v>
      </c>
      <c r="AA85" s="64">
        <f>_xlfn.MAXIFS(tblLaborEntries[Work date serial],tblLaborEntries[Work package ID],tblWorkPackages[[#This Row],[Work package ID]])</f>
        <v>45889.0</v>
      </c>
      <c r="AB85" s="65">
        <f>IF(tblWorkPackages[[#This Row],[Completion date serial]]&gt;tblWorkPackages[[#This Row],[Due date serial]],1,0)</f>
        <v>1</v>
      </c>
      <c r="AC85" s="65">
        <f>MAX(0,tblWorkPackages[[#This Row],[Completion date serial]]-tblWorkPackages[[#This Row],[Due date serial]])</f>
        <v>22</v>
      </c>
      <c r="AD85" s="65">
        <f>tblWorkPackages[[#This Row],[First labor date]]-tblWorkPackages[[#This Row],[Request date serial]]</f>
        <v>32</v>
      </c>
      <c r="AE85" s="65">
        <f>tblWorkPackages[[#This Row],[Last labor date]]-tblWorkPackages[[#This Row],[First labor date]]</f>
        <v>0</v>
      </c>
      <c r="AF85" s="65">
        <f>tblWorkPackages[[#This Row],[Completion date serial]]-tblWorkPackages[[#This Row],[Last labor date]]</f>
        <v>3</v>
      </c>
      <c r="AG85" s="65">
        <f>tblWorkPackages[[#This Row],[Completion date serial]]-tblWorkPackages[[#This Row],[Request date serial]]</f>
        <v>35</v>
      </c>
      <c r="AH85" s="65">
        <f>IFERROR(INDEX(tblParts[Delay days],MATCH(tblWorkPackages[[#This Row],[Work package ID]],tblParts[Work package ID],0)),0)</f>
        <v>0</v>
      </c>
      <c r="AI85" s="51" t="str">
        <f>IFERROR(INDEX(tblDisruptions[Event type],MATCH(tblWorkPackages[[#This Row],[Work package ID]],tblDisruptions[Work package ID],0)),"None")</f>
        <v>None</v>
      </c>
      <c r="AJ85" s="51" t="str">
        <f>TEXT(tblWorkPackages[[#This Row],[Due date serial]],"yyyy-mm")</f>
        <v>2025-08</v>
      </c>
    </row>
    <row r="86" spans="1:36" ht="15" x14ac:dyDescent="0.25">
      <c r="A86" s="53" t="s">
        <v>460</v>
      </c>
      <c r="B86" s="53" t="s">
        <v>133</v>
      </c>
      <c r="C86" s="53" t="s">
        <v>152</v>
      </c>
      <c r="D86" s="53" t="s">
        <v>155</v>
      </c>
      <c r="E86" s="53" t="s">
        <v>153</v>
      </c>
      <c r="F86" s="53" t="s">
        <v>128</v>
      </c>
      <c r="G86" s="53" t="s">
        <v>154</v>
      </c>
      <c r="H86" s="53">
        <v>1</v>
      </c>
      <c r="I86" s="53" t="s">
        <v>176</v>
      </c>
      <c r="J86" s="53">
        <v>0</v>
      </c>
      <c r="K86" s="53">
        <v>0</v>
      </c>
      <c r="L86" s="53">
        <v>5.6</v>
      </c>
      <c r="M86" s="53" t="s">
        <v>265</v>
      </c>
      <c r="N86" s="53">
        <v>5.0999999999999996</v>
      </c>
      <c r="O86" s="51" t="str">
        <f>TEXT(tblWorkPackages[[#This Row],[Request date serial]]-WEEKDAY(tblWorkPackages[[#This Row],[Request date serial]],3),"yyyy-mm-dd")</f>
        <v>2024-08-19</v>
      </c>
      <c r="P86" s="51">
        <f>ABS(tblWorkPackages[[#This Row],[Actual labor hours]]-tblWorkPackages[[#This Row],[Estimated labor hours]])</f>
        <v>0.5</v>
      </c>
      <c r="Q86" s="51">
        <f>IF(tblWorkPackages[[#This Row],[Actual labor hours]]&gt;tblWorkPackages[[#This Row],[Estimated labor hours]],1,0)</f>
        <v>0</v>
      </c>
      <c r="R86" s="51">
        <f>tblWorkPackages[[#This Row],[Actual labor hours]]-tblWorkPackages[[#This Row],[Estimated labor hours]]</f>
        <v>-0.5</v>
      </c>
      <c r="S86" s="51" t="str">
        <f>IF(tblWorkPackages[[#This Row],[Request date serial]]&lt;ValidationStart,"Train 2024",IF(tblWorkPackages[[#This Row],[Request date serial]]&lt;HoldoutStart,"Validation H1","Holdout H2"))</f>
        <v>Train 2024</v>
      </c>
      <c r="T86" s="51" t="str">
        <f>IF(tblWorkPackages[[#This Row],[Time split]]="Train 2024","",tblWorkPackages[[#This Row],[Estimated labor hours]]+VLOOKUP(tblWorkPackages[[#This Row],[Task type]],'Forecast validation'!$A$14:$E$25,IF(tblWorkPackages[[#This Row],[Time split]]="Validation H1",4,5),FALSE()))</f>
        <v/>
      </c>
      <c r="U86" s="51" t="str">
        <f>IF(tblWorkPackages[[#This Row],[Calibrated forecast hours]]="","",ABS(tblWorkPackages[[#This Row],[Actual labor hours]]-tblWorkPackages[[#This Row],[Calibrated forecast hours]]))</f>
        <v/>
      </c>
      <c r="V86" s="51">
        <f>IF(tblWorkPackages[[#This Row],[Time split]]="Train 2024",tblWorkPackages[[#This Row],[Estimated labor hours]],tblWorkPackages[[#This Row],[Calibrated forecast hours]])</f>
        <v>5.6</v>
      </c>
      <c r="W86" s="64">
        <f>DATEVALUE(tblWorkPackages[[#This Row],[Request date]])</f>
        <v>45529.0</v>
      </c>
      <c r="X86" s="64">
        <f>DATEVALUE(tblWorkPackages[[#This Row],[Due date]])</f>
        <v>45535.0</v>
      </c>
      <c r="Y86" s="64">
        <f>DATEVALUE(tblWorkPackages[[#This Row],[Completion date]])</f>
        <v>45536.0</v>
      </c>
      <c r="Z86" s="64">
        <f>_xlfn.MINIFS(tblLaborEntries[Work date serial],tblLaborEntries[Work package ID],tblWorkPackages[[#This Row],[Work package ID]])</f>
        <v>45535.0</v>
      </c>
      <c r="AA86" s="64">
        <f>_xlfn.MAXIFS(tblLaborEntries[Work date serial],tblLaborEntries[Work package ID],tblWorkPackages[[#This Row],[Work package ID]])</f>
        <v>45536.0</v>
      </c>
      <c r="AB86" s="65">
        <f>IF(tblWorkPackages[[#This Row],[Completion date serial]]&gt;tblWorkPackages[[#This Row],[Due date serial]],1,0)</f>
        <v>1</v>
      </c>
      <c r="AC86" s="65">
        <f>MAX(0,tblWorkPackages[[#This Row],[Completion date serial]]-tblWorkPackages[[#This Row],[Due date serial]])</f>
        <v>1</v>
      </c>
      <c r="AD86" s="65">
        <f>tblWorkPackages[[#This Row],[First labor date]]-tblWorkPackages[[#This Row],[Request date serial]]</f>
        <v>6</v>
      </c>
      <c r="AE86" s="65">
        <f>tblWorkPackages[[#This Row],[Last labor date]]-tblWorkPackages[[#This Row],[First labor date]]</f>
        <v>1</v>
      </c>
      <c r="AF86" s="65">
        <f>tblWorkPackages[[#This Row],[Completion date serial]]-tblWorkPackages[[#This Row],[Last labor date]]</f>
        <v>0</v>
      </c>
      <c r="AG86" s="65">
        <f>tblWorkPackages[[#This Row],[Completion date serial]]-tblWorkPackages[[#This Row],[Request date serial]]</f>
        <v>7</v>
      </c>
      <c r="AH86" s="65">
        <f>IFERROR(INDEX(tblParts[Delay days],MATCH(tblWorkPackages[[#This Row],[Work package ID]],tblParts[Work package ID],0)),0)</f>
        <v>0</v>
      </c>
      <c r="AI86" s="51" t="str">
        <f>IFERROR(INDEX(tblDisruptions[Event type],MATCH(tblWorkPackages[[#This Row],[Work package ID]],tblDisruptions[Work package ID],0)),"None")</f>
        <v>None</v>
      </c>
      <c r="AJ86" s="51" t="str">
        <f>TEXT(tblWorkPackages[[#This Row],[Due date serial]],"yyyy-mm")</f>
        <v>2024-08</v>
      </c>
    </row>
    <row r="87" spans="1:36" ht="15" x14ac:dyDescent="0.25">
      <c r="A87" s="53" t="s">
        <v>461</v>
      </c>
      <c r="B87" s="53" t="s">
        <v>133</v>
      </c>
      <c r="C87" s="53" t="s">
        <v>462</v>
      </c>
      <c r="D87" s="53" t="s">
        <v>463</v>
      </c>
      <c r="E87" s="53" t="s">
        <v>136</v>
      </c>
      <c r="F87" s="53" t="s">
        <v>137</v>
      </c>
      <c r="G87" s="53" t="s">
        <v>138</v>
      </c>
      <c r="H87" s="53">
        <v>1</v>
      </c>
      <c r="I87" s="53" t="s">
        <v>176</v>
      </c>
      <c r="J87" s="53">
        <v>0</v>
      </c>
      <c r="K87" s="53">
        <v>0</v>
      </c>
      <c r="L87" s="53">
        <v>8.1</v>
      </c>
      <c r="M87" s="53" t="s">
        <v>464</v>
      </c>
      <c r="N87" s="53">
        <v>6.7</v>
      </c>
      <c r="O87" s="51" t="str">
        <f>TEXT(tblWorkPackages[[#This Row],[Request date serial]]-WEEKDAY(tblWorkPackages[[#This Row],[Request date serial]],3),"yyyy-mm-dd")</f>
        <v>2025-09-22</v>
      </c>
      <c r="P87" s="51">
        <f>ABS(tblWorkPackages[[#This Row],[Actual labor hours]]-tblWorkPackages[[#This Row],[Estimated labor hours]])</f>
        <v>1.4</v>
      </c>
      <c r="Q87" s="51">
        <f>IF(tblWorkPackages[[#This Row],[Actual labor hours]]&gt;tblWorkPackages[[#This Row],[Estimated labor hours]],1,0)</f>
        <v>0</v>
      </c>
      <c r="R87" s="51">
        <f>tblWorkPackages[[#This Row],[Actual labor hours]]-tblWorkPackages[[#This Row],[Estimated labor hours]]</f>
        <v>-1.4</v>
      </c>
      <c r="S87" s="51" t="str">
        <f>IF(tblWorkPackages[[#This Row],[Request date serial]]&lt;ValidationStart,"Train 2024",IF(tblWorkPackages[[#This Row],[Request date serial]]&lt;HoldoutStart,"Validation H1","Holdout H2"))</f>
        <v>Holdout H2</v>
      </c>
      <c r="T87" s="51">
        <f>IF(tblWorkPackages[[#This Row],[Time split]]="Train 2024","",tblWorkPackages[[#This Row],[Estimated labor hours]]+VLOOKUP(tblWorkPackages[[#This Row],[Task type]],'Forecast validation'!$A$14:$E$25,IF(tblWorkPackages[[#This Row],[Time split]]="Validation H1",4,5),FALSE()))</f>
        <v>9.02075471698113</v>
      </c>
      <c r="U87" s="51">
        <f>IF(tblWorkPackages[[#This Row],[Calibrated forecast hours]]="","",ABS(tblWorkPackages[[#This Row],[Actual labor hours]]-tblWorkPackages[[#This Row],[Calibrated forecast hours]]))</f>
        <v>2.32075471698113</v>
      </c>
      <c r="V87" s="51">
        <f>IF(tblWorkPackages[[#This Row],[Time split]]="Train 2024",tblWorkPackages[[#This Row],[Estimated labor hours]],tblWorkPackages[[#This Row],[Calibrated forecast hours]])</f>
        <v>9.02075471698113</v>
      </c>
      <c r="W87" s="64">
        <f>DATEVALUE(tblWorkPackages[[#This Row],[Request date]])</f>
        <v>45925.0</v>
      </c>
      <c r="X87" s="64">
        <f>DATEVALUE(tblWorkPackages[[#This Row],[Due date]])</f>
        <v>45931.0</v>
      </c>
      <c r="Y87" s="64">
        <f>DATEVALUE(tblWorkPackages[[#This Row],[Completion date]])</f>
        <v>45929.0</v>
      </c>
      <c r="Z87" s="64">
        <f>_xlfn.MINIFS(tblLaborEntries[Work date serial],tblLaborEntries[Work package ID],tblWorkPackages[[#This Row],[Work package ID]])</f>
        <v>45927.0</v>
      </c>
      <c r="AA87" s="64">
        <f>_xlfn.MAXIFS(tblLaborEntries[Work date serial],tblLaborEntries[Work package ID],tblWorkPackages[[#This Row],[Work package ID]])</f>
        <v>45928.0</v>
      </c>
      <c r="AB87" s="65">
        <f>IF(tblWorkPackages[[#This Row],[Completion date serial]]&gt;tblWorkPackages[[#This Row],[Due date serial]],1,0)</f>
        <v>0</v>
      </c>
      <c r="AC87" s="65">
        <f>MAX(0,tblWorkPackages[[#This Row],[Completion date serial]]-tblWorkPackages[[#This Row],[Due date serial]])</f>
        <v>0</v>
      </c>
      <c r="AD87" s="65">
        <f>tblWorkPackages[[#This Row],[First labor date]]-tblWorkPackages[[#This Row],[Request date serial]]</f>
        <v>2</v>
      </c>
      <c r="AE87" s="65">
        <f>tblWorkPackages[[#This Row],[Last labor date]]-tblWorkPackages[[#This Row],[First labor date]]</f>
        <v>1</v>
      </c>
      <c r="AF87" s="65">
        <f>tblWorkPackages[[#This Row],[Completion date serial]]-tblWorkPackages[[#This Row],[Last labor date]]</f>
        <v>1</v>
      </c>
      <c r="AG87" s="65">
        <f>tblWorkPackages[[#This Row],[Completion date serial]]-tblWorkPackages[[#This Row],[Request date serial]]</f>
        <v>4</v>
      </c>
      <c r="AH87" s="65">
        <f>IFERROR(INDEX(tblParts[Delay days],MATCH(tblWorkPackages[[#This Row],[Work package ID]],tblParts[Work package ID],0)),0)</f>
        <v>0</v>
      </c>
      <c r="AI87" s="51" t="str">
        <f>IFERROR(INDEX(tblDisruptions[Event type],MATCH(tblWorkPackages[[#This Row],[Work package ID]],tblDisruptions[Work package ID],0)),"None")</f>
        <v>None</v>
      </c>
      <c r="AJ87" s="51" t="str">
        <f>TEXT(tblWorkPackages[[#This Row],[Due date serial]],"yyyy-mm")</f>
        <v>2025-10</v>
      </c>
    </row>
    <row r="88" spans="1:36" ht="15" x14ac:dyDescent="0.25">
      <c r="A88" s="53" t="s">
        <v>465</v>
      </c>
      <c r="B88" s="53" t="s">
        <v>168</v>
      </c>
      <c r="C88" s="53" t="s">
        <v>466</v>
      </c>
      <c r="D88" s="53" t="s">
        <v>467</v>
      </c>
      <c r="E88" s="53" t="s">
        <v>181</v>
      </c>
      <c r="F88" s="53" t="s">
        <v>182</v>
      </c>
      <c r="G88" s="53" t="s">
        <v>138</v>
      </c>
      <c r="H88" s="53">
        <v>4</v>
      </c>
      <c r="I88" s="53" t="s">
        <v>176</v>
      </c>
      <c r="J88" s="53">
        <v>0</v>
      </c>
      <c r="K88" s="53">
        <v>1</v>
      </c>
      <c r="L88" s="53">
        <v>15.8</v>
      </c>
      <c r="M88" s="53" t="s">
        <v>468</v>
      </c>
      <c r="N88" s="53">
        <v>25.5</v>
      </c>
      <c r="O88" s="51" t="str">
        <f>TEXT(tblWorkPackages[[#This Row],[Request date serial]]-WEEKDAY(tblWorkPackages[[#This Row],[Request date serial]],3),"yyyy-mm-dd")</f>
        <v>2025-03-24</v>
      </c>
      <c r="P88" s="51">
        <f>ABS(tblWorkPackages[[#This Row],[Actual labor hours]]-tblWorkPackages[[#This Row],[Estimated labor hours]])</f>
        <v>9.7</v>
      </c>
      <c r="Q88" s="51">
        <f>IF(tblWorkPackages[[#This Row],[Actual labor hours]]&gt;tblWorkPackages[[#This Row],[Estimated labor hours]],1,0)</f>
        <v>1</v>
      </c>
      <c r="R88" s="51">
        <f>tblWorkPackages[[#This Row],[Actual labor hours]]-tblWorkPackages[[#This Row],[Estimated labor hours]]</f>
        <v>9.7</v>
      </c>
      <c r="S88" s="51" t="str">
        <f>IF(tblWorkPackages[[#This Row],[Request date serial]]&lt;ValidationStart,"Train 2024",IF(tblWorkPackages[[#This Row],[Request date serial]]&lt;HoldoutStart,"Validation H1","Holdout H2"))</f>
        <v>Validation H1</v>
      </c>
      <c r="T88" s="51">
        <f>IF(tblWorkPackages[[#This Row],[Time split]]="Train 2024","",tblWorkPackages[[#This Row],[Estimated labor hours]]+VLOOKUP(tblWorkPackages[[#This Row],[Task type]],'Forecast validation'!$A$14:$E$25,IF(tblWorkPackages[[#This Row],[Time split]]="Validation H1",4,5),FALSE()))</f>
        <v>16.3840909090909</v>
      </c>
      <c r="U88" s="51">
        <f>IF(tblWorkPackages[[#This Row],[Calibrated forecast hours]]="","",ABS(tblWorkPackages[[#This Row],[Actual labor hours]]-tblWorkPackages[[#This Row],[Calibrated forecast hours]]))</f>
        <v>9.11590909090909</v>
      </c>
      <c r="V88" s="51">
        <f>IF(tblWorkPackages[[#This Row],[Time split]]="Train 2024",tblWorkPackages[[#This Row],[Estimated labor hours]],tblWorkPackages[[#This Row],[Calibrated forecast hours]])</f>
        <v>16.3840909090909</v>
      </c>
      <c r="W88" s="64">
        <f>DATEVALUE(tblWorkPackages[[#This Row],[Request date]])</f>
        <v>45746.0</v>
      </c>
      <c r="X88" s="64">
        <f>DATEVALUE(tblWorkPackages[[#This Row],[Due date]])</f>
        <v>45752.0</v>
      </c>
      <c r="Y88" s="64">
        <f>DATEVALUE(tblWorkPackages[[#This Row],[Completion date]])</f>
        <v>45775.0</v>
      </c>
      <c r="Z88" s="64">
        <f>_xlfn.MINIFS(tblLaborEntries[Work date serial],tblLaborEntries[Work package ID],tblWorkPackages[[#This Row],[Work package ID]])</f>
        <v>45772.0</v>
      </c>
      <c r="AA88" s="64">
        <f>_xlfn.MAXIFS(tblLaborEntries[Work date serial],tblLaborEntries[Work package ID],tblWorkPackages[[#This Row],[Work package ID]])</f>
        <v>45773.0</v>
      </c>
      <c r="AB88" s="65">
        <f>IF(tblWorkPackages[[#This Row],[Completion date serial]]&gt;tblWorkPackages[[#This Row],[Due date serial]],1,0)</f>
        <v>1</v>
      </c>
      <c r="AC88" s="65">
        <f>MAX(0,tblWorkPackages[[#This Row],[Completion date serial]]-tblWorkPackages[[#This Row],[Due date serial]])</f>
        <v>23</v>
      </c>
      <c r="AD88" s="65">
        <f>tblWorkPackages[[#This Row],[First labor date]]-tblWorkPackages[[#This Row],[Request date serial]]</f>
        <v>26</v>
      </c>
      <c r="AE88" s="65">
        <f>tblWorkPackages[[#This Row],[Last labor date]]-tblWorkPackages[[#This Row],[First labor date]]</f>
        <v>1</v>
      </c>
      <c r="AF88" s="65">
        <f>tblWorkPackages[[#This Row],[Completion date serial]]-tblWorkPackages[[#This Row],[Last labor date]]</f>
        <v>2</v>
      </c>
      <c r="AG88" s="65">
        <f>tblWorkPackages[[#This Row],[Completion date serial]]-tblWorkPackages[[#This Row],[Request date serial]]</f>
        <v>29</v>
      </c>
      <c r="AH88" s="65">
        <f>IFERROR(INDEX(tblParts[Delay days],MATCH(tblWorkPackages[[#This Row],[Work package ID]],tblParts[Work package ID],0)),0)</f>
        <v>12</v>
      </c>
      <c r="AI88" s="51" t="str">
        <f>IFERROR(INDEX(tblDisruptions[Event type],MATCH(tblWorkPackages[[#This Row],[Work package ID]],tblDisruptions[Work package ID],0)),"None")</f>
        <v>Part delay</v>
      </c>
      <c r="AJ88" s="51" t="str">
        <f>TEXT(tblWorkPackages[[#This Row],[Due date serial]],"yyyy-mm")</f>
        <v>2025-04</v>
      </c>
    </row>
    <row r="89" spans="1:36" ht="15" x14ac:dyDescent="0.25">
      <c r="A89" s="53" t="s">
        <v>469</v>
      </c>
      <c r="B89" s="53" t="s">
        <v>168</v>
      </c>
      <c r="C89" s="53" t="s">
        <v>470</v>
      </c>
      <c r="D89" s="53" t="s">
        <v>471</v>
      </c>
      <c r="E89" s="53" t="s">
        <v>144</v>
      </c>
      <c r="F89" s="53" t="s">
        <v>145</v>
      </c>
      <c r="G89" s="53" t="s">
        <v>146</v>
      </c>
      <c r="H89" s="53">
        <v>1</v>
      </c>
      <c r="I89" s="53" t="s">
        <v>130</v>
      </c>
      <c r="J89" s="53">
        <v>0</v>
      </c>
      <c r="K89" s="53">
        <v>1</v>
      </c>
      <c r="L89" s="53">
        <v>7.9</v>
      </c>
      <c r="M89" s="53" t="s">
        <v>472</v>
      </c>
      <c r="N89" s="53">
        <v>7</v>
      </c>
      <c r="O89" s="51" t="str">
        <f>TEXT(tblWorkPackages[[#This Row],[Request date serial]]-WEEKDAY(tblWorkPackages[[#This Row],[Request date serial]],3),"yyyy-mm-dd")</f>
        <v>2024-04-15</v>
      </c>
      <c r="P89" s="51">
        <f>ABS(tblWorkPackages[[#This Row],[Actual labor hours]]-tblWorkPackages[[#This Row],[Estimated labor hours]])</f>
        <v>0.9</v>
      </c>
      <c r="Q89" s="51">
        <f>IF(tblWorkPackages[[#This Row],[Actual labor hours]]&gt;tblWorkPackages[[#This Row],[Estimated labor hours]],1,0)</f>
        <v>0</v>
      </c>
      <c r="R89" s="51">
        <f>tblWorkPackages[[#This Row],[Actual labor hours]]-tblWorkPackages[[#This Row],[Estimated labor hours]]</f>
        <v>-0.9</v>
      </c>
      <c r="S89" s="51" t="str">
        <f>IF(tblWorkPackages[[#This Row],[Request date serial]]&lt;ValidationStart,"Train 2024",IF(tblWorkPackages[[#This Row],[Request date serial]]&lt;HoldoutStart,"Validation H1","Holdout H2"))</f>
        <v>Train 2024</v>
      </c>
      <c r="T89" s="51" t="str">
        <f>IF(tblWorkPackages[[#This Row],[Time split]]="Train 2024","",tblWorkPackages[[#This Row],[Estimated labor hours]]+VLOOKUP(tblWorkPackages[[#This Row],[Task type]],'Forecast validation'!$A$14:$E$25,IF(tblWorkPackages[[#This Row],[Time split]]="Validation H1",4,5),FALSE()))</f>
        <v/>
      </c>
      <c r="U89" s="51" t="str">
        <f>IF(tblWorkPackages[[#This Row],[Calibrated forecast hours]]="","",ABS(tblWorkPackages[[#This Row],[Actual labor hours]]-tblWorkPackages[[#This Row],[Calibrated forecast hours]]))</f>
        <v/>
      </c>
      <c r="V89" s="51">
        <f>IF(tblWorkPackages[[#This Row],[Time split]]="Train 2024",tblWorkPackages[[#This Row],[Estimated labor hours]],tblWorkPackages[[#This Row],[Calibrated forecast hours]])</f>
        <v>7.9</v>
      </c>
      <c r="W89" s="64">
        <f>DATEVALUE(tblWorkPackages[[#This Row],[Request date]])</f>
        <v>45400.0</v>
      </c>
      <c r="X89" s="64">
        <f>DATEVALUE(tblWorkPackages[[#This Row],[Due date]])</f>
        <v>45413.0</v>
      </c>
      <c r="Y89" s="64">
        <f>DATEVALUE(tblWorkPackages[[#This Row],[Completion date]])</f>
        <v>45408.0</v>
      </c>
      <c r="Z89" s="64">
        <f>_xlfn.MINIFS(tblLaborEntries[Work date serial],tblLaborEntries[Work package ID],tblWorkPackages[[#This Row],[Work package ID]])</f>
        <v>45404.0</v>
      </c>
      <c r="AA89" s="64">
        <f>_xlfn.MAXIFS(tblLaborEntries[Work date serial],tblLaborEntries[Work package ID],tblWorkPackages[[#This Row],[Work package ID]])</f>
        <v>45405.0</v>
      </c>
      <c r="AB89" s="65">
        <f>IF(tblWorkPackages[[#This Row],[Completion date serial]]&gt;tblWorkPackages[[#This Row],[Due date serial]],1,0)</f>
        <v>0</v>
      </c>
      <c r="AC89" s="65">
        <f>MAX(0,tblWorkPackages[[#This Row],[Completion date serial]]-tblWorkPackages[[#This Row],[Due date serial]])</f>
        <v>0</v>
      </c>
      <c r="AD89" s="65">
        <f>tblWorkPackages[[#This Row],[First labor date]]-tblWorkPackages[[#This Row],[Request date serial]]</f>
        <v>4</v>
      </c>
      <c r="AE89" s="65">
        <f>tblWorkPackages[[#This Row],[Last labor date]]-tblWorkPackages[[#This Row],[First labor date]]</f>
        <v>1</v>
      </c>
      <c r="AF89" s="65">
        <f>tblWorkPackages[[#This Row],[Completion date serial]]-tblWorkPackages[[#This Row],[Last labor date]]</f>
        <v>3</v>
      </c>
      <c r="AG89" s="65">
        <f>tblWorkPackages[[#This Row],[Completion date serial]]-tblWorkPackages[[#This Row],[Request date serial]]</f>
        <v>8</v>
      </c>
      <c r="AH89" s="65">
        <f>IFERROR(INDEX(tblParts[Delay days],MATCH(tblWorkPackages[[#This Row],[Work package ID]],tblParts[Work package ID],0)),0)</f>
        <v>0</v>
      </c>
      <c r="AI89" s="51" t="str">
        <f>IFERROR(INDEX(tblDisruptions[Event type],MATCH(tblWorkPackages[[#This Row],[Work package ID]],tblDisruptions[Work package ID],0)),"None")</f>
        <v>None</v>
      </c>
      <c r="AJ89" s="51" t="str">
        <f>TEXT(tblWorkPackages[[#This Row],[Due date serial]],"yyyy-mm")</f>
        <v>2024-05</v>
      </c>
    </row>
    <row r="90" spans="1:36" ht="15" x14ac:dyDescent="0.25">
      <c r="A90" s="53" t="s">
        <v>473</v>
      </c>
      <c r="B90" s="53" t="s">
        <v>173</v>
      </c>
      <c r="C90" s="53" t="s">
        <v>474</v>
      </c>
      <c r="D90" s="53" t="s">
        <v>347</v>
      </c>
      <c r="E90" s="53" t="s">
        <v>181</v>
      </c>
      <c r="F90" s="53" t="s">
        <v>182</v>
      </c>
      <c r="G90" s="53" t="s">
        <v>138</v>
      </c>
      <c r="H90" s="53">
        <v>3</v>
      </c>
      <c r="I90" s="53" t="s">
        <v>176</v>
      </c>
      <c r="J90" s="53">
        <v>0</v>
      </c>
      <c r="K90" s="53">
        <v>0</v>
      </c>
      <c r="L90" s="53">
        <v>11</v>
      </c>
      <c r="M90" s="53" t="s">
        <v>475</v>
      </c>
      <c r="N90" s="53">
        <v>10.5</v>
      </c>
      <c r="O90" s="51" t="str">
        <f>TEXT(tblWorkPackages[[#This Row],[Request date serial]]-WEEKDAY(tblWorkPackages[[#This Row],[Request date serial]],3),"yyyy-mm-dd")</f>
        <v>2024-02-26</v>
      </c>
      <c r="P90" s="51">
        <f>ABS(tblWorkPackages[[#This Row],[Actual labor hours]]-tblWorkPackages[[#This Row],[Estimated labor hours]])</f>
        <v>0.5</v>
      </c>
      <c r="Q90" s="51">
        <f>IF(tblWorkPackages[[#This Row],[Actual labor hours]]&gt;tblWorkPackages[[#This Row],[Estimated labor hours]],1,0)</f>
        <v>0</v>
      </c>
      <c r="R90" s="51">
        <f>tblWorkPackages[[#This Row],[Actual labor hours]]-tblWorkPackages[[#This Row],[Estimated labor hours]]</f>
        <v>-0.5</v>
      </c>
      <c r="S90" s="51" t="str">
        <f>IF(tblWorkPackages[[#This Row],[Request date serial]]&lt;ValidationStart,"Train 2024",IF(tblWorkPackages[[#This Row],[Request date serial]]&lt;HoldoutStart,"Validation H1","Holdout H2"))</f>
        <v>Train 2024</v>
      </c>
      <c r="T90" s="51" t="str">
        <f>IF(tblWorkPackages[[#This Row],[Time split]]="Train 2024","",tblWorkPackages[[#This Row],[Estimated labor hours]]+VLOOKUP(tblWorkPackages[[#This Row],[Task type]],'Forecast validation'!$A$14:$E$25,IF(tblWorkPackages[[#This Row],[Time split]]="Validation H1",4,5),FALSE()))</f>
        <v/>
      </c>
      <c r="U90" s="51" t="str">
        <f>IF(tblWorkPackages[[#This Row],[Calibrated forecast hours]]="","",ABS(tblWorkPackages[[#This Row],[Actual labor hours]]-tblWorkPackages[[#This Row],[Calibrated forecast hours]]))</f>
        <v/>
      </c>
      <c r="V90" s="51">
        <f>IF(tblWorkPackages[[#This Row],[Time split]]="Train 2024",tblWorkPackages[[#This Row],[Estimated labor hours]],tblWorkPackages[[#This Row],[Calibrated forecast hours]])</f>
        <v>11</v>
      </c>
      <c r="W90" s="64">
        <f>DATEVALUE(tblWorkPackages[[#This Row],[Request date]])</f>
        <v>45352.0</v>
      </c>
      <c r="X90" s="64">
        <f>DATEVALUE(tblWorkPackages[[#This Row],[Due date]])</f>
        <v>45358.0</v>
      </c>
      <c r="Y90" s="64">
        <f>DATEVALUE(tblWorkPackages[[#This Row],[Completion date]])</f>
        <v>45353.0</v>
      </c>
      <c r="Z90" s="64">
        <f>_xlfn.MINIFS(tblLaborEntries[Work date serial],tblLaborEntries[Work package ID],tblWorkPackages[[#This Row],[Work package ID]])</f>
        <v>45353.0</v>
      </c>
      <c r="AA90" s="64">
        <f>_xlfn.MAXIFS(tblLaborEntries[Work date serial],tblLaborEntries[Work package ID],tblWorkPackages[[#This Row],[Work package ID]])</f>
        <v>45353.0</v>
      </c>
      <c r="AB90" s="65">
        <f>IF(tblWorkPackages[[#This Row],[Completion date serial]]&gt;tblWorkPackages[[#This Row],[Due date serial]],1,0)</f>
        <v>0</v>
      </c>
      <c r="AC90" s="65">
        <f>MAX(0,tblWorkPackages[[#This Row],[Completion date serial]]-tblWorkPackages[[#This Row],[Due date serial]])</f>
        <v>0</v>
      </c>
      <c r="AD90" s="65">
        <f>tblWorkPackages[[#This Row],[First labor date]]-tblWorkPackages[[#This Row],[Request date serial]]</f>
        <v>1</v>
      </c>
      <c r="AE90" s="65">
        <f>tblWorkPackages[[#This Row],[Last labor date]]-tblWorkPackages[[#This Row],[First labor date]]</f>
        <v>0</v>
      </c>
      <c r="AF90" s="65">
        <f>tblWorkPackages[[#This Row],[Completion date serial]]-tblWorkPackages[[#This Row],[Last labor date]]</f>
        <v>0</v>
      </c>
      <c r="AG90" s="65">
        <f>tblWorkPackages[[#This Row],[Completion date serial]]-tblWorkPackages[[#This Row],[Request date serial]]</f>
        <v>1</v>
      </c>
      <c r="AH90" s="65">
        <f>IFERROR(INDEX(tblParts[Delay days],MATCH(tblWorkPackages[[#This Row],[Work package ID]],tblParts[Work package ID],0)),0)</f>
        <v>0</v>
      </c>
      <c r="AI90" s="51" t="str">
        <f>IFERROR(INDEX(tblDisruptions[Event type],MATCH(tblWorkPackages[[#This Row],[Work package ID]],tblDisruptions[Work package ID],0)),"None")</f>
        <v>None</v>
      </c>
      <c r="AJ90" s="51" t="str">
        <f>TEXT(tblWorkPackages[[#This Row],[Due date serial]],"yyyy-mm")</f>
        <v>2024-03</v>
      </c>
    </row>
    <row r="91" spans="1:36" ht="15" x14ac:dyDescent="0.25">
      <c r="A91" s="53" t="s">
        <v>476</v>
      </c>
      <c r="B91" s="53" t="s">
        <v>168</v>
      </c>
      <c r="C91" s="53" t="s">
        <v>477</v>
      </c>
      <c r="D91" s="53" t="s">
        <v>412</v>
      </c>
      <c r="E91" s="53" t="s">
        <v>144</v>
      </c>
      <c r="F91" s="53" t="s">
        <v>145</v>
      </c>
      <c r="G91" s="53" t="s">
        <v>146</v>
      </c>
      <c r="H91" s="53">
        <v>3</v>
      </c>
      <c r="I91" s="53" t="s">
        <v>130</v>
      </c>
      <c r="J91" s="53">
        <v>0</v>
      </c>
      <c r="K91" s="53">
        <v>1</v>
      </c>
      <c r="L91" s="53">
        <v>15.5</v>
      </c>
      <c r="M91" s="53" t="s">
        <v>188</v>
      </c>
      <c r="N91" s="53">
        <v>17.7</v>
      </c>
      <c r="O91" s="51" t="str">
        <f>TEXT(tblWorkPackages[[#This Row],[Request date serial]]-WEEKDAY(tblWorkPackages[[#This Row],[Request date serial]],3),"yyyy-mm-dd")</f>
        <v>2025-02-10</v>
      </c>
      <c r="P91" s="51">
        <f>ABS(tblWorkPackages[[#This Row],[Actual labor hours]]-tblWorkPackages[[#This Row],[Estimated labor hours]])</f>
        <v>2.2</v>
      </c>
      <c r="Q91" s="51">
        <f>IF(tblWorkPackages[[#This Row],[Actual labor hours]]&gt;tblWorkPackages[[#This Row],[Estimated labor hours]],1,0)</f>
        <v>1</v>
      </c>
      <c r="R91" s="51">
        <f>tblWorkPackages[[#This Row],[Actual labor hours]]-tblWorkPackages[[#This Row],[Estimated labor hours]]</f>
        <v>2.2</v>
      </c>
      <c r="S91" s="51" t="str">
        <f>IF(tblWorkPackages[[#This Row],[Request date serial]]&lt;ValidationStart,"Train 2024",IF(tblWorkPackages[[#This Row],[Request date serial]]&lt;HoldoutStart,"Validation H1","Holdout H2"))</f>
        <v>Validation H1</v>
      </c>
      <c r="T91" s="51">
        <f>IF(tblWorkPackages[[#This Row],[Time split]]="Train 2024","",tblWorkPackages[[#This Row],[Estimated labor hours]]+VLOOKUP(tblWorkPackages[[#This Row],[Task type]],'Forecast validation'!$A$14:$E$25,IF(tblWorkPackages[[#This Row],[Time split]]="Validation H1",4,5),FALSE()))</f>
        <v>16.2547368421053</v>
      </c>
      <c r="U91" s="51">
        <f>IF(tblWorkPackages[[#This Row],[Calibrated forecast hours]]="","",ABS(tblWorkPackages[[#This Row],[Actual labor hours]]-tblWorkPackages[[#This Row],[Calibrated forecast hours]]))</f>
        <v>1.44526315789474</v>
      </c>
      <c r="V91" s="51">
        <f>IF(tblWorkPackages[[#This Row],[Time split]]="Train 2024",tblWorkPackages[[#This Row],[Estimated labor hours]],tblWorkPackages[[#This Row],[Calibrated forecast hours]])</f>
        <v>16.2547368421053</v>
      </c>
      <c r="W91" s="64">
        <f>DATEVALUE(tblWorkPackages[[#This Row],[Request date]])</f>
        <v>45699.0</v>
      </c>
      <c r="X91" s="64">
        <f>DATEVALUE(tblWorkPackages[[#This Row],[Due date]])</f>
        <v>45712.0</v>
      </c>
      <c r="Y91" s="64">
        <f>DATEVALUE(tblWorkPackages[[#This Row],[Completion date]])</f>
        <v>45711.0</v>
      </c>
      <c r="Z91" s="64">
        <f>_xlfn.MINIFS(tblLaborEntries[Work date serial],tblLaborEntries[Work package ID],tblWorkPackages[[#This Row],[Work package ID]])</f>
        <v>45708.0</v>
      </c>
      <c r="AA91" s="64">
        <f>_xlfn.MAXIFS(tblLaborEntries[Work date serial],tblLaborEntries[Work package ID],tblWorkPackages[[#This Row],[Work package ID]])</f>
        <v>45710.0</v>
      </c>
      <c r="AB91" s="65">
        <f>IF(tblWorkPackages[[#This Row],[Completion date serial]]&gt;tblWorkPackages[[#This Row],[Due date serial]],1,0)</f>
        <v>0</v>
      </c>
      <c r="AC91" s="65">
        <f>MAX(0,tblWorkPackages[[#This Row],[Completion date serial]]-tblWorkPackages[[#This Row],[Due date serial]])</f>
        <v>0</v>
      </c>
      <c r="AD91" s="65">
        <f>tblWorkPackages[[#This Row],[First labor date]]-tblWorkPackages[[#This Row],[Request date serial]]</f>
        <v>9</v>
      </c>
      <c r="AE91" s="65">
        <f>tblWorkPackages[[#This Row],[Last labor date]]-tblWorkPackages[[#This Row],[First labor date]]</f>
        <v>2</v>
      </c>
      <c r="AF91" s="65">
        <f>tblWorkPackages[[#This Row],[Completion date serial]]-tblWorkPackages[[#This Row],[Last labor date]]</f>
        <v>1</v>
      </c>
      <c r="AG91" s="65">
        <f>tblWorkPackages[[#This Row],[Completion date serial]]-tblWorkPackages[[#This Row],[Request date serial]]</f>
        <v>12</v>
      </c>
      <c r="AH91" s="65">
        <f>IFERROR(INDEX(tblParts[Delay days],MATCH(tblWorkPackages[[#This Row],[Work package ID]],tblParts[Work package ID],0)),0)</f>
        <v>0</v>
      </c>
      <c r="AI91" s="51" t="str">
        <f>IFERROR(INDEX(tblDisruptions[Event type],MATCH(tblWorkPackages[[#This Row],[Work package ID]],tblDisruptions[Work package ID],0)),"None")</f>
        <v>None</v>
      </c>
      <c r="AJ91" s="51" t="str">
        <f>TEXT(tblWorkPackages[[#This Row],[Due date serial]],"yyyy-mm")</f>
        <v>2025-02</v>
      </c>
    </row>
    <row r="92" spans="1:36" ht="15" x14ac:dyDescent="0.25">
      <c r="A92" s="53" t="s">
        <v>478</v>
      </c>
      <c r="B92" s="53" t="s">
        <v>185</v>
      </c>
      <c r="C92" s="53" t="s">
        <v>383</v>
      </c>
      <c r="D92" s="53" t="s">
        <v>384</v>
      </c>
      <c r="E92" s="53" t="s">
        <v>223</v>
      </c>
      <c r="F92" s="53" t="s">
        <v>182</v>
      </c>
      <c r="G92" s="53" t="s">
        <v>154</v>
      </c>
      <c r="H92" s="53">
        <v>4</v>
      </c>
      <c r="I92" s="53" t="s">
        <v>130</v>
      </c>
      <c r="J92" s="53">
        <v>0</v>
      </c>
      <c r="K92" s="53">
        <v>1</v>
      </c>
      <c r="L92" s="53">
        <v>25.4</v>
      </c>
      <c r="M92" s="53" t="s">
        <v>477</v>
      </c>
      <c r="N92" s="53">
        <v>27.5</v>
      </c>
      <c r="O92" s="51" t="str">
        <f>TEXT(tblWorkPackages[[#This Row],[Request date serial]]-WEEKDAY(tblWorkPackages[[#This Row],[Request date serial]],3),"yyyy-mm-dd")</f>
        <v>2025-02-03</v>
      </c>
      <c r="P92" s="51">
        <f>ABS(tblWorkPackages[[#This Row],[Actual labor hours]]-tblWorkPackages[[#This Row],[Estimated labor hours]])</f>
        <v>2.1</v>
      </c>
      <c r="Q92" s="51">
        <f>IF(tblWorkPackages[[#This Row],[Actual labor hours]]&gt;tblWorkPackages[[#This Row],[Estimated labor hours]],1,0)</f>
        <v>1</v>
      </c>
      <c r="R92" s="51">
        <f>tblWorkPackages[[#This Row],[Actual labor hours]]-tblWorkPackages[[#This Row],[Estimated labor hours]]</f>
        <v>2.1</v>
      </c>
      <c r="S92" s="51" t="str">
        <f>IF(tblWorkPackages[[#This Row],[Request date serial]]&lt;ValidationStart,"Train 2024",IF(tblWorkPackages[[#This Row],[Request date serial]]&lt;HoldoutStart,"Validation H1","Holdout H2"))</f>
        <v>Validation H1</v>
      </c>
      <c r="T92" s="51">
        <f>IF(tblWorkPackages[[#This Row],[Time split]]="Train 2024","",tblWorkPackages[[#This Row],[Estimated labor hours]]+VLOOKUP(tblWorkPackages[[#This Row],[Task type]],'Forecast validation'!$A$14:$E$25,IF(tblWorkPackages[[#This Row],[Time split]]="Validation H1",4,5),FALSE()))</f>
        <v>26.2824175824176</v>
      </c>
      <c r="U92" s="51">
        <f>IF(tblWorkPackages[[#This Row],[Calibrated forecast hours]]="","",ABS(tblWorkPackages[[#This Row],[Actual labor hours]]-tblWorkPackages[[#This Row],[Calibrated forecast hours]]))</f>
        <v>1.21758241758242</v>
      </c>
      <c r="V92" s="51">
        <f>IF(tblWorkPackages[[#This Row],[Time split]]="Train 2024",tblWorkPackages[[#This Row],[Estimated labor hours]],tblWorkPackages[[#This Row],[Calibrated forecast hours]])</f>
        <v>26.2824175824176</v>
      </c>
      <c r="W92" s="64">
        <f>DATEVALUE(tblWorkPackages[[#This Row],[Request date]])</f>
        <v>45693.0</v>
      </c>
      <c r="X92" s="64">
        <f>DATEVALUE(tblWorkPackages[[#This Row],[Due date]])</f>
        <v>45706.0</v>
      </c>
      <c r="Y92" s="64">
        <f>DATEVALUE(tblWorkPackages[[#This Row],[Completion date]])</f>
        <v>45699.0</v>
      </c>
      <c r="Z92" s="64">
        <f>_xlfn.MINIFS(tblLaborEntries[Work date serial],tblLaborEntries[Work package ID],tblWorkPackages[[#This Row],[Work package ID]])</f>
        <v>45695.0</v>
      </c>
      <c r="AA92" s="64">
        <f>_xlfn.MAXIFS(tblLaborEntries[Work date serial],tblLaborEntries[Work package ID],tblWorkPackages[[#This Row],[Work package ID]])</f>
        <v>45697.0</v>
      </c>
      <c r="AB92" s="65">
        <f>IF(tblWorkPackages[[#This Row],[Completion date serial]]&gt;tblWorkPackages[[#This Row],[Due date serial]],1,0)</f>
        <v>0</v>
      </c>
      <c r="AC92" s="65">
        <f>MAX(0,tblWorkPackages[[#This Row],[Completion date serial]]-tblWorkPackages[[#This Row],[Due date serial]])</f>
        <v>0</v>
      </c>
      <c r="AD92" s="65">
        <f>tblWorkPackages[[#This Row],[First labor date]]-tblWorkPackages[[#This Row],[Request date serial]]</f>
        <v>2</v>
      </c>
      <c r="AE92" s="65">
        <f>tblWorkPackages[[#This Row],[Last labor date]]-tblWorkPackages[[#This Row],[First labor date]]</f>
        <v>2</v>
      </c>
      <c r="AF92" s="65">
        <f>tblWorkPackages[[#This Row],[Completion date serial]]-tblWorkPackages[[#This Row],[Last labor date]]</f>
        <v>2</v>
      </c>
      <c r="AG92" s="65">
        <f>tblWorkPackages[[#This Row],[Completion date serial]]-tblWorkPackages[[#This Row],[Request date serial]]</f>
        <v>6</v>
      </c>
      <c r="AH92" s="65">
        <f>IFERROR(INDEX(tblParts[Delay days],MATCH(tblWorkPackages[[#This Row],[Work package ID]],tblParts[Work package ID],0)),0)</f>
        <v>0</v>
      </c>
      <c r="AI92" s="51" t="str">
        <f>IFERROR(INDEX(tblDisruptions[Event type],MATCH(tblWorkPackages[[#This Row],[Work package ID]],tblDisruptions[Work package ID],0)),"None")</f>
        <v>None</v>
      </c>
      <c r="AJ92" s="51" t="str">
        <f>TEXT(tblWorkPackages[[#This Row],[Due date serial]],"yyyy-mm")</f>
        <v>2025-02</v>
      </c>
    </row>
    <row r="93" spans="1:36" ht="15" x14ac:dyDescent="0.25">
      <c r="A93" s="53" t="s">
        <v>479</v>
      </c>
      <c r="B93" s="53" t="s">
        <v>203</v>
      </c>
      <c r="C93" s="53" t="s">
        <v>480</v>
      </c>
      <c r="D93" s="53" t="s">
        <v>481</v>
      </c>
      <c r="E93" s="53" t="s">
        <v>223</v>
      </c>
      <c r="F93" s="53" t="s">
        <v>182</v>
      </c>
      <c r="G93" s="53" t="s">
        <v>154</v>
      </c>
      <c r="H93" s="53">
        <v>3</v>
      </c>
      <c r="I93" s="53" t="s">
        <v>130</v>
      </c>
      <c r="J93" s="53">
        <v>0</v>
      </c>
      <c r="K93" s="53">
        <v>1</v>
      </c>
      <c r="L93" s="53">
        <v>13.7</v>
      </c>
      <c r="M93" s="53" t="s">
        <v>482</v>
      </c>
      <c r="N93" s="53">
        <v>17.3</v>
      </c>
      <c r="O93" s="51" t="str">
        <f>TEXT(tblWorkPackages[[#This Row],[Request date serial]]-WEEKDAY(tblWorkPackages[[#This Row],[Request date serial]],3),"yyyy-mm-dd")</f>
        <v>2025-10-20</v>
      </c>
      <c r="P93" s="51">
        <f>ABS(tblWorkPackages[[#This Row],[Actual labor hours]]-tblWorkPackages[[#This Row],[Estimated labor hours]])</f>
        <v>3.6</v>
      </c>
      <c r="Q93" s="51">
        <f>IF(tblWorkPackages[[#This Row],[Actual labor hours]]&gt;tblWorkPackages[[#This Row],[Estimated labor hours]],1,0)</f>
        <v>1</v>
      </c>
      <c r="R93" s="51">
        <f>tblWorkPackages[[#This Row],[Actual labor hours]]-tblWorkPackages[[#This Row],[Estimated labor hours]]</f>
        <v>3.6</v>
      </c>
      <c r="S93" s="51" t="str">
        <f>IF(tblWorkPackages[[#This Row],[Request date serial]]&lt;ValidationStart,"Train 2024",IF(tblWorkPackages[[#This Row],[Request date serial]]&lt;HoldoutStart,"Validation H1","Holdout H2"))</f>
        <v>Holdout H2</v>
      </c>
      <c r="T93" s="51">
        <f>IF(tblWorkPackages[[#This Row],[Time split]]="Train 2024","",tblWorkPackages[[#This Row],[Estimated labor hours]]+VLOOKUP(tblWorkPackages[[#This Row],[Task type]],'Forecast validation'!$A$14:$E$25,IF(tblWorkPackages[[#This Row],[Time split]]="Validation H1",4,5),FALSE()))</f>
        <v>14.6246575342466</v>
      </c>
      <c r="U93" s="51">
        <f>IF(tblWorkPackages[[#This Row],[Calibrated forecast hours]]="","",ABS(tblWorkPackages[[#This Row],[Actual labor hours]]-tblWorkPackages[[#This Row],[Calibrated forecast hours]]))</f>
        <v>2.67534246575343</v>
      </c>
      <c r="V93" s="51">
        <f>IF(tblWorkPackages[[#This Row],[Time split]]="Train 2024",tblWorkPackages[[#This Row],[Estimated labor hours]],tblWorkPackages[[#This Row],[Calibrated forecast hours]])</f>
        <v>14.6246575342466</v>
      </c>
      <c r="W93" s="64">
        <f>DATEVALUE(tblWorkPackages[[#This Row],[Request date]])</f>
        <v>45955.0</v>
      </c>
      <c r="X93" s="64">
        <f>DATEVALUE(tblWorkPackages[[#This Row],[Due date]])</f>
        <v>45968.0</v>
      </c>
      <c r="Y93" s="64">
        <f>DATEVALUE(tblWorkPackages[[#This Row],[Completion date]])</f>
        <v>45983.0</v>
      </c>
      <c r="Z93" s="64">
        <f>_xlfn.MINIFS(tblLaborEntries[Work date serial],tblLaborEntries[Work package ID],tblWorkPackages[[#This Row],[Work package ID]])</f>
        <v>45979.0</v>
      </c>
      <c r="AA93" s="64">
        <f>_xlfn.MAXIFS(tblLaborEntries[Work date serial],tblLaborEntries[Work package ID],tblWorkPackages[[#This Row],[Work package ID]])</f>
        <v>45980.0</v>
      </c>
      <c r="AB93" s="65">
        <f>IF(tblWorkPackages[[#This Row],[Completion date serial]]&gt;tblWorkPackages[[#This Row],[Due date serial]],1,0)</f>
        <v>1</v>
      </c>
      <c r="AC93" s="65">
        <f>MAX(0,tblWorkPackages[[#This Row],[Completion date serial]]-tblWorkPackages[[#This Row],[Due date serial]])</f>
        <v>15</v>
      </c>
      <c r="AD93" s="65">
        <f>tblWorkPackages[[#This Row],[First labor date]]-tblWorkPackages[[#This Row],[Request date serial]]</f>
        <v>24</v>
      </c>
      <c r="AE93" s="65">
        <f>tblWorkPackages[[#This Row],[Last labor date]]-tblWorkPackages[[#This Row],[First labor date]]</f>
        <v>1</v>
      </c>
      <c r="AF93" s="65">
        <f>tblWorkPackages[[#This Row],[Completion date serial]]-tblWorkPackages[[#This Row],[Last labor date]]</f>
        <v>3</v>
      </c>
      <c r="AG93" s="65">
        <f>tblWorkPackages[[#This Row],[Completion date serial]]-tblWorkPackages[[#This Row],[Request date serial]]</f>
        <v>28</v>
      </c>
      <c r="AH93" s="65">
        <f>IFERROR(INDEX(tblParts[Delay days],MATCH(tblWorkPackages[[#This Row],[Work package ID]],tblParts[Work package ID],0)),0)</f>
        <v>0</v>
      </c>
      <c r="AI93" s="51" t="str">
        <f>IFERROR(INDEX(tblDisruptions[Event type],MATCH(tblWorkPackages[[#This Row],[Work package ID]],tblDisruptions[Work package ID],0)),"None")</f>
        <v>None</v>
      </c>
      <c r="AJ93" s="51" t="str">
        <f>TEXT(tblWorkPackages[[#This Row],[Due date serial]],"yyyy-mm")</f>
        <v>2025-11</v>
      </c>
    </row>
    <row r="94" spans="1:36" ht="15" x14ac:dyDescent="0.25">
      <c r="A94" s="53" t="s">
        <v>483</v>
      </c>
      <c r="B94" s="53" t="s">
        <v>173</v>
      </c>
      <c r="C94" s="53" t="s">
        <v>484</v>
      </c>
      <c r="D94" s="53" t="s">
        <v>485</v>
      </c>
      <c r="E94" s="53" t="s">
        <v>160</v>
      </c>
      <c r="F94" s="53" t="s">
        <v>128</v>
      </c>
      <c r="G94" s="53" t="s">
        <v>138</v>
      </c>
      <c r="H94" s="53">
        <v>4</v>
      </c>
      <c r="I94" s="53" t="s">
        <v>130</v>
      </c>
      <c r="J94" s="53">
        <v>0</v>
      </c>
      <c r="K94" s="53">
        <v>0</v>
      </c>
      <c r="L94" s="53">
        <v>8</v>
      </c>
      <c r="M94" s="53" t="s">
        <v>486</v>
      </c>
      <c r="N94" s="53">
        <v>9.6</v>
      </c>
      <c r="O94" s="51" t="str">
        <f>TEXT(tblWorkPackages[[#This Row],[Request date serial]]-WEEKDAY(tblWorkPackages[[#This Row],[Request date serial]],3),"yyyy-mm-dd")</f>
        <v>2024-12-30</v>
      </c>
      <c r="P94" s="51">
        <f>ABS(tblWorkPackages[[#This Row],[Actual labor hours]]-tblWorkPackages[[#This Row],[Estimated labor hours]])</f>
        <v>1.6</v>
      </c>
      <c r="Q94" s="51">
        <f>IF(tblWorkPackages[[#This Row],[Actual labor hours]]&gt;tblWorkPackages[[#This Row],[Estimated labor hours]],1,0)</f>
        <v>1</v>
      </c>
      <c r="R94" s="51">
        <f>tblWorkPackages[[#This Row],[Actual labor hours]]-tblWorkPackages[[#This Row],[Estimated labor hours]]</f>
        <v>1.6</v>
      </c>
      <c r="S94" s="51" t="str">
        <f>IF(tblWorkPackages[[#This Row],[Request date serial]]&lt;ValidationStart,"Train 2024",IF(tblWorkPackages[[#This Row],[Request date serial]]&lt;HoldoutStart,"Validation H1","Holdout H2"))</f>
        <v>Validation H1</v>
      </c>
      <c r="T94" s="51">
        <f>IF(tblWorkPackages[[#This Row],[Time split]]="Train 2024","",tblWorkPackages[[#This Row],[Estimated labor hours]]+VLOOKUP(tblWorkPackages[[#This Row],[Task type]],'Forecast validation'!$A$14:$E$25,IF(tblWorkPackages[[#This Row],[Time split]]="Validation H1",4,5),FALSE()))</f>
        <v>8.44146341463415</v>
      </c>
      <c r="U94" s="51">
        <f>IF(tblWorkPackages[[#This Row],[Calibrated forecast hours]]="","",ABS(tblWorkPackages[[#This Row],[Actual labor hours]]-tblWorkPackages[[#This Row],[Calibrated forecast hours]]))</f>
        <v>1.15853658536585</v>
      </c>
      <c r="V94" s="51">
        <f>IF(tblWorkPackages[[#This Row],[Time split]]="Train 2024",tblWorkPackages[[#This Row],[Estimated labor hours]],tblWorkPackages[[#This Row],[Calibrated forecast hours]])</f>
        <v>8.44146341463415</v>
      </c>
      <c r="W94" s="64">
        <f>DATEVALUE(tblWorkPackages[[#This Row],[Request date]])</f>
        <v>45662.0</v>
      </c>
      <c r="X94" s="64">
        <f>DATEVALUE(tblWorkPackages[[#This Row],[Due date]])</f>
        <v>45675.0</v>
      </c>
      <c r="Y94" s="64">
        <f>DATEVALUE(tblWorkPackages[[#This Row],[Completion date]])</f>
        <v>45667.0</v>
      </c>
      <c r="Z94" s="64">
        <f>_xlfn.MINIFS(tblLaborEntries[Work date serial],tblLaborEntries[Work package ID],tblWorkPackages[[#This Row],[Work package ID]])</f>
        <v>45666.0</v>
      </c>
      <c r="AA94" s="64">
        <f>_xlfn.MAXIFS(tblLaborEntries[Work date serial],tblLaborEntries[Work package ID],tblWorkPackages[[#This Row],[Work package ID]])</f>
        <v>45667.0</v>
      </c>
      <c r="AB94" s="65">
        <f>IF(tblWorkPackages[[#This Row],[Completion date serial]]&gt;tblWorkPackages[[#This Row],[Due date serial]],1,0)</f>
        <v>0</v>
      </c>
      <c r="AC94" s="65">
        <f>MAX(0,tblWorkPackages[[#This Row],[Completion date serial]]-tblWorkPackages[[#This Row],[Due date serial]])</f>
        <v>0</v>
      </c>
      <c r="AD94" s="65">
        <f>tblWorkPackages[[#This Row],[First labor date]]-tblWorkPackages[[#This Row],[Request date serial]]</f>
        <v>4</v>
      </c>
      <c r="AE94" s="65">
        <f>tblWorkPackages[[#This Row],[Last labor date]]-tblWorkPackages[[#This Row],[First labor date]]</f>
        <v>1</v>
      </c>
      <c r="AF94" s="65">
        <f>tblWorkPackages[[#This Row],[Completion date serial]]-tblWorkPackages[[#This Row],[Last labor date]]</f>
        <v>0</v>
      </c>
      <c r="AG94" s="65">
        <f>tblWorkPackages[[#This Row],[Completion date serial]]-tblWorkPackages[[#This Row],[Request date serial]]</f>
        <v>5</v>
      </c>
      <c r="AH94" s="65">
        <f>IFERROR(INDEX(tblParts[Delay days],MATCH(tblWorkPackages[[#This Row],[Work package ID]],tblParts[Work package ID],0)),0)</f>
        <v>0</v>
      </c>
      <c r="AI94" s="51" t="str">
        <f>IFERROR(INDEX(tblDisruptions[Event type],MATCH(tblWorkPackages[[#This Row],[Work package ID]],tblDisruptions[Work package ID],0)),"None")</f>
        <v>Technician absence</v>
      </c>
      <c r="AJ94" s="51" t="str">
        <f>TEXT(tblWorkPackages[[#This Row],[Due date serial]],"yyyy-mm")</f>
        <v>2025-01</v>
      </c>
    </row>
    <row r="95" spans="1:36" ht="15" x14ac:dyDescent="0.25">
      <c r="A95" s="53" t="s">
        <v>487</v>
      </c>
      <c r="B95" s="53" t="s">
        <v>124</v>
      </c>
      <c r="C95" s="53" t="s">
        <v>488</v>
      </c>
      <c r="D95" s="53" t="s">
        <v>489</v>
      </c>
      <c r="E95" s="53" t="s">
        <v>153</v>
      </c>
      <c r="F95" s="53" t="s">
        <v>128</v>
      </c>
      <c r="G95" s="53" t="s">
        <v>154</v>
      </c>
      <c r="H95" s="53">
        <v>2</v>
      </c>
      <c r="I95" s="53" t="s">
        <v>130</v>
      </c>
      <c r="J95" s="53">
        <v>0</v>
      </c>
      <c r="K95" s="53">
        <v>0</v>
      </c>
      <c r="L95" s="53">
        <v>10.3</v>
      </c>
      <c r="M95" s="53" t="s">
        <v>490</v>
      </c>
      <c r="N95" s="53">
        <v>8.3000000000000007</v>
      </c>
      <c r="O95" s="51" t="str">
        <f>TEXT(tblWorkPackages[[#This Row],[Request date serial]]-WEEKDAY(tblWorkPackages[[#This Row],[Request date serial]],3),"yyyy-mm-dd")</f>
        <v>2024-02-05</v>
      </c>
      <c r="P95" s="51">
        <f>ABS(tblWorkPackages[[#This Row],[Actual labor hours]]-tblWorkPackages[[#This Row],[Estimated labor hours]])</f>
        <v>2</v>
      </c>
      <c r="Q95" s="51">
        <f>IF(tblWorkPackages[[#This Row],[Actual labor hours]]&gt;tblWorkPackages[[#This Row],[Estimated labor hours]],1,0)</f>
        <v>0</v>
      </c>
      <c r="R95" s="51">
        <f>tblWorkPackages[[#This Row],[Actual labor hours]]-tblWorkPackages[[#This Row],[Estimated labor hours]]</f>
        <v>-2</v>
      </c>
      <c r="S95" s="51" t="str">
        <f>IF(tblWorkPackages[[#This Row],[Request date serial]]&lt;ValidationStart,"Train 2024",IF(tblWorkPackages[[#This Row],[Request date serial]]&lt;HoldoutStart,"Validation H1","Holdout H2"))</f>
        <v>Train 2024</v>
      </c>
      <c r="T95" s="51" t="str">
        <f>IF(tblWorkPackages[[#This Row],[Time split]]="Train 2024","",tblWorkPackages[[#This Row],[Estimated labor hours]]+VLOOKUP(tblWorkPackages[[#This Row],[Task type]],'Forecast validation'!$A$14:$E$25,IF(tblWorkPackages[[#This Row],[Time split]]="Validation H1",4,5),FALSE()))</f>
        <v/>
      </c>
      <c r="U95" s="51" t="str">
        <f>IF(tblWorkPackages[[#This Row],[Calibrated forecast hours]]="","",ABS(tblWorkPackages[[#This Row],[Actual labor hours]]-tblWorkPackages[[#This Row],[Calibrated forecast hours]]))</f>
        <v/>
      </c>
      <c r="V95" s="51">
        <f>IF(tblWorkPackages[[#This Row],[Time split]]="Train 2024",tblWorkPackages[[#This Row],[Estimated labor hours]],tblWorkPackages[[#This Row],[Calibrated forecast hours]])</f>
        <v>10.3</v>
      </c>
      <c r="W95" s="64">
        <f>DATEVALUE(tblWorkPackages[[#This Row],[Request date]])</f>
        <v>45328.0</v>
      </c>
      <c r="X95" s="64">
        <f>DATEVALUE(tblWorkPackages[[#This Row],[Due date]])</f>
        <v>45341.0</v>
      </c>
      <c r="Y95" s="64">
        <f>DATEVALUE(tblWorkPackages[[#This Row],[Completion date]])</f>
        <v>45332.0</v>
      </c>
      <c r="Z95" s="64">
        <f>_xlfn.MINIFS(tblLaborEntries[Work date serial],tblLaborEntries[Work package ID],tblWorkPackages[[#This Row],[Work package ID]])</f>
        <v>45329.0</v>
      </c>
      <c r="AA95" s="64">
        <f>_xlfn.MAXIFS(tblLaborEntries[Work date serial],tblLaborEntries[Work package ID],tblWorkPackages[[#This Row],[Work package ID]])</f>
        <v>45331.0</v>
      </c>
      <c r="AB95" s="65">
        <f>IF(tblWorkPackages[[#This Row],[Completion date serial]]&gt;tblWorkPackages[[#This Row],[Due date serial]],1,0)</f>
        <v>0</v>
      </c>
      <c r="AC95" s="65">
        <f>MAX(0,tblWorkPackages[[#This Row],[Completion date serial]]-tblWorkPackages[[#This Row],[Due date serial]])</f>
        <v>0</v>
      </c>
      <c r="AD95" s="65">
        <f>tblWorkPackages[[#This Row],[First labor date]]-tblWorkPackages[[#This Row],[Request date serial]]</f>
        <v>1</v>
      </c>
      <c r="AE95" s="65">
        <f>tblWorkPackages[[#This Row],[Last labor date]]-tblWorkPackages[[#This Row],[First labor date]]</f>
        <v>2</v>
      </c>
      <c r="AF95" s="65">
        <f>tblWorkPackages[[#This Row],[Completion date serial]]-tblWorkPackages[[#This Row],[Last labor date]]</f>
        <v>1</v>
      </c>
      <c r="AG95" s="65">
        <f>tblWorkPackages[[#This Row],[Completion date serial]]-tblWorkPackages[[#This Row],[Request date serial]]</f>
        <v>4</v>
      </c>
      <c r="AH95" s="65">
        <f>IFERROR(INDEX(tblParts[Delay days],MATCH(tblWorkPackages[[#This Row],[Work package ID]],tblParts[Work package ID],0)),0)</f>
        <v>0</v>
      </c>
      <c r="AI95" s="51" t="str">
        <f>IFERROR(INDEX(tblDisruptions[Event type],MATCH(tblWorkPackages[[#This Row],[Work package ID]],tblDisruptions[Work package ID],0)),"None")</f>
        <v>None</v>
      </c>
      <c r="AJ95" s="51" t="str">
        <f>TEXT(tblWorkPackages[[#This Row],[Due date serial]],"yyyy-mm")</f>
        <v>2024-02</v>
      </c>
    </row>
    <row r="96" spans="1:36" ht="15" x14ac:dyDescent="0.25">
      <c r="A96" s="53" t="s">
        <v>491</v>
      </c>
      <c r="B96" s="53" t="s">
        <v>150</v>
      </c>
      <c r="C96" s="53" t="s">
        <v>492</v>
      </c>
      <c r="D96" s="53" t="s">
        <v>192</v>
      </c>
      <c r="E96" s="53" t="s">
        <v>181</v>
      </c>
      <c r="F96" s="53" t="s">
        <v>182</v>
      </c>
      <c r="G96" s="53" t="s">
        <v>138</v>
      </c>
      <c r="H96" s="53">
        <v>3</v>
      </c>
      <c r="I96" s="53" t="s">
        <v>176</v>
      </c>
      <c r="J96" s="53">
        <v>0</v>
      </c>
      <c r="K96" s="53">
        <v>1</v>
      </c>
      <c r="L96" s="53">
        <v>10.3</v>
      </c>
      <c r="M96" s="53" t="s">
        <v>139</v>
      </c>
      <c r="N96" s="53">
        <v>9</v>
      </c>
      <c r="O96" s="51" t="str">
        <f>TEXT(tblWorkPackages[[#This Row],[Request date serial]]-WEEKDAY(tblWorkPackages[[#This Row],[Request date serial]],3),"yyyy-mm-dd")</f>
        <v>2025-08-25</v>
      </c>
      <c r="P96" s="51">
        <f>ABS(tblWorkPackages[[#This Row],[Actual labor hours]]-tblWorkPackages[[#This Row],[Estimated labor hours]])</f>
        <v>1.3</v>
      </c>
      <c r="Q96" s="51">
        <f>IF(tblWorkPackages[[#This Row],[Actual labor hours]]&gt;tblWorkPackages[[#This Row],[Estimated labor hours]],1,0)</f>
        <v>0</v>
      </c>
      <c r="R96" s="51">
        <f>tblWorkPackages[[#This Row],[Actual labor hours]]-tblWorkPackages[[#This Row],[Estimated labor hours]]</f>
        <v>-1.3</v>
      </c>
      <c r="S96" s="51" t="str">
        <f>IF(tblWorkPackages[[#This Row],[Request date serial]]&lt;ValidationStart,"Train 2024",IF(tblWorkPackages[[#This Row],[Request date serial]]&lt;HoldoutStart,"Validation H1","Holdout H2"))</f>
        <v>Holdout H2</v>
      </c>
      <c r="T96" s="51">
        <f>IF(tblWorkPackages[[#This Row],[Time split]]="Train 2024","",tblWorkPackages[[#This Row],[Estimated labor hours]]+VLOOKUP(tblWorkPackages[[#This Row],[Task type]],'Forecast validation'!$A$14:$E$25,IF(tblWorkPackages[[#This Row],[Time split]]="Validation H1",4,5),FALSE()))</f>
        <v>10.8916083916084</v>
      </c>
      <c r="U96" s="51">
        <f>IF(tblWorkPackages[[#This Row],[Calibrated forecast hours]]="","",ABS(tblWorkPackages[[#This Row],[Actual labor hours]]-tblWorkPackages[[#This Row],[Calibrated forecast hours]]))</f>
        <v>1.89160839160839</v>
      </c>
      <c r="V96" s="51">
        <f>IF(tblWorkPackages[[#This Row],[Time split]]="Train 2024",tblWorkPackages[[#This Row],[Estimated labor hours]],tblWorkPackages[[#This Row],[Calibrated forecast hours]])</f>
        <v>10.8916083916084</v>
      </c>
      <c r="W96" s="64">
        <f>DATEVALUE(tblWorkPackages[[#This Row],[Request date]])</f>
        <v>45894.0</v>
      </c>
      <c r="X96" s="64">
        <f>DATEVALUE(tblWorkPackages[[#This Row],[Due date]])</f>
        <v>45900.0</v>
      </c>
      <c r="Y96" s="64">
        <f>DATEVALUE(tblWorkPackages[[#This Row],[Completion date]])</f>
        <v>45908.0</v>
      </c>
      <c r="Z96" s="64">
        <f>_xlfn.MINIFS(tblLaborEntries[Work date serial],tblLaborEntries[Work package ID],tblWorkPackages[[#This Row],[Work package ID]])</f>
        <v>45906.0</v>
      </c>
      <c r="AA96" s="64">
        <f>_xlfn.MAXIFS(tblLaborEntries[Work date serial],tblLaborEntries[Work package ID],tblWorkPackages[[#This Row],[Work package ID]])</f>
        <v>45906.0</v>
      </c>
      <c r="AB96" s="65">
        <f>IF(tblWorkPackages[[#This Row],[Completion date serial]]&gt;tblWorkPackages[[#This Row],[Due date serial]],1,0)</f>
        <v>1</v>
      </c>
      <c r="AC96" s="65">
        <f>MAX(0,tblWorkPackages[[#This Row],[Completion date serial]]-tblWorkPackages[[#This Row],[Due date serial]])</f>
        <v>8</v>
      </c>
      <c r="AD96" s="65">
        <f>tblWorkPackages[[#This Row],[First labor date]]-tblWorkPackages[[#This Row],[Request date serial]]</f>
        <v>12</v>
      </c>
      <c r="AE96" s="65">
        <f>tblWorkPackages[[#This Row],[Last labor date]]-tblWorkPackages[[#This Row],[First labor date]]</f>
        <v>0</v>
      </c>
      <c r="AF96" s="65">
        <f>tblWorkPackages[[#This Row],[Completion date serial]]-tblWorkPackages[[#This Row],[Last labor date]]</f>
        <v>2</v>
      </c>
      <c r="AG96" s="65">
        <f>tblWorkPackages[[#This Row],[Completion date serial]]-tblWorkPackages[[#This Row],[Request date serial]]</f>
        <v>14</v>
      </c>
      <c r="AH96" s="65">
        <f>IFERROR(INDEX(tblParts[Delay days],MATCH(tblWorkPackages[[#This Row],[Work package ID]],tblParts[Work package ID],0)),0)</f>
        <v>0</v>
      </c>
      <c r="AI96" s="51" t="str">
        <f>IFERROR(INDEX(tblDisruptions[Event type],MATCH(tblWorkPackages[[#This Row],[Work package ID]],tblDisruptions[Work package ID],0)),"None")</f>
        <v>None</v>
      </c>
      <c r="AJ96" s="51" t="str">
        <f>TEXT(tblWorkPackages[[#This Row],[Due date serial]],"yyyy-mm")</f>
        <v>2025-08</v>
      </c>
    </row>
    <row r="97" spans="1:36" ht="15" x14ac:dyDescent="0.25">
      <c r="A97" s="53" t="s">
        <v>493</v>
      </c>
      <c r="B97" s="53" t="s">
        <v>150</v>
      </c>
      <c r="C97" s="53" t="s">
        <v>494</v>
      </c>
      <c r="D97" s="53" t="s">
        <v>378</v>
      </c>
      <c r="E97" s="53" t="s">
        <v>160</v>
      </c>
      <c r="F97" s="53" t="s">
        <v>128</v>
      </c>
      <c r="G97" s="53" t="s">
        <v>138</v>
      </c>
      <c r="H97" s="53">
        <v>3</v>
      </c>
      <c r="I97" s="53" t="s">
        <v>130</v>
      </c>
      <c r="J97" s="53">
        <v>0</v>
      </c>
      <c r="K97" s="53">
        <v>0</v>
      </c>
      <c r="L97" s="53">
        <v>5.9</v>
      </c>
      <c r="M97" s="53" t="s">
        <v>495</v>
      </c>
      <c r="N97" s="53">
        <v>4.5999999999999996</v>
      </c>
      <c r="O97" s="51" t="str">
        <f>TEXT(tblWorkPackages[[#This Row],[Request date serial]]-WEEKDAY(tblWorkPackages[[#This Row],[Request date serial]],3),"yyyy-mm-dd")</f>
        <v>2025-09-29</v>
      </c>
      <c r="P97" s="51">
        <f>ABS(tblWorkPackages[[#This Row],[Actual labor hours]]-tblWorkPackages[[#This Row],[Estimated labor hours]])</f>
        <v>1.3</v>
      </c>
      <c r="Q97" s="51">
        <f>IF(tblWorkPackages[[#This Row],[Actual labor hours]]&gt;tblWorkPackages[[#This Row],[Estimated labor hours]],1,0)</f>
        <v>0</v>
      </c>
      <c r="R97" s="51">
        <f>tblWorkPackages[[#This Row],[Actual labor hours]]-tblWorkPackages[[#This Row],[Estimated labor hours]]</f>
        <v>-1.3</v>
      </c>
      <c r="S97" s="51" t="str">
        <f>IF(tblWorkPackages[[#This Row],[Request date serial]]&lt;ValidationStart,"Train 2024",IF(tblWorkPackages[[#This Row],[Request date serial]]&lt;HoldoutStart,"Validation H1","Holdout H2"))</f>
        <v>Holdout H2</v>
      </c>
      <c r="T97" s="51">
        <f>IF(tblWorkPackages[[#This Row],[Time split]]="Train 2024","",tblWorkPackages[[#This Row],[Estimated labor hours]]+VLOOKUP(tblWorkPackages[[#This Row],[Task type]],'Forecast validation'!$A$14:$E$25,IF(tblWorkPackages[[#This Row],[Time split]]="Validation H1",4,5),FALSE()))</f>
        <v>6.33739837398374</v>
      </c>
      <c r="U97" s="51">
        <f>IF(tblWorkPackages[[#This Row],[Calibrated forecast hours]]="","",ABS(tblWorkPackages[[#This Row],[Actual labor hours]]-tblWorkPackages[[#This Row],[Calibrated forecast hours]]))</f>
        <v>1.73739837398374</v>
      </c>
      <c r="V97" s="51">
        <f>IF(tblWorkPackages[[#This Row],[Time split]]="Train 2024",tblWorkPackages[[#This Row],[Estimated labor hours]],tblWorkPackages[[#This Row],[Calibrated forecast hours]])</f>
        <v>6.33739837398374</v>
      </c>
      <c r="W97" s="64">
        <f>DATEVALUE(tblWorkPackages[[#This Row],[Request date]])</f>
        <v>45930.0</v>
      </c>
      <c r="X97" s="64">
        <f>DATEVALUE(tblWorkPackages[[#This Row],[Due date]])</f>
        <v>45943.0</v>
      </c>
      <c r="Y97" s="64">
        <f>DATEVALUE(tblWorkPackages[[#This Row],[Completion date]])</f>
        <v>45938.0</v>
      </c>
      <c r="Z97" s="64">
        <f>_xlfn.MINIFS(tblLaborEntries[Work date serial],tblLaborEntries[Work package ID],tblWorkPackages[[#This Row],[Work package ID]])</f>
        <v>45933.0</v>
      </c>
      <c r="AA97" s="64">
        <f>_xlfn.MAXIFS(tblLaborEntries[Work date serial],tblLaborEntries[Work package ID],tblWorkPackages[[#This Row],[Work package ID]])</f>
        <v>45935.0</v>
      </c>
      <c r="AB97" s="65">
        <f>IF(tblWorkPackages[[#This Row],[Completion date serial]]&gt;tblWorkPackages[[#This Row],[Due date serial]],1,0)</f>
        <v>0</v>
      </c>
      <c r="AC97" s="65">
        <f>MAX(0,tblWorkPackages[[#This Row],[Completion date serial]]-tblWorkPackages[[#This Row],[Due date serial]])</f>
        <v>0</v>
      </c>
      <c r="AD97" s="65">
        <f>tblWorkPackages[[#This Row],[First labor date]]-tblWorkPackages[[#This Row],[Request date serial]]</f>
        <v>3</v>
      </c>
      <c r="AE97" s="65">
        <f>tblWorkPackages[[#This Row],[Last labor date]]-tblWorkPackages[[#This Row],[First labor date]]</f>
        <v>2</v>
      </c>
      <c r="AF97" s="65">
        <f>tblWorkPackages[[#This Row],[Completion date serial]]-tblWorkPackages[[#This Row],[Last labor date]]</f>
        <v>3</v>
      </c>
      <c r="AG97" s="65">
        <f>tblWorkPackages[[#This Row],[Completion date serial]]-tblWorkPackages[[#This Row],[Request date serial]]</f>
        <v>8</v>
      </c>
      <c r="AH97" s="65">
        <f>IFERROR(INDEX(tblParts[Delay days],MATCH(tblWorkPackages[[#This Row],[Work package ID]],tblParts[Work package ID],0)),0)</f>
        <v>0</v>
      </c>
      <c r="AI97" s="51" t="str">
        <f>IFERROR(INDEX(tblDisruptions[Event type],MATCH(tblWorkPackages[[#This Row],[Work package ID]],tblDisruptions[Work package ID],0)),"None")</f>
        <v>None</v>
      </c>
      <c r="AJ97" s="51" t="str">
        <f>TEXT(tblWorkPackages[[#This Row],[Due date serial]],"yyyy-mm")</f>
        <v>2025-10</v>
      </c>
    </row>
    <row r="98" spans="1:36" ht="15" x14ac:dyDescent="0.25">
      <c r="A98" s="53" t="s">
        <v>496</v>
      </c>
      <c r="B98" s="53" t="s">
        <v>133</v>
      </c>
      <c r="C98" s="53" t="s">
        <v>214</v>
      </c>
      <c r="D98" s="53" t="s">
        <v>441</v>
      </c>
      <c r="E98" s="53" t="s">
        <v>242</v>
      </c>
      <c r="F98" s="53" t="s">
        <v>243</v>
      </c>
      <c r="G98" s="53" t="s">
        <v>129</v>
      </c>
      <c r="H98" s="53">
        <v>1</v>
      </c>
      <c r="I98" s="53" t="s">
        <v>176</v>
      </c>
      <c r="J98" s="53">
        <v>0</v>
      </c>
      <c r="K98" s="53">
        <v>1</v>
      </c>
      <c r="L98" s="53">
        <v>5.4</v>
      </c>
      <c r="M98" s="53" t="s">
        <v>475</v>
      </c>
      <c r="N98" s="53">
        <v>4.7</v>
      </c>
      <c r="O98" s="51" t="str">
        <f>TEXT(tblWorkPackages[[#This Row],[Request date serial]]-WEEKDAY(tblWorkPackages[[#This Row],[Request date serial]],3),"yyyy-mm-dd")</f>
        <v>2024-01-15</v>
      </c>
      <c r="P98" s="51">
        <f>ABS(tblWorkPackages[[#This Row],[Actual labor hours]]-tblWorkPackages[[#This Row],[Estimated labor hours]])</f>
        <v>0.7</v>
      </c>
      <c r="Q98" s="51">
        <f>IF(tblWorkPackages[[#This Row],[Actual labor hours]]&gt;tblWorkPackages[[#This Row],[Estimated labor hours]],1,0)</f>
        <v>0</v>
      </c>
      <c r="R98" s="51">
        <f>tblWorkPackages[[#This Row],[Actual labor hours]]-tblWorkPackages[[#This Row],[Estimated labor hours]]</f>
        <v>-0.7</v>
      </c>
      <c r="S98" s="51" t="str">
        <f>IF(tblWorkPackages[[#This Row],[Request date serial]]&lt;ValidationStart,"Train 2024",IF(tblWorkPackages[[#This Row],[Request date serial]]&lt;HoldoutStart,"Validation H1","Holdout H2"))</f>
        <v>Train 2024</v>
      </c>
      <c r="T98" s="51" t="str">
        <f>IF(tblWorkPackages[[#This Row],[Time split]]="Train 2024","",tblWorkPackages[[#This Row],[Estimated labor hours]]+VLOOKUP(tblWorkPackages[[#This Row],[Task type]],'Forecast validation'!$A$14:$E$25,IF(tblWorkPackages[[#This Row],[Time split]]="Validation H1",4,5),FALSE()))</f>
        <v/>
      </c>
      <c r="U98" s="51" t="str">
        <f>IF(tblWorkPackages[[#This Row],[Calibrated forecast hours]]="","",ABS(tblWorkPackages[[#This Row],[Actual labor hours]]-tblWorkPackages[[#This Row],[Calibrated forecast hours]]))</f>
        <v/>
      </c>
      <c r="V98" s="51">
        <f>IF(tblWorkPackages[[#This Row],[Time split]]="Train 2024",tblWorkPackages[[#This Row],[Estimated labor hours]],tblWorkPackages[[#This Row],[Calibrated forecast hours]])</f>
        <v>5.4</v>
      </c>
      <c r="W98" s="64">
        <f>DATEVALUE(tblWorkPackages[[#This Row],[Request date]])</f>
        <v>45311.0</v>
      </c>
      <c r="X98" s="64">
        <f>DATEVALUE(tblWorkPackages[[#This Row],[Due date]])</f>
        <v>45317.0</v>
      </c>
      <c r="Y98" s="64">
        <f>DATEVALUE(tblWorkPackages[[#This Row],[Completion date]])</f>
        <v>45353.0</v>
      </c>
      <c r="Z98" s="64">
        <f>_xlfn.MINIFS(tblLaborEntries[Work date serial],tblLaborEntries[Work package ID],tblWorkPackages[[#This Row],[Work package ID]])</f>
        <v>45351.0</v>
      </c>
      <c r="AA98" s="64">
        <f>_xlfn.MAXIFS(tblLaborEntries[Work date serial],tblLaborEntries[Work package ID],tblWorkPackages[[#This Row],[Work package ID]])</f>
        <v>45353.0</v>
      </c>
      <c r="AB98" s="65">
        <f>IF(tblWorkPackages[[#This Row],[Completion date serial]]&gt;tblWorkPackages[[#This Row],[Due date serial]],1,0)</f>
        <v>1</v>
      </c>
      <c r="AC98" s="65">
        <f>MAX(0,tblWorkPackages[[#This Row],[Completion date serial]]-tblWorkPackages[[#This Row],[Due date serial]])</f>
        <v>36</v>
      </c>
      <c r="AD98" s="65">
        <f>tblWorkPackages[[#This Row],[First labor date]]-tblWorkPackages[[#This Row],[Request date serial]]</f>
        <v>40</v>
      </c>
      <c r="AE98" s="65">
        <f>tblWorkPackages[[#This Row],[Last labor date]]-tblWorkPackages[[#This Row],[First labor date]]</f>
        <v>2</v>
      </c>
      <c r="AF98" s="65">
        <f>tblWorkPackages[[#This Row],[Completion date serial]]-tblWorkPackages[[#This Row],[Last labor date]]</f>
        <v>0</v>
      </c>
      <c r="AG98" s="65">
        <f>tblWorkPackages[[#This Row],[Completion date serial]]-tblWorkPackages[[#This Row],[Request date serial]]</f>
        <v>42</v>
      </c>
      <c r="AH98" s="65">
        <f>IFERROR(INDEX(tblParts[Delay days],MATCH(tblWorkPackages[[#This Row],[Work package ID]],tblParts[Work package ID],0)),0)</f>
        <v>4</v>
      </c>
      <c r="AI98" s="51" t="str">
        <f>IFERROR(INDEX(tblDisruptions[Event type],MATCH(tblWorkPackages[[#This Row],[Work package ID]],tblDisruptions[Work package ID],0)),"None")</f>
        <v>Part delay</v>
      </c>
      <c r="AJ98" s="51" t="str">
        <f>TEXT(tblWorkPackages[[#This Row],[Due date serial]],"yyyy-mm")</f>
        <v>2024-01</v>
      </c>
    </row>
    <row r="99" spans="1:36" ht="15" x14ac:dyDescent="0.25">
      <c r="A99" s="53" t="s">
        <v>497</v>
      </c>
      <c r="B99" s="53" t="s">
        <v>157</v>
      </c>
      <c r="C99" s="53" t="s">
        <v>498</v>
      </c>
      <c r="D99" s="53" t="s">
        <v>499</v>
      </c>
      <c r="E99" s="53" t="s">
        <v>242</v>
      </c>
      <c r="F99" s="53" t="s">
        <v>243</v>
      </c>
      <c r="G99" s="53" t="s">
        <v>129</v>
      </c>
      <c r="H99" s="53">
        <v>4</v>
      </c>
      <c r="I99" s="53" t="s">
        <v>130</v>
      </c>
      <c r="J99" s="53">
        <v>0</v>
      </c>
      <c r="K99" s="53">
        <v>0</v>
      </c>
      <c r="L99" s="53">
        <v>13.1</v>
      </c>
      <c r="M99" s="53" t="s">
        <v>334</v>
      </c>
      <c r="N99" s="53">
        <v>10.4</v>
      </c>
      <c r="O99" s="51" t="str">
        <f>TEXT(tblWorkPackages[[#This Row],[Request date serial]]-WEEKDAY(tblWorkPackages[[#This Row],[Request date serial]],3),"yyyy-mm-dd")</f>
        <v>2025-11-17</v>
      </c>
      <c r="P99" s="51">
        <f>ABS(tblWorkPackages[[#This Row],[Actual labor hours]]-tblWorkPackages[[#This Row],[Estimated labor hours]])</f>
        <v>2.7</v>
      </c>
      <c r="Q99" s="51">
        <f>IF(tblWorkPackages[[#This Row],[Actual labor hours]]&gt;tblWorkPackages[[#This Row],[Estimated labor hours]],1,0)</f>
        <v>0</v>
      </c>
      <c r="R99" s="51">
        <f>tblWorkPackages[[#This Row],[Actual labor hours]]-tblWorkPackages[[#This Row],[Estimated labor hours]]</f>
        <v>-2.7</v>
      </c>
      <c r="S99" s="51" t="str">
        <f>IF(tblWorkPackages[[#This Row],[Request date serial]]&lt;ValidationStart,"Train 2024",IF(tblWorkPackages[[#This Row],[Request date serial]]&lt;HoldoutStart,"Validation H1","Holdout H2"))</f>
        <v>Holdout H2</v>
      </c>
      <c r="T99" s="51">
        <f>IF(tblWorkPackages[[#This Row],[Time split]]="Train 2024","",tblWorkPackages[[#This Row],[Estimated labor hours]]+VLOOKUP(tblWorkPackages[[#This Row],[Task type]],'Forecast validation'!$A$14:$E$25,IF(tblWorkPackages[[#This Row],[Time split]]="Validation H1",4,5),FALSE()))</f>
        <v>13.9254545454545</v>
      </c>
      <c r="U99" s="51">
        <f>IF(tblWorkPackages[[#This Row],[Calibrated forecast hours]]="","",ABS(tblWorkPackages[[#This Row],[Actual labor hours]]-tblWorkPackages[[#This Row],[Calibrated forecast hours]]))</f>
        <v>3.52545454545455</v>
      </c>
      <c r="V99" s="51">
        <f>IF(tblWorkPackages[[#This Row],[Time split]]="Train 2024",tblWorkPackages[[#This Row],[Estimated labor hours]],tblWorkPackages[[#This Row],[Calibrated forecast hours]])</f>
        <v>13.9254545454545</v>
      </c>
      <c r="W99" s="64">
        <f>DATEVALUE(tblWorkPackages[[#This Row],[Request date]])</f>
        <v>45982.0</v>
      </c>
      <c r="X99" s="64">
        <f>DATEVALUE(tblWorkPackages[[#This Row],[Due date]])</f>
        <v>45995.0</v>
      </c>
      <c r="Y99" s="64">
        <f>DATEVALUE(tblWorkPackages[[#This Row],[Completion date]])</f>
        <v>45990.0</v>
      </c>
      <c r="Z99" s="64">
        <f>_xlfn.MINIFS(tblLaborEntries[Work date serial],tblLaborEntries[Work package ID],tblWorkPackages[[#This Row],[Work package ID]])</f>
        <v>45989.0</v>
      </c>
      <c r="AA99" s="64">
        <f>_xlfn.MAXIFS(tblLaborEntries[Work date serial],tblLaborEntries[Work package ID],tblWorkPackages[[#This Row],[Work package ID]])</f>
        <v>45989.0</v>
      </c>
      <c r="AB99" s="65">
        <f>IF(tblWorkPackages[[#This Row],[Completion date serial]]&gt;tblWorkPackages[[#This Row],[Due date serial]],1,0)</f>
        <v>0</v>
      </c>
      <c r="AC99" s="65">
        <f>MAX(0,tblWorkPackages[[#This Row],[Completion date serial]]-tblWorkPackages[[#This Row],[Due date serial]])</f>
        <v>0</v>
      </c>
      <c r="AD99" s="65">
        <f>tblWorkPackages[[#This Row],[First labor date]]-tblWorkPackages[[#This Row],[Request date serial]]</f>
        <v>7</v>
      </c>
      <c r="AE99" s="65">
        <f>tblWorkPackages[[#This Row],[Last labor date]]-tblWorkPackages[[#This Row],[First labor date]]</f>
        <v>0</v>
      </c>
      <c r="AF99" s="65">
        <f>tblWorkPackages[[#This Row],[Completion date serial]]-tblWorkPackages[[#This Row],[Last labor date]]</f>
        <v>1</v>
      </c>
      <c r="AG99" s="65">
        <f>tblWorkPackages[[#This Row],[Completion date serial]]-tblWorkPackages[[#This Row],[Request date serial]]</f>
        <v>8</v>
      </c>
      <c r="AH99" s="65">
        <f>IFERROR(INDEX(tblParts[Delay days],MATCH(tblWorkPackages[[#This Row],[Work package ID]],tblParts[Work package ID],0)),0)</f>
        <v>0</v>
      </c>
      <c r="AI99" s="51" t="str">
        <f>IFERROR(INDEX(tblDisruptions[Event type],MATCH(tblWorkPackages[[#This Row],[Work package ID]],tblDisruptions[Work package ID],0)),"None")</f>
        <v>None</v>
      </c>
      <c r="AJ99" s="51" t="str">
        <f>TEXT(tblWorkPackages[[#This Row],[Due date serial]],"yyyy-mm")</f>
        <v>2025-12</v>
      </c>
    </row>
    <row r="100" spans="1:36" ht="15" x14ac:dyDescent="0.25">
      <c r="A100" s="53" t="s">
        <v>500</v>
      </c>
      <c r="B100" s="53" t="s">
        <v>250</v>
      </c>
      <c r="C100" s="53" t="s">
        <v>201</v>
      </c>
      <c r="D100" s="53" t="s">
        <v>501</v>
      </c>
      <c r="E100" s="53" t="s">
        <v>223</v>
      </c>
      <c r="F100" s="53" t="s">
        <v>182</v>
      </c>
      <c r="G100" s="53" t="s">
        <v>154</v>
      </c>
      <c r="H100" s="53">
        <v>1</v>
      </c>
      <c r="I100" s="53" t="s">
        <v>130</v>
      </c>
      <c r="J100" s="53">
        <v>1</v>
      </c>
      <c r="K100" s="53">
        <v>0</v>
      </c>
      <c r="L100" s="53">
        <v>8.6</v>
      </c>
      <c r="M100" s="53" t="s">
        <v>502</v>
      </c>
      <c r="N100" s="53">
        <v>11.6</v>
      </c>
      <c r="O100" s="51" t="str">
        <f>TEXT(tblWorkPackages[[#This Row],[Request date serial]]-WEEKDAY(tblWorkPackages[[#This Row],[Request date serial]],3),"yyyy-mm-dd")</f>
        <v>2025-06-23</v>
      </c>
      <c r="P100" s="51">
        <f>ABS(tblWorkPackages[[#This Row],[Actual labor hours]]-tblWorkPackages[[#This Row],[Estimated labor hours]])</f>
        <v>3</v>
      </c>
      <c r="Q100" s="51">
        <f>IF(tblWorkPackages[[#This Row],[Actual labor hours]]&gt;tblWorkPackages[[#This Row],[Estimated labor hours]],1,0)</f>
        <v>1</v>
      </c>
      <c r="R100" s="51">
        <f>tblWorkPackages[[#This Row],[Actual labor hours]]-tblWorkPackages[[#This Row],[Estimated labor hours]]</f>
        <v>3</v>
      </c>
      <c r="S100" s="51" t="str">
        <f>IF(tblWorkPackages[[#This Row],[Request date serial]]&lt;ValidationStart,"Train 2024",IF(tblWorkPackages[[#This Row],[Request date serial]]&lt;HoldoutStart,"Validation H1","Holdout H2"))</f>
        <v>Validation H1</v>
      </c>
      <c r="T100" s="51">
        <f>IF(tblWorkPackages[[#This Row],[Time split]]="Train 2024","",tblWorkPackages[[#This Row],[Estimated labor hours]]+VLOOKUP(tblWorkPackages[[#This Row],[Task type]],'Forecast validation'!$A$14:$E$25,IF(tblWorkPackages[[#This Row],[Time split]]="Validation H1",4,5),FALSE()))</f>
        <v>9.48241758241758</v>
      </c>
      <c r="U100" s="51">
        <f>IF(tblWorkPackages[[#This Row],[Calibrated forecast hours]]="","",ABS(tblWorkPackages[[#This Row],[Actual labor hours]]-tblWorkPackages[[#This Row],[Calibrated forecast hours]]))</f>
        <v>2.11758241758242</v>
      </c>
      <c r="V100" s="51">
        <f>IF(tblWorkPackages[[#This Row],[Time split]]="Train 2024",tblWorkPackages[[#This Row],[Estimated labor hours]],tblWorkPackages[[#This Row],[Calibrated forecast hours]])</f>
        <v>9.48241758241758</v>
      </c>
      <c r="W100" s="64">
        <f>DATEVALUE(tblWorkPackages[[#This Row],[Request date]])</f>
        <v>45835.0</v>
      </c>
      <c r="X100" s="64">
        <f>DATEVALUE(tblWorkPackages[[#This Row],[Due date]])</f>
        <v>45848.0</v>
      </c>
      <c r="Y100" s="64">
        <f>DATEVALUE(tblWorkPackages[[#This Row],[Completion date]])</f>
        <v>45840.0</v>
      </c>
      <c r="Z100" s="64">
        <f>_xlfn.MINIFS(tblLaborEntries[Work date serial],tblLaborEntries[Work package ID],tblWorkPackages[[#This Row],[Work package ID]])</f>
        <v>45837.0</v>
      </c>
      <c r="AA100" s="64">
        <f>_xlfn.MAXIFS(tblLaborEntries[Work date serial],tblLaborEntries[Work package ID],tblWorkPackages[[#This Row],[Work package ID]])</f>
        <v>45838.0</v>
      </c>
      <c r="AB100" s="65">
        <f>IF(tblWorkPackages[[#This Row],[Completion date serial]]&gt;tblWorkPackages[[#This Row],[Due date serial]],1,0)</f>
        <v>0</v>
      </c>
      <c r="AC100" s="65">
        <f>MAX(0,tblWorkPackages[[#This Row],[Completion date serial]]-tblWorkPackages[[#This Row],[Due date serial]])</f>
        <v>0</v>
      </c>
      <c r="AD100" s="65">
        <f>tblWorkPackages[[#This Row],[First labor date]]-tblWorkPackages[[#This Row],[Request date serial]]</f>
        <v>2</v>
      </c>
      <c r="AE100" s="65">
        <f>tblWorkPackages[[#This Row],[Last labor date]]-tblWorkPackages[[#This Row],[First labor date]]</f>
        <v>1</v>
      </c>
      <c r="AF100" s="65">
        <f>tblWorkPackages[[#This Row],[Completion date serial]]-tblWorkPackages[[#This Row],[Last labor date]]</f>
        <v>2</v>
      </c>
      <c r="AG100" s="65">
        <f>tblWorkPackages[[#This Row],[Completion date serial]]-tblWorkPackages[[#This Row],[Request date serial]]</f>
        <v>5</v>
      </c>
      <c r="AH100" s="65">
        <f>IFERROR(INDEX(tblParts[Delay days],MATCH(tblWorkPackages[[#This Row],[Work package ID]],tblParts[Work package ID],0)),0)</f>
        <v>0</v>
      </c>
      <c r="AI100" s="51" t="str">
        <f>IFERROR(INDEX(tblDisruptions[Event type],MATCH(tblWorkPackages[[#This Row],[Work package ID]],tblDisruptions[Work package ID],0)),"None")</f>
        <v>None</v>
      </c>
      <c r="AJ100" s="51" t="str">
        <f>TEXT(tblWorkPackages[[#This Row],[Due date serial]],"yyyy-mm")</f>
        <v>2025-07</v>
      </c>
    </row>
    <row r="101" spans="1:36" ht="15" x14ac:dyDescent="0.25">
      <c r="A101" s="53" t="s">
        <v>503</v>
      </c>
      <c r="B101" s="53" t="s">
        <v>163</v>
      </c>
      <c r="C101" s="53" t="s">
        <v>504</v>
      </c>
      <c r="D101" s="53" t="s">
        <v>505</v>
      </c>
      <c r="E101" s="53" t="s">
        <v>209</v>
      </c>
      <c r="F101" s="53" t="s">
        <v>145</v>
      </c>
      <c r="G101" s="53" t="s">
        <v>210</v>
      </c>
      <c r="H101" s="53">
        <v>2</v>
      </c>
      <c r="I101" s="53" t="s">
        <v>130</v>
      </c>
      <c r="J101" s="53">
        <v>0</v>
      </c>
      <c r="K101" s="53">
        <v>1</v>
      </c>
      <c r="L101" s="53">
        <v>21.2</v>
      </c>
      <c r="M101" s="53" t="s">
        <v>506</v>
      </c>
      <c r="N101" s="53">
        <v>25.5</v>
      </c>
      <c r="O101" s="51" t="str">
        <f>TEXT(tblWorkPackages[[#This Row],[Request date serial]]-WEEKDAY(tblWorkPackages[[#This Row],[Request date serial]],3),"yyyy-mm-dd")</f>
        <v>2025-01-27</v>
      </c>
      <c r="P101" s="51">
        <f>ABS(tblWorkPackages[[#This Row],[Actual labor hours]]-tblWorkPackages[[#This Row],[Estimated labor hours]])</f>
        <v>4.3</v>
      </c>
      <c r="Q101" s="51">
        <f>IF(tblWorkPackages[[#This Row],[Actual labor hours]]&gt;tblWorkPackages[[#This Row],[Estimated labor hours]],1,0)</f>
        <v>1</v>
      </c>
      <c r="R101" s="51">
        <f>tblWorkPackages[[#This Row],[Actual labor hours]]-tblWorkPackages[[#This Row],[Estimated labor hours]]</f>
        <v>4.3</v>
      </c>
      <c r="S101" s="51" t="str">
        <f>IF(tblWorkPackages[[#This Row],[Request date serial]]&lt;ValidationStart,"Train 2024",IF(tblWorkPackages[[#This Row],[Request date serial]]&lt;HoldoutStart,"Validation H1","Holdout H2"))</f>
        <v>Validation H1</v>
      </c>
      <c r="T101" s="51">
        <f>IF(tblWorkPackages[[#This Row],[Time split]]="Train 2024","",tblWorkPackages[[#This Row],[Estimated labor hours]]+VLOOKUP(tblWorkPackages[[#This Row],[Task type]],'Forecast validation'!$A$14:$E$25,IF(tblWorkPackages[[#This Row],[Time split]]="Validation H1",4,5),FALSE()))</f>
        <v>22.3029850746269</v>
      </c>
      <c r="U101" s="51">
        <f>IF(tblWorkPackages[[#This Row],[Calibrated forecast hours]]="","",ABS(tblWorkPackages[[#This Row],[Actual labor hours]]-tblWorkPackages[[#This Row],[Calibrated forecast hours]]))</f>
        <v>3.19701492537314</v>
      </c>
      <c r="V101" s="51">
        <f>IF(tblWorkPackages[[#This Row],[Time split]]="Train 2024",tblWorkPackages[[#This Row],[Estimated labor hours]],tblWorkPackages[[#This Row],[Calibrated forecast hours]])</f>
        <v>22.3029850746269</v>
      </c>
      <c r="W101" s="64">
        <f>DATEVALUE(tblWorkPackages[[#This Row],[Request date]])</f>
        <v>45689.0</v>
      </c>
      <c r="X101" s="64">
        <f>DATEVALUE(tblWorkPackages[[#This Row],[Due date]])</f>
        <v>45702.0</v>
      </c>
      <c r="Y101" s="64">
        <f>DATEVALUE(tblWorkPackages[[#This Row],[Completion date]])</f>
        <v>45708.0</v>
      </c>
      <c r="Z101" s="64">
        <f>_xlfn.MINIFS(tblLaborEntries[Work date serial],tblLaborEntries[Work package ID],tblWorkPackages[[#This Row],[Work package ID]])</f>
        <v>45705.0</v>
      </c>
      <c r="AA101" s="64">
        <f>_xlfn.MAXIFS(tblLaborEntries[Work date serial],tblLaborEntries[Work package ID],tblWorkPackages[[#This Row],[Work package ID]])</f>
        <v>45705.0</v>
      </c>
      <c r="AB101" s="65">
        <f>IF(tblWorkPackages[[#This Row],[Completion date serial]]&gt;tblWorkPackages[[#This Row],[Due date serial]],1,0)</f>
        <v>1</v>
      </c>
      <c r="AC101" s="65">
        <f>MAX(0,tblWorkPackages[[#This Row],[Completion date serial]]-tblWorkPackages[[#This Row],[Due date serial]])</f>
        <v>6</v>
      </c>
      <c r="AD101" s="65">
        <f>tblWorkPackages[[#This Row],[First labor date]]-tblWorkPackages[[#This Row],[Request date serial]]</f>
        <v>16</v>
      </c>
      <c r="AE101" s="65">
        <f>tblWorkPackages[[#This Row],[Last labor date]]-tblWorkPackages[[#This Row],[First labor date]]</f>
        <v>0</v>
      </c>
      <c r="AF101" s="65">
        <f>tblWorkPackages[[#This Row],[Completion date serial]]-tblWorkPackages[[#This Row],[Last labor date]]</f>
        <v>3</v>
      </c>
      <c r="AG101" s="65">
        <f>tblWorkPackages[[#This Row],[Completion date serial]]-tblWorkPackages[[#This Row],[Request date serial]]</f>
        <v>19</v>
      </c>
      <c r="AH101" s="65">
        <f>IFERROR(INDEX(tblParts[Delay days],MATCH(tblWorkPackages[[#This Row],[Work package ID]],tblParts[Work package ID],0)),0)</f>
        <v>0</v>
      </c>
      <c r="AI101" s="51" t="str">
        <f>IFERROR(INDEX(tblDisruptions[Event type],MATCH(tblWorkPackages[[#This Row],[Work package ID]],tblDisruptions[Work package ID],0)),"None")</f>
        <v>None</v>
      </c>
      <c r="AJ101" s="51" t="str">
        <f>TEXT(tblWorkPackages[[#This Row],[Due date serial]],"yyyy-mm")</f>
        <v>2025-02</v>
      </c>
    </row>
    <row r="102" spans="1:36" ht="15" x14ac:dyDescent="0.25">
      <c r="A102" s="53" t="s">
        <v>507</v>
      </c>
      <c r="B102" s="53" t="s">
        <v>287</v>
      </c>
      <c r="C102" s="53" t="s">
        <v>179</v>
      </c>
      <c r="D102" s="53" t="s">
        <v>180</v>
      </c>
      <c r="E102" s="53" t="s">
        <v>242</v>
      </c>
      <c r="F102" s="53" t="s">
        <v>243</v>
      </c>
      <c r="G102" s="53" t="s">
        <v>129</v>
      </c>
      <c r="H102" s="53">
        <v>2</v>
      </c>
      <c r="I102" s="53" t="s">
        <v>130</v>
      </c>
      <c r="J102" s="53">
        <v>0</v>
      </c>
      <c r="K102" s="53">
        <v>0</v>
      </c>
      <c r="L102" s="53">
        <v>9.6999999999999993</v>
      </c>
      <c r="M102" s="53" t="s">
        <v>365</v>
      </c>
      <c r="N102" s="53">
        <v>9</v>
      </c>
      <c r="O102" s="51" t="str">
        <f>TEXT(tblWorkPackages[[#This Row],[Request date serial]]-WEEKDAY(tblWorkPackages[[#This Row],[Request date serial]],3),"yyyy-mm-dd")</f>
        <v>2025-05-12</v>
      </c>
      <c r="P102" s="51">
        <f>ABS(tblWorkPackages[[#This Row],[Actual labor hours]]-tblWorkPackages[[#This Row],[Estimated labor hours]])</f>
        <v>0.699999999999999</v>
      </c>
      <c r="Q102" s="51">
        <f>IF(tblWorkPackages[[#This Row],[Actual labor hours]]&gt;tblWorkPackages[[#This Row],[Estimated labor hours]],1,0)</f>
        <v>0</v>
      </c>
      <c r="R102" s="51">
        <f>tblWorkPackages[[#This Row],[Actual labor hours]]-tblWorkPackages[[#This Row],[Estimated labor hours]]</f>
        <v>-0.699999999999999</v>
      </c>
      <c r="S102" s="51" t="str">
        <f>IF(tblWorkPackages[[#This Row],[Request date serial]]&lt;ValidationStart,"Train 2024",IF(tblWorkPackages[[#This Row],[Request date serial]]&lt;HoldoutStart,"Validation H1","Holdout H2"))</f>
        <v>Validation H1</v>
      </c>
      <c r="T102" s="51">
        <f>IF(tblWorkPackages[[#This Row],[Time split]]="Train 2024","",tblWorkPackages[[#This Row],[Estimated labor hours]]+VLOOKUP(tblWorkPackages[[#This Row],[Task type]],'Forecast validation'!$A$14:$E$25,IF(tblWorkPackages[[#This Row],[Time split]]="Validation H1",4,5),FALSE()))</f>
        <v>10.2561224489796</v>
      </c>
      <c r="U102" s="51">
        <f>IF(tblWorkPackages[[#This Row],[Calibrated forecast hours]]="","",ABS(tblWorkPackages[[#This Row],[Actual labor hours]]-tblWorkPackages[[#This Row],[Calibrated forecast hours]]))</f>
        <v>1.25612244897959</v>
      </c>
      <c r="V102" s="51">
        <f>IF(tblWorkPackages[[#This Row],[Time split]]="Train 2024",tblWorkPackages[[#This Row],[Estimated labor hours]],tblWorkPackages[[#This Row],[Calibrated forecast hours]])</f>
        <v>10.2561224489796</v>
      </c>
      <c r="W102" s="64">
        <f>DATEVALUE(tblWorkPackages[[#This Row],[Request date]])</f>
        <v>45792.0</v>
      </c>
      <c r="X102" s="64">
        <f>DATEVALUE(tblWorkPackages[[#This Row],[Due date]])</f>
        <v>45805.0</v>
      </c>
      <c r="Y102" s="64">
        <f>DATEVALUE(tblWorkPackages[[#This Row],[Completion date]])</f>
        <v>45796.0</v>
      </c>
      <c r="Z102" s="64">
        <f>_xlfn.MINIFS(tblLaborEntries[Work date serial],tblLaborEntries[Work package ID],tblWorkPackages[[#This Row],[Work package ID]])</f>
        <v>45796.0</v>
      </c>
      <c r="AA102" s="64">
        <f>_xlfn.MAXIFS(tblLaborEntries[Work date serial],tblLaborEntries[Work package ID],tblWorkPackages[[#This Row],[Work package ID]])</f>
        <v>45796.0</v>
      </c>
      <c r="AB102" s="65">
        <f>IF(tblWorkPackages[[#This Row],[Completion date serial]]&gt;tblWorkPackages[[#This Row],[Due date serial]],1,0)</f>
        <v>0</v>
      </c>
      <c r="AC102" s="65">
        <f>MAX(0,tblWorkPackages[[#This Row],[Completion date serial]]-tblWorkPackages[[#This Row],[Due date serial]])</f>
        <v>0</v>
      </c>
      <c r="AD102" s="65">
        <f>tblWorkPackages[[#This Row],[First labor date]]-tblWorkPackages[[#This Row],[Request date serial]]</f>
        <v>4</v>
      </c>
      <c r="AE102" s="65">
        <f>tblWorkPackages[[#This Row],[Last labor date]]-tblWorkPackages[[#This Row],[First labor date]]</f>
        <v>0</v>
      </c>
      <c r="AF102" s="65">
        <f>tblWorkPackages[[#This Row],[Completion date serial]]-tblWorkPackages[[#This Row],[Last labor date]]</f>
        <v>0</v>
      </c>
      <c r="AG102" s="65">
        <f>tblWorkPackages[[#This Row],[Completion date serial]]-tblWorkPackages[[#This Row],[Request date serial]]</f>
        <v>4</v>
      </c>
      <c r="AH102" s="65">
        <f>IFERROR(INDEX(tblParts[Delay days],MATCH(tblWorkPackages[[#This Row],[Work package ID]],tblParts[Work package ID],0)),0)</f>
        <v>0</v>
      </c>
      <c r="AI102" s="51" t="str">
        <f>IFERROR(INDEX(tblDisruptions[Event type],MATCH(tblWorkPackages[[#This Row],[Work package ID]],tblDisruptions[Work package ID],0)),"None")</f>
        <v>None</v>
      </c>
      <c r="AJ102" s="51" t="str">
        <f>TEXT(tblWorkPackages[[#This Row],[Due date serial]],"yyyy-mm")</f>
        <v>2025-05</v>
      </c>
    </row>
    <row r="103" spans="1:36" ht="15" x14ac:dyDescent="0.25">
      <c r="A103" s="53" t="s">
        <v>508</v>
      </c>
      <c r="B103" s="53" t="s">
        <v>287</v>
      </c>
      <c r="C103" s="53" t="s">
        <v>276</v>
      </c>
      <c r="D103" s="53" t="s">
        <v>509</v>
      </c>
      <c r="E103" s="53" t="s">
        <v>223</v>
      </c>
      <c r="F103" s="53" t="s">
        <v>182</v>
      </c>
      <c r="G103" s="53" t="s">
        <v>154</v>
      </c>
      <c r="H103" s="53">
        <v>2</v>
      </c>
      <c r="I103" s="53" t="s">
        <v>130</v>
      </c>
      <c r="J103" s="53">
        <v>0</v>
      </c>
      <c r="K103" s="53">
        <v>0</v>
      </c>
      <c r="L103" s="53">
        <v>11.1</v>
      </c>
      <c r="M103" s="53" t="s">
        <v>170</v>
      </c>
      <c r="N103" s="53">
        <v>13.6</v>
      </c>
      <c r="O103" s="51" t="str">
        <f>TEXT(tblWorkPackages[[#This Row],[Request date serial]]-WEEKDAY(tblWorkPackages[[#This Row],[Request date serial]],3),"yyyy-mm-dd")</f>
        <v>2024-10-14</v>
      </c>
      <c r="P103" s="51">
        <f>ABS(tblWorkPackages[[#This Row],[Actual labor hours]]-tblWorkPackages[[#This Row],[Estimated labor hours]])</f>
        <v>2.5</v>
      </c>
      <c r="Q103" s="51">
        <f>IF(tblWorkPackages[[#This Row],[Actual labor hours]]&gt;tblWorkPackages[[#This Row],[Estimated labor hours]],1,0)</f>
        <v>1</v>
      </c>
      <c r="R103" s="51">
        <f>tblWorkPackages[[#This Row],[Actual labor hours]]-tblWorkPackages[[#This Row],[Estimated labor hours]]</f>
        <v>2.5</v>
      </c>
      <c r="S103" s="51" t="str">
        <f>IF(tblWorkPackages[[#This Row],[Request date serial]]&lt;ValidationStart,"Train 2024",IF(tblWorkPackages[[#This Row],[Request date serial]]&lt;HoldoutStart,"Validation H1","Holdout H2"))</f>
        <v>Train 2024</v>
      </c>
      <c r="T103" s="51" t="str">
        <f>IF(tblWorkPackages[[#This Row],[Time split]]="Train 2024","",tblWorkPackages[[#This Row],[Estimated labor hours]]+VLOOKUP(tblWorkPackages[[#This Row],[Task type]],'Forecast validation'!$A$14:$E$25,IF(tblWorkPackages[[#This Row],[Time split]]="Validation H1",4,5),FALSE()))</f>
        <v/>
      </c>
      <c r="U103" s="51" t="str">
        <f>IF(tblWorkPackages[[#This Row],[Calibrated forecast hours]]="","",ABS(tblWorkPackages[[#This Row],[Actual labor hours]]-tblWorkPackages[[#This Row],[Calibrated forecast hours]]))</f>
        <v/>
      </c>
      <c r="V103" s="51">
        <f>IF(tblWorkPackages[[#This Row],[Time split]]="Train 2024",tblWorkPackages[[#This Row],[Estimated labor hours]],tblWorkPackages[[#This Row],[Calibrated forecast hours]])</f>
        <v>11.1</v>
      </c>
      <c r="W103" s="64">
        <f>DATEVALUE(tblWorkPackages[[#This Row],[Request date]])</f>
        <v>45584.0</v>
      </c>
      <c r="X103" s="64">
        <f>DATEVALUE(tblWorkPackages[[#This Row],[Due date]])</f>
        <v>45597.0</v>
      </c>
      <c r="Y103" s="64">
        <f>DATEVALUE(tblWorkPackages[[#This Row],[Completion date]])</f>
        <v>45587.0</v>
      </c>
      <c r="Z103" s="64">
        <f>_xlfn.MINIFS(tblLaborEntries[Work date serial],tblLaborEntries[Work package ID],tblWorkPackages[[#This Row],[Work package ID]])</f>
        <v>45585.0</v>
      </c>
      <c r="AA103" s="64">
        <f>_xlfn.MAXIFS(tblLaborEntries[Work date serial],tblLaborEntries[Work package ID],tblWorkPackages[[#This Row],[Work package ID]])</f>
        <v>45586.0</v>
      </c>
      <c r="AB103" s="65">
        <f>IF(tblWorkPackages[[#This Row],[Completion date serial]]&gt;tblWorkPackages[[#This Row],[Due date serial]],1,0)</f>
        <v>0</v>
      </c>
      <c r="AC103" s="65">
        <f>MAX(0,tblWorkPackages[[#This Row],[Completion date serial]]-tblWorkPackages[[#This Row],[Due date serial]])</f>
        <v>0</v>
      </c>
      <c r="AD103" s="65">
        <f>tblWorkPackages[[#This Row],[First labor date]]-tblWorkPackages[[#This Row],[Request date serial]]</f>
        <v>1</v>
      </c>
      <c r="AE103" s="65">
        <f>tblWorkPackages[[#This Row],[Last labor date]]-tblWorkPackages[[#This Row],[First labor date]]</f>
        <v>1</v>
      </c>
      <c r="AF103" s="65">
        <f>tblWorkPackages[[#This Row],[Completion date serial]]-tblWorkPackages[[#This Row],[Last labor date]]</f>
        <v>1</v>
      </c>
      <c r="AG103" s="65">
        <f>tblWorkPackages[[#This Row],[Completion date serial]]-tblWorkPackages[[#This Row],[Request date serial]]</f>
        <v>3</v>
      </c>
      <c r="AH103" s="65">
        <f>IFERROR(INDEX(tblParts[Delay days],MATCH(tblWorkPackages[[#This Row],[Work package ID]],tblParts[Work package ID],0)),0)</f>
        <v>0</v>
      </c>
      <c r="AI103" s="51" t="str">
        <f>IFERROR(INDEX(tblDisruptions[Event type],MATCH(tblWorkPackages[[#This Row],[Work package ID]],tblDisruptions[Work package ID],0)),"None")</f>
        <v>None</v>
      </c>
      <c r="AJ103" s="51" t="str">
        <f>TEXT(tblWorkPackages[[#This Row],[Due date serial]],"yyyy-mm")</f>
        <v>2024-11</v>
      </c>
    </row>
    <row r="104" spans="1:36" ht="15" x14ac:dyDescent="0.25">
      <c r="A104" s="53" t="s">
        <v>510</v>
      </c>
      <c r="B104" s="53" t="s">
        <v>287</v>
      </c>
      <c r="C104" s="53" t="s">
        <v>315</v>
      </c>
      <c r="D104" s="53" t="s">
        <v>316</v>
      </c>
      <c r="E104" s="53" t="s">
        <v>223</v>
      </c>
      <c r="F104" s="53" t="s">
        <v>182</v>
      </c>
      <c r="G104" s="53" t="s">
        <v>154</v>
      </c>
      <c r="H104" s="53">
        <v>3</v>
      </c>
      <c r="I104" s="53" t="s">
        <v>130</v>
      </c>
      <c r="J104" s="53">
        <v>0</v>
      </c>
      <c r="K104" s="53">
        <v>0</v>
      </c>
      <c r="L104" s="53">
        <v>19.3</v>
      </c>
      <c r="M104" s="53" t="s">
        <v>316</v>
      </c>
      <c r="N104" s="53">
        <v>20.7</v>
      </c>
      <c r="O104" s="51" t="str">
        <f>TEXT(tblWorkPackages[[#This Row],[Request date serial]]-WEEKDAY(tblWorkPackages[[#This Row],[Request date serial]],3),"yyyy-mm-dd")</f>
        <v>2024-04-08</v>
      </c>
      <c r="P104" s="51">
        <f>ABS(tblWorkPackages[[#This Row],[Actual labor hours]]-tblWorkPackages[[#This Row],[Estimated labor hours]])</f>
        <v>1.4</v>
      </c>
      <c r="Q104" s="51">
        <f>IF(tblWorkPackages[[#This Row],[Actual labor hours]]&gt;tblWorkPackages[[#This Row],[Estimated labor hours]],1,0)</f>
        <v>1</v>
      </c>
      <c r="R104" s="51">
        <f>tblWorkPackages[[#This Row],[Actual labor hours]]-tblWorkPackages[[#This Row],[Estimated labor hours]]</f>
        <v>1.4</v>
      </c>
      <c r="S104" s="51" t="str">
        <f>IF(tblWorkPackages[[#This Row],[Request date serial]]&lt;ValidationStart,"Train 2024",IF(tblWorkPackages[[#This Row],[Request date serial]]&lt;HoldoutStart,"Validation H1","Holdout H2"))</f>
        <v>Train 2024</v>
      </c>
      <c r="T104" s="51" t="str">
        <f>IF(tblWorkPackages[[#This Row],[Time split]]="Train 2024","",tblWorkPackages[[#This Row],[Estimated labor hours]]+VLOOKUP(tblWorkPackages[[#This Row],[Task type]],'Forecast validation'!$A$14:$E$25,IF(tblWorkPackages[[#This Row],[Time split]]="Validation H1",4,5),FALSE()))</f>
        <v/>
      </c>
      <c r="U104" s="51" t="str">
        <f>IF(tblWorkPackages[[#This Row],[Calibrated forecast hours]]="","",ABS(tblWorkPackages[[#This Row],[Actual labor hours]]-tblWorkPackages[[#This Row],[Calibrated forecast hours]]))</f>
        <v/>
      </c>
      <c r="V104" s="51">
        <f>IF(tblWorkPackages[[#This Row],[Time split]]="Train 2024",tblWorkPackages[[#This Row],[Estimated labor hours]],tblWorkPackages[[#This Row],[Calibrated forecast hours]])</f>
        <v>19.3</v>
      </c>
      <c r="W104" s="64">
        <f>DATEVALUE(tblWorkPackages[[#This Row],[Request date]])</f>
        <v>45390.0</v>
      </c>
      <c r="X104" s="64">
        <f>DATEVALUE(tblWorkPackages[[#This Row],[Due date]])</f>
        <v>45403.0</v>
      </c>
      <c r="Y104" s="64">
        <f>DATEVALUE(tblWorkPackages[[#This Row],[Completion date]])</f>
        <v>45403.0</v>
      </c>
      <c r="Z104" s="64">
        <f>_xlfn.MINIFS(tblLaborEntries[Work date serial],tblLaborEntries[Work package ID],tblWorkPackages[[#This Row],[Work package ID]])</f>
        <v>45400.0</v>
      </c>
      <c r="AA104" s="64">
        <f>_xlfn.MAXIFS(tblLaborEntries[Work date serial],tblLaborEntries[Work package ID],tblWorkPackages[[#This Row],[Work package ID]])</f>
        <v>45401.0</v>
      </c>
      <c r="AB104" s="65">
        <f>IF(tblWorkPackages[[#This Row],[Completion date serial]]&gt;tblWorkPackages[[#This Row],[Due date serial]],1,0)</f>
        <v>0</v>
      </c>
      <c r="AC104" s="65">
        <f>MAX(0,tblWorkPackages[[#This Row],[Completion date serial]]-tblWorkPackages[[#This Row],[Due date serial]])</f>
        <v>0</v>
      </c>
      <c r="AD104" s="65">
        <f>tblWorkPackages[[#This Row],[First labor date]]-tblWorkPackages[[#This Row],[Request date serial]]</f>
        <v>10</v>
      </c>
      <c r="AE104" s="65">
        <f>tblWorkPackages[[#This Row],[Last labor date]]-tblWorkPackages[[#This Row],[First labor date]]</f>
        <v>1</v>
      </c>
      <c r="AF104" s="65">
        <f>tblWorkPackages[[#This Row],[Completion date serial]]-tblWorkPackages[[#This Row],[Last labor date]]</f>
        <v>2</v>
      </c>
      <c r="AG104" s="65">
        <f>tblWorkPackages[[#This Row],[Completion date serial]]-tblWorkPackages[[#This Row],[Request date serial]]</f>
        <v>13</v>
      </c>
      <c r="AH104" s="65">
        <f>IFERROR(INDEX(tblParts[Delay days],MATCH(tblWorkPackages[[#This Row],[Work package ID]],tblParts[Work package ID],0)),0)</f>
        <v>0</v>
      </c>
      <c r="AI104" s="51" t="str">
        <f>IFERROR(INDEX(tblDisruptions[Event type],MATCH(tblWorkPackages[[#This Row],[Work package ID]],tblDisruptions[Work package ID],0)),"None")</f>
        <v>None</v>
      </c>
      <c r="AJ104" s="51" t="str">
        <f>TEXT(tblWorkPackages[[#This Row],[Due date serial]],"yyyy-mm")</f>
        <v>2024-04</v>
      </c>
    </row>
    <row r="105" spans="1:36" ht="15" x14ac:dyDescent="0.25">
      <c r="A105" s="53" t="s">
        <v>511</v>
      </c>
      <c r="B105" s="53" t="s">
        <v>141</v>
      </c>
      <c r="C105" s="53" t="s">
        <v>512</v>
      </c>
      <c r="D105" s="53" t="s">
        <v>222</v>
      </c>
      <c r="E105" s="53" t="s">
        <v>127</v>
      </c>
      <c r="F105" s="53" t="s">
        <v>128</v>
      </c>
      <c r="G105" s="53" t="s">
        <v>129</v>
      </c>
      <c r="H105" s="53">
        <v>1</v>
      </c>
      <c r="I105" s="53" t="s">
        <v>176</v>
      </c>
      <c r="J105" s="53">
        <v>0</v>
      </c>
      <c r="K105" s="53">
        <v>0</v>
      </c>
      <c r="L105" s="53">
        <v>4.4000000000000004</v>
      </c>
      <c r="M105" s="53" t="s">
        <v>513</v>
      </c>
      <c r="N105" s="53">
        <v>3.7</v>
      </c>
      <c r="O105" s="51" t="str">
        <f>TEXT(tblWorkPackages[[#This Row],[Request date serial]]-WEEKDAY(tblWorkPackages[[#This Row],[Request date serial]],3),"yyyy-mm-dd")</f>
        <v>2024-12-09</v>
      </c>
      <c r="P105" s="51">
        <f>ABS(tblWorkPackages[[#This Row],[Actual labor hours]]-tblWorkPackages[[#This Row],[Estimated labor hours]])</f>
        <v>0.7</v>
      </c>
      <c r="Q105" s="51">
        <f>IF(tblWorkPackages[[#This Row],[Actual labor hours]]&gt;tblWorkPackages[[#This Row],[Estimated labor hours]],1,0)</f>
        <v>0</v>
      </c>
      <c r="R105" s="51">
        <f>tblWorkPackages[[#This Row],[Actual labor hours]]-tblWorkPackages[[#This Row],[Estimated labor hours]]</f>
        <v>-0.7</v>
      </c>
      <c r="S105" s="51" t="str">
        <f>IF(tblWorkPackages[[#This Row],[Request date serial]]&lt;ValidationStart,"Train 2024",IF(tblWorkPackages[[#This Row],[Request date serial]]&lt;HoldoutStart,"Validation H1","Holdout H2"))</f>
        <v>Train 2024</v>
      </c>
      <c r="T105" s="51" t="str">
        <f>IF(tblWorkPackages[[#This Row],[Time split]]="Train 2024","",tblWorkPackages[[#This Row],[Estimated labor hours]]+VLOOKUP(tblWorkPackages[[#This Row],[Task type]],'Forecast validation'!$A$14:$E$25,IF(tblWorkPackages[[#This Row],[Time split]]="Validation H1",4,5),FALSE()))</f>
        <v/>
      </c>
      <c r="U105" s="51" t="str">
        <f>IF(tblWorkPackages[[#This Row],[Calibrated forecast hours]]="","",ABS(tblWorkPackages[[#This Row],[Actual labor hours]]-tblWorkPackages[[#This Row],[Calibrated forecast hours]]))</f>
        <v/>
      </c>
      <c r="V105" s="51">
        <f>IF(tblWorkPackages[[#This Row],[Time split]]="Train 2024",tblWorkPackages[[#This Row],[Estimated labor hours]],tblWorkPackages[[#This Row],[Calibrated forecast hours]])</f>
        <v>4.4</v>
      </c>
      <c r="W105" s="64">
        <f>DATEVALUE(tblWorkPackages[[#This Row],[Request date]])</f>
        <v>45641.0</v>
      </c>
      <c r="X105" s="64">
        <f>DATEVALUE(tblWorkPackages[[#This Row],[Due date]])</f>
        <v>45647.0</v>
      </c>
      <c r="Y105" s="64">
        <f>DATEVALUE(tblWorkPackages[[#This Row],[Completion date]])</f>
        <v>45649.0</v>
      </c>
      <c r="Z105" s="64">
        <f>_xlfn.MINIFS(tblLaborEntries[Work date serial],tblLaborEntries[Work package ID],tblWorkPackages[[#This Row],[Work package ID]])</f>
        <v>45644.0</v>
      </c>
      <c r="AA105" s="64">
        <f>_xlfn.MAXIFS(tblLaborEntries[Work date serial],tblLaborEntries[Work package ID],tblWorkPackages[[#This Row],[Work package ID]])</f>
        <v>45646.0</v>
      </c>
      <c r="AB105" s="65">
        <f>IF(tblWorkPackages[[#This Row],[Completion date serial]]&gt;tblWorkPackages[[#This Row],[Due date serial]],1,0)</f>
        <v>1</v>
      </c>
      <c r="AC105" s="65">
        <f>MAX(0,tblWorkPackages[[#This Row],[Completion date serial]]-tblWorkPackages[[#This Row],[Due date serial]])</f>
        <v>2</v>
      </c>
      <c r="AD105" s="65">
        <f>tblWorkPackages[[#This Row],[First labor date]]-tblWorkPackages[[#This Row],[Request date serial]]</f>
        <v>3</v>
      </c>
      <c r="AE105" s="65">
        <f>tblWorkPackages[[#This Row],[Last labor date]]-tblWorkPackages[[#This Row],[First labor date]]</f>
        <v>2</v>
      </c>
      <c r="AF105" s="65">
        <f>tblWorkPackages[[#This Row],[Completion date serial]]-tblWorkPackages[[#This Row],[Last labor date]]</f>
        <v>3</v>
      </c>
      <c r="AG105" s="65">
        <f>tblWorkPackages[[#This Row],[Completion date serial]]-tblWorkPackages[[#This Row],[Request date serial]]</f>
        <v>8</v>
      </c>
      <c r="AH105" s="65">
        <f>IFERROR(INDEX(tblParts[Delay days],MATCH(tblWorkPackages[[#This Row],[Work package ID]],tblParts[Work package ID],0)),0)</f>
        <v>0</v>
      </c>
      <c r="AI105" s="51" t="str">
        <f>IFERROR(INDEX(tblDisruptions[Event type],MATCH(tblWorkPackages[[#This Row],[Work package ID]],tblDisruptions[Work package ID],0)),"None")</f>
        <v>None</v>
      </c>
      <c r="AJ105" s="51" t="str">
        <f>TEXT(tblWorkPackages[[#This Row],[Due date serial]],"yyyy-mm")</f>
        <v>2024-12</v>
      </c>
    </row>
    <row r="106" spans="1:36" ht="15" x14ac:dyDescent="0.25">
      <c r="A106" s="53" t="s">
        <v>514</v>
      </c>
      <c r="B106" s="53" t="s">
        <v>287</v>
      </c>
      <c r="C106" s="53" t="s">
        <v>515</v>
      </c>
      <c r="D106" s="53" t="s">
        <v>256</v>
      </c>
      <c r="E106" s="53" t="s">
        <v>209</v>
      </c>
      <c r="F106" s="53" t="s">
        <v>145</v>
      </c>
      <c r="G106" s="53" t="s">
        <v>210</v>
      </c>
      <c r="H106" s="53">
        <v>3</v>
      </c>
      <c r="I106" s="53" t="s">
        <v>130</v>
      </c>
      <c r="J106" s="53">
        <v>0</v>
      </c>
      <c r="K106" s="53">
        <v>1</v>
      </c>
      <c r="L106" s="53">
        <v>26.1</v>
      </c>
      <c r="M106" s="53" t="s">
        <v>251</v>
      </c>
      <c r="N106" s="53">
        <v>32.299999999999997</v>
      </c>
      <c r="O106" s="51" t="str">
        <f>TEXT(tblWorkPackages[[#This Row],[Request date serial]]-WEEKDAY(tblWorkPackages[[#This Row],[Request date serial]],3),"yyyy-mm-dd")</f>
        <v>2024-11-25</v>
      </c>
      <c r="P106" s="51">
        <f>ABS(tblWorkPackages[[#This Row],[Actual labor hours]]-tblWorkPackages[[#This Row],[Estimated labor hours]])</f>
        <v>6.2</v>
      </c>
      <c r="Q106" s="51">
        <f>IF(tblWorkPackages[[#This Row],[Actual labor hours]]&gt;tblWorkPackages[[#This Row],[Estimated labor hours]],1,0)</f>
        <v>1</v>
      </c>
      <c r="R106" s="51">
        <f>tblWorkPackages[[#This Row],[Actual labor hours]]-tblWorkPackages[[#This Row],[Estimated labor hours]]</f>
        <v>6.2</v>
      </c>
      <c r="S106" s="51" t="str">
        <f>IF(tblWorkPackages[[#This Row],[Request date serial]]&lt;ValidationStart,"Train 2024",IF(tblWorkPackages[[#This Row],[Request date serial]]&lt;HoldoutStart,"Validation H1","Holdout H2"))</f>
        <v>Train 2024</v>
      </c>
      <c r="T106" s="51" t="str">
        <f>IF(tblWorkPackages[[#This Row],[Time split]]="Train 2024","",tblWorkPackages[[#This Row],[Estimated labor hours]]+VLOOKUP(tblWorkPackages[[#This Row],[Task type]],'Forecast validation'!$A$14:$E$25,IF(tblWorkPackages[[#This Row],[Time split]]="Validation H1",4,5),FALSE()))</f>
        <v/>
      </c>
      <c r="U106" s="51" t="str">
        <f>IF(tblWorkPackages[[#This Row],[Calibrated forecast hours]]="","",ABS(tblWorkPackages[[#This Row],[Actual labor hours]]-tblWorkPackages[[#This Row],[Calibrated forecast hours]]))</f>
        <v/>
      </c>
      <c r="V106" s="51">
        <f>IF(tblWorkPackages[[#This Row],[Time split]]="Train 2024",tblWorkPackages[[#This Row],[Estimated labor hours]],tblWorkPackages[[#This Row],[Calibrated forecast hours]])</f>
        <v>26.1</v>
      </c>
      <c r="W106" s="64">
        <f>DATEVALUE(tblWorkPackages[[#This Row],[Request date]])</f>
        <v>45621.0</v>
      </c>
      <c r="X106" s="64">
        <f>DATEVALUE(tblWorkPackages[[#This Row],[Due date]])</f>
        <v>45634.0</v>
      </c>
      <c r="Y106" s="64">
        <f>DATEVALUE(tblWorkPackages[[#This Row],[Completion date]])</f>
        <v>45652.0</v>
      </c>
      <c r="Z106" s="64">
        <f>_xlfn.MINIFS(tblLaborEntries[Work date serial],tblLaborEntries[Work package ID],tblWorkPackages[[#This Row],[Work package ID]])</f>
        <v>45650.0</v>
      </c>
      <c r="AA106" s="64">
        <f>_xlfn.MAXIFS(tblLaborEntries[Work date serial],tblLaborEntries[Work package ID],tblWorkPackages[[#This Row],[Work package ID]])</f>
        <v>45652.0</v>
      </c>
      <c r="AB106" s="65">
        <f>IF(tblWorkPackages[[#This Row],[Completion date serial]]&gt;tblWorkPackages[[#This Row],[Due date serial]],1,0)</f>
        <v>1</v>
      </c>
      <c r="AC106" s="65">
        <f>MAX(0,tblWorkPackages[[#This Row],[Completion date serial]]-tblWorkPackages[[#This Row],[Due date serial]])</f>
        <v>18</v>
      </c>
      <c r="AD106" s="65">
        <f>tblWorkPackages[[#This Row],[First labor date]]-tblWorkPackages[[#This Row],[Request date serial]]</f>
        <v>29</v>
      </c>
      <c r="AE106" s="65">
        <f>tblWorkPackages[[#This Row],[Last labor date]]-tblWorkPackages[[#This Row],[First labor date]]</f>
        <v>2</v>
      </c>
      <c r="AF106" s="65">
        <f>tblWorkPackages[[#This Row],[Completion date serial]]-tblWorkPackages[[#This Row],[Last labor date]]</f>
        <v>0</v>
      </c>
      <c r="AG106" s="65">
        <f>tblWorkPackages[[#This Row],[Completion date serial]]-tblWorkPackages[[#This Row],[Request date serial]]</f>
        <v>31</v>
      </c>
      <c r="AH106" s="65">
        <f>IFERROR(INDEX(tblParts[Delay days],MATCH(tblWorkPackages[[#This Row],[Work package ID]],tblParts[Work package ID],0)),0)</f>
        <v>0</v>
      </c>
      <c r="AI106" s="51" t="str">
        <f>IFERROR(INDEX(tblDisruptions[Event type],MATCH(tblWorkPackages[[#This Row],[Work package ID]],tblDisruptions[Work package ID],0)),"None")</f>
        <v>None</v>
      </c>
      <c r="AJ106" s="51" t="str">
        <f>TEXT(tblWorkPackages[[#This Row],[Due date serial]],"yyyy-mm")</f>
        <v>2024-12</v>
      </c>
    </row>
    <row r="107" spans="1:36" ht="15" x14ac:dyDescent="0.25">
      <c r="A107" s="53" t="s">
        <v>516</v>
      </c>
      <c r="B107" s="53" t="s">
        <v>150</v>
      </c>
      <c r="C107" s="53" t="s">
        <v>517</v>
      </c>
      <c r="D107" s="53" t="s">
        <v>518</v>
      </c>
      <c r="E107" s="53" t="s">
        <v>144</v>
      </c>
      <c r="F107" s="53" t="s">
        <v>145</v>
      </c>
      <c r="G107" s="53" t="s">
        <v>146</v>
      </c>
      <c r="H107" s="53">
        <v>3</v>
      </c>
      <c r="I107" s="53" t="s">
        <v>176</v>
      </c>
      <c r="J107" s="53">
        <v>0</v>
      </c>
      <c r="K107" s="53">
        <v>0</v>
      </c>
      <c r="L107" s="53">
        <v>16.600000000000001</v>
      </c>
      <c r="M107" s="53" t="s">
        <v>518</v>
      </c>
      <c r="N107" s="53">
        <v>18.899999999999999</v>
      </c>
      <c r="O107" s="51" t="str">
        <f>TEXT(tblWorkPackages[[#This Row],[Request date serial]]-WEEKDAY(tblWorkPackages[[#This Row],[Request date serial]],3),"yyyy-mm-dd")</f>
        <v>2025-05-05</v>
      </c>
      <c r="P107" s="51">
        <f>ABS(tblWorkPackages[[#This Row],[Actual labor hours]]-tblWorkPackages[[#This Row],[Estimated labor hours]])</f>
        <v>2.3</v>
      </c>
      <c r="Q107" s="51">
        <f>IF(tblWorkPackages[[#This Row],[Actual labor hours]]&gt;tblWorkPackages[[#This Row],[Estimated labor hours]],1,0)</f>
        <v>1</v>
      </c>
      <c r="R107" s="51">
        <f>tblWorkPackages[[#This Row],[Actual labor hours]]-tblWorkPackages[[#This Row],[Estimated labor hours]]</f>
        <v>2.3</v>
      </c>
      <c r="S107" s="51" t="str">
        <f>IF(tblWorkPackages[[#This Row],[Request date serial]]&lt;ValidationStart,"Train 2024",IF(tblWorkPackages[[#This Row],[Request date serial]]&lt;HoldoutStart,"Validation H1","Holdout H2"))</f>
        <v>Validation H1</v>
      </c>
      <c r="T107" s="51">
        <f>IF(tblWorkPackages[[#This Row],[Time split]]="Train 2024","",tblWorkPackages[[#This Row],[Estimated labor hours]]+VLOOKUP(tblWorkPackages[[#This Row],[Task type]],'Forecast validation'!$A$14:$E$25,IF(tblWorkPackages[[#This Row],[Time split]]="Validation H1",4,5),FALSE()))</f>
        <v>17.3547368421053</v>
      </c>
      <c r="U107" s="51">
        <f>IF(tblWorkPackages[[#This Row],[Calibrated forecast hours]]="","",ABS(tblWorkPackages[[#This Row],[Actual labor hours]]-tblWorkPackages[[#This Row],[Calibrated forecast hours]]))</f>
        <v>1.54526315789473</v>
      </c>
      <c r="V107" s="51">
        <f>IF(tblWorkPackages[[#This Row],[Time split]]="Train 2024",tblWorkPackages[[#This Row],[Estimated labor hours]],tblWorkPackages[[#This Row],[Calibrated forecast hours]])</f>
        <v>17.3547368421053</v>
      </c>
      <c r="W107" s="64">
        <f>DATEVALUE(tblWorkPackages[[#This Row],[Request date]])</f>
        <v>45788.0</v>
      </c>
      <c r="X107" s="64">
        <f>DATEVALUE(tblWorkPackages[[#This Row],[Due date]])</f>
        <v>45794.0</v>
      </c>
      <c r="Y107" s="64">
        <f>DATEVALUE(tblWorkPackages[[#This Row],[Completion date]])</f>
        <v>45794.0</v>
      </c>
      <c r="Z107" s="64">
        <f>_xlfn.MINIFS(tblLaborEntries[Work date serial],tblLaborEntries[Work package ID],tblWorkPackages[[#This Row],[Work package ID]])</f>
        <v>45793.0</v>
      </c>
      <c r="AA107" s="64">
        <f>_xlfn.MAXIFS(tblLaborEntries[Work date serial],tblLaborEntries[Work package ID],tblWorkPackages[[#This Row],[Work package ID]])</f>
        <v>45793.0</v>
      </c>
      <c r="AB107" s="65">
        <f>IF(tblWorkPackages[[#This Row],[Completion date serial]]&gt;tblWorkPackages[[#This Row],[Due date serial]],1,0)</f>
        <v>0</v>
      </c>
      <c r="AC107" s="65">
        <f>MAX(0,tblWorkPackages[[#This Row],[Completion date serial]]-tblWorkPackages[[#This Row],[Due date serial]])</f>
        <v>0</v>
      </c>
      <c r="AD107" s="65">
        <f>tblWorkPackages[[#This Row],[First labor date]]-tblWorkPackages[[#This Row],[Request date serial]]</f>
        <v>5</v>
      </c>
      <c r="AE107" s="65">
        <f>tblWorkPackages[[#This Row],[Last labor date]]-tblWorkPackages[[#This Row],[First labor date]]</f>
        <v>0</v>
      </c>
      <c r="AF107" s="65">
        <f>tblWorkPackages[[#This Row],[Completion date serial]]-tblWorkPackages[[#This Row],[Last labor date]]</f>
        <v>1</v>
      </c>
      <c r="AG107" s="65">
        <f>tblWorkPackages[[#This Row],[Completion date serial]]-tblWorkPackages[[#This Row],[Request date serial]]</f>
        <v>6</v>
      </c>
      <c r="AH107" s="65">
        <f>IFERROR(INDEX(tblParts[Delay days],MATCH(tblWorkPackages[[#This Row],[Work package ID]],tblParts[Work package ID],0)),0)</f>
        <v>0</v>
      </c>
      <c r="AI107" s="51" t="str">
        <f>IFERROR(INDEX(tblDisruptions[Event type],MATCH(tblWorkPackages[[#This Row],[Work package ID]],tblDisruptions[Work package ID],0)),"None")</f>
        <v>None</v>
      </c>
      <c r="AJ107" s="51" t="str">
        <f>TEXT(tblWorkPackages[[#This Row],[Due date serial]],"yyyy-mm")</f>
        <v>2025-05</v>
      </c>
    </row>
    <row r="108" spans="1:36" ht="15" x14ac:dyDescent="0.25">
      <c r="A108" s="53" t="s">
        <v>519</v>
      </c>
      <c r="B108" s="53" t="s">
        <v>235</v>
      </c>
      <c r="C108" s="53" t="s">
        <v>520</v>
      </c>
      <c r="D108" s="53" t="s">
        <v>521</v>
      </c>
      <c r="E108" s="53" t="s">
        <v>136</v>
      </c>
      <c r="F108" s="53" t="s">
        <v>137</v>
      </c>
      <c r="G108" s="53" t="s">
        <v>138</v>
      </c>
      <c r="H108" s="53">
        <v>4</v>
      </c>
      <c r="I108" s="53" t="s">
        <v>130</v>
      </c>
      <c r="J108" s="53">
        <v>0</v>
      </c>
      <c r="K108" s="53">
        <v>0</v>
      </c>
      <c r="L108" s="53">
        <v>24.4</v>
      </c>
      <c r="M108" s="53" t="s">
        <v>522</v>
      </c>
      <c r="N108" s="53">
        <v>22.9</v>
      </c>
      <c r="O108" s="51" t="str">
        <f>TEXT(tblWorkPackages[[#This Row],[Request date serial]]-WEEKDAY(tblWorkPackages[[#This Row],[Request date serial]],3),"yyyy-mm-dd")</f>
        <v>2025-08-18</v>
      </c>
      <c r="P108" s="51">
        <f>ABS(tblWorkPackages[[#This Row],[Actual labor hours]]-tblWorkPackages[[#This Row],[Estimated labor hours]])</f>
        <v>1.5</v>
      </c>
      <c r="Q108" s="51">
        <f>IF(tblWorkPackages[[#This Row],[Actual labor hours]]&gt;tblWorkPackages[[#This Row],[Estimated labor hours]],1,0)</f>
        <v>0</v>
      </c>
      <c r="R108" s="51">
        <f>tblWorkPackages[[#This Row],[Actual labor hours]]-tblWorkPackages[[#This Row],[Estimated labor hours]]</f>
        <v>-1.5</v>
      </c>
      <c r="S108" s="51" t="str">
        <f>IF(tblWorkPackages[[#This Row],[Request date serial]]&lt;ValidationStart,"Train 2024",IF(tblWorkPackages[[#This Row],[Request date serial]]&lt;HoldoutStart,"Validation H1","Holdout H2"))</f>
        <v>Holdout H2</v>
      </c>
      <c r="T108" s="51">
        <f>IF(tblWorkPackages[[#This Row],[Time split]]="Train 2024","",tblWorkPackages[[#This Row],[Estimated labor hours]]+VLOOKUP(tblWorkPackages[[#This Row],[Task type]],'Forecast validation'!$A$14:$E$25,IF(tblWorkPackages[[#This Row],[Time split]]="Validation H1",4,5),FALSE()))</f>
        <v>25.3207547169811</v>
      </c>
      <c r="U108" s="51">
        <f>IF(tblWorkPackages[[#This Row],[Calibrated forecast hours]]="","",ABS(tblWorkPackages[[#This Row],[Actual labor hours]]-tblWorkPackages[[#This Row],[Calibrated forecast hours]]))</f>
        <v>2.42075471698113</v>
      </c>
      <c r="V108" s="51">
        <f>IF(tblWorkPackages[[#This Row],[Time split]]="Train 2024",tblWorkPackages[[#This Row],[Estimated labor hours]],tblWorkPackages[[#This Row],[Calibrated forecast hours]])</f>
        <v>25.3207547169811</v>
      </c>
      <c r="W108" s="64">
        <f>DATEVALUE(tblWorkPackages[[#This Row],[Request date]])</f>
        <v>45890.0</v>
      </c>
      <c r="X108" s="64">
        <f>DATEVALUE(tblWorkPackages[[#This Row],[Due date]])</f>
        <v>45903.0</v>
      </c>
      <c r="Y108" s="64">
        <f>DATEVALUE(tblWorkPackages[[#This Row],[Completion date]])</f>
        <v>45895.0</v>
      </c>
      <c r="Z108" s="64">
        <f>_xlfn.MINIFS(tblLaborEntries[Work date serial],tblLaborEntries[Work package ID],tblWorkPackages[[#This Row],[Work package ID]])</f>
        <v>45892.0</v>
      </c>
      <c r="AA108" s="64">
        <f>_xlfn.MAXIFS(tblLaborEntries[Work date serial],tblLaborEntries[Work package ID],tblWorkPackages[[#This Row],[Work package ID]])</f>
        <v>45893.0</v>
      </c>
      <c r="AB108" s="65">
        <f>IF(tblWorkPackages[[#This Row],[Completion date serial]]&gt;tblWorkPackages[[#This Row],[Due date serial]],1,0)</f>
        <v>0</v>
      </c>
      <c r="AC108" s="65">
        <f>MAX(0,tblWorkPackages[[#This Row],[Completion date serial]]-tblWorkPackages[[#This Row],[Due date serial]])</f>
        <v>0</v>
      </c>
      <c r="AD108" s="65">
        <f>tblWorkPackages[[#This Row],[First labor date]]-tblWorkPackages[[#This Row],[Request date serial]]</f>
        <v>2</v>
      </c>
      <c r="AE108" s="65">
        <f>tblWorkPackages[[#This Row],[Last labor date]]-tblWorkPackages[[#This Row],[First labor date]]</f>
        <v>1</v>
      </c>
      <c r="AF108" s="65">
        <f>tblWorkPackages[[#This Row],[Completion date serial]]-tblWorkPackages[[#This Row],[Last labor date]]</f>
        <v>2</v>
      </c>
      <c r="AG108" s="65">
        <f>tblWorkPackages[[#This Row],[Completion date serial]]-tblWorkPackages[[#This Row],[Request date serial]]</f>
        <v>5</v>
      </c>
      <c r="AH108" s="65">
        <f>IFERROR(INDEX(tblParts[Delay days],MATCH(tblWorkPackages[[#This Row],[Work package ID]],tblParts[Work package ID],0)),0)</f>
        <v>0</v>
      </c>
      <c r="AI108" s="51" t="str">
        <f>IFERROR(INDEX(tblDisruptions[Event type],MATCH(tblWorkPackages[[#This Row],[Work package ID]],tblDisruptions[Work package ID],0)),"None")</f>
        <v>None</v>
      </c>
      <c r="AJ108" s="51" t="str">
        <f>TEXT(tblWorkPackages[[#This Row],[Due date serial]],"yyyy-mm")</f>
        <v>2025-09</v>
      </c>
    </row>
    <row r="109" spans="1:36" ht="15" x14ac:dyDescent="0.25">
      <c r="A109" s="53" t="s">
        <v>523</v>
      </c>
      <c r="B109" s="53" t="s">
        <v>133</v>
      </c>
      <c r="C109" s="53" t="s">
        <v>524</v>
      </c>
      <c r="D109" s="53" t="s">
        <v>166</v>
      </c>
      <c r="E109" s="53" t="s">
        <v>223</v>
      </c>
      <c r="F109" s="53" t="s">
        <v>182</v>
      </c>
      <c r="G109" s="53" t="s">
        <v>154</v>
      </c>
      <c r="H109" s="53">
        <v>3</v>
      </c>
      <c r="I109" s="53" t="s">
        <v>147</v>
      </c>
      <c r="J109" s="53">
        <v>0</v>
      </c>
      <c r="K109" s="53">
        <v>0</v>
      </c>
      <c r="L109" s="53">
        <v>16.100000000000001</v>
      </c>
      <c r="M109" s="53" t="s">
        <v>525</v>
      </c>
      <c r="N109" s="53">
        <v>19</v>
      </c>
      <c r="O109" s="51" t="str">
        <f>TEXT(tblWorkPackages[[#This Row],[Request date serial]]-WEEKDAY(tblWorkPackages[[#This Row],[Request date serial]],3),"yyyy-mm-dd")</f>
        <v>2024-07-08</v>
      </c>
      <c r="P109" s="51">
        <f>ABS(tblWorkPackages[[#This Row],[Actual labor hours]]-tblWorkPackages[[#This Row],[Estimated labor hours]])</f>
        <v>2.9</v>
      </c>
      <c r="Q109" s="51">
        <f>IF(tblWorkPackages[[#This Row],[Actual labor hours]]&gt;tblWorkPackages[[#This Row],[Estimated labor hours]],1,0)</f>
        <v>1</v>
      </c>
      <c r="R109" s="51">
        <f>tblWorkPackages[[#This Row],[Actual labor hours]]-tblWorkPackages[[#This Row],[Estimated labor hours]]</f>
        <v>2.9</v>
      </c>
      <c r="S109" s="51" t="str">
        <f>IF(tblWorkPackages[[#This Row],[Request date serial]]&lt;ValidationStart,"Train 2024",IF(tblWorkPackages[[#This Row],[Request date serial]]&lt;HoldoutStart,"Validation H1","Holdout H2"))</f>
        <v>Train 2024</v>
      </c>
      <c r="T109" s="51" t="str">
        <f>IF(tblWorkPackages[[#This Row],[Time split]]="Train 2024","",tblWorkPackages[[#This Row],[Estimated labor hours]]+VLOOKUP(tblWorkPackages[[#This Row],[Task type]],'Forecast validation'!$A$14:$E$25,IF(tblWorkPackages[[#This Row],[Time split]]="Validation H1",4,5),FALSE()))</f>
        <v/>
      </c>
      <c r="U109" s="51" t="str">
        <f>IF(tblWorkPackages[[#This Row],[Calibrated forecast hours]]="","",ABS(tblWorkPackages[[#This Row],[Actual labor hours]]-tblWorkPackages[[#This Row],[Calibrated forecast hours]]))</f>
        <v/>
      </c>
      <c r="V109" s="51">
        <f>IF(tblWorkPackages[[#This Row],[Time split]]="Train 2024",tblWorkPackages[[#This Row],[Estimated labor hours]],tblWorkPackages[[#This Row],[Calibrated forecast hours]])</f>
        <v>16.1</v>
      </c>
      <c r="W109" s="64">
        <f>DATEVALUE(tblWorkPackages[[#This Row],[Request date]])</f>
        <v>45483.0</v>
      </c>
      <c r="X109" s="64">
        <f>DATEVALUE(tblWorkPackages[[#This Row],[Due date]])</f>
        <v>45485.0</v>
      </c>
      <c r="Y109" s="64">
        <f>DATEVALUE(tblWorkPackages[[#This Row],[Completion date]])</f>
        <v>45501.0</v>
      </c>
      <c r="Z109" s="64">
        <f>_xlfn.MINIFS(tblLaborEntries[Work date serial],tblLaborEntries[Work package ID],tblWorkPackages[[#This Row],[Work package ID]])</f>
        <v>45497.0</v>
      </c>
      <c r="AA109" s="64">
        <f>_xlfn.MAXIFS(tblLaborEntries[Work date serial],tblLaborEntries[Work package ID],tblWorkPackages[[#This Row],[Work package ID]])</f>
        <v>45498.0</v>
      </c>
      <c r="AB109" s="65">
        <f>IF(tblWorkPackages[[#This Row],[Completion date serial]]&gt;tblWorkPackages[[#This Row],[Due date serial]],1,0)</f>
        <v>1</v>
      </c>
      <c r="AC109" s="65">
        <f>MAX(0,tblWorkPackages[[#This Row],[Completion date serial]]-tblWorkPackages[[#This Row],[Due date serial]])</f>
        <v>16</v>
      </c>
      <c r="AD109" s="65">
        <f>tblWorkPackages[[#This Row],[First labor date]]-tblWorkPackages[[#This Row],[Request date serial]]</f>
        <v>14</v>
      </c>
      <c r="AE109" s="65">
        <f>tblWorkPackages[[#This Row],[Last labor date]]-tblWorkPackages[[#This Row],[First labor date]]</f>
        <v>1</v>
      </c>
      <c r="AF109" s="65">
        <f>tblWorkPackages[[#This Row],[Completion date serial]]-tblWorkPackages[[#This Row],[Last labor date]]</f>
        <v>3</v>
      </c>
      <c r="AG109" s="65">
        <f>tblWorkPackages[[#This Row],[Completion date serial]]-tblWorkPackages[[#This Row],[Request date serial]]</f>
        <v>18</v>
      </c>
      <c r="AH109" s="65">
        <f>IFERROR(INDEX(tblParts[Delay days],MATCH(tblWorkPackages[[#This Row],[Work package ID]],tblParts[Work package ID],0)),0)</f>
        <v>0</v>
      </c>
      <c r="AI109" s="51" t="str">
        <f>IFERROR(INDEX(tblDisruptions[Event type],MATCH(tblWorkPackages[[#This Row],[Work package ID]],tblDisruptions[Work package ID],0)),"None")</f>
        <v>None</v>
      </c>
      <c r="AJ109" s="51" t="str">
        <f>TEXT(tblWorkPackages[[#This Row],[Due date serial]],"yyyy-mm")</f>
        <v>2024-07</v>
      </c>
    </row>
    <row r="110" spans="1:36" ht="15" x14ac:dyDescent="0.25">
      <c r="A110" s="53" t="s">
        <v>526</v>
      </c>
      <c r="B110" s="53" t="s">
        <v>157</v>
      </c>
      <c r="C110" s="53" t="s">
        <v>527</v>
      </c>
      <c r="D110" s="53" t="s">
        <v>528</v>
      </c>
      <c r="E110" s="53" t="s">
        <v>153</v>
      </c>
      <c r="F110" s="53" t="s">
        <v>128</v>
      </c>
      <c r="G110" s="53" t="s">
        <v>154</v>
      </c>
      <c r="H110" s="53">
        <v>1</v>
      </c>
      <c r="I110" s="53" t="s">
        <v>176</v>
      </c>
      <c r="J110" s="53">
        <v>0</v>
      </c>
      <c r="K110" s="53">
        <v>1</v>
      </c>
      <c r="L110" s="53">
        <v>5.2</v>
      </c>
      <c r="M110" s="53" t="s">
        <v>529</v>
      </c>
      <c r="N110" s="53">
        <v>4.2</v>
      </c>
      <c r="O110" s="51" t="str">
        <f>TEXT(tblWorkPackages[[#This Row],[Request date serial]]-WEEKDAY(tblWorkPackages[[#This Row],[Request date serial]],3),"yyyy-mm-dd")</f>
        <v>2025-09-01</v>
      </c>
      <c r="P110" s="51">
        <f>ABS(tblWorkPackages[[#This Row],[Actual labor hours]]-tblWorkPackages[[#This Row],[Estimated labor hours]])</f>
        <v>1</v>
      </c>
      <c r="Q110" s="51">
        <f>IF(tblWorkPackages[[#This Row],[Actual labor hours]]&gt;tblWorkPackages[[#This Row],[Estimated labor hours]],1,0)</f>
        <v>0</v>
      </c>
      <c r="R110" s="51">
        <f>tblWorkPackages[[#This Row],[Actual labor hours]]-tblWorkPackages[[#This Row],[Estimated labor hours]]</f>
        <v>-1</v>
      </c>
      <c r="S110" s="51" t="str">
        <f>IF(tblWorkPackages[[#This Row],[Request date serial]]&lt;ValidationStart,"Train 2024",IF(tblWorkPackages[[#This Row],[Request date serial]]&lt;HoldoutStart,"Validation H1","Holdout H2"))</f>
        <v>Holdout H2</v>
      </c>
      <c r="T110" s="51">
        <f>IF(tblWorkPackages[[#This Row],[Time split]]="Train 2024","",tblWorkPackages[[#This Row],[Estimated labor hours]]+VLOOKUP(tblWorkPackages[[#This Row],[Task type]],'Forecast validation'!$A$14:$E$25,IF(tblWorkPackages[[#This Row],[Time split]]="Validation H1",4,5),FALSE()))</f>
        <v>5.80266666666667</v>
      </c>
      <c r="U110" s="51">
        <f>IF(tblWorkPackages[[#This Row],[Calibrated forecast hours]]="","",ABS(tblWorkPackages[[#This Row],[Actual labor hours]]-tblWorkPackages[[#This Row],[Calibrated forecast hours]]))</f>
        <v>1.60266666666667</v>
      </c>
      <c r="V110" s="51">
        <f>IF(tblWorkPackages[[#This Row],[Time split]]="Train 2024",tblWorkPackages[[#This Row],[Estimated labor hours]],tblWorkPackages[[#This Row],[Calibrated forecast hours]])</f>
        <v>5.80266666666667</v>
      </c>
      <c r="W110" s="64">
        <f>DATEVALUE(tblWorkPackages[[#This Row],[Request date]])</f>
        <v>45906.0</v>
      </c>
      <c r="X110" s="64">
        <f>DATEVALUE(tblWorkPackages[[#This Row],[Due date]])</f>
        <v>45912.0</v>
      </c>
      <c r="Y110" s="64">
        <f>DATEVALUE(tblWorkPackages[[#This Row],[Completion date]])</f>
        <v>45911.0</v>
      </c>
      <c r="Z110" s="64">
        <f>_xlfn.MINIFS(tblLaborEntries[Work date serial],tblLaborEntries[Work package ID],tblWorkPackages[[#This Row],[Work package ID]])</f>
        <v>45909.0</v>
      </c>
      <c r="AA110" s="64">
        <f>_xlfn.MAXIFS(tblLaborEntries[Work date serial],tblLaborEntries[Work package ID],tblWorkPackages[[#This Row],[Work package ID]])</f>
        <v>45911.0</v>
      </c>
      <c r="AB110" s="65">
        <f>IF(tblWorkPackages[[#This Row],[Completion date serial]]&gt;tblWorkPackages[[#This Row],[Due date serial]],1,0)</f>
        <v>0</v>
      </c>
      <c r="AC110" s="65">
        <f>MAX(0,tblWorkPackages[[#This Row],[Completion date serial]]-tblWorkPackages[[#This Row],[Due date serial]])</f>
        <v>0</v>
      </c>
      <c r="AD110" s="65">
        <f>tblWorkPackages[[#This Row],[First labor date]]-tblWorkPackages[[#This Row],[Request date serial]]</f>
        <v>3</v>
      </c>
      <c r="AE110" s="65">
        <f>tblWorkPackages[[#This Row],[Last labor date]]-tblWorkPackages[[#This Row],[First labor date]]</f>
        <v>2</v>
      </c>
      <c r="AF110" s="65">
        <f>tblWorkPackages[[#This Row],[Completion date serial]]-tblWorkPackages[[#This Row],[Last labor date]]</f>
        <v>0</v>
      </c>
      <c r="AG110" s="65">
        <f>tblWorkPackages[[#This Row],[Completion date serial]]-tblWorkPackages[[#This Row],[Request date serial]]</f>
        <v>5</v>
      </c>
      <c r="AH110" s="65">
        <f>IFERROR(INDEX(tblParts[Delay days],MATCH(tblWorkPackages[[#This Row],[Work package ID]],tblParts[Work package ID],0)),0)</f>
        <v>0</v>
      </c>
      <c r="AI110" s="51" t="str">
        <f>IFERROR(INDEX(tblDisruptions[Event type],MATCH(tblWorkPackages[[#This Row],[Work package ID]],tblDisruptions[Work package ID],0)),"None")</f>
        <v>None</v>
      </c>
      <c r="AJ110" s="51" t="str">
        <f>TEXT(tblWorkPackages[[#This Row],[Due date serial]],"yyyy-mm")</f>
        <v>2025-09</v>
      </c>
    </row>
    <row r="111" spans="1:36" ht="15" x14ac:dyDescent="0.25">
      <c r="A111" s="53" t="s">
        <v>530</v>
      </c>
      <c r="B111" s="53" t="s">
        <v>250</v>
      </c>
      <c r="C111" s="53" t="s">
        <v>501</v>
      </c>
      <c r="D111" s="53" t="s">
        <v>531</v>
      </c>
      <c r="E111" s="53" t="s">
        <v>181</v>
      </c>
      <c r="F111" s="53" t="s">
        <v>182</v>
      </c>
      <c r="G111" s="53" t="s">
        <v>138</v>
      </c>
      <c r="H111" s="53">
        <v>3</v>
      </c>
      <c r="I111" s="53" t="s">
        <v>176</v>
      </c>
      <c r="J111" s="53">
        <v>0</v>
      </c>
      <c r="K111" s="53">
        <v>1</v>
      </c>
      <c r="L111" s="53">
        <v>10.3</v>
      </c>
      <c r="M111" s="53" t="s">
        <v>532</v>
      </c>
      <c r="N111" s="53">
        <v>12.5</v>
      </c>
      <c r="O111" s="51" t="str">
        <f>TEXT(tblWorkPackages[[#This Row],[Request date serial]]-WEEKDAY(tblWorkPackages[[#This Row],[Request date serial]],3),"yyyy-mm-dd")</f>
        <v>2025-07-07</v>
      </c>
      <c r="P111" s="51">
        <f>ABS(tblWorkPackages[[#This Row],[Actual labor hours]]-tblWorkPackages[[#This Row],[Estimated labor hours]])</f>
        <v>2.2</v>
      </c>
      <c r="Q111" s="51">
        <f>IF(tblWorkPackages[[#This Row],[Actual labor hours]]&gt;tblWorkPackages[[#This Row],[Estimated labor hours]],1,0)</f>
        <v>1</v>
      </c>
      <c r="R111" s="51">
        <f>tblWorkPackages[[#This Row],[Actual labor hours]]-tblWorkPackages[[#This Row],[Estimated labor hours]]</f>
        <v>2.2</v>
      </c>
      <c r="S111" s="51" t="str">
        <f>IF(tblWorkPackages[[#This Row],[Request date serial]]&lt;ValidationStart,"Train 2024",IF(tblWorkPackages[[#This Row],[Request date serial]]&lt;HoldoutStart,"Validation H1","Holdout H2"))</f>
        <v>Holdout H2</v>
      </c>
      <c r="T111" s="51">
        <f>IF(tblWorkPackages[[#This Row],[Time split]]="Train 2024","",tblWorkPackages[[#This Row],[Estimated labor hours]]+VLOOKUP(tblWorkPackages[[#This Row],[Task type]],'Forecast validation'!$A$14:$E$25,IF(tblWorkPackages[[#This Row],[Time split]]="Validation H1",4,5),FALSE()))</f>
        <v>10.8916083916084</v>
      </c>
      <c r="U111" s="51">
        <f>IF(tblWorkPackages[[#This Row],[Calibrated forecast hours]]="","",ABS(tblWorkPackages[[#This Row],[Actual labor hours]]-tblWorkPackages[[#This Row],[Calibrated forecast hours]]))</f>
        <v>1.60839160839161</v>
      </c>
      <c r="V111" s="51">
        <f>IF(tblWorkPackages[[#This Row],[Time split]]="Train 2024",tblWorkPackages[[#This Row],[Estimated labor hours]],tblWorkPackages[[#This Row],[Calibrated forecast hours]])</f>
        <v>10.8916083916084</v>
      </c>
      <c r="W111" s="64">
        <f>DATEVALUE(tblWorkPackages[[#This Row],[Request date]])</f>
        <v>45848.0</v>
      </c>
      <c r="X111" s="64">
        <f>DATEVALUE(tblWorkPackages[[#This Row],[Due date]])</f>
        <v>45854.0</v>
      </c>
      <c r="Y111" s="64">
        <f>DATEVALUE(tblWorkPackages[[#This Row],[Completion date]])</f>
        <v>45904.0</v>
      </c>
      <c r="Z111" s="64">
        <f>_xlfn.MINIFS(tblLaborEntries[Work date serial],tblLaborEntries[Work package ID],tblWorkPackages[[#This Row],[Work package ID]])</f>
        <v>45901.0</v>
      </c>
      <c r="AA111" s="64">
        <f>_xlfn.MAXIFS(tblLaborEntries[Work date serial],tblLaborEntries[Work package ID],tblWorkPackages[[#This Row],[Work package ID]])</f>
        <v>45903.0</v>
      </c>
      <c r="AB111" s="65">
        <f>IF(tblWorkPackages[[#This Row],[Completion date serial]]&gt;tblWorkPackages[[#This Row],[Due date serial]],1,0)</f>
        <v>1</v>
      </c>
      <c r="AC111" s="65">
        <f>MAX(0,tblWorkPackages[[#This Row],[Completion date serial]]-tblWorkPackages[[#This Row],[Due date serial]])</f>
        <v>50</v>
      </c>
      <c r="AD111" s="65">
        <f>tblWorkPackages[[#This Row],[First labor date]]-tblWorkPackages[[#This Row],[Request date serial]]</f>
        <v>53</v>
      </c>
      <c r="AE111" s="65">
        <f>tblWorkPackages[[#This Row],[Last labor date]]-tblWorkPackages[[#This Row],[First labor date]]</f>
        <v>2</v>
      </c>
      <c r="AF111" s="65">
        <f>tblWorkPackages[[#This Row],[Completion date serial]]-tblWorkPackages[[#This Row],[Last labor date]]</f>
        <v>1</v>
      </c>
      <c r="AG111" s="65">
        <f>tblWorkPackages[[#This Row],[Completion date serial]]-tblWorkPackages[[#This Row],[Request date serial]]</f>
        <v>56</v>
      </c>
      <c r="AH111" s="65">
        <f>IFERROR(INDEX(tblParts[Delay days],MATCH(tblWorkPackages[[#This Row],[Work package ID]],tblParts[Work package ID],0)),0)</f>
        <v>0</v>
      </c>
      <c r="AI111" s="51" t="str">
        <f>IFERROR(INDEX(tblDisruptions[Event type],MATCH(tblWorkPackages[[#This Row],[Work package ID]],tblDisruptions[Work package ID],0)),"None")</f>
        <v>None</v>
      </c>
      <c r="AJ111" s="51" t="str">
        <f>TEXT(tblWorkPackages[[#This Row],[Due date serial]],"yyyy-mm")</f>
        <v>2025-07</v>
      </c>
    </row>
    <row r="112" spans="1:36" ht="15" x14ac:dyDescent="0.25">
      <c r="A112" s="53" t="s">
        <v>533</v>
      </c>
      <c r="B112" s="53" t="s">
        <v>185</v>
      </c>
      <c r="C112" s="53" t="s">
        <v>534</v>
      </c>
      <c r="D112" s="53" t="s">
        <v>240</v>
      </c>
      <c r="E112" s="53" t="s">
        <v>237</v>
      </c>
      <c r="F112" s="53" t="s">
        <v>182</v>
      </c>
      <c r="G112" s="53" t="s">
        <v>138</v>
      </c>
      <c r="H112" s="53">
        <v>3</v>
      </c>
      <c r="I112" s="53" t="s">
        <v>130</v>
      </c>
      <c r="J112" s="53">
        <v>1</v>
      </c>
      <c r="K112" s="53">
        <v>1</v>
      </c>
      <c r="L112" s="53">
        <v>6.6</v>
      </c>
      <c r="M112" s="53" t="s">
        <v>535</v>
      </c>
      <c r="N112" s="53">
        <v>6.4</v>
      </c>
      <c r="O112" s="51" t="str">
        <f>TEXT(tblWorkPackages[[#This Row],[Request date serial]]-WEEKDAY(tblWorkPackages[[#This Row],[Request date serial]],3),"yyyy-mm-dd")</f>
        <v>2024-10-21</v>
      </c>
      <c r="P112" s="51">
        <f>ABS(tblWorkPackages[[#This Row],[Actual labor hours]]-tblWorkPackages[[#This Row],[Estimated labor hours]])</f>
        <v>0.199999999999999</v>
      </c>
      <c r="Q112" s="51">
        <f>IF(tblWorkPackages[[#This Row],[Actual labor hours]]&gt;tblWorkPackages[[#This Row],[Estimated labor hours]],1,0)</f>
        <v>0</v>
      </c>
      <c r="R112" s="51">
        <f>tblWorkPackages[[#This Row],[Actual labor hours]]-tblWorkPackages[[#This Row],[Estimated labor hours]]</f>
        <v>-0.199999999999999</v>
      </c>
      <c r="S112" s="51" t="str">
        <f>IF(tblWorkPackages[[#This Row],[Request date serial]]&lt;ValidationStart,"Train 2024",IF(tblWorkPackages[[#This Row],[Request date serial]]&lt;HoldoutStart,"Validation H1","Holdout H2"))</f>
        <v>Train 2024</v>
      </c>
      <c r="T112" s="51" t="str">
        <f>IF(tblWorkPackages[[#This Row],[Time split]]="Train 2024","",tblWorkPackages[[#This Row],[Estimated labor hours]]+VLOOKUP(tblWorkPackages[[#This Row],[Task type]],'Forecast validation'!$A$14:$E$25,IF(tblWorkPackages[[#This Row],[Time split]]="Validation H1",4,5),FALSE()))</f>
        <v/>
      </c>
      <c r="U112" s="51" t="str">
        <f>IF(tblWorkPackages[[#This Row],[Calibrated forecast hours]]="","",ABS(tblWorkPackages[[#This Row],[Actual labor hours]]-tblWorkPackages[[#This Row],[Calibrated forecast hours]]))</f>
        <v/>
      </c>
      <c r="V112" s="51">
        <f>IF(tblWorkPackages[[#This Row],[Time split]]="Train 2024",tblWorkPackages[[#This Row],[Estimated labor hours]],tblWorkPackages[[#This Row],[Calibrated forecast hours]])</f>
        <v>6.6</v>
      </c>
      <c r="W112" s="64">
        <f>DATEVALUE(tblWorkPackages[[#This Row],[Request date]])</f>
        <v>45591.0</v>
      </c>
      <c r="X112" s="64">
        <f>DATEVALUE(tblWorkPackages[[#This Row],[Due date]])</f>
        <v>45604.0</v>
      </c>
      <c r="Y112" s="64">
        <f>DATEVALUE(tblWorkPackages[[#This Row],[Completion date]])</f>
        <v>45602.0</v>
      </c>
      <c r="Z112" s="64">
        <f>_xlfn.MINIFS(tblLaborEntries[Work date serial],tblLaborEntries[Work package ID],tblWorkPackages[[#This Row],[Work package ID]])</f>
        <v>45599.0</v>
      </c>
      <c r="AA112" s="64">
        <f>_xlfn.MAXIFS(tblLaborEntries[Work date serial],tblLaborEntries[Work package ID],tblWorkPackages[[#This Row],[Work package ID]])</f>
        <v>45600.0</v>
      </c>
      <c r="AB112" s="65">
        <f>IF(tblWorkPackages[[#This Row],[Completion date serial]]&gt;tblWorkPackages[[#This Row],[Due date serial]],1,0)</f>
        <v>0</v>
      </c>
      <c r="AC112" s="65">
        <f>MAX(0,tblWorkPackages[[#This Row],[Completion date serial]]-tblWorkPackages[[#This Row],[Due date serial]])</f>
        <v>0</v>
      </c>
      <c r="AD112" s="65">
        <f>tblWorkPackages[[#This Row],[First labor date]]-tblWorkPackages[[#This Row],[Request date serial]]</f>
        <v>8</v>
      </c>
      <c r="AE112" s="65">
        <f>tblWorkPackages[[#This Row],[Last labor date]]-tblWorkPackages[[#This Row],[First labor date]]</f>
        <v>1</v>
      </c>
      <c r="AF112" s="65">
        <f>tblWorkPackages[[#This Row],[Completion date serial]]-tblWorkPackages[[#This Row],[Last labor date]]</f>
        <v>2</v>
      </c>
      <c r="AG112" s="65">
        <f>tblWorkPackages[[#This Row],[Completion date serial]]-tblWorkPackages[[#This Row],[Request date serial]]</f>
        <v>11</v>
      </c>
      <c r="AH112" s="65">
        <f>IFERROR(INDEX(tblParts[Delay days],MATCH(tblWorkPackages[[#This Row],[Work package ID]],tblParts[Work package ID],0)),0)</f>
        <v>0</v>
      </c>
      <c r="AI112" s="51" t="str">
        <f>IFERROR(INDEX(tblDisruptions[Event type],MATCH(tblWorkPackages[[#This Row],[Work package ID]],tblDisruptions[Work package ID],0)),"None")</f>
        <v>None</v>
      </c>
      <c r="AJ112" s="51" t="str">
        <f>TEXT(tblWorkPackages[[#This Row],[Due date serial]],"yyyy-mm")</f>
        <v>2024-11</v>
      </c>
    </row>
    <row r="113" spans="1:36" ht="15" x14ac:dyDescent="0.25">
      <c r="A113" s="53" t="s">
        <v>536</v>
      </c>
      <c r="B113" s="53" t="s">
        <v>185</v>
      </c>
      <c r="C113" s="53" t="s">
        <v>422</v>
      </c>
      <c r="D113" s="53" t="s">
        <v>537</v>
      </c>
      <c r="E113" s="53" t="s">
        <v>127</v>
      </c>
      <c r="F113" s="53" t="s">
        <v>128</v>
      </c>
      <c r="G113" s="53" t="s">
        <v>129</v>
      </c>
      <c r="H113" s="53">
        <v>1</v>
      </c>
      <c r="I113" s="53" t="s">
        <v>176</v>
      </c>
      <c r="J113" s="53">
        <v>1</v>
      </c>
      <c r="K113" s="53">
        <v>1</v>
      </c>
      <c r="L113" s="53">
        <v>4.4000000000000004</v>
      </c>
      <c r="M113" s="53" t="s">
        <v>538</v>
      </c>
      <c r="N113" s="53">
        <v>6.9</v>
      </c>
      <c r="O113" s="51" t="str">
        <f>TEXT(tblWorkPackages[[#This Row],[Request date serial]]-WEEKDAY(tblWorkPackages[[#This Row],[Request date serial]],3),"yyyy-mm-dd")</f>
        <v>2025-11-10</v>
      </c>
      <c r="P113" s="51">
        <f>ABS(tblWorkPackages[[#This Row],[Actual labor hours]]-tblWorkPackages[[#This Row],[Estimated labor hours]])</f>
        <v>2.5</v>
      </c>
      <c r="Q113" s="51">
        <f>IF(tblWorkPackages[[#This Row],[Actual labor hours]]&gt;tblWorkPackages[[#This Row],[Estimated labor hours]],1,0)</f>
        <v>1</v>
      </c>
      <c r="R113" s="51">
        <f>tblWorkPackages[[#This Row],[Actual labor hours]]-tblWorkPackages[[#This Row],[Estimated labor hours]]</f>
        <v>2.5</v>
      </c>
      <c r="S113" s="51" t="str">
        <f>IF(tblWorkPackages[[#This Row],[Request date serial]]&lt;ValidationStart,"Train 2024",IF(tblWorkPackages[[#This Row],[Request date serial]]&lt;HoldoutStart,"Validation H1","Holdout H2"))</f>
        <v>Holdout H2</v>
      </c>
      <c r="T113" s="51">
        <f>IF(tblWorkPackages[[#This Row],[Time split]]="Train 2024","",tblWorkPackages[[#This Row],[Estimated labor hours]]+VLOOKUP(tblWorkPackages[[#This Row],[Task type]],'Forecast validation'!$A$14:$E$25,IF(tblWorkPackages[[#This Row],[Time split]]="Validation H1",4,5),FALSE()))</f>
        <v>4.94341085271318</v>
      </c>
      <c r="U113" s="51">
        <f>IF(tblWorkPackages[[#This Row],[Calibrated forecast hours]]="","",ABS(tblWorkPackages[[#This Row],[Actual labor hours]]-tblWorkPackages[[#This Row],[Calibrated forecast hours]]))</f>
        <v>1.95658914728682</v>
      </c>
      <c r="V113" s="51">
        <f>IF(tblWorkPackages[[#This Row],[Time split]]="Train 2024",tblWorkPackages[[#This Row],[Estimated labor hours]],tblWorkPackages[[#This Row],[Calibrated forecast hours]])</f>
        <v>4.94341085271318</v>
      </c>
      <c r="W113" s="64">
        <f>DATEVALUE(tblWorkPackages[[#This Row],[Request date]])</f>
        <v>45973.0</v>
      </c>
      <c r="X113" s="64">
        <f>DATEVALUE(tblWorkPackages[[#This Row],[Due date]])</f>
        <v>45979.0</v>
      </c>
      <c r="Y113" s="64">
        <f>DATEVALUE(tblWorkPackages[[#This Row],[Completion date]])</f>
        <v>45978.0</v>
      </c>
      <c r="Z113" s="64">
        <f>_xlfn.MINIFS(tblLaborEntries[Work date serial],tblLaborEntries[Work package ID],tblWorkPackages[[#This Row],[Work package ID]])</f>
        <v>45975.0</v>
      </c>
      <c r="AA113" s="64">
        <f>_xlfn.MAXIFS(tblLaborEntries[Work date serial],tblLaborEntries[Work package ID],tblWorkPackages[[#This Row],[Work package ID]])</f>
        <v>45975.0</v>
      </c>
      <c r="AB113" s="65">
        <f>IF(tblWorkPackages[[#This Row],[Completion date serial]]&gt;tblWorkPackages[[#This Row],[Due date serial]],1,0)</f>
        <v>0</v>
      </c>
      <c r="AC113" s="65">
        <f>MAX(0,tblWorkPackages[[#This Row],[Completion date serial]]-tblWorkPackages[[#This Row],[Due date serial]])</f>
        <v>0</v>
      </c>
      <c r="AD113" s="65">
        <f>tblWorkPackages[[#This Row],[First labor date]]-tblWorkPackages[[#This Row],[Request date serial]]</f>
        <v>2</v>
      </c>
      <c r="AE113" s="65">
        <f>tblWorkPackages[[#This Row],[Last labor date]]-tblWorkPackages[[#This Row],[First labor date]]</f>
        <v>0</v>
      </c>
      <c r="AF113" s="65">
        <f>tblWorkPackages[[#This Row],[Completion date serial]]-tblWorkPackages[[#This Row],[Last labor date]]</f>
        <v>3</v>
      </c>
      <c r="AG113" s="65">
        <f>tblWorkPackages[[#This Row],[Completion date serial]]-tblWorkPackages[[#This Row],[Request date serial]]</f>
        <v>5</v>
      </c>
      <c r="AH113" s="65">
        <f>IFERROR(INDEX(tblParts[Delay days],MATCH(tblWorkPackages[[#This Row],[Work package ID]],tblParts[Work package ID],0)),0)</f>
        <v>0</v>
      </c>
      <c r="AI113" s="51" t="str">
        <f>IFERROR(INDEX(tblDisruptions[Event type],MATCH(tblWorkPackages[[#This Row],[Work package ID]],tblDisruptions[Work package ID],0)),"None")</f>
        <v>None</v>
      </c>
      <c r="AJ113" s="51" t="str">
        <f>TEXT(tblWorkPackages[[#This Row],[Due date serial]],"yyyy-mm")</f>
        <v>2025-11</v>
      </c>
    </row>
    <row r="114" spans="1:36" ht="15" x14ac:dyDescent="0.25">
      <c r="A114" s="53" t="s">
        <v>539</v>
      </c>
      <c r="B114" s="53" t="s">
        <v>141</v>
      </c>
      <c r="C114" s="53" t="s">
        <v>297</v>
      </c>
      <c r="D114" s="53" t="s">
        <v>540</v>
      </c>
      <c r="E114" s="53" t="s">
        <v>160</v>
      </c>
      <c r="F114" s="53" t="s">
        <v>128</v>
      </c>
      <c r="G114" s="53" t="s">
        <v>138</v>
      </c>
      <c r="H114" s="53">
        <v>1</v>
      </c>
      <c r="I114" s="53" t="s">
        <v>130</v>
      </c>
      <c r="J114" s="53">
        <v>0</v>
      </c>
      <c r="K114" s="53">
        <v>0</v>
      </c>
      <c r="L114" s="53">
        <v>2.8</v>
      </c>
      <c r="M114" s="53" t="s">
        <v>387</v>
      </c>
      <c r="N114" s="53">
        <v>3.5</v>
      </c>
      <c r="O114" s="51" t="str">
        <f>TEXT(tblWorkPackages[[#This Row],[Request date serial]]-WEEKDAY(tblWorkPackages[[#This Row],[Request date serial]],3),"yyyy-mm-dd")</f>
        <v>2024-08-19</v>
      </c>
      <c r="P114" s="51">
        <f>ABS(tblWorkPackages[[#This Row],[Actual labor hours]]-tblWorkPackages[[#This Row],[Estimated labor hours]])</f>
        <v>0.7</v>
      </c>
      <c r="Q114" s="51">
        <f>IF(tblWorkPackages[[#This Row],[Actual labor hours]]&gt;tblWorkPackages[[#This Row],[Estimated labor hours]],1,0)</f>
        <v>1</v>
      </c>
      <c r="R114" s="51">
        <f>tblWorkPackages[[#This Row],[Actual labor hours]]-tblWorkPackages[[#This Row],[Estimated labor hours]]</f>
        <v>0.7</v>
      </c>
      <c r="S114" s="51" t="str">
        <f>IF(tblWorkPackages[[#This Row],[Request date serial]]&lt;ValidationStart,"Train 2024",IF(tblWorkPackages[[#This Row],[Request date serial]]&lt;HoldoutStart,"Validation H1","Holdout H2"))</f>
        <v>Train 2024</v>
      </c>
      <c r="T114" s="51" t="str">
        <f>IF(tblWorkPackages[[#This Row],[Time split]]="Train 2024","",tblWorkPackages[[#This Row],[Estimated labor hours]]+VLOOKUP(tblWorkPackages[[#This Row],[Task type]],'Forecast validation'!$A$14:$E$25,IF(tblWorkPackages[[#This Row],[Time split]]="Validation H1",4,5),FALSE()))</f>
        <v/>
      </c>
      <c r="U114" s="51" t="str">
        <f>IF(tblWorkPackages[[#This Row],[Calibrated forecast hours]]="","",ABS(tblWorkPackages[[#This Row],[Actual labor hours]]-tblWorkPackages[[#This Row],[Calibrated forecast hours]]))</f>
        <v/>
      </c>
      <c r="V114" s="51">
        <f>IF(tblWorkPackages[[#This Row],[Time split]]="Train 2024",tblWorkPackages[[#This Row],[Estimated labor hours]],tblWorkPackages[[#This Row],[Calibrated forecast hours]])</f>
        <v>2.8</v>
      </c>
      <c r="W114" s="64">
        <f>DATEVALUE(tblWorkPackages[[#This Row],[Request date]])</f>
        <v>45525.0</v>
      </c>
      <c r="X114" s="64">
        <f>DATEVALUE(tblWorkPackages[[#This Row],[Due date]])</f>
        <v>45538.0</v>
      </c>
      <c r="Y114" s="64">
        <f>DATEVALUE(tblWorkPackages[[#This Row],[Completion date]])</f>
        <v>45546.0</v>
      </c>
      <c r="Z114" s="64">
        <f>_xlfn.MINIFS(tblLaborEntries[Work date serial],tblLaborEntries[Work package ID],tblWorkPackages[[#This Row],[Work package ID]])</f>
        <v>45546.0</v>
      </c>
      <c r="AA114" s="64">
        <f>_xlfn.MAXIFS(tblLaborEntries[Work date serial],tblLaborEntries[Work package ID],tblWorkPackages[[#This Row],[Work package ID]])</f>
        <v>45546.0</v>
      </c>
      <c r="AB114" s="65">
        <f>IF(tblWorkPackages[[#This Row],[Completion date serial]]&gt;tblWorkPackages[[#This Row],[Due date serial]],1,0)</f>
        <v>1</v>
      </c>
      <c r="AC114" s="65">
        <f>MAX(0,tblWorkPackages[[#This Row],[Completion date serial]]-tblWorkPackages[[#This Row],[Due date serial]])</f>
        <v>8</v>
      </c>
      <c r="AD114" s="65">
        <f>tblWorkPackages[[#This Row],[First labor date]]-tblWorkPackages[[#This Row],[Request date serial]]</f>
        <v>21</v>
      </c>
      <c r="AE114" s="65">
        <f>tblWorkPackages[[#This Row],[Last labor date]]-tblWorkPackages[[#This Row],[First labor date]]</f>
        <v>0</v>
      </c>
      <c r="AF114" s="65">
        <f>tblWorkPackages[[#This Row],[Completion date serial]]-tblWorkPackages[[#This Row],[Last labor date]]</f>
        <v>0</v>
      </c>
      <c r="AG114" s="65">
        <f>tblWorkPackages[[#This Row],[Completion date serial]]-tblWorkPackages[[#This Row],[Request date serial]]</f>
        <v>21</v>
      </c>
      <c r="AH114" s="65">
        <f>IFERROR(INDEX(tblParts[Delay days],MATCH(tblWorkPackages[[#This Row],[Work package ID]],tblParts[Work package ID],0)),0)</f>
        <v>0</v>
      </c>
      <c r="AI114" s="51" t="str">
        <f>IFERROR(INDEX(tblDisruptions[Event type],MATCH(tblWorkPackages[[#This Row],[Work package ID]],tblDisruptions[Work package ID],0)),"None")</f>
        <v>None</v>
      </c>
      <c r="AJ114" s="51" t="str">
        <f>TEXT(tblWorkPackages[[#This Row],[Due date serial]],"yyyy-mm")</f>
        <v>2024-09</v>
      </c>
    </row>
    <row r="115" spans="1:36" ht="15" x14ac:dyDescent="0.25">
      <c r="A115" s="53" t="s">
        <v>541</v>
      </c>
      <c r="B115" s="53" t="s">
        <v>230</v>
      </c>
      <c r="C115" s="53" t="s">
        <v>542</v>
      </c>
      <c r="D115" s="53" t="s">
        <v>543</v>
      </c>
      <c r="E115" s="53" t="s">
        <v>223</v>
      </c>
      <c r="F115" s="53" t="s">
        <v>182</v>
      </c>
      <c r="G115" s="53" t="s">
        <v>154</v>
      </c>
      <c r="H115" s="53">
        <v>3</v>
      </c>
      <c r="I115" s="53" t="s">
        <v>147</v>
      </c>
      <c r="J115" s="53">
        <v>0</v>
      </c>
      <c r="K115" s="53">
        <v>0</v>
      </c>
      <c r="L115" s="53">
        <v>15.6</v>
      </c>
      <c r="M115" s="53" t="s">
        <v>332</v>
      </c>
      <c r="N115" s="53">
        <v>14</v>
      </c>
      <c r="O115" s="51" t="str">
        <f>TEXT(tblWorkPackages[[#This Row],[Request date serial]]-WEEKDAY(tblWorkPackages[[#This Row],[Request date serial]],3),"yyyy-mm-dd")</f>
        <v>2025-10-13</v>
      </c>
      <c r="P115" s="51">
        <f>ABS(tblWorkPackages[[#This Row],[Actual labor hours]]-tblWorkPackages[[#This Row],[Estimated labor hours]])</f>
        <v>1.6</v>
      </c>
      <c r="Q115" s="51">
        <f>IF(tblWorkPackages[[#This Row],[Actual labor hours]]&gt;tblWorkPackages[[#This Row],[Estimated labor hours]],1,0)</f>
        <v>0</v>
      </c>
      <c r="R115" s="51">
        <f>tblWorkPackages[[#This Row],[Actual labor hours]]-tblWorkPackages[[#This Row],[Estimated labor hours]]</f>
        <v>-1.6</v>
      </c>
      <c r="S115" s="51" t="str">
        <f>IF(tblWorkPackages[[#This Row],[Request date serial]]&lt;ValidationStart,"Train 2024",IF(tblWorkPackages[[#This Row],[Request date serial]]&lt;HoldoutStart,"Validation H1","Holdout H2"))</f>
        <v>Holdout H2</v>
      </c>
      <c r="T115" s="51">
        <f>IF(tblWorkPackages[[#This Row],[Time split]]="Train 2024","",tblWorkPackages[[#This Row],[Estimated labor hours]]+VLOOKUP(tblWorkPackages[[#This Row],[Task type]],'Forecast validation'!$A$14:$E$25,IF(tblWorkPackages[[#This Row],[Time split]]="Validation H1",4,5),FALSE()))</f>
        <v>16.5246575342466</v>
      </c>
      <c r="U115" s="51">
        <f>IF(tblWorkPackages[[#This Row],[Calibrated forecast hours]]="","",ABS(tblWorkPackages[[#This Row],[Actual labor hours]]-tblWorkPackages[[#This Row],[Calibrated forecast hours]]))</f>
        <v>2.52465753424658</v>
      </c>
      <c r="V115" s="51">
        <f>IF(tblWorkPackages[[#This Row],[Time split]]="Train 2024",tblWorkPackages[[#This Row],[Estimated labor hours]],tblWorkPackages[[#This Row],[Calibrated forecast hours]])</f>
        <v>16.5246575342466</v>
      </c>
      <c r="W115" s="64">
        <f>DATEVALUE(tblWorkPackages[[#This Row],[Request date]])</f>
        <v>45948.0</v>
      </c>
      <c r="X115" s="64">
        <f>DATEVALUE(tblWorkPackages[[#This Row],[Due date]])</f>
        <v>45950.0</v>
      </c>
      <c r="Y115" s="64">
        <f>DATEVALUE(tblWorkPackages[[#This Row],[Completion date]])</f>
        <v>45954.0</v>
      </c>
      <c r="Z115" s="64">
        <f>_xlfn.MINIFS(tblLaborEntries[Work date serial],tblLaborEntries[Work package ID],tblWorkPackages[[#This Row],[Work package ID]])</f>
        <v>45952.0</v>
      </c>
      <c r="AA115" s="64">
        <f>_xlfn.MAXIFS(tblLaborEntries[Work date serial],tblLaborEntries[Work package ID],tblWorkPackages[[#This Row],[Work package ID]])</f>
        <v>45953.0</v>
      </c>
      <c r="AB115" s="65">
        <f>IF(tblWorkPackages[[#This Row],[Completion date serial]]&gt;tblWorkPackages[[#This Row],[Due date serial]],1,0)</f>
        <v>1</v>
      </c>
      <c r="AC115" s="65">
        <f>MAX(0,tblWorkPackages[[#This Row],[Completion date serial]]-tblWorkPackages[[#This Row],[Due date serial]])</f>
        <v>4</v>
      </c>
      <c r="AD115" s="65">
        <f>tblWorkPackages[[#This Row],[First labor date]]-tblWorkPackages[[#This Row],[Request date serial]]</f>
        <v>4</v>
      </c>
      <c r="AE115" s="65">
        <f>tblWorkPackages[[#This Row],[Last labor date]]-tblWorkPackages[[#This Row],[First labor date]]</f>
        <v>1</v>
      </c>
      <c r="AF115" s="65">
        <f>tblWorkPackages[[#This Row],[Completion date serial]]-tblWorkPackages[[#This Row],[Last labor date]]</f>
        <v>1</v>
      </c>
      <c r="AG115" s="65">
        <f>tblWorkPackages[[#This Row],[Completion date serial]]-tblWorkPackages[[#This Row],[Request date serial]]</f>
        <v>6</v>
      </c>
      <c r="AH115" s="65">
        <f>IFERROR(INDEX(tblParts[Delay days],MATCH(tblWorkPackages[[#This Row],[Work package ID]],tblParts[Work package ID],0)),0)</f>
        <v>0</v>
      </c>
      <c r="AI115" s="51" t="str">
        <f>IFERROR(INDEX(tblDisruptions[Event type],MATCH(tblWorkPackages[[#This Row],[Work package ID]],tblDisruptions[Work package ID],0)),"None")</f>
        <v>None</v>
      </c>
      <c r="AJ115" s="51" t="str">
        <f>TEXT(tblWorkPackages[[#This Row],[Due date serial]],"yyyy-mm")</f>
        <v>2025-10</v>
      </c>
    </row>
    <row r="116" spans="1:36" ht="15" x14ac:dyDescent="0.25">
      <c r="A116" s="53" t="s">
        <v>544</v>
      </c>
      <c r="B116" s="53" t="s">
        <v>157</v>
      </c>
      <c r="C116" s="53" t="s">
        <v>545</v>
      </c>
      <c r="D116" s="53" t="s">
        <v>546</v>
      </c>
      <c r="E116" s="53" t="s">
        <v>242</v>
      </c>
      <c r="F116" s="53" t="s">
        <v>243</v>
      </c>
      <c r="G116" s="53" t="s">
        <v>129</v>
      </c>
      <c r="H116" s="53">
        <v>4</v>
      </c>
      <c r="I116" s="53" t="s">
        <v>130</v>
      </c>
      <c r="J116" s="53">
        <v>0</v>
      </c>
      <c r="K116" s="53">
        <v>1</v>
      </c>
      <c r="L116" s="53">
        <v>14.6</v>
      </c>
      <c r="M116" s="53" t="s">
        <v>547</v>
      </c>
      <c r="N116" s="53">
        <v>13.3</v>
      </c>
      <c r="O116" s="51" t="str">
        <f>TEXT(tblWorkPackages[[#This Row],[Request date serial]]-WEEKDAY(tblWorkPackages[[#This Row],[Request date serial]],3),"yyyy-mm-dd")</f>
        <v>2024-01-01</v>
      </c>
      <c r="P116" s="51">
        <f>ABS(tblWorkPackages[[#This Row],[Actual labor hours]]-tblWorkPackages[[#This Row],[Estimated labor hours]])</f>
        <v>1.3</v>
      </c>
      <c r="Q116" s="51">
        <f>IF(tblWorkPackages[[#This Row],[Actual labor hours]]&gt;tblWorkPackages[[#This Row],[Estimated labor hours]],1,0)</f>
        <v>0</v>
      </c>
      <c r="R116" s="51">
        <f>tblWorkPackages[[#This Row],[Actual labor hours]]-tblWorkPackages[[#This Row],[Estimated labor hours]]</f>
        <v>-1.3</v>
      </c>
      <c r="S116" s="51" t="str">
        <f>IF(tblWorkPackages[[#This Row],[Request date serial]]&lt;ValidationStart,"Train 2024",IF(tblWorkPackages[[#This Row],[Request date serial]]&lt;HoldoutStart,"Validation H1","Holdout H2"))</f>
        <v>Train 2024</v>
      </c>
      <c r="T116" s="51" t="str">
        <f>IF(tblWorkPackages[[#This Row],[Time split]]="Train 2024","",tblWorkPackages[[#This Row],[Estimated labor hours]]+VLOOKUP(tblWorkPackages[[#This Row],[Task type]],'Forecast validation'!$A$14:$E$25,IF(tblWorkPackages[[#This Row],[Time split]]="Validation H1",4,5),FALSE()))</f>
        <v/>
      </c>
      <c r="U116" s="51" t="str">
        <f>IF(tblWorkPackages[[#This Row],[Calibrated forecast hours]]="","",ABS(tblWorkPackages[[#This Row],[Actual labor hours]]-tblWorkPackages[[#This Row],[Calibrated forecast hours]]))</f>
        <v/>
      </c>
      <c r="V116" s="51">
        <f>IF(tblWorkPackages[[#This Row],[Time split]]="Train 2024",tblWorkPackages[[#This Row],[Estimated labor hours]],tblWorkPackages[[#This Row],[Calibrated forecast hours]])</f>
        <v>14.6</v>
      </c>
      <c r="W116" s="64">
        <f>DATEVALUE(tblWorkPackages[[#This Row],[Request date]])</f>
        <v>45293.0</v>
      </c>
      <c r="X116" s="64">
        <f>DATEVALUE(tblWorkPackages[[#This Row],[Due date]])</f>
        <v>45306.0</v>
      </c>
      <c r="Y116" s="64">
        <f>DATEVALUE(tblWorkPackages[[#This Row],[Completion date]])</f>
        <v>45296.0</v>
      </c>
      <c r="Z116" s="64">
        <f>_xlfn.MINIFS(tblLaborEntries[Work date serial],tblLaborEntries[Work package ID],tblWorkPackages[[#This Row],[Work package ID]])</f>
        <v>45294.0</v>
      </c>
      <c r="AA116" s="64">
        <f>_xlfn.MAXIFS(tblLaborEntries[Work date serial],tblLaborEntries[Work package ID],tblWorkPackages[[#This Row],[Work package ID]])</f>
        <v>45294.0</v>
      </c>
      <c r="AB116" s="65">
        <f>IF(tblWorkPackages[[#This Row],[Completion date serial]]&gt;tblWorkPackages[[#This Row],[Due date serial]],1,0)</f>
        <v>0</v>
      </c>
      <c r="AC116" s="65">
        <f>MAX(0,tblWorkPackages[[#This Row],[Completion date serial]]-tblWorkPackages[[#This Row],[Due date serial]])</f>
        <v>0</v>
      </c>
      <c r="AD116" s="65">
        <f>tblWorkPackages[[#This Row],[First labor date]]-tblWorkPackages[[#This Row],[Request date serial]]</f>
        <v>1</v>
      </c>
      <c r="AE116" s="65">
        <f>tblWorkPackages[[#This Row],[Last labor date]]-tblWorkPackages[[#This Row],[First labor date]]</f>
        <v>0</v>
      </c>
      <c r="AF116" s="65">
        <f>tblWorkPackages[[#This Row],[Completion date serial]]-tblWorkPackages[[#This Row],[Last labor date]]</f>
        <v>2</v>
      </c>
      <c r="AG116" s="65">
        <f>tblWorkPackages[[#This Row],[Completion date serial]]-tblWorkPackages[[#This Row],[Request date serial]]</f>
        <v>3</v>
      </c>
      <c r="AH116" s="65">
        <f>IFERROR(INDEX(tblParts[Delay days],MATCH(tblWorkPackages[[#This Row],[Work package ID]],tblParts[Work package ID],0)),0)</f>
        <v>0</v>
      </c>
      <c r="AI116" s="51" t="str">
        <f>IFERROR(INDEX(tblDisruptions[Event type],MATCH(tblWorkPackages[[#This Row],[Work package ID]],tblDisruptions[Work package ID],0)),"None")</f>
        <v>None</v>
      </c>
      <c r="AJ116" s="51" t="str">
        <f>TEXT(tblWorkPackages[[#This Row],[Due date serial]],"yyyy-mm")</f>
        <v>2024-01</v>
      </c>
    </row>
    <row r="117" spans="1:36" ht="15" x14ac:dyDescent="0.25">
      <c r="A117" s="53" t="s">
        <v>548</v>
      </c>
      <c r="B117" s="53" t="s">
        <v>157</v>
      </c>
      <c r="C117" s="53" t="s">
        <v>549</v>
      </c>
      <c r="D117" s="53" t="s">
        <v>550</v>
      </c>
      <c r="E117" s="53" t="s">
        <v>242</v>
      </c>
      <c r="F117" s="53" t="s">
        <v>243</v>
      </c>
      <c r="G117" s="53" t="s">
        <v>129</v>
      </c>
      <c r="H117" s="53">
        <v>2</v>
      </c>
      <c r="I117" s="53" t="s">
        <v>130</v>
      </c>
      <c r="J117" s="53">
        <v>0</v>
      </c>
      <c r="K117" s="53">
        <v>0</v>
      </c>
      <c r="L117" s="53">
        <v>8.4</v>
      </c>
      <c r="M117" s="53" t="s">
        <v>451</v>
      </c>
      <c r="N117" s="53">
        <v>7.7</v>
      </c>
      <c r="O117" s="51" t="str">
        <f>TEXT(tblWorkPackages[[#This Row],[Request date serial]]-WEEKDAY(tblWorkPackages[[#This Row],[Request date serial]],3),"yyyy-mm-dd")</f>
        <v>2024-06-24</v>
      </c>
      <c r="P117" s="51">
        <f>ABS(tblWorkPackages[[#This Row],[Actual labor hours]]-tblWorkPackages[[#This Row],[Estimated labor hours]])</f>
        <v>0.7</v>
      </c>
      <c r="Q117" s="51">
        <f>IF(tblWorkPackages[[#This Row],[Actual labor hours]]&gt;tblWorkPackages[[#This Row],[Estimated labor hours]],1,0)</f>
        <v>0</v>
      </c>
      <c r="R117" s="51">
        <f>tblWorkPackages[[#This Row],[Actual labor hours]]-tblWorkPackages[[#This Row],[Estimated labor hours]]</f>
        <v>-0.7</v>
      </c>
      <c r="S117" s="51" t="str">
        <f>IF(tblWorkPackages[[#This Row],[Request date serial]]&lt;ValidationStart,"Train 2024",IF(tblWorkPackages[[#This Row],[Request date serial]]&lt;HoldoutStart,"Validation H1","Holdout H2"))</f>
        <v>Train 2024</v>
      </c>
      <c r="T117" s="51" t="str">
        <f>IF(tblWorkPackages[[#This Row],[Time split]]="Train 2024","",tblWorkPackages[[#This Row],[Estimated labor hours]]+VLOOKUP(tblWorkPackages[[#This Row],[Task type]],'Forecast validation'!$A$14:$E$25,IF(tblWorkPackages[[#This Row],[Time split]]="Validation H1",4,5),FALSE()))</f>
        <v/>
      </c>
      <c r="U117" s="51" t="str">
        <f>IF(tblWorkPackages[[#This Row],[Calibrated forecast hours]]="","",ABS(tblWorkPackages[[#This Row],[Actual labor hours]]-tblWorkPackages[[#This Row],[Calibrated forecast hours]]))</f>
        <v/>
      </c>
      <c r="V117" s="51">
        <f>IF(tblWorkPackages[[#This Row],[Time split]]="Train 2024",tblWorkPackages[[#This Row],[Estimated labor hours]],tblWorkPackages[[#This Row],[Calibrated forecast hours]])</f>
        <v>8.4</v>
      </c>
      <c r="W117" s="64">
        <f>DATEVALUE(tblWorkPackages[[#This Row],[Request date]])</f>
        <v>45469.0</v>
      </c>
      <c r="X117" s="64">
        <f>DATEVALUE(tblWorkPackages[[#This Row],[Due date]])</f>
        <v>45482.0</v>
      </c>
      <c r="Y117" s="64">
        <f>DATEVALUE(tblWorkPackages[[#This Row],[Completion date]])</f>
        <v>45484.0</v>
      </c>
      <c r="Z117" s="64">
        <f>_xlfn.MINIFS(tblLaborEntries[Work date serial],tblLaborEntries[Work package ID],tblWorkPackages[[#This Row],[Work package ID]])</f>
        <v>45481.0</v>
      </c>
      <c r="AA117" s="64">
        <f>_xlfn.MAXIFS(tblLaborEntries[Work date serial],tblLaborEntries[Work package ID],tblWorkPackages[[#This Row],[Work package ID]])</f>
        <v>45481.0</v>
      </c>
      <c r="AB117" s="65">
        <f>IF(tblWorkPackages[[#This Row],[Completion date serial]]&gt;tblWorkPackages[[#This Row],[Due date serial]],1,0)</f>
        <v>1</v>
      </c>
      <c r="AC117" s="65">
        <f>MAX(0,tblWorkPackages[[#This Row],[Completion date serial]]-tblWorkPackages[[#This Row],[Due date serial]])</f>
        <v>2</v>
      </c>
      <c r="AD117" s="65">
        <f>tblWorkPackages[[#This Row],[First labor date]]-tblWorkPackages[[#This Row],[Request date serial]]</f>
        <v>12</v>
      </c>
      <c r="AE117" s="65">
        <f>tblWorkPackages[[#This Row],[Last labor date]]-tblWorkPackages[[#This Row],[First labor date]]</f>
        <v>0</v>
      </c>
      <c r="AF117" s="65">
        <f>tblWorkPackages[[#This Row],[Completion date serial]]-tblWorkPackages[[#This Row],[Last labor date]]</f>
        <v>3</v>
      </c>
      <c r="AG117" s="65">
        <f>tblWorkPackages[[#This Row],[Completion date serial]]-tblWorkPackages[[#This Row],[Request date serial]]</f>
        <v>15</v>
      </c>
      <c r="AH117" s="65">
        <f>IFERROR(INDEX(tblParts[Delay days],MATCH(tblWorkPackages[[#This Row],[Work package ID]],tblParts[Work package ID],0)),0)</f>
        <v>0</v>
      </c>
      <c r="AI117" s="51" t="str">
        <f>IFERROR(INDEX(tblDisruptions[Event type],MATCH(tblWorkPackages[[#This Row],[Work package ID]],tblDisruptions[Work package ID],0)),"None")</f>
        <v>None</v>
      </c>
      <c r="AJ117" s="51" t="str">
        <f>TEXT(tblWorkPackages[[#This Row],[Due date serial]],"yyyy-mm")</f>
        <v>2024-07</v>
      </c>
    </row>
    <row r="118" spans="1:36" ht="15" x14ac:dyDescent="0.25">
      <c r="A118" s="53" t="s">
        <v>551</v>
      </c>
      <c r="B118" s="53" t="s">
        <v>230</v>
      </c>
      <c r="C118" s="53" t="s">
        <v>552</v>
      </c>
      <c r="D118" s="53" t="s">
        <v>553</v>
      </c>
      <c r="E118" s="53" t="s">
        <v>153</v>
      </c>
      <c r="F118" s="53" t="s">
        <v>128</v>
      </c>
      <c r="G118" s="53" t="s">
        <v>154</v>
      </c>
      <c r="H118" s="53">
        <v>3</v>
      </c>
      <c r="I118" s="53" t="s">
        <v>130</v>
      </c>
      <c r="J118" s="53">
        <v>0</v>
      </c>
      <c r="K118" s="53">
        <v>0</v>
      </c>
      <c r="L118" s="53">
        <v>13.7</v>
      </c>
      <c r="M118" s="53" t="s">
        <v>525</v>
      </c>
      <c r="N118" s="53">
        <v>12</v>
      </c>
      <c r="O118" s="51" t="str">
        <f>TEXT(tblWorkPackages[[#This Row],[Request date serial]]-WEEKDAY(tblWorkPackages[[#This Row],[Request date serial]],3),"yyyy-mm-dd")</f>
        <v>2024-07-22</v>
      </c>
      <c r="P118" s="51">
        <f>ABS(tblWorkPackages[[#This Row],[Actual labor hours]]-tblWorkPackages[[#This Row],[Estimated labor hours]])</f>
        <v>1.7</v>
      </c>
      <c r="Q118" s="51">
        <f>IF(tblWorkPackages[[#This Row],[Actual labor hours]]&gt;tblWorkPackages[[#This Row],[Estimated labor hours]],1,0)</f>
        <v>0</v>
      </c>
      <c r="R118" s="51">
        <f>tblWorkPackages[[#This Row],[Actual labor hours]]-tblWorkPackages[[#This Row],[Estimated labor hours]]</f>
        <v>-1.7</v>
      </c>
      <c r="S118" s="51" t="str">
        <f>IF(tblWorkPackages[[#This Row],[Request date serial]]&lt;ValidationStart,"Train 2024",IF(tblWorkPackages[[#This Row],[Request date serial]]&lt;HoldoutStart,"Validation H1","Holdout H2"))</f>
        <v>Train 2024</v>
      </c>
      <c r="T118" s="51" t="str">
        <f>IF(tblWorkPackages[[#This Row],[Time split]]="Train 2024","",tblWorkPackages[[#This Row],[Estimated labor hours]]+VLOOKUP(tblWorkPackages[[#This Row],[Task type]],'Forecast validation'!$A$14:$E$25,IF(tblWorkPackages[[#This Row],[Time split]]="Validation H1",4,5),FALSE()))</f>
        <v/>
      </c>
      <c r="U118" s="51" t="str">
        <f>IF(tblWorkPackages[[#This Row],[Calibrated forecast hours]]="","",ABS(tblWorkPackages[[#This Row],[Actual labor hours]]-tblWorkPackages[[#This Row],[Calibrated forecast hours]]))</f>
        <v/>
      </c>
      <c r="V118" s="51">
        <f>IF(tblWorkPackages[[#This Row],[Time split]]="Train 2024",tblWorkPackages[[#This Row],[Estimated labor hours]],tblWorkPackages[[#This Row],[Calibrated forecast hours]])</f>
        <v>13.7</v>
      </c>
      <c r="W118" s="64">
        <f>DATEVALUE(tblWorkPackages[[#This Row],[Request date]])</f>
        <v>45498.0</v>
      </c>
      <c r="X118" s="64">
        <f>DATEVALUE(tblWorkPackages[[#This Row],[Due date]])</f>
        <v>45511.0</v>
      </c>
      <c r="Y118" s="64">
        <f>DATEVALUE(tblWorkPackages[[#This Row],[Completion date]])</f>
        <v>45501.0</v>
      </c>
      <c r="Z118" s="64">
        <f>_xlfn.MINIFS(tblLaborEntries[Work date serial],tblLaborEntries[Work package ID],tblWorkPackages[[#This Row],[Work package ID]])</f>
        <v>45501.0</v>
      </c>
      <c r="AA118" s="64">
        <f>_xlfn.MAXIFS(tblLaborEntries[Work date serial],tblLaborEntries[Work package ID],tblWorkPackages[[#This Row],[Work package ID]])</f>
        <v>45501.0</v>
      </c>
      <c r="AB118" s="65">
        <f>IF(tblWorkPackages[[#This Row],[Completion date serial]]&gt;tblWorkPackages[[#This Row],[Due date serial]],1,0)</f>
        <v>0</v>
      </c>
      <c r="AC118" s="65">
        <f>MAX(0,tblWorkPackages[[#This Row],[Completion date serial]]-tblWorkPackages[[#This Row],[Due date serial]])</f>
        <v>0</v>
      </c>
      <c r="AD118" s="65">
        <f>tblWorkPackages[[#This Row],[First labor date]]-tblWorkPackages[[#This Row],[Request date serial]]</f>
        <v>3</v>
      </c>
      <c r="AE118" s="65">
        <f>tblWorkPackages[[#This Row],[Last labor date]]-tblWorkPackages[[#This Row],[First labor date]]</f>
        <v>0</v>
      </c>
      <c r="AF118" s="65">
        <f>tblWorkPackages[[#This Row],[Completion date serial]]-tblWorkPackages[[#This Row],[Last labor date]]</f>
        <v>0</v>
      </c>
      <c r="AG118" s="65">
        <f>tblWorkPackages[[#This Row],[Completion date serial]]-tblWorkPackages[[#This Row],[Request date serial]]</f>
        <v>3</v>
      </c>
      <c r="AH118" s="65">
        <f>IFERROR(INDEX(tblParts[Delay days],MATCH(tblWorkPackages[[#This Row],[Work package ID]],tblParts[Work package ID],0)),0)</f>
        <v>0</v>
      </c>
      <c r="AI118" s="51" t="str">
        <f>IFERROR(INDEX(tblDisruptions[Event type],MATCH(tblWorkPackages[[#This Row],[Work package ID]],tblDisruptions[Work package ID],0)),"None")</f>
        <v>None</v>
      </c>
      <c r="AJ118" s="51" t="str">
        <f>TEXT(tblWorkPackages[[#This Row],[Due date serial]],"yyyy-mm")</f>
        <v>2024-08</v>
      </c>
    </row>
    <row r="119" spans="1:36" ht="15" x14ac:dyDescent="0.25">
      <c r="A119" s="53" t="s">
        <v>554</v>
      </c>
      <c r="B119" s="53" t="s">
        <v>203</v>
      </c>
      <c r="C119" s="53" t="s">
        <v>555</v>
      </c>
      <c r="D119" s="53" t="s">
        <v>556</v>
      </c>
      <c r="E119" s="53" t="s">
        <v>127</v>
      </c>
      <c r="F119" s="53" t="s">
        <v>128</v>
      </c>
      <c r="G119" s="53" t="s">
        <v>129</v>
      </c>
      <c r="H119" s="53">
        <v>1</v>
      </c>
      <c r="I119" s="53" t="s">
        <v>130</v>
      </c>
      <c r="J119" s="53">
        <v>0</v>
      </c>
      <c r="K119" s="53">
        <v>1</v>
      </c>
      <c r="L119" s="53">
        <v>3.9</v>
      </c>
      <c r="M119" s="53" t="s">
        <v>395</v>
      </c>
      <c r="N119" s="53">
        <v>4.8</v>
      </c>
      <c r="O119" s="51" t="str">
        <f>TEXT(tblWorkPackages[[#This Row],[Request date serial]]-WEEKDAY(tblWorkPackages[[#This Row],[Request date serial]],3),"yyyy-mm-dd")</f>
        <v>2024-11-25</v>
      </c>
      <c r="P119" s="51">
        <f>ABS(tblWorkPackages[[#This Row],[Actual labor hours]]-tblWorkPackages[[#This Row],[Estimated labor hours]])</f>
        <v>0.9</v>
      </c>
      <c r="Q119" s="51">
        <f>IF(tblWorkPackages[[#This Row],[Actual labor hours]]&gt;tblWorkPackages[[#This Row],[Estimated labor hours]],1,0)</f>
        <v>1</v>
      </c>
      <c r="R119" s="51">
        <f>tblWorkPackages[[#This Row],[Actual labor hours]]-tblWorkPackages[[#This Row],[Estimated labor hours]]</f>
        <v>0.9</v>
      </c>
      <c r="S119" s="51" t="str">
        <f>IF(tblWorkPackages[[#This Row],[Request date serial]]&lt;ValidationStart,"Train 2024",IF(tblWorkPackages[[#This Row],[Request date serial]]&lt;HoldoutStart,"Validation H1","Holdout H2"))</f>
        <v>Train 2024</v>
      </c>
      <c r="T119" s="51" t="str">
        <f>IF(tblWorkPackages[[#This Row],[Time split]]="Train 2024","",tblWorkPackages[[#This Row],[Estimated labor hours]]+VLOOKUP(tblWorkPackages[[#This Row],[Task type]],'Forecast validation'!$A$14:$E$25,IF(tblWorkPackages[[#This Row],[Time split]]="Validation H1",4,5),FALSE()))</f>
        <v/>
      </c>
      <c r="U119" s="51" t="str">
        <f>IF(tblWorkPackages[[#This Row],[Calibrated forecast hours]]="","",ABS(tblWorkPackages[[#This Row],[Actual labor hours]]-tblWorkPackages[[#This Row],[Calibrated forecast hours]]))</f>
        <v/>
      </c>
      <c r="V119" s="51">
        <f>IF(tblWorkPackages[[#This Row],[Time split]]="Train 2024",tblWorkPackages[[#This Row],[Estimated labor hours]],tblWorkPackages[[#This Row],[Calibrated forecast hours]])</f>
        <v>3.9</v>
      </c>
      <c r="W119" s="64">
        <f>DATEVALUE(tblWorkPackages[[#This Row],[Request date]])</f>
        <v>45622.0</v>
      </c>
      <c r="X119" s="64">
        <f>DATEVALUE(tblWorkPackages[[#This Row],[Due date]])</f>
        <v>45635.0</v>
      </c>
      <c r="Y119" s="64">
        <f>DATEVALUE(tblWorkPackages[[#This Row],[Completion date]])</f>
        <v>45659.0</v>
      </c>
      <c r="Z119" s="64">
        <f>_xlfn.MINIFS(tblLaborEntries[Work date serial],tblLaborEntries[Work package ID],tblWorkPackages[[#This Row],[Work package ID]])</f>
        <v>45658.0</v>
      </c>
      <c r="AA119" s="64">
        <f>_xlfn.MAXIFS(tblLaborEntries[Work date serial],tblLaborEntries[Work package ID],tblWorkPackages[[#This Row],[Work package ID]])</f>
        <v>45658.0</v>
      </c>
      <c r="AB119" s="65">
        <f>IF(tblWorkPackages[[#This Row],[Completion date serial]]&gt;tblWorkPackages[[#This Row],[Due date serial]],1,0)</f>
        <v>1</v>
      </c>
      <c r="AC119" s="65">
        <f>MAX(0,tblWorkPackages[[#This Row],[Completion date serial]]-tblWorkPackages[[#This Row],[Due date serial]])</f>
        <v>24</v>
      </c>
      <c r="AD119" s="65">
        <f>tblWorkPackages[[#This Row],[First labor date]]-tblWorkPackages[[#This Row],[Request date serial]]</f>
        <v>36</v>
      </c>
      <c r="AE119" s="65">
        <f>tblWorkPackages[[#This Row],[Last labor date]]-tblWorkPackages[[#This Row],[First labor date]]</f>
        <v>0</v>
      </c>
      <c r="AF119" s="65">
        <f>tblWorkPackages[[#This Row],[Completion date serial]]-tblWorkPackages[[#This Row],[Last labor date]]</f>
        <v>1</v>
      </c>
      <c r="AG119" s="65">
        <f>tblWorkPackages[[#This Row],[Completion date serial]]-tblWorkPackages[[#This Row],[Request date serial]]</f>
        <v>37</v>
      </c>
      <c r="AH119" s="65">
        <f>IFERROR(INDEX(tblParts[Delay days],MATCH(tblWorkPackages[[#This Row],[Work package ID]],tblParts[Work package ID],0)),0)</f>
        <v>3</v>
      </c>
      <c r="AI119" s="51" t="str">
        <f>IFERROR(INDEX(tblDisruptions[Event type],MATCH(tblWorkPackages[[#This Row],[Work package ID]],tblDisruptions[Work package ID],0)),"None")</f>
        <v>Part delay</v>
      </c>
      <c r="AJ119" s="51" t="str">
        <f>TEXT(tblWorkPackages[[#This Row],[Due date serial]],"yyyy-mm")</f>
        <v>2024-12</v>
      </c>
    </row>
    <row r="120" spans="1:36" ht="15" x14ac:dyDescent="0.25">
      <c r="A120" s="53" t="s">
        <v>557</v>
      </c>
      <c r="B120" s="53" t="s">
        <v>124</v>
      </c>
      <c r="C120" s="53" t="s">
        <v>558</v>
      </c>
      <c r="D120" s="53" t="s">
        <v>559</v>
      </c>
      <c r="E120" s="53" t="s">
        <v>242</v>
      </c>
      <c r="F120" s="53" t="s">
        <v>243</v>
      </c>
      <c r="G120" s="53" t="s">
        <v>129</v>
      </c>
      <c r="H120" s="53">
        <v>1</v>
      </c>
      <c r="I120" s="53" t="s">
        <v>130</v>
      </c>
      <c r="J120" s="53">
        <v>0</v>
      </c>
      <c r="K120" s="53">
        <v>0</v>
      </c>
      <c r="L120" s="53">
        <v>5.0999999999999996</v>
      </c>
      <c r="M120" s="53" t="s">
        <v>560</v>
      </c>
      <c r="N120" s="53">
        <v>6.1</v>
      </c>
      <c r="O120" s="51" t="str">
        <f>TEXT(tblWorkPackages[[#This Row],[Request date serial]]-WEEKDAY(tblWorkPackages[[#This Row],[Request date serial]],3),"yyyy-mm-dd")</f>
        <v>2025-10-27</v>
      </c>
      <c r="P120" s="51">
        <f>ABS(tblWorkPackages[[#This Row],[Actual labor hours]]-tblWorkPackages[[#This Row],[Estimated labor hours]])</f>
        <v>1</v>
      </c>
      <c r="Q120" s="51">
        <f>IF(tblWorkPackages[[#This Row],[Actual labor hours]]&gt;tblWorkPackages[[#This Row],[Estimated labor hours]],1,0)</f>
        <v>1</v>
      </c>
      <c r="R120" s="51">
        <f>tblWorkPackages[[#This Row],[Actual labor hours]]-tblWorkPackages[[#This Row],[Estimated labor hours]]</f>
        <v>1</v>
      </c>
      <c r="S120" s="51" t="str">
        <f>IF(tblWorkPackages[[#This Row],[Request date serial]]&lt;ValidationStart,"Train 2024",IF(tblWorkPackages[[#This Row],[Request date serial]]&lt;HoldoutStart,"Validation H1","Holdout H2"))</f>
        <v>Holdout H2</v>
      </c>
      <c r="T120" s="51">
        <f>IF(tblWorkPackages[[#This Row],[Time split]]="Train 2024","",tblWorkPackages[[#This Row],[Estimated labor hours]]+VLOOKUP(tblWorkPackages[[#This Row],[Task type]],'Forecast validation'!$A$14:$E$25,IF(tblWorkPackages[[#This Row],[Time split]]="Validation H1",4,5),FALSE()))</f>
        <v>5.92545454545455</v>
      </c>
      <c r="U120" s="51">
        <f>IF(tblWorkPackages[[#This Row],[Calibrated forecast hours]]="","",ABS(tblWorkPackages[[#This Row],[Actual labor hours]]-tblWorkPackages[[#This Row],[Calibrated forecast hours]]))</f>
        <v>0.174545454545455</v>
      </c>
      <c r="V120" s="51">
        <f>IF(tblWorkPackages[[#This Row],[Time split]]="Train 2024",tblWorkPackages[[#This Row],[Estimated labor hours]],tblWorkPackages[[#This Row],[Calibrated forecast hours]])</f>
        <v>5.92545454545455</v>
      </c>
      <c r="W120" s="64">
        <f>DATEVALUE(tblWorkPackages[[#This Row],[Request date]])</f>
        <v>45961.0</v>
      </c>
      <c r="X120" s="64">
        <f>DATEVALUE(tblWorkPackages[[#This Row],[Due date]])</f>
        <v>45974.0</v>
      </c>
      <c r="Y120" s="64">
        <f>DATEVALUE(tblWorkPackages[[#This Row],[Completion date]])</f>
        <v>45970.0</v>
      </c>
      <c r="Z120" s="64">
        <f>_xlfn.MINIFS(tblLaborEntries[Work date serial],tblLaborEntries[Work package ID],tblWorkPackages[[#This Row],[Work package ID]])</f>
        <v>45967.0</v>
      </c>
      <c r="AA120" s="64">
        <f>_xlfn.MAXIFS(tblLaborEntries[Work date serial],tblLaborEntries[Work package ID],tblWorkPackages[[#This Row],[Work package ID]])</f>
        <v>45968.0</v>
      </c>
      <c r="AB120" s="65">
        <f>IF(tblWorkPackages[[#This Row],[Completion date serial]]&gt;tblWorkPackages[[#This Row],[Due date serial]],1,0)</f>
        <v>0</v>
      </c>
      <c r="AC120" s="65">
        <f>MAX(0,tblWorkPackages[[#This Row],[Completion date serial]]-tblWorkPackages[[#This Row],[Due date serial]])</f>
        <v>0</v>
      </c>
      <c r="AD120" s="65">
        <f>tblWorkPackages[[#This Row],[First labor date]]-tblWorkPackages[[#This Row],[Request date serial]]</f>
        <v>6</v>
      </c>
      <c r="AE120" s="65">
        <f>tblWorkPackages[[#This Row],[Last labor date]]-tblWorkPackages[[#This Row],[First labor date]]</f>
        <v>1</v>
      </c>
      <c r="AF120" s="65">
        <f>tblWorkPackages[[#This Row],[Completion date serial]]-tblWorkPackages[[#This Row],[Last labor date]]</f>
        <v>2</v>
      </c>
      <c r="AG120" s="65">
        <f>tblWorkPackages[[#This Row],[Completion date serial]]-tblWorkPackages[[#This Row],[Request date serial]]</f>
        <v>9</v>
      </c>
      <c r="AH120" s="65">
        <f>IFERROR(INDEX(tblParts[Delay days],MATCH(tblWorkPackages[[#This Row],[Work package ID]],tblParts[Work package ID],0)),0)</f>
        <v>0</v>
      </c>
      <c r="AI120" s="51" t="str">
        <f>IFERROR(INDEX(tblDisruptions[Event type],MATCH(tblWorkPackages[[#This Row],[Work package ID]],tblDisruptions[Work package ID],0)),"None")</f>
        <v>None</v>
      </c>
      <c r="AJ120" s="51" t="str">
        <f>TEXT(tblWorkPackages[[#This Row],[Due date serial]],"yyyy-mm")</f>
        <v>2025-11</v>
      </c>
    </row>
    <row r="121" spans="1:36" ht="15" x14ac:dyDescent="0.25">
      <c r="A121" s="53" t="s">
        <v>561</v>
      </c>
      <c r="B121" s="53" t="s">
        <v>168</v>
      </c>
      <c r="C121" s="53" t="s">
        <v>296</v>
      </c>
      <c r="D121" s="53" t="s">
        <v>152</v>
      </c>
      <c r="E121" s="53" t="s">
        <v>223</v>
      </c>
      <c r="F121" s="53" t="s">
        <v>182</v>
      </c>
      <c r="G121" s="53" t="s">
        <v>154</v>
      </c>
      <c r="H121" s="53">
        <v>3</v>
      </c>
      <c r="I121" s="53" t="s">
        <v>176</v>
      </c>
      <c r="J121" s="53">
        <v>0</v>
      </c>
      <c r="K121" s="53">
        <v>1</v>
      </c>
      <c r="L121" s="53">
        <v>16.2</v>
      </c>
      <c r="M121" s="53" t="s">
        <v>293</v>
      </c>
      <c r="N121" s="53">
        <v>13.8</v>
      </c>
      <c r="O121" s="51" t="str">
        <f>TEXT(tblWorkPackages[[#This Row],[Request date serial]]-WEEKDAY(tblWorkPackages[[#This Row],[Request date serial]],3),"yyyy-mm-dd")</f>
        <v>2024-08-19</v>
      </c>
      <c r="P121" s="51">
        <f>ABS(tblWorkPackages[[#This Row],[Actual labor hours]]-tblWorkPackages[[#This Row],[Estimated labor hours]])</f>
        <v>2.4</v>
      </c>
      <c r="Q121" s="51">
        <f>IF(tblWorkPackages[[#This Row],[Actual labor hours]]&gt;tblWorkPackages[[#This Row],[Estimated labor hours]],1,0)</f>
        <v>0</v>
      </c>
      <c r="R121" s="51">
        <f>tblWorkPackages[[#This Row],[Actual labor hours]]-tblWorkPackages[[#This Row],[Estimated labor hours]]</f>
        <v>-2.4</v>
      </c>
      <c r="S121" s="51" t="str">
        <f>IF(tblWorkPackages[[#This Row],[Request date serial]]&lt;ValidationStart,"Train 2024",IF(tblWorkPackages[[#This Row],[Request date serial]]&lt;HoldoutStart,"Validation H1","Holdout H2"))</f>
        <v>Train 2024</v>
      </c>
      <c r="T121" s="51" t="str">
        <f>IF(tblWorkPackages[[#This Row],[Time split]]="Train 2024","",tblWorkPackages[[#This Row],[Estimated labor hours]]+VLOOKUP(tblWorkPackages[[#This Row],[Task type]],'Forecast validation'!$A$14:$E$25,IF(tblWorkPackages[[#This Row],[Time split]]="Validation H1",4,5),FALSE()))</f>
        <v/>
      </c>
      <c r="U121" s="51" t="str">
        <f>IF(tblWorkPackages[[#This Row],[Calibrated forecast hours]]="","",ABS(tblWorkPackages[[#This Row],[Actual labor hours]]-tblWorkPackages[[#This Row],[Calibrated forecast hours]]))</f>
        <v/>
      </c>
      <c r="V121" s="51">
        <f>IF(tblWorkPackages[[#This Row],[Time split]]="Train 2024",tblWorkPackages[[#This Row],[Estimated labor hours]],tblWorkPackages[[#This Row],[Calibrated forecast hours]])</f>
        <v>16.2</v>
      </c>
      <c r="W121" s="64">
        <f>DATEVALUE(tblWorkPackages[[#This Row],[Request date]])</f>
        <v>45523.0</v>
      </c>
      <c r="X121" s="64">
        <f>DATEVALUE(tblWorkPackages[[#This Row],[Due date]])</f>
        <v>45529.0</v>
      </c>
      <c r="Y121" s="64">
        <f>DATEVALUE(tblWorkPackages[[#This Row],[Completion date]])</f>
        <v>45530.0</v>
      </c>
      <c r="Z121" s="64">
        <f>_xlfn.MINIFS(tblLaborEntries[Work date serial],tblLaborEntries[Work package ID],tblWorkPackages[[#This Row],[Work package ID]])</f>
        <v>45525.0</v>
      </c>
      <c r="AA121" s="64">
        <f>_xlfn.MAXIFS(tblLaborEntries[Work date serial],tblLaborEntries[Work package ID],tblWorkPackages[[#This Row],[Work package ID]])</f>
        <v>45527.0</v>
      </c>
      <c r="AB121" s="65">
        <f>IF(tblWorkPackages[[#This Row],[Completion date serial]]&gt;tblWorkPackages[[#This Row],[Due date serial]],1,0)</f>
        <v>1</v>
      </c>
      <c r="AC121" s="65">
        <f>MAX(0,tblWorkPackages[[#This Row],[Completion date serial]]-tblWorkPackages[[#This Row],[Due date serial]])</f>
        <v>1</v>
      </c>
      <c r="AD121" s="65">
        <f>tblWorkPackages[[#This Row],[First labor date]]-tblWorkPackages[[#This Row],[Request date serial]]</f>
        <v>2</v>
      </c>
      <c r="AE121" s="65">
        <f>tblWorkPackages[[#This Row],[Last labor date]]-tblWorkPackages[[#This Row],[First labor date]]</f>
        <v>2</v>
      </c>
      <c r="AF121" s="65">
        <f>tblWorkPackages[[#This Row],[Completion date serial]]-tblWorkPackages[[#This Row],[Last labor date]]</f>
        <v>3</v>
      </c>
      <c r="AG121" s="65">
        <f>tblWorkPackages[[#This Row],[Completion date serial]]-tblWorkPackages[[#This Row],[Request date serial]]</f>
        <v>7</v>
      </c>
      <c r="AH121" s="65">
        <f>IFERROR(INDEX(tblParts[Delay days],MATCH(tblWorkPackages[[#This Row],[Work package ID]],tblParts[Work package ID],0)),0)</f>
        <v>0</v>
      </c>
      <c r="AI121" s="51" t="str">
        <f>IFERROR(INDEX(tblDisruptions[Event type],MATCH(tblWorkPackages[[#This Row],[Work package ID]],tblDisruptions[Work package ID],0)),"None")</f>
        <v>None</v>
      </c>
      <c r="AJ121" s="51" t="str">
        <f>TEXT(tblWorkPackages[[#This Row],[Due date serial]],"yyyy-mm")</f>
        <v>2024-08</v>
      </c>
    </row>
    <row r="122" spans="1:36" ht="15" x14ac:dyDescent="0.25">
      <c r="A122" s="53" t="s">
        <v>562</v>
      </c>
      <c r="B122" s="53" t="s">
        <v>168</v>
      </c>
      <c r="C122" s="53" t="s">
        <v>563</v>
      </c>
      <c r="D122" s="53" t="s">
        <v>564</v>
      </c>
      <c r="E122" s="53" t="s">
        <v>200</v>
      </c>
      <c r="F122" s="53" t="s">
        <v>128</v>
      </c>
      <c r="G122" s="53" t="s">
        <v>129</v>
      </c>
      <c r="H122" s="53">
        <v>1</v>
      </c>
      <c r="I122" s="53" t="s">
        <v>176</v>
      </c>
      <c r="J122" s="53">
        <v>0</v>
      </c>
      <c r="K122" s="53">
        <v>0</v>
      </c>
      <c r="L122" s="53">
        <v>2.2000000000000002</v>
      </c>
      <c r="M122" s="53" t="s">
        <v>565</v>
      </c>
      <c r="N122" s="53">
        <v>2</v>
      </c>
      <c r="O122" s="51" t="str">
        <f>TEXT(tblWorkPackages[[#This Row],[Request date serial]]-WEEKDAY(tblWorkPackages[[#This Row],[Request date serial]],3),"yyyy-mm-dd")</f>
        <v>2024-06-03</v>
      </c>
      <c r="P122" s="51">
        <f>ABS(tblWorkPackages[[#This Row],[Actual labor hours]]-tblWorkPackages[[#This Row],[Estimated labor hours]])</f>
        <v>0.2</v>
      </c>
      <c r="Q122" s="51">
        <f>IF(tblWorkPackages[[#This Row],[Actual labor hours]]&gt;tblWorkPackages[[#This Row],[Estimated labor hours]],1,0)</f>
        <v>0</v>
      </c>
      <c r="R122" s="51">
        <f>tblWorkPackages[[#This Row],[Actual labor hours]]-tblWorkPackages[[#This Row],[Estimated labor hours]]</f>
        <v>-0.2</v>
      </c>
      <c r="S122" s="51" t="str">
        <f>IF(tblWorkPackages[[#This Row],[Request date serial]]&lt;ValidationStart,"Train 2024",IF(tblWorkPackages[[#This Row],[Request date serial]]&lt;HoldoutStart,"Validation H1","Holdout H2"))</f>
        <v>Train 2024</v>
      </c>
      <c r="T122" s="51" t="str">
        <f>IF(tblWorkPackages[[#This Row],[Time split]]="Train 2024","",tblWorkPackages[[#This Row],[Estimated labor hours]]+VLOOKUP(tblWorkPackages[[#This Row],[Task type]],'Forecast validation'!$A$14:$E$25,IF(tblWorkPackages[[#This Row],[Time split]]="Validation H1",4,5),FALSE()))</f>
        <v/>
      </c>
      <c r="U122" s="51" t="str">
        <f>IF(tblWorkPackages[[#This Row],[Calibrated forecast hours]]="","",ABS(tblWorkPackages[[#This Row],[Actual labor hours]]-tblWorkPackages[[#This Row],[Calibrated forecast hours]]))</f>
        <v/>
      </c>
      <c r="V122" s="51">
        <f>IF(tblWorkPackages[[#This Row],[Time split]]="Train 2024",tblWorkPackages[[#This Row],[Estimated labor hours]],tblWorkPackages[[#This Row],[Calibrated forecast hours]])</f>
        <v>2.2</v>
      </c>
      <c r="W122" s="64">
        <f>DATEVALUE(tblWorkPackages[[#This Row],[Request date]])</f>
        <v>45447.0</v>
      </c>
      <c r="X122" s="64">
        <f>DATEVALUE(tblWorkPackages[[#This Row],[Due date]])</f>
        <v>45453.0</v>
      </c>
      <c r="Y122" s="64">
        <f>DATEVALUE(tblWorkPackages[[#This Row],[Completion date]])</f>
        <v>45462.0</v>
      </c>
      <c r="Z122" s="64">
        <f>_xlfn.MINIFS(tblLaborEntries[Work date serial],tblLaborEntries[Work package ID],tblWorkPackages[[#This Row],[Work package ID]])</f>
        <v>45462.0</v>
      </c>
      <c r="AA122" s="64">
        <f>_xlfn.MAXIFS(tblLaborEntries[Work date serial],tblLaborEntries[Work package ID],tblWorkPackages[[#This Row],[Work package ID]])</f>
        <v>45462.0</v>
      </c>
      <c r="AB122" s="65">
        <f>IF(tblWorkPackages[[#This Row],[Completion date serial]]&gt;tblWorkPackages[[#This Row],[Due date serial]],1,0)</f>
        <v>1</v>
      </c>
      <c r="AC122" s="65">
        <f>MAX(0,tblWorkPackages[[#This Row],[Completion date serial]]-tblWorkPackages[[#This Row],[Due date serial]])</f>
        <v>9</v>
      </c>
      <c r="AD122" s="65">
        <f>tblWorkPackages[[#This Row],[First labor date]]-tblWorkPackages[[#This Row],[Request date serial]]</f>
        <v>15</v>
      </c>
      <c r="AE122" s="65">
        <f>tblWorkPackages[[#This Row],[Last labor date]]-tblWorkPackages[[#This Row],[First labor date]]</f>
        <v>0</v>
      </c>
      <c r="AF122" s="65">
        <f>tblWorkPackages[[#This Row],[Completion date serial]]-tblWorkPackages[[#This Row],[Last labor date]]</f>
        <v>0</v>
      </c>
      <c r="AG122" s="65">
        <f>tblWorkPackages[[#This Row],[Completion date serial]]-tblWorkPackages[[#This Row],[Request date serial]]</f>
        <v>15</v>
      </c>
      <c r="AH122" s="65">
        <f>IFERROR(INDEX(tblParts[Delay days],MATCH(tblWorkPackages[[#This Row],[Work package ID]],tblParts[Work package ID],0)),0)</f>
        <v>0</v>
      </c>
      <c r="AI122" s="51" t="str">
        <f>IFERROR(INDEX(tblDisruptions[Event type],MATCH(tblWorkPackages[[#This Row],[Work package ID]],tblDisruptions[Work package ID],0)),"None")</f>
        <v>None</v>
      </c>
      <c r="AJ122" s="51" t="str">
        <f>TEXT(tblWorkPackages[[#This Row],[Due date serial]],"yyyy-mm")</f>
        <v>2024-06</v>
      </c>
    </row>
    <row r="123" spans="1:36" ht="15" x14ac:dyDescent="0.25">
      <c r="A123" s="53" t="s">
        <v>566</v>
      </c>
      <c r="B123" s="53" t="s">
        <v>141</v>
      </c>
      <c r="C123" s="53" t="s">
        <v>567</v>
      </c>
      <c r="D123" s="53" t="s">
        <v>568</v>
      </c>
      <c r="E123" s="53" t="s">
        <v>272</v>
      </c>
      <c r="F123" s="53" t="s">
        <v>145</v>
      </c>
      <c r="G123" s="53" t="s">
        <v>273</v>
      </c>
      <c r="H123" s="53">
        <v>1</v>
      </c>
      <c r="I123" s="53" t="s">
        <v>130</v>
      </c>
      <c r="J123" s="53">
        <v>0</v>
      </c>
      <c r="K123" s="53">
        <v>1</v>
      </c>
      <c r="L123" s="53">
        <v>8.1999999999999993</v>
      </c>
      <c r="M123" s="53" t="s">
        <v>569</v>
      </c>
      <c r="N123" s="53">
        <v>9.9</v>
      </c>
      <c r="O123" s="51" t="str">
        <f>TEXT(tblWorkPackages[[#This Row],[Request date serial]]-WEEKDAY(tblWorkPackages[[#This Row],[Request date serial]],3),"yyyy-mm-dd")</f>
        <v>2025-05-19</v>
      </c>
      <c r="P123" s="51">
        <f>ABS(tblWorkPackages[[#This Row],[Actual labor hours]]-tblWorkPackages[[#This Row],[Estimated labor hours]])</f>
        <v>1.7</v>
      </c>
      <c r="Q123" s="51">
        <f>IF(tblWorkPackages[[#This Row],[Actual labor hours]]&gt;tblWorkPackages[[#This Row],[Estimated labor hours]],1,0)</f>
        <v>1</v>
      </c>
      <c r="R123" s="51">
        <f>tblWorkPackages[[#This Row],[Actual labor hours]]-tblWorkPackages[[#This Row],[Estimated labor hours]]</f>
        <v>1.7</v>
      </c>
      <c r="S123" s="51" t="str">
        <f>IF(tblWorkPackages[[#This Row],[Request date serial]]&lt;ValidationStart,"Train 2024",IF(tblWorkPackages[[#This Row],[Request date serial]]&lt;HoldoutStart,"Validation H1","Holdout H2"))</f>
        <v>Validation H1</v>
      </c>
      <c r="T123" s="51">
        <f>IF(tblWorkPackages[[#This Row],[Time split]]="Train 2024","",tblWorkPackages[[#This Row],[Estimated labor hours]]+VLOOKUP(tblWorkPackages[[#This Row],[Task type]],'Forecast validation'!$A$14:$E$25,IF(tblWorkPackages[[#This Row],[Time split]]="Validation H1",4,5),FALSE()))</f>
        <v>9.23205128205128</v>
      </c>
      <c r="U123" s="51">
        <f>IF(tblWorkPackages[[#This Row],[Calibrated forecast hours]]="","",ABS(tblWorkPackages[[#This Row],[Actual labor hours]]-tblWorkPackages[[#This Row],[Calibrated forecast hours]]))</f>
        <v>0.66794871794872</v>
      </c>
      <c r="V123" s="51">
        <f>IF(tblWorkPackages[[#This Row],[Time split]]="Train 2024",tblWorkPackages[[#This Row],[Estimated labor hours]],tblWorkPackages[[#This Row],[Calibrated forecast hours]])</f>
        <v>9.23205128205128</v>
      </c>
      <c r="W123" s="64">
        <f>DATEVALUE(tblWorkPackages[[#This Row],[Request date]])</f>
        <v>45800.0</v>
      </c>
      <c r="X123" s="64">
        <f>DATEVALUE(tblWorkPackages[[#This Row],[Due date]])</f>
        <v>45813.0</v>
      </c>
      <c r="Y123" s="64">
        <f>DATEVALUE(tblWorkPackages[[#This Row],[Completion date]])</f>
        <v>45807.0</v>
      </c>
      <c r="Z123" s="64">
        <f>_xlfn.MINIFS(tblLaborEntries[Work date serial],tblLaborEntries[Work package ID],tblWorkPackages[[#This Row],[Work package ID]])</f>
        <v>45804.0</v>
      </c>
      <c r="AA123" s="64">
        <f>_xlfn.MAXIFS(tblLaborEntries[Work date serial],tblLaborEntries[Work package ID],tblWorkPackages[[#This Row],[Work package ID]])</f>
        <v>45806.0</v>
      </c>
      <c r="AB123" s="65">
        <f>IF(tblWorkPackages[[#This Row],[Completion date serial]]&gt;tblWorkPackages[[#This Row],[Due date serial]],1,0)</f>
        <v>0</v>
      </c>
      <c r="AC123" s="65">
        <f>MAX(0,tblWorkPackages[[#This Row],[Completion date serial]]-tblWorkPackages[[#This Row],[Due date serial]])</f>
        <v>0</v>
      </c>
      <c r="AD123" s="65">
        <f>tblWorkPackages[[#This Row],[First labor date]]-tblWorkPackages[[#This Row],[Request date serial]]</f>
        <v>4</v>
      </c>
      <c r="AE123" s="65">
        <f>tblWorkPackages[[#This Row],[Last labor date]]-tblWorkPackages[[#This Row],[First labor date]]</f>
        <v>2</v>
      </c>
      <c r="AF123" s="65">
        <f>tblWorkPackages[[#This Row],[Completion date serial]]-tblWorkPackages[[#This Row],[Last labor date]]</f>
        <v>1</v>
      </c>
      <c r="AG123" s="65">
        <f>tblWorkPackages[[#This Row],[Completion date serial]]-tblWorkPackages[[#This Row],[Request date serial]]</f>
        <v>7</v>
      </c>
      <c r="AH123" s="65">
        <f>IFERROR(INDEX(tblParts[Delay days],MATCH(tblWorkPackages[[#This Row],[Work package ID]],tblParts[Work package ID],0)),0)</f>
        <v>0</v>
      </c>
      <c r="AI123" s="51" t="str">
        <f>IFERROR(INDEX(tblDisruptions[Event type],MATCH(tblWorkPackages[[#This Row],[Work package ID]],tblDisruptions[Work package ID],0)),"None")</f>
        <v>None</v>
      </c>
      <c r="AJ123" s="51" t="str">
        <f>TEXT(tblWorkPackages[[#This Row],[Due date serial]],"yyyy-mm")</f>
        <v>2025-06</v>
      </c>
    </row>
    <row r="124" spans="1:36" ht="15" x14ac:dyDescent="0.25">
      <c r="A124" s="53" t="s">
        <v>570</v>
      </c>
      <c r="B124" s="53" t="s">
        <v>250</v>
      </c>
      <c r="C124" s="53" t="s">
        <v>232</v>
      </c>
      <c r="D124" s="53" t="s">
        <v>571</v>
      </c>
      <c r="E124" s="53" t="s">
        <v>160</v>
      </c>
      <c r="F124" s="53" t="s">
        <v>128</v>
      </c>
      <c r="G124" s="53" t="s">
        <v>138</v>
      </c>
      <c r="H124" s="53">
        <v>2</v>
      </c>
      <c r="I124" s="53" t="s">
        <v>176</v>
      </c>
      <c r="J124" s="53">
        <v>0</v>
      </c>
      <c r="K124" s="53">
        <v>0</v>
      </c>
      <c r="L124" s="53">
        <v>4.5</v>
      </c>
      <c r="M124" s="53" t="s">
        <v>572</v>
      </c>
      <c r="N124" s="53">
        <v>4.4000000000000004</v>
      </c>
      <c r="O124" s="51" t="str">
        <f>TEXT(tblWorkPackages[[#This Row],[Request date serial]]-WEEKDAY(tblWorkPackages[[#This Row],[Request date serial]],3),"yyyy-mm-dd")</f>
        <v>2025-01-06</v>
      </c>
      <c r="P124" s="51">
        <f>ABS(tblWorkPackages[[#This Row],[Actual labor hours]]-tblWorkPackages[[#This Row],[Estimated labor hours]])</f>
        <v>0.0999999999999996</v>
      </c>
      <c r="Q124" s="51">
        <f>IF(tblWorkPackages[[#This Row],[Actual labor hours]]&gt;tblWorkPackages[[#This Row],[Estimated labor hours]],1,0)</f>
        <v>0</v>
      </c>
      <c r="R124" s="51">
        <f>tblWorkPackages[[#This Row],[Actual labor hours]]-tblWorkPackages[[#This Row],[Estimated labor hours]]</f>
        <v>-0.0999999999999996</v>
      </c>
      <c r="S124" s="51" t="str">
        <f>IF(tblWorkPackages[[#This Row],[Request date serial]]&lt;ValidationStart,"Train 2024",IF(tblWorkPackages[[#This Row],[Request date serial]]&lt;HoldoutStart,"Validation H1","Holdout H2"))</f>
        <v>Validation H1</v>
      </c>
      <c r="T124" s="51">
        <f>IF(tblWorkPackages[[#This Row],[Time split]]="Train 2024","",tblWorkPackages[[#This Row],[Estimated labor hours]]+VLOOKUP(tblWorkPackages[[#This Row],[Task type]],'Forecast validation'!$A$14:$E$25,IF(tblWorkPackages[[#This Row],[Time split]]="Validation H1",4,5),FALSE()))</f>
        <v>4.94146341463415</v>
      </c>
      <c r="U124" s="51">
        <f>IF(tblWorkPackages[[#This Row],[Calibrated forecast hours]]="","",ABS(tblWorkPackages[[#This Row],[Actual labor hours]]-tblWorkPackages[[#This Row],[Calibrated forecast hours]]))</f>
        <v>0.541463414634146</v>
      </c>
      <c r="V124" s="51">
        <f>IF(tblWorkPackages[[#This Row],[Time split]]="Train 2024",tblWorkPackages[[#This Row],[Estimated labor hours]],tblWorkPackages[[#This Row],[Calibrated forecast hours]])</f>
        <v>4.94146341463415</v>
      </c>
      <c r="W124" s="64">
        <f>DATEVALUE(tblWorkPackages[[#This Row],[Request date]])</f>
        <v>45668.0</v>
      </c>
      <c r="X124" s="64">
        <f>DATEVALUE(tblWorkPackages[[#This Row],[Due date]])</f>
        <v>45674.0</v>
      </c>
      <c r="Y124" s="64">
        <f>DATEVALUE(tblWorkPackages[[#This Row],[Completion date]])</f>
        <v>45672.0</v>
      </c>
      <c r="Z124" s="64">
        <f>_xlfn.MINIFS(tblLaborEntries[Work date serial],tblLaborEntries[Work package ID],tblWorkPackages[[#This Row],[Work package ID]])</f>
        <v>45669.0</v>
      </c>
      <c r="AA124" s="64">
        <f>_xlfn.MAXIFS(tblLaborEntries[Work date serial],tblLaborEntries[Work package ID],tblWorkPackages[[#This Row],[Work package ID]])</f>
        <v>45670.0</v>
      </c>
      <c r="AB124" s="65">
        <f>IF(tblWorkPackages[[#This Row],[Completion date serial]]&gt;tblWorkPackages[[#This Row],[Due date serial]],1,0)</f>
        <v>0</v>
      </c>
      <c r="AC124" s="65">
        <f>MAX(0,tblWorkPackages[[#This Row],[Completion date serial]]-tblWorkPackages[[#This Row],[Due date serial]])</f>
        <v>0</v>
      </c>
      <c r="AD124" s="65">
        <f>tblWorkPackages[[#This Row],[First labor date]]-tblWorkPackages[[#This Row],[Request date serial]]</f>
        <v>1</v>
      </c>
      <c r="AE124" s="65">
        <f>tblWorkPackages[[#This Row],[Last labor date]]-tblWorkPackages[[#This Row],[First labor date]]</f>
        <v>1</v>
      </c>
      <c r="AF124" s="65">
        <f>tblWorkPackages[[#This Row],[Completion date serial]]-tblWorkPackages[[#This Row],[Last labor date]]</f>
        <v>2</v>
      </c>
      <c r="AG124" s="65">
        <f>tblWorkPackages[[#This Row],[Completion date serial]]-tblWorkPackages[[#This Row],[Request date serial]]</f>
        <v>4</v>
      </c>
      <c r="AH124" s="65">
        <f>IFERROR(INDEX(tblParts[Delay days],MATCH(tblWorkPackages[[#This Row],[Work package ID]],tblParts[Work package ID],0)),0)</f>
        <v>0</v>
      </c>
      <c r="AI124" s="51" t="str">
        <f>IFERROR(INDEX(tblDisruptions[Event type],MATCH(tblWorkPackages[[#This Row],[Work package ID]],tblDisruptions[Work package ID],0)),"None")</f>
        <v>None</v>
      </c>
      <c r="AJ124" s="51" t="str">
        <f>TEXT(tblWorkPackages[[#This Row],[Due date serial]],"yyyy-mm")</f>
        <v>2025-01</v>
      </c>
    </row>
    <row r="125" spans="1:36" ht="15" x14ac:dyDescent="0.25">
      <c r="A125" s="53" t="s">
        <v>573</v>
      </c>
      <c r="B125" s="53" t="s">
        <v>250</v>
      </c>
      <c r="C125" s="53" t="s">
        <v>161</v>
      </c>
      <c r="D125" s="53" t="s">
        <v>512</v>
      </c>
      <c r="E125" s="53" t="s">
        <v>127</v>
      </c>
      <c r="F125" s="53" t="s">
        <v>128</v>
      </c>
      <c r="G125" s="53" t="s">
        <v>129</v>
      </c>
      <c r="H125" s="53">
        <v>3</v>
      </c>
      <c r="I125" s="53" t="s">
        <v>130</v>
      </c>
      <c r="J125" s="53">
        <v>0</v>
      </c>
      <c r="K125" s="53">
        <v>0</v>
      </c>
      <c r="L125" s="53">
        <v>9.1</v>
      </c>
      <c r="M125" s="53" t="s">
        <v>159</v>
      </c>
      <c r="N125" s="53">
        <v>12.7</v>
      </c>
      <c r="O125" s="51" t="str">
        <f>TEXT(tblWorkPackages[[#This Row],[Request date serial]]-WEEKDAY(tblWorkPackages[[#This Row],[Request date serial]],3),"yyyy-mm-dd")</f>
        <v>2024-12-02</v>
      </c>
      <c r="P125" s="51">
        <f>ABS(tblWorkPackages[[#This Row],[Actual labor hours]]-tblWorkPackages[[#This Row],[Estimated labor hours]])</f>
        <v>3.6</v>
      </c>
      <c r="Q125" s="51">
        <f>IF(tblWorkPackages[[#This Row],[Actual labor hours]]&gt;tblWorkPackages[[#This Row],[Estimated labor hours]],1,0)</f>
        <v>1</v>
      </c>
      <c r="R125" s="51">
        <f>tblWorkPackages[[#This Row],[Actual labor hours]]-tblWorkPackages[[#This Row],[Estimated labor hours]]</f>
        <v>3.6</v>
      </c>
      <c r="S125" s="51" t="str">
        <f>IF(tblWorkPackages[[#This Row],[Request date serial]]&lt;ValidationStart,"Train 2024",IF(tblWorkPackages[[#This Row],[Request date serial]]&lt;HoldoutStart,"Validation H1","Holdout H2"))</f>
        <v>Train 2024</v>
      </c>
      <c r="T125" s="51" t="str">
        <f>IF(tblWorkPackages[[#This Row],[Time split]]="Train 2024","",tblWorkPackages[[#This Row],[Estimated labor hours]]+VLOOKUP(tblWorkPackages[[#This Row],[Task type]],'Forecast validation'!$A$14:$E$25,IF(tblWorkPackages[[#This Row],[Time split]]="Validation H1",4,5),FALSE()))</f>
        <v/>
      </c>
      <c r="U125" s="51" t="str">
        <f>IF(tblWorkPackages[[#This Row],[Calibrated forecast hours]]="","",ABS(tblWorkPackages[[#This Row],[Actual labor hours]]-tblWorkPackages[[#This Row],[Calibrated forecast hours]]))</f>
        <v/>
      </c>
      <c r="V125" s="51">
        <f>IF(tblWorkPackages[[#This Row],[Time split]]="Train 2024",tblWorkPackages[[#This Row],[Estimated labor hours]],tblWorkPackages[[#This Row],[Calibrated forecast hours]])</f>
        <v>9.1</v>
      </c>
      <c r="W125" s="64">
        <f>DATEVALUE(tblWorkPackages[[#This Row],[Request date]])</f>
        <v>45628.0</v>
      </c>
      <c r="X125" s="64">
        <f>DATEVALUE(tblWorkPackages[[#This Row],[Due date]])</f>
        <v>45641.0</v>
      </c>
      <c r="Y125" s="64">
        <f>DATEVALUE(tblWorkPackages[[#This Row],[Completion date]])</f>
        <v>45640.0</v>
      </c>
      <c r="Z125" s="64">
        <f>_xlfn.MINIFS(tblLaborEntries[Work date serial],tblLaborEntries[Work package ID],tblWorkPackages[[#This Row],[Work package ID]])</f>
        <v>45637.0</v>
      </c>
      <c r="AA125" s="64">
        <f>_xlfn.MAXIFS(tblLaborEntries[Work date serial],tblLaborEntries[Work package ID],tblWorkPackages[[#This Row],[Work package ID]])</f>
        <v>45637.0</v>
      </c>
      <c r="AB125" s="65">
        <f>IF(tblWorkPackages[[#This Row],[Completion date serial]]&gt;tblWorkPackages[[#This Row],[Due date serial]],1,0)</f>
        <v>0</v>
      </c>
      <c r="AC125" s="65">
        <f>MAX(0,tblWorkPackages[[#This Row],[Completion date serial]]-tblWorkPackages[[#This Row],[Due date serial]])</f>
        <v>0</v>
      </c>
      <c r="AD125" s="65">
        <f>tblWorkPackages[[#This Row],[First labor date]]-tblWorkPackages[[#This Row],[Request date serial]]</f>
        <v>9</v>
      </c>
      <c r="AE125" s="65">
        <f>tblWorkPackages[[#This Row],[Last labor date]]-tblWorkPackages[[#This Row],[First labor date]]</f>
        <v>0</v>
      </c>
      <c r="AF125" s="65">
        <f>tblWorkPackages[[#This Row],[Completion date serial]]-tblWorkPackages[[#This Row],[Last labor date]]</f>
        <v>3</v>
      </c>
      <c r="AG125" s="65">
        <f>tblWorkPackages[[#This Row],[Completion date serial]]-tblWorkPackages[[#This Row],[Request date serial]]</f>
        <v>12</v>
      </c>
      <c r="AH125" s="65">
        <f>IFERROR(INDEX(tblParts[Delay days],MATCH(tblWorkPackages[[#This Row],[Work package ID]],tblParts[Work package ID],0)),0)</f>
        <v>0</v>
      </c>
      <c r="AI125" s="51" t="str">
        <f>IFERROR(INDEX(tblDisruptions[Event type],MATCH(tblWorkPackages[[#This Row],[Work package ID]],tblDisruptions[Work package ID],0)),"None")</f>
        <v>Repeat inspection</v>
      </c>
      <c r="AJ125" s="51" t="str">
        <f>TEXT(tblWorkPackages[[#This Row],[Due date serial]],"yyyy-mm")</f>
        <v>2024-12</v>
      </c>
    </row>
    <row r="126" spans="1:36" ht="15" x14ac:dyDescent="0.25">
      <c r="A126" s="53" t="s">
        <v>574</v>
      </c>
      <c r="B126" s="53" t="s">
        <v>163</v>
      </c>
      <c r="C126" s="53" t="s">
        <v>575</v>
      </c>
      <c r="D126" s="53" t="s">
        <v>576</v>
      </c>
      <c r="E126" s="53" t="s">
        <v>160</v>
      </c>
      <c r="F126" s="53" t="s">
        <v>128</v>
      </c>
      <c r="G126" s="53" t="s">
        <v>138</v>
      </c>
      <c r="H126" s="53">
        <v>3</v>
      </c>
      <c r="I126" s="53" t="s">
        <v>130</v>
      </c>
      <c r="J126" s="53">
        <v>0</v>
      </c>
      <c r="K126" s="53">
        <v>0</v>
      </c>
      <c r="L126" s="53">
        <v>6.3</v>
      </c>
      <c r="M126" s="53" t="s">
        <v>577</v>
      </c>
      <c r="N126" s="53">
        <v>6.4</v>
      </c>
      <c r="O126" s="51" t="str">
        <f>TEXT(tblWorkPackages[[#This Row],[Request date serial]]-WEEKDAY(tblWorkPackages[[#This Row],[Request date serial]],3),"yyyy-mm-dd")</f>
        <v>2024-06-10</v>
      </c>
      <c r="P126" s="51">
        <f>ABS(tblWorkPackages[[#This Row],[Actual labor hours]]-tblWorkPackages[[#This Row],[Estimated labor hours]])</f>
        <v>0.100000000000001</v>
      </c>
      <c r="Q126" s="51">
        <f>IF(tblWorkPackages[[#This Row],[Actual labor hours]]&gt;tblWorkPackages[[#This Row],[Estimated labor hours]],1,0)</f>
        <v>1</v>
      </c>
      <c r="R126" s="51">
        <f>tblWorkPackages[[#This Row],[Actual labor hours]]-tblWorkPackages[[#This Row],[Estimated labor hours]]</f>
        <v>0.100000000000001</v>
      </c>
      <c r="S126" s="51" t="str">
        <f>IF(tblWorkPackages[[#This Row],[Request date serial]]&lt;ValidationStart,"Train 2024",IF(tblWorkPackages[[#This Row],[Request date serial]]&lt;HoldoutStart,"Validation H1","Holdout H2"))</f>
        <v>Train 2024</v>
      </c>
      <c r="T126" s="51" t="str">
        <f>IF(tblWorkPackages[[#This Row],[Time split]]="Train 2024","",tblWorkPackages[[#This Row],[Estimated labor hours]]+VLOOKUP(tblWorkPackages[[#This Row],[Task type]],'Forecast validation'!$A$14:$E$25,IF(tblWorkPackages[[#This Row],[Time split]]="Validation H1",4,5),FALSE()))</f>
        <v/>
      </c>
      <c r="U126" s="51" t="str">
        <f>IF(tblWorkPackages[[#This Row],[Calibrated forecast hours]]="","",ABS(tblWorkPackages[[#This Row],[Actual labor hours]]-tblWorkPackages[[#This Row],[Calibrated forecast hours]]))</f>
        <v/>
      </c>
      <c r="V126" s="51">
        <f>IF(tblWorkPackages[[#This Row],[Time split]]="Train 2024",tblWorkPackages[[#This Row],[Estimated labor hours]],tblWorkPackages[[#This Row],[Calibrated forecast hours]])</f>
        <v>6.3</v>
      </c>
      <c r="W126" s="64">
        <f>DATEVALUE(tblWorkPackages[[#This Row],[Request date]])</f>
        <v>45458.0</v>
      </c>
      <c r="X126" s="64">
        <f>DATEVALUE(tblWorkPackages[[#This Row],[Due date]])</f>
        <v>45471.0</v>
      </c>
      <c r="Y126" s="64">
        <f>DATEVALUE(tblWorkPackages[[#This Row],[Completion date]])</f>
        <v>45463.0</v>
      </c>
      <c r="Z126" s="64">
        <f>_xlfn.MINIFS(tblLaborEntries[Work date serial],tblLaborEntries[Work package ID],tblWorkPackages[[#This Row],[Work package ID]])</f>
        <v>45461.0</v>
      </c>
      <c r="AA126" s="64">
        <f>_xlfn.MAXIFS(tblLaborEntries[Work date serial],tblLaborEntries[Work package ID],tblWorkPackages[[#This Row],[Work package ID]])</f>
        <v>45463.0</v>
      </c>
      <c r="AB126" s="65">
        <f>IF(tblWorkPackages[[#This Row],[Completion date serial]]&gt;tblWorkPackages[[#This Row],[Due date serial]],1,0)</f>
        <v>0</v>
      </c>
      <c r="AC126" s="65">
        <f>MAX(0,tblWorkPackages[[#This Row],[Completion date serial]]-tblWorkPackages[[#This Row],[Due date serial]])</f>
        <v>0</v>
      </c>
      <c r="AD126" s="65">
        <f>tblWorkPackages[[#This Row],[First labor date]]-tblWorkPackages[[#This Row],[Request date serial]]</f>
        <v>3</v>
      </c>
      <c r="AE126" s="65">
        <f>tblWorkPackages[[#This Row],[Last labor date]]-tblWorkPackages[[#This Row],[First labor date]]</f>
        <v>2</v>
      </c>
      <c r="AF126" s="65">
        <f>tblWorkPackages[[#This Row],[Completion date serial]]-tblWorkPackages[[#This Row],[Last labor date]]</f>
        <v>0</v>
      </c>
      <c r="AG126" s="65">
        <f>tblWorkPackages[[#This Row],[Completion date serial]]-tblWorkPackages[[#This Row],[Request date serial]]</f>
        <v>5</v>
      </c>
      <c r="AH126" s="65">
        <f>IFERROR(INDEX(tblParts[Delay days],MATCH(tblWorkPackages[[#This Row],[Work package ID]],tblParts[Work package ID],0)),0)</f>
        <v>0</v>
      </c>
      <c r="AI126" s="51" t="str">
        <f>IFERROR(INDEX(tblDisruptions[Event type],MATCH(tblWorkPackages[[#This Row],[Work package ID]],tblDisruptions[Work package ID],0)),"None")</f>
        <v>None</v>
      </c>
      <c r="AJ126" s="51" t="str">
        <f>TEXT(tblWorkPackages[[#This Row],[Due date serial]],"yyyy-mm")</f>
        <v>2024-06</v>
      </c>
    </row>
    <row r="127" spans="1:36" ht="15" x14ac:dyDescent="0.25">
      <c r="A127" s="53" t="s">
        <v>578</v>
      </c>
      <c r="B127" s="53" t="s">
        <v>173</v>
      </c>
      <c r="C127" s="53" t="s">
        <v>579</v>
      </c>
      <c r="D127" s="53" t="s">
        <v>580</v>
      </c>
      <c r="E127" s="53" t="s">
        <v>136</v>
      </c>
      <c r="F127" s="53" t="s">
        <v>137</v>
      </c>
      <c r="G127" s="53" t="s">
        <v>138</v>
      </c>
      <c r="H127" s="53">
        <v>3</v>
      </c>
      <c r="I127" s="53" t="s">
        <v>130</v>
      </c>
      <c r="J127" s="53">
        <v>0</v>
      </c>
      <c r="K127" s="53">
        <v>1</v>
      </c>
      <c r="L127" s="53">
        <v>17.5</v>
      </c>
      <c r="M127" s="53" t="s">
        <v>581</v>
      </c>
      <c r="N127" s="53">
        <v>16.399999999999999</v>
      </c>
      <c r="O127" s="51" t="str">
        <f>TEXT(tblWorkPackages[[#This Row],[Request date serial]]-WEEKDAY(tblWorkPackages[[#This Row],[Request date serial]],3),"yyyy-mm-dd")</f>
        <v>2025-12-29</v>
      </c>
      <c r="P127" s="51">
        <f>ABS(tblWorkPackages[[#This Row],[Actual labor hours]]-tblWorkPackages[[#This Row],[Estimated labor hours]])</f>
        <v>1.1</v>
      </c>
      <c r="Q127" s="51">
        <f>IF(tblWorkPackages[[#This Row],[Actual labor hours]]&gt;tblWorkPackages[[#This Row],[Estimated labor hours]],1,0)</f>
        <v>0</v>
      </c>
      <c r="R127" s="51">
        <f>tblWorkPackages[[#This Row],[Actual labor hours]]-tblWorkPackages[[#This Row],[Estimated labor hours]]</f>
        <v>-1.1</v>
      </c>
      <c r="S127" s="51" t="str">
        <f>IF(tblWorkPackages[[#This Row],[Request date serial]]&lt;ValidationStart,"Train 2024",IF(tblWorkPackages[[#This Row],[Request date serial]]&lt;HoldoutStart,"Validation H1","Holdout H2"))</f>
        <v>Holdout H2</v>
      </c>
      <c r="T127" s="51">
        <f>IF(tblWorkPackages[[#This Row],[Time split]]="Train 2024","",tblWorkPackages[[#This Row],[Estimated labor hours]]+VLOOKUP(tblWorkPackages[[#This Row],[Task type]],'Forecast validation'!$A$14:$E$25,IF(tblWorkPackages[[#This Row],[Time split]]="Validation H1",4,5),FALSE()))</f>
        <v>18.4207547169811</v>
      </c>
      <c r="U127" s="51">
        <f>IF(tblWorkPackages[[#This Row],[Calibrated forecast hours]]="","",ABS(tblWorkPackages[[#This Row],[Actual labor hours]]-tblWorkPackages[[#This Row],[Calibrated forecast hours]]))</f>
        <v>2.02075471698113</v>
      </c>
      <c r="V127" s="51">
        <f>IF(tblWorkPackages[[#This Row],[Time split]]="Train 2024",tblWorkPackages[[#This Row],[Estimated labor hours]],tblWorkPackages[[#This Row],[Calibrated forecast hours]])</f>
        <v>18.4207547169811</v>
      </c>
      <c r="W127" s="64">
        <f>DATEVALUE(tblWorkPackages[[#This Row],[Request date]])</f>
        <v>46021.0</v>
      </c>
      <c r="X127" s="64">
        <f>DATEVALUE(tblWorkPackages[[#This Row],[Due date]])</f>
        <v>46034.0</v>
      </c>
      <c r="Y127" s="64">
        <f>DATEVALUE(tblWorkPackages[[#This Row],[Completion date]])</f>
        <v>46050.0</v>
      </c>
      <c r="Z127" s="64">
        <f>_xlfn.MINIFS(tblLaborEntries[Work date serial],tblLaborEntries[Work package ID],tblWorkPackages[[#This Row],[Work package ID]])</f>
        <v>46047.0</v>
      </c>
      <c r="AA127" s="64">
        <f>_xlfn.MAXIFS(tblLaborEntries[Work date serial],tblLaborEntries[Work package ID],tblWorkPackages[[#This Row],[Work package ID]])</f>
        <v>46049.0</v>
      </c>
      <c r="AB127" s="65">
        <f>IF(tblWorkPackages[[#This Row],[Completion date serial]]&gt;tblWorkPackages[[#This Row],[Due date serial]],1,0)</f>
        <v>1</v>
      </c>
      <c r="AC127" s="65">
        <f>MAX(0,tblWorkPackages[[#This Row],[Completion date serial]]-tblWorkPackages[[#This Row],[Due date serial]])</f>
        <v>16</v>
      </c>
      <c r="AD127" s="65">
        <f>tblWorkPackages[[#This Row],[First labor date]]-tblWorkPackages[[#This Row],[Request date serial]]</f>
        <v>26</v>
      </c>
      <c r="AE127" s="65">
        <f>tblWorkPackages[[#This Row],[Last labor date]]-tblWorkPackages[[#This Row],[First labor date]]</f>
        <v>2</v>
      </c>
      <c r="AF127" s="65">
        <f>tblWorkPackages[[#This Row],[Completion date serial]]-tblWorkPackages[[#This Row],[Last labor date]]</f>
        <v>1</v>
      </c>
      <c r="AG127" s="65">
        <f>tblWorkPackages[[#This Row],[Completion date serial]]-tblWorkPackages[[#This Row],[Request date serial]]</f>
        <v>29</v>
      </c>
      <c r="AH127" s="65">
        <f>IFERROR(INDEX(tblParts[Delay days],MATCH(tblWorkPackages[[#This Row],[Work package ID]],tblParts[Work package ID],0)),0)</f>
        <v>0</v>
      </c>
      <c r="AI127" s="51" t="str">
        <f>IFERROR(INDEX(tblDisruptions[Event type],MATCH(tblWorkPackages[[#This Row],[Work package ID]],tblDisruptions[Work package ID],0)),"None")</f>
        <v>None</v>
      </c>
      <c r="AJ127" s="51" t="str">
        <f>TEXT(tblWorkPackages[[#This Row],[Due date serial]],"yyyy-mm")</f>
        <v>2026-01</v>
      </c>
    </row>
    <row r="128" spans="1:36" ht="15" x14ac:dyDescent="0.25">
      <c r="A128" s="53" t="s">
        <v>582</v>
      </c>
      <c r="B128" s="53" t="s">
        <v>163</v>
      </c>
      <c r="C128" s="53" t="s">
        <v>228</v>
      </c>
      <c r="D128" s="53" t="s">
        <v>583</v>
      </c>
      <c r="E128" s="53" t="s">
        <v>223</v>
      </c>
      <c r="F128" s="53" t="s">
        <v>182</v>
      </c>
      <c r="G128" s="53" t="s">
        <v>154</v>
      </c>
      <c r="H128" s="53">
        <v>4</v>
      </c>
      <c r="I128" s="53" t="s">
        <v>130</v>
      </c>
      <c r="J128" s="53">
        <v>0</v>
      </c>
      <c r="K128" s="53">
        <v>1</v>
      </c>
      <c r="L128" s="53">
        <v>20.5</v>
      </c>
      <c r="M128" s="53" t="s">
        <v>584</v>
      </c>
      <c r="N128" s="53">
        <v>19.899999999999999</v>
      </c>
      <c r="O128" s="51" t="str">
        <f>TEXT(tblWorkPackages[[#This Row],[Request date serial]]-WEEKDAY(tblWorkPackages[[#This Row],[Request date serial]],3),"yyyy-mm-dd")</f>
        <v>2025-07-28</v>
      </c>
      <c r="P128" s="51">
        <f>ABS(tblWorkPackages[[#This Row],[Actual labor hours]]-tblWorkPackages[[#This Row],[Estimated labor hours]])</f>
        <v>0.600000000000001</v>
      </c>
      <c r="Q128" s="51">
        <f>IF(tblWorkPackages[[#This Row],[Actual labor hours]]&gt;tblWorkPackages[[#This Row],[Estimated labor hours]],1,0)</f>
        <v>0</v>
      </c>
      <c r="R128" s="51">
        <f>tblWorkPackages[[#This Row],[Actual labor hours]]-tblWorkPackages[[#This Row],[Estimated labor hours]]</f>
        <v>-0.600000000000001</v>
      </c>
      <c r="S128" s="51" t="str">
        <f>IF(tblWorkPackages[[#This Row],[Request date serial]]&lt;ValidationStart,"Train 2024",IF(tblWorkPackages[[#This Row],[Request date serial]]&lt;HoldoutStart,"Validation H1","Holdout H2"))</f>
        <v>Holdout H2</v>
      </c>
      <c r="T128" s="51">
        <f>IF(tblWorkPackages[[#This Row],[Time split]]="Train 2024","",tblWorkPackages[[#This Row],[Estimated labor hours]]+VLOOKUP(tblWorkPackages[[#This Row],[Task type]],'Forecast validation'!$A$14:$E$25,IF(tblWorkPackages[[#This Row],[Time split]]="Validation H1",4,5),FALSE()))</f>
        <v>21.4246575342466</v>
      </c>
      <c r="U128" s="51">
        <f>IF(tblWorkPackages[[#This Row],[Calibrated forecast hours]]="","",ABS(tblWorkPackages[[#This Row],[Actual labor hours]]-tblWorkPackages[[#This Row],[Calibrated forecast hours]]))</f>
        <v>1.52465753424658</v>
      </c>
      <c r="V128" s="51">
        <f>IF(tblWorkPackages[[#This Row],[Time split]]="Train 2024",tblWorkPackages[[#This Row],[Estimated labor hours]],tblWorkPackages[[#This Row],[Calibrated forecast hours]])</f>
        <v>21.4246575342466</v>
      </c>
      <c r="W128" s="64">
        <f>DATEVALUE(tblWorkPackages[[#This Row],[Request date]])</f>
        <v>45872.0</v>
      </c>
      <c r="X128" s="64">
        <f>DATEVALUE(tblWorkPackages[[#This Row],[Due date]])</f>
        <v>45885.0</v>
      </c>
      <c r="Y128" s="64">
        <f>DATEVALUE(tblWorkPackages[[#This Row],[Completion date]])</f>
        <v>45879.0</v>
      </c>
      <c r="Z128" s="64">
        <f>_xlfn.MINIFS(tblLaborEntries[Work date serial],tblLaborEntries[Work package ID],tblWorkPackages[[#This Row],[Work package ID]])</f>
        <v>45876.0</v>
      </c>
      <c r="AA128" s="64">
        <f>_xlfn.MAXIFS(tblLaborEntries[Work date serial],tblLaborEntries[Work package ID],tblWorkPackages[[#This Row],[Work package ID]])</f>
        <v>45877.0</v>
      </c>
      <c r="AB128" s="65">
        <f>IF(tblWorkPackages[[#This Row],[Completion date serial]]&gt;tblWorkPackages[[#This Row],[Due date serial]],1,0)</f>
        <v>0</v>
      </c>
      <c r="AC128" s="65">
        <f>MAX(0,tblWorkPackages[[#This Row],[Completion date serial]]-tblWorkPackages[[#This Row],[Due date serial]])</f>
        <v>0</v>
      </c>
      <c r="AD128" s="65">
        <f>tblWorkPackages[[#This Row],[First labor date]]-tblWorkPackages[[#This Row],[Request date serial]]</f>
        <v>4</v>
      </c>
      <c r="AE128" s="65">
        <f>tblWorkPackages[[#This Row],[Last labor date]]-tblWorkPackages[[#This Row],[First labor date]]</f>
        <v>1</v>
      </c>
      <c r="AF128" s="65">
        <f>tblWorkPackages[[#This Row],[Completion date serial]]-tblWorkPackages[[#This Row],[Last labor date]]</f>
        <v>2</v>
      </c>
      <c r="AG128" s="65">
        <f>tblWorkPackages[[#This Row],[Completion date serial]]-tblWorkPackages[[#This Row],[Request date serial]]</f>
        <v>7</v>
      </c>
      <c r="AH128" s="65">
        <f>IFERROR(INDEX(tblParts[Delay days],MATCH(tblWorkPackages[[#This Row],[Work package ID]],tblParts[Work package ID],0)),0)</f>
        <v>0</v>
      </c>
      <c r="AI128" s="51" t="str">
        <f>IFERROR(INDEX(tblDisruptions[Event type],MATCH(tblWorkPackages[[#This Row],[Work package ID]],tblDisruptions[Work package ID],0)),"None")</f>
        <v>None</v>
      </c>
      <c r="AJ128" s="51" t="str">
        <f>TEXT(tblWorkPackages[[#This Row],[Due date serial]],"yyyy-mm")</f>
        <v>2025-08</v>
      </c>
    </row>
    <row r="129" spans="1:36" ht="15" x14ac:dyDescent="0.25">
      <c r="A129" s="53" t="s">
        <v>585</v>
      </c>
      <c r="B129" s="53" t="s">
        <v>124</v>
      </c>
      <c r="C129" s="53" t="s">
        <v>586</v>
      </c>
      <c r="D129" s="53" t="s">
        <v>587</v>
      </c>
      <c r="E129" s="53" t="s">
        <v>144</v>
      </c>
      <c r="F129" s="53" t="s">
        <v>145</v>
      </c>
      <c r="G129" s="53" t="s">
        <v>146</v>
      </c>
      <c r="H129" s="53">
        <v>1</v>
      </c>
      <c r="I129" s="53" t="s">
        <v>130</v>
      </c>
      <c r="J129" s="53">
        <v>0</v>
      </c>
      <c r="K129" s="53">
        <v>1</v>
      </c>
      <c r="L129" s="53">
        <v>7</v>
      </c>
      <c r="M129" s="53" t="s">
        <v>484</v>
      </c>
      <c r="N129" s="53">
        <v>7.7</v>
      </c>
      <c r="O129" s="51" t="str">
        <f>TEXT(tblWorkPackages[[#This Row],[Request date serial]]-WEEKDAY(tblWorkPackages[[#This Row],[Request date serial]],3),"yyyy-mm-dd")</f>
        <v>2024-12-30</v>
      </c>
      <c r="P129" s="51">
        <f>ABS(tblWorkPackages[[#This Row],[Actual labor hours]]-tblWorkPackages[[#This Row],[Estimated labor hours]])</f>
        <v>0.7</v>
      </c>
      <c r="Q129" s="51">
        <f>IF(tblWorkPackages[[#This Row],[Actual labor hours]]&gt;tblWorkPackages[[#This Row],[Estimated labor hours]],1,0)</f>
        <v>1</v>
      </c>
      <c r="R129" s="51">
        <f>tblWorkPackages[[#This Row],[Actual labor hours]]-tblWorkPackages[[#This Row],[Estimated labor hours]]</f>
        <v>0.7</v>
      </c>
      <c r="S129" s="51" t="str">
        <f>IF(tblWorkPackages[[#This Row],[Request date serial]]&lt;ValidationStart,"Train 2024",IF(tblWorkPackages[[#This Row],[Request date serial]]&lt;HoldoutStart,"Validation H1","Holdout H2"))</f>
        <v>Validation H1</v>
      </c>
      <c r="T129" s="51">
        <f>IF(tblWorkPackages[[#This Row],[Time split]]="Train 2024","",tblWorkPackages[[#This Row],[Estimated labor hours]]+VLOOKUP(tblWorkPackages[[#This Row],[Task type]],'Forecast validation'!$A$14:$E$25,IF(tblWorkPackages[[#This Row],[Time split]]="Validation H1",4,5),FALSE()))</f>
        <v>7.75473684210526</v>
      </c>
      <c r="U129" s="51">
        <f>IF(tblWorkPackages[[#This Row],[Calibrated forecast hours]]="","",ABS(tblWorkPackages[[#This Row],[Actual labor hours]]-tblWorkPackages[[#This Row],[Calibrated forecast hours]]))</f>
        <v>0.054736842105263</v>
      </c>
      <c r="V129" s="51">
        <f>IF(tblWorkPackages[[#This Row],[Time split]]="Train 2024",tblWorkPackages[[#This Row],[Estimated labor hours]],tblWorkPackages[[#This Row],[Calibrated forecast hours]])</f>
        <v>7.75473684210526</v>
      </c>
      <c r="W129" s="64">
        <f>DATEVALUE(tblWorkPackages[[#This Row],[Request date]])</f>
        <v>45658.0</v>
      </c>
      <c r="X129" s="64">
        <f>DATEVALUE(tblWorkPackages[[#This Row],[Due date]])</f>
        <v>45671.0</v>
      </c>
      <c r="Y129" s="64">
        <f>DATEVALUE(tblWorkPackages[[#This Row],[Completion date]])</f>
        <v>45662.0</v>
      </c>
      <c r="Z129" s="64">
        <f>_xlfn.MINIFS(tblLaborEntries[Work date serial],tblLaborEntries[Work package ID],tblWorkPackages[[#This Row],[Work package ID]])</f>
        <v>45659.0</v>
      </c>
      <c r="AA129" s="64">
        <f>_xlfn.MAXIFS(tblLaborEntries[Work date serial],tblLaborEntries[Work package ID],tblWorkPackages[[#This Row],[Work package ID]])</f>
        <v>45659.0</v>
      </c>
      <c r="AB129" s="65">
        <f>IF(tblWorkPackages[[#This Row],[Completion date serial]]&gt;tblWorkPackages[[#This Row],[Due date serial]],1,0)</f>
        <v>0</v>
      </c>
      <c r="AC129" s="65">
        <f>MAX(0,tblWorkPackages[[#This Row],[Completion date serial]]-tblWorkPackages[[#This Row],[Due date serial]])</f>
        <v>0</v>
      </c>
      <c r="AD129" s="65">
        <f>tblWorkPackages[[#This Row],[First labor date]]-tblWorkPackages[[#This Row],[Request date serial]]</f>
        <v>1</v>
      </c>
      <c r="AE129" s="65">
        <f>tblWorkPackages[[#This Row],[Last labor date]]-tblWorkPackages[[#This Row],[First labor date]]</f>
        <v>0</v>
      </c>
      <c r="AF129" s="65">
        <f>tblWorkPackages[[#This Row],[Completion date serial]]-tblWorkPackages[[#This Row],[Last labor date]]</f>
        <v>3</v>
      </c>
      <c r="AG129" s="65">
        <f>tblWorkPackages[[#This Row],[Completion date serial]]-tblWorkPackages[[#This Row],[Request date serial]]</f>
        <v>4</v>
      </c>
      <c r="AH129" s="65">
        <f>IFERROR(INDEX(tblParts[Delay days],MATCH(tblWorkPackages[[#This Row],[Work package ID]],tblParts[Work package ID],0)),0)</f>
        <v>0</v>
      </c>
      <c r="AI129" s="51" t="str">
        <f>IFERROR(INDEX(tblDisruptions[Event type],MATCH(tblWorkPackages[[#This Row],[Work package ID]],tblDisruptions[Work package ID],0)),"None")</f>
        <v>None</v>
      </c>
      <c r="AJ129" s="51" t="str">
        <f>TEXT(tblWorkPackages[[#This Row],[Due date serial]],"yyyy-mm")</f>
        <v>2025-01</v>
      </c>
    </row>
    <row r="130" spans="1:36" ht="15" x14ac:dyDescent="0.25">
      <c r="A130" s="53" t="s">
        <v>588</v>
      </c>
      <c r="B130" s="53" t="s">
        <v>168</v>
      </c>
      <c r="C130" s="53" t="s">
        <v>589</v>
      </c>
      <c r="D130" s="53" t="s">
        <v>590</v>
      </c>
      <c r="E130" s="53" t="s">
        <v>272</v>
      </c>
      <c r="F130" s="53" t="s">
        <v>145</v>
      </c>
      <c r="G130" s="53" t="s">
        <v>273</v>
      </c>
      <c r="H130" s="53">
        <v>1</v>
      </c>
      <c r="I130" s="53" t="s">
        <v>176</v>
      </c>
      <c r="J130" s="53">
        <v>0</v>
      </c>
      <c r="K130" s="53">
        <v>1</v>
      </c>
      <c r="L130" s="53">
        <v>8.5</v>
      </c>
      <c r="M130" s="53" t="s">
        <v>467</v>
      </c>
      <c r="N130" s="53">
        <v>9.4</v>
      </c>
      <c r="O130" s="51" t="str">
        <f>TEXT(tblWorkPackages[[#This Row],[Request date serial]]-WEEKDAY(tblWorkPackages[[#This Row],[Request date serial]],3),"yyyy-mm-dd")</f>
        <v>2025-03-17</v>
      </c>
      <c r="P130" s="51">
        <f>ABS(tblWorkPackages[[#This Row],[Actual labor hours]]-tblWorkPackages[[#This Row],[Estimated labor hours]])</f>
        <v>0.9</v>
      </c>
      <c r="Q130" s="51">
        <f>IF(tblWorkPackages[[#This Row],[Actual labor hours]]&gt;tblWorkPackages[[#This Row],[Estimated labor hours]],1,0)</f>
        <v>1</v>
      </c>
      <c r="R130" s="51">
        <f>tblWorkPackages[[#This Row],[Actual labor hours]]-tblWorkPackages[[#This Row],[Estimated labor hours]]</f>
        <v>0.9</v>
      </c>
      <c r="S130" s="51" t="str">
        <f>IF(tblWorkPackages[[#This Row],[Request date serial]]&lt;ValidationStart,"Train 2024",IF(tblWorkPackages[[#This Row],[Request date serial]]&lt;HoldoutStart,"Validation H1","Holdout H2"))</f>
        <v>Validation H1</v>
      </c>
      <c r="T130" s="51">
        <f>IF(tblWorkPackages[[#This Row],[Time split]]="Train 2024","",tblWorkPackages[[#This Row],[Estimated labor hours]]+VLOOKUP(tblWorkPackages[[#This Row],[Task type]],'Forecast validation'!$A$14:$E$25,IF(tblWorkPackages[[#This Row],[Time split]]="Validation H1",4,5),FALSE()))</f>
        <v>9.53205128205128</v>
      </c>
      <c r="U130" s="51">
        <f>IF(tblWorkPackages[[#This Row],[Calibrated forecast hours]]="","",ABS(tblWorkPackages[[#This Row],[Actual labor hours]]-tblWorkPackages[[#This Row],[Calibrated forecast hours]]))</f>
        <v>0.132051282051281</v>
      </c>
      <c r="V130" s="51">
        <f>IF(tblWorkPackages[[#This Row],[Time split]]="Train 2024",tblWorkPackages[[#This Row],[Estimated labor hours]],tblWorkPackages[[#This Row],[Calibrated forecast hours]])</f>
        <v>9.53205128205128</v>
      </c>
      <c r="W130" s="64">
        <f>DATEVALUE(tblWorkPackages[[#This Row],[Request date]])</f>
        <v>45739.0</v>
      </c>
      <c r="X130" s="64">
        <f>DATEVALUE(tblWorkPackages[[#This Row],[Due date]])</f>
        <v>45745.0</v>
      </c>
      <c r="Y130" s="64">
        <f>DATEVALUE(tblWorkPackages[[#This Row],[Completion date]])</f>
        <v>45752.0</v>
      </c>
      <c r="Z130" s="64">
        <f>_xlfn.MINIFS(tblLaborEntries[Work date serial],tblLaborEntries[Work package ID],tblWorkPackages[[#This Row],[Work package ID]])</f>
        <v>45752.0</v>
      </c>
      <c r="AA130" s="64">
        <f>_xlfn.MAXIFS(tblLaborEntries[Work date serial],tblLaborEntries[Work package ID],tblWorkPackages[[#This Row],[Work package ID]])</f>
        <v>45752.0</v>
      </c>
      <c r="AB130" s="65">
        <f>IF(tblWorkPackages[[#This Row],[Completion date serial]]&gt;tblWorkPackages[[#This Row],[Due date serial]],1,0)</f>
        <v>1</v>
      </c>
      <c r="AC130" s="65">
        <f>MAX(0,tblWorkPackages[[#This Row],[Completion date serial]]-tblWorkPackages[[#This Row],[Due date serial]])</f>
        <v>7</v>
      </c>
      <c r="AD130" s="65">
        <f>tblWorkPackages[[#This Row],[First labor date]]-tblWorkPackages[[#This Row],[Request date serial]]</f>
        <v>13</v>
      </c>
      <c r="AE130" s="65">
        <f>tblWorkPackages[[#This Row],[Last labor date]]-tblWorkPackages[[#This Row],[First labor date]]</f>
        <v>0</v>
      </c>
      <c r="AF130" s="65">
        <f>tblWorkPackages[[#This Row],[Completion date serial]]-tblWorkPackages[[#This Row],[Last labor date]]</f>
        <v>0</v>
      </c>
      <c r="AG130" s="65">
        <f>tblWorkPackages[[#This Row],[Completion date serial]]-tblWorkPackages[[#This Row],[Request date serial]]</f>
        <v>13</v>
      </c>
      <c r="AH130" s="65">
        <f>IFERROR(INDEX(tblParts[Delay days],MATCH(tblWorkPackages[[#This Row],[Work package ID]],tblParts[Work package ID],0)),0)</f>
        <v>0</v>
      </c>
      <c r="AI130" s="51" t="str">
        <f>IFERROR(INDEX(tblDisruptions[Event type],MATCH(tblWorkPackages[[#This Row],[Work package ID]],tblDisruptions[Work package ID],0)),"None")</f>
        <v>None</v>
      </c>
      <c r="AJ130" s="51" t="str">
        <f>TEXT(tblWorkPackages[[#This Row],[Due date serial]],"yyyy-mm")</f>
        <v>2025-03</v>
      </c>
    </row>
    <row r="131" spans="1:36" ht="15" x14ac:dyDescent="0.25">
      <c r="A131" s="53" t="s">
        <v>591</v>
      </c>
      <c r="B131" s="53" t="s">
        <v>150</v>
      </c>
      <c r="C131" s="53" t="s">
        <v>592</v>
      </c>
      <c r="D131" s="53" t="s">
        <v>375</v>
      </c>
      <c r="E131" s="53" t="s">
        <v>181</v>
      </c>
      <c r="F131" s="53" t="s">
        <v>182</v>
      </c>
      <c r="G131" s="53" t="s">
        <v>138</v>
      </c>
      <c r="H131" s="53">
        <v>2</v>
      </c>
      <c r="I131" s="53" t="s">
        <v>130</v>
      </c>
      <c r="J131" s="53">
        <v>0</v>
      </c>
      <c r="K131" s="53">
        <v>0</v>
      </c>
      <c r="L131" s="53">
        <v>9</v>
      </c>
      <c r="M131" s="53" t="s">
        <v>271</v>
      </c>
      <c r="N131" s="53">
        <v>7.2</v>
      </c>
      <c r="O131" s="51" t="str">
        <f>TEXT(tblWorkPackages[[#This Row],[Request date serial]]-WEEKDAY(tblWorkPackages[[#This Row],[Request date serial]],3),"yyyy-mm-dd")</f>
        <v>2025-04-07</v>
      </c>
      <c r="P131" s="51">
        <f>ABS(tblWorkPackages[[#This Row],[Actual labor hours]]-tblWorkPackages[[#This Row],[Estimated labor hours]])</f>
        <v>1.8</v>
      </c>
      <c r="Q131" s="51">
        <f>IF(tblWorkPackages[[#This Row],[Actual labor hours]]&gt;tblWorkPackages[[#This Row],[Estimated labor hours]],1,0)</f>
        <v>0</v>
      </c>
      <c r="R131" s="51">
        <f>tblWorkPackages[[#This Row],[Actual labor hours]]-tblWorkPackages[[#This Row],[Estimated labor hours]]</f>
        <v>-1.8</v>
      </c>
      <c r="S131" s="51" t="str">
        <f>IF(tblWorkPackages[[#This Row],[Request date serial]]&lt;ValidationStart,"Train 2024",IF(tblWorkPackages[[#This Row],[Request date serial]]&lt;HoldoutStart,"Validation H1","Holdout H2"))</f>
        <v>Validation H1</v>
      </c>
      <c r="T131" s="51">
        <f>IF(tblWorkPackages[[#This Row],[Time split]]="Train 2024","",tblWorkPackages[[#This Row],[Estimated labor hours]]+VLOOKUP(tblWorkPackages[[#This Row],[Task type]],'Forecast validation'!$A$14:$E$25,IF(tblWorkPackages[[#This Row],[Time split]]="Validation H1",4,5),FALSE()))</f>
        <v>9.58409090909091</v>
      </c>
      <c r="U131" s="51">
        <f>IF(tblWorkPackages[[#This Row],[Calibrated forecast hours]]="","",ABS(tblWorkPackages[[#This Row],[Actual labor hours]]-tblWorkPackages[[#This Row],[Calibrated forecast hours]]))</f>
        <v>2.38409090909091</v>
      </c>
      <c r="V131" s="51">
        <f>IF(tblWorkPackages[[#This Row],[Time split]]="Train 2024",tblWorkPackages[[#This Row],[Estimated labor hours]],tblWorkPackages[[#This Row],[Calibrated forecast hours]])</f>
        <v>9.58409090909091</v>
      </c>
      <c r="W131" s="64">
        <f>DATEVALUE(tblWorkPackages[[#This Row],[Request date]])</f>
        <v>45757.0</v>
      </c>
      <c r="X131" s="64">
        <f>DATEVALUE(tblWorkPackages[[#This Row],[Due date]])</f>
        <v>45770.0</v>
      </c>
      <c r="Y131" s="64">
        <f>DATEVALUE(tblWorkPackages[[#This Row],[Completion date]])</f>
        <v>45761.0</v>
      </c>
      <c r="Z131" s="64">
        <f>_xlfn.MINIFS(tblLaborEntries[Work date serial],tblLaborEntries[Work package ID],tblWorkPackages[[#This Row],[Work package ID]])</f>
        <v>45760.0</v>
      </c>
      <c r="AA131" s="64">
        <f>_xlfn.MAXIFS(tblLaborEntries[Work date serial],tblLaborEntries[Work package ID],tblWorkPackages[[#This Row],[Work package ID]])</f>
        <v>45760.0</v>
      </c>
      <c r="AB131" s="65">
        <f>IF(tblWorkPackages[[#This Row],[Completion date serial]]&gt;tblWorkPackages[[#This Row],[Due date serial]],1,0)</f>
        <v>0</v>
      </c>
      <c r="AC131" s="65">
        <f>MAX(0,tblWorkPackages[[#This Row],[Completion date serial]]-tblWorkPackages[[#This Row],[Due date serial]])</f>
        <v>0</v>
      </c>
      <c r="AD131" s="65">
        <f>tblWorkPackages[[#This Row],[First labor date]]-tblWorkPackages[[#This Row],[Request date serial]]</f>
        <v>3</v>
      </c>
      <c r="AE131" s="65">
        <f>tblWorkPackages[[#This Row],[Last labor date]]-tblWorkPackages[[#This Row],[First labor date]]</f>
        <v>0</v>
      </c>
      <c r="AF131" s="65">
        <f>tblWorkPackages[[#This Row],[Completion date serial]]-tblWorkPackages[[#This Row],[Last labor date]]</f>
        <v>1</v>
      </c>
      <c r="AG131" s="65">
        <f>tblWorkPackages[[#This Row],[Completion date serial]]-tblWorkPackages[[#This Row],[Request date serial]]</f>
        <v>4</v>
      </c>
      <c r="AH131" s="65">
        <f>IFERROR(INDEX(tblParts[Delay days],MATCH(tblWorkPackages[[#This Row],[Work package ID]],tblParts[Work package ID],0)),0)</f>
        <v>0</v>
      </c>
      <c r="AI131" s="51" t="str">
        <f>IFERROR(INDEX(tblDisruptions[Event type],MATCH(tblWorkPackages[[#This Row],[Work package ID]],tblDisruptions[Work package ID],0)),"None")</f>
        <v>None</v>
      </c>
      <c r="AJ131" s="51" t="str">
        <f>TEXT(tblWorkPackages[[#This Row],[Due date serial]],"yyyy-mm")</f>
        <v>2025-04</v>
      </c>
    </row>
    <row r="132" spans="1:36" ht="15" x14ac:dyDescent="0.25">
      <c r="A132" s="53" t="s">
        <v>593</v>
      </c>
      <c r="B132" s="53" t="s">
        <v>230</v>
      </c>
      <c r="C132" s="53" t="s">
        <v>170</v>
      </c>
      <c r="D132" s="53" t="s">
        <v>594</v>
      </c>
      <c r="E132" s="53" t="s">
        <v>153</v>
      </c>
      <c r="F132" s="53" t="s">
        <v>128</v>
      </c>
      <c r="G132" s="53" t="s">
        <v>154</v>
      </c>
      <c r="H132" s="53">
        <v>2</v>
      </c>
      <c r="I132" s="53" t="s">
        <v>176</v>
      </c>
      <c r="J132" s="53">
        <v>0</v>
      </c>
      <c r="K132" s="53">
        <v>0</v>
      </c>
      <c r="L132" s="53">
        <v>8.8000000000000007</v>
      </c>
      <c r="M132" s="53" t="s">
        <v>256</v>
      </c>
      <c r="N132" s="53">
        <v>8.3000000000000007</v>
      </c>
      <c r="O132" s="51" t="str">
        <f>TEXT(tblWorkPackages[[#This Row],[Request date serial]]-WEEKDAY(tblWorkPackages[[#This Row],[Request date serial]],3),"yyyy-mm-dd")</f>
        <v>2024-10-21</v>
      </c>
      <c r="P132" s="51">
        <f>ABS(tblWorkPackages[[#This Row],[Actual labor hours]]-tblWorkPackages[[#This Row],[Estimated labor hours]])</f>
        <v>0.5</v>
      </c>
      <c r="Q132" s="51">
        <f>IF(tblWorkPackages[[#This Row],[Actual labor hours]]&gt;tblWorkPackages[[#This Row],[Estimated labor hours]],1,0)</f>
        <v>0</v>
      </c>
      <c r="R132" s="51">
        <f>tblWorkPackages[[#This Row],[Actual labor hours]]-tblWorkPackages[[#This Row],[Estimated labor hours]]</f>
        <v>-0.5</v>
      </c>
      <c r="S132" s="51" t="str">
        <f>IF(tblWorkPackages[[#This Row],[Request date serial]]&lt;ValidationStart,"Train 2024",IF(tblWorkPackages[[#This Row],[Request date serial]]&lt;HoldoutStart,"Validation H1","Holdout H2"))</f>
        <v>Train 2024</v>
      </c>
      <c r="T132" s="51" t="str">
        <f>IF(tblWorkPackages[[#This Row],[Time split]]="Train 2024","",tblWorkPackages[[#This Row],[Estimated labor hours]]+VLOOKUP(tblWorkPackages[[#This Row],[Task type]],'Forecast validation'!$A$14:$E$25,IF(tblWorkPackages[[#This Row],[Time split]]="Validation H1",4,5),FALSE()))</f>
        <v/>
      </c>
      <c r="U132" s="51" t="str">
        <f>IF(tblWorkPackages[[#This Row],[Calibrated forecast hours]]="","",ABS(tblWorkPackages[[#This Row],[Actual labor hours]]-tblWorkPackages[[#This Row],[Calibrated forecast hours]]))</f>
        <v/>
      </c>
      <c r="V132" s="51">
        <f>IF(tblWorkPackages[[#This Row],[Time split]]="Train 2024",tblWorkPackages[[#This Row],[Estimated labor hours]],tblWorkPackages[[#This Row],[Calibrated forecast hours]])</f>
        <v>8.8</v>
      </c>
      <c r="W132" s="64">
        <f>DATEVALUE(tblWorkPackages[[#This Row],[Request date]])</f>
        <v>45587.0</v>
      </c>
      <c r="X132" s="64">
        <f>DATEVALUE(tblWorkPackages[[#This Row],[Due date]])</f>
        <v>45593.0</v>
      </c>
      <c r="Y132" s="64">
        <f>DATEVALUE(tblWorkPackages[[#This Row],[Completion date]])</f>
        <v>45634.0</v>
      </c>
      <c r="Z132" s="64">
        <f>_xlfn.MINIFS(tblLaborEntries[Work date serial],tblLaborEntries[Work package ID],tblWorkPackages[[#This Row],[Work package ID]])</f>
        <v>45630.0</v>
      </c>
      <c r="AA132" s="64">
        <f>_xlfn.MAXIFS(tblLaborEntries[Work date serial],tblLaborEntries[Work package ID],tblWorkPackages[[#This Row],[Work package ID]])</f>
        <v>45632.0</v>
      </c>
      <c r="AB132" s="65">
        <f>IF(tblWorkPackages[[#This Row],[Completion date serial]]&gt;tblWorkPackages[[#This Row],[Due date serial]],1,0)</f>
        <v>1</v>
      </c>
      <c r="AC132" s="65">
        <f>MAX(0,tblWorkPackages[[#This Row],[Completion date serial]]-tblWorkPackages[[#This Row],[Due date serial]])</f>
        <v>41</v>
      </c>
      <c r="AD132" s="65">
        <f>tblWorkPackages[[#This Row],[First labor date]]-tblWorkPackages[[#This Row],[Request date serial]]</f>
        <v>43</v>
      </c>
      <c r="AE132" s="65">
        <f>tblWorkPackages[[#This Row],[Last labor date]]-tblWorkPackages[[#This Row],[First labor date]]</f>
        <v>2</v>
      </c>
      <c r="AF132" s="65">
        <f>tblWorkPackages[[#This Row],[Completion date serial]]-tblWorkPackages[[#This Row],[Last labor date]]</f>
        <v>2</v>
      </c>
      <c r="AG132" s="65">
        <f>tblWorkPackages[[#This Row],[Completion date serial]]-tblWorkPackages[[#This Row],[Request date serial]]</f>
        <v>47</v>
      </c>
      <c r="AH132" s="65">
        <f>IFERROR(INDEX(tblParts[Delay days],MATCH(tblWorkPackages[[#This Row],[Work package ID]],tblParts[Work package ID],0)),0)</f>
        <v>0</v>
      </c>
      <c r="AI132" s="51" t="str">
        <f>IFERROR(INDEX(tblDisruptions[Event type],MATCH(tblWorkPackages[[#This Row],[Work package ID]],tblDisruptions[Work package ID],0)),"None")</f>
        <v>None</v>
      </c>
      <c r="AJ132" s="51" t="str">
        <f>TEXT(tblWorkPackages[[#This Row],[Due date serial]],"yyyy-mm")</f>
        <v>2024-10</v>
      </c>
    </row>
    <row r="133" spans="1:36" ht="15" x14ac:dyDescent="0.25">
      <c r="A133" s="53" t="s">
        <v>595</v>
      </c>
      <c r="B133" s="53" t="s">
        <v>185</v>
      </c>
      <c r="C133" s="53" t="s">
        <v>520</v>
      </c>
      <c r="D133" s="53" t="s">
        <v>191</v>
      </c>
      <c r="E133" s="53" t="s">
        <v>127</v>
      </c>
      <c r="F133" s="53" t="s">
        <v>128</v>
      </c>
      <c r="G133" s="53" t="s">
        <v>129</v>
      </c>
      <c r="H133" s="53">
        <v>4</v>
      </c>
      <c r="I133" s="53" t="s">
        <v>176</v>
      </c>
      <c r="J133" s="53">
        <v>0</v>
      </c>
      <c r="K133" s="53">
        <v>0</v>
      </c>
      <c r="L133" s="53">
        <v>13</v>
      </c>
      <c r="M133" s="53" t="s">
        <v>192</v>
      </c>
      <c r="N133" s="53">
        <v>17.2</v>
      </c>
      <c r="O133" s="51" t="str">
        <f>TEXT(tblWorkPackages[[#This Row],[Request date serial]]-WEEKDAY(tblWorkPackages[[#This Row],[Request date serial]],3),"yyyy-mm-dd")</f>
        <v>2025-08-18</v>
      </c>
      <c r="P133" s="51">
        <f>ABS(tblWorkPackages[[#This Row],[Actual labor hours]]-tblWorkPackages[[#This Row],[Estimated labor hours]])</f>
        <v>4.2</v>
      </c>
      <c r="Q133" s="51">
        <f>IF(tblWorkPackages[[#This Row],[Actual labor hours]]&gt;tblWorkPackages[[#This Row],[Estimated labor hours]],1,0)</f>
        <v>1</v>
      </c>
      <c r="R133" s="51">
        <f>tblWorkPackages[[#This Row],[Actual labor hours]]-tblWorkPackages[[#This Row],[Estimated labor hours]]</f>
        <v>4.2</v>
      </c>
      <c r="S133" s="51" t="str">
        <f>IF(tblWorkPackages[[#This Row],[Request date serial]]&lt;ValidationStart,"Train 2024",IF(tblWorkPackages[[#This Row],[Request date serial]]&lt;HoldoutStart,"Validation H1","Holdout H2"))</f>
        <v>Holdout H2</v>
      </c>
      <c r="T133" s="51">
        <f>IF(tblWorkPackages[[#This Row],[Time split]]="Train 2024","",tblWorkPackages[[#This Row],[Estimated labor hours]]+VLOOKUP(tblWorkPackages[[#This Row],[Task type]],'Forecast validation'!$A$14:$E$25,IF(tblWorkPackages[[#This Row],[Time split]]="Validation H1",4,5),FALSE()))</f>
        <v>13.5434108527132</v>
      </c>
      <c r="U133" s="51">
        <f>IF(tblWorkPackages[[#This Row],[Calibrated forecast hours]]="","",ABS(tblWorkPackages[[#This Row],[Actual labor hours]]-tblWorkPackages[[#This Row],[Calibrated forecast hours]]))</f>
        <v>3.65658914728682</v>
      </c>
      <c r="V133" s="51">
        <f>IF(tblWorkPackages[[#This Row],[Time split]]="Train 2024",tblWorkPackages[[#This Row],[Estimated labor hours]],tblWorkPackages[[#This Row],[Calibrated forecast hours]])</f>
        <v>13.5434108527132</v>
      </c>
      <c r="W133" s="64">
        <f>DATEVALUE(tblWorkPackages[[#This Row],[Request date]])</f>
        <v>45890.0</v>
      </c>
      <c r="X133" s="64">
        <f>DATEVALUE(tblWorkPackages[[#This Row],[Due date]])</f>
        <v>45896.0</v>
      </c>
      <c r="Y133" s="64">
        <f>DATEVALUE(tblWorkPackages[[#This Row],[Completion date]])</f>
        <v>45900.0</v>
      </c>
      <c r="Z133" s="64">
        <f>_xlfn.MINIFS(tblLaborEntries[Work date serial],tblLaborEntries[Work package ID],tblWorkPackages[[#This Row],[Work package ID]])</f>
        <v>45897.0</v>
      </c>
      <c r="AA133" s="64">
        <f>_xlfn.MAXIFS(tblLaborEntries[Work date serial],tblLaborEntries[Work package ID],tblWorkPackages[[#This Row],[Work package ID]])</f>
        <v>45897.0</v>
      </c>
      <c r="AB133" s="65">
        <f>IF(tblWorkPackages[[#This Row],[Completion date serial]]&gt;tblWorkPackages[[#This Row],[Due date serial]],1,0)</f>
        <v>1</v>
      </c>
      <c r="AC133" s="65">
        <f>MAX(0,tblWorkPackages[[#This Row],[Completion date serial]]-tblWorkPackages[[#This Row],[Due date serial]])</f>
        <v>4</v>
      </c>
      <c r="AD133" s="65">
        <f>tblWorkPackages[[#This Row],[First labor date]]-tblWorkPackages[[#This Row],[Request date serial]]</f>
        <v>7</v>
      </c>
      <c r="AE133" s="65">
        <f>tblWorkPackages[[#This Row],[Last labor date]]-tblWorkPackages[[#This Row],[First labor date]]</f>
        <v>0</v>
      </c>
      <c r="AF133" s="65">
        <f>tblWorkPackages[[#This Row],[Completion date serial]]-tblWorkPackages[[#This Row],[Last labor date]]</f>
        <v>3</v>
      </c>
      <c r="AG133" s="65">
        <f>tblWorkPackages[[#This Row],[Completion date serial]]-tblWorkPackages[[#This Row],[Request date serial]]</f>
        <v>10</v>
      </c>
      <c r="AH133" s="65">
        <f>IFERROR(INDEX(tblParts[Delay days],MATCH(tblWorkPackages[[#This Row],[Work package ID]],tblParts[Work package ID],0)),0)</f>
        <v>0</v>
      </c>
      <c r="AI133" s="51" t="str">
        <f>IFERROR(INDEX(tblDisruptions[Event type],MATCH(tblWorkPackages[[#This Row],[Work package ID]],tblDisruptions[Work package ID],0)),"None")</f>
        <v>Technician absence</v>
      </c>
      <c r="AJ133" s="51" t="str">
        <f>TEXT(tblWorkPackages[[#This Row],[Due date serial]],"yyyy-mm")</f>
        <v>2025-08</v>
      </c>
    </row>
    <row r="134" spans="1:36" ht="15" x14ac:dyDescent="0.25">
      <c r="A134" s="53" t="s">
        <v>596</v>
      </c>
      <c r="B134" s="53" t="s">
        <v>150</v>
      </c>
      <c r="C134" s="53" t="s">
        <v>183</v>
      </c>
      <c r="D134" s="53" t="s">
        <v>180</v>
      </c>
      <c r="E134" s="53" t="s">
        <v>237</v>
      </c>
      <c r="F134" s="53" t="s">
        <v>182</v>
      </c>
      <c r="G134" s="53" t="s">
        <v>138</v>
      </c>
      <c r="H134" s="53">
        <v>1</v>
      </c>
      <c r="I134" s="53" t="s">
        <v>176</v>
      </c>
      <c r="J134" s="53">
        <v>0</v>
      </c>
      <c r="K134" s="53">
        <v>1</v>
      </c>
      <c r="L134" s="53">
        <v>4</v>
      </c>
      <c r="M134" s="53" t="s">
        <v>597</v>
      </c>
      <c r="N134" s="53">
        <v>3.2</v>
      </c>
      <c r="O134" s="51" t="str">
        <f>TEXT(tblWorkPackages[[#This Row],[Request date serial]]-WEEKDAY(tblWorkPackages[[#This Row],[Request date serial]],3),"yyyy-mm-dd")</f>
        <v>2025-05-19</v>
      </c>
      <c r="P134" s="51">
        <f>ABS(tblWorkPackages[[#This Row],[Actual labor hours]]-tblWorkPackages[[#This Row],[Estimated labor hours]])</f>
        <v>0.8</v>
      </c>
      <c r="Q134" s="51">
        <f>IF(tblWorkPackages[[#This Row],[Actual labor hours]]&gt;tblWorkPackages[[#This Row],[Estimated labor hours]],1,0)</f>
        <v>0</v>
      </c>
      <c r="R134" s="51">
        <f>tblWorkPackages[[#This Row],[Actual labor hours]]-tblWorkPackages[[#This Row],[Estimated labor hours]]</f>
        <v>-0.8</v>
      </c>
      <c r="S134" s="51" t="str">
        <f>IF(tblWorkPackages[[#This Row],[Request date serial]]&lt;ValidationStart,"Train 2024",IF(tblWorkPackages[[#This Row],[Request date serial]]&lt;HoldoutStart,"Validation H1","Holdout H2"))</f>
        <v>Validation H1</v>
      </c>
      <c r="T134" s="51">
        <f>IF(tblWorkPackages[[#This Row],[Time split]]="Train 2024","",tblWorkPackages[[#This Row],[Estimated labor hours]]+VLOOKUP(tblWorkPackages[[#This Row],[Task type]],'Forecast validation'!$A$14:$E$25,IF(tblWorkPackages[[#This Row],[Time split]]="Validation H1",4,5),FALSE()))</f>
        <v>4.5037037037037</v>
      </c>
      <c r="U134" s="51">
        <f>IF(tblWorkPackages[[#This Row],[Calibrated forecast hours]]="","",ABS(tblWorkPackages[[#This Row],[Actual labor hours]]-tblWorkPackages[[#This Row],[Calibrated forecast hours]]))</f>
        <v>1.3037037037037</v>
      </c>
      <c r="V134" s="51">
        <f>IF(tblWorkPackages[[#This Row],[Time split]]="Train 2024",tblWorkPackages[[#This Row],[Estimated labor hours]],tblWorkPackages[[#This Row],[Calibrated forecast hours]])</f>
        <v>4.5037037037037</v>
      </c>
      <c r="W134" s="64">
        <f>DATEVALUE(tblWorkPackages[[#This Row],[Request date]])</f>
        <v>45799.0</v>
      </c>
      <c r="X134" s="64">
        <f>DATEVALUE(tblWorkPackages[[#This Row],[Due date]])</f>
        <v>45805.0</v>
      </c>
      <c r="Y134" s="64">
        <f>DATEVALUE(tblWorkPackages[[#This Row],[Completion date]])</f>
        <v>45803.0</v>
      </c>
      <c r="Z134" s="64">
        <f>_xlfn.MINIFS(tblLaborEntries[Work date serial],tblLaborEntries[Work package ID],tblWorkPackages[[#This Row],[Work package ID]])</f>
        <v>45801.0</v>
      </c>
      <c r="AA134" s="64">
        <f>_xlfn.MAXIFS(tblLaborEntries[Work date serial],tblLaborEntries[Work package ID],tblWorkPackages[[#This Row],[Work package ID]])</f>
        <v>45803.0</v>
      </c>
      <c r="AB134" s="65">
        <f>IF(tblWorkPackages[[#This Row],[Completion date serial]]&gt;tblWorkPackages[[#This Row],[Due date serial]],1,0)</f>
        <v>0</v>
      </c>
      <c r="AC134" s="65">
        <f>MAX(0,tblWorkPackages[[#This Row],[Completion date serial]]-tblWorkPackages[[#This Row],[Due date serial]])</f>
        <v>0</v>
      </c>
      <c r="AD134" s="65">
        <f>tblWorkPackages[[#This Row],[First labor date]]-tblWorkPackages[[#This Row],[Request date serial]]</f>
        <v>2</v>
      </c>
      <c r="AE134" s="65">
        <f>tblWorkPackages[[#This Row],[Last labor date]]-tblWorkPackages[[#This Row],[First labor date]]</f>
        <v>2</v>
      </c>
      <c r="AF134" s="65">
        <f>tblWorkPackages[[#This Row],[Completion date serial]]-tblWorkPackages[[#This Row],[Last labor date]]</f>
        <v>0</v>
      </c>
      <c r="AG134" s="65">
        <f>tblWorkPackages[[#This Row],[Completion date serial]]-tblWorkPackages[[#This Row],[Request date serial]]</f>
        <v>4</v>
      </c>
      <c r="AH134" s="65">
        <f>IFERROR(INDEX(tblParts[Delay days],MATCH(tblWorkPackages[[#This Row],[Work package ID]],tblParts[Work package ID],0)),0)</f>
        <v>0</v>
      </c>
      <c r="AI134" s="51" t="str">
        <f>IFERROR(INDEX(tblDisruptions[Event type],MATCH(tblWorkPackages[[#This Row],[Work package ID]],tblDisruptions[Work package ID],0)),"None")</f>
        <v>None</v>
      </c>
      <c r="AJ134" s="51" t="str">
        <f>TEXT(tblWorkPackages[[#This Row],[Due date serial]],"yyyy-mm")</f>
        <v>2025-05</v>
      </c>
    </row>
    <row r="135" spans="1:36" ht="15" x14ac:dyDescent="0.25">
      <c r="A135" s="53" t="s">
        <v>598</v>
      </c>
      <c r="B135" s="53" t="s">
        <v>250</v>
      </c>
      <c r="C135" s="53" t="s">
        <v>599</v>
      </c>
      <c r="D135" s="53" t="s">
        <v>600</v>
      </c>
      <c r="E135" s="53" t="s">
        <v>200</v>
      </c>
      <c r="F135" s="53" t="s">
        <v>128</v>
      </c>
      <c r="G135" s="53" t="s">
        <v>129</v>
      </c>
      <c r="H135" s="53">
        <v>1</v>
      </c>
      <c r="I135" s="53" t="s">
        <v>176</v>
      </c>
      <c r="J135" s="53">
        <v>0</v>
      </c>
      <c r="K135" s="53">
        <v>0</v>
      </c>
      <c r="L135" s="53">
        <v>1.8</v>
      </c>
      <c r="M135" s="53" t="s">
        <v>601</v>
      </c>
      <c r="N135" s="53">
        <v>1.5</v>
      </c>
      <c r="O135" s="51" t="str">
        <f>TEXT(tblWorkPackages[[#This Row],[Request date serial]]-WEEKDAY(tblWorkPackages[[#This Row],[Request date serial]],3),"yyyy-mm-dd")</f>
        <v>2024-11-11</v>
      </c>
      <c r="P135" s="51">
        <f>ABS(tblWorkPackages[[#This Row],[Actual labor hours]]-tblWorkPackages[[#This Row],[Estimated labor hours]])</f>
        <v>0.3</v>
      </c>
      <c r="Q135" s="51">
        <f>IF(tblWorkPackages[[#This Row],[Actual labor hours]]&gt;tblWorkPackages[[#This Row],[Estimated labor hours]],1,0)</f>
        <v>0</v>
      </c>
      <c r="R135" s="51">
        <f>tblWorkPackages[[#This Row],[Actual labor hours]]-tblWorkPackages[[#This Row],[Estimated labor hours]]</f>
        <v>-0.3</v>
      </c>
      <c r="S135" s="51" t="str">
        <f>IF(tblWorkPackages[[#This Row],[Request date serial]]&lt;ValidationStart,"Train 2024",IF(tblWorkPackages[[#This Row],[Request date serial]]&lt;HoldoutStart,"Validation H1","Holdout H2"))</f>
        <v>Train 2024</v>
      </c>
      <c r="T135" s="51" t="str">
        <f>IF(tblWorkPackages[[#This Row],[Time split]]="Train 2024","",tblWorkPackages[[#This Row],[Estimated labor hours]]+VLOOKUP(tblWorkPackages[[#This Row],[Task type]],'Forecast validation'!$A$14:$E$25,IF(tblWorkPackages[[#This Row],[Time split]]="Validation H1",4,5),FALSE()))</f>
        <v/>
      </c>
      <c r="U135" s="51" t="str">
        <f>IF(tblWorkPackages[[#This Row],[Calibrated forecast hours]]="","",ABS(tblWorkPackages[[#This Row],[Actual labor hours]]-tblWorkPackages[[#This Row],[Calibrated forecast hours]]))</f>
        <v/>
      </c>
      <c r="V135" s="51">
        <f>IF(tblWorkPackages[[#This Row],[Time split]]="Train 2024",tblWorkPackages[[#This Row],[Estimated labor hours]],tblWorkPackages[[#This Row],[Calibrated forecast hours]])</f>
        <v>1.8</v>
      </c>
      <c r="W135" s="64">
        <f>DATEVALUE(tblWorkPackages[[#This Row],[Request date]])</f>
        <v>45612.0</v>
      </c>
      <c r="X135" s="64">
        <f>DATEVALUE(tblWorkPackages[[#This Row],[Due date]])</f>
        <v>45618.0</v>
      </c>
      <c r="Y135" s="64">
        <f>DATEVALUE(tblWorkPackages[[#This Row],[Completion date]])</f>
        <v>45633.0</v>
      </c>
      <c r="Z135" s="64">
        <f>_xlfn.MINIFS(tblLaborEntries[Work date serial],tblLaborEntries[Work package ID],tblWorkPackages[[#This Row],[Work package ID]])</f>
        <v>45630.0</v>
      </c>
      <c r="AA135" s="64">
        <f>_xlfn.MAXIFS(tblLaborEntries[Work date serial],tblLaborEntries[Work package ID],tblWorkPackages[[#This Row],[Work package ID]])</f>
        <v>45632.0</v>
      </c>
      <c r="AB135" s="65">
        <f>IF(tblWorkPackages[[#This Row],[Completion date serial]]&gt;tblWorkPackages[[#This Row],[Due date serial]],1,0)</f>
        <v>1</v>
      </c>
      <c r="AC135" s="65">
        <f>MAX(0,tblWorkPackages[[#This Row],[Completion date serial]]-tblWorkPackages[[#This Row],[Due date serial]])</f>
        <v>15</v>
      </c>
      <c r="AD135" s="65">
        <f>tblWorkPackages[[#This Row],[First labor date]]-tblWorkPackages[[#This Row],[Request date serial]]</f>
        <v>18</v>
      </c>
      <c r="AE135" s="65">
        <f>tblWorkPackages[[#This Row],[Last labor date]]-tblWorkPackages[[#This Row],[First labor date]]</f>
        <v>2</v>
      </c>
      <c r="AF135" s="65">
        <f>tblWorkPackages[[#This Row],[Completion date serial]]-tblWorkPackages[[#This Row],[Last labor date]]</f>
        <v>1</v>
      </c>
      <c r="AG135" s="65">
        <f>tblWorkPackages[[#This Row],[Completion date serial]]-tblWorkPackages[[#This Row],[Request date serial]]</f>
        <v>21</v>
      </c>
      <c r="AH135" s="65">
        <f>IFERROR(INDEX(tblParts[Delay days],MATCH(tblWorkPackages[[#This Row],[Work package ID]],tblParts[Work package ID],0)),0)</f>
        <v>0</v>
      </c>
      <c r="AI135" s="51" t="str">
        <f>IFERROR(INDEX(tblDisruptions[Event type],MATCH(tblWorkPackages[[#This Row],[Work package ID]],tblDisruptions[Work package ID],0)),"None")</f>
        <v>None</v>
      </c>
      <c r="AJ135" s="51" t="str">
        <f>TEXT(tblWorkPackages[[#This Row],[Due date serial]],"yyyy-mm")</f>
        <v>2024-11</v>
      </c>
    </row>
    <row r="136" spans="1:36" ht="15" x14ac:dyDescent="0.25">
      <c r="A136" s="53" t="s">
        <v>602</v>
      </c>
      <c r="B136" s="53" t="s">
        <v>150</v>
      </c>
      <c r="C136" s="53" t="s">
        <v>603</v>
      </c>
      <c r="D136" s="53" t="s">
        <v>502</v>
      </c>
      <c r="E136" s="53" t="s">
        <v>223</v>
      </c>
      <c r="F136" s="53" t="s">
        <v>182</v>
      </c>
      <c r="G136" s="53" t="s">
        <v>154</v>
      </c>
      <c r="H136" s="53">
        <v>4</v>
      </c>
      <c r="I136" s="53" t="s">
        <v>176</v>
      </c>
      <c r="J136" s="53">
        <v>0</v>
      </c>
      <c r="K136" s="53">
        <v>0</v>
      </c>
      <c r="L136" s="53">
        <v>25.4</v>
      </c>
      <c r="M136" s="53" t="s">
        <v>175</v>
      </c>
      <c r="N136" s="53">
        <v>29.9</v>
      </c>
      <c r="O136" s="51" t="str">
        <f>TEXT(tblWorkPackages[[#This Row],[Request date serial]]-WEEKDAY(tblWorkPackages[[#This Row],[Request date serial]],3),"yyyy-mm-dd")</f>
        <v>2025-06-23</v>
      </c>
      <c r="P136" s="51">
        <f>ABS(tblWorkPackages[[#This Row],[Actual labor hours]]-tblWorkPackages[[#This Row],[Estimated labor hours]])</f>
        <v>4.5</v>
      </c>
      <c r="Q136" s="51">
        <f>IF(tblWorkPackages[[#This Row],[Actual labor hours]]&gt;tblWorkPackages[[#This Row],[Estimated labor hours]],1,0)</f>
        <v>1</v>
      </c>
      <c r="R136" s="51">
        <f>tblWorkPackages[[#This Row],[Actual labor hours]]-tblWorkPackages[[#This Row],[Estimated labor hours]]</f>
        <v>4.5</v>
      </c>
      <c r="S136" s="51" t="str">
        <f>IF(tblWorkPackages[[#This Row],[Request date serial]]&lt;ValidationStart,"Train 2024",IF(tblWorkPackages[[#This Row],[Request date serial]]&lt;HoldoutStart,"Validation H1","Holdout H2"))</f>
        <v>Validation H1</v>
      </c>
      <c r="T136" s="51">
        <f>IF(tblWorkPackages[[#This Row],[Time split]]="Train 2024","",tblWorkPackages[[#This Row],[Estimated labor hours]]+VLOOKUP(tblWorkPackages[[#This Row],[Task type]],'Forecast validation'!$A$14:$E$25,IF(tblWorkPackages[[#This Row],[Time split]]="Validation H1",4,5),FALSE()))</f>
        <v>26.2824175824176</v>
      </c>
      <c r="U136" s="51">
        <f>IF(tblWorkPackages[[#This Row],[Calibrated forecast hours]]="","",ABS(tblWorkPackages[[#This Row],[Actual labor hours]]-tblWorkPackages[[#This Row],[Calibrated forecast hours]]))</f>
        <v>3.61758241758242</v>
      </c>
      <c r="V136" s="51">
        <f>IF(tblWorkPackages[[#This Row],[Time split]]="Train 2024",tblWorkPackages[[#This Row],[Estimated labor hours]],tblWorkPackages[[#This Row],[Calibrated forecast hours]])</f>
        <v>26.2824175824176</v>
      </c>
      <c r="W136" s="64">
        <f>DATEVALUE(tblWorkPackages[[#This Row],[Request date]])</f>
        <v>45834.0</v>
      </c>
      <c r="X136" s="64">
        <f>DATEVALUE(tblWorkPackages[[#This Row],[Due date]])</f>
        <v>45840.0</v>
      </c>
      <c r="Y136" s="64">
        <f>DATEVALUE(tblWorkPackages[[#This Row],[Completion date]])</f>
        <v>45842.0</v>
      </c>
      <c r="Z136" s="64">
        <f>_xlfn.MINIFS(tblLaborEntries[Work date serial],tblLaborEntries[Work package ID],tblWorkPackages[[#This Row],[Work package ID]])</f>
        <v>45838.0</v>
      </c>
      <c r="AA136" s="64">
        <f>_xlfn.MAXIFS(tblLaborEntries[Work date serial],tblLaborEntries[Work package ID],tblWorkPackages[[#This Row],[Work package ID]])</f>
        <v>45840.0</v>
      </c>
      <c r="AB136" s="65">
        <f>IF(tblWorkPackages[[#This Row],[Completion date serial]]&gt;tblWorkPackages[[#This Row],[Due date serial]],1,0)</f>
        <v>1</v>
      </c>
      <c r="AC136" s="65">
        <f>MAX(0,tblWorkPackages[[#This Row],[Completion date serial]]-tblWorkPackages[[#This Row],[Due date serial]])</f>
        <v>2</v>
      </c>
      <c r="AD136" s="65">
        <f>tblWorkPackages[[#This Row],[First labor date]]-tblWorkPackages[[#This Row],[Request date serial]]</f>
        <v>4</v>
      </c>
      <c r="AE136" s="65">
        <f>tblWorkPackages[[#This Row],[Last labor date]]-tblWorkPackages[[#This Row],[First labor date]]</f>
        <v>2</v>
      </c>
      <c r="AF136" s="65">
        <f>tblWorkPackages[[#This Row],[Completion date serial]]-tblWorkPackages[[#This Row],[Last labor date]]</f>
        <v>2</v>
      </c>
      <c r="AG136" s="65">
        <f>tblWorkPackages[[#This Row],[Completion date serial]]-tblWorkPackages[[#This Row],[Request date serial]]</f>
        <v>8</v>
      </c>
      <c r="AH136" s="65">
        <f>IFERROR(INDEX(tblParts[Delay days],MATCH(tblWorkPackages[[#This Row],[Work package ID]],tblParts[Work package ID],0)),0)</f>
        <v>0</v>
      </c>
      <c r="AI136" s="51" t="str">
        <f>IFERROR(INDEX(tblDisruptions[Event type],MATCH(tblWorkPackages[[#This Row],[Work package ID]],tblDisruptions[Work package ID],0)),"None")</f>
        <v>None</v>
      </c>
      <c r="AJ136" s="51" t="str">
        <f>TEXT(tblWorkPackages[[#This Row],[Due date serial]],"yyyy-mm")</f>
        <v>2025-07</v>
      </c>
    </row>
    <row r="137" spans="1:36" ht="15" x14ac:dyDescent="0.25">
      <c r="A137" s="53" t="s">
        <v>604</v>
      </c>
      <c r="B137" s="53" t="s">
        <v>235</v>
      </c>
      <c r="C137" s="53" t="s">
        <v>311</v>
      </c>
      <c r="D137" s="53" t="s">
        <v>492</v>
      </c>
      <c r="E137" s="53" t="s">
        <v>127</v>
      </c>
      <c r="F137" s="53" t="s">
        <v>128</v>
      </c>
      <c r="G137" s="53" t="s">
        <v>129</v>
      </c>
      <c r="H137" s="53">
        <v>1</v>
      </c>
      <c r="I137" s="53" t="s">
        <v>130</v>
      </c>
      <c r="J137" s="53">
        <v>0</v>
      </c>
      <c r="K137" s="53">
        <v>1</v>
      </c>
      <c r="L137" s="53">
        <v>4.4000000000000004</v>
      </c>
      <c r="M137" s="53" t="s">
        <v>312</v>
      </c>
      <c r="N137" s="53">
        <v>3.4</v>
      </c>
      <c r="O137" s="51" t="str">
        <f>TEXT(tblWorkPackages[[#This Row],[Request date serial]]-WEEKDAY(tblWorkPackages[[#This Row],[Request date serial]],3),"yyyy-mm-dd")</f>
        <v>2025-08-11</v>
      </c>
      <c r="P137" s="51">
        <f>ABS(tblWorkPackages[[#This Row],[Actual labor hours]]-tblWorkPackages[[#This Row],[Estimated labor hours]])</f>
        <v>1</v>
      </c>
      <c r="Q137" s="51">
        <f>IF(tblWorkPackages[[#This Row],[Actual labor hours]]&gt;tblWorkPackages[[#This Row],[Estimated labor hours]],1,0)</f>
        <v>0</v>
      </c>
      <c r="R137" s="51">
        <f>tblWorkPackages[[#This Row],[Actual labor hours]]-tblWorkPackages[[#This Row],[Estimated labor hours]]</f>
        <v>-1</v>
      </c>
      <c r="S137" s="51" t="str">
        <f>IF(tblWorkPackages[[#This Row],[Request date serial]]&lt;ValidationStart,"Train 2024",IF(tblWorkPackages[[#This Row],[Request date serial]]&lt;HoldoutStart,"Validation H1","Holdout H2"))</f>
        <v>Holdout H2</v>
      </c>
      <c r="T137" s="51">
        <f>IF(tblWorkPackages[[#This Row],[Time split]]="Train 2024","",tblWorkPackages[[#This Row],[Estimated labor hours]]+VLOOKUP(tblWorkPackages[[#This Row],[Task type]],'Forecast validation'!$A$14:$E$25,IF(tblWorkPackages[[#This Row],[Time split]]="Validation H1",4,5),FALSE()))</f>
        <v>4.94341085271318</v>
      </c>
      <c r="U137" s="51">
        <f>IF(tblWorkPackages[[#This Row],[Calibrated forecast hours]]="","",ABS(tblWorkPackages[[#This Row],[Actual labor hours]]-tblWorkPackages[[#This Row],[Calibrated forecast hours]]))</f>
        <v>1.54341085271318</v>
      </c>
      <c r="V137" s="51">
        <f>IF(tblWorkPackages[[#This Row],[Time split]]="Train 2024",tblWorkPackages[[#This Row],[Estimated labor hours]],tblWorkPackages[[#This Row],[Calibrated forecast hours]])</f>
        <v>4.94341085271318</v>
      </c>
      <c r="W137" s="64">
        <f>DATEVALUE(tblWorkPackages[[#This Row],[Request date]])</f>
        <v>45881.0</v>
      </c>
      <c r="X137" s="64">
        <f>DATEVALUE(tblWorkPackages[[#This Row],[Due date]])</f>
        <v>45894.0</v>
      </c>
      <c r="Y137" s="64">
        <f>DATEVALUE(tblWorkPackages[[#This Row],[Completion date]])</f>
        <v>45887.0</v>
      </c>
      <c r="Z137" s="64">
        <f>_xlfn.MINIFS(tblLaborEntries[Work date serial],tblLaborEntries[Work package ID],tblWorkPackages[[#This Row],[Work package ID]])</f>
        <v>45882.0</v>
      </c>
      <c r="AA137" s="64">
        <f>_xlfn.MAXIFS(tblLaborEntries[Work date serial],tblLaborEntries[Work package ID],tblWorkPackages[[#This Row],[Work package ID]])</f>
        <v>45884.0</v>
      </c>
      <c r="AB137" s="65">
        <f>IF(tblWorkPackages[[#This Row],[Completion date serial]]&gt;tblWorkPackages[[#This Row],[Due date serial]],1,0)</f>
        <v>0</v>
      </c>
      <c r="AC137" s="65">
        <f>MAX(0,tblWorkPackages[[#This Row],[Completion date serial]]-tblWorkPackages[[#This Row],[Due date serial]])</f>
        <v>0</v>
      </c>
      <c r="AD137" s="65">
        <f>tblWorkPackages[[#This Row],[First labor date]]-tblWorkPackages[[#This Row],[Request date serial]]</f>
        <v>1</v>
      </c>
      <c r="AE137" s="65">
        <f>tblWorkPackages[[#This Row],[Last labor date]]-tblWorkPackages[[#This Row],[First labor date]]</f>
        <v>2</v>
      </c>
      <c r="AF137" s="65">
        <f>tblWorkPackages[[#This Row],[Completion date serial]]-tblWorkPackages[[#This Row],[Last labor date]]</f>
        <v>3</v>
      </c>
      <c r="AG137" s="65">
        <f>tblWorkPackages[[#This Row],[Completion date serial]]-tblWorkPackages[[#This Row],[Request date serial]]</f>
        <v>6</v>
      </c>
      <c r="AH137" s="65">
        <f>IFERROR(INDEX(tblParts[Delay days],MATCH(tblWorkPackages[[#This Row],[Work package ID]],tblParts[Work package ID],0)),0)</f>
        <v>0</v>
      </c>
      <c r="AI137" s="51" t="str">
        <f>IFERROR(INDEX(tblDisruptions[Event type],MATCH(tblWorkPackages[[#This Row],[Work package ID]],tblDisruptions[Work package ID],0)),"None")</f>
        <v>None</v>
      </c>
      <c r="AJ137" s="51" t="str">
        <f>TEXT(tblWorkPackages[[#This Row],[Due date serial]],"yyyy-mm")</f>
        <v>2025-08</v>
      </c>
    </row>
    <row r="138" spans="1:36" ht="15" x14ac:dyDescent="0.25">
      <c r="A138" s="53" t="s">
        <v>605</v>
      </c>
      <c r="B138" s="53" t="s">
        <v>230</v>
      </c>
      <c r="C138" s="53" t="s">
        <v>606</v>
      </c>
      <c r="D138" s="53" t="s">
        <v>607</v>
      </c>
      <c r="E138" s="53" t="s">
        <v>181</v>
      </c>
      <c r="F138" s="53" t="s">
        <v>182</v>
      </c>
      <c r="G138" s="53" t="s">
        <v>138</v>
      </c>
      <c r="H138" s="53">
        <v>3</v>
      </c>
      <c r="I138" s="53" t="s">
        <v>130</v>
      </c>
      <c r="J138" s="53">
        <v>1</v>
      </c>
      <c r="K138" s="53">
        <v>0</v>
      </c>
      <c r="L138" s="53">
        <v>12.1</v>
      </c>
      <c r="M138" s="53" t="s">
        <v>607</v>
      </c>
      <c r="N138" s="53">
        <v>13.2</v>
      </c>
      <c r="O138" s="51" t="str">
        <f>TEXT(tblWorkPackages[[#This Row],[Request date serial]]-WEEKDAY(tblWorkPackages[[#This Row],[Request date serial]],3),"yyyy-mm-dd")</f>
        <v>2025-03-03</v>
      </c>
      <c r="P138" s="51">
        <f>ABS(tblWorkPackages[[#This Row],[Actual labor hours]]-tblWorkPackages[[#This Row],[Estimated labor hours]])</f>
        <v>1.1</v>
      </c>
      <c r="Q138" s="51">
        <f>IF(tblWorkPackages[[#This Row],[Actual labor hours]]&gt;tblWorkPackages[[#This Row],[Estimated labor hours]],1,0)</f>
        <v>1</v>
      </c>
      <c r="R138" s="51">
        <f>tblWorkPackages[[#This Row],[Actual labor hours]]-tblWorkPackages[[#This Row],[Estimated labor hours]]</f>
        <v>1.1</v>
      </c>
      <c r="S138" s="51" t="str">
        <f>IF(tblWorkPackages[[#This Row],[Request date serial]]&lt;ValidationStart,"Train 2024",IF(tblWorkPackages[[#This Row],[Request date serial]]&lt;HoldoutStart,"Validation H1","Holdout H2"))</f>
        <v>Validation H1</v>
      </c>
      <c r="T138" s="51">
        <f>IF(tblWorkPackages[[#This Row],[Time split]]="Train 2024","",tblWorkPackages[[#This Row],[Estimated labor hours]]+VLOOKUP(tblWorkPackages[[#This Row],[Task type]],'Forecast validation'!$A$14:$E$25,IF(tblWorkPackages[[#This Row],[Time split]]="Validation H1",4,5),FALSE()))</f>
        <v>12.6840909090909</v>
      </c>
      <c r="U138" s="51">
        <f>IF(tblWorkPackages[[#This Row],[Calibrated forecast hours]]="","",ABS(tblWorkPackages[[#This Row],[Actual labor hours]]-tblWorkPackages[[#This Row],[Calibrated forecast hours]]))</f>
        <v>0.515909090909091</v>
      </c>
      <c r="V138" s="51">
        <f>IF(tblWorkPackages[[#This Row],[Time split]]="Train 2024",tblWorkPackages[[#This Row],[Estimated labor hours]],tblWorkPackages[[#This Row],[Calibrated forecast hours]])</f>
        <v>12.6840909090909</v>
      </c>
      <c r="W138" s="64">
        <f>DATEVALUE(tblWorkPackages[[#This Row],[Request date]])</f>
        <v>45721.0</v>
      </c>
      <c r="X138" s="64">
        <f>DATEVALUE(tblWorkPackages[[#This Row],[Due date]])</f>
        <v>45734.0</v>
      </c>
      <c r="Y138" s="64">
        <f>DATEVALUE(tblWorkPackages[[#This Row],[Completion date]])</f>
        <v>45734.0</v>
      </c>
      <c r="Z138" s="64">
        <f>_xlfn.MINIFS(tblLaborEntries[Work date serial],tblLaborEntries[Work package ID],tblWorkPackages[[#This Row],[Work package ID]])</f>
        <v>45732.0</v>
      </c>
      <c r="AA138" s="64">
        <f>_xlfn.MAXIFS(tblLaborEntries[Work date serial],tblLaborEntries[Work package ID],tblWorkPackages[[#This Row],[Work package ID]])</f>
        <v>45734.0</v>
      </c>
      <c r="AB138" s="65">
        <f>IF(tblWorkPackages[[#This Row],[Completion date serial]]&gt;tblWorkPackages[[#This Row],[Due date serial]],1,0)</f>
        <v>0</v>
      </c>
      <c r="AC138" s="65">
        <f>MAX(0,tblWorkPackages[[#This Row],[Completion date serial]]-tblWorkPackages[[#This Row],[Due date serial]])</f>
        <v>0</v>
      </c>
      <c r="AD138" s="65">
        <f>tblWorkPackages[[#This Row],[First labor date]]-tblWorkPackages[[#This Row],[Request date serial]]</f>
        <v>11</v>
      </c>
      <c r="AE138" s="65">
        <f>tblWorkPackages[[#This Row],[Last labor date]]-tblWorkPackages[[#This Row],[First labor date]]</f>
        <v>2</v>
      </c>
      <c r="AF138" s="65">
        <f>tblWorkPackages[[#This Row],[Completion date serial]]-tblWorkPackages[[#This Row],[Last labor date]]</f>
        <v>0</v>
      </c>
      <c r="AG138" s="65">
        <f>tblWorkPackages[[#This Row],[Completion date serial]]-tblWorkPackages[[#This Row],[Request date serial]]</f>
        <v>13</v>
      </c>
      <c r="AH138" s="65">
        <f>IFERROR(INDEX(tblParts[Delay days],MATCH(tblWorkPackages[[#This Row],[Work package ID]],tblParts[Work package ID],0)),0)</f>
        <v>0</v>
      </c>
      <c r="AI138" s="51" t="str">
        <f>IFERROR(INDEX(tblDisruptions[Event type],MATCH(tblWorkPackages[[#This Row],[Work package ID]],tblDisruptions[Work package ID],0)),"None")</f>
        <v>None</v>
      </c>
      <c r="AJ138" s="51" t="str">
        <f>TEXT(tblWorkPackages[[#This Row],[Due date serial]],"yyyy-mm")</f>
        <v>2025-03</v>
      </c>
    </row>
    <row r="139" spans="1:36" ht="15" x14ac:dyDescent="0.25">
      <c r="A139" s="53" t="s">
        <v>608</v>
      </c>
      <c r="B139" s="53" t="s">
        <v>185</v>
      </c>
      <c r="C139" s="53" t="s">
        <v>609</v>
      </c>
      <c r="D139" s="53" t="s">
        <v>300</v>
      </c>
      <c r="E139" s="53" t="s">
        <v>144</v>
      </c>
      <c r="F139" s="53" t="s">
        <v>145</v>
      </c>
      <c r="G139" s="53" t="s">
        <v>146</v>
      </c>
      <c r="H139" s="53">
        <v>2</v>
      </c>
      <c r="I139" s="53" t="s">
        <v>130</v>
      </c>
      <c r="J139" s="53">
        <v>0</v>
      </c>
      <c r="K139" s="53">
        <v>0</v>
      </c>
      <c r="L139" s="53">
        <v>12.4</v>
      </c>
      <c r="M139" s="53" t="s">
        <v>315</v>
      </c>
      <c r="N139" s="53">
        <v>11.2</v>
      </c>
      <c r="O139" s="51" t="str">
        <f>TEXT(tblWorkPackages[[#This Row],[Request date serial]]-WEEKDAY(tblWorkPackages[[#This Row],[Request date serial]],3),"yyyy-mm-dd")</f>
        <v>2024-04-01</v>
      </c>
      <c r="P139" s="51">
        <f>ABS(tblWorkPackages[[#This Row],[Actual labor hours]]-tblWorkPackages[[#This Row],[Estimated labor hours]])</f>
        <v>1.2</v>
      </c>
      <c r="Q139" s="51">
        <f>IF(tblWorkPackages[[#This Row],[Actual labor hours]]&gt;tblWorkPackages[[#This Row],[Estimated labor hours]],1,0)</f>
        <v>0</v>
      </c>
      <c r="R139" s="51">
        <f>tblWorkPackages[[#This Row],[Actual labor hours]]-tblWorkPackages[[#This Row],[Estimated labor hours]]</f>
        <v>-1.2</v>
      </c>
      <c r="S139" s="51" t="str">
        <f>IF(tblWorkPackages[[#This Row],[Request date serial]]&lt;ValidationStart,"Train 2024",IF(tblWorkPackages[[#This Row],[Request date serial]]&lt;HoldoutStart,"Validation H1","Holdout H2"))</f>
        <v>Train 2024</v>
      </c>
      <c r="T139" s="51" t="str">
        <f>IF(tblWorkPackages[[#This Row],[Time split]]="Train 2024","",tblWorkPackages[[#This Row],[Estimated labor hours]]+VLOOKUP(tblWorkPackages[[#This Row],[Task type]],'Forecast validation'!$A$14:$E$25,IF(tblWorkPackages[[#This Row],[Time split]]="Validation H1",4,5),FALSE()))</f>
        <v/>
      </c>
      <c r="U139" s="51" t="str">
        <f>IF(tblWorkPackages[[#This Row],[Calibrated forecast hours]]="","",ABS(tblWorkPackages[[#This Row],[Actual labor hours]]-tblWorkPackages[[#This Row],[Calibrated forecast hours]]))</f>
        <v/>
      </c>
      <c r="V139" s="51">
        <f>IF(tblWorkPackages[[#This Row],[Time split]]="Train 2024",tblWorkPackages[[#This Row],[Estimated labor hours]],tblWorkPackages[[#This Row],[Calibrated forecast hours]])</f>
        <v>12.4</v>
      </c>
      <c r="W139" s="64">
        <f>DATEVALUE(tblWorkPackages[[#This Row],[Request date]])</f>
        <v>45384.0</v>
      </c>
      <c r="X139" s="64">
        <f>DATEVALUE(tblWorkPackages[[#This Row],[Due date]])</f>
        <v>45397.0</v>
      </c>
      <c r="Y139" s="64">
        <f>DATEVALUE(tblWorkPackages[[#This Row],[Completion date]])</f>
        <v>45390.0</v>
      </c>
      <c r="Z139" s="64">
        <f>_xlfn.MINIFS(tblLaborEntries[Work date serial],tblLaborEntries[Work package ID],tblWorkPackages[[#This Row],[Work package ID]])</f>
        <v>45387.0</v>
      </c>
      <c r="AA139" s="64">
        <f>_xlfn.MAXIFS(tblLaborEntries[Work date serial],tblLaborEntries[Work package ID],tblWorkPackages[[#This Row],[Work package ID]])</f>
        <v>45389.0</v>
      </c>
      <c r="AB139" s="65">
        <f>IF(tblWorkPackages[[#This Row],[Completion date serial]]&gt;tblWorkPackages[[#This Row],[Due date serial]],1,0)</f>
        <v>0</v>
      </c>
      <c r="AC139" s="65">
        <f>MAX(0,tblWorkPackages[[#This Row],[Completion date serial]]-tblWorkPackages[[#This Row],[Due date serial]])</f>
        <v>0</v>
      </c>
      <c r="AD139" s="65">
        <f>tblWorkPackages[[#This Row],[First labor date]]-tblWorkPackages[[#This Row],[Request date serial]]</f>
        <v>3</v>
      </c>
      <c r="AE139" s="65">
        <f>tblWorkPackages[[#This Row],[Last labor date]]-tblWorkPackages[[#This Row],[First labor date]]</f>
        <v>2</v>
      </c>
      <c r="AF139" s="65">
        <f>tblWorkPackages[[#This Row],[Completion date serial]]-tblWorkPackages[[#This Row],[Last labor date]]</f>
        <v>1</v>
      </c>
      <c r="AG139" s="65">
        <f>tblWorkPackages[[#This Row],[Completion date serial]]-tblWorkPackages[[#This Row],[Request date serial]]</f>
        <v>6</v>
      </c>
      <c r="AH139" s="65">
        <f>IFERROR(INDEX(tblParts[Delay days],MATCH(tblWorkPackages[[#This Row],[Work package ID]],tblParts[Work package ID],0)),0)</f>
        <v>0</v>
      </c>
      <c r="AI139" s="51" t="str">
        <f>IFERROR(INDEX(tblDisruptions[Event type],MATCH(tblWorkPackages[[#This Row],[Work package ID]],tblDisruptions[Work package ID],0)),"None")</f>
        <v>None</v>
      </c>
      <c r="AJ139" s="51" t="str">
        <f>TEXT(tblWorkPackages[[#This Row],[Due date serial]],"yyyy-mm")</f>
        <v>2024-04</v>
      </c>
    </row>
    <row r="140" spans="1:36" ht="15" x14ac:dyDescent="0.25">
      <c r="A140" s="53" t="s">
        <v>610</v>
      </c>
      <c r="B140" s="53" t="s">
        <v>185</v>
      </c>
      <c r="C140" s="53" t="s">
        <v>174</v>
      </c>
      <c r="D140" s="53" t="s">
        <v>175</v>
      </c>
      <c r="E140" s="53" t="s">
        <v>160</v>
      </c>
      <c r="F140" s="53" t="s">
        <v>128</v>
      </c>
      <c r="G140" s="53" t="s">
        <v>138</v>
      </c>
      <c r="H140" s="53">
        <v>2</v>
      </c>
      <c r="I140" s="53" t="s">
        <v>176</v>
      </c>
      <c r="J140" s="53">
        <v>0</v>
      </c>
      <c r="K140" s="53">
        <v>1</v>
      </c>
      <c r="L140" s="53">
        <v>5.0999999999999996</v>
      </c>
      <c r="M140" s="53" t="s">
        <v>611</v>
      </c>
      <c r="N140" s="53">
        <v>5.3</v>
      </c>
      <c r="O140" s="51" t="str">
        <f>TEXT(tblWorkPackages[[#This Row],[Request date serial]]-WEEKDAY(tblWorkPackages[[#This Row],[Request date serial]],3),"yyyy-mm-dd")</f>
        <v>2025-06-23</v>
      </c>
      <c r="P140" s="51">
        <f>ABS(tblWorkPackages[[#This Row],[Actual labor hours]]-tblWorkPackages[[#This Row],[Estimated labor hours]])</f>
        <v>0.2</v>
      </c>
      <c r="Q140" s="51">
        <f>IF(tblWorkPackages[[#This Row],[Actual labor hours]]&gt;tblWorkPackages[[#This Row],[Estimated labor hours]],1,0)</f>
        <v>1</v>
      </c>
      <c r="R140" s="51">
        <f>tblWorkPackages[[#This Row],[Actual labor hours]]-tblWorkPackages[[#This Row],[Estimated labor hours]]</f>
        <v>0.2</v>
      </c>
      <c r="S140" s="51" t="str">
        <f>IF(tblWorkPackages[[#This Row],[Request date serial]]&lt;ValidationStart,"Train 2024",IF(tblWorkPackages[[#This Row],[Request date serial]]&lt;HoldoutStart,"Validation H1","Holdout H2"))</f>
        <v>Validation H1</v>
      </c>
      <c r="T140" s="51">
        <f>IF(tblWorkPackages[[#This Row],[Time split]]="Train 2024","",tblWorkPackages[[#This Row],[Estimated labor hours]]+VLOOKUP(tblWorkPackages[[#This Row],[Task type]],'Forecast validation'!$A$14:$E$25,IF(tblWorkPackages[[#This Row],[Time split]]="Validation H1",4,5),FALSE()))</f>
        <v>5.54146341463415</v>
      </c>
      <c r="U140" s="51">
        <f>IF(tblWorkPackages[[#This Row],[Calibrated forecast hours]]="","",ABS(tblWorkPackages[[#This Row],[Actual labor hours]]-tblWorkPackages[[#This Row],[Calibrated forecast hours]]))</f>
        <v>0.241463414634146</v>
      </c>
      <c r="V140" s="51">
        <f>IF(tblWorkPackages[[#This Row],[Time split]]="Train 2024",tblWorkPackages[[#This Row],[Estimated labor hours]],tblWorkPackages[[#This Row],[Calibrated forecast hours]])</f>
        <v>5.54146341463415</v>
      </c>
      <c r="W140" s="64">
        <f>DATEVALUE(tblWorkPackages[[#This Row],[Request date]])</f>
        <v>45836.0</v>
      </c>
      <c r="X140" s="64">
        <f>DATEVALUE(tblWorkPackages[[#This Row],[Due date]])</f>
        <v>45842.0</v>
      </c>
      <c r="Y140" s="64">
        <f>DATEVALUE(tblWorkPackages[[#This Row],[Completion date]])</f>
        <v>45876.0</v>
      </c>
      <c r="Z140" s="64">
        <f>_xlfn.MINIFS(tblLaborEntries[Work date serial],tblLaborEntries[Work package ID],tblWorkPackages[[#This Row],[Work package ID]])</f>
        <v>45874.0</v>
      </c>
      <c r="AA140" s="64">
        <f>_xlfn.MAXIFS(tblLaborEntries[Work date serial],tblLaborEntries[Work package ID],tblWorkPackages[[#This Row],[Work package ID]])</f>
        <v>45874.0</v>
      </c>
      <c r="AB140" s="65">
        <f>IF(tblWorkPackages[[#This Row],[Completion date serial]]&gt;tblWorkPackages[[#This Row],[Due date serial]],1,0)</f>
        <v>1</v>
      </c>
      <c r="AC140" s="65">
        <f>MAX(0,tblWorkPackages[[#This Row],[Completion date serial]]-tblWorkPackages[[#This Row],[Due date serial]])</f>
        <v>34</v>
      </c>
      <c r="AD140" s="65">
        <f>tblWorkPackages[[#This Row],[First labor date]]-tblWorkPackages[[#This Row],[Request date serial]]</f>
        <v>38</v>
      </c>
      <c r="AE140" s="65">
        <f>tblWorkPackages[[#This Row],[Last labor date]]-tblWorkPackages[[#This Row],[First labor date]]</f>
        <v>0</v>
      </c>
      <c r="AF140" s="65">
        <f>tblWorkPackages[[#This Row],[Completion date serial]]-tblWorkPackages[[#This Row],[Last labor date]]</f>
        <v>2</v>
      </c>
      <c r="AG140" s="65">
        <f>tblWorkPackages[[#This Row],[Completion date serial]]-tblWorkPackages[[#This Row],[Request date serial]]</f>
        <v>40</v>
      </c>
      <c r="AH140" s="65">
        <f>IFERROR(INDEX(tblParts[Delay days],MATCH(tblWorkPackages[[#This Row],[Work package ID]],tblParts[Work package ID],0)),0)</f>
        <v>8</v>
      </c>
      <c r="AI140" s="51" t="str">
        <f>IFERROR(INDEX(tblDisruptions[Event type],MATCH(tblWorkPackages[[#This Row],[Work package ID]],tblDisruptions[Work package ID],0)),"None")</f>
        <v>Part delay</v>
      </c>
      <c r="AJ140" s="51" t="str">
        <f>TEXT(tblWorkPackages[[#This Row],[Due date serial]],"yyyy-mm")</f>
        <v>2025-07</v>
      </c>
    </row>
    <row r="141" spans="1:36" ht="15" x14ac:dyDescent="0.25">
      <c r="A141" s="53" t="s">
        <v>612</v>
      </c>
      <c r="B141" s="53" t="s">
        <v>141</v>
      </c>
      <c r="C141" s="53" t="s">
        <v>613</v>
      </c>
      <c r="D141" s="53" t="s">
        <v>437</v>
      </c>
      <c r="E141" s="53" t="s">
        <v>136</v>
      </c>
      <c r="F141" s="53" t="s">
        <v>137</v>
      </c>
      <c r="G141" s="53" t="s">
        <v>138</v>
      </c>
      <c r="H141" s="53">
        <v>3</v>
      </c>
      <c r="I141" s="53" t="s">
        <v>130</v>
      </c>
      <c r="J141" s="53">
        <v>0</v>
      </c>
      <c r="K141" s="53">
        <v>1</v>
      </c>
      <c r="L141" s="53">
        <v>21.3</v>
      </c>
      <c r="M141" s="53" t="s">
        <v>321</v>
      </c>
      <c r="N141" s="53">
        <v>18.7</v>
      </c>
      <c r="O141" s="51" t="str">
        <f>TEXT(tblWorkPackages[[#This Row],[Request date serial]]-WEEKDAY(tblWorkPackages[[#This Row],[Request date serial]],3),"yyyy-mm-dd")</f>
        <v>2024-03-25</v>
      </c>
      <c r="P141" s="51">
        <f>ABS(tblWorkPackages[[#This Row],[Actual labor hours]]-tblWorkPackages[[#This Row],[Estimated labor hours]])</f>
        <v>2.6</v>
      </c>
      <c r="Q141" s="51">
        <f>IF(tblWorkPackages[[#This Row],[Actual labor hours]]&gt;tblWorkPackages[[#This Row],[Estimated labor hours]],1,0)</f>
        <v>0</v>
      </c>
      <c r="R141" s="51">
        <f>tblWorkPackages[[#This Row],[Actual labor hours]]-tblWorkPackages[[#This Row],[Estimated labor hours]]</f>
        <v>-2.6</v>
      </c>
      <c r="S141" s="51" t="str">
        <f>IF(tblWorkPackages[[#This Row],[Request date serial]]&lt;ValidationStart,"Train 2024",IF(tblWorkPackages[[#This Row],[Request date serial]]&lt;HoldoutStart,"Validation H1","Holdout H2"))</f>
        <v>Train 2024</v>
      </c>
      <c r="T141" s="51" t="str">
        <f>IF(tblWorkPackages[[#This Row],[Time split]]="Train 2024","",tblWorkPackages[[#This Row],[Estimated labor hours]]+VLOOKUP(tblWorkPackages[[#This Row],[Task type]],'Forecast validation'!$A$14:$E$25,IF(tblWorkPackages[[#This Row],[Time split]]="Validation H1",4,5),FALSE()))</f>
        <v/>
      </c>
      <c r="U141" s="51" t="str">
        <f>IF(tblWorkPackages[[#This Row],[Calibrated forecast hours]]="","",ABS(tblWorkPackages[[#This Row],[Actual labor hours]]-tblWorkPackages[[#This Row],[Calibrated forecast hours]]))</f>
        <v/>
      </c>
      <c r="V141" s="51">
        <f>IF(tblWorkPackages[[#This Row],[Time split]]="Train 2024",tblWorkPackages[[#This Row],[Estimated labor hours]],tblWorkPackages[[#This Row],[Calibrated forecast hours]])</f>
        <v>21.3</v>
      </c>
      <c r="W141" s="64">
        <f>DATEVALUE(tblWorkPackages[[#This Row],[Request date]])</f>
        <v>45380.0</v>
      </c>
      <c r="X141" s="64">
        <f>DATEVALUE(tblWorkPackages[[#This Row],[Due date]])</f>
        <v>45393.0</v>
      </c>
      <c r="Y141" s="64">
        <f>DATEVALUE(tblWorkPackages[[#This Row],[Completion date]])</f>
        <v>45388.0</v>
      </c>
      <c r="Z141" s="64">
        <f>_xlfn.MINIFS(tblLaborEntries[Work date serial],tblLaborEntries[Work package ID],tblWorkPackages[[#This Row],[Work package ID]])</f>
        <v>45385.0</v>
      </c>
      <c r="AA141" s="64">
        <f>_xlfn.MAXIFS(tblLaborEntries[Work date serial],tblLaborEntries[Work package ID],tblWorkPackages[[#This Row],[Work package ID]])</f>
        <v>45385.0</v>
      </c>
      <c r="AB141" s="65">
        <f>IF(tblWorkPackages[[#This Row],[Completion date serial]]&gt;tblWorkPackages[[#This Row],[Due date serial]],1,0)</f>
        <v>0</v>
      </c>
      <c r="AC141" s="65">
        <f>MAX(0,tblWorkPackages[[#This Row],[Completion date serial]]-tblWorkPackages[[#This Row],[Due date serial]])</f>
        <v>0</v>
      </c>
      <c r="AD141" s="65">
        <f>tblWorkPackages[[#This Row],[First labor date]]-tblWorkPackages[[#This Row],[Request date serial]]</f>
        <v>5</v>
      </c>
      <c r="AE141" s="65">
        <f>tblWorkPackages[[#This Row],[Last labor date]]-tblWorkPackages[[#This Row],[First labor date]]</f>
        <v>0</v>
      </c>
      <c r="AF141" s="65">
        <f>tblWorkPackages[[#This Row],[Completion date serial]]-tblWorkPackages[[#This Row],[Last labor date]]</f>
        <v>3</v>
      </c>
      <c r="AG141" s="65">
        <f>tblWorkPackages[[#This Row],[Completion date serial]]-tblWorkPackages[[#This Row],[Request date serial]]</f>
        <v>8</v>
      </c>
      <c r="AH141" s="65">
        <f>IFERROR(INDEX(tblParts[Delay days],MATCH(tblWorkPackages[[#This Row],[Work package ID]],tblParts[Work package ID],0)),0)</f>
        <v>0</v>
      </c>
      <c r="AI141" s="51" t="str">
        <f>IFERROR(INDEX(tblDisruptions[Event type],MATCH(tblWorkPackages[[#This Row],[Work package ID]],tblDisruptions[Work package ID],0)),"None")</f>
        <v>None</v>
      </c>
      <c r="AJ141" s="51" t="str">
        <f>TEXT(tblWorkPackages[[#This Row],[Due date serial]],"yyyy-mm")</f>
        <v>2024-04</v>
      </c>
    </row>
    <row r="142" spans="1:36" ht="15" x14ac:dyDescent="0.25">
      <c r="A142" s="53" t="s">
        <v>614</v>
      </c>
      <c r="B142" s="53" t="s">
        <v>150</v>
      </c>
      <c r="C142" s="53" t="s">
        <v>615</v>
      </c>
      <c r="D142" s="53" t="s">
        <v>616</v>
      </c>
      <c r="E142" s="53" t="s">
        <v>209</v>
      </c>
      <c r="F142" s="53" t="s">
        <v>145</v>
      </c>
      <c r="G142" s="53" t="s">
        <v>210</v>
      </c>
      <c r="H142" s="53">
        <v>3</v>
      </c>
      <c r="I142" s="53" t="s">
        <v>130</v>
      </c>
      <c r="J142" s="53">
        <v>0</v>
      </c>
      <c r="K142" s="53">
        <v>0</v>
      </c>
      <c r="L142" s="53">
        <v>30.1</v>
      </c>
      <c r="M142" s="53" t="s">
        <v>454</v>
      </c>
      <c r="N142" s="53">
        <v>25.4</v>
      </c>
      <c r="O142" s="51" t="str">
        <f>TEXT(tblWorkPackages[[#This Row],[Request date serial]]-WEEKDAY(tblWorkPackages[[#This Row],[Request date serial]],3),"yyyy-mm-dd")</f>
        <v>2024-01-22</v>
      </c>
      <c r="P142" s="51">
        <f>ABS(tblWorkPackages[[#This Row],[Actual labor hours]]-tblWorkPackages[[#This Row],[Estimated labor hours]])</f>
        <v>4.7</v>
      </c>
      <c r="Q142" s="51">
        <f>IF(tblWorkPackages[[#This Row],[Actual labor hours]]&gt;tblWorkPackages[[#This Row],[Estimated labor hours]],1,0)</f>
        <v>0</v>
      </c>
      <c r="R142" s="51">
        <f>tblWorkPackages[[#This Row],[Actual labor hours]]-tblWorkPackages[[#This Row],[Estimated labor hours]]</f>
        <v>-4.7</v>
      </c>
      <c r="S142" s="51" t="str">
        <f>IF(tblWorkPackages[[#This Row],[Request date serial]]&lt;ValidationStart,"Train 2024",IF(tblWorkPackages[[#This Row],[Request date serial]]&lt;HoldoutStart,"Validation H1","Holdout H2"))</f>
        <v>Train 2024</v>
      </c>
      <c r="T142" s="51" t="str">
        <f>IF(tblWorkPackages[[#This Row],[Time split]]="Train 2024","",tblWorkPackages[[#This Row],[Estimated labor hours]]+VLOOKUP(tblWorkPackages[[#This Row],[Task type]],'Forecast validation'!$A$14:$E$25,IF(tblWorkPackages[[#This Row],[Time split]]="Validation H1",4,5),FALSE()))</f>
        <v/>
      </c>
      <c r="U142" s="51" t="str">
        <f>IF(tblWorkPackages[[#This Row],[Calibrated forecast hours]]="","",ABS(tblWorkPackages[[#This Row],[Actual labor hours]]-tblWorkPackages[[#This Row],[Calibrated forecast hours]]))</f>
        <v/>
      </c>
      <c r="V142" s="51">
        <f>IF(tblWorkPackages[[#This Row],[Time split]]="Train 2024",tblWorkPackages[[#This Row],[Estimated labor hours]],tblWorkPackages[[#This Row],[Calibrated forecast hours]])</f>
        <v>30.1</v>
      </c>
      <c r="W142" s="64">
        <f>DATEVALUE(tblWorkPackages[[#This Row],[Request date]])</f>
        <v>45316.0</v>
      </c>
      <c r="X142" s="64">
        <f>DATEVALUE(tblWorkPackages[[#This Row],[Due date]])</f>
        <v>45329.0</v>
      </c>
      <c r="Y142" s="64">
        <f>DATEVALUE(tblWorkPackages[[#This Row],[Completion date]])</f>
        <v>45318.0</v>
      </c>
      <c r="Z142" s="64">
        <f>_xlfn.MINIFS(tblLaborEntries[Work date serial],tblLaborEntries[Work package ID],tblWorkPackages[[#This Row],[Work package ID]])</f>
        <v>45318.0</v>
      </c>
      <c r="AA142" s="64">
        <f>_xlfn.MAXIFS(tblLaborEntries[Work date serial],tblLaborEntries[Work package ID],tblWorkPackages[[#This Row],[Work package ID]])</f>
        <v>45318.0</v>
      </c>
      <c r="AB142" s="65">
        <f>IF(tblWorkPackages[[#This Row],[Completion date serial]]&gt;tblWorkPackages[[#This Row],[Due date serial]],1,0)</f>
        <v>0</v>
      </c>
      <c r="AC142" s="65">
        <f>MAX(0,tblWorkPackages[[#This Row],[Completion date serial]]-tblWorkPackages[[#This Row],[Due date serial]])</f>
        <v>0</v>
      </c>
      <c r="AD142" s="65">
        <f>tblWorkPackages[[#This Row],[First labor date]]-tblWorkPackages[[#This Row],[Request date serial]]</f>
        <v>2</v>
      </c>
      <c r="AE142" s="65">
        <f>tblWorkPackages[[#This Row],[Last labor date]]-tblWorkPackages[[#This Row],[First labor date]]</f>
        <v>0</v>
      </c>
      <c r="AF142" s="65">
        <f>tblWorkPackages[[#This Row],[Completion date serial]]-tblWorkPackages[[#This Row],[Last labor date]]</f>
        <v>0</v>
      </c>
      <c r="AG142" s="65">
        <f>tblWorkPackages[[#This Row],[Completion date serial]]-tblWorkPackages[[#This Row],[Request date serial]]</f>
        <v>2</v>
      </c>
      <c r="AH142" s="65">
        <f>IFERROR(INDEX(tblParts[Delay days],MATCH(tblWorkPackages[[#This Row],[Work package ID]],tblParts[Work package ID],0)),0)</f>
        <v>0</v>
      </c>
      <c r="AI142" s="51" t="str">
        <f>IFERROR(INDEX(tblDisruptions[Event type],MATCH(tblWorkPackages[[#This Row],[Work package ID]],tblDisruptions[Work package ID],0)),"None")</f>
        <v>None</v>
      </c>
      <c r="AJ142" s="51" t="str">
        <f>TEXT(tblWorkPackages[[#This Row],[Due date serial]],"yyyy-mm")</f>
        <v>2024-02</v>
      </c>
    </row>
    <row r="143" spans="1:36" ht="15" x14ac:dyDescent="0.25">
      <c r="A143" s="53" t="s">
        <v>617</v>
      </c>
      <c r="B143" s="53" t="s">
        <v>157</v>
      </c>
      <c r="C143" s="53" t="s">
        <v>364</v>
      </c>
      <c r="D143" s="53" t="s">
        <v>597</v>
      </c>
      <c r="E143" s="53" t="s">
        <v>237</v>
      </c>
      <c r="F143" s="53" t="s">
        <v>182</v>
      </c>
      <c r="G143" s="53" t="s">
        <v>138</v>
      </c>
      <c r="H143" s="53">
        <v>3</v>
      </c>
      <c r="I143" s="53" t="s">
        <v>130</v>
      </c>
      <c r="J143" s="53">
        <v>0</v>
      </c>
      <c r="K143" s="53">
        <v>1</v>
      </c>
      <c r="L143" s="53">
        <v>7.3</v>
      </c>
      <c r="M143" s="53" t="s">
        <v>618</v>
      </c>
      <c r="N143" s="53">
        <v>8.3000000000000007</v>
      </c>
      <c r="O143" s="51" t="str">
        <f>TEXT(tblWorkPackages[[#This Row],[Request date serial]]-WEEKDAY(tblWorkPackages[[#This Row],[Request date serial]],3),"yyyy-mm-dd")</f>
        <v>2025-05-12</v>
      </c>
      <c r="P143" s="51">
        <f>ABS(tblWorkPackages[[#This Row],[Actual labor hours]]-tblWorkPackages[[#This Row],[Estimated labor hours]])</f>
        <v>1</v>
      </c>
      <c r="Q143" s="51">
        <f>IF(tblWorkPackages[[#This Row],[Actual labor hours]]&gt;tblWorkPackages[[#This Row],[Estimated labor hours]],1,0)</f>
        <v>1</v>
      </c>
      <c r="R143" s="51">
        <f>tblWorkPackages[[#This Row],[Actual labor hours]]-tblWorkPackages[[#This Row],[Estimated labor hours]]</f>
        <v>1</v>
      </c>
      <c r="S143" s="51" t="str">
        <f>IF(tblWorkPackages[[#This Row],[Request date serial]]&lt;ValidationStart,"Train 2024",IF(tblWorkPackages[[#This Row],[Request date serial]]&lt;HoldoutStart,"Validation H1","Holdout H2"))</f>
        <v>Validation H1</v>
      </c>
      <c r="T143" s="51">
        <f>IF(tblWorkPackages[[#This Row],[Time split]]="Train 2024","",tblWorkPackages[[#This Row],[Estimated labor hours]]+VLOOKUP(tblWorkPackages[[#This Row],[Task type]],'Forecast validation'!$A$14:$E$25,IF(tblWorkPackages[[#This Row],[Time split]]="Validation H1",4,5),FALSE()))</f>
        <v>7.8037037037037</v>
      </c>
      <c r="U143" s="51">
        <f>IF(tblWorkPackages[[#This Row],[Calibrated forecast hours]]="","",ABS(tblWorkPackages[[#This Row],[Actual labor hours]]-tblWorkPackages[[#This Row],[Calibrated forecast hours]]))</f>
        <v>0.496296296296297</v>
      </c>
      <c r="V143" s="51">
        <f>IF(tblWorkPackages[[#This Row],[Time split]]="Train 2024",tblWorkPackages[[#This Row],[Estimated labor hours]],tblWorkPackages[[#This Row],[Calibrated forecast hours]])</f>
        <v>7.8037037037037</v>
      </c>
      <c r="W143" s="64">
        <f>DATEVALUE(tblWorkPackages[[#This Row],[Request date]])</f>
        <v>45790.0</v>
      </c>
      <c r="X143" s="64">
        <f>DATEVALUE(tblWorkPackages[[#This Row],[Due date]])</f>
        <v>45803.0</v>
      </c>
      <c r="Y143" s="64">
        <f>DATEVALUE(tblWorkPackages[[#This Row],[Completion date]])</f>
        <v>45806.0</v>
      </c>
      <c r="Z143" s="64">
        <f>_xlfn.MINIFS(tblLaborEntries[Work date serial],tblLaborEntries[Work package ID],tblWorkPackages[[#This Row],[Work package ID]])</f>
        <v>45804.0</v>
      </c>
      <c r="AA143" s="64">
        <f>_xlfn.MAXIFS(tblLaborEntries[Work date serial],tblLaborEntries[Work package ID],tblWorkPackages[[#This Row],[Work package ID]])</f>
        <v>45805.0</v>
      </c>
      <c r="AB143" s="65">
        <f>IF(tblWorkPackages[[#This Row],[Completion date serial]]&gt;tblWorkPackages[[#This Row],[Due date serial]],1,0)</f>
        <v>1</v>
      </c>
      <c r="AC143" s="65">
        <f>MAX(0,tblWorkPackages[[#This Row],[Completion date serial]]-tblWorkPackages[[#This Row],[Due date serial]])</f>
        <v>3</v>
      </c>
      <c r="AD143" s="65">
        <f>tblWorkPackages[[#This Row],[First labor date]]-tblWorkPackages[[#This Row],[Request date serial]]</f>
        <v>14</v>
      </c>
      <c r="AE143" s="65">
        <f>tblWorkPackages[[#This Row],[Last labor date]]-tblWorkPackages[[#This Row],[First labor date]]</f>
        <v>1</v>
      </c>
      <c r="AF143" s="65">
        <f>tblWorkPackages[[#This Row],[Completion date serial]]-tblWorkPackages[[#This Row],[Last labor date]]</f>
        <v>1</v>
      </c>
      <c r="AG143" s="65">
        <f>tblWorkPackages[[#This Row],[Completion date serial]]-tblWorkPackages[[#This Row],[Request date serial]]</f>
        <v>16</v>
      </c>
      <c r="AH143" s="65">
        <f>IFERROR(INDEX(tblParts[Delay days],MATCH(tblWorkPackages[[#This Row],[Work package ID]],tblParts[Work package ID],0)),0)</f>
        <v>0</v>
      </c>
      <c r="AI143" s="51" t="str">
        <f>IFERROR(INDEX(tblDisruptions[Event type],MATCH(tblWorkPackages[[#This Row],[Work package ID]],tblDisruptions[Work package ID],0)),"None")</f>
        <v>None</v>
      </c>
      <c r="AJ143" s="51" t="str">
        <f>TEXT(tblWorkPackages[[#This Row],[Due date serial]],"yyyy-mm")</f>
        <v>2025-05</v>
      </c>
    </row>
    <row r="144" spans="1:36" ht="15" x14ac:dyDescent="0.25">
      <c r="A144" s="53" t="s">
        <v>619</v>
      </c>
      <c r="B144" s="53" t="s">
        <v>185</v>
      </c>
      <c r="C144" s="53" t="s">
        <v>620</v>
      </c>
      <c r="D144" s="53" t="s">
        <v>621</v>
      </c>
      <c r="E144" s="53" t="s">
        <v>127</v>
      </c>
      <c r="F144" s="53" t="s">
        <v>128</v>
      </c>
      <c r="G144" s="53" t="s">
        <v>129</v>
      </c>
      <c r="H144" s="53">
        <v>3</v>
      </c>
      <c r="I144" s="53" t="s">
        <v>176</v>
      </c>
      <c r="J144" s="53">
        <v>1</v>
      </c>
      <c r="K144" s="53">
        <v>0</v>
      </c>
      <c r="L144" s="53">
        <v>10.3</v>
      </c>
      <c r="M144" s="53" t="s">
        <v>621</v>
      </c>
      <c r="N144" s="53">
        <v>18.5</v>
      </c>
      <c r="O144" s="51" t="str">
        <f>TEXT(tblWorkPackages[[#This Row],[Request date serial]]-WEEKDAY(tblWorkPackages[[#This Row],[Request date serial]],3),"yyyy-mm-dd")</f>
        <v>2024-07-15</v>
      </c>
      <c r="P144" s="51">
        <f>ABS(tblWorkPackages[[#This Row],[Actual labor hours]]-tblWorkPackages[[#This Row],[Estimated labor hours]])</f>
        <v>8.2</v>
      </c>
      <c r="Q144" s="51">
        <f>IF(tblWorkPackages[[#This Row],[Actual labor hours]]&gt;tblWorkPackages[[#This Row],[Estimated labor hours]],1,0)</f>
        <v>1</v>
      </c>
      <c r="R144" s="51">
        <f>tblWorkPackages[[#This Row],[Actual labor hours]]-tblWorkPackages[[#This Row],[Estimated labor hours]]</f>
        <v>8.2</v>
      </c>
      <c r="S144" s="51" t="str">
        <f>IF(tblWorkPackages[[#This Row],[Request date serial]]&lt;ValidationStart,"Train 2024",IF(tblWorkPackages[[#This Row],[Request date serial]]&lt;HoldoutStart,"Validation H1","Holdout H2"))</f>
        <v>Train 2024</v>
      </c>
      <c r="T144" s="51" t="str">
        <f>IF(tblWorkPackages[[#This Row],[Time split]]="Train 2024","",tblWorkPackages[[#This Row],[Estimated labor hours]]+VLOOKUP(tblWorkPackages[[#This Row],[Task type]],'Forecast validation'!$A$14:$E$25,IF(tblWorkPackages[[#This Row],[Time split]]="Validation H1",4,5),FALSE()))</f>
        <v/>
      </c>
      <c r="U144" s="51" t="str">
        <f>IF(tblWorkPackages[[#This Row],[Calibrated forecast hours]]="","",ABS(tblWorkPackages[[#This Row],[Actual labor hours]]-tblWorkPackages[[#This Row],[Calibrated forecast hours]]))</f>
        <v/>
      </c>
      <c r="V144" s="51">
        <f>IF(tblWorkPackages[[#This Row],[Time split]]="Train 2024",tblWorkPackages[[#This Row],[Estimated labor hours]],tblWorkPackages[[#This Row],[Calibrated forecast hours]])</f>
        <v>10.3</v>
      </c>
      <c r="W144" s="64">
        <f>DATEVALUE(tblWorkPackages[[#This Row],[Request date]])</f>
        <v>45490.0</v>
      </c>
      <c r="X144" s="64">
        <f>DATEVALUE(tblWorkPackages[[#This Row],[Due date]])</f>
        <v>45496.0</v>
      </c>
      <c r="Y144" s="64">
        <f>DATEVALUE(tblWorkPackages[[#This Row],[Completion date]])</f>
        <v>45496.0</v>
      </c>
      <c r="Z144" s="64">
        <f>_xlfn.MINIFS(tblLaborEntries[Work date serial],tblLaborEntries[Work package ID],tblWorkPackages[[#This Row],[Work package ID]])</f>
        <v>45494.0</v>
      </c>
      <c r="AA144" s="64">
        <f>_xlfn.MAXIFS(tblLaborEntries[Work date serial],tblLaborEntries[Work package ID],tblWorkPackages[[#This Row],[Work package ID]])</f>
        <v>45494.0</v>
      </c>
      <c r="AB144" s="65">
        <f>IF(tblWorkPackages[[#This Row],[Completion date serial]]&gt;tblWorkPackages[[#This Row],[Due date serial]],1,0)</f>
        <v>0</v>
      </c>
      <c r="AC144" s="65">
        <f>MAX(0,tblWorkPackages[[#This Row],[Completion date serial]]-tblWorkPackages[[#This Row],[Due date serial]])</f>
        <v>0</v>
      </c>
      <c r="AD144" s="65">
        <f>tblWorkPackages[[#This Row],[First labor date]]-tblWorkPackages[[#This Row],[Request date serial]]</f>
        <v>4</v>
      </c>
      <c r="AE144" s="65">
        <f>tblWorkPackages[[#This Row],[Last labor date]]-tblWorkPackages[[#This Row],[First labor date]]</f>
        <v>0</v>
      </c>
      <c r="AF144" s="65">
        <f>tblWorkPackages[[#This Row],[Completion date serial]]-tblWorkPackages[[#This Row],[Last labor date]]</f>
        <v>2</v>
      </c>
      <c r="AG144" s="65">
        <f>tblWorkPackages[[#This Row],[Completion date serial]]-tblWorkPackages[[#This Row],[Request date serial]]</f>
        <v>6</v>
      </c>
      <c r="AH144" s="65">
        <f>IFERROR(INDEX(tblParts[Delay days],MATCH(tblWorkPackages[[#This Row],[Work package ID]],tblParts[Work package ID],0)),0)</f>
        <v>0</v>
      </c>
      <c r="AI144" s="51" t="str">
        <f>IFERROR(INDEX(tblDisruptions[Event type],MATCH(tblWorkPackages[[#This Row],[Work package ID]],tblDisruptions[Work package ID],0)),"None")</f>
        <v>Technician absence</v>
      </c>
      <c r="AJ144" s="51" t="str">
        <f>TEXT(tblWorkPackages[[#This Row],[Due date serial]],"yyyy-mm")</f>
        <v>2024-07</v>
      </c>
    </row>
    <row r="145" spans="1:36" ht="15" x14ac:dyDescent="0.25">
      <c r="A145" s="53" t="s">
        <v>622</v>
      </c>
      <c r="B145" s="53" t="s">
        <v>163</v>
      </c>
      <c r="C145" s="53" t="s">
        <v>125</v>
      </c>
      <c r="D145" s="53" t="s">
        <v>126</v>
      </c>
      <c r="E145" s="53" t="s">
        <v>242</v>
      </c>
      <c r="F145" s="53" t="s">
        <v>243</v>
      </c>
      <c r="G145" s="53" t="s">
        <v>129</v>
      </c>
      <c r="H145" s="53">
        <v>4</v>
      </c>
      <c r="I145" s="53" t="s">
        <v>130</v>
      </c>
      <c r="J145" s="53">
        <v>0</v>
      </c>
      <c r="K145" s="53">
        <v>0</v>
      </c>
      <c r="L145" s="53">
        <v>16.7</v>
      </c>
      <c r="M145" s="53" t="s">
        <v>323</v>
      </c>
      <c r="N145" s="53">
        <v>16.899999999999999</v>
      </c>
      <c r="O145" s="51" t="str">
        <f>TEXT(tblWorkPackages[[#This Row],[Request date serial]]-WEEKDAY(tblWorkPackages[[#This Row],[Request date serial]],3),"yyyy-mm-dd")</f>
        <v>2025-04-28</v>
      </c>
      <c r="P145" s="51">
        <f>ABS(tblWorkPackages[[#This Row],[Actual labor hours]]-tblWorkPackages[[#This Row],[Estimated labor hours]])</f>
        <v>0.199999999999999</v>
      </c>
      <c r="Q145" s="51">
        <f>IF(tblWorkPackages[[#This Row],[Actual labor hours]]&gt;tblWorkPackages[[#This Row],[Estimated labor hours]],1,0)</f>
        <v>1</v>
      </c>
      <c r="R145" s="51">
        <f>tblWorkPackages[[#This Row],[Actual labor hours]]-tblWorkPackages[[#This Row],[Estimated labor hours]]</f>
        <v>0.199999999999999</v>
      </c>
      <c r="S145" s="51" t="str">
        <f>IF(tblWorkPackages[[#This Row],[Request date serial]]&lt;ValidationStart,"Train 2024",IF(tblWorkPackages[[#This Row],[Request date serial]]&lt;HoldoutStart,"Validation H1","Holdout H2"))</f>
        <v>Validation H1</v>
      </c>
      <c r="T145" s="51">
        <f>IF(tblWorkPackages[[#This Row],[Time split]]="Train 2024","",tblWorkPackages[[#This Row],[Estimated labor hours]]+VLOOKUP(tblWorkPackages[[#This Row],[Task type]],'Forecast validation'!$A$14:$E$25,IF(tblWorkPackages[[#This Row],[Time split]]="Validation H1",4,5),FALSE()))</f>
        <v>17.2561224489796</v>
      </c>
      <c r="U145" s="51">
        <f>IF(tblWorkPackages[[#This Row],[Calibrated forecast hours]]="","",ABS(tblWorkPackages[[#This Row],[Actual labor hours]]-tblWorkPackages[[#This Row],[Calibrated forecast hours]]))</f>
        <v>0.356122448979594</v>
      </c>
      <c r="V145" s="51">
        <f>IF(tblWorkPackages[[#This Row],[Time split]]="Train 2024",tblWorkPackages[[#This Row],[Estimated labor hours]],tblWorkPackages[[#This Row],[Calibrated forecast hours]])</f>
        <v>17.2561224489796</v>
      </c>
      <c r="W145" s="64">
        <f>DATEVALUE(tblWorkPackages[[#This Row],[Request date]])</f>
        <v>45780.0</v>
      </c>
      <c r="X145" s="64">
        <f>DATEVALUE(tblWorkPackages[[#This Row],[Due date]])</f>
        <v>45793.0</v>
      </c>
      <c r="Y145" s="64">
        <f>DATEVALUE(tblWorkPackages[[#This Row],[Completion date]])</f>
        <v>45845.0</v>
      </c>
      <c r="Z145" s="64">
        <f>_xlfn.MINIFS(tblLaborEntries[Work date serial],tblLaborEntries[Work package ID],tblWorkPackages[[#This Row],[Work package ID]])</f>
        <v>45840.0</v>
      </c>
      <c r="AA145" s="64">
        <f>_xlfn.MAXIFS(tblLaborEntries[Work date serial],tblLaborEntries[Work package ID],tblWorkPackages[[#This Row],[Work package ID]])</f>
        <v>45842.0</v>
      </c>
      <c r="AB145" s="65">
        <f>IF(tblWorkPackages[[#This Row],[Completion date serial]]&gt;tblWorkPackages[[#This Row],[Due date serial]],1,0)</f>
        <v>1</v>
      </c>
      <c r="AC145" s="65">
        <f>MAX(0,tblWorkPackages[[#This Row],[Completion date serial]]-tblWorkPackages[[#This Row],[Due date serial]])</f>
        <v>52</v>
      </c>
      <c r="AD145" s="65">
        <f>tblWorkPackages[[#This Row],[First labor date]]-tblWorkPackages[[#This Row],[Request date serial]]</f>
        <v>60</v>
      </c>
      <c r="AE145" s="65">
        <f>tblWorkPackages[[#This Row],[Last labor date]]-tblWorkPackages[[#This Row],[First labor date]]</f>
        <v>2</v>
      </c>
      <c r="AF145" s="65">
        <f>tblWorkPackages[[#This Row],[Completion date serial]]-tblWorkPackages[[#This Row],[Last labor date]]</f>
        <v>3</v>
      </c>
      <c r="AG145" s="65">
        <f>tblWorkPackages[[#This Row],[Completion date serial]]-tblWorkPackages[[#This Row],[Request date serial]]</f>
        <v>65</v>
      </c>
      <c r="AH145" s="65">
        <f>IFERROR(INDEX(tblParts[Delay days],MATCH(tblWorkPackages[[#This Row],[Work package ID]],tblParts[Work package ID],0)),0)</f>
        <v>0</v>
      </c>
      <c r="AI145" s="51" t="str">
        <f>IFERROR(INDEX(tblDisruptions[Event type],MATCH(tblWorkPackages[[#This Row],[Work package ID]],tblDisruptions[Work package ID],0)),"None")</f>
        <v>None</v>
      </c>
      <c r="AJ145" s="51" t="str">
        <f>TEXT(tblWorkPackages[[#This Row],[Due date serial]],"yyyy-mm")</f>
        <v>2025-05</v>
      </c>
    </row>
    <row r="146" spans="1:36" ht="15" x14ac:dyDescent="0.25">
      <c r="A146" s="53" t="s">
        <v>623</v>
      </c>
      <c r="B146" s="53" t="s">
        <v>150</v>
      </c>
      <c r="C146" s="53" t="s">
        <v>285</v>
      </c>
      <c r="D146" s="53" t="s">
        <v>624</v>
      </c>
      <c r="E146" s="53" t="s">
        <v>144</v>
      </c>
      <c r="F146" s="53" t="s">
        <v>145</v>
      </c>
      <c r="G146" s="53" t="s">
        <v>146</v>
      </c>
      <c r="H146" s="53">
        <v>2</v>
      </c>
      <c r="I146" s="53" t="s">
        <v>176</v>
      </c>
      <c r="J146" s="53">
        <v>0</v>
      </c>
      <c r="K146" s="53">
        <v>1</v>
      </c>
      <c r="L146" s="53">
        <v>9.9</v>
      </c>
      <c r="M146" s="53" t="s">
        <v>625</v>
      </c>
      <c r="N146" s="53">
        <v>8.8000000000000007</v>
      </c>
      <c r="O146" s="51" t="str">
        <f>TEXT(tblWorkPackages[[#This Row],[Request date serial]]-WEEKDAY(tblWorkPackages[[#This Row],[Request date serial]],3),"yyyy-mm-dd")</f>
        <v>2025-09-15</v>
      </c>
      <c r="P146" s="51">
        <f>ABS(tblWorkPackages[[#This Row],[Actual labor hours]]-tblWorkPackages[[#This Row],[Estimated labor hours]])</f>
        <v>1.1</v>
      </c>
      <c r="Q146" s="51">
        <f>IF(tblWorkPackages[[#This Row],[Actual labor hours]]&gt;tblWorkPackages[[#This Row],[Estimated labor hours]],1,0)</f>
        <v>0</v>
      </c>
      <c r="R146" s="51">
        <f>tblWorkPackages[[#This Row],[Actual labor hours]]-tblWorkPackages[[#This Row],[Estimated labor hours]]</f>
        <v>-1.1</v>
      </c>
      <c r="S146" s="51" t="str">
        <f>IF(tblWorkPackages[[#This Row],[Request date serial]]&lt;ValidationStart,"Train 2024",IF(tblWorkPackages[[#This Row],[Request date serial]]&lt;HoldoutStart,"Validation H1","Holdout H2"))</f>
        <v>Holdout H2</v>
      </c>
      <c r="T146" s="51">
        <f>IF(tblWorkPackages[[#This Row],[Time split]]="Train 2024","",tblWorkPackages[[#This Row],[Estimated labor hours]]+VLOOKUP(tblWorkPackages[[#This Row],[Task type]],'Forecast validation'!$A$14:$E$25,IF(tblWorkPackages[[#This Row],[Time split]]="Validation H1",4,5),FALSE()))</f>
        <v>10.8735483870968</v>
      </c>
      <c r="U146" s="51">
        <f>IF(tblWorkPackages[[#This Row],[Calibrated forecast hours]]="","",ABS(tblWorkPackages[[#This Row],[Actual labor hours]]-tblWorkPackages[[#This Row],[Calibrated forecast hours]]))</f>
        <v>2.07354838709678</v>
      </c>
      <c r="V146" s="51">
        <f>IF(tblWorkPackages[[#This Row],[Time split]]="Train 2024",tblWorkPackages[[#This Row],[Estimated labor hours]],tblWorkPackages[[#This Row],[Calibrated forecast hours]])</f>
        <v>10.8735483870968</v>
      </c>
      <c r="W146" s="64">
        <f>DATEVALUE(tblWorkPackages[[#This Row],[Request date]])</f>
        <v>45915.0</v>
      </c>
      <c r="X146" s="64">
        <f>DATEVALUE(tblWorkPackages[[#This Row],[Due date]])</f>
        <v>45921.0</v>
      </c>
      <c r="Y146" s="64">
        <f>DATEVALUE(tblWorkPackages[[#This Row],[Completion date]])</f>
        <v>45924.0</v>
      </c>
      <c r="Z146" s="64">
        <f>_xlfn.MINIFS(tblLaborEntries[Work date serial],tblLaborEntries[Work package ID],tblWorkPackages[[#This Row],[Work package ID]])</f>
        <v>45924.0</v>
      </c>
      <c r="AA146" s="64">
        <f>_xlfn.MAXIFS(tblLaborEntries[Work date serial],tblLaborEntries[Work package ID],tblWorkPackages[[#This Row],[Work package ID]])</f>
        <v>45924.0</v>
      </c>
      <c r="AB146" s="65">
        <f>IF(tblWorkPackages[[#This Row],[Completion date serial]]&gt;tblWorkPackages[[#This Row],[Due date serial]],1,0)</f>
        <v>1</v>
      </c>
      <c r="AC146" s="65">
        <f>MAX(0,tblWorkPackages[[#This Row],[Completion date serial]]-tblWorkPackages[[#This Row],[Due date serial]])</f>
        <v>3</v>
      </c>
      <c r="AD146" s="65">
        <f>tblWorkPackages[[#This Row],[First labor date]]-tblWorkPackages[[#This Row],[Request date serial]]</f>
        <v>9</v>
      </c>
      <c r="AE146" s="65">
        <f>tblWorkPackages[[#This Row],[Last labor date]]-tblWorkPackages[[#This Row],[First labor date]]</f>
        <v>0</v>
      </c>
      <c r="AF146" s="65">
        <f>tblWorkPackages[[#This Row],[Completion date serial]]-tblWorkPackages[[#This Row],[Last labor date]]</f>
        <v>0</v>
      </c>
      <c r="AG146" s="65">
        <f>tblWorkPackages[[#This Row],[Completion date serial]]-tblWorkPackages[[#This Row],[Request date serial]]</f>
        <v>9</v>
      </c>
      <c r="AH146" s="65">
        <f>IFERROR(INDEX(tblParts[Delay days],MATCH(tblWorkPackages[[#This Row],[Work package ID]],tblParts[Work package ID],0)),0)</f>
        <v>0</v>
      </c>
      <c r="AI146" s="51" t="str">
        <f>IFERROR(INDEX(tblDisruptions[Event type],MATCH(tblWorkPackages[[#This Row],[Work package ID]],tblDisruptions[Work package ID],0)),"None")</f>
        <v>None</v>
      </c>
      <c r="AJ146" s="51" t="str">
        <f>TEXT(tblWorkPackages[[#This Row],[Due date serial]],"yyyy-mm")</f>
        <v>2025-09</v>
      </c>
    </row>
    <row r="147" spans="1:36" ht="15" x14ac:dyDescent="0.25">
      <c r="A147" s="53" t="s">
        <v>626</v>
      </c>
      <c r="B147" s="53" t="s">
        <v>133</v>
      </c>
      <c r="C147" s="53" t="s">
        <v>627</v>
      </c>
      <c r="D147" s="53" t="s">
        <v>628</v>
      </c>
      <c r="E147" s="53" t="s">
        <v>237</v>
      </c>
      <c r="F147" s="53" t="s">
        <v>182</v>
      </c>
      <c r="G147" s="53" t="s">
        <v>138</v>
      </c>
      <c r="H147" s="53">
        <v>2</v>
      </c>
      <c r="I147" s="53" t="s">
        <v>176</v>
      </c>
      <c r="J147" s="53">
        <v>0</v>
      </c>
      <c r="K147" s="53">
        <v>0</v>
      </c>
      <c r="L147" s="53">
        <v>5</v>
      </c>
      <c r="M147" s="53" t="s">
        <v>501</v>
      </c>
      <c r="N147" s="53">
        <v>4.2</v>
      </c>
      <c r="O147" s="51" t="str">
        <f>TEXT(tblWorkPackages[[#This Row],[Request date serial]]-WEEKDAY(tblWorkPackages[[#This Row],[Request date serial]],3),"yyyy-mm-dd")</f>
        <v>2025-06-30</v>
      </c>
      <c r="P147" s="51">
        <f>ABS(tblWorkPackages[[#This Row],[Actual labor hours]]-tblWorkPackages[[#This Row],[Estimated labor hours]])</f>
        <v>0.8</v>
      </c>
      <c r="Q147" s="51">
        <f>IF(tblWorkPackages[[#This Row],[Actual labor hours]]&gt;tblWorkPackages[[#This Row],[Estimated labor hours]],1,0)</f>
        <v>0</v>
      </c>
      <c r="R147" s="51">
        <f>tblWorkPackages[[#This Row],[Actual labor hours]]-tblWorkPackages[[#This Row],[Estimated labor hours]]</f>
        <v>-0.8</v>
      </c>
      <c r="S147" s="51" t="str">
        <f>IF(tblWorkPackages[[#This Row],[Request date serial]]&lt;ValidationStart,"Train 2024",IF(tblWorkPackages[[#This Row],[Request date serial]]&lt;HoldoutStart,"Validation H1","Holdout H2"))</f>
        <v>Holdout H2</v>
      </c>
      <c r="T147" s="51">
        <f>IF(tblWorkPackages[[#This Row],[Time split]]="Train 2024","",tblWorkPackages[[#This Row],[Estimated labor hours]]+VLOOKUP(tblWorkPackages[[#This Row],[Task type]],'Forecast validation'!$A$14:$E$25,IF(tblWorkPackages[[#This Row],[Time split]]="Validation H1",4,5),FALSE()))</f>
        <v>5.453125</v>
      </c>
      <c r="U147" s="51">
        <f>IF(tblWorkPackages[[#This Row],[Calibrated forecast hours]]="","",ABS(tblWorkPackages[[#This Row],[Actual labor hours]]-tblWorkPackages[[#This Row],[Calibrated forecast hours]]))</f>
        <v>1.253125</v>
      </c>
      <c r="V147" s="51">
        <f>IF(tblWorkPackages[[#This Row],[Time split]]="Train 2024",tblWorkPackages[[#This Row],[Estimated labor hours]],tblWorkPackages[[#This Row],[Calibrated forecast hours]])</f>
        <v>5.453125</v>
      </c>
      <c r="W147" s="64">
        <f>DATEVALUE(tblWorkPackages[[#This Row],[Request date]])</f>
        <v>45843.0</v>
      </c>
      <c r="X147" s="64">
        <f>DATEVALUE(tblWorkPackages[[#This Row],[Due date]])</f>
        <v>45849.0</v>
      </c>
      <c r="Y147" s="64">
        <f>DATEVALUE(tblWorkPackages[[#This Row],[Completion date]])</f>
        <v>45848.0</v>
      </c>
      <c r="Z147" s="64">
        <f>_xlfn.MINIFS(tblLaborEntries[Work date serial],tblLaborEntries[Work package ID],tblWorkPackages[[#This Row],[Work package ID]])</f>
        <v>45845.0</v>
      </c>
      <c r="AA147" s="64">
        <f>_xlfn.MAXIFS(tblLaborEntries[Work date serial],tblLaborEntries[Work package ID],tblWorkPackages[[#This Row],[Work package ID]])</f>
        <v>45847.0</v>
      </c>
      <c r="AB147" s="65">
        <f>IF(tblWorkPackages[[#This Row],[Completion date serial]]&gt;tblWorkPackages[[#This Row],[Due date serial]],1,0)</f>
        <v>0</v>
      </c>
      <c r="AC147" s="65">
        <f>MAX(0,tblWorkPackages[[#This Row],[Completion date serial]]-tblWorkPackages[[#This Row],[Due date serial]])</f>
        <v>0</v>
      </c>
      <c r="AD147" s="65">
        <f>tblWorkPackages[[#This Row],[First labor date]]-tblWorkPackages[[#This Row],[Request date serial]]</f>
        <v>2</v>
      </c>
      <c r="AE147" s="65">
        <f>tblWorkPackages[[#This Row],[Last labor date]]-tblWorkPackages[[#This Row],[First labor date]]</f>
        <v>2</v>
      </c>
      <c r="AF147" s="65">
        <f>tblWorkPackages[[#This Row],[Completion date serial]]-tblWorkPackages[[#This Row],[Last labor date]]</f>
        <v>1</v>
      </c>
      <c r="AG147" s="65">
        <f>tblWorkPackages[[#This Row],[Completion date serial]]-tblWorkPackages[[#This Row],[Request date serial]]</f>
        <v>5</v>
      </c>
      <c r="AH147" s="65">
        <f>IFERROR(INDEX(tblParts[Delay days],MATCH(tblWorkPackages[[#This Row],[Work package ID]],tblParts[Work package ID],0)),0)</f>
        <v>0</v>
      </c>
      <c r="AI147" s="51" t="str">
        <f>IFERROR(INDEX(tblDisruptions[Event type],MATCH(tblWorkPackages[[#This Row],[Work package ID]],tblDisruptions[Work package ID],0)),"None")</f>
        <v>None</v>
      </c>
      <c r="AJ147" s="51" t="str">
        <f>TEXT(tblWorkPackages[[#This Row],[Due date serial]],"yyyy-mm")</f>
        <v>2025-07</v>
      </c>
    </row>
    <row r="148" spans="1:36" ht="15" x14ac:dyDescent="0.25">
      <c r="A148" s="53" t="s">
        <v>629</v>
      </c>
      <c r="B148" s="53" t="s">
        <v>173</v>
      </c>
      <c r="C148" s="53" t="s">
        <v>630</v>
      </c>
      <c r="D148" s="53" t="s">
        <v>631</v>
      </c>
      <c r="E148" s="53" t="s">
        <v>160</v>
      </c>
      <c r="F148" s="53" t="s">
        <v>128</v>
      </c>
      <c r="G148" s="53" t="s">
        <v>138</v>
      </c>
      <c r="H148" s="53">
        <v>4</v>
      </c>
      <c r="I148" s="53" t="s">
        <v>176</v>
      </c>
      <c r="J148" s="53">
        <v>0</v>
      </c>
      <c r="K148" s="53">
        <v>0</v>
      </c>
      <c r="L148" s="53">
        <v>8.9</v>
      </c>
      <c r="M148" s="53" t="s">
        <v>316</v>
      </c>
      <c r="N148" s="53">
        <v>10.8</v>
      </c>
      <c r="O148" s="51" t="str">
        <f>TEXT(tblWorkPackages[[#This Row],[Request date serial]]-WEEKDAY(tblWorkPackages[[#This Row],[Request date serial]],3),"yyyy-mm-dd")</f>
        <v>2024-03-25</v>
      </c>
      <c r="P148" s="51">
        <f>ABS(tblWorkPackages[[#This Row],[Actual labor hours]]-tblWorkPackages[[#This Row],[Estimated labor hours]])</f>
        <v>1.9</v>
      </c>
      <c r="Q148" s="51">
        <f>IF(tblWorkPackages[[#This Row],[Actual labor hours]]&gt;tblWorkPackages[[#This Row],[Estimated labor hours]],1,0)</f>
        <v>1</v>
      </c>
      <c r="R148" s="51">
        <f>tblWorkPackages[[#This Row],[Actual labor hours]]-tblWorkPackages[[#This Row],[Estimated labor hours]]</f>
        <v>1.9</v>
      </c>
      <c r="S148" s="51" t="str">
        <f>IF(tblWorkPackages[[#This Row],[Request date serial]]&lt;ValidationStart,"Train 2024",IF(tblWorkPackages[[#This Row],[Request date serial]]&lt;HoldoutStart,"Validation H1","Holdout H2"))</f>
        <v>Train 2024</v>
      </c>
      <c r="T148" s="51" t="str">
        <f>IF(tblWorkPackages[[#This Row],[Time split]]="Train 2024","",tblWorkPackages[[#This Row],[Estimated labor hours]]+VLOOKUP(tblWorkPackages[[#This Row],[Task type]],'Forecast validation'!$A$14:$E$25,IF(tblWorkPackages[[#This Row],[Time split]]="Validation H1",4,5),FALSE()))</f>
        <v/>
      </c>
      <c r="U148" s="51" t="str">
        <f>IF(tblWorkPackages[[#This Row],[Calibrated forecast hours]]="","",ABS(tblWorkPackages[[#This Row],[Actual labor hours]]-tblWorkPackages[[#This Row],[Calibrated forecast hours]]))</f>
        <v/>
      </c>
      <c r="V148" s="51">
        <f>IF(tblWorkPackages[[#This Row],[Time split]]="Train 2024",tblWorkPackages[[#This Row],[Estimated labor hours]],tblWorkPackages[[#This Row],[Calibrated forecast hours]])</f>
        <v>8.9</v>
      </c>
      <c r="W148" s="64">
        <f>DATEVALUE(tblWorkPackages[[#This Row],[Request date]])</f>
        <v>45376.0</v>
      </c>
      <c r="X148" s="64">
        <f>DATEVALUE(tblWorkPackages[[#This Row],[Due date]])</f>
        <v>45382.0</v>
      </c>
      <c r="Y148" s="64">
        <f>DATEVALUE(tblWorkPackages[[#This Row],[Completion date]])</f>
        <v>45403.0</v>
      </c>
      <c r="Z148" s="64">
        <f>_xlfn.MINIFS(tblLaborEntries[Work date serial],tblLaborEntries[Work package ID],tblWorkPackages[[#This Row],[Work package ID]])</f>
        <v>45399.0</v>
      </c>
      <c r="AA148" s="64">
        <f>_xlfn.MAXIFS(tblLaborEntries[Work date serial],tblLaborEntries[Work package ID],tblWorkPackages[[#This Row],[Work package ID]])</f>
        <v>45401.0</v>
      </c>
      <c r="AB148" s="65">
        <f>IF(tblWorkPackages[[#This Row],[Completion date serial]]&gt;tblWorkPackages[[#This Row],[Due date serial]],1,0)</f>
        <v>1</v>
      </c>
      <c r="AC148" s="65">
        <f>MAX(0,tblWorkPackages[[#This Row],[Completion date serial]]-tblWorkPackages[[#This Row],[Due date serial]])</f>
        <v>21</v>
      </c>
      <c r="AD148" s="65">
        <f>tblWorkPackages[[#This Row],[First labor date]]-tblWorkPackages[[#This Row],[Request date serial]]</f>
        <v>23</v>
      </c>
      <c r="AE148" s="65">
        <f>tblWorkPackages[[#This Row],[Last labor date]]-tblWorkPackages[[#This Row],[First labor date]]</f>
        <v>2</v>
      </c>
      <c r="AF148" s="65">
        <f>tblWorkPackages[[#This Row],[Completion date serial]]-tblWorkPackages[[#This Row],[Last labor date]]</f>
        <v>2</v>
      </c>
      <c r="AG148" s="65">
        <f>tblWorkPackages[[#This Row],[Completion date serial]]-tblWorkPackages[[#This Row],[Request date serial]]</f>
        <v>27</v>
      </c>
      <c r="AH148" s="65">
        <f>IFERROR(INDEX(tblParts[Delay days],MATCH(tblWorkPackages[[#This Row],[Work package ID]],tblParts[Work package ID],0)),0)</f>
        <v>0</v>
      </c>
      <c r="AI148" s="51" t="str">
        <f>IFERROR(INDEX(tblDisruptions[Event type],MATCH(tblWorkPackages[[#This Row],[Work package ID]],tblDisruptions[Work package ID],0)),"None")</f>
        <v>None</v>
      </c>
      <c r="AJ148" s="51" t="str">
        <f>TEXT(tblWorkPackages[[#This Row],[Due date serial]],"yyyy-mm")</f>
        <v>2024-03</v>
      </c>
    </row>
    <row r="149" spans="1:36" ht="15" x14ac:dyDescent="0.25">
      <c r="A149" s="53" t="s">
        <v>632</v>
      </c>
      <c r="B149" s="53" t="s">
        <v>203</v>
      </c>
      <c r="C149" s="53" t="s">
        <v>418</v>
      </c>
      <c r="D149" s="53" t="s">
        <v>633</v>
      </c>
      <c r="E149" s="53" t="s">
        <v>209</v>
      </c>
      <c r="F149" s="53" t="s">
        <v>145</v>
      </c>
      <c r="G149" s="53" t="s">
        <v>210</v>
      </c>
      <c r="H149" s="53">
        <v>3</v>
      </c>
      <c r="I149" s="53" t="s">
        <v>147</v>
      </c>
      <c r="J149" s="53">
        <v>0</v>
      </c>
      <c r="K149" s="53">
        <v>0</v>
      </c>
      <c r="L149" s="53">
        <v>29.1</v>
      </c>
      <c r="M149" s="53" t="s">
        <v>634</v>
      </c>
      <c r="N149" s="53">
        <v>30.1</v>
      </c>
      <c r="O149" s="51" t="str">
        <f>TEXT(tblWorkPackages[[#This Row],[Request date serial]]-WEEKDAY(tblWorkPackages[[#This Row],[Request date serial]],3),"yyyy-mm-dd")</f>
        <v>2024-05-13</v>
      </c>
      <c r="P149" s="51">
        <f>ABS(tblWorkPackages[[#This Row],[Actual labor hours]]-tblWorkPackages[[#This Row],[Estimated labor hours]])</f>
        <v>1</v>
      </c>
      <c r="Q149" s="51">
        <f>IF(tblWorkPackages[[#This Row],[Actual labor hours]]&gt;tblWorkPackages[[#This Row],[Estimated labor hours]],1,0)</f>
        <v>1</v>
      </c>
      <c r="R149" s="51">
        <f>tblWorkPackages[[#This Row],[Actual labor hours]]-tblWorkPackages[[#This Row],[Estimated labor hours]]</f>
        <v>1</v>
      </c>
      <c r="S149" s="51" t="str">
        <f>IF(tblWorkPackages[[#This Row],[Request date serial]]&lt;ValidationStart,"Train 2024",IF(tblWorkPackages[[#This Row],[Request date serial]]&lt;HoldoutStart,"Validation H1","Holdout H2"))</f>
        <v>Train 2024</v>
      </c>
      <c r="T149" s="51" t="str">
        <f>IF(tblWorkPackages[[#This Row],[Time split]]="Train 2024","",tblWorkPackages[[#This Row],[Estimated labor hours]]+VLOOKUP(tblWorkPackages[[#This Row],[Task type]],'Forecast validation'!$A$14:$E$25,IF(tblWorkPackages[[#This Row],[Time split]]="Validation H1",4,5),FALSE()))</f>
        <v/>
      </c>
      <c r="U149" s="51" t="str">
        <f>IF(tblWorkPackages[[#This Row],[Calibrated forecast hours]]="","",ABS(tblWorkPackages[[#This Row],[Actual labor hours]]-tblWorkPackages[[#This Row],[Calibrated forecast hours]]))</f>
        <v/>
      </c>
      <c r="V149" s="51">
        <f>IF(tblWorkPackages[[#This Row],[Time split]]="Train 2024",tblWorkPackages[[#This Row],[Estimated labor hours]],tblWorkPackages[[#This Row],[Calibrated forecast hours]])</f>
        <v>29.1</v>
      </c>
      <c r="W149" s="64">
        <f>DATEVALUE(tblWorkPackages[[#This Row],[Request date]])</f>
        <v>45429.0</v>
      </c>
      <c r="X149" s="64">
        <f>DATEVALUE(tblWorkPackages[[#This Row],[Due date]])</f>
        <v>45431.0</v>
      </c>
      <c r="Y149" s="64">
        <f>DATEVALUE(tblWorkPackages[[#This Row],[Completion date]])</f>
        <v>45438.0</v>
      </c>
      <c r="Z149" s="64">
        <f>_xlfn.MINIFS(tblLaborEntries[Work date serial],tblLaborEntries[Work package ID],tblWorkPackages[[#This Row],[Work package ID]])</f>
        <v>45433.0</v>
      </c>
      <c r="AA149" s="64">
        <f>_xlfn.MAXIFS(tblLaborEntries[Work date serial],tblLaborEntries[Work package ID],tblWorkPackages[[#This Row],[Work package ID]])</f>
        <v>45435.0</v>
      </c>
      <c r="AB149" s="65">
        <f>IF(tblWorkPackages[[#This Row],[Completion date serial]]&gt;tblWorkPackages[[#This Row],[Due date serial]],1,0)</f>
        <v>1</v>
      </c>
      <c r="AC149" s="65">
        <f>MAX(0,tblWorkPackages[[#This Row],[Completion date serial]]-tblWorkPackages[[#This Row],[Due date serial]])</f>
        <v>7</v>
      </c>
      <c r="AD149" s="65">
        <f>tblWorkPackages[[#This Row],[First labor date]]-tblWorkPackages[[#This Row],[Request date serial]]</f>
        <v>4</v>
      </c>
      <c r="AE149" s="65">
        <f>tblWorkPackages[[#This Row],[Last labor date]]-tblWorkPackages[[#This Row],[First labor date]]</f>
        <v>2</v>
      </c>
      <c r="AF149" s="65">
        <f>tblWorkPackages[[#This Row],[Completion date serial]]-tblWorkPackages[[#This Row],[Last labor date]]</f>
        <v>3</v>
      </c>
      <c r="AG149" s="65">
        <f>tblWorkPackages[[#This Row],[Completion date serial]]-tblWorkPackages[[#This Row],[Request date serial]]</f>
        <v>9</v>
      </c>
      <c r="AH149" s="65">
        <f>IFERROR(INDEX(tblParts[Delay days],MATCH(tblWorkPackages[[#This Row],[Work package ID]],tblParts[Work package ID],0)),0)</f>
        <v>0</v>
      </c>
      <c r="AI149" s="51" t="str">
        <f>IFERROR(INDEX(tblDisruptions[Event type],MATCH(tblWorkPackages[[#This Row],[Work package ID]],tblDisruptions[Work package ID],0)),"None")</f>
        <v>None</v>
      </c>
      <c r="AJ149" s="51" t="str">
        <f>TEXT(tblWorkPackages[[#This Row],[Due date serial]],"yyyy-mm")</f>
        <v>2024-05</v>
      </c>
    </row>
    <row r="150" spans="1:36" ht="15" x14ac:dyDescent="0.25">
      <c r="A150" s="53" t="s">
        <v>635</v>
      </c>
      <c r="B150" s="53" t="s">
        <v>203</v>
      </c>
      <c r="C150" s="53" t="s">
        <v>636</v>
      </c>
      <c r="D150" s="53" t="s">
        <v>543</v>
      </c>
      <c r="E150" s="53" t="s">
        <v>209</v>
      </c>
      <c r="F150" s="53" t="s">
        <v>145</v>
      </c>
      <c r="G150" s="53" t="s">
        <v>210</v>
      </c>
      <c r="H150" s="53">
        <v>4</v>
      </c>
      <c r="I150" s="53" t="s">
        <v>130</v>
      </c>
      <c r="J150" s="53">
        <v>0</v>
      </c>
      <c r="K150" s="53">
        <v>1</v>
      </c>
      <c r="L150" s="53">
        <v>31.4</v>
      </c>
      <c r="M150" s="53" t="s">
        <v>637</v>
      </c>
      <c r="N150" s="53">
        <v>31.6</v>
      </c>
      <c r="O150" s="51" t="str">
        <f>TEXT(tblWorkPackages[[#This Row],[Request date serial]]-WEEKDAY(tblWorkPackages[[#This Row],[Request date serial]],3),"yyyy-mm-dd")</f>
        <v>2025-10-06</v>
      </c>
      <c r="P150" s="51">
        <f>ABS(tblWorkPackages[[#This Row],[Actual labor hours]]-tblWorkPackages[[#This Row],[Estimated labor hours]])</f>
        <v>0.200000000000003</v>
      </c>
      <c r="Q150" s="51">
        <f>IF(tblWorkPackages[[#This Row],[Actual labor hours]]&gt;tblWorkPackages[[#This Row],[Estimated labor hours]],1,0)</f>
        <v>1</v>
      </c>
      <c r="R150" s="51">
        <f>tblWorkPackages[[#This Row],[Actual labor hours]]-tblWorkPackages[[#This Row],[Estimated labor hours]]</f>
        <v>0.200000000000003</v>
      </c>
      <c r="S150" s="51" t="str">
        <f>IF(tblWorkPackages[[#This Row],[Request date serial]]&lt;ValidationStart,"Train 2024",IF(tblWorkPackages[[#This Row],[Request date serial]]&lt;HoldoutStart,"Validation H1","Holdout H2"))</f>
        <v>Holdout H2</v>
      </c>
      <c r="T150" s="51">
        <f>IF(tblWorkPackages[[#This Row],[Time split]]="Train 2024","",tblWorkPackages[[#This Row],[Estimated labor hours]]+VLOOKUP(tblWorkPackages[[#This Row],[Task type]],'Forecast validation'!$A$14:$E$25,IF(tblWorkPackages[[#This Row],[Time split]]="Validation H1",4,5),FALSE()))</f>
        <v>33.195652173913</v>
      </c>
      <c r="U150" s="51">
        <f>IF(tblWorkPackages[[#This Row],[Calibrated forecast hours]]="","",ABS(tblWorkPackages[[#This Row],[Actual labor hours]]-tblWorkPackages[[#This Row],[Calibrated forecast hours]]))</f>
        <v>1.59565217391304</v>
      </c>
      <c r="V150" s="51">
        <f>IF(tblWorkPackages[[#This Row],[Time split]]="Train 2024",tblWorkPackages[[#This Row],[Estimated labor hours]],tblWorkPackages[[#This Row],[Calibrated forecast hours]])</f>
        <v>33.195652173913</v>
      </c>
      <c r="W150" s="64">
        <f>DATEVALUE(tblWorkPackages[[#This Row],[Request date]])</f>
        <v>45937.0</v>
      </c>
      <c r="X150" s="64">
        <f>DATEVALUE(tblWorkPackages[[#This Row],[Due date]])</f>
        <v>45950.0</v>
      </c>
      <c r="Y150" s="64">
        <f>DATEVALUE(tblWorkPackages[[#This Row],[Completion date]])</f>
        <v>45939.0</v>
      </c>
      <c r="Z150" s="64">
        <f>_xlfn.MINIFS(tblLaborEntries[Work date serial],tblLaborEntries[Work package ID],tblWorkPackages[[#This Row],[Work package ID]])</f>
        <v>45938.0</v>
      </c>
      <c r="AA150" s="64">
        <f>_xlfn.MAXIFS(tblLaborEntries[Work date serial],tblLaborEntries[Work package ID],tblWorkPackages[[#This Row],[Work package ID]])</f>
        <v>45939.0</v>
      </c>
      <c r="AB150" s="65">
        <f>IF(tblWorkPackages[[#This Row],[Completion date serial]]&gt;tblWorkPackages[[#This Row],[Due date serial]],1,0)</f>
        <v>0</v>
      </c>
      <c r="AC150" s="65">
        <f>MAX(0,tblWorkPackages[[#This Row],[Completion date serial]]-tblWorkPackages[[#This Row],[Due date serial]])</f>
        <v>0</v>
      </c>
      <c r="AD150" s="65">
        <f>tblWorkPackages[[#This Row],[First labor date]]-tblWorkPackages[[#This Row],[Request date serial]]</f>
        <v>1</v>
      </c>
      <c r="AE150" s="65">
        <f>tblWorkPackages[[#This Row],[Last labor date]]-tblWorkPackages[[#This Row],[First labor date]]</f>
        <v>1</v>
      </c>
      <c r="AF150" s="65">
        <f>tblWorkPackages[[#This Row],[Completion date serial]]-tblWorkPackages[[#This Row],[Last labor date]]</f>
        <v>0</v>
      </c>
      <c r="AG150" s="65">
        <f>tblWorkPackages[[#This Row],[Completion date serial]]-tblWorkPackages[[#This Row],[Request date serial]]</f>
        <v>2</v>
      </c>
      <c r="AH150" s="65">
        <f>IFERROR(INDEX(tblParts[Delay days],MATCH(tblWorkPackages[[#This Row],[Work package ID]],tblParts[Work package ID],0)),0)</f>
        <v>0</v>
      </c>
      <c r="AI150" s="51" t="str">
        <f>IFERROR(INDEX(tblDisruptions[Event type],MATCH(tblWorkPackages[[#This Row],[Work package ID]],tblDisruptions[Work package ID],0)),"None")</f>
        <v>None</v>
      </c>
      <c r="AJ150" s="51" t="str">
        <f>TEXT(tblWorkPackages[[#This Row],[Due date serial]],"yyyy-mm")</f>
        <v>2025-10</v>
      </c>
    </row>
    <row r="151" spans="1:36" ht="15" x14ac:dyDescent="0.25">
      <c r="A151" s="53" t="s">
        <v>638</v>
      </c>
      <c r="B151" s="53" t="s">
        <v>287</v>
      </c>
      <c r="C151" s="53" t="s">
        <v>639</v>
      </c>
      <c r="D151" s="53" t="s">
        <v>640</v>
      </c>
      <c r="E151" s="53" t="s">
        <v>223</v>
      </c>
      <c r="F151" s="53" t="s">
        <v>182</v>
      </c>
      <c r="G151" s="53" t="s">
        <v>154</v>
      </c>
      <c r="H151" s="53">
        <v>4</v>
      </c>
      <c r="I151" s="53" t="s">
        <v>130</v>
      </c>
      <c r="J151" s="53">
        <v>0</v>
      </c>
      <c r="K151" s="53">
        <v>0</v>
      </c>
      <c r="L151" s="53">
        <v>24.7</v>
      </c>
      <c r="M151" s="53" t="s">
        <v>640</v>
      </c>
      <c r="N151" s="53">
        <v>20.3</v>
      </c>
      <c r="O151" s="51" t="str">
        <f>TEXT(tblWorkPackages[[#This Row],[Request date serial]]-WEEKDAY(tblWorkPackages[[#This Row],[Request date serial]],3),"yyyy-mm-dd")</f>
        <v>2025-06-02</v>
      </c>
      <c r="P151" s="51">
        <f>ABS(tblWorkPackages[[#This Row],[Actual labor hours]]-tblWorkPackages[[#This Row],[Estimated labor hours]])</f>
        <v>4.4</v>
      </c>
      <c r="Q151" s="51">
        <f>IF(tblWorkPackages[[#This Row],[Actual labor hours]]&gt;tblWorkPackages[[#This Row],[Estimated labor hours]],1,0)</f>
        <v>0</v>
      </c>
      <c r="R151" s="51">
        <f>tblWorkPackages[[#This Row],[Actual labor hours]]-tblWorkPackages[[#This Row],[Estimated labor hours]]</f>
        <v>-4.4</v>
      </c>
      <c r="S151" s="51" t="str">
        <f>IF(tblWorkPackages[[#This Row],[Request date serial]]&lt;ValidationStart,"Train 2024",IF(tblWorkPackages[[#This Row],[Request date serial]]&lt;HoldoutStart,"Validation H1","Holdout H2"))</f>
        <v>Validation H1</v>
      </c>
      <c r="T151" s="51">
        <f>IF(tblWorkPackages[[#This Row],[Time split]]="Train 2024","",tblWorkPackages[[#This Row],[Estimated labor hours]]+VLOOKUP(tblWorkPackages[[#This Row],[Task type]],'Forecast validation'!$A$14:$E$25,IF(tblWorkPackages[[#This Row],[Time split]]="Validation H1",4,5),FALSE()))</f>
        <v>25.5824175824176</v>
      </c>
      <c r="U151" s="51">
        <f>IF(tblWorkPackages[[#This Row],[Calibrated forecast hours]]="","",ABS(tblWorkPackages[[#This Row],[Actual labor hours]]-tblWorkPackages[[#This Row],[Calibrated forecast hours]]))</f>
        <v>5.28241758241758</v>
      </c>
      <c r="V151" s="51">
        <f>IF(tblWorkPackages[[#This Row],[Time split]]="Train 2024",tblWorkPackages[[#This Row],[Estimated labor hours]],tblWorkPackages[[#This Row],[Calibrated forecast hours]])</f>
        <v>25.5824175824176</v>
      </c>
      <c r="W151" s="64">
        <f>DATEVALUE(tblWorkPackages[[#This Row],[Request date]])</f>
        <v>45815.0</v>
      </c>
      <c r="X151" s="64">
        <f>DATEVALUE(tblWorkPackages[[#This Row],[Due date]])</f>
        <v>45828.0</v>
      </c>
      <c r="Y151" s="64">
        <f>DATEVALUE(tblWorkPackages[[#This Row],[Completion date]])</f>
        <v>45828.0</v>
      </c>
      <c r="Z151" s="64">
        <f>_xlfn.MINIFS(tblLaborEntries[Work date serial],tblLaborEntries[Work package ID],tblWorkPackages[[#This Row],[Work package ID]])</f>
        <v>45827.0</v>
      </c>
      <c r="AA151" s="64">
        <f>_xlfn.MAXIFS(tblLaborEntries[Work date serial],tblLaborEntries[Work package ID],tblWorkPackages[[#This Row],[Work package ID]])</f>
        <v>45827.0</v>
      </c>
      <c r="AB151" s="65">
        <f>IF(tblWorkPackages[[#This Row],[Completion date serial]]&gt;tblWorkPackages[[#This Row],[Due date serial]],1,0)</f>
        <v>0</v>
      </c>
      <c r="AC151" s="65">
        <f>MAX(0,tblWorkPackages[[#This Row],[Completion date serial]]-tblWorkPackages[[#This Row],[Due date serial]])</f>
        <v>0</v>
      </c>
      <c r="AD151" s="65">
        <f>tblWorkPackages[[#This Row],[First labor date]]-tblWorkPackages[[#This Row],[Request date serial]]</f>
        <v>12</v>
      </c>
      <c r="AE151" s="65">
        <f>tblWorkPackages[[#This Row],[Last labor date]]-tblWorkPackages[[#This Row],[First labor date]]</f>
        <v>0</v>
      </c>
      <c r="AF151" s="65">
        <f>tblWorkPackages[[#This Row],[Completion date serial]]-tblWorkPackages[[#This Row],[Last labor date]]</f>
        <v>1</v>
      </c>
      <c r="AG151" s="65">
        <f>tblWorkPackages[[#This Row],[Completion date serial]]-tblWorkPackages[[#This Row],[Request date serial]]</f>
        <v>13</v>
      </c>
      <c r="AH151" s="65">
        <f>IFERROR(INDEX(tblParts[Delay days],MATCH(tblWorkPackages[[#This Row],[Work package ID]],tblParts[Work package ID],0)),0)</f>
        <v>0</v>
      </c>
      <c r="AI151" s="51" t="str">
        <f>IFERROR(INDEX(tblDisruptions[Event type],MATCH(tblWorkPackages[[#This Row],[Work package ID]],tblDisruptions[Work package ID],0)),"None")</f>
        <v>None</v>
      </c>
      <c r="AJ151" s="51" t="str">
        <f>TEXT(tblWorkPackages[[#This Row],[Due date serial]],"yyyy-mm")</f>
        <v>2025-06</v>
      </c>
    </row>
    <row r="152" spans="1:36" ht="15" x14ac:dyDescent="0.25">
      <c r="A152" s="53" t="s">
        <v>641</v>
      </c>
      <c r="B152" s="53" t="s">
        <v>168</v>
      </c>
      <c r="C152" s="53" t="s">
        <v>642</v>
      </c>
      <c r="D152" s="53" t="s">
        <v>620</v>
      </c>
      <c r="E152" s="53" t="s">
        <v>209</v>
      </c>
      <c r="F152" s="53" t="s">
        <v>145</v>
      </c>
      <c r="G152" s="53" t="s">
        <v>210</v>
      </c>
      <c r="H152" s="53">
        <v>4</v>
      </c>
      <c r="I152" s="53" t="s">
        <v>147</v>
      </c>
      <c r="J152" s="53">
        <v>0</v>
      </c>
      <c r="K152" s="53">
        <v>1</v>
      </c>
      <c r="L152" s="53">
        <v>39.4</v>
      </c>
      <c r="M152" s="53" t="s">
        <v>643</v>
      </c>
      <c r="N152" s="53">
        <v>43</v>
      </c>
      <c r="O152" s="51" t="str">
        <f>TEXT(tblWorkPackages[[#This Row],[Request date serial]]-WEEKDAY(tblWorkPackages[[#This Row],[Request date serial]],3),"yyyy-mm-dd")</f>
        <v>2024-07-15</v>
      </c>
      <c r="P152" s="51">
        <f>ABS(tblWorkPackages[[#This Row],[Actual labor hours]]-tblWorkPackages[[#This Row],[Estimated labor hours]])</f>
        <v>3.6</v>
      </c>
      <c r="Q152" s="51">
        <f>IF(tblWorkPackages[[#This Row],[Actual labor hours]]&gt;tblWorkPackages[[#This Row],[Estimated labor hours]],1,0)</f>
        <v>1</v>
      </c>
      <c r="R152" s="51">
        <f>tblWorkPackages[[#This Row],[Actual labor hours]]-tblWorkPackages[[#This Row],[Estimated labor hours]]</f>
        <v>3.6</v>
      </c>
      <c r="S152" s="51" t="str">
        <f>IF(tblWorkPackages[[#This Row],[Request date serial]]&lt;ValidationStart,"Train 2024",IF(tblWorkPackages[[#This Row],[Request date serial]]&lt;HoldoutStart,"Validation H1","Holdout H2"))</f>
        <v>Train 2024</v>
      </c>
      <c r="T152" s="51" t="str">
        <f>IF(tblWorkPackages[[#This Row],[Time split]]="Train 2024","",tblWorkPackages[[#This Row],[Estimated labor hours]]+VLOOKUP(tblWorkPackages[[#This Row],[Task type]],'Forecast validation'!$A$14:$E$25,IF(tblWorkPackages[[#This Row],[Time split]]="Validation H1",4,5),FALSE()))</f>
        <v/>
      </c>
      <c r="U152" s="51" t="str">
        <f>IF(tblWorkPackages[[#This Row],[Calibrated forecast hours]]="","",ABS(tblWorkPackages[[#This Row],[Actual labor hours]]-tblWorkPackages[[#This Row],[Calibrated forecast hours]]))</f>
        <v/>
      </c>
      <c r="V152" s="51">
        <f>IF(tblWorkPackages[[#This Row],[Time split]]="Train 2024",tblWorkPackages[[#This Row],[Estimated labor hours]],tblWorkPackages[[#This Row],[Calibrated forecast hours]])</f>
        <v>39.4</v>
      </c>
      <c r="W152" s="64">
        <f>DATEVALUE(tblWorkPackages[[#This Row],[Request date]])</f>
        <v>45488.0</v>
      </c>
      <c r="X152" s="64">
        <f>DATEVALUE(tblWorkPackages[[#This Row],[Due date]])</f>
        <v>45490.0</v>
      </c>
      <c r="Y152" s="64">
        <f>DATEVALUE(tblWorkPackages[[#This Row],[Completion date]])</f>
        <v>45495.0</v>
      </c>
      <c r="Z152" s="64">
        <f>_xlfn.MINIFS(tblLaborEntries[Work date serial],tblLaborEntries[Work package ID],tblWorkPackages[[#This Row],[Work package ID]])</f>
        <v>45491.0</v>
      </c>
      <c r="AA152" s="64">
        <f>_xlfn.MAXIFS(tblLaborEntries[Work date serial],tblLaborEntries[Work package ID],tblWorkPackages[[#This Row],[Work package ID]])</f>
        <v>45493.0</v>
      </c>
      <c r="AB152" s="65">
        <f>IF(tblWorkPackages[[#This Row],[Completion date serial]]&gt;tblWorkPackages[[#This Row],[Due date serial]],1,0)</f>
        <v>1</v>
      </c>
      <c r="AC152" s="65">
        <f>MAX(0,tblWorkPackages[[#This Row],[Completion date serial]]-tblWorkPackages[[#This Row],[Due date serial]])</f>
        <v>5</v>
      </c>
      <c r="AD152" s="65">
        <f>tblWorkPackages[[#This Row],[First labor date]]-tblWorkPackages[[#This Row],[Request date serial]]</f>
        <v>3</v>
      </c>
      <c r="AE152" s="65">
        <f>tblWorkPackages[[#This Row],[Last labor date]]-tblWorkPackages[[#This Row],[First labor date]]</f>
        <v>2</v>
      </c>
      <c r="AF152" s="65">
        <f>tblWorkPackages[[#This Row],[Completion date serial]]-tblWorkPackages[[#This Row],[Last labor date]]</f>
        <v>2</v>
      </c>
      <c r="AG152" s="65">
        <f>tblWorkPackages[[#This Row],[Completion date serial]]-tblWorkPackages[[#This Row],[Request date serial]]</f>
        <v>7</v>
      </c>
      <c r="AH152" s="65">
        <f>IFERROR(INDEX(tblParts[Delay days],MATCH(tblWorkPackages[[#This Row],[Work package ID]],tblParts[Work package ID],0)),0)</f>
        <v>0</v>
      </c>
      <c r="AI152" s="51" t="str">
        <f>IFERROR(INDEX(tblDisruptions[Event type],MATCH(tblWorkPackages[[#This Row],[Work package ID]],tblDisruptions[Work package ID],0)),"None")</f>
        <v>Repeat inspection</v>
      </c>
      <c r="AJ152" s="51" t="str">
        <f>TEXT(tblWorkPackages[[#This Row],[Due date serial]],"yyyy-mm")</f>
        <v>2024-07</v>
      </c>
    </row>
    <row r="153" spans="1:36" ht="15" x14ac:dyDescent="0.25">
      <c r="A153" s="53" t="s">
        <v>644</v>
      </c>
      <c r="B153" s="53" t="s">
        <v>203</v>
      </c>
      <c r="C153" s="53" t="s">
        <v>645</v>
      </c>
      <c r="D153" s="53" t="s">
        <v>646</v>
      </c>
      <c r="E153" s="53" t="s">
        <v>160</v>
      </c>
      <c r="F153" s="53" t="s">
        <v>128</v>
      </c>
      <c r="G153" s="53" t="s">
        <v>138</v>
      </c>
      <c r="H153" s="53">
        <v>1</v>
      </c>
      <c r="I153" s="53" t="s">
        <v>130</v>
      </c>
      <c r="J153" s="53">
        <v>0</v>
      </c>
      <c r="K153" s="53">
        <v>1</v>
      </c>
      <c r="L153" s="53">
        <v>2.6</v>
      </c>
      <c r="M153" s="53" t="s">
        <v>647</v>
      </c>
      <c r="N153" s="53">
        <v>2.5</v>
      </c>
      <c r="O153" s="51" t="str">
        <f>TEXT(tblWorkPackages[[#This Row],[Request date serial]]-WEEKDAY(tblWorkPackages[[#This Row],[Request date serial]],3),"yyyy-mm-dd")</f>
        <v>2025-12-08</v>
      </c>
      <c r="P153" s="51">
        <f>ABS(tblWorkPackages[[#This Row],[Actual labor hours]]-tblWorkPackages[[#This Row],[Estimated labor hours]])</f>
        <v>0.1</v>
      </c>
      <c r="Q153" s="51">
        <f>IF(tblWorkPackages[[#This Row],[Actual labor hours]]&gt;tblWorkPackages[[#This Row],[Estimated labor hours]],1,0)</f>
        <v>0</v>
      </c>
      <c r="R153" s="51">
        <f>tblWorkPackages[[#This Row],[Actual labor hours]]-tblWorkPackages[[#This Row],[Estimated labor hours]]</f>
        <v>-0.1</v>
      </c>
      <c r="S153" s="51" t="str">
        <f>IF(tblWorkPackages[[#This Row],[Request date serial]]&lt;ValidationStart,"Train 2024",IF(tblWorkPackages[[#This Row],[Request date serial]]&lt;HoldoutStart,"Validation H1","Holdout H2"))</f>
        <v>Holdout H2</v>
      </c>
      <c r="T153" s="51">
        <f>IF(tblWorkPackages[[#This Row],[Time split]]="Train 2024","",tblWorkPackages[[#This Row],[Estimated labor hours]]+VLOOKUP(tblWorkPackages[[#This Row],[Task type]],'Forecast validation'!$A$14:$E$25,IF(tblWorkPackages[[#This Row],[Time split]]="Validation H1",4,5),FALSE()))</f>
        <v>3.03739837398374</v>
      </c>
      <c r="U153" s="51">
        <f>IF(tblWorkPackages[[#This Row],[Calibrated forecast hours]]="","",ABS(tblWorkPackages[[#This Row],[Actual labor hours]]-tblWorkPackages[[#This Row],[Calibrated forecast hours]]))</f>
        <v>0.53739837398374</v>
      </c>
      <c r="V153" s="51">
        <f>IF(tblWorkPackages[[#This Row],[Time split]]="Train 2024",tblWorkPackages[[#This Row],[Estimated labor hours]],tblWorkPackages[[#This Row],[Calibrated forecast hours]])</f>
        <v>3.03739837398374</v>
      </c>
      <c r="W153" s="64">
        <f>DATEVALUE(tblWorkPackages[[#This Row],[Request date]])</f>
        <v>46002.0</v>
      </c>
      <c r="X153" s="64">
        <f>DATEVALUE(tblWorkPackages[[#This Row],[Due date]])</f>
        <v>46015.0</v>
      </c>
      <c r="Y153" s="64">
        <f>DATEVALUE(tblWorkPackages[[#This Row],[Completion date]])</f>
        <v>46042.0</v>
      </c>
      <c r="Z153" s="64">
        <f>_xlfn.MINIFS(tblLaborEntries[Work date serial],tblLaborEntries[Work package ID],tblWorkPackages[[#This Row],[Work package ID]])</f>
        <v>46037.0</v>
      </c>
      <c r="AA153" s="64">
        <f>_xlfn.MAXIFS(tblLaborEntries[Work date serial],tblLaborEntries[Work package ID],tblWorkPackages[[#This Row],[Work package ID]])</f>
        <v>46039.0</v>
      </c>
      <c r="AB153" s="65">
        <f>IF(tblWorkPackages[[#This Row],[Completion date serial]]&gt;tblWorkPackages[[#This Row],[Due date serial]],1,0)</f>
        <v>1</v>
      </c>
      <c r="AC153" s="65">
        <f>MAX(0,tblWorkPackages[[#This Row],[Completion date serial]]-tblWorkPackages[[#This Row],[Due date serial]])</f>
        <v>27</v>
      </c>
      <c r="AD153" s="65">
        <f>tblWorkPackages[[#This Row],[First labor date]]-tblWorkPackages[[#This Row],[Request date serial]]</f>
        <v>35</v>
      </c>
      <c r="AE153" s="65">
        <f>tblWorkPackages[[#This Row],[Last labor date]]-tblWorkPackages[[#This Row],[First labor date]]</f>
        <v>2</v>
      </c>
      <c r="AF153" s="65">
        <f>tblWorkPackages[[#This Row],[Completion date serial]]-tblWorkPackages[[#This Row],[Last labor date]]</f>
        <v>3</v>
      </c>
      <c r="AG153" s="65">
        <f>tblWorkPackages[[#This Row],[Completion date serial]]-tblWorkPackages[[#This Row],[Request date serial]]</f>
        <v>40</v>
      </c>
      <c r="AH153" s="65">
        <f>IFERROR(INDEX(tblParts[Delay days],MATCH(tblWorkPackages[[#This Row],[Work package ID]],tblParts[Work package ID],0)),0)</f>
        <v>0</v>
      </c>
      <c r="AI153" s="51" t="str">
        <f>IFERROR(INDEX(tblDisruptions[Event type],MATCH(tblWorkPackages[[#This Row],[Work package ID]],tblDisruptions[Work package ID],0)),"None")</f>
        <v>None</v>
      </c>
      <c r="AJ153" s="51" t="str">
        <f>TEXT(tblWorkPackages[[#This Row],[Due date serial]],"yyyy-mm")</f>
        <v>2025-12</v>
      </c>
    </row>
    <row r="154" spans="1:36" ht="15" x14ac:dyDescent="0.25">
      <c r="A154" s="53" t="s">
        <v>648</v>
      </c>
      <c r="B154" s="53" t="s">
        <v>150</v>
      </c>
      <c r="C154" s="53" t="s">
        <v>649</v>
      </c>
      <c r="D154" s="53" t="s">
        <v>399</v>
      </c>
      <c r="E154" s="53" t="s">
        <v>200</v>
      </c>
      <c r="F154" s="53" t="s">
        <v>128</v>
      </c>
      <c r="G154" s="53" t="s">
        <v>129</v>
      </c>
      <c r="H154" s="53">
        <v>4</v>
      </c>
      <c r="I154" s="53" t="s">
        <v>130</v>
      </c>
      <c r="J154" s="53">
        <v>0</v>
      </c>
      <c r="K154" s="53">
        <v>0</v>
      </c>
      <c r="L154" s="53">
        <v>6.5</v>
      </c>
      <c r="M154" s="53" t="s">
        <v>633</v>
      </c>
      <c r="N154" s="53">
        <v>8.3000000000000007</v>
      </c>
      <c r="O154" s="51" t="str">
        <f>TEXT(tblWorkPackages[[#This Row],[Request date serial]]-WEEKDAY(tblWorkPackages[[#This Row],[Request date serial]],3),"yyyy-mm-dd")</f>
        <v>2024-05-06</v>
      </c>
      <c r="P154" s="51">
        <f>ABS(tblWorkPackages[[#This Row],[Actual labor hours]]-tblWorkPackages[[#This Row],[Estimated labor hours]])</f>
        <v>1.8</v>
      </c>
      <c r="Q154" s="51">
        <f>IF(tblWorkPackages[[#This Row],[Actual labor hours]]&gt;tblWorkPackages[[#This Row],[Estimated labor hours]],1,0)</f>
        <v>1</v>
      </c>
      <c r="R154" s="51">
        <f>tblWorkPackages[[#This Row],[Actual labor hours]]-tblWorkPackages[[#This Row],[Estimated labor hours]]</f>
        <v>1.8</v>
      </c>
      <c r="S154" s="51" t="str">
        <f>IF(tblWorkPackages[[#This Row],[Request date serial]]&lt;ValidationStart,"Train 2024",IF(tblWorkPackages[[#This Row],[Request date serial]]&lt;HoldoutStart,"Validation H1","Holdout H2"))</f>
        <v>Train 2024</v>
      </c>
      <c r="T154" s="51" t="str">
        <f>IF(tblWorkPackages[[#This Row],[Time split]]="Train 2024","",tblWorkPackages[[#This Row],[Estimated labor hours]]+VLOOKUP(tblWorkPackages[[#This Row],[Task type]],'Forecast validation'!$A$14:$E$25,IF(tblWorkPackages[[#This Row],[Time split]]="Validation H1",4,5),FALSE()))</f>
        <v/>
      </c>
      <c r="U154" s="51" t="str">
        <f>IF(tblWorkPackages[[#This Row],[Calibrated forecast hours]]="","",ABS(tblWorkPackages[[#This Row],[Actual labor hours]]-tblWorkPackages[[#This Row],[Calibrated forecast hours]]))</f>
        <v/>
      </c>
      <c r="V154" s="51">
        <f>IF(tblWorkPackages[[#This Row],[Time split]]="Train 2024",tblWorkPackages[[#This Row],[Estimated labor hours]],tblWorkPackages[[#This Row],[Calibrated forecast hours]])</f>
        <v>6.5</v>
      </c>
      <c r="W154" s="64">
        <f>DATEVALUE(tblWorkPackages[[#This Row],[Request date]])</f>
        <v>45423.0</v>
      </c>
      <c r="X154" s="64">
        <f>DATEVALUE(tblWorkPackages[[#This Row],[Due date]])</f>
        <v>45436.0</v>
      </c>
      <c r="Y154" s="64">
        <f>DATEVALUE(tblWorkPackages[[#This Row],[Completion date]])</f>
        <v>45431.0</v>
      </c>
      <c r="Z154" s="64">
        <f>_xlfn.MINIFS(tblLaborEntries[Work date serial],tblLaborEntries[Work package ID],tblWorkPackages[[#This Row],[Work package ID]])</f>
        <v>45430.0</v>
      </c>
      <c r="AA154" s="64">
        <f>_xlfn.MAXIFS(tblLaborEntries[Work date serial],tblLaborEntries[Work package ID],tblWorkPackages[[#This Row],[Work package ID]])</f>
        <v>45431.0</v>
      </c>
      <c r="AB154" s="65">
        <f>IF(tblWorkPackages[[#This Row],[Completion date serial]]&gt;tblWorkPackages[[#This Row],[Due date serial]],1,0)</f>
        <v>0</v>
      </c>
      <c r="AC154" s="65">
        <f>MAX(0,tblWorkPackages[[#This Row],[Completion date serial]]-tblWorkPackages[[#This Row],[Due date serial]])</f>
        <v>0</v>
      </c>
      <c r="AD154" s="65">
        <f>tblWorkPackages[[#This Row],[First labor date]]-tblWorkPackages[[#This Row],[Request date serial]]</f>
        <v>7</v>
      </c>
      <c r="AE154" s="65">
        <f>tblWorkPackages[[#This Row],[Last labor date]]-tblWorkPackages[[#This Row],[First labor date]]</f>
        <v>1</v>
      </c>
      <c r="AF154" s="65">
        <f>tblWorkPackages[[#This Row],[Completion date serial]]-tblWorkPackages[[#This Row],[Last labor date]]</f>
        <v>0</v>
      </c>
      <c r="AG154" s="65">
        <f>tblWorkPackages[[#This Row],[Completion date serial]]-tblWorkPackages[[#This Row],[Request date serial]]</f>
        <v>8</v>
      </c>
      <c r="AH154" s="65">
        <f>IFERROR(INDEX(tblParts[Delay days],MATCH(tblWorkPackages[[#This Row],[Work package ID]],tblParts[Work package ID],0)),0)</f>
        <v>0</v>
      </c>
      <c r="AI154" s="51" t="str">
        <f>IFERROR(INDEX(tblDisruptions[Event type],MATCH(tblWorkPackages[[#This Row],[Work package ID]],tblDisruptions[Work package ID],0)),"None")</f>
        <v>None</v>
      </c>
      <c r="AJ154" s="51" t="str">
        <f>TEXT(tblWorkPackages[[#This Row],[Due date serial]],"yyyy-mm")</f>
        <v>2024-05</v>
      </c>
    </row>
    <row r="155" spans="1:36" ht="15" x14ac:dyDescent="0.25">
      <c r="A155" s="53" t="s">
        <v>650</v>
      </c>
      <c r="B155" s="53" t="s">
        <v>124</v>
      </c>
      <c r="C155" s="53" t="s">
        <v>651</v>
      </c>
      <c r="D155" s="53" t="s">
        <v>652</v>
      </c>
      <c r="E155" s="53" t="s">
        <v>200</v>
      </c>
      <c r="F155" s="53" t="s">
        <v>128</v>
      </c>
      <c r="G155" s="53" t="s">
        <v>129</v>
      </c>
      <c r="H155" s="53">
        <v>4</v>
      </c>
      <c r="I155" s="53" t="s">
        <v>176</v>
      </c>
      <c r="J155" s="53">
        <v>0</v>
      </c>
      <c r="K155" s="53">
        <v>0</v>
      </c>
      <c r="L155" s="53">
        <v>5.4</v>
      </c>
      <c r="M155" s="53" t="s">
        <v>653</v>
      </c>
      <c r="N155" s="53">
        <v>5.7</v>
      </c>
      <c r="O155" s="51" t="str">
        <f>TEXT(tblWorkPackages[[#This Row],[Request date serial]]-WEEKDAY(tblWorkPackages[[#This Row],[Request date serial]],3),"yyyy-mm-dd")</f>
        <v>2025-12-01</v>
      </c>
      <c r="P155" s="51">
        <f>ABS(tblWorkPackages[[#This Row],[Actual labor hours]]-tblWorkPackages[[#This Row],[Estimated labor hours]])</f>
        <v>0.3</v>
      </c>
      <c r="Q155" s="51">
        <f>IF(tblWorkPackages[[#This Row],[Actual labor hours]]&gt;tblWorkPackages[[#This Row],[Estimated labor hours]],1,0)</f>
        <v>1</v>
      </c>
      <c r="R155" s="51">
        <f>tblWorkPackages[[#This Row],[Actual labor hours]]-tblWorkPackages[[#This Row],[Estimated labor hours]]</f>
        <v>0.3</v>
      </c>
      <c r="S155" s="51" t="str">
        <f>IF(tblWorkPackages[[#This Row],[Request date serial]]&lt;ValidationStart,"Train 2024",IF(tblWorkPackages[[#This Row],[Request date serial]]&lt;HoldoutStart,"Validation H1","Holdout H2"))</f>
        <v>Holdout H2</v>
      </c>
      <c r="T155" s="51">
        <f>IF(tblWorkPackages[[#This Row],[Time split]]="Train 2024","",tblWorkPackages[[#This Row],[Estimated labor hours]]+VLOOKUP(tblWorkPackages[[#This Row],[Task type]],'Forecast validation'!$A$14:$E$25,IF(tblWorkPackages[[#This Row],[Time split]]="Validation H1",4,5),FALSE()))</f>
        <v>5.72893081761006</v>
      </c>
      <c r="U155" s="51">
        <f>IF(tblWorkPackages[[#This Row],[Calibrated forecast hours]]="","",ABS(tblWorkPackages[[#This Row],[Actual labor hours]]-tblWorkPackages[[#This Row],[Calibrated forecast hours]]))</f>
        <v>0.0289308176100631</v>
      </c>
      <c r="V155" s="51">
        <f>IF(tblWorkPackages[[#This Row],[Time split]]="Train 2024",tblWorkPackages[[#This Row],[Estimated labor hours]],tblWorkPackages[[#This Row],[Calibrated forecast hours]])</f>
        <v>5.72893081761006</v>
      </c>
      <c r="W155" s="64">
        <f>DATEVALUE(tblWorkPackages[[#This Row],[Request date]])</f>
        <v>45997.0</v>
      </c>
      <c r="X155" s="64">
        <f>DATEVALUE(tblWorkPackages[[#This Row],[Due date]])</f>
        <v>46003.0</v>
      </c>
      <c r="Y155" s="64">
        <f>DATEVALUE(tblWorkPackages[[#This Row],[Completion date]])</f>
        <v>46000.0</v>
      </c>
      <c r="Z155" s="64">
        <f>_xlfn.MINIFS(tblLaborEntries[Work date serial],tblLaborEntries[Work package ID],tblWorkPackages[[#This Row],[Work package ID]])</f>
        <v>45999.0</v>
      </c>
      <c r="AA155" s="64">
        <f>_xlfn.MAXIFS(tblLaborEntries[Work date serial],tblLaborEntries[Work package ID],tblWorkPackages[[#This Row],[Work package ID]])</f>
        <v>45999.0</v>
      </c>
      <c r="AB155" s="65">
        <f>IF(tblWorkPackages[[#This Row],[Completion date serial]]&gt;tblWorkPackages[[#This Row],[Due date serial]],1,0)</f>
        <v>0</v>
      </c>
      <c r="AC155" s="65">
        <f>MAX(0,tblWorkPackages[[#This Row],[Completion date serial]]-tblWorkPackages[[#This Row],[Due date serial]])</f>
        <v>0</v>
      </c>
      <c r="AD155" s="65">
        <f>tblWorkPackages[[#This Row],[First labor date]]-tblWorkPackages[[#This Row],[Request date serial]]</f>
        <v>2</v>
      </c>
      <c r="AE155" s="65">
        <f>tblWorkPackages[[#This Row],[Last labor date]]-tblWorkPackages[[#This Row],[First labor date]]</f>
        <v>0</v>
      </c>
      <c r="AF155" s="65">
        <f>tblWorkPackages[[#This Row],[Completion date serial]]-tblWorkPackages[[#This Row],[Last labor date]]</f>
        <v>1</v>
      </c>
      <c r="AG155" s="65">
        <f>tblWorkPackages[[#This Row],[Completion date serial]]-tblWorkPackages[[#This Row],[Request date serial]]</f>
        <v>3</v>
      </c>
      <c r="AH155" s="65">
        <f>IFERROR(INDEX(tblParts[Delay days],MATCH(tblWorkPackages[[#This Row],[Work package ID]],tblParts[Work package ID],0)),0)</f>
        <v>0</v>
      </c>
      <c r="AI155" s="51" t="str">
        <f>IFERROR(INDEX(tblDisruptions[Event type],MATCH(tblWorkPackages[[#This Row],[Work package ID]],tblDisruptions[Work package ID],0)),"None")</f>
        <v>None</v>
      </c>
      <c r="AJ155" s="51" t="str">
        <f>TEXT(tblWorkPackages[[#This Row],[Due date serial]],"yyyy-mm")</f>
        <v>2025-12</v>
      </c>
    </row>
    <row r="156" spans="1:36" ht="15" x14ac:dyDescent="0.25">
      <c r="A156" s="53" t="s">
        <v>654</v>
      </c>
      <c r="B156" s="53" t="s">
        <v>287</v>
      </c>
      <c r="C156" s="53" t="s">
        <v>474</v>
      </c>
      <c r="D156" s="53" t="s">
        <v>347</v>
      </c>
      <c r="E156" s="53" t="s">
        <v>144</v>
      </c>
      <c r="F156" s="53" t="s">
        <v>145</v>
      </c>
      <c r="G156" s="53" t="s">
        <v>146</v>
      </c>
      <c r="H156" s="53">
        <v>1</v>
      </c>
      <c r="I156" s="53" t="s">
        <v>176</v>
      </c>
      <c r="J156" s="53">
        <v>0</v>
      </c>
      <c r="K156" s="53">
        <v>1</v>
      </c>
      <c r="L156" s="53">
        <v>7.8</v>
      </c>
      <c r="M156" s="53" t="s">
        <v>655</v>
      </c>
      <c r="N156" s="53">
        <v>9.1999999999999993</v>
      </c>
      <c r="O156" s="51" t="str">
        <f>TEXT(tblWorkPackages[[#This Row],[Request date serial]]-WEEKDAY(tblWorkPackages[[#This Row],[Request date serial]],3),"yyyy-mm-dd")</f>
        <v>2024-02-26</v>
      </c>
      <c r="P156" s="51">
        <f>ABS(tblWorkPackages[[#This Row],[Actual labor hours]]-tblWorkPackages[[#This Row],[Estimated labor hours]])</f>
        <v>1.4</v>
      </c>
      <c r="Q156" s="51">
        <f>IF(tblWorkPackages[[#This Row],[Actual labor hours]]&gt;tblWorkPackages[[#This Row],[Estimated labor hours]],1,0)</f>
        <v>1</v>
      </c>
      <c r="R156" s="51">
        <f>tblWorkPackages[[#This Row],[Actual labor hours]]-tblWorkPackages[[#This Row],[Estimated labor hours]]</f>
        <v>1.4</v>
      </c>
      <c r="S156" s="51" t="str">
        <f>IF(tblWorkPackages[[#This Row],[Request date serial]]&lt;ValidationStart,"Train 2024",IF(tblWorkPackages[[#This Row],[Request date serial]]&lt;HoldoutStart,"Validation H1","Holdout H2"))</f>
        <v>Train 2024</v>
      </c>
      <c r="T156" s="51" t="str">
        <f>IF(tblWorkPackages[[#This Row],[Time split]]="Train 2024","",tblWorkPackages[[#This Row],[Estimated labor hours]]+VLOOKUP(tblWorkPackages[[#This Row],[Task type]],'Forecast validation'!$A$14:$E$25,IF(tblWorkPackages[[#This Row],[Time split]]="Validation H1",4,5),FALSE()))</f>
        <v/>
      </c>
      <c r="U156" s="51" t="str">
        <f>IF(tblWorkPackages[[#This Row],[Calibrated forecast hours]]="","",ABS(tblWorkPackages[[#This Row],[Actual labor hours]]-tblWorkPackages[[#This Row],[Calibrated forecast hours]]))</f>
        <v/>
      </c>
      <c r="V156" s="51">
        <f>IF(tblWorkPackages[[#This Row],[Time split]]="Train 2024",tblWorkPackages[[#This Row],[Estimated labor hours]],tblWorkPackages[[#This Row],[Calibrated forecast hours]])</f>
        <v>7.8</v>
      </c>
      <c r="W156" s="64">
        <f>DATEVALUE(tblWorkPackages[[#This Row],[Request date]])</f>
        <v>45352.0</v>
      </c>
      <c r="X156" s="64">
        <f>DATEVALUE(tblWorkPackages[[#This Row],[Due date]])</f>
        <v>45358.0</v>
      </c>
      <c r="Y156" s="64">
        <f>DATEVALUE(tblWorkPackages[[#This Row],[Completion date]])</f>
        <v>45369.0</v>
      </c>
      <c r="Z156" s="64">
        <f>_xlfn.MINIFS(tblLaborEntries[Work date serial],tblLaborEntries[Work package ID],tblWorkPackages[[#This Row],[Work package ID]])</f>
        <v>45367.0</v>
      </c>
      <c r="AA156" s="64">
        <f>_xlfn.MAXIFS(tblLaborEntries[Work date serial],tblLaborEntries[Work package ID],tblWorkPackages[[#This Row],[Work package ID]])</f>
        <v>45367.0</v>
      </c>
      <c r="AB156" s="65">
        <f>IF(tblWorkPackages[[#This Row],[Completion date serial]]&gt;tblWorkPackages[[#This Row],[Due date serial]],1,0)</f>
        <v>1</v>
      </c>
      <c r="AC156" s="65">
        <f>MAX(0,tblWorkPackages[[#This Row],[Completion date serial]]-tblWorkPackages[[#This Row],[Due date serial]])</f>
        <v>11</v>
      </c>
      <c r="AD156" s="65">
        <f>tblWorkPackages[[#This Row],[First labor date]]-tblWorkPackages[[#This Row],[Request date serial]]</f>
        <v>15</v>
      </c>
      <c r="AE156" s="65">
        <f>tblWorkPackages[[#This Row],[Last labor date]]-tblWorkPackages[[#This Row],[First labor date]]</f>
        <v>0</v>
      </c>
      <c r="AF156" s="65">
        <f>tblWorkPackages[[#This Row],[Completion date serial]]-tblWorkPackages[[#This Row],[Last labor date]]</f>
        <v>2</v>
      </c>
      <c r="AG156" s="65">
        <f>tblWorkPackages[[#This Row],[Completion date serial]]-tblWorkPackages[[#This Row],[Request date serial]]</f>
        <v>17</v>
      </c>
      <c r="AH156" s="65">
        <f>IFERROR(INDEX(tblParts[Delay days],MATCH(tblWorkPackages[[#This Row],[Work package ID]],tblParts[Work package ID],0)),0)</f>
        <v>0</v>
      </c>
      <c r="AI156" s="51" t="str">
        <f>IFERROR(INDEX(tblDisruptions[Event type],MATCH(tblWorkPackages[[#This Row],[Work package ID]],tblDisruptions[Work package ID],0)),"None")</f>
        <v>None</v>
      </c>
      <c r="AJ156" s="51" t="str">
        <f>TEXT(tblWorkPackages[[#This Row],[Due date serial]],"yyyy-mm")</f>
        <v>2024-03</v>
      </c>
    </row>
    <row r="157" spans="1:36" ht="15" x14ac:dyDescent="0.25">
      <c r="A157" s="53" t="s">
        <v>656</v>
      </c>
      <c r="B157" s="53" t="s">
        <v>133</v>
      </c>
      <c r="C157" s="53" t="s">
        <v>256</v>
      </c>
      <c r="D157" s="53" t="s">
        <v>222</v>
      </c>
      <c r="E157" s="53" t="s">
        <v>200</v>
      </c>
      <c r="F157" s="53" t="s">
        <v>128</v>
      </c>
      <c r="G157" s="53" t="s">
        <v>129</v>
      </c>
      <c r="H157" s="53">
        <v>3</v>
      </c>
      <c r="I157" s="53" t="s">
        <v>130</v>
      </c>
      <c r="J157" s="53">
        <v>0</v>
      </c>
      <c r="K157" s="53">
        <v>0</v>
      </c>
      <c r="L157" s="53">
        <v>3.7</v>
      </c>
      <c r="M157" s="53" t="s">
        <v>512</v>
      </c>
      <c r="N157" s="53">
        <v>4.3</v>
      </c>
      <c r="O157" s="51" t="str">
        <f>TEXT(tblWorkPackages[[#This Row],[Request date serial]]-WEEKDAY(tblWorkPackages[[#This Row],[Request date serial]],3),"yyyy-mm-dd")</f>
        <v>2024-12-02</v>
      </c>
      <c r="P157" s="51">
        <f>ABS(tblWorkPackages[[#This Row],[Actual labor hours]]-tblWorkPackages[[#This Row],[Estimated labor hours]])</f>
        <v>0.6</v>
      </c>
      <c r="Q157" s="51">
        <f>IF(tblWorkPackages[[#This Row],[Actual labor hours]]&gt;tblWorkPackages[[#This Row],[Estimated labor hours]],1,0)</f>
        <v>1</v>
      </c>
      <c r="R157" s="51">
        <f>tblWorkPackages[[#This Row],[Actual labor hours]]-tblWorkPackages[[#This Row],[Estimated labor hours]]</f>
        <v>0.6</v>
      </c>
      <c r="S157" s="51" t="str">
        <f>IF(tblWorkPackages[[#This Row],[Request date serial]]&lt;ValidationStart,"Train 2024",IF(tblWorkPackages[[#This Row],[Request date serial]]&lt;HoldoutStart,"Validation H1","Holdout H2"))</f>
        <v>Train 2024</v>
      </c>
      <c r="T157" s="51" t="str">
        <f>IF(tblWorkPackages[[#This Row],[Time split]]="Train 2024","",tblWorkPackages[[#This Row],[Estimated labor hours]]+VLOOKUP(tblWorkPackages[[#This Row],[Task type]],'Forecast validation'!$A$14:$E$25,IF(tblWorkPackages[[#This Row],[Time split]]="Validation H1",4,5),FALSE()))</f>
        <v/>
      </c>
      <c r="U157" s="51" t="str">
        <f>IF(tblWorkPackages[[#This Row],[Calibrated forecast hours]]="","",ABS(tblWorkPackages[[#This Row],[Actual labor hours]]-tblWorkPackages[[#This Row],[Calibrated forecast hours]]))</f>
        <v/>
      </c>
      <c r="V157" s="51">
        <f>IF(tblWorkPackages[[#This Row],[Time split]]="Train 2024",tblWorkPackages[[#This Row],[Estimated labor hours]],tblWorkPackages[[#This Row],[Calibrated forecast hours]])</f>
        <v>3.7</v>
      </c>
      <c r="W157" s="64">
        <f>DATEVALUE(tblWorkPackages[[#This Row],[Request date]])</f>
        <v>45634.0</v>
      </c>
      <c r="X157" s="64">
        <f>DATEVALUE(tblWorkPackages[[#This Row],[Due date]])</f>
        <v>45647.0</v>
      </c>
      <c r="Y157" s="64">
        <f>DATEVALUE(tblWorkPackages[[#This Row],[Completion date]])</f>
        <v>45641.0</v>
      </c>
      <c r="Z157" s="64">
        <f>_xlfn.MINIFS(tblLaborEntries[Work date serial],tblLaborEntries[Work package ID],tblWorkPackages[[#This Row],[Work package ID]])</f>
        <v>45638.0</v>
      </c>
      <c r="AA157" s="64">
        <f>_xlfn.MAXIFS(tblLaborEntries[Work date serial],tblLaborEntries[Work package ID],tblWorkPackages[[#This Row],[Work package ID]])</f>
        <v>45638.0</v>
      </c>
      <c r="AB157" s="65">
        <f>IF(tblWorkPackages[[#This Row],[Completion date serial]]&gt;tblWorkPackages[[#This Row],[Due date serial]],1,0)</f>
        <v>0</v>
      </c>
      <c r="AC157" s="65">
        <f>MAX(0,tblWorkPackages[[#This Row],[Completion date serial]]-tblWorkPackages[[#This Row],[Due date serial]])</f>
        <v>0</v>
      </c>
      <c r="AD157" s="65">
        <f>tblWorkPackages[[#This Row],[First labor date]]-tblWorkPackages[[#This Row],[Request date serial]]</f>
        <v>4</v>
      </c>
      <c r="AE157" s="65">
        <f>tblWorkPackages[[#This Row],[Last labor date]]-tblWorkPackages[[#This Row],[First labor date]]</f>
        <v>0</v>
      </c>
      <c r="AF157" s="65">
        <f>tblWorkPackages[[#This Row],[Completion date serial]]-tblWorkPackages[[#This Row],[Last labor date]]</f>
        <v>3</v>
      </c>
      <c r="AG157" s="65">
        <f>tblWorkPackages[[#This Row],[Completion date serial]]-tblWorkPackages[[#This Row],[Request date serial]]</f>
        <v>7</v>
      </c>
      <c r="AH157" s="65">
        <f>IFERROR(INDEX(tblParts[Delay days],MATCH(tblWorkPackages[[#This Row],[Work package ID]],tblParts[Work package ID],0)),0)</f>
        <v>0</v>
      </c>
      <c r="AI157" s="51" t="str">
        <f>IFERROR(INDEX(tblDisruptions[Event type],MATCH(tblWorkPackages[[#This Row],[Work package ID]],tblDisruptions[Work package ID],0)),"None")</f>
        <v>None</v>
      </c>
      <c r="AJ157" s="51" t="str">
        <f>TEXT(tblWorkPackages[[#This Row],[Due date serial]],"yyyy-mm")</f>
        <v>2024-12</v>
      </c>
    </row>
    <row r="158" spans="1:36" ht="15" x14ac:dyDescent="0.25">
      <c r="A158" s="53" t="s">
        <v>657</v>
      </c>
      <c r="B158" s="53" t="s">
        <v>203</v>
      </c>
      <c r="C158" s="53" t="s">
        <v>341</v>
      </c>
      <c r="D158" s="53" t="s">
        <v>342</v>
      </c>
      <c r="E158" s="53" t="s">
        <v>209</v>
      </c>
      <c r="F158" s="53" t="s">
        <v>145</v>
      </c>
      <c r="G158" s="53" t="s">
        <v>210</v>
      </c>
      <c r="H158" s="53">
        <v>2</v>
      </c>
      <c r="I158" s="53" t="s">
        <v>130</v>
      </c>
      <c r="J158" s="53">
        <v>0</v>
      </c>
      <c r="K158" s="53">
        <v>1</v>
      </c>
      <c r="L158" s="53">
        <v>19.399999999999999</v>
      </c>
      <c r="M158" s="53" t="s">
        <v>658</v>
      </c>
      <c r="N158" s="53">
        <v>29.3</v>
      </c>
      <c r="O158" s="51" t="str">
        <f>TEXT(tblWorkPackages[[#This Row],[Request date serial]]-WEEKDAY(tblWorkPackages[[#This Row],[Request date serial]],3),"yyyy-mm-dd")</f>
        <v>2025-07-14</v>
      </c>
      <c r="P158" s="51">
        <f>ABS(tblWorkPackages[[#This Row],[Actual labor hours]]-tblWorkPackages[[#This Row],[Estimated labor hours]])</f>
        <v>9.9</v>
      </c>
      <c r="Q158" s="51">
        <f>IF(tblWorkPackages[[#This Row],[Actual labor hours]]&gt;tblWorkPackages[[#This Row],[Estimated labor hours]],1,0)</f>
        <v>1</v>
      </c>
      <c r="R158" s="51">
        <f>tblWorkPackages[[#This Row],[Actual labor hours]]-tblWorkPackages[[#This Row],[Estimated labor hours]]</f>
        <v>9.9</v>
      </c>
      <c r="S158" s="51" t="str">
        <f>IF(tblWorkPackages[[#This Row],[Request date serial]]&lt;ValidationStart,"Train 2024",IF(tblWorkPackages[[#This Row],[Request date serial]]&lt;HoldoutStart,"Validation H1","Holdout H2"))</f>
        <v>Holdout H2</v>
      </c>
      <c r="T158" s="51">
        <f>IF(tblWorkPackages[[#This Row],[Time split]]="Train 2024","",tblWorkPackages[[#This Row],[Estimated labor hours]]+VLOOKUP(tblWorkPackages[[#This Row],[Task type]],'Forecast validation'!$A$14:$E$25,IF(tblWorkPackages[[#This Row],[Time split]]="Validation H1",4,5),FALSE()))</f>
        <v>21.195652173913</v>
      </c>
      <c r="U158" s="51">
        <f>IF(tblWorkPackages[[#This Row],[Calibrated forecast hours]]="","",ABS(tblWorkPackages[[#This Row],[Actual labor hours]]-tblWorkPackages[[#This Row],[Calibrated forecast hours]]))</f>
        <v>8.10434782608696</v>
      </c>
      <c r="V158" s="51">
        <f>IF(tblWorkPackages[[#This Row],[Time split]]="Train 2024",tblWorkPackages[[#This Row],[Estimated labor hours]],tblWorkPackages[[#This Row],[Calibrated forecast hours]])</f>
        <v>21.195652173913</v>
      </c>
      <c r="W158" s="64">
        <f>DATEVALUE(tblWorkPackages[[#This Row],[Request date]])</f>
        <v>45858.0</v>
      </c>
      <c r="X158" s="64">
        <f>DATEVALUE(tblWorkPackages[[#This Row],[Due date]])</f>
        <v>45871.0</v>
      </c>
      <c r="Y158" s="64">
        <f>DATEVALUE(tblWorkPackages[[#This Row],[Completion date]])</f>
        <v>45873.0</v>
      </c>
      <c r="Z158" s="64">
        <f>_xlfn.MINIFS(tblLaborEntries[Work date serial],tblLaborEntries[Work package ID],tblWorkPackages[[#This Row],[Work package ID]])</f>
        <v>45872.0</v>
      </c>
      <c r="AA158" s="64">
        <f>_xlfn.MAXIFS(tblLaborEntries[Work date serial],tblLaborEntries[Work package ID],tblWorkPackages[[#This Row],[Work package ID]])</f>
        <v>45873.0</v>
      </c>
      <c r="AB158" s="65">
        <f>IF(tblWorkPackages[[#This Row],[Completion date serial]]&gt;tblWorkPackages[[#This Row],[Due date serial]],1,0)</f>
        <v>1</v>
      </c>
      <c r="AC158" s="65">
        <f>MAX(0,tblWorkPackages[[#This Row],[Completion date serial]]-tblWorkPackages[[#This Row],[Due date serial]])</f>
        <v>2</v>
      </c>
      <c r="AD158" s="65">
        <f>tblWorkPackages[[#This Row],[First labor date]]-tblWorkPackages[[#This Row],[Request date serial]]</f>
        <v>14</v>
      </c>
      <c r="AE158" s="65">
        <f>tblWorkPackages[[#This Row],[Last labor date]]-tblWorkPackages[[#This Row],[First labor date]]</f>
        <v>1</v>
      </c>
      <c r="AF158" s="65">
        <f>tblWorkPackages[[#This Row],[Completion date serial]]-tblWorkPackages[[#This Row],[Last labor date]]</f>
        <v>0</v>
      </c>
      <c r="AG158" s="65">
        <f>tblWorkPackages[[#This Row],[Completion date serial]]-tblWorkPackages[[#This Row],[Request date serial]]</f>
        <v>15</v>
      </c>
      <c r="AH158" s="65">
        <f>IFERROR(INDEX(tblParts[Delay days],MATCH(tblWorkPackages[[#This Row],[Work package ID]],tblParts[Work package ID],0)),0)</f>
        <v>13</v>
      </c>
      <c r="AI158" s="51" t="str">
        <f>IFERROR(INDEX(tblDisruptions[Event type],MATCH(tblWorkPackages[[#This Row],[Work package ID]],tblDisruptions[Work package ID],0)),"None")</f>
        <v>Part delay</v>
      </c>
      <c r="AJ158" s="51" t="str">
        <f>TEXT(tblWorkPackages[[#This Row],[Due date serial]],"yyyy-mm")</f>
        <v>2025-08</v>
      </c>
    </row>
    <row r="159" spans="1:36" ht="15" x14ac:dyDescent="0.25">
      <c r="A159" s="53" t="s">
        <v>659</v>
      </c>
      <c r="B159" s="53" t="s">
        <v>235</v>
      </c>
      <c r="C159" s="53" t="s">
        <v>294</v>
      </c>
      <c r="D159" s="53" t="s">
        <v>660</v>
      </c>
      <c r="E159" s="53" t="s">
        <v>136</v>
      </c>
      <c r="F159" s="53" t="s">
        <v>137</v>
      </c>
      <c r="G159" s="53" t="s">
        <v>138</v>
      </c>
      <c r="H159" s="53">
        <v>3</v>
      </c>
      <c r="I159" s="53" t="s">
        <v>130</v>
      </c>
      <c r="J159" s="53">
        <v>0</v>
      </c>
      <c r="K159" s="53">
        <v>0</v>
      </c>
      <c r="L159" s="53">
        <v>17.3</v>
      </c>
      <c r="M159" s="53" t="s">
        <v>661</v>
      </c>
      <c r="N159" s="53">
        <v>22</v>
      </c>
      <c r="O159" s="51" t="str">
        <f>TEXT(tblWorkPackages[[#This Row],[Request date serial]]-WEEKDAY(tblWorkPackages[[#This Row],[Request date serial]],3),"yyyy-mm-dd")</f>
        <v>2024-09-02</v>
      </c>
      <c r="P159" s="51">
        <f>ABS(tblWorkPackages[[#This Row],[Actual labor hours]]-tblWorkPackages[[#This Row],[Estimated labor hours]])</f>
        <v>4.7</v>
      </c>
      <c r="Q159" s="51">
        <f>IF(tblWorkPackages[[#This Row],[Actual labor hours]]&gt;tblWorkPackages[[#This Row],[Estimated labor hours]],1,0)</f>
        <v>1</v>
      </c>
      <c r="R159" s="51">
        <f>tblWorkPackages[[#This Row],[Actual labor hours]]-tblWorkPackages[[#This Row],[Estimated labor hours]]</f>
        <v>4.7</v>
      </c>
      <c r="S159" s="51" t="str">
        <f>IF(tblWorkPackages[[#This Row],[Request date serial]]&lt;ValidationStart,"Train 2024",IF(tblWorkPackages[[#This Row],[Request date serial]]&lt;HoldoutStart,"Validation H1","Holdout H2"))</f>
        <v>Train 2024</v>
      </c>
      <c r="T159" s="51" t="str">
        <f>IF(tblWorkPackages[[#This Row],[Time split]]="Train 2024","",tblWorkPackages[[#This Row],[Estimated labor hours]]+VLOOKUP(tblWorkPackages[[#This Row],[Task type]],'Forecast validation'!$A$14:$E$25,IF(tblWorkPackages[[#This Row],[Time split]]="Validation H1",4,5),FALSE()))</f>
        <v/>
      </c>
      <c r="U159" s="51" t="str">
        <f>IF(tblWorkPackages[[#This Row],[Calibrated forecast hours]]="","",ABS(tblWorkPackages[[#This Row],[Actual labor hours]]-tblWorkPackages[[#This Row],[Calibrated forecast hours]]))</f>
        <v/>
      </c>
      <c r="V159" s="51">
        <f>IF(tblWorkPackages[[#This Row],[Time split]]="Train 2024",tblWorkPackages[[#This Row],[Estimated labor hours]],tblWorkPackages[[#This Row],[Calibrated forecast hours]])</f>
        <v>17.3</v>
      </c>
      <c r="W159" s="64">
        <f>DATEVALUE(tblWorkPackages[[#This Row],[Request date]])</f>
        <v>45543.0</v>
      </c>
      <c r="X159" s="64">
        <f>DATEVALUE(tblWorkPackages[[#This Row],[Due date]])</f>
        <v>45556.0</v>
      </c>
      <c r="Y159" s="64">
        <f>DATEVALUE(tblWorkPackages[[#This Row],[Completion date]])</f>
        <v>45554.0</v>
      </c>
      <c r="Z159" s="64">
        <f>_xlfn.MINIFS(tblLaborEntries[Work date serial],tblLaborEntries[Work package ID],tblWorkPackages[[#This Row],[Work package ID]])</f>
        <v>45553.0</v>
      </c>
      <c r="AA159" s="64">
        <f>_xlfn.MAXIFS(tblLaborEntries[Work date serial],tblLaborEntries[Work package ID],tblWorkPackages[[#This Row],[Work package ID]])</f>
        <v>45553.0</v>
      </c>
      <c r="AB159" s="65">
        <f>IF(tblWorkPackages[[#This Row],[Completion date serial]]&gt;tblWorkPackages[[#This Row],[Due date serial]],1,0)</f>
        <v>0</v>
      </c>
      <c r="AC159" s="65">
        <f>MAX(0,tblWorkPackages[[#This Row],[Completion date serial]]-tblWorkPackages[[#This Row],[Due date serial]])</f>
        <v>0</v>
      </c>
      <c r="AD159" s="65">
        <f>tblWorkPackages[[#This Row],[First labor date]]-tblWorkPackages[[#This Row],[Request date serial]]</f>
        <v>10</v>
      </c>
      <c r="AE159" s="65">
        <f>tblWorkPackages[[#This Row],[Last labor date]]-tblWorkPackages[[#This Row],[First labor date]]</f>
        <v>0</v>
      </c>
      <c r="AF159" s="65">
        <f>tblWorkPackages[[#This Row],[Completion date serial]]-tblWorkPackages[[#This Row],[Last labor date]]</f>
        <v>1</v>
      </c>
      <c r="AG159" s="65">
        <f>tblWorkPackages[[#This Row],[Completion date serial]]-tblWorkPackages[[#This Row],[Request date serial]]</f>
        <v>11</v>
      </c>
      <c r="AH159" s="65">
        <f>IFERROR(INDEX(tblParts[Delay days],MATCH(tblWorkPackages[[#This Row],[Work package ID]],tblParts[Work package ID],0)),0)</f>
        <v>0</v>
      </c>
      <c r="AI159" s="51" t="str">
        <f>IFERROR(INDEX(tblDisruptions[Event type],MATCH(tblWorkPackages[[#This Row],[Work package ID]],tblDisruptions[Work package ID],0)),"None")</f>
        <v>None</v>
      </c>
      <c r="AJ159" s="51" t="str">
        <f>TEXT(tblWorkPackages[[#This Row],[Due date serial]],"yyyy-mm")</f>
        <v>2024-09</v>
      </c>
    </row>
    <row r="160" spans="1:36" ht="15" x14ac:dyDescent="0.25">
      <c r="A160" s="53" t="s">
        <v>662</v>
      </c>
      <c r="B160" s="53" t="s">
        <v>163</v>
      </c>
      <c r="C160" s="53" t="s">
        <v>475</v>
      </c>
      <c r="D160" s="53" t="s">
        <v>663</v>
      </c>
      <c r="E160" s="53" t="s">
        <v>242</v>
      </c>
      <c r="F160" s="53" t="s">
        <v>243</v>
      </c>
      <c r="G160" s="53" t="s">
        <v>129</v>
      </c>
      <c r="H160" s="53">
        <v>3</v>
      </c>
      <c r="I160" s="53" t="s">
        <v>130</v>
      </c>
      <c r="J160" s="53">
        <v>0</v>
      </c>
      <c r="K160" s="53">
        <v>0</v>
      </c>
      <c r="L160" s="53">
        <v>12.3</v>
      </c>
      <c r="M160" s="53" t="s">
        <v>320</v>
      </c>
      <c r="N160" s="53">
        <v>14.6</v>
      </c>
      <c r="O160" s="51" t="str">
        <f>TEXT(tblWorkPackages[[#This Row],[Request date serial]]-WEEKDAY(tblWorkPackages[[#This Row],[Request date serial]],3),"yyyy-mm-dd")</f>
        <v>2024-02-26</v>
      </c>
      <c r="P160" s="51">
        <f>ABS(tblWorkPackages[[#This Row],[Actual labor hours]]-tblWorkPackages[[#This Row],[Estimated labor hours]])</f>
        <v>2.3</v>
      </c>
      <c r="Q160" s="51">
        <f>IF(tblWorkPackages[[#This Row],[Actual labor hours]]&gt;tblWorkPackages[[#This Row],[Estimated labor hours]],1,0)</f>
        <v>1</v>
      </c>
      <c r="R160" s="51">
        <f>tblWorkPackages[[#This Row],[Actual labor hours]]-tblWorkPackages[[#This Row],[Estimated labor hours]]</f>
        <v>2.3</v>
      </c>
      <c r="S160" s="51" t="str">
        <f>IF(tblWorkPackages[[#This Row],[Request date serial]]&lt;ValidationStart,"Train 2024",IF(tblWorkPackages[[#This Row],[Request date serial]]&lt;HoldoutStart,"Validation H1","Holdout H2"))</f>
        <v>Train 2024</v>
      </c>
      <c r="T160" s="51" t="str">
        <f>IF(tblWorkPackages[[#This Row],[Time split]]="Train 2024","",tblWorkPackages[[#This Row],[Estimated labor hours]]+VLOOKUP(tblWorkPackages[[#This Row],[Task type]],'Forecast validation'!$A$14:$E$25,IF(tblWorkPackages[[#This Row],[Time split]]="Validation H1",4,5),FALSE()))</f>
        <v/>
      </c>
      <c r="U160" s="51" t="str">
        <f>IF(tblWorkPackages[[#This Row],[Calibrated forecast hours]]="","",ABS(tblWorkPackages[[#This Row],[Actual labor hours]]-tblWorkPackages[[#This Row],[Calibrated forecast hours]]))</f>
        <v/>
      </c>
      <c r="V160" s="51">
        <f>IF(tblWorkPackages[[#This Row],[Time split]]="Train 2024",tblWorkPackages[[#This Row],[Estimated labor hours]],tblWorkPackages[[#This Row],[Calibrated forecast hours]])</f>
        <v>12.3</v>
      </c>
      <c r="W160" s="64">
        <f>DATEVALUE(tblWorkPackages[[#This Row],[Request date]])</f>
        <v>45353.0</v>
      </c>
      <c r="X160" s="64">
        <f>DATEVALUE(tblWorkPackages[[#This Row],[Due date]])</f>
        <v>45366.0</v>
      </c>
      <c r="Y160" s="64">
        <f>DATEVALUE(tblWorkPackages[[#This Row],[Completion date]])</f>
        <v>45360.0</v>
      </c>
      <c r="Z160" s="64">
        <f>_xlfn.MINIFS(tblLaborEntries[Work date serial],tblLaborEntries[Work package ID],tblWorkPackages[[#This Row],[Work package ID]])</f>
        <v>45356.0</v>
      </c>
      <c r="AA160" s="64">
        <f>_xlfn.MAXIFS(tblLaborEntries[Work date serial],tblLaborEntries[Work package ID],tblWorkPackages[[#This Row],[Work package ID]])</f>
        <v>45358.0</v>
      </c>
      <c r="AB160" s="65">
        <f>IF(tblWorkPackages[[#This Row],[Completion date serial]]&gt;tblWorkPackages[[#This Row],[Due date serial]],1,0)</f>
        <v>0</v>
      </c>
      <c r="AC160" s="65">
        <f>MAX(0,tblWorkPackages[[#This Row],[Completion date serial]]-tblWorkPackages[[#This Row],[Due date serial]])</f>
        <v>0</v>
      </c>
      <c r="AD160" s="65">
        <f>tblWorkPackages[[#This Row],[First labor date]]-tblWorkPackages[[#This Row],[Request date serial]]</f>
        <v>3</v>
      </c>
      <c r="AE160" s="65">
        <f>tblWorkPackages[[#This Row],[Last labor date]]-tblWorkPackages[[#This Row],[First labor date]]</f>
        <v>2</v>
      </c>
      <c r="AF160" s="65">
        <f>tblWorkPackages[[#This Row],[Completion date serial]]-tblWorkPackages[[#This Row],[Last labor date]]</f>
        <v>2</v>
      </c>
      <c r="AG160" s="65">
        <f>tblWorkPackages[[#This Row],[Completion date serial]]-tblWorkPackages[[#This Row],[Request date serial]]</f>
        <v>7</v>
      </c>
      <c r="AH160" s="65">
        <f>IFERROR(INDEX(tblParts[Delay days],MATCH(tblWorkPackages[[#This Row],[Work package ID]],tblParts[Work package ID],0)),0)</f>
        <v>0</v>
      </c>
      <c r="AI160" s="51" t="str">
        <f>IFERROR(INDEX(tblDisruptions[Event type],MATCH(tblWorkPackages[[#This Row],[Work package ID]],tblDisruptions[Work package ID],0)),"None")</f>
        <v>Technician absence</v>
      </c>
      <c r="AJ160" s="51" t="str">
        <f>TEXT(tblWorkPackages[[#This Row],[Due date serial]],"yyyy-mm")</f>
        <v>2024-03</v>
      </c>
    </row>
    <row r="161" spans="1:36" ht="15" x14ac:dyDescent="0.25">
      <c r="A161" s="53" t="s">
        <v>664</v>
      </c>
      <c r="B161" s="53" t="s">
        <v>230</v>
      </c>
      <c r="C161" s="53" t="s">
        <v>665</v>
      </c>
      <c r="D161" s="53" t="s">
        <v>609</v>
      </c>
      <c r="E161" s="53" t="s">
        <v>153</v>
      </c>
      <c r="F161" s="53" t="s">
        <v>128</v>
      </c>
      <c r="G161" s="53" t="s">
        <v>154</v>
      </c>
      <c r="H161" s="53">
        <v>2</v>
      </c>
      <c r="I161" s="53" t="s">
        <v>176</v>
      </c>
      <c r="J161" s="53">
        <v>0</v>
      </c>
      <c r="K161" s="53">
        <v>0</v>
      </c>
      <c r="L161" s="53">
        <v>11.1</v>
      </c>
      <c r="M161" s="53" t="s">
        <v>472</v>
      </c>
      <c r="N161" s="53">
        <v>12.8</v>
      </c>
      <c r="O161" s="51" t="str">
        <f>TEXT(tblWorkPackages[[#This Row],[Request date serial]]-WEEKDAY(tblWorkPackages[[#This Row],[Request date serial]],3),"yyyy-mm-dd")</f>
        <v>2024-03-25</v>
      </c>
      <c r="P161" s="51">
        <f>ABS(tblWorkPackages[[#This Row],[Actual labor hours]]-tblWorkPackages[[#This Row],[Estimated labor hours]])</f>
        <v>1.7</v>
      </c>
      <c r="Q161" s="51">
        <f>IF(tblWorkPackages[[#This Row],[Actual labor hours]]&gt;tblWorkPackages[[#This Row],[Estimated labor hours]],1,0)</f>
        <v>1</v>
      </c>
      <c r="R161" s="51">
        <f>tblWorkPackages[[#This Row],[Actual labor hours]]-tblWorkPackages[[#This Row],[Estimated labor hours]]</f>
        <v>1.7</v>
      </c>
      <c r="S161" s="51" t="str">
        <f>IF(tblWorkPackages[[#This Row],[Request date serial]]&lt;ValidationStart,"Train 2024",IF(tblWorkPackages[[#This Row],[Request date serial]]&lt;HoldoutStart,"Validation H1","Holdout H2"))</f>
        <v>Train 2024</v>
      </c>
      <c r="T161" s="51" t="str">
        <f>IF(tblWorkPackages[[#This Row],[Time split]]="Train 2024","",tblWorkPackages[[#This Row],[Estimated labor hours]]+VLOOKUP(tblWorkPackages[[#This Row],[Task type]],'Forecast validation'!$A$14:$E$25,IF(tblWorkPackages[[#This Row],[Time split]]="Validation H1",4,5),FALSE()))</f>
        <v/>
      </c>
      <c r="U161" s="51" t="str">
        <f>IF(tblWorkPackages[[#This Row],[Calibrated forecast hours]]="","",ABS(tblWorkPackages[[#This Row],[Actual labor hours]]-tblWorkPackages[[#This Row],[Calibrated forecast hours]]))</f>
        <v/>
      </c>
      <c r="V161" s="51">
        <f>IF(tblWorkPackages[[#This Row],[Time split]]="Train 2024",tblWorkPackages[[#This Row],[Estimated labor hours]],tblWorkPackages[[#This Row],[Calibrated forecast hours]])</f>
        <v>11.1</v>
      </c>
      <c r="W161" s="64">
        <f>DATEVALUE(tblWorkPackages[[#This Row],[Request date]])</f>
        <v>45378.0</v>
      </c>
      <c r="X161" s="64">
        <f>DATEVALUE(tblWorkPackages[[#This Row],[Due date]])</f>
        <v>45384.0</v>
      </c>
      <c r="Y161" s="64">
        <f>DATEVALUE(tblWorkPackages[[#This Row],[Completion date]])</f>
        <v>45408.0</v>
      </c>
      <c r="Z161" s="64">
        <f>_xlfn.MINIFS(tblLaborEntries[Work date serial],tblLaborEntries[Work package ID],tblWorkPackages[[#This Row],[Work package ID]])</f>
        <v>45405.0</v>
      </c>
      <c r="AA161" s="64">
        <f>_xlfn.MAXIFS(tblLaborEntries[Work date serial],tblLaborEntries[Work package ID],tblWorkPackages[[#This Row],[Work package ID]])</f>
        <v>45405.0</v>
      </c>
      <c r="AB161" s="65">
        <f>IF(tblWorkPackages[[#This Row],[Completion date serial]]&gt;tblWorkPackages[[#This Row],[Due date serial]],1,0)</f>
        <v>1</v>
      </c>
      <c r="AC161" s="65">
        <f>MAX(0,tblWorkPackages[[#This Row],[Completion date serial]]-tblWorkPackages[[#This Row],[Due date serial]])</f>
        <v>24</v>
      </c>
      <c r="AD161" s="65">
        <f>tblWorkPackages[[#This Row],[First labor date]]-tblWorkPackages[[#This Row],[Request date serial]]</f>
        <v>27</v>
      </c>
      <c r="AE161" s="65">
        <f>tblWorkPackages[[#This Row],[Last labor date]]-tblWorkPackages[[#This Row],[First labor date]]</f>
        <v>0</v>
      </c>
      <c r="AF161" s="65">
        <f>tblWorkPackages[[#This Row],[Completion date serial]]-tblWorkPackages[[#This Row],[Last labor date]]</f>
        <v>3</v>
      </c>
      <c r="AG161" s="65">
        <f>tblWorkPackages[[#This Row],[Completion date serial]]-tblWorkPackages[[#This Row],[Request date serial]]</f>
        <v>30</v>
      </c>
      <c r="AH161" s="65">
        <f>IFERROR(INDEX(tblParts[Delay days],MATCH(tblWorkPackages[[#This Row],[Work package ID]],tblParts[Work package ID],0)),0)</f>
        <v>0</v>
      </c>
      <c r="AI161" s="51" t="str">
        <f>IFERROR(INDEX(tblDisruptions[Event type],MATCH(tblWorkPackages[[#This Row],[Work package ID]],tblDisruptions[Work package ID],0)),"None")</f>
        <v>None</v>
      </c>
      <c r="AJ161" s="51" t="str">
        <f>TEXT(tblWorkPackages[[#This Row],[Due date serial]],"yyyy-mm")</f>
        <v>2024-04</v>
      </c>
    </row>
    <row r="162" spans="1:36" ht="15" x14ac:dyDescent="0.25">
      <c r="A162" s="53" t="s">
        <v>666</v>
      </c>
      <c r="B162" s="53" t="s">
        <v>203</v>
      </c>
      <c r="C162" s="53" t="s">
        <v>667</v>
      </c>
      <c r="D162" s="53" t="s">
        <v>668</v>
      </c>
      <c r="E162" s="53" t="s">
        <v>160</v>
      </c>
      <c r="F162" s="53" t="s">
        <v>128</v>
      </c>
      <c r="G162" s="53" t="s">
        <v>138</v>
      </c>
      <c r="H162" s="53">
        <v>1</v>
      </c>
      <c r="I162" s="53" t="s">
        <v>176</v>
      </c>
      <c r="J162" s="53">
        <v>0</v>
      </c>
      <c r="K162" s="53">
        <v>0</v>
      </c>
      <c r="L162" s="53">
        <v>3.1</v>
      </c>
      <c r="M162" s="53" t="s">
        <v>668</v>
      </c>
      <c r="N162" s="53">
        <v>3.8</v>
      </c>
      <c r="O162" s="51" t="str">
        <f>TEXT(tblWorkPackages[[#This Row],[Request date serial]]-WEEKDAY(tblWorkPackages[[#This Row],[Request date serial]],3),"yyyy-mm-dd")</f>
        <v>2024-03-18</v>
      </c>
      <c r="P162" s="51">
        <f>ABS(tblWorkPackages[[#This Row],[Actual labor hours]]-tblWorkPackages[[#This Row],[Estimated labor hours]])</f>
        <v>0.7</v>
      </c>
      <c r="Q162" s="51">
        <f>IF(tblWorkPackages[[#This Row],[Actual labor hours]]&gt;tblWorkPackages[[#This Row],[Estimated labor hours]],1,0)</f>
        <v>1</v>
      </c>
      <c r="R162" s="51">
        <f>tblWorkPackages[[#This Row],[Actual labor hours]]-tblWorkPackages[[#This Row],[Estimated labor hours]]</f>
        <v>0.7</v>
      </c>
      <c r="S162" s="51" t="str">
        <f>IF(tblWorkPackages[[#This Row],[Request date serial]]&lt;ValidationStart,"Train 2024",IF(tblWorkPackages[[#This Row],[Request date serial]]&lt;HoldoutStart,"Validation H1","Holdout H2"))</f>
        <v>Train 2024</v>
      </c>
      <c r="T162" s="51" t="str">
        <f>IF(tblWorkPackages[[#This Row],[Time split]]="Train 2024","",tblWorkPackages[[#This Row],[Estimated labor hours]]+VLOOKUP(tblWorkPackages[[#This Row],[Task type]],'Forecast validation'!$A$14:$E$25,IF(tblWorkPackages[[#This Row],[Time split]]="Validation H1",4,5),FALSE()))</f>
        <v/>
      </c>
      <c r="U162" s="51" t="str">
        <f>IF(tblWorkPackages[[#This Row],[Calibrated forecast hours]]="","",ABS(tblWorkPackages[[#This Row],[Actual labor hours]]-tblWorkPackages[[#This Row],[Calibrated forecast hours]]))</f>
        <v/>
      </c>
      <c r="V162" s="51">
        <f>IF(tblWorkPackages[[#This Row],[Time split]]="Train 2024",tblWorkPackages[[#This Row],[Estimated labor hours]],tblWorkPackages[[#This Row],[Calibrated forecast hours]])</f>
        <v>3.1</v>
      </c>
      <c r="W162" s="64">
        <f>DATEVALUE(tblWorkPackages[[#This Row],[Request date]])</f>
        <v>45373.0</v>
      </c>
      <c r="X162" s="64">
        <f>DATEVALUE(tblWorkPackages[[#This Row],[Due date]])</f>
        <v>45379.0</v>
      </c>
      <c r="Y162" s="64">
        <f>DATEVALUE(tblWorkPackages[[#This Row],[Completion date]])</f>
        <v>45379.0</v>
      </c>
      <c r="Z162" s="64">
        <f>_xlfn.MINIFS(tblLaborEntries[Work date serial],tblLaborEntries[Work package ID],tblWorkPackages[[#This Row],[Work package ID]])</f>
        <v>45378.0</v>
      </c>
      <c r="AA162" s="64">
        <f>_xlfn.MAXIFS(tblLaborEntries[Work date serial],tblLaborEntries[Work package ID],tblWorkPackages[[#This Row],[Work package ID]])</f>
        <v>45379.0</v>
      </c>
      <c r="AB162" s="65">
        <f>IF(tblWorkPackages[[#This Row],[Completion date serial]]&gt;tblWorkPackages[[#This Row],[Due date serial]],1,0)</f>
        <v>0</v>
      </c>
      <c r="AC162" s="65">
        <f>MAX(0,tblWorkPackages[[#This Row],[Completion date serial]]-tblWorkPackages[[#This Row],[Due date serial]])</f>
        <v>0</v>
      </c>
      <c r="AD162" s="65">
        <f>tblWorkPackages[[#This Row],[First labor date]]-tblWorkPackages[[#This Row],[Request date serial]]</f>
        <v>5</v>
      </c>
      <c r="AE162" s="65">
        <f>tblWorkPackages[[#This Row],[Last labor date]]-tblWorkPackages[[#This Row],[First labor date]]</f>
        <v>1</v>
      </c>
      <c r="AF162" s="65">
        <f>tblWorkPackages[[#This Row],[Completion date serial]]-tblWorkPackages[[#This Row],[Last labor date]]</f>
        <v>0</v>
      </c>
      <c r="AG162" s="65">
        <f>tblWorkPackages[[#This Row],[Completion date serial]]-tblWorkPackages[[#This Row],[Request date serial]]</f>
        <v>6</v>
      </c>
      <c r="AH162" s="65">
        <f>IFERROR(INDEX(tblParts[Delay days],MATCH(tblWorkPackages[[#This Row],[Work package ID]],tblParts[Work package ID],0)),0)</f>
        <v>0</v>
      </c>
      <c r="AI162" s="51" t="str">
        <f>IFERROR(INDEX(tblDisruptions[Event type],MATCH(tblWorkPackages[[#This Row],[Work package ID]],tblDisruptions[Work package ID],0)),"None")</f>
        <v>None</v>
      </c>
      <c r="AJ162" s="51" t="str">
        <f>TEXT(tblWorkPackages[[#This Row],[Due date serial]],"yyyy-mm")</f>
        <v>2024-03</v>
      </c>
    </row>
    <row r="163" spans="1:36" ht="15" x14ac:dyDescent="0.25">
      <c r="A163" s="53" t="s">
        <v>669</v>
      </c>
      <c r="B163" s="53" t="s">
        <v>150</v>
      </c>
      <c r="C163" s="53" t="s">
        <v>670</v>
      </c>
      <c r="D163" s="53" t="s">
        <v>637</v>
      </c>
      <c r="E163" s="53" t="s">
        <v>237</v>
      </c>
      <c r="F163" s="53" t="s">
        <v>182</v>
      </c>
      <c r="G163" s="53" t="s">
        <v>138</v>
      </c>
      <c r="H163" s="53">
        <v>2</v>
      </c>
      <c r="I163" s="53" t="s">
        <v>130</v>
      </c>
      <c r="J163" s="53">
        <v>0</v>
      </c>
      <c r="K163" s="53">
        <v>1</v>
      </c>
      <c r="L163" s="53">
        <v>4.9000000000000004</v>
      </c>
      <c r="M163" s="53" t="s">
        <v>494</v>
      </c>
      <c r="N163" s="53">
        <v>6</v>
      </c>
      <c r="O163" s="51" t="str">
        <f>TEXT(tblWorkPackages[[#This Row],[Request date serial]]-WEEKDAY(tblWorkPackages[[#This Row],[Request date serial]],3),"yyyy-mm-dd")</f>
        <v>2025-09-22</v>
      </c>
      <c r="P163" s="51">
        <f>ABS(tblWorkPackages[[#This Row],[Actual labor hours]]-tblWorkPackages[[#This Row],[Estimated labor hours]])</f>
        <v>1.1</v>
      </c>
      <c r="Q163" s="51">
        <f>IF(tblWorkPackages[[#This Row],[Actual labor hours]]&gt;tblWorkPackages[[#This Row],[Estimated labor hours]],1,0)</f>
        <v>1</v>
      </c>
      <c r="R163" s="51">
        <f>tblWorkPackages[[#This Row],[Actual labor hours]]-tblWorkPackages[[#This Row],[Estimated labor hours]]</f>
        <v>1.1</v>
      </c>
      <c r="S163" s="51" t="str">
        <f>IF(tblWorkPackages[[#This Row],[Request date serial]]&lt;ValidationStart,"Train 2024",IF(tblWorkPackages[[#This Row],[Request date serial]]&lt;HoldoutStart,"Validation H1","Holdout H2"))</f>
        <v>Holdout H2</v>
      </c>
      <c r="T163" s="51">
        <f>IF(tblWorkPackages[[#This Row],[Time split]]="Train 2024","",tblWorkPackages[[#This Row],[Estimated labor hours]]+VLOOKUP(tblWorkPackages[[#This Row],[Task type]],'Forecast validation'!$A$14:$E$25,IF(tblWorkPackages[[#This Row],[Time split]]="Validation H1",4,5),FALSE()))</f>
        <v>5.353125</v>
      </c>
      <c r="U163" s="51">
        <f>IF(tblWorkPackages[[#This Row],[Calibrated forecast hours]]="","",ABS(tblWorkPackages[[#This Row],[Actual labor hours]]-tblWorkPackages[[#This Row],[Calibrated forecast hours]]))</f>
        <v>0.646875</v>
      </c>
      <c r="V163" s="51">
        <f>IF(tblWorkPackages[[#This Row],[Time split]]="Train 2024",tblWorkPackages[[#This Row],[Estimated labor hours]],tblWorkPackages[[#This Row],[Calibrated forecast hours]])</f>
        <v>5.353125</v>
      </c>
      <c r="W163" s="64">
        <f>DATEVALUE(tblWorkPackages[[#This Row],[Request date]])</f>
        <v>45926.0</v>
      </c>
      <c r="X163" s="64">
        <f>DATEVALUE(tblWorkPackages[[#This Row],[Due date]])</f>
        <v>45939.0</v>
      </c>
      <c r="Y163" s="64">
        <f>DATEVALUE(tblWorkPackages[[#This Row],[Completion date]])</f>
        <v>45930.0</v>
      </c>
      <c r="Z163" s="64">
        <f>_xlfn.MINIFS(tblLaborEntries[Work date serial],tblLaborEntries[Work package ID],tblWorkPackages[[#This Row],[Work package ID]])</f>
        <v>45927.0</v>
      </c>
      <c r="AA163" s="64">
        <f>_xlfn.MAXIFS(tblLaborEntries[Work date serial],tblLaborEntries[Work package ID],tblWorkPackages[[#This Row],[Work package ID]])</f>
        <v>45929.0</v>
      </c>
      <c r="AB163" s="65">
        <f>IF(tblWorkPackages[[#This Row],[Completion date serial]]&gt;tblWorkPackages[[#This Row],[Due date serial]],1,0)</f>
        <v>0</v>
      </c>
      <c r="AC163" s="65">
        <f>MAX(0,tblWorkPackages[[#This Row],[Completion date serial]]-tblWorkPackages[[#This Row],[Due date serial]])</f>
        <v>0</v>
      </c>
      <c r="AD163" s="65">
        <f>tblWorkPackages[[#This Row],[First labor date]]-tblWorkPackages[[#This Row],[Request date serial]]</f>
        <v>1</v>
      </c>
      <c r="AE163" s="65">
        <f>tblWorkPackages[[#This Row],[Last labor date]]-tblWorkPackages[[#This Row],[First labor date]]</f>
        <v>2</v>
      </c>
      <c r="AF163" s="65">
        <f>tblWorkPackages[[#This Row],[Completion date serial]]-tblWorkPackages[[#This Row],[Last labor date]]</f>
        <v>1</v>
      </c>
      <c r="AG163" s="65">
        <f>tblWorkPackages[[#This Row],[Completion date serial]]-tblWorkPackages[[#This Row],[Request date serial]]</f>
        <v>4</v>
      </c>
      <c r="AH163" s="65">
        <f>IFERROR(INDEX(tblParts[Delay days],MATCH(tblWorkPackages[[#This Row],[Work package ID]],tblParts[Work package ID],0)),0)</f>
        <v>0</v>
      </c>
      <c r="AI163" s="51" t="str">
        <f>IFERROR(INDEX(tblDisruptions[Event type],MATCH(tblWorkPackages[[#This Row],[Work package ID]],tblDisruptions[Work package ID],0)),"None")</f>
        <v>None</v>
      </c>
      <c r="AJ163" s="51" t="str">
        <f>TEXT(tblWorkPackages[[#This Row],[Due date serial]],"yyyy-mm")</f>
        <v>2025-10</v>
      </c>
    </row>
    <row r="164" spans="1:36" ht="15" x14ac:dyDescent="0.25">
      <c r="A164" s="53" t="s">
        <v>671</v>
      </c>
      <c r="B164" s="53" t="s">
        <v>168</v>
      </c>
      <c r="C164" s="53" t="s">
        <v>568</v>
      </c>
      <c r="D164" s="53" t="s">
        <v>672</v>
      </c>
      <c r="E164" s="53" t="s">
        <v>160</v>
      </c>
      <c r="F164" s="53" t="s">
        <v>128</v>
      </c>
      <c r="G164" s="53" t="s">
        <v>138</v>
      </c>
      <c r="H164" s="53">
        <v>4</v>
      </c>
      <c r="I164" s="53" t="s">
        <v>130</v>
      </c>
      <c r="J164" s="53">
        <v>0</v>
      </c>
      <c r="K164" s="53">
        <v>0</v>
      </c>
      <c r="L164" s="53">
        <v>9.1</v>
      </c>
      <c r="M164" s="53" t="s">
        <v>673</v>
      </c>
      <c r="N164" s="53">
        <v>8.9</v>
      </c>
      <c r="O164" s="51" t="str">
        <f>TEXT(tblWorkPackages[[#This Row],[Request date serial]]-WEEKDAY(tblWorkPackages[[#This Row],[Request date serial]],3),"yyyy-mm-dd")</f>
        <v>2025-06-02</v>
      </c>
      <c r="P164" s="51">
        <f>ABS(tblWorkPackages[[#This Row],[Actual labor hours]]-tblWorkPackages[[#This Row],[Estimated labor hours]])</f>
        <v>0.199999999999999</v>
      </c>
      <c r="Q164" s="51">
        <f>IF(tblWorkPackages[[#This Row],[Actual labor hours]]&gt;tblWorkPackages[[#This Row],[Estimated labor hours]],1,0)</f>
        <v>0</v>
      </c>
      <c r="R164" s="51">
        <f>tblWorkPackages[[#This Row],[Actual labor hours]]-tblWorkPackages[[#This Row],[Estimated labor hours]]</f>
        <v>-0.199999999999999</v>
      </c>
      <c r="S164" s="51" t="str">
        <f>IF(tblWorkPackages[[#This Row],[Request date serial]]&lt;ValidationStart,"Train 2024",IF(tblWorkPackages[[#This Row],[Request date serial]]&lt;HoldoutStart,"Validation H1","Holdout H2"))</f>
        <v>Validation H1</v>
      </c>
      <c r="T164" s="51">
        <f>IF(tblWorkPackages[[#This Row],[Time split]]="Train 2024","",tblWorkPackages[[#This Row],[Estimated labor hours]]+VLOOKUP(tblWorkPackages[[#This Row],[Task type]],'Forecast validation'!$A$14:$E$25,IF(tblWorkPackages[[#This Row],[Time split]]="Validation H1",4,5),FALSE()))</f>
        <v>9.54146341463415</v>
      </c>
      <c r="U164" s="51">
        <f>IF(tblWorkPackages[[#This Row],[Calibrated forecast hours]]="","",ABS(tblWorkPackages[[#This Row],[Actual labor hours]]-tblWorkPackages[[#This Row],[Calibrated forecast hours]]))</f>
        <v>0.641463414634146</v>
      </c>
      <c r="V164" s="51">
        <f>IF(tblWorkPackages[[#This Row],[Time split]]="Train 2024",tblWorkPackages[[#This Row],[Estimated labor hours]],tblWorkPackages[[#This Row],[Calibrated forecast hours]])</f>
        <v>9.54146341463415</v>
      </c>
      <c r="W164" s="64">
        <f>DATEVALUE(tblWorkPackages[[#This Row],[Request date]])</f>
        <v>45813.0</v>
      </c>
      <c r="X164" s="64">
        <f>DATEVALUE(tblWorkPackages[[#This Row],[Due date]])</f>
        <v>45826.0</v>
      </c>
      <c r="Y164" s="64">
        <f>DATEVALUE(tblWorkPackages[[#This Row],[Completion date]])</f>
        <v>45830.0</v>
      </c>
      <c r="Z164" s="64">
        <f>_xlfn.MINIFS(tblLaborEntries[Work date serial],tblLaborEntries[Work package ID],tblWorkPackages[[#This Row],[Work package ID]])</f>
        <v>45826.0</v>
      </c>
      <c r="AA164" s="64">
        <f>_xlfn.MAXIFS(tblLaborEntries[Work date serial],tblLaborEntries[Work package ID],tblWorkPackages[[#This Row],[Work package ID]])</f>
        <v>45828.0</v>
      </c>
      <c r="AB164" s="65">
        <f>IF(tblWorkPackages[[#This Row],[Completion date serial]]&gt;tblWorkPackages[[#This Row],[Due date serial]],1,0)</f>
        <v>1</v>
      </c>
      <c r="AC164" s="65">
        <f>MAX(0,tblWorkPackages[[#This Row],[Completion date serial]]-tblWorkPackages[[#This Row],[Due date serial]])</f>
        <v>4</v>
      </c>
      <c r="AD164" s="65">
        <f>tblWorkPackages[[#This Row],[First labor date]]-tblWorkPackages[[#This Row],[Request date serial]]</f>
        <v>13</v>
      </c>
      <c r="AE164" s="65">
        <f>tblWorkPackages[[#This Row],[Last labor date]]-tblWorkPackages[[#This Row],[First labor date]]</f>
        <v>2</v>
      </c>
      <c r="AF164" s="65">
        <f>tblWorkPackages[[#This Row],[Completion date serial]]-tblWorkPackages[[#This Row],[Last labor date]]</f>
        <v>2</v>
      </c>
      <c r="AG164" s="65">
        <f>tblWorkPackages[[#This Row],[Completion date serial]]-tblWorkPackages[[#This Row],[Request date serial]]</f>
        <v>17</v>
      </c>
      <c r="AH164" s="65">
        <f>IFERROR(INDEX(tblParts[Delay days],MATCH(tblWorkPackages[[#This Row],[Work package ID]],tblParts[Work package ID],0)),0)</f>
        <v>0</v>
      </c>
      <c r="AI164" s="51" t="str">
        <f>IFERROR(INDEX(tblDisruptions[Event type],MATCH(tblWorkPackages[[#This Row],[Work package ID]],tblDisruptions[Work package ID],0)),"None")</f>
        <v>None</v>
      </c>
      <c r="AJ164" s="51" t="str">
        <f>TEXT(tblWorkPackages[[#This Row],[Due date serial]],"yyyy-mm")</f>
        <v>2025-06</v>
      </c>
    </row>
    <row r="165" spans="1:36" ht="15" x14ac:dyDescent="0.25">
      <c r="A165" s="53" t="s">
        <v>674</v>
      </c>
      <c r="B165" s="53" t="s">
        <v>133</v>
      </c>
      <c r="C165" s="53" t="s">
        <v>675</v>
      </c>
      <c r="D165" s="53" t="s">
        <v>676</v>
      </c>
      <c r="E165" s="53" t="s">
        <v>209</v>
      </c>
      <c r="F165" s="53" t="s">
        <v>145</v>
      </c>
      <c r="G165" s="53" t="s">
        <v>210</v>
      </c>
      <c r="H165" s="53">
        <v>3</v>
      </c>
      <c r="I165" s="53" t="s">
        <v>176</v>
      </c>
      <c r="J165" s="53">
        <v>0</v>
      </c>
      <c r="K165" s="53">
        <v>1</v>
      </c>
      <c r="L165" s="53">
        <v>30.6</v>
      </c>
      <c r="M165" s="53" t="s">
        <v>677</v>
      </c>
      <c r="N165" s="53">
        <v>29.8</v>
      </c>
      <c r="O165" s="51" t="str">
        <f>TEXT(tblWorkPackages[[#This Row],[Request date serial]]-WEEKDAY(tblWorkPackages[[#This Row],[Request date serial]],3),"yyyy-mm-dd")</f>
        <v>2024-04-15</v>
      </c>
      <c r="P165" s="51">
        <f>ABS(tblWorkPackages[[#This Row],[Actual labor hours]]-tblWorkPackages[[#This Row],[Estimated labor hours]])</f>
        <v>0.800000000000001</v>
      </c>
      <c r="Q165" s="51">
        <f>IF(tblWorkPackages[[#This Row],[Actual labor hours]]&gt;tblWorkPackages[[#This Row],[Estimated labor hours]],1,0)</f>
        <v>0</v>
      </c>
      <c r="R165" s="51">
        <f>tblWorkPackages[[#This Row],[Actual labor hours]]-tblWorkPackages[[#This Row],[Estimated labor hours]]</f>
        <v>-0.800000000000001</v>
      </c>
      <c r="S165" s="51" t="str">
        <f>IF(tblWorkPackages[[#This Row],[Request date serial]]&lt;ValidationStart,"Train 2024",IF(tblWorkPackages[[#This Row],[Request date serial]]&lt;HoldoutStart,"Validation H1","Holdout H2"))</f>
        <v>Train 2024</v>
      </c>
      <c r="T165" s="51" t="str">
        <f>IF(tblWorkPackages[[#This Row],[Time split]]="Train 2024","",tblWorkPackages[[#This Row],[Estimated labor hours]]+VLOOKUP(tblWorkPackages[[#This Row],[Task type]],'Forecast validation'!$A$14:$E$25,IF(tblWorkPackages[[#This Row],[Time split]]="Validation H1",4,5),FALSE()))</f>
        <v/>
      </c>
      <c r="U165" s="51" t="str">
        <f>IF(tblWorkPackages[[#This Row],[Calibrated forecast hours]]="","",ABS(tblWorkPackages[[#This Row],[Actual labor hours]]-tblWorkPackages[[#This Row],[Calibrated forecast hours]]))</f>
        <v/>
      </c>
      <c r="V165" s="51">
        <f>IF(tblWorkPackages[[#This Row],[Time split]]="Train 2024",tblWorkPackages[[#This Row],[Estimated labor hours]],tblWorkPackages[[#This Row],[Calibrated forecast hours]])</f>
        <v>30.6</v>
      </c>
      <c r="W165" s="64">
        <f>DATEVALUE(tblWorkPackages[[#This Row],[Request date]])</f>
        <v>45399.0</v>
      </c>
      <c r="X165" s="64">
        <f>DATEVALUE(tblWorkPackages[[#This Row],[Due date]])</f>
        <v>45405.0</v>
      </c>
      <c r="Y165" s="64">
        <f>DATEVALUE(tblWorkPackages[[#This Row],[Completion date]])</f>
        <v>45406.0</v>
      </c>
      <c r="Z165" s="64">
        <f>_xlfn.MINIFS(tblLaborEntries[Work date serial],tblLaborEntries[Work package ID],tblWorkPackages[[#This Row],[Work package ID]])</f>
        <v>45402.0</v>
      </c>
      <c r="AA165" s="64">
        <f>_xlfn.MAXIFS(tblLaborEntries[Work date serial],tblLaborEntries[Work package ID],tblWorkPackages[[#This Row],[Work package ID]])</f>
        <v>45403.0</v>
      </c>
      <c r="AB165" s="65">
        <f>IF(tblWorkPackages[[#This Row],[Completion date serial]]&gt;tblWorkPackages[[#This Row],[Due date serial]],1,0)</f>
        <v>1</v>
      </c>
      <c r="AC165" s="65">
        <f>MAX(0,tblWorkPackages[[#This Row],[Completion date serial]]-tblWorkPackages[[#This Row],[Due date serial]])</f>
        <v>1</v>
      </c>
      <c r="AD165" s="65">
        <f>tblWorkPackages[[#This Row],[First labor date]]-tblWorkPackages[[#This Row],[Request date serial]]</f>
        <v>3</v>
      </c>
      <c r="AE165" s="65">
        <f>tblWorkPackages[[#This Row],[Last labor date]]-tblWorkPackages[[#This Row],[First labor date]]</f>
        <v>1</v>
      </c>
      <c r="AF165" s="65">
        <f>tblWorkPackages[[#This Row],[Completion date serial]]-tblWorkPackages[[#This Row],[Last labor date]]</f>
        <v>3</v>
      </c>
      <c r="AG165" s="65">
        <f>tblWorkPackages[[#This Row],[Completion date serial]]-tblWorkPackages[[#This Row],[Request date serial]]</f>
        <v>7</v>
      </c>
      <c r="AH165" s="65">
        <f>IFERROR(INDEX(tblParts[Delay days],MATCH(tblWorkPackages[[#This Row],[Work package ID]],tblParts[Work package ID],0)),0)</f>
        <v>0</v>
      </c>
      <c r="AI165" s="51" t="str">
        <f>IFERROR(INDEX(tblDisruptions[Event type],MATCH(tblWorkPackages[[#This Row],[Work package ID]],tblDisruptions[Work package ID],0)),"None")</f>
        <v>None</v>
      </c>
      <c r="AJ165" s="51" t="str">
        <f>TEXT(tblWorkPackages[[#This Row],[Due date serial]],"yyyy-mm")</f>
        <v>2024-04</v>
      </c>
    </row>
    <row r="166" spans="1:36" ht="15" x14ac:dyDescent="0.25">
      <c r="A166" s="53" t="s">
        <v>678</v>
      </c>
      <c r="B166" s="53" t="s">
        <v>250</v>
      </c>
      <c r="C166" s="53" t="s">
        <v>233</v>
      </c>
      <c r="D166" s="53" t="s">
        <v>679</v>
      </c>
      <c r="E166" s="53" t="s">
        <v>272</v>
      </c>
      <c r="F166" s="53" t="s">
        <v>145</v>
      </c>
      <c r="G166" s="53" t="s">
        <v>273</v>
      </c>
      <c r="H166" s="53">
        <v>4</v>
      </c>
      <c r="I166" s="53" t="s">
        <v>147</v>
      </c>
      <c r="J166" s="53">
        <v>0</v>
      </c>
      <c r="K166" s="53">
        <v>0</v>
      </c>
      <c r="L166" s="53">
        <v>20.8</v>
      </c>
      <c r="M166" s="53" t="s">
        <v>412</v>
      </c>
      <c r="N166" s="53">
        <v>24.3</v>
      </c>
      <c r="O166" s="51" t="str">
        <f>TEXT(tblWorkPackages[[#This Row],[Request date serial]]-WEEKDAY(tblWorkPackages[[#This Row],[Request date serial]],3),"yyyy-mm-dd")</f>
        <v>2024-12-30</v>
      </c>
      <c r="P166" s="51">
        <f>ABS(tblWorkPackages[[#This Row],[Actual labor hours]]-tblWorkPackages[[#This Row],[Estimated labor hours]])</f>
        <v>3.5</v>
      </c>
      <c r="Q166" s="51">
        <f>IF(tblWorkPackages[[#This Row],[Actual labor hours]]&gt;tblWorkPackages[[#This Row],[Estimated labor hours]],1,0)</f>
        <v>1</v>
      </c>
      <c r="R166" s="51">
        <f>tblWorkPackages[[#This Row],[Actual labor hours]]-tblWorkPackages[[#This Row],[Estimated labor hours]]</f>
        <v>3.5</v>
      </c>
      <c r="S166" s="51" t="str">
        <f>IF(tblWorkPackages[[#This Row],[Request date serial]]&lt;ValidationStart,"Train 2024",IF(tblWorkPackages[[#This Row],[Request date serial]]&lt;HoldoutStart,"Validation H1","Holdout H2"))</f>
        <v>Validation H1</v>
      </c>
      <c r="T166" s="51">
        <f>IF(tblWorkPackages[[#This Row],[Time split]]="Train 2024","",tblWorkPackages[[#This Row],[Estimated labor hours]]+VLOOKUP(tblWorkPackages[[#This Row],[Task type]],'Forecast validation'!$A$14:$E$25,IF(tblWorkPackages[[#This Row],[Time split]]="Validation H1",4,5),FALSE()))</f>
        <v>21.8320512820513</v>
      </c>
      <c r="U166" s="51">
        <f>IF(tblWorkPackages[[#This Row],[Calibrated forecast hours]]="","",ABS(tblWorkPackages[[#This Row],[Actual labor hours]]-tblWorkPackages[[#This Row],[Calibrated forecast hours]]))</f>
        <v>2.46794871794872</v>
      </c>
      <c r="V166" s="51">
        <f>IF(tblWorkPackages[[#This Row],[Time split]]="Train 2024",tblWorkPackages[[#This Row],[Estimated labor hours]],tblWorkPackages[[#This Row],[Calibrated forecast hours]])</f>
        <v>21.8320512820513</v>
      </c>
      <c r="W166" s="64">
        <f>DATEVALUE(tblWorkPackages[[#This Row],[Request date]])</f>
        <v>45661.0</v>
      </c>
      <c r="X166" s="64">
        <f>DATEVALUE(tblWorkPackages[[#This Row],[Due date]])</f>
        <v>45663.0</v>
      </c>
      <c r="Y166" s="64">
        <f>DATEVALUE(tblWorkPackages[[#This Row],[Completion date]])</f>
        <v>45712.0</v>
      </c>
      <c r="Z166" s="64">
        <f>_xlfn.MINIFS(tblLaborEntries[Work date serial],tblLaborEntries[Work package ID],tblWorkPackages[[#This Row],[Work package ID]])</f>
        <v>45710.0</v>
      </c>
      <c r="AA166" s="64">
        <f>_xlfn.MAXIFS(tblLaborEntries[Work date serial],tblLaborEntries[Work package ID],tblWorkPackages[[#This Row],[Work package ID]])</f>
        <v>45712.0</v>
      </c>
      <c r="AB166" s="65">
        <f>IF(tblWorkPackages[[#This Row],[Completion date serial]]&gt;tblWorkPackages[[#This Row],[Due date serial]],1,0)</f>
        <v>1</v>
      </c>
      <c r="AC166" s="65">
        <f>MAX(0,tblWorkPackages[[#This Row],[Completion date serial]]-tblWorkPackages[[#This Row],[Due date serial]])</f>
        <v>49</v>
      </c>
      <c r="AD166" s="65">
        <f>tblWorkPackages[[#This Row],[First labor date]]-tblWorkPackages[[#This Row],[Request date serial]]</f>
        <v>49</v>
      </c>
      <c r="AE166" s="65">
        <f>tblWorkPackages[[#This Row],[Last labor date]]-tblWorkPackages[[#This Row],[First labor date]]</f>
        <v>2</v>
      </c>
      <c r="AF166" s="65">
        <f>tblWorkPackages[[#This Row],[Completion date serial]]-tblWorkPackages[[#This Row],[Last labor date]]</f>
        <v>0</v>
      </c>
      <c r="AG166" s="65">
        <f>tblWorkPackages[[#This Row],[Completion date serial]]-tblWorkPackages[[#This Row],[Request date serial]]</f>
        <v>51</v>
      </c>
      <c r="AH166" s="65">
        <f>IFERROR(INDEX(tblParts[Delay days],MATCH(tblWorkPackages[[#This Row],[Work package ID]],tblParts[Work package ID],0)),0)</f>
        <v>0</v>
      </c>
      <c r="AI166" s="51" t="str">
        <f>IFERROR(INDEX(tblDisruptions[Event type],MATCH(tblWorkPackages[[#This Row],[Work package ID]],tblDisruptions[Work package ID],0)),"None")</f>
        <v>None</v>
      </c>
      <c r="AJ166" s="51" t="str">
        <f>TEXT(tblWorkPackages[[#This Row],[Due date serial]],"yyyy-mm")</f>
        <v>2025-01</v>
      </c>
    </row>
    <row r="167" spans="1:36" ht="15" x14ac:dyDescent="0.25">
      <c r="A167" s="53" t="s">
        <v>680</v>
      </c>
      <c r="B167" s="53" t="s">
        <v>230</v>
      </c>
      <c r="C167" s="53" t="s">
        <v>232</v>
      </c>
      <c r="D167" s="53" t="s">
        <v>681</v>
      </c>
      <c r="E167" s="53" t="s">
        <v>136</v>
      </c>
      <c r="F167" s="53" t="s">
        <v>137</v>
      </c>
      <c r="G167" s="53" t="s">
        <v>138</v>
      </c>
      <c r="H167" s="53">
        <v>1</v>
      </c>
      <c r="I167" s="53" t="s">
        <v>130</v>
      </c>
      <c r="J167" s="53">
        <v>0</v>
      </c>
      <c r="K167" s="53">
        <v>0</v>
      </c>
      <c r="L167" s="53">
        <v>9.9</v>
      </c>
      <c r="M167" s="53" t="s">
        <v>253</v>
      </c>
      <c r="N167" s="53">
        <v>7.6</v>
      </c>
      <c r="O167" s="51" t="str">
        <f>TEXT(tblWorkPackages[[#This Row],[Request date serial]]-WEEKDAY(tblWorkPackages[[#This Row],[Request date serial]],3),"yyyy-mm-dd")</f>
        <v>2025-01-06</v>
      </c>
      <c r="P167" s="51">
        <f>ABS(tblWorkPackages[[#This Row],[Actual labor hours]]-tblWorkPackages[[#This Row],[Estimated labor hours]])</f>
        <v>2.3</v>
      </c>
      <c r="Q167" s="51">
        <f>IF(tblWorkPackages[[#This Row],[Actual labor hours]]&gt;tblWorkPackages[[#This Row],[Estimated labor hours]],1,0)</f>
        <v>0</v>
      </c>
      <c r="R167" s="51">
        <f>tblWorkPackages[[#This Row],[Actual labor hours]]-tblWorkPackages[[#This Row],[Estimated labor hours]]</f>
        <v>-2.3</v>
      </c>
      <c r="S167" s="51" t="str">
        <f>IF(tblWorkPackages[[#This Row],[Request date serial]]&lt;ValidationStart,"Train 2024",IF(tblWorkPackages[[#This Row],[Request date serial]]&lt;HoldoutStart,"Validation H1","Holdout H2"))</f>
        <v>Validation H1</v>
      </c>
      <c r="T167" s="51">
        <f>IF(tblWorkPackages[[#This Row],[Time split]]="Train 2024","",tblWorkPackages[[#This Row],[Estimated labor hours]]+VLOOKUP(tblWorkPackages[[#This Row],[Task type]],'Forecast validation'!$A$14:$E$25,IF(tblWorkPackages[[#This Row],[Time split]]="Validation H1",4,5),FALSE()))</f>
        <v>10.7765306122449</v>
      </c>
      <c r="U167" s="51">
        <f>IF(tblWorkPackages[[#This Row],[Calibrated forecast hours]]="","",ABS(tblWorkPackages[[#This Row],[Actual labor hours]]-tblWorkPackages[[#This Row],[Calibrated forecast hours]]))</f>
        <v>3.1765306122449</v>
      </c>
      <c r="V167" s="51">
        <f>IF(tblWorkPackages[[#This Row],[Time split]]="Train 2024",tblWorkPackages[[#This Row],[Estimated labor hours]],tblWorkPackages[[#This Row],[Calibrated forecast hours]])</f>
        <v>10.7765306122449</v>
      </c>
      <c r="W167" s="64">
        <f>DATEVALUE(tblWorkPackages[[#This Row],[Request date]])</f>
        <v>45668.0</v>
      </c>
      <c r="X167" s="64">
        <f>DATEVALUE(tblWorkPackages[[#This Row],[Due date]])</f>
        <v>45681.0</v>
      </c>
      <c r="Y167" s="64">
        <f>DATEVALUE(tblWorkPackages[[#This Row],[Completion date]])</f>
        <v>45677.0</v>
      </c>
      <c r="Z167" s="64">
        <f>_xlfn.MINIFS(tblLaborEntries[Work date serial],tblLaborEntries[Work package ID],tblWorkPackages[[#This Row],[Work package ID]])</f>
        <v>45676.0</v>
      </c>
      <c r="AA167" s="64">
        <f>_xlfn.MAXIFS(tblLaborEntries[Work date serial],tblLaborEntries[Work package ID],tblWorkPackages[[#This Row],[Work package ID]])</f>
        <v>45676.0</v>
      </c>
      <c r="AB167" s="65">
        <f>IF(tblWorkPackages[[#This Row],[Completion date serial]]&gt;tblWorkPackages[[#This Row],[Due date serial]],1,0)</f>
        <v>0</v>
      </c>
      <c r="AC167" s="65">
        <f>MAX(0,tblWorkPackages[[#This Row],[Completion date serial]]-tblWorkPackages[[#This Row],[Due date serial]])</f>
        <v>0</v>
      </c>
      <c r="AD167" s="65">
        <f>tblWorkPackages[[#This Row],[First labor date]]-tblWorkPackages[[#This Row],[Request date serial]]</f>
        <v>8</v>
      </c>
      <c r="AE167" s="65">
        <f>tblWorkPackages[[#This Row],[Last labor date]]-tblWorkPackages[[#This Row],[First labor date]]</f>
        <v>0</v>
      </c>
      <c r="AF167" s="65">
        <f>tblWorkPackages[[#This Row],[Completion date serial]]-tblWorkPackages[[#This Row],[Last labor date]]</f>
        <v>1</v>
      </c>
      <c r="AG167" s="65">
        <f>tblWorkPackages[[#This Row],[Completion date serial]]-tblWorkPackages[[#This Row],[Request date serial]]</f>
        <v>9</v>
      </c>
      <c r="AH167" s="65">
        <f>IFERROR(INDEX(tblParts[Delay days],MATCH(tblWorkPackages[[#This Row],[Work package ID]],tblParts[Work package ID],0)),0)</f>
        <v>0</v>
      </c>
      <c r="AI167" s="51" t="str">
        <f>IFERROR(INDEX(tblDisruptions[Event type],MATCH(tblWorkPackages[[#This Row],[Work package ID]],tblDisruptions[Work package ID],0)),"None")</f>
        <v>None</v>
      </c>
      <c r="AJ167" s="51" t="str">
        <f>TEXT(tblWorkPackages[[#This Row],[Due date serial]],"yyyy-mm")</f>
        <v>2025-01</v>
      </c>
    </row>
    <row r="168" spans="1:36" ht="15" x14ac:dyDescent="0.25">
      <c r="A168" s="53" t="s">
        <v>682</v>
      </c>
      <c r="B168" s="53" t="s">
        <v>150</v>
      </c>
      <c r="C168" s="53" t="s">
        <v>670</v>
      </c>
      <c r="D168" s="53" t="s">
        <v>637</v>
      </c>
      <c r="E168" s="53" t="s">
        <v>237</v>
      </c>
      <c r="F168" s="53" t="s">
        <v>182</v>
      </c>
      <c r="G168" s="53" t="s">
        <v>138</v>
      </c>
      <c r="H168" s="53">
        <v>4</v>
      </c>
      <c r="I168" s="53" t="s">
        <v>130</v>
      </c>
      <c r="J168" s="53">
        <v>0</v>
      </c>
      <c r="K168" s="53">
        <v>0</v>
      </c>
      <c r="L168" s="53">
        <v>9.1</v>
      </c>
      <c r="M168" s="53" t="s">
        <v>683</v>
      </c>
      <c r="N168" s="53">
        <v>10.6</v>
      </c>
      <c r="O168" s="51" t="str">
        <f>TEXT(tblWorkPackages[[#This Row],[Request date serial]]-WEEKDAY(tblWorkPackages[[#This Row],[Request date serial]],3),"yyyy-mm-dd")</f>
        <v>2025-09-22</v>
      </c>
      <c r="P168" s="51">
        <f>ABS(tblWorkPackages[[#This Row],[Actual labor hours]]-tblWorkPackages[[#This Row],[Estimated labor hours]])</f>
        <v>1.5</v>
      </c>
      <c r="Q168" s="51">
        <f>IF(tblWorkPackages[[#This Row],[Actual labor hours]]&gt;tblWorkPackages[[#This Row],[Estimated labor hours]],1,0)</f>
        <v>1</v>
      </c>
      <c r="R168" s="51">
        <f>tblWorkPackages[[#This Row],[Actual labor hours]]-tblWorkPackages[[#This Row],[Estimated labor hours]]</f>
        <v>1.5</v>
      </c>
      <c r="S168" s="51" t="str">
        <f>IF(tblWorkPackages[[#This Row],[Request date serial]]&lt;ValidationStart,"Train 2024",IF(tblWorkPackages[[#This Row],[Request date serial]]&lt;HoldoutStart,"Validation H1","Holdout H2"))</f>
        <v>Holdout H2</v>
      </c>
      <c r="T168" s="51">
        <f>IF(tblWorkPackages[[#This Row],[Time split]]="Train 2024","",tblWorkPackages[[#This Row],[Estimated labor hours]]+VLOOKUP(tblWorkPackages[[#This Row],[Task type]],'Forecast validation'!$A$14:$E$25,IF(tblWorkPackages[[#This Row],[Time split]]="Validation H1",4,5),FALSE()))</f>
        <v>9.553125</v>
      </c>
      <c r="U168" s="51">
        <f>IF(tblWorkPackages[[#This Row],[Calibrated forecast hours]]="","",ABS(tblWorkPackages[[#This Row],[Actual labor hours]]-tblWorkPackages[[#This Row],[Calibrated forecast hours]]))</f>
        <v>1.046875</v>
      </c>
      <c r="V168" s="51">
        <f>IF(tblWorkPackages[[#This Row],[Time split]]="Train 2024",tblWorkPackages[[#This Row],[Estimated labor hours]],tblWorkPackages[[#This Row],[Calibrated forecast hours]])</f>
        <v>9.553125</v>
      </c>
      <c r="W168" s="64">
        <f>DATEVALUE(tblWorkPackages[[#This Row],[Request date]])</f>
        <v>45926.0</v>
      </c>
      <c r="X168" s="64">
        <f>DATEVALUE(tblWorkPackages[[#This Row],[Due date]])</f>
        <v>45939.0</v>
      </c>
      <c r="Y168" s="64">
        <f>DATEVALUE(tblWorkPackages[[#This Row],[Completion date]])</f>
        <v>45932.0</v>
      </c>
      <c r="Z168" s="64">
        <f>_xlfn.MINIFS(tblLaborEntries[Work date serial],tblLaborEntries[Work package ID],tblWorkPackages[[#This Row],[Work package ID]])</f>
        <v>45928.0</v>
      </c>
      <c r="AA168" s="64">
        <f>_xlfn.MAXIFS(tblLaborEntries[Work date serial],tblLaborEntries[Work package ID],tblWorkPackages[[#This Row],[Work package ID]])</f>
        <v>45930.0</v>
      </c>
      <c r="AB168" s="65">
        <f>IF(tblWorkPackages[[#This Row],[Completion date serial]]&gt;tblWorkPackages[[#This Row],[Due date serial]],1,0)</f>
        <v>0</v>
      </c>
      <c r="AC168" s="65">
        <f>MAX(0,tblWorkPackages[[#This Row],[Completion date serial]]-tblWorkPackages[[#This Row],[Due date serial]])</f>
        <v>0</v>
      </c>
      <c r="AD168" s="65">
        <f>tblWorkPackages[[#This Row],[First labor date]]-tblWorkPackages[[#This Row],[Request date serial]]</f>
        <v>2</v>
      </c>
      <c r="AE168" s="65">
        <f>tblWorkPackages[[#This Row],[Last labor date]]-tblWorkPackages[[#This Row],[First labor date]]</f>
        <v>2</v>
      </c>
      <c r="AF168" s="65">
        <f>tblWorkPackages[[#This Row],[Completion date serial]]-tblWorkPackages[[#This Row],[Last labor date]]</f>
        <v>2</v>
      </c>
      <c r="AG168" s="65">
        <f>tblWorkPackages[[#This Row],[Completion date serial]]-tblWorkPackages[[#This Row],[Request date serial]]</f>
        <v>6</v>
      </c>
      <c r="AH168" s="65">
        <f>IFERROR(INDEX(tblParts[Delay days],MATCH(tblWorkPackages[[#This Row],[Work package ID]],tblParts[Work package ID],0)),0)</f>
        <v>0</v>
      </c>
      <c r="AI168" s="51" t="str">
        <f>IFERROR(INDEX(tblDisruptions[Event type],MATCH(tblWorkPackages[[#This Row],[Work package ID]],tblDisruptions[Work package ID],0)),"None")</f>
        <v>None</v>
      </c>
      <c r="AJ168" s="51" t="str">
        <f>TEXT(tblWorkPackages[[#This Row],[Due date serial]],"yyyy-mm")</f>
        <v>2025-10</v>
      </c>
    </row>
    <row r="169" spans="1:36" ht="15" x14ac:dyDescent="0.25">
      <c r="A169" s="53" t="s">
        <v>684</v>
      </c>
      <c r="B169" s="53" t="s">
        <v>168</v>
      </c>
      <c r="C169" s="53" t="s">
        <v>685</v>
      </c>
      <c r="D169" s="53" t="s">
        <v>686</v>
      </c>
      <c r="E169" s="53" t="s">
        <v>223</v>
      </c>
      <c r="F169" s="53" t="s">
        <v>182</v>
      </c>
      <c r="G169" s="53" t="s">
        <v>154</v>
      </c>
      <c r="H169" s="53">
        <v>4</v>
      </c>
      <c r="I169" s="53" t="s">
        <v>130</v>
      </c>
      <c r="J169" s="53">
        <v>1</v>
      </c>
      <c r="K169" s="53">
        <v>1</v>
      </c>
      <c r="L169" s="53">
        <v>25.7</v>
      </c>
      <c r="M169" s="53" t="s">
        <v>687</v>
      </c>
      <c r="N169" s="53">
        <v>38.6</v>
      </c>
      <c r="O169" s="51" t="str">
        <f>TEXT(tblWorkPackages[[#This Row],[Request date serial]]-WEEKDAY(tblWorkPackages[[#This Row],[Request date serial]],3),"yyyy-mm-dd")</f>
        <v>2025-03-10</v>
      </c>
      <c r="P169" s="51">
        <f>ABS(tblWorkPackages[[#This Row],[Actual labor hours]]-tblWorkPackages[[#This Row],[Estimated labor hours]])</f>
        <v>12.9</v>
      </c>
      <c r="Q169" s="51">
        <f>IF(tblWorkPackages[[#This Row],[Actual labor hours]]&gt;tblWorkPackages[[#This Row],[Estimated labor hours]],1,0)</f>
        <v>1</v>
      </c>
      <c r="R169" s="51">
        <f>tblWorkPackages[[#This Row],[Actual labor hours]]-tblWorkPackages[[#This Row],[Estimated labor hours]]</f>
        <v>12.9</v>
      </c>
      <c r="S169" s="51" t="str">
        <f>IF(tblWorkPackages[[#This Row],[Request date serial]]&lt;ValidationStart,"Train 2024",IF(tblWorkPackages[[#This Row],[Request date serial]]&lt;HoldoutStart,"Validation H1","Holdout H2"))</f>
        <v>Validation H1</v>
      </c>
      <c r="T169" s="51">
        <f>IF(tblWorkPackages[[#This Row],[Time split]]="Train 2024","",tblWorkPackages[[#This Row],[Estimated labor hours]]+VLOOKUP(tblWorkPackages[[#This Row],[Task type]],'Forecast validation'!$A$14:$E$25,IF(tblWorkPackages[[#This Row],[Time split]]="Validation H1",4,5),FALSE()))</f>
        <v>26.5824175824176</v>
      </c>
      <c r="U169" s="51">
        <f>IF(tblWorkPackages[[#This Row],[Calibrated forecast hours]]="","",ABS(tblWorkPackages[[#This Row],[Actual labor hours]]-tblWorkPackages[[#This Row],[Calibrated forecast hours]]))</f>
        <v>12.0175824175824</v>
      </c>
      <c r="V169" s="51">
        <f>IF(tblWorkPackages[[#This Row],[Time split]]="Train 2024",tblWorkPackages[[#This Row],[Estimated labor hours]],tblWorkPackages[[#This Row],[Calibrated forecast hours]])</f>
        <v>26.5824175824176</v>
      </c>
      <c r="W169" s="64">
        <f>DATEVALUE(tblWorkPackages[[#This Row],[Request date]])</f>
        <v>45730.0</v>
      </c>
      <c r="X169" s="64">
        <f>DATEVALUE(tblWorkPackages[[#This Row],[Due date]])</f>
        <v>45743.0</v>
      </c>
      <c r="Y169" s="64">
        <f>DATEVALUE(tblWorkPackages[[#This Row],[Completion date]])</f>
        <v>45753.0</v>
      </c>
      <c r="Z169" s="64">
        <f>_xlfn.MINIFS(tblLaborEntries[Work date serial],tblLaborEntries[Work package ID],tblWorkPackages[[#This Row],[Work package ID]])</f>
        <v>45749.0</v>
      </c>
      <c r="AA169" s="64">
        <f>_xlfn.MAXIFS(tblLaborEntries[Work date serial],tblLaborEntries[Work package ID],tblWorkPackages[[#This Row],[Work package ID]])</f>
        <v>45750.0</v>
      </c>
      <c r="AB169" s="65">
        <f>IF(tblWorkPackages[[#This Row],[Completion date serial]]&gt;tblWorkPackages[[#This Row],[Due date serial]],1,0)</f>
        <v>1</v>
      </c>
      <c r="AC169" s="65">
        <f>MAX(0,tblWorkPackages[[#This Row],[Completion date serial]]-tblWorkPackages[[#This Row],[Due date serial]])</f>
        <v>10</v>
      </c>
      <c r="AD169" s="65">
        <f>tblWorkPackages[[#This Row],[First labor date]]-tblWorkPackages[[#This Row],[Request date serial]]</f>
        <v>19</v>
      </c>
      <c r="AE169" s="65">
        <f>tblWorkPackages[[#This Row],[Last labor date]]-tblWorkPackages[[#This Row],[First labor date]]</f>
        <v>1</v>
      </c>
      <c r="AF169" s="65">
        <f>tblWorkPackages[[#This Row],[Completion date serial]]-tblWorkPackages[[#This Row],[Last labor date]]</f>
        <v>3</v>
      </c>
      <c r="AG169" s="65">
        <f>tblWorkPackages[[#This Row],[Completion date serial]]-tblWorkPackages[[#This Row],[Request date serial]]</f>
        <v>23</v>
      </c>
      <c r="AH169" s="65">
        <f>IFERROR(INDEX(tblParts[Delay days],MATCH(tblWorkPackages[[#This Row],[Work package ID]],tblParts[Work package ID],0)),0)</f>
        <v>0</v>
      </c>
      <c r="AI169" s="51" t="str">
        <f>IFERROR(INDEX(tblDisruptions[Event type],MATCH(tblWorkPackages[[#This Row],[Work package ID]],tblDisruptions[Work package ID],0)),"None")</f>
        <v>None</v>
      </c>
      <c r="AJ169" s="51" t="str">
        <f>TEXT(tblWorkPackages[[#This Row],[Due date serial]],"yyyy-mm")</f>
        <v>2025-03</v>
      </c>
    </row>
    <row r="170" spans="1:36" ht="15" x14ac:dyDescent="0.25">
      <c r="A170" s="53" t="s">
        <v>688</v>
      </c>
      <c r="B170" s="53" t="s">
        <v>203</v>
      </c>
      <c r="C170" s="53" t="s">
        <v>689</v>
      </c>
      <c r="D170" s="53" t="s">
        <v>690</v>
      </c>
      <c r="E170" s="53" t="s">
        <v>200</v>
      </c>
      <c r="F170" s="53" t="s">
        <v>128</v>
      </c>
      <c r="G170" s="53" t="s">
        <v>129</v>
      </c>
      <c r="H170" s="53">
        <v>3</v>
      </c>
      <c r="I170" s="53" t="s">
        <v>130</v>
      </c>
      <c r="J170" s="53">
        <v>0</v>
      </c>
      <c r="K170" s="53">
        <v>1</v>
      </c>
      <c r="L170" s="53">
        <v>4.3</v>
      </c>
      <c r="M170" s="53" t="s">
        <v>691</v>
      </c>
      <c r="N170" s="53">
        <v>4.5999999999999996</v>
      </c>
      <c r="O170" s="51" t="str">
        <f>TEXT(tblWorkPackages[[#This Row],[Request date serial]]-WEEKDAY(tblWorkPackages[[#This Row],[Request date serial]],3),"yyyy-mm-dd")</f>
        <v>2024-04-01</v>
      </c>
      <c r="P170" s="51">
        <f>ABS(tblWorkPackages[[#This Row],[Actual labor hours]]-tblWorkPackages[[#This Row],[Estimated labor hours]])</f>
        <v>0.3</v>
      </c>
      <c r="Q170" s="51">
        <f>IF(tblWorkPackages[[#This Row],[Actual labor hours]]&gt;tblWorkPackages[[#This Row],[Estimated labor hours]],1,0)</f>
        <v>1</v>
      </c>
      <c r="R170" s="51">
        <f>tblWorkPackages[[#This Row],[Actual labor hours]]-tblWorkPackages[[#This Row],[Estimated labor hours]]</f>
        <v>0.3</v>
      </c>
      <c r="S170" s="51" t="str">
        <f>IF(tblWorkPackages[[#This Row],[Request date serial]]&lt;ValidationStart,"Train 2024",IF(tblWorkPackages[[#This Row],[Request date serial]]&lt;HoldoutStart,"Validation H1","Holdout H2"))</f>
        <v>Train 2024</v>
      </c>
      <c r="T170" s="51" t="str">
        <f>IF(tblWorkPackages[[#This Row],[Time split]]="Train 2024","",tblWorkPackages[[#This Row],[Estimated labor hours]]+VLOOKUP(tblWorkPackages[[#This Row],[Task type]],'Forecast validation'!$A$14:$E$25,IF(tblWorkPackages[[#This Row],[Time split]]="Validation H1",4,5),FALSE()))</f>
        <v/>
      </c>
      <c r="U170" s="51" t="str">
        <f>IF(tblWorkPackages[[#This Row],[Calibrated forecast hours]]="","",ABS(tblWorkPackages[[#This Row],[Actual labor hours]]-tblWorkPackages[[#This Row],[Calibrated forecast hours]]))</f>
        <v/>
      </c>
      <c r="V170" s="51">
        <f>IF(tblWorkPackages[[#This Row],[Time split]]="Train 2024",tblWorkPackages[[#This Row],[Estimated labor hours]],tblWorkPackages[[#This Row],[Calibrated forecast hours]])</f>
        <v>4.3</v>
      </c>
      <c r="W170" s="64">
        <f>DATEVALUE(tblWorkPackages[[#This Row],[Request date]])</f>
        <v>45385.0</v>
      </c>
      <c r="X170" s="64">
        <f>DATEVALUE(tblWorkPackages[[#This Row],[Due date]])</f>
        <v>45398.0</v>
      </c>
      <c r="Y170" s="64">
        <f>DATEVALUE(tblWorkPackages[[#This Row],[Completion date]])</f>
        <v>45389.0</v>
      </c>
      <c r="Z170" s="64">
        <f>_xlfn.MINIFS(tblLaborEntries[Work date serial],tblLaborEntries[Work package ID],tblWorkPackages[[#This Row],[Work package ID]])</f>
        <v>45389.0</v>
      </c>
      <c r="AA170" s="64">
        <f>_xlfn.MAXIFS(tblLaborEntries[Work date serial],tblLaborEntries[Work package ID],tblWorkPackages[[#This Row],[Work package ID]])</f>
        <v>45389.0</v>
      </c>
      <c r="AB170" s="65">
        <f>IF(tblWorkPackages[[#This Row],[Completion date serial]]&gt;tblWorkPackages[[#This Row],[Due date serial]],1,0)</f>
        <v>0</v>
      </c>
      <c r="AC170" s="65">
        <f>MAX(0,tblWorkPackages[[#This Row],[Completion date serial]]-tblWorkPackages[[#This Row],[Due date serial]])</f>
        <v>0</v>
      </c>
      <c r="AD170" s="65">
        <f>tblWorkPackages[[#This Row],[First labor date]]-tblWorkPackages[[#This Row],[Request date serial]]</f>
        <v>4</v>
      </c>
      <c r="AE170" s="65">
        <f>tblWorkPackages[[#This Row],[Last labor date]]-tblWorkPackages[[#This Row],[First labor date]]</f>
        <v>0</v>
      </c>
      <c r="AF170" s="65">
        <f>tblWorkPackages[[#This Row],[Completion date serial]]-tblWorkPackages[[#This Row],[Last labor date]]</f>
        <v>0</v>
      </c>
      <c r="AG170" s="65">
        <f>tblWorkPackages[[#This Row],[Completion date serial]]-tblWorkPackages[[#This Row],[Request date serial]]</f>
        <v>4</v>
      </c>
      <c r="AH170" s="65">
        <f>IFERROR(INDEX(tblParts[Delay days],MATCH(tblWorkPackages[[#This Row],[Work package ID]],tblParts[Work package ID],0)),0)</f>
        <v>0</v>
      </c>
      <c r="AI170" s="51" t="str">
        <f>IFERROR(INDEX(tblDisruptions[Event type],MATCH(tblWorkPackages[[#This Row],[Work package ID]],tblDisruptions[Work package ID],0)),"None")</f>
        <v>None</v>
      </c>
      <c r="AJ170" s="51" t="str">
        <f>TEXT(tblWorkPackages[[#This Row],[Due date serial]],"yyyy-mm")</f>
        <v>2024-04</v>
      </c>
    </row>
    <row r="171" spans="1:36" ht="15" x14ac:dyDescent="0.25">
      <c r="A171" s="53" t="s">
        <v>692</v>
      </c>
      <c r="B171" s="53" t="s">
        <v>250</v>
      </c>
      <c r="C171" s="53" t="s">
        <v>169</v>
      </c>
      <c r="D171" s="53" t="s">
        <v>534</v>
      </c>
      <c r="E171" s="53" t="s">
        <v>200</v>
      </c>
      <c r="F171" s="53" t="s">
        <v>128</v>
      </c>
      <c r="G171" s="53" t="s">
        <v>129</v>
      </c>
      <c r="H171" s="53">
        <v>2</v>
      </c>
      <c r="I171" s="53" t="s">
        <v>176</v>
      </c>
      <c r="J171" s="53">
        <v>0</v>
      </c>
      <c r="K171" s="53">
        <v>0</v>
      </c>
      <c r="L171" s="53">
        <v>2.7</v>
      </c>
      <c r="M171" s="53" t="s">
        <v>381</v>
      </c>
      <c r="N171" s="53">
        <v>2.6</v>
      </c>
      <c r="O171" s="51" t="str">
        <f>TEXT(tblWorkPackages[[#This Row],[Request date serial]]-WEEKDAY(tblWorkPackages[[#This Row],[Request date serial]],3),"yyyy-mm-dd")</f>
        <v>2024-10-14</v>
      </c>
      <c r="P171" s="51">
        <f>ABS(tblWorkPackages[[#This Row],[Actual labor hours]]-tblWorkPackages[[#This Row],[Estimated labor hours]])</f>
        <v>0.1</v>
      </c>
      <c r="Q171" s="51">
        <f>IF(tblWorkPackages[[#This Row],[Actual labor hours]]&gt;tblWorkPackages[[#This Row],[Estimated labor hours]],1,0)</f>
        <v>0</v>
      </c>
      <c r="R171" s="51">
        <f>tblWorkPackages[[#This Row],[Actual labor hours]]-tblWorkPackages[[#This Row],[Estimated labor hours]]</f>
        <v>-0.1</v>
      </c>
      <c r="S171" s="51" t="str">
        <f>IF(tblWorkPackages[[#This Row],[Request date serial]]&lt;ValidationStart,"Train 2024",IF(tblWorkPackages[[#This Row],[Request date serial]]&lt;HoldoutStart,"Validation H1","Holdout H2"))</f>
        <v>Train 2024</v>
      </c>
      <c r="T171" s="51" t="str">
        <f>IF(tblWorkPackages[[#This Row],[Time split]]="Train 2024","",tblWorkPackages[[#This Row],[Estimated labor hours]]+VLOOKUP(tblWorkPackages[[#This Row],[Task type]],'Forecast validation'!$A$14:$E$25,IF(tblWorkPackages[[#This Row],[Time split]]="Validation H1",4,5),FALSE()))</f>
        <v/>
      </c>
      <c r="U171" s="51" t="str">
        <f>IF(tblWorkPackages[[#This Row],[Calibrated forecast hours]]="","",ABS(tblWorkPackages[[#This Row],[Actual labor hours]]-tblWorkPackages[[#This Row],[Calibrated forecast hours]]))</f>
        <v/>
      </c>
      <c r="V171" s="51">
        <f>IF(tblWorkPackages[[#This Row],[Time split]]="Train 2024",tblWorkPackages[[#This Row],[Estimated labor hours]],tblWorkPackages[[#This Row],[Calibrated forecast hours]])</f>
        <v>2.7</v>
      </c>
      <c r="W171" s="64">
        <f>DATEVALUE(tblWorkPackages[[#This Row],[Request date]])</f>
        <v>45585.0</v>
      </c>
      <c r="X171" s="64">
        <f>DATEVALUE(tblWorkPackages[[#This Row],[Due date]])</f>
        <v>45591.0</v>
      </c>
      <c r="Y171" s="64">
        <f>DATEVALUE(tblWorkPackages[[#This Row],[Completion date]])</f>
        <v>45588.0</v>
      </c>
      <c r="Z171" s="64">
        <f>_xlfn.MINIFS(tblLaborEntries[Work date serial],tblLaborEntries[Work package ID],tblWorkPackages[[#This Row],[Work package ID]])</f>
        <v>45586.0</v>
      </c>
      <c r="AA171" s="64">
        <f>_xlfn.MAXIFS(tblLaborEntries[Work date serial],tblLaborEntries[Work package ID],tblWorkPackages[[#This Row],[Work package ID]])</f>
        <v>45587.0</v>
      </c>
      <c r="AB171" s="65">
        <f>IF(tblWorkPackages[[#This Row],[Completion date serial]]&gt;tblWorkPackages[[#This Row],[Due date serial]],1,0)</f>
        <v>0</v>
      </c>
      <c r="AC171" s="65">
        <f>MAX(0,tblWorkPackages[[#This Row],[Completion date serial]]-tblWorkPackages[[#This Row],[Due date serial]])</f>
        <v>0</v>
      </c>
      <c r="AD171" s="65">
        <f>tblWorkPackages[[#This Row],[First labor date]]-tblWorkPackages[[#This Row],[Request date serial]]</f>
        <v>1</v>
      </c>
      <c r="AE171" s="65">
        <f>tblWorkPackages[[#This Row],[Last labor date]]-tblWorkPackages[[#This Row],[First labor date]]</f>
        <v>1</v>
      </c>
      <c r="AF171" s="65">
        <f>tblWorkPackages[[#This Row],[Completion date serial]]-tblWorkPackages[[#This Row],[Last labor date]]</f>
        <v>1</v>
      </c>
      <c r="AG171" s="65">
        <f>tblWorkPackages[[#This Row],[Completion date serial]]-tblWorkPackages[[#This Row],[Request date serial]]</f>
        <v>3</v>
      </c>
      <c r="AH171" s="65">
        <f>IFERROR(INDEX(tblParts[Delay days],MATCH(tblWorkPackages[[#This Row],[Work package ID]],tblParts[Work package ID],0)),0)</f>
        <v>0</v>
      </c>
      <c r="AI171" s="51" t="str">
        <f>IFERROR(INDEX(tblDisruptions[Event type],MATCH(tblWorkPackages[[#This Row],[Work package ID]],tblDisruptions[Work package ID],0)),"None")</f>
        <v>None</v>
      </c>
      <c r="AJ171" s="51" t="str">
        <f>TEXT(tblWorkPackages[[#This Row],[Due date serial]],"yyyy-mm")</f>
        <v>2024-10</v>
      </c>
    </row>
    <row r="172" spans="1:36" ht="15" x14ac:dyDescent="0.25">
      <c r="A172" s="53" t="s">
        <v>693</v>
      </c>
      <c r="B172" s="53" t="s">
        <v>230</v>
      </c>
      <c r="C172" s="53" t="s">
        <v>690</v>
      </c>
      <c r="D172" s="53" t="s">
        <v>694</v>
      </c>
      <c r="E172" s="53" t="s">
        <v>242</v>
      </c>
      <c r="F172" s="53" t="s">
        <v>243</v>
      </c>
      <c r="G172" s="53" t="s">
        <v>129</v>
      </c>
      <c r="H172" s="53">
        <v>3</v>
      </c>
      <c r="I172" s="53" t="s">
        <v>176</v>
      </c>
      <c r="J172" s="53">
        <v>0</v>
      </c>
      <c r="K172" s="53">
        <v>0</v>
      </c>
      <c r="L172" s="53">
        <v>13.8</v>
      </c>
      <c r="M172" s="53" t="s">
        <v>471</v>
      </c>
      <c r="N172" s="53">
        <v>15.5</v>
      </c>
      <c r="O172" s="51" t="str">
        <f>TEXT(tblWorkPackages[[#This Row],[Request date serial]]-WEEKDAY(tblWorkPackages[[#This Row],[Request date serial]],3),"yyyy-mm-dd")</f>
        <v>2024-04-15</v>
      </c>
      <c r="P172" s="51">
        <f>ABS(tblWorkPackages[[#This Row],[Actual labor hours]]-tblWorkPackages[[#This Row],[Estimated labor hours]])</f>
        <v>1.7</v>
      </c>
      <c r="Q172" s="51">
        <f>IF(tblWorkPackages[[#This Row],[Actual labor hours]]&gt;tblWorkPackages[[#This Row],[Estimated labor hours]],1,0)</f>
        <v>1</v>
      </c>
      <c r="R172" s="51">
        <f>tblWorkPackages[[#This Row],[Actual labor hours]]-tblWorkPackages[[#This Row],[Estimated labor hours]]</f>
        <v>1.7</v>
      </c>
      <c r="S172" s="51" t="str">
        <f>IF(tblWorkPackages[[#This Row],[Request date serial]]&lt;ValidationStart,"Train 2024",IF(tblWorkPackages[[#This Row],[Request date serial]]&lt;HoldoutStart,"Validation H1","Holdout H2"))</f>
        <v>Train 2024</v>
      </c>
      <c r="T172" s="51" t="str">
        <f>IF(tblWorkPackages[[#This Row],[Time split]]="Train 2024","",tblWorkPackages[[#This Row],[Estimated labor hours]]+VLOOKUP(tblWorkPackages[[#This Row],[Task type]],'Forecast validation'!$A$14:$E$25,IF(tblWorkPackages[[#This Row],[Time split]]="Validation H1",4,5),FALSE()))</f>
        <v/>
      </c>
      <c r="U172" s="51" t="str">
        <f>IF(tblWorkPackages[[#This Row],[Calibrated forecast hours]]="","",ABS(tblWorkPackages[[#This Row],[Actual labor hours]]-tblWorkPackages[[#This Row],[Calibrated forecast hours]]))</f>
        <v/>
      </c>
      <c r="V172" s="51">
        <f>IF(tblWorkPackages[[#This Row],[Time split]]="Train 2024",tblWorkPackages[[#This Row],[Estimated labor hours]],tblWorkPackages[[#This Row],[Calibrated forecast hours]])</f>
        <v>13.8</v>
      </c>
      <c r="W172" s="64">
        <f>DATEVALUE(tblWorkPackages[[#This Row],[Request date]])</f>
        <v>45398.0</v>
      </c>
      <c r="X172" s="64">
        <f>DATEVALUE(tblWorkPackages[[#This Row],[Due date]])</f>
        <v>45404.0</v>
      </c>
      <c r="Y172" s="64">
        <f>DATEVALUE(tblWorkPackages[[#This Row],[Completion date]])</f>
        <v>45413.0</v>
      </c>
      <c r="Z172" s="64">
        <f>_xlfn.MINIFS(tblLaborEntries[Work date serial],tblLaborEntries[Work package ID],tblWorkPackages[[#This Row],[Work package ID]])</f>
        <v>45409.0</v>
      </c>
      <c r="AA172" s="64">
        <f>_xlfn.MAXIFS(tblLaborEntries[Work date serial],tblLaborEntries[Work package ID],tblWorkPackages[[#This Row],[Work package ID]])</f>
        <v>45411.0</v>
      </c>
      <c r="AB172" s="65">
        <f>IF(tblWorkPackages[[#This Row],[Completion date serial]]&gt;tblWorkPackages[[#This Row],[Due date serial]],1,0)</f>
        <v>1</v>
      </c>
      <c r="AC172" s="65">
        <f>MAX(0,tblWorkPackages[[#This Row],[Completion date serial]]-tblWorkPackages[[#This Row],[Due date serial]])</f>
        <v>9</v>
      </c>
      <c r="AD172" s="65">
        <f>tblWorkPackages[[#This Row],[First labor date]]-tblWorkPackages[[#This Row],[Request date serial]]</f>
        <v>11</v>
      </c>
      <c r="AE172" s="65">
        <f>tblWorkPackages[[#This Row],[Last labor date]]-tblWorkPackages[[#This Row],[First labor date]]</f>
        <v>2</v>
      </c>
      <c r="AF172" s="65">
        <f>tblWorkPackages[[#This Row],[Completion date serial]]-tblWorkPackages[[#This Row],[Last labor date]]</f>
        <v>2</v>
      </c>
      <c r="AG172" s="65">
        <f>tblWorkPackages[[#This Row],[Completion date serial]]-tblWorkPackages[[#This Row],[Request date serial]]</f>
        <v>15</v>
      </c>
      <c r="AH172" s="65">
        <f>IFERROR(INDEX(tblParts[Delay days],MATCH(tblWorkPackages[[#This Row],[Work package ID]],tblParts[Work package ID],0)),0)</f>
        <v>0</v>
      </c>
      <c r="AI172" s="51" t="str">
        <f>IFERROR(INDEX(tblDisruptions[Event type],MATCH(tblWorkPackages[[#This Row],[Work package ID]],tblDisruptions[Work package ID],0)),"None")</f>
        <v>None</v>
      </c>
      <c r="AJ172" s="51" t="str">
        <f>TEXT(tblWorkPackages[[#This Row],[Due date serial]],"yyyy-mm")</f>
        <v>2024-04</v>
      </c>
    </row>
    <row r="173" spans="1:36" ht="15" x14ac:dyDescent="0.25">
      <c r="A173" s="53" t="s">
        <v>695</v>
      </c>
      <c r="B173" s="53" t="s">
        <v>173</v>
      </c>
      <c r="C173" s="53" t="s">
        <v>696</v>
      </c>
      <c r="D173" s="53" t="s">
        <v>697</v>
      </c>
      <c r="E173" s="53" t="s">
        <v>223</v>
      </c>
      <c r="F173" s="53" t="s">
        <v>182</v>
      </c>
      <c r="G173" s="53" t="s">
        <v>154</v>
      </c>
      <c r="H173" s="53">
        <v>3</v>
      </c>
      <c r="I173" s="53" t="s">
        <v>130</v>
      </c>
      <c r="J173" s="53">
        <v>0</v>
      </c>
      <c r="K173" s="53">
        <v>0</v>
      </c>
      <c r="L173" s="53">
        <v>17.100000000000001</v>
      </c>
      <c r="M173" s="53" t="s">
        <v>698</v>
      </c>
      <c r="N173" s="53">
        <v>15</v>
      </c>
      <c r="O173" s="51" t="str">
        <f>TEXT(tblWorkPackages[[#This Row],[Request date serial]]-WEEKDAY(tblWorkPackages[[#This Row],[Request date serial]],3),"yyyy-mm-dd")</f>
        <v>2025-01-27</v>
      </c>
      <c r="P173" s="51">
        <f>ABS(tblWorkPackages[[#This Row],[Actual labor hours]]-tblWorkPackages[[#This Row],[Estimated labor hours]])</f>
        <v>2.1</v>
      </c>
      <c r="Q173" s="51">
        <f>IF(tblWorkPackages[[#This Row],[Actual labor hours]]&gt;tblWorkPackages[[#This Row],[Estimated labor hours]],1,0)</f>
        <v>0</v>
      </c>
      <c r="R173" s="51">
        <f>tblWorkPackages[[#This Row],[Actual labor hours]]-tblWorkPackages[[#This Row],[Estimated labor hours]]</f>
        <v>-2.1</v>
      </c>
      <c r="S173" s="51" t="str">
        <f>IF(tblWorkPackages[[#This Row],[Request date serial]]&lt;ValidationStart,"Train 2024",IF(tblWorkPackages[[#This Row],[Request date serial]]&lt;HoldoutStart,"Validation H1","Holdout H2"))</f>
        <v>Validation H1</v>
      </c>
      <c r="T173" s="51">
        <f>IF(tblWorkPackages[[#This Row],[Time split]]="Train 2024","",tblWorkPackages[[#This Row],[Estimated labor hours]]+VLOOKUP(tblWorkPackages[[#This Row],[Task type]],'Forecast validation'!$A$14:$E$25,IF(tblWorkPackages[[#This Row],[Time split]]="Validation H1",4,5),FALSE()))</f>
        <v>17.9824175824176</v>
      </c>
      <c r="U173" s="51">
        <f>IF(tblWorkPackages[[#This Row],[Calibrated forecast hours]]="","",ABS(tblWorkPackages[[#This Row],[Actual labor hours]]-tblWorkPackages[[#This Row],[Calibrated forecast hours]]))</f>
        <v>2.98241758241758</v>
      </c>
      <c r="V173" s="51">
        <f>IF(tblWorkPackages[[#This Row],[Time split]]="Train 2024",tblWorkPackages[[#This Row],[Estimated labor hours]],tblWorkPackages[[#This Row],[Calibrated forecast hours]])</f>
        <v>17.9824175824176</v>
      </c>
      <c r="W173" s="64">
        <f>DATEVALUE(tblWorkPackages[[#This Row],[Request date]])</f>
        <v>45690.0</v>
      </c>
      <c r="X173" s="64">
        <f>DATEVALUE(tblWorkPackages[[#This Row],[Due date]])</f>
        <v>45703.0</v>
      </c>
      <c r="Y173" s="64">
        <f>DATEVALUE(tblWorkPackages[[#This Row],[Completion date]])</f>
        <v>45696.0</v>
      </c>
      <c r="Z173" s="64">
        <f>_xlfn.MINIFS(tblLaborEntries[Work date serial],tblLaborEntries[Work package ID],tblWorkPackages[[#This Row],[Work package ID]])</f>
        <v>45693.0</v>
      </c>
      <c r="AA173" s="64">
        <f>_xlfn.MAXIFS(tblLaborEntries[Work date serial],tblLaborEntries[Work package ID],tblWorkPackages[[#This Row],[Work package ID]])</f>
        <v>45693.0</v>
      </c>
      <c r="AB173" s="65">
        <f>IF(tblWorkPackages[[#This Row],[Completion date serial]]&gt;tblWorkPackages[[#This Row],[Due date serial]],1,0)</f>
        <v>0</v>
      </c>
      <c r="AC173" s="65">
        <f>MAX(0,tblWorkPackages[[#This Row],[Completion date serial]]-tblWorkPackages[[#This Row],[Due date serial]])</f>
        <v>0</v>
      </c>
      <c r="AD173" s="65">
        <f>tblWorkPackages[[#This Row],[First labor date]]-tblWorkPackages[[#This Row],[Request date serial]]</f>
        <v>3</v>
      </c>
      <c r="AE173" s="65">
        <f>tblWorkPackages[[#This Row],[Last labor date]]-tblWorkPackages[[#This Row],[First labor date]]</f>
        <v>0</v>
      </c>
      <c r="AF173" s="65">
        <f>tblWorkPackages[[#This Row],[Completion date serial]]-tblWorkPackages[[#This Row],[Last labor date]]</f>
        <v>3</v>
      </c>
      <c r="AG173" s="65">
        <f>tblWorkPackages[[#This Row],[Completion date serial]]-tblWorkPackages[[#This Row],[Request date serial]]</f>
        <v>6</v>
      </c>
      <c r="AH173" s="65">
        <f>IFERROR(INDEX(tblParts[Delay days],MATCH(tblWorkPackages[[#This Row],[Work package ID]],tblParts[Work package ID],0)),0)</f>
        <v>0</v>
      </c>
      <c r="AI173" s="51" t="str">
        <f>IFERROR(INDEX(tblDisruptions[Event type],MATCH(tblWorkPackages[[#This Row],[Work package ID]],tblDisruptions[Work package ID],0)),"None")</f>
        <v>None</v>
      </c>
      <c r="AJ173" s="51" t="str">
        <f>TEXT(tblWorkPackages[[#This Row],[Due date serial]],"yyyy-mm")</f>
        <v>2025-02</v>
      </c>
    </row>
    <row r="174" spans="1:36" ht="15" x14ac:dyDescent="0.25">
      <c r="A174" s="53" t="s">
        <v>699</v>
      </c>
      <c r="B174" s="53" t="s">
        <v>150</v>
      </c>
      <c r="C174" s="53" t="s">
        <v>700</v>
      </c>
      <c r="D174" s="53" t="s">
        <v>701</v>
      </c>
      <c r="E174" s="53" t="s">
        <v>153</v>
      </c>
      <c r="F174" s="53" t="s">
        <v>128</v>
      </c>
      <c r="G174" s="53" t="s">
        <v>154</v>
      </c>
      <c r="H174" s="53">
        <v>4</v>
      </c>
      <c r="I174" s="53" t="s">
        <v>130</v>
      </c>
      <c r="J174" s="53">
        <v>0</v>
      </c>
      <c r="K174" s="53">
        <v>0</v>
      </c>
      <c r="L174" s="53">
        <v>19.600000000000001</v>
      </c>
      <c r="M174" s="53" t="s">
        <v>436</v>
      </c>
      <c r="N174" s="53">
        <v>21.4</v>
      </c>
      <c r="O174" s="51" t="str">
        <f>TEXT(tblWorkPackages[[#This Row],[Request date serial]]-WEEKDAY(tblWorkPackages[[#This Row],[Request date serial]],3),"yyyy-mm-dd")</f>
        <v>2024-02-26</v>
      </c>
      <c r="P174" s="51">
        <f>ABS(tblWorkPackages[[#This Row],[Actual labor hours]]-tblWorkPackages[[#This Row],[Estimated labor hours]])</f>
        <v>1.8</v>
      </c>
      <c r="Q174" s="51">
        <f>IF(tblWorkPackages[[#This Row],[Actual labor hours]]&gt;tblWorkPackages[[#This Row],[Estimated labor hours]],1,0)</f>
        <v>1</v>
      </c>
      <c r="R174" s="51">
        <f>tblWorkPackages[[#This Row],[Actual labor hours]]-tblWorkPackages[[#This Row],[Estimated labor hours]]</f>
        <v>1.8</v>
      </c>
      <c r="S174" s="51" t="str">
        <f>IF(tblWorkPackages[[#This Row],[Request date serial]]&lt;ValidationStart,"Train 2024",IF(tblWorkPackages[[#This Row],[Request date serial]]&lt;HoldoutStart,"Validation H1","Holdout H2"))</f>
        <v>Train 2024</v>
      </c>
      <c r="T174" s="51" t="str">
        <f>IF(tblWorkPackages[[#This Row],[Time split]]="Train 2024","",tblWorkPackages[[#This Row],[Estimated labor hours]]+VLOOKUP(tblWorkPackages[[#This Row],[Task type]],'Forecast validation'!$A$14:$E$25,IF(tblWorkPackages[[#This Row],[Time split]]="Validation H1",4,5),FALSE()))</f>
        <v/>
      </c>
      <c r="U174" s="51" t="str">
        <f>IF(tblWorkPackages[[#This Row],[Calibrated forecast hours]]="","",ABS(tblWorkPackages[[#This Row],[Actual labor hours]]-tblWorkPackages[[#This Row],[Calibrated forecast hours]]))</f>
        <v/>
      </c>
      <c r="V174" s="51">
        <f>IF(tblWorkPackages[[#This Row],[Time split]]="Train 2024",tblWorkPackages[[#This Row],[Estimated labor hours]],tblWorkPackages[[#This Row],[Calibrated forecast hours]])</f>
        <v>19.6</v>
      </c>
      <c r="W174" s="64">
        <f>DATEVALUE(tblWorkPackages[[#This Row],[Request date]])</f>
        <v>45349.0</v>
      </c>
      <c r="X174" s="64">
        <f>DATEVALUE(tblWorkPackages[[#This Row],[Due date]])</f>
        <v>45362.0</v>
      </c>
      <c r="Y174" s="64">
        <f>DATEVALUE(tblWorkPackages[[#This Row],[Completion date]])</f>
        <v>45383.0</v>
      </c>
      <c r="Z174" s="64">
        <f>_xlfn.MINIFS(tblLaborEntries[Work date serial],tblLaborEntries[Work package ID],tblWorkPackages[[#This Row],[Work package ID]])</f>
        <v>45381.0</v>
      </c>
      <c r="AA174" s="64">
        <f>_xlfn.MAXIFS(tblLaborEntries[Work date serial],tblLaborEntries[Work package ID],tblWorkPackages[[#This Row],[Work package ID]])</f>
        <v>45383.0</v>
      </c>
      <c r="AB174" s="65">
        <f>IF(tblWorkPackages[[#This Row],[Completion date serial]]&gt;tblWorkPackages[[#This Row],[Due date serial]],1,0)</f>
        <v>1</v>
      </c>
      <c r="AC174" s="65">
        <f>MAX(0,tblWorkPackages[[#This Row],[Completion date serial]]-tblWorkPackages[[#This Row],[Due date serial]])</f>
        <v>21</v>
      </c>
      <c r="AD174" s="65">
        <f>tblWorkPackages[[#This Row],[First labor date]]-tblWorkPackages[[#This Row],[Request date serial]]</f>
        <v>32</v>
      </c>
      <c r="AE174" s="65">
        <f>tblWorkPackages[[#This Row],[Last labor date]]-tblWorkPackages[[#This Row],[First labor date]]</f>
        <v>2</v>
      </c>
      <c r="AF174" s="65">
        <f>tblWorkPackages[[#This Row],[Completion date serial]]-tblWorkPackages[[#This Row],[Last labor date]]</f>
        <v>0</v>
      </c>
      <c r="AG174" s="65">
        <f>tblWorkPackages[[#This Row],[Completion date serial]]-tblWorkPackages[[#This Row],[Request date serial]]</f>
        <v>34</v>
      </c>
      <c r="AH174" s="65">
        <f>IFERROR(INDEX(tblParts[Delay days],MATCH(tblWorkPackages[[#This Row],[Work package ID]],tblParts[Work package ID],0)),0)</f>
        <v>0</v>
      </c>
      <c r="AI174" s="51" t="str">
        <f>IFERROR(INDEX(tblDisruptions[Event type],MATCH(tblWorkPackages[[#This Row],[Work package ID]],tblDisruptions[Work package ID],0)),"None")</f>
        <v>None</v>
      </c>
      <c r="AJ174" s="51" t="str">
        <f>TEXT(tblWorkPackages[[#This Row],[Due date serial]],"yyyy-mm")</f>
        <v>2024-03</v>
      </c>
    </row>
    <row r="175" spans="1:36" ht="15" x14ac:dyDescent="0.25">
      <c r="A175" s="53" t="s">
        <v>702</v>
      </c>
      <c r="B175" s="53" t="s">
        <v>287</v>
      </c>
      <c r="C175" s="53" t="s">
        <v>703</v>
      </c>
      <c r="D175" s="53" t="s">
        <v>704</v>
      </c>
      <c r="E175" s="53" t="s">
        <v>272</v>
      </c>
      <c r="F175" s="53" t="s">
        <v>145</v>
      </c>
      <c r="G175" s="53" t="s">
        <v>273</v>
      </c>
      <c r="H175" s="53">
        <v>2</v>
      </c>
      <c r="I175" s="53" t="s">
        <v>130</v>
      </c>
      <c r="J175" s="53">
        <v>0</v>
      </c>
      <c r="K175" s="53">
        <v>1</v>
      </c>
      <c r="L175" s="53">
        <v>12.4</v>
      </c>
      <c r="M175" s="53" t="s">
        <v>705</v>
      </c>
      <c r="N175" s="53">
        <v>11.5</v>
      </c>
      <c r="O175" s="51" t="str">
        <f>TEXT(tblWorkPackages[[#This Row],[Request date serial]]-WEEKDAY(tblWorkPackages[[#This Row],[Request date serial]],3),"yyyy-mm-dd")</f>
        <v>2024-06-10</v>
      </c>
      <c r="P175" s="51">
        <f>ABS(tblWorkPackages[[#This Row],[Actual labor hours]]-tblWorkPackages[[#This Row],[Estimated labor hours]])</f>
        <v>0.9</v>
      </c>
      <c r="Q175" s="51">
        <f>IF(tblWorkPackages[[#This Row],[Actual labor hours]]&gt;tblWorkPackages[[#This Row],[Estimated labor hours]],1,0)</f>
        <v>0</v>
      </c>
      <c r="R175" s="51">
        <f>tblWorkPackages[[#This Row],[Actual labor hours]]-tblWorkPackages[[#This Row],[Estimated labor hours]]</f>
        <v>-0.9</v>
      </c>
      <c r="S175" s="51" t="str">
        <f>IF(tblWorkPackages[[#This Row],[Request date serial]]&lt;ValidationStart,"Train 2024",IF(tblWorkPackages[[#This Row],[Request date serial]]&lt;HoldoutStart,"Validation H1","Holdout H2"))</f>
        <v>Train 2024</v>
      </c>
      <c r="T175" s="51" t="str">
        <f>IF(tblWorkPackages[[#This Row],[Time split]]="Train 2024","",tblWorkPackages[[#This Row],[Estimated labor hours]]+VLOOKUP(tblWorkPackages[[#This Row],[Task type]],'Forecast validation'!$A$14:$E$25,IF(tblWorkPackages[[#This Row],[Time split]]="Validation H1",4,5),FALSE()))</f>
        <v/>
      </c>
      <c r="U175" s="51" t="str">
        <f>IF(tblWorkPackages[[#This Row],[Calibrated forecast hours]]="","",ABS(tblWorkPackages[[#This Row],[Actual labor hours]]-tblWorkPackages[[#This Row],[Calibrated forecast hours]]))</f>
        <v/>
      </c>
      <c r="V175" s="51">
        <f>IF(tblWorkPackages[[#This Row],[Time split]]="Train 2024",tblWorkPackages[[#This Row],[Estimated labor hours]],tblWorkPackages[[#This Row],[Calibrated forecast hours]])</f>
        <v>12.4</v>
      </c>
      <c r="W175" s="64">
        <f>DATEVALUE(tblWorkPackages[[#This Row],[Request date]])</f>
        <v>45454.0</v>
      </c>
      <c r="X175" s="64">
        <f>DATEVALUE(tblWorkPackages[[#This Row],[Due date]])</f>
        <v>45467.0</v>
      </c>
      <c r="Y175" s="64">
        <f>DATEVALUE(tblWorkPackages[[#This Row],[Completion date]])</f>
        <v>45461.0</v>
      </c>
      <c r="Z175" s="64">
        <f>_xlfn.MINIFS(tblLaborEntries[Work date serial],tblLaborEntries[Work package ID],tblWorkPackages[[#This Row],[Work package ID]])</f>
        <v>45460.0</v>
      </c>
      <c r="AA175" s="64">
        <f>_xlfn.MAXIFS(tblLaborEntries[Work date serial],tblLaborEntries[Work package ID],tblWorkPackages[[#This Row],[Work package ID]])</f>
        <v>45460.0</v>
      </c>
      <c r="AB175" s="65">
        <f>IF(tblWorkPackages[[#This Row],[Completion date serial]]&gt;tblWorkPackages[[#This Row],[Due date serial]],1,0)</f>
        <v>0</v>
      </c>
      <c r="AC175" s="65">
        <f>MAX(0,tblWorkPackages[[#This Row],[Completion date serial]]-tblWorkPackages[[#This Row],[Due date serial]])</f>
        <v>0</v>
      </c>
      <c r="AD175" s="65">
        <f>tblWorkPackages[[#This Row],[First labor date]]-tblWorkPackages[[#This Row],[Request date serial]]</f>
        <v>6</v>
      </c>
      <c r="AE175" s="65">
        <f>tblWorkPackages[[#This Row],[Last labor date]]-tblWorkPackages[[#This Row],[First labor date]]</f>
        <v>0</v>
      </c>
      <c r="AF175" s="65">
        <f>tblWorkPackages[[#This Row],[Completion date serial]]-tblWorkPackages[[#This Row],[Last labor date]]</f>
        <v>1</v>
      </c>
      <c r="AG175" s="65">
        <f>tblWorkPackages[[#This Row],[Completion date serial]]-tblWorkPackages[[#This Row],[Request date serial]]</f>
        <v>7</v>
      </c>
      <c r="AH175" s="65">
        <f>IFERROR(INDEX(tblParts[Delay days],MATCH(tblWorkPackages[[#This Row],[Work package ID]],tblParts[Work package ID],0)),0)</f>
        <v>0</v>
      </c>
      <c r="AI175" s="51" t="str">
        <f>IFERROR(INDEX(tblDisruptions[Event type],MATCH(tblWorkPackages[[#This Row],[Work package ID]],tblDisruptions[Work package ID],0)),"None")</f>
        <v>None</v>
      </c>
      <c r="AJ175" s="51" t="str">
        <f>TEXT(tblWorkPackages[[#This Row],[Due date serial]],"yyyy-mm")</f>
        <v>2024-06</v>
      </c>
    </row>
    <row r="176" spans="1:36" ht="15" x14ac:dyDescent="0.25">
      <c r="A176" s="53" t="s">
        <v>706</v>
      </c>
      <c r="B176" s="53" t="s">
        <v>230</v>
      </c>
      <c r="C176" s="53" t="s">
        <v>707</v>
      </c>
      <c r="D176" s="53" t="s">
        <v>679</v>
      </c>
      <c r="E176" s="53" t="s">
        <v>242</v>
      </c>
      <c r="F176" s="53" t="s">
        <v>243</v>
      </c>
      <c r="G176" s="53" t="s">
        <v>129</v>
      </c>
      <c r="H176" s="53">
        <v>3</v>
      </c>
      <c r="I176" s="53" t="s">
        <v>130</v>
      </c>
      <c r="J176" s="53">
        <v>0</v>
      </c>
      <c r="K176" s="53">
        <v>0</v>
      </c>
      <c r="L176" s="53">
        <v>11.6</v>
      </c>
      <c r="M176" s="53" t="s">
        <v>252</v>
      </c>
      <c r="N176" s="53">
        <v>9.6</v>
      </c>
      <c r="O176" s="51" t="str">
        <f>TEXT(tblWorkPackages[[#This Row],[Request date serial]]-WEEKDAY(tblWorkPackages[[#This Row],[Request date serial]],3),"yyyy-mm-dd")</f>
        <v>2024-12-23</v>
      </c>
      <c r="P176" s="51">
        <f>ABS(tblWorkPackages[[#This Row],[Actual labor hours]]-tblWorkPackages[[#This Row],[Estimated labor hours]])</f>
        <v>2</v>
      </c>
      <c r="Q176" s="51">
        <f>IF(tblWorkPackages[[#This Row],[Actual labor hours]]&gt;tblWorkPackages[[#This Row],[Estimated labor hours]],1,0)</f>
        <v>0</v>
      </c>
      <c r="R176" s="51">
        <f>tblWorkPackages[[#This Row],[Actual labor hours]]-tblWorkPackages[[#This Row],[Estimated labor hours]]</f>
        <v>-2</v>
      </c>
      <c r="S176" s="51" t="str">
        <f>IF(tblWorkPackages[[#This Row],[Request date serial]]&lt;ValidationStart,"Train 2024",IF(tblWorkPackages[[#This Row],[Request date serial]]&lt;HoldoutStart,"Validation H1","Holdout H2"))</f>
        <v>Train 2024</v>
      </c>
      <c r="T176" s="51" t="str">
        <f>IF(tblWorkPackages[[#This Row],[Time split]]="Train 2024","",tblWorkPackages[[#This Row],[Estimated labor hours]]+VLOOKUP(tblWorkPackages[[#This Row],[Task type]],'Forecast validation'!$A$14:$E$25,IF(tblWorkPackages[[#This Row],[Time split]]="Validation H1",4,5),FALSE()))</f>
        <v/>
      </c>
      <c r="U176" s="51" t="str">
        <f>IF(tblWorkPackages[[#This Row],[Calibrated forecast hours]]="","",ABS(tblWorkPackages[[#This Row],[Actual labor hours]]-tblWorkPackages[[#This Row],[Calibrated forecast hours]]))</f>
        <v/>
      </c>
      <c r="V176" s="51">
        <f>IF(tblWorkPackages[[#This Row],[Time split]]="Train 2024",tblWorkPackages[[#This Row],[Estimated labor hours]],tblWorkPackages[[#This Row],[Calibrated forecast hours]])</f>
        <v>11.6</v>
      </c>
      <c r="W176" s="64">
        <f>DATEVALUE(tblWorkPackages[[#This Row],[Request date]])</f>
        <v>45650.0</v>
      </c>
      <c r="X176" s="64">
        <f>DATEVALUE(tblWorkPackages[[#This Row],[Due date]])</f>
        <v>45663.0</v>
      </c>
      <c r="Y176" s="64">
        <f>DATEVALUE(tblWorkPackages[[#This Row],[Completion date]])</f>
        <v>45654.0</v>
      </c>
      <c r="Z176" s="64">
        <f>_xlfn.MINIFS(tblLaborEntries[Work date serial],tblLaborEntries[Work package ID],tblWorkPackages[[#This Row],[Work package ID]])</f>
        <v>45652.0</v>
      </c>
      <c r="AA176" s="64">
        <f>_xlfn.MAXIFS(tblLaborEntries[Work date serial],tblLaborEntries[Work package ID],tblWorkPackages[[#This Row],[Work package ID]])</f>
        <v>45652.0</v>
      </c>
      <c r="AB176" s="65">
        <f>IF(tblWorkPackages[[#This Row],[Completion date serial]]&gt;tblWorkPackages[[#This Row],[Due date serial]],1,0)</f>
        <v>0</v>
      </c>
      <c r="AC176" s="65">
        <f>MAX(0,tblWorkPackages[[#This Row],[Completion date serial]]-tblWorkPackages[[#This Row],[Due date serial]])</f>
        <v>0</v>
      </c>
      <c r="AD176" s="65">
        <f>tblWorkPackages[[#This Row],[First labor date]]-tblWorkPackages[[#This Row],[Request date serial]]</f>
        <v>2</v>
      </c>
      <c r="AE176" s="65">
        <f>tblWorkPackages[[#This Row],[Last labor date]]-tblWorkPackages[[#This Row],[First labor date]]</f>
        <v>0</v>
      </c>
      <c r="AF176" s="65">
        <f>tblWorkPackages[[#This Row],[Completion date serial]]-tblWorkPackages[[#This Row],[Last labor date]]</f>
        <v>2</v>
      </c>
      <c r="AG176" s="65">
        <f>tblWorkPackages[[#This Row],[Completion date serial]]-tblWorkPackages[[#This Row],[Request date serial]]</f>
        <v>4</v>
      </c>
      <c r="AH176" s="65">
        <f>IFERROR(INDEX(tblParts[Delay days],MATCH(tblWorkPackages[[#This Row],[Work package ID]],tblParts[Work package ID],0)),0)</f>
        <v>0</v>
      </c>
      <c r="AI176" s="51" t="str">
        <f>IFERROR(INDEX(tblDisruptions[Event type],MATCH(tblWorkPackages[[#This Row],[Work package ID]],tblDisruptions[Work package ID],0)),"None")</f>
        <v>None</v>
      </c>
      <c r="AJ176" s="51" t="str">
        <f>TEXT(tblWorkPackages[[#This Row],[Due date serial]],"yyyy-mm")</f>
        <v>2025-01</v>
      </c>
    </row>
    <row r="177" spans="1:36" ht="15" x14ac:dyDescent="0.25">
      <c r="A177" s="53" t="s">
        <v>708</v>
      </c>
      <c r="B177" s="53" t="s">
        <v>133</v>
      </c>
      <c r="C177" s="53" t="s">
        <v>709</v>
      </c>
      <c r="D177" s="53" t="s">
        <v>710</v>
      </c>
      <c r="E177" s="53" t="s">
        <v>242</v>
      </c>
      <c r="F177" s="53" t="s">
        <v>243</v>
      </c>
      <c r="G177" s="53" t="s">
        <v>129</v>
      </c>
      <c r="H177" s="53">
        <v>1</v>
      </c>
      <c r="I177" s="53" t="s">
        <v>130</v>
      </c>
      <c r="J177" s="53">
        <v>0</v>
      </c>
      <c r="K177" s="53">
        <v>0</v>
      </c>
      <c r="L177" s="53">
        <v>6</v>
      </c>
      <c r="M177" s="53" t="s">
        <v>711</v>
      </c>
      <c r="N177" s="53">
        <v>5.7</v>
      </c>
      <c r="O177" s="51" t="str">
        <f>TEXT(tblWorkPackages[[#This Row],[Request date serial]]-WEEKDAY(tblWorkPackages[[#This Row],[Request date serial]],3),"yyyy-mm-dd")</f>
        <v>2025-05-26</v>
      </c>
      <c r="P177" s="51">
        <f>ABS(tblWorkPackages[[#This Row],[Actual labor hours]]-tblWorkPackages[[#This Row],[Estimated labor hours]])</f>
        <v>0.3</v>
      </c>
      <c r="Q177" s="51">
        <f>IF(tblWorkPackages[[#This Row],[Actual labor hours]]&gt;tblWorkPackages[[#This Row],[Estimated labor hours]],1,0)</f>
        <v>0</v>
      </c>
      <c r="R177" s="51">
        <f>tblWorkPackages[[#This Row],[Actual labor hours]]-tblWorkPackages[[#This Row],[Estimated labor hours]]</f>
        <v>-0.3</v>
      </c>
      <c r="S177" s="51" t="str">
        <f>IF(tblWorkPackages[[#This Row],[Request date serial]]&lt;ValidationStart,"Train 2024",IF(tblWorkPackages[[#This Row],[Request date serial]]&lt;HoldoutStart,"Validation H1","Holdout H2"))</f>
        <v>Validation H1</v>
      </c>
      <c r="T177" s="51">
        <f>IF(tblWorkPackages[[#This Row],[Time split]]="Train 2024","",tblWorkPackages[[#This Row],[Estimated labor hours]]+VLOOKUP(tblWorkPackages[[#This Row],[Task type]],'Forecast validation'!$A$14:$E$25,IF(tblWorkPackages[[#This Row],[Time split]]="Validation H1",4,5),FALSE()))</f>
        <v>6.55612244897959</v>
      </c>
      <c r="U177" s="51">
        <f>IF(tblWorkPackages[[#This Row],[Calibrated forecast hours]]="","",ABS(tblWorkPackages[[#This Row],[Actual labor hours]]-tblWorkPackages[[#This Row],[Calibrated forecast hours]]))</f>
        <v>0.856122448979591</v>
      </c>
      <c r="V177" s="51">
        <f>IF(tblWorkPackages[[#This Row],[Time split]]="Train 2024",tblWorkPackages[[#This Row],[Estimated labor hours]],tblWorkPackages[[#This Row],[Calibrated forecast hours]])</f>
        <v>6.55612244897959</v>
      </c>
      <c r="W177" s="64">
        <f>DATEVALUE(tblWorkPackages[[#This Row],[Request date]])</f>
        <v>45808.0</v>
      </c>
      <c r="X177" s="64">
        <f>DATEVALUE(tblWorkPackages[[#This Row],[Due date]])</f>
        <v>45821.0</v>
      </c>
      <c r="Y177" s="64">
        <f>DATEVALUE(tblWorkPackages[[#This Row],[Completion date]])</f>
        <v>45827.0</v>
      </c>
      <c r="Z177" s="64">
        <f>_xlfn.MINIFS(tblLaborEntries[Work date serial],tblLaborEntries[Work package ID],tblWorkPackages[[#This Row],[Work package ID]])</f>
        <v>45823.0</v>
      </c>
      <c r="AA177" s="64">
        <f>_xlfn.MAXIFS(tblLaborEntries[Work date serial],tblLaborEntries[Work package ID],tblWorkPackages[[#This Row],[Work package ID]])</f>
        <v>45824.0</v>
      </c>
      <c r="AB177" s="65">
        <f>IF(tblWorkPackages[[#This Row],[Completion date serial]]&gt;tblWorkPackages[[#This Row],[Due date serial]],1,0)</f>
        <v>1</v>
      </c>
      <c r="AC177" s="65">
        <f>MAX(0,tblWorkPackages[[#This Row],[Completion date serial]]-tblWorkPackages[[#This Row],[Due date serial]])</f>
        <v>6</v>
      </c>
      <c r="AD177" s="65">
        <f>tblWorkPackages[[#This Row],[First labor date]]-tblWorkPackages[[#This Row],[Request date serial]]</f>
        <v>15</v>
      </c>
      <c r="AE177" s="65">
        <f>tblWorkPackages[[#This Row],[Last labor date]]-tblWorkPackages[[#This Row],[First labor date]]</f>
        <v>1</v>
      </c>
      <c r="AF177" s="65">
        <f>tblWorkPackages[[#This Row],[Completion date serial]]-tblWorkPackages[[#This Row],[Last labor date]]</f>
        <v>3</v>
      </c>
      <c r="AG177" s="65">
        <f>tblWorkPackages[[#This Row],[Completion date serial]]-tblWorkPackages[[#This Row],[Request date serial]]</f>
        <v>19</v>
      </c>
      <c r="AH177" s="65">
        <f>IFERROR(INDEX(tblParts[Delay days],MATCH(tblWorkPackages[[#This Row],[Work package ID]],tblParts[Work package ID],0)),0)</f>
        <v>0</v>
      </c>
      <c r="AI177" s="51" t="str">
        <f>IFERROR(INDEX(tblDisruptions[Event type],MATCH(tblWorkPackages[[#This Row],[Work package ID]],tblDisruptions[Work package ID],0)),"None")</f>
        <v>None</v>
      </c>
      <c r="AJ177" s="51" t="str">
        <f>TEXT(tblWorkPackages[[#This Row],[Due date serial]],"yyyy-mm")</f>
        <v>2025-06</v>
      </c>
    </row>
    <row r="178" spans="1:36" ht="15" x14ac:dyDescent="0.25">
      <c r="A178" s="53" t="s">
        <v>712</v>
      </c>
      <c r="B178" s="53" t="s">
        <v>287</v>
      </c>
      <c r="C178" s="53" t="s">
        <v>713</v>
      </c>
      <c r="D178" s="53" t="s">
        <v>714</v>
      </c>
      <c r="E178" s="53" t="s">
        <v>242</v>
      </c>
      <c r="F178" s="53" t="s">
        <v>243</v>
      </c>
      <c r="G178" s="53" t="s">
        <v>129</v>
      </c>
      <c r="H178" s="53">
        <v>3</v>
      </c>
      <c r="I178" s="53" t="s">
        <v>176</v>
      </c>
      <c r="J178" s="53">
        <v>0</v>
      </c>
      <c r="K178" s="53">
        <v>0</v>
      </c>
      <c r="L178" s="53">
        <v>12.7</v>
      </c>
      <c r="M178" s="53" t="s">
        <v>640</v>
      </c>
      <c r="N178" s="53">
        <v>13.3</v>
      </c>
      <c r="O178" s="51" t="str">
        <f>TEXT(tblWorkPackages[[#This Row],[Request date serial]]-WEEKDAY(tblWorkPackages[[#This Row],[Request date serial]],3),"yyyy-mm-dd")</f>
        <v>2025-06-09</v>
      </c>
      <c r="P178" s="51">
        <f>ABS(tblWorkPackages[[#This Row],[Actual labor hours]]-tblWorkPackages[[#This Row],[Estimated labor hours]])</f>
        <v>0.600000000000001</v>
      </c>
      <c r="Q178" s="51">
        <f>IF(tblWorkPackages[[#This Row],[Actual labor hours]]&gt;tblWorkPackages[[#This Row],[Estimated labor hours]],1,0)</f>
        <v>1</v>
      </c>
      <c r="R178" s="51">
        <f>tblWorkPackages[[#This Row],[Actual labor hours]]-tblWorkPackages[[#This Row],[Estimated labor hours]]</f>
        <v>0.600000000000001</v>
      </c>
      <c r="S178" s="51" t="str">
        <f>IF(tblWorkPackages[[#This Row],[Request date serial]]&lt;ValidationStart,"Train 2024",IF(tblWorkPackages[[#This Row],[Request date serial]]&lt;HoldoutStart,"Validation H1","Holdout H2"))</f>
        <v>Validation H1</v>
      </c>
      <c r="T178" s="51">
        <f>IF(tblWorkPackages[[#This Row],[Time split]]="Train 2024","",tblWorkPackages[[#This Row],[Estimated labor hours]]+VLOOKUP(tblWorkPackages[[#This Row],[Task type]],'Forecast validation'!$A$14:$E$25,IF(tblWorkPackages[[#This Row],[Time split]]="Validation H1",4,5),FALSE()))</f>
        <v>13.2561224489796</v>
      </c>
      <c r="U178" s="51">
        <f>IF(tblWorkPackages[[#This Row],[Calibrated forecast hours]]="","",ABS(tblWorkPackages[[#This Row],[Actual labor hours]]-tblWorkPackages[[#This Row],[Calibrated forecast hours]]))</f>
        <v>0.0438775510204099</v>
      </c>
      <c r="V178" s="51">
        <f>IF(tblWorkPackages[[#This Row],[Time split]]="Train 2024",tblWorkPackages[[#This Row],[Estimated labor hours]],tblWorkPackages[[#This Row],[Calibrated forecast hours]])</f>
        <v>13.2561224489796</v>
      </c>
      <c r="W178" s="64">
        <f>DATEVALUE(tblWorkPackages[[#This Row],[Request date]])</f>
        <v>45823.0</v>
      </c>
      <c r="X178" s="64">
        <f>DATEVALUE(tblWorkPackages[[#This Row],[Due date]])</f>
        <v>45829.0</v>
      </c>
      <c r="Y178" s="64">
        <f>DATEVALUE(tblWorkPackages[[#This Row],[Completion date]])</f>
        <v>45828.0</v>
      </c>
      <c r="Z178" s="64">
        <f>_xlfn.MINIFS(tblLaborEntries[Work date serial],tblLaborEntries[Work package ID],tblWorkPackages[[#This Row],[Work package ID]])</f>
        <v>45827.0</v>
      </c>
      <c r="AA178" s="64">
        <f>_xlfn.MAXIFS(tblLaborEntries[Work date serial],tblLaborEntries[Work package ID],tblWorkPackages[[#This Row],[Work package ID]])</f>
        <v>45828.0</v>
      </c>
      <c r="AB178" s="65">
        <f>IF(tblWorkPackages[[#This Row],[Completion date serial]]&gt;tblWorkPackages[[#This Row],[Due date serial]],1,0)</f>
        <v>0</v>
      </c>
      <c r="AC178" s="65">
        <f>MAX(0,tblWorkPackages[[#This Row],[Completion date serial]]-tblWorkPackages[[#This Row],[Due date serial]])</f>
        <v>0</v>
      </c>
      <c r="AD178" s="65">
        <f>tblWorkPackages[[#This Row],[First labor date]]-tblWorkPackages[[#This Row],[Request date serial]]</f>
        <v>4</v>
      </c>
      <c r="AE178" s="65">
        <f>tblWorkPackages[[#This Row],[Last labor date]]-tblWorkPackages[[#This Row],[First labor date]]</f>
        <v>1</v>
      </c>
      <c r="AF178" s="65">
        <f>tblWorkPackages[[#This Row],[Completion date serial]]-tblWorkPackages[[#This Row],[Last labor date]]</f>
        <v>0</v>
      </c>
      <c r="AG178" s="65">
        <f>tblWorkPackages[[#This Row],[Completion date serial]]-tblWorkPackages[[#This Row],[Request date serial]]</f>
        <v>5</v>
      </c>
      <c r="AH178" s="65">
        <f>IFERROR(INDEX(tblParts[Delay days],MATCH(tblWorkPackages[[#This Row],[Work package ID]],tblParts[Work package ID],0)),0)</f>
        <v>0</v>
      </c>
      <c r="AI178" s="51" t="str">
        <f>IFERROR(INDEX(tblDisruptions[Event type],MATCH(tblWorkPackages[[#This Row],[Work package ID]],tblDisruptions[Work package ID],0)),"None")</f>
        <v>None</v>
      </c>
      <c r="AJ178" s="51" t="str">
        <f>TEXT(tblWorkPackages[[#This Row],[Due date serial]],"yyyy-mm")</f>
        <v>2025-06</v>
      </c>
    </row>
    <row r="179" spans="1:36" ht="15" x14ac:dyDescent="0.25">
      <c r="A179" s="53" t="s">
        <v>715</v>
      </c>
      <c r="B179" s="53" t="s">
        <v>157</v>
      </c>
      <c r="C179" s="53" t="s">
        <v>716</v>
      </c>
      <c r="D179" s="53" t="s">
        <v>717</v>
      </c>
      <c r="E179" s="53" t="s">
        <v>209</v>
      </c>
      <c r="F179" s="53" t="s">
        <v>145</v>
      </c>
      <c r="G179" s="53" t="s">
        <v>210</v>
      </c>
      <c r="H179" s="53">
        <v>3</v>
      </c>
      <c r="I179" s="53" t="s">
        <v>130</v>
      </c>
      <c r="J179" s="53">
        <v>0</v>
      </c>
      <c r="K179" s="53">
        <v>0</v>
      </c>
      <c r="L179" s="53">
        <v>28</v>
      </c>
      <c r="M179" s="53" t="s">
        <v>412</v>
      </c>
      <c r="N179" s="53">
        <v>36.1</v>
      </c>
      <c r="O179" s="51" t="str">
        <f>TEXT(tblWorkPackages[[#This Row],[Request date serial]]-WEEKDAY(tblWorkPackages[[#This Row],[Request date serial]],3),"yyyy-mm-dd")</f>
        <v>2025-02-17</v>
      </c>
      <c r="P179" s="51">
        <f>ABS(tblWorkPackages[[#This Row],[Actual labor hours]]-tblWorkPackages[[#This Row],[Estimated labor hours]])</f>
        <v>8.1</v>
      </c>
      <c r="Q179" s="51">
        <f>IF(tblWorkPackages[[#This Row],[Actual labor hours]]&gt;tblWorkPackages[[#This Row],[Estimated labor hours]],1,0)</f>
        <v>1</v>
      </c>
      <c r="R179" s="51">
        <f>tblWorkPackages[[#This Row],[Actual labor hours]]-tblWorkPackages[[#This Row],[Estimated labor hours]]</f>
        <v>8.1</v>
      </c>
      <c r="S179" s="51" t="str">
        <f>IF(tblWorkPackages[[#This Row],[Request date serial]]&lt;ValidationStart,"Train 2024",IF(tblWorkPackages[[#This Row],[Request date serial]]&lt;HoldoutStart,"Validation H1","Holdout H2"))</f>
        <v>Validation H1</v>
      </c>
      <c r="T179" s="51">
        <f>IF(tblWorkPackages[[#This Row],[Time split]]="Train 2024","",tblWorkPackages[[#This Row],[Estimated labor hours]]+VLOOKUP(tblWorkPackages[[#This Row],[Task type]],'Forecast validation'!$A$14:$E$25,IF(tblWorkPackages[[#This Row],[Time split]]="Validation H1",4,5),FALSE()))</f>
        <v>29.1029850746269</v>
      </c>
      <c r="U179" s="51">
        <f>IF(tblWorkPackages[[#This Row],[Calibrated forecast hours]]="","",ABS(tblWorkPackages[[#This Row],[Actual labor hours]]-tblWorkPackages[[#This Row],[Calibrated forecast hours]]))</f>
        <v>6.99701492537314</v>
      </c>
      <c r="V179" s="51">
        <f>IF(tblWorkPackages[[#This Row],[Time split]]="Train 2024",tblWorkPackages[[#This Row],[Estimated labor hours]],tblWorkPackages[[#This Row],[Calibrated forecast hours]])</f>
        <v>29.1029850746269</v>
      </c>
      <c r="W179" s="64">
        <f>DATEVALUE(tblWorkPackages[[#This Row],[Request date]])</f>
        <v>45710.0</v>
      </c>
      <c r="X179" s="64">
        <f>DATEVALUE(tblWorkPackages[[#This Row],[Due date]])</f>
        <v>45723.0</v>
      </c>
      <c r="Y179" s="64">
        <f>DATEVALUE(tblWorkPackages[[#This Row],[Completion date]])</f>
        <v>45712.0</v>
      </c>
      <c r="Z179" s="64">
        <f>_xlfn.MINIFS(tblLaborEntries[Work date serial],tblLaborEntries[Work package ID],tblWorkPackages[[#This Row],[Work package ID]])</f>
        <v>45710.0</v>
      </c>
      <c r="AA179" s="64">
        <f>_xlfn.MAXIFS(tblLaborEntries[Work date serial],tblLaborEntries[Work package ID],tblWorkPackages[[#This Row],[Work package ID]])</f>
        <v>45711.0</v>
      </c>
      <c r="AB179" s="65">
        <f>IF(tblWorkPackages[[#This Row],[Completion date serial]]&gt;tblWorkPackages[[#This Row],[Due date serial]],1,0)</f>
        <v>0</v>
      </c>
      <c r="AC179" s="65">
        <f>MAX(0,tblWorkPackages[[#This Row],[Completion date serial]]-tblWorkPackages[[#This Row],[Due date serial]])</f>
        <v>0</v>
      </c>
      <c r="AD179" s="65">
        <f>tblWorkPackages[[#This Row],[First labor date]]-tblWorkPackages[[#This Row],[Request date serial]]</f>
        <v>0</v>
      </c>
      <c r="AE179" s="65">
        <f>tblWorkPackages[[#This Row],[Last labor date]]-tblWorkPackages[[#This Row],[First labor date]]</f>
        <v>1</v>
      </c>
      <c r="AF179" s="65">
        <f>tblWorkPackages[[#This Row],[Completion date serial]]-tblWorkPackages[[#This Row],[Last labor date]]</f>
        <v>1</v>
      </c>
      <c r="AG179" s="65">
        <f>tblWorkPackages[[#This Row],[Completion date serial]]-tblWorkPackages[[#This Row],[Request date serial]]</f>
        <v>2</v>
      </c>
      <c r="AH179" s="65">
        <f>IFERROR(INDEX(tblParts[Delay days],MATCH(tblWorkPackages[[#This Row],[Work package ID]],tblParts[Work package ID],0)),0)</f>
        <v>0</v>
      </c>
      <c r="AI179" s="51" t="str">
        <f>IFERROR(INDEX(tblDisruptions[Event type],MATCH(tblWorkPackages[[#This Row],[Work package ID]],tblDisruptions[Work package ID],0)),"None")</f>
        <v>Repeat inspection</v>
      </c>
      <c r="AJ179" s="51" t="str">
        <f>TEXT(tblWorkPackages[[#This Row],[Due date serial]],"yyyy-mm")</f>
        <v>2025-03</v>
      </c>
    </row>
    <row r="180" spans="1:36" ht="15" x14ac:dyDescent="0.25">
      <c r="A180" s="53" t="s">
        <v>718</v>
      </c>
      <c r="B180" s="53" t="s">
        <v>287</v>
      </c>
      <c r="C180" s="53" t="s">
        <v>148</v>
      </c>
      <c r="D180" s="53" t="s">
        <v>719</v>
      </c>
      <c r="E180" s="53" t="s">
        <v>160</v>
      </c>
      <c r="F180" s="53" t="s">
        <v>128</v>
      </c>
      <c r="G180" s="53" t="s">
        <v>138</v>
      </c>
      <c r="H180" s="53">
        <v>4</v>
      </c>
      <c r="I180" s="53" t="s">
        <v>176</v>
      </c>
      <c r="J180" s="53">
        <v>0</v>
      </c>
      <c r="K180" s="53">
        <v>1</v>
      </c>
      <c r="L180" s="53">
        <v>9.1</v>
      </c>
      <c r="M180" s="53" t="s">
        <v>720</v>
      </c>
      <c r="N180" s="53">
        <v>8.4</v>
      </c>
      <c r="O180" s="51" t="str">
        <f>TEXT(tblWorkPackages[[#This Row],[Request date serial]]-WEEKDAY(tblWorkPackages[[#This Row],[Request date serial]],3),"yyyy-mm-dd")</f>
        <v>2024-02-26</v>
      </c>
      <c r="P180" s="51">
        <f>ABS(tblWorkPackages[[#This Row],[Actual labor hours]]-tblWorkPackages[[#This Row],[Estimated labor hours]])</f>
        <v>0.699999999999999</v>
      </c>
      <c r="Q180" s="51">
        <f>IF(tblWorkPackages[[#This Row],[Actual labor hours]]&gt;tblWorkPackages[[#This Row],[Estimated labor hours]],1,0)</f>
        <v>0</v>
      </c>
      <c r="R180" s="51">
        <f>tblWorkPackages[[#This Row],[Actual labor hours]]-tblWorkPackages[[#This Row],[Estimated labor hours]]</f>
        <v>-0.699999999999999</v>
      </c>
      <c r="S180" s="51" t="str">
        <f>IF(tblWorkPackages[[#This Row],[Request date serial]]&lt;ValidationStart,"Train 2024",IF(tblWorkPackages[[#This Row],[Request date serial]]&lt;HoldoutStart,"Validation H1","Holdout H2"))</f>
        <v>Train 2024</v>
      </c>
      <c r="T180" s="51" t="str">
        <f>IF(tblWorkPackages[[#This Row],[Time split]]="Train 2024","",tblWorkPackages[[#This Row],[Estimated labor hours]]+VLOOKUP(tblWorkPackages[[#This Row],[Task type]],'Forecast validation'!$A$14:$E$25,IF(tblWorkPackages[[#This Row],[Time split]]="Validation H1",4,5),FALSE()))</f>
        <v/>
      </c>
      <c r="U180" s="51" t="str">
        <f>IF(tblWorkPackages[[#This Row],[Calibrated forecast hours]]="","",ABS(tblWorkPackages[[#This Row],[Actual labor hours]]-tblWorkPackages[[#This Row],[Calibrated forecast hours]]))</f>
        <v/>
      </c>
      <c r="V180" s="51">
        <f>IF(tblWorkPackages[[#This Row],[Time split]]="Train 2024",tblWorkPackages[[#This Row],[Estimated labor hours]],tblWorkPackages[[#This Row],[Calibrated forecast hours]])</f>
        <v>9.1</v>
      </c>
      <c r="W180" s="64">
        <f>DATEVALUE(tblWorkPackages[[#This Row],[Request date]])</f>
        <v>45348.0</v>
      </c>
      <c r="X180" s="64">
        <f>DATEVALUE(tblWorkPackages[[#This Row],[Due date]])</f>
        <v>45354.0</v>
      </c>
      <c r="Y180" s="64">
        <f>DATEVALUE(tblWorkPackages[[#This Row],[Completion date]])</f>
        <v>45359.0</v>
      </c>
      <c r="Z180" s="64">
        <f>_xlfn.MINIFS(tblLaborEntries[Work date serial],tblLaborEntries[Work package ID],tblWorkPackages[[#This Row],[Work package ID]])</f>
        <v>45357.0</v>
      </c>
      <c r="AA180" s="64">
        <f>_xlfn.MAXIFS(tblLaborEntries[Work date serial],tblLaborEntries[Work package ID],tblWorkPackages[[#This Row],[Work package ID]])</f>
        <v>45357.0</v>
      </c>
      <c r="AB180" s="65">
        <f>IF(tblWorkPackages[[#This Row],[Completion date serial]]&gt;tblWorkPackages[[#This Row],[Due date serial]],1,0)</f>
        <v>1</v>
      </c>
      <c r="AC180" s="65">
        <f>MAX(0,tblWorkPackages[[#This Row],[Completion date serial]]-tblWorkPackages[[#This Row],[Due date serial]])</f>
        <v>5</v>
      </c>
      <c r="AD180" s="65">
        <f>tblWorkPackages[[#This Row],[First labor date]]-tblWorkPackages[[#This Row],[Request date serial]]</f>
        <v>9</v>
      </c>
      <c r="AE180" s="65">
        <f>tblWorkPackages[[#This Row],[Last labor date]]-tblWorkPackages[[#This Row],[First labor date]]</f>
        <v>0</v>
      </c>
      <c r="AF180" s="65">
        <f>tblWorkPackages[[#This Row],[Completion date serial]]-tblWorkPackages[[#This Row],[Last labor date]]</f>
        <v>2</v>
      </c>
      <c r="AG180" s="65">
        <f>tblWorkPackages[[#This Row],[Completion date serial]]-tblWorkPackages[[#This Row],[Request date serial]]</f>
        <v>11</v>
      </c>
      <c r="AH180" s="65">
        <f>IFERROR(INDEX(tblParts[Delay days],MATCH(tblWorkPackages[[#This Row],[Work package ID]],tblParts[Work package ID],0)),0)</f>
        <v>0</v>
      </c>
      <c r="AI180" s="51" t="str">
        <f>IFERROR(INDEX(tblDisruptions[Event type],MATCH(tblWorkPackages[[#This Row],[Work package ID]],tblDisruptions[Work package ID],0)),"None")</f>
        <v>None</v>
      </c>
      <c r="AJ180" s="51" t="str">
        <f>TEXT(tblWorkPackages[[#This Row],[Due date serial]],"yyyy-mm")</f>
        <v>2024-03</v>
      </c>
    </row>
    <row r="181" spans="1:36" ht="15" x14ac:dyDescent="0.25">
      <c r="A181" s="53" t="s">
        <v>721</v>
      </c>
      <c r="B181" s="53" t="s">
        <v>124</v>
      </c>
      <c r="C181" s="53" t="s">
        <v>722</v>
      </c>
      <c r="D181" s="53" t="s">
        <v>723</v>
      </c>
      <c r="E181" s="53" t="s">
        <v>272</v>
      </c>
      <c r="F181" s="53" t="s">
        <v>145</v>
      </c>
      <c r="G181" s="53" t="s">
        <v>273</v>
      </c>
      <c r="H181" s="53">
        <v>1</v>
      </c>
      <c r="I181" s="53" t="s">
        <v>130</v>
      </c>
      <c r="J181" s="53">
        <v>0</v>
      </c>
      <c r="K181" s="53">
        <v>0</v>
      </c>
      <c r="L181" s="53">
        <v>6.8</v>
      </c>
      <c r="M181" s="53" t="s">
        <v>724</v>
      </c>
      <c r="N181" s="53">
        <v>8.1</v>
      </c>
      <c r="O181" s="51" t="str">
        <f>TEXT(tblWorkPackages[[#This Row],[Request date serial]]-WEEKDAY(tblWorkPackages[[#This Row],[Request date serial]],3),"yyyy-mm-dd")</f>
        <v>2024-10-07</v>
      </c>
      <c r="P181" s="51">
        <f>ABS(tblWorkPackages[[#This Row],[Actual labor hours]]-tblWorkPackages[[#This Row],[Estimated labor hours]])</f>
        <v>1.3</v>
      </c>
      <c r="Q181" s="51">
        <f>IF(tblWorkPackages[[#This Row],[Actual labor hours]]&gt;tblWorkPackages[[#This Row],[Estimated labor hours]],1,0)</f>
        <v>1</v>
      </c>
      <c r="R181" s="51">
        <f>tblWorkPackages[[#This Row],[Actual labor hours]]-tblWorkPackages[[#This Row],[Estimated labor hours]]</f>
        <v>1.3</v>
      </c>
      <c r="S181" s="51" t="str">
        <f>IF(tblWorkPackages[[#This Row],[Request date serial]]&lt;ValidationStart,"Train 2024",IF(tblWorkPackages[[#This Row],[Request date serial]]&lt;HoldoutStart,"Validation H1","Holdout H2"))</f>
        <v>Train 2024</v>
      </c>
      <c r="T181" s="51" t="str">
        <f>IF(tblWorkPackages[[#This Row],[Time split]]="Train 2024","",tblWorkPackages[[#This Row],[Estimated labor hours]]+VLOOKUP(tblWorkPackages[[#This Row],[Task type]],'Forecast validation'!$A$14:$E$25,IF(tblWorkPackages[[#This Row],[Time split]]="Validation H1",4,5),FALSE()))</f>
        <v/>
      </c>
      <c r="U181" s="51" t="str">
        <f>IF(tblWorkPackages[[#This Row],[Calibrated forecast hours]]="","",ABS(tblWorkPackages[[#This Row],[Actual labor hours]]-tblWorkPackages[[#This Row],[Calibrated forecast hours]]))</f>
        <v/>
      </c>
      <c r="V181" s="51">
        <f>IF(tblWorkPackages[[#This Row],[Time split]]="Train 2024",tblWorkPackages[[#This Row],[Estimated labor hours]],tblWorkPackages[[#This Row],[Calibrated forecast hours]])</f>
        <v>6.8</v>
      </c>
      <c r="W181" s="64">
        <f>DATEVALUE(tblWorkPackages[[#This Row],[Request date]])</f>
        <v>45576.0</v>
      </c>
      <c r="X181" s="64">
        <f>DATEVALUE(tblWorkPackages[[#This Row],[Due date]])</f>
        <v>45589.0</v>
      </c>
      <c r="Y181" s="64">
        <f>DATEVALUE(tblWorkPackages[[#This Row],[Completion date]])</f>
        <v>45581.0</v>
      </c>
      <c r="Z181" s="64">
        <f>_xlfn.MINIFS(tblLaborEntries[Work date serial],tblLaborEntries[Work package ID],tblWorkPackages[[#This Row],[Work package ID]])</f>
        <v>45578.0</v>
      </c>
      <c r="AA181" s="64">
        <f>_xlfn.MAXIFS(tblLaborEntries[Work date serial],tblLaborEntries[Work package ID],tblWorkPackages[[#This Row],[Work package ID]])</f>
        <v>45578.0</v>
      </c>
      <c r="AB181" s="65">
        <f>IF(tblWorkPackages[[#This Row],[Completion date serial]]&gt;tblWorkPackages[[#This Row],[Due date serial]],1,0)</f>
        <v>0</v>
      </c>
      <c r="AC181" s="65">
        <f>MAX(0,tblWorkPackages[[#This Row],[Completion date serial]]-tblWorkPackages[[#This Row],[Due date serial]])</f>
        <v>0</v>
      </c>
      <c r="AD181" s="65">
        <f>tblWorkPackages[[#This Row],[First labor date]]-tblWorkPackages[[#This Row],[Request date serial]]</f>
        <v>2</v>
      </c>
      <c r="AE181" s="65">
        <f>tblWorkPackages[[#This Row],[Last labor date]]-tblWorkPackages[[#This Row],[First labor date]]</f>
        <v>0</v>
      </c>
      <c r="AF181" s="65">
        <f>tblWorkPackages[[#This Row],[Completion date serial]]-tblWorkPackages[[#This Row],[Last labor date]]</f>
        <v>3</v>
      </c>
      <c r="AG181" s="65">
        <f>tblWorkPackages[[#This Row],[Completion date serial]]-tblWorkPackages[[#This Row],[Request date serial]]</f>
        <v>5</v>
      </c>
      <c r="AH181" s="65">
        <f>IFERROR(INDEX(tblParts[Delay days],MATCH(tblWorkPackages[[#This Row],[Work package ID]],tblParts[Work package ID],0)),0)</f>
        <v>0</v>
      </c>
      <c r="AI181" s="51" t="str">
        <f>IFERROR(INDEX(tblDisruptions[Event type],MATCH(tblWorkPackages[[#This Row],[Work package ID]],tblDisruptions[Work package ID],0)),"None")</f>
        <v>None</v>
      </c>
      <c r="AJ181" s="51" t="str">
        <f>TEXT(tblWorkPackages[[#This Row],[Due date serial]],"yyyy-mm")</f>
        <v>2024-10</v>
      </c>
    </row>
    <row r="182" spans="1:36" ht="15" x14ac:dyDescent="0.25">
      <c r="A182" s="53" t="s">
        <v>725</v>
      </c>
      <c r="B182" s="53" t="s">
        <v>168</v>
      </c>
      <c r="C182" s="53" t="s">
        <v>726</v>
      </c>
      <c r="D182" s="53" t="s">
        <v>634</v>
      </c>
      <c r="E182" s="53" t="s">
        <v>242</v>
      </c>
      <c r="F182" s="53" t="s">
        <v>243</v>
      </c>
      <c r="G182" s="53" t="s">
        <v>129</v>
      </c>
      <c r="H182" s="53">
        <v>1</v>
      </c>
      <c r="I182" s="53" t="s">
        <v>176</v>
      </c>
      <c r="J182" s="53">
        <v>1</v>
      </c>
      <c r="K182" s="53">
        <v>0</v>
      </c>
      <c r="L182" s="53">
        <v>6.4</v>
      </c>
      <c r="M182" s="53" t="s">
        <v>419</v>
      </c>
      <c r="N182" s="53">
        <v>9.9</v>
      </c>
      <c r="O182" s="51" t="str">
        <f>TEXT(tblWorkPackages[[#This Row],[Request date serial]]-WEEKDAY(tblWorkPackages[[#This Row],[Request date serial]],3),"yyyy-mm-dd")</f>
        <v>2024-05-20</v>
      </c>
      <c r="P182" s="51">
        <f>ABS(tblWorkPackages[[#This Row],[Actual labor hours]]-tblWorkPackages[[#This Row],[Estimated labor hours]])</f>
        <v>3.5</v>
      </c>
      <c r="Q182" s="51">
        <f>IF(tblWorkPackages[[#This Row],[Actual labor hours]]&gt;tblWorkPackages[[#This Row],[Estimated labor hours]],1,0)</f>
        <v>1</v>
      </c>
      <c r="R182" s="51">
        <f>tblWorkPackages[[#This Row],[Actual labor hours]]-tblWorkPackages[[#This Row],[Estimated labor hours]]</f>
        <v>3.5</v>
      </c>
      <c r="S182" s="51" t="str">
        <f>IF(tblWorkPackages[[#This Row],[Request date serial]]&lt;ValidationStart,"Train 2024",IF(tblWorkPackages[[#This Row],[Request date serial]]&lt;HoldoutStart,"Validation H1","Holdout H2"))</f>
        <v>Train 2024</v>
      </c>
      <c r="T182" s="51" t="str">
        <f>IF(tblWorkPackages[[#This Row],[Time split]]="Train 2024","",tblWorkPackages[[#This Row],[Estimated labor hours]]+VLOOKUP(tblWorkPackages[[#This Row],[Task type]],'Forecast validation'!$A$14:$E$25,IF(tblWorkPackages[[#This Row],[Time split]]="Validation H1",4,5),FALSE()))</f>
        <v/>
      </c>
      <c r="U182" s="51" t="str">
        <f>IF(tblWorkPackages[[#This Row],[Calibrated forecast hours]]="","",ABS(tblWorkPackages[[#This Row],[Actual labor hours]]-tblWorkPackages[[#This Row],[Calibrated forecast hours]]))</f>
        <v/>
      </c>
      <c r="V182" s="51">
        <f>IF(tblWorkPackages[[#This Row],[Time split]]="Train 2024",tblWorkPackages[[#This Row],[Estimated labor hours]],tblWorkPackages[[#This Row],[Calibrated forecast hours]])</f>
        <v>6.4</v>
      </c>
      <c r="W182" s="64">
        <f>DATEVALUE(tblWorkPackages[[#This Row],[Request date]])</f>
        <v>45432.0</v>
      </c>
      <c r="X182" s="64">
        <f>DATEVALUE(tblWorkPackages[[#This Row],[Due date]])</f>
        <v>45438.0</v>
      </c>
      <c r="Y182" s="64">
        <f>DATEVALUE(tblWorkPackages[[#This Row],[Completion date]])</f>
        <v>45457.0</v>
      </c>
      <c r="Z182" s="64">
        <f>_xlfn.MINIFS(tblLaborEntries[Work date serial],tblLaborEntries[Work package ID],tblWorkPackages[[#This Row],[Work package ID]])</f>
        <v>45456.0</v>
      </c>
      <c r="AA182" s="64">
        <f>_xlfn.MAXIFS(tblLaborEntries[Work date serial],tblLaborEntries[Work package ID],tblWorkPackages[[#This Row],[Work package ID]])</f>
        <v>45457.0</v>
      </c>
      <c r="AB182" s="65">
        <f>IF(tblWorkPackages[[#This Row],[Completion date serial]]&gt;tblWorkPackages[[#This Row],[Due date serial]],1,0)</f>
        <v>1</v>
      </c>
      <c r="AC182" s="65">
        <f>MAX(0,tblWorkPackages[[#This Row],[Completion date serial]]-tblWorkPackages[[#This Row],[Due date serial]])</f>
        <v>19</v>
      </c>
      <c r="AD182" s="65">
        <f>tblWorkPackages[[#This Row],[First labor date]]-tblWorkPackages[[#This Row],[Request date serial]]</f>
        <v>24</v>
      </c>
      <c r="AE182" s="65">
        <f>tblWorkPackages[[#This Row],[Last labor date]]-tblWorkPackages[[#This Row],[First labor date]]</f>
        <v>1</v>
      </c>
      <c r="AF182" s="65">
        <f>tblWorkPackages[[#This Row],[Completion date serial]]-tblWorkPackages[[#This Row],[Last labor date]]</f>
        <v>0</v>
      </c>
      <c r="AG182" s="65">
        <f>tblWorkPackages[[#This Row],[Completion date serial]]-tblWorkPackages[[#This Row],[Request date serial]]</f>
        <v>25</v>
      </c>
      <c r="AH182" s="65">
        <f>IFERROR(INDEX(tblParts[Delay days],MATCH(tblWorkPackages[[#This Row],[Work package ID]],tblParts[Work package ID],0)),0)</f>
        <v>0</v>
      </c>
      <c r="AI182" s="51" t="str">
        <f>IFERROR(INDEX(tblDisruptions[Event type],MATCH(tblWorkPackages[[#This Row],[Work package ID]],tblDisruptions[Work package ID],0)),"None")</f>
        <v>None</v>
      </c>
      <c r="AJ182" s="51" t="str">
        <f>TEXT(tblWorkPackages[[#This Row],[Due date serial]],"yyyy-mm")</f>
        <v>2024-05</v>
      </c>
    </row>
    <row r="183" spans="1:36" ht="15" x14ac:dyDescent="0.25">
      <c r="A183" s="53" t="s">
        <v>727</v>
      </c>
      <c r="B183" s="53" t="s">
        <v>168</v>
      </c>
      <c r="C183" s="53" t="s">
        <v>369</v>
      </c>
      <c r="D183" s="53" t="s">
        <v>303</v>
      </c>
      <c r="E183" s="53" t="s">
        <v>181</v>
      </c>
      <c r="F183" s="53" t="s">
        <v>182</v>
      </c>
      <c r="G183" s="53" t="s">
        <v>138</v>
      </c>
      <c r="H183" s="53">
        <v>4</v>
      </c>
      <c r="I183" s="53" t="s">
        <v>130</v>
      </c>
      <c r="J183" s="53">
        <v>0</v>
      </c>
      <c r="K183" s="53">
        <v>0</v>
      </c>
      <c r="L183" s="53">
        <v>15.2</v>
      </c>
      <c r="M183" s="53" t="s">
        <v>565</v>
      </c>
      <c r="N183" s="53">
        <v>12.7</v>
      </c>
      <c r="O183" s="51" t="str">
        <f>TEXT(tblWorkPackages[[#This Row],[Request date serial]]-WEEKDAY(tblWorkPackages[[#This Row],[Request date serial]],3),"yyyy-mm-dd")</f>
        <v>2024-06-10</v>
      </c>
      <c r="P183" s="51">
        <f>ABS(tblWorkPackages[[#This Row],[Actual labor hours]]-tblWorkPackages[[#This Row],[Estimated labor hours]])</f>
        <v>2.5</v>
      </c>
      <c r="Q183" s="51">
        <f>IF(tblWorkPackages[[#This Row],[Actual labor hours]]&gt;tblWorkPackages[[#This Row],[Estimated labor hours]],1,0)</f>
        <v>0</v>
      </c>
      <c r="R183" s="51">
        <f>tblWorkPackages[[#This Row],[Actual labor hours]]-tblWorkPackages[[#This Row],[Estimated labor hours]]</f>
        <v>-2.5</v>
      </c>
      <c r="S183" s="51" t="str">
        <f>IF(tblWorkPackages[[#This Row],[Request date serial]]&lt;ValidationStart,"Train 2024",IF(tblWorkPackages[[#This Row],[Request date serial]]&lt;HoldoutStart,"Validation H1","Holdout H2"))</f>
        <v>Train 2024</v>
      </c>
      <c r="T183" s="51" t="str">
        <f>IF(tblWorkPackages[[#This Row],[Time split]]="Train 2024","",tblWorkPackages[[#This Row],[Estimated labor hours]]+VLOOKUP(tblWorkPackages[[#This Row],[Task type]],'Forecast validation'!$A$14:$E$25,IF(tblWorkPackages[[#This Row],[Time split]]="Validation H1",4,5),FALSE()))</f>
        <v/>
      </c>
      <c r="U183" s="51" t="str">
        <f>IF(tblWorkPackages[[#This Row],[Calibrated forecast hours]]="","",ABS(tblWorkPackages[[#This Row],[Actual labor hours]]-tblWorkPackages[[#This Row],[Calibrated forecast hours]]))</f>
        <v/>
      </c>
      <c r="V183" s="51">
        <f>IF(tblWorkPackages[[#This Row],[Time split]]="Train 2024",tblWorkPackages[[#This Row],[Estimated labor hours]],tblWorkPackages[[#This Row],[Calibrated forecast hours]])</f>
        <v>15.2</v>
      </c>
      <c r="W183" s="64">
        <f>DATEVALUE(tblWorkPackages[[#This Row],[Request date]])</f>
        <v>45455.0</v>
      </c>
      <c r="X183" s="64">
        <f>DATEVALUE(tblWorkPackages[[#This Row],[Due date]])</f>
        <v>45468.0</v>
      </c>
      <c r="Y183" s="64">
        <f>DATEVALUE(tblWorkPackages[[#This Row],[Completion date]])</f>
        <v>45462.0</v>
      </c>
      <c r="Z183" s="64">
        <f>_xlfn.MINIFS(tblLaborEntries[Work date serial],tblLaborEntries[Work package ID],tblWorkPackages[[#This Row],[Work package ID]])</f>
        <v>45459.0</v>
      </c>
      <c r="AA183" s="64">
        <f>_xlfn.MAXIFS(tblLaborEntries[Work date serial],tblLaborEntries[Work package ID],tblWorkPackages[[#This Row],[Work package ID]])</f>
        <v>45461.0</v>
      </c>
      <c r="AB183" s="65">
        <f>IF(tblWorkPackages[[#This Row],[Completion date serial]]&gt;tblWorkPackages[[#This Row],[Due date serial]],1,0)</f>
        <v>0</v>
      </c>
      <c r="AC183" s="65">
        <f>MAX(0,tblWorkPackages[[#This Row],[Completion date serial]]-tblWorkPackages[[#This Row],[Due date serial]])</f>
        <v>0</v>
      </c>
      <c r="AD183" s="65">
        <f>tblWorkPackages[[#This Row],[First labor date]]-tblWorkPackages[[#This Row],[Request date serial]]</f>
        <v>4</v>
      </c>
      <c r="AE183" s="65">
        <f>tblWorkPackages[[#This Row],[Last labor date]]-tblWorkPackages[[#This Row],[First labor date]]</f>
        <v>2</v>
      </c>
      <c r="AF183" s="65">
        <f>tblWorkPackages[[#This Row],[Completion date serial]]-tblWorkPackages[[#This Row],[Last labor date]]</f>
        <v>1</v>
      </c>
      <c r="AG183" s="65">
        <f>tblWorkPackages[[#This Row],[Completion date serial]]-tblWorkPackages[[#This Row],[Request date serial]]</f>
        <v>7</v>
      </c>
      <c r="AH183" s="65">
        <f>IFERROR(INDEX(tblParts[Delay days],MATCH(tblWorkPackages[[#This Row],[Work package ID]],tblParts[Work package ID],0)),0)</f>
        <v>0</v>
      </c>
      <c r="AI183" s="51" t="str">
        <f>IFERROR(INDEX(tblDisruptions[Event type],MATCH(tblWorkPackages[[#This Row],[Work package ID]],tblDisruptions[Work package ID],0)),"None")</f>
        <v>None</v>
      </c>
      <c r="AJ183" s="51" t="str">
        <f>TEXT(tblWorkPackages[[#This Row],[Due date serial]],"yyyy-mm")</f>
        <v>2024-06</v>
      </c>
    </row>
    <row r="184" spans="1:36" ht="15" x14ac:dyDescent="0.25">
      <c r="A184" s="53" t="s">
        <v>728</v>
      </c>
      <c r="B184" s="53" t="s">
        <v>203</v>
      </c>
      <c r="C184" s="53" t="s">
        <v>125</v>
      </c>
      <c r="D184" s="53" t="s">
        <v>236</v>
      </c>
      <c r="E184" s="53" t="s">
        <v>272</v>
      </c>
      <c r="F184" s="53" t="s">
        <v>145</v>
      </c>
      <c r="G184" s="53" t="s">
        <v>273</v>
      </c>
      <c r="H184" s="53">
        <v>1</v>
      </c>
      <c r="I184" s="53" t="s">
        <v>147</v>
      </c>
      <c r="J184" s="53">
        <v>1</v>
      </c>
      <c r="K184" s="53">
        <v>1</v>
      </c>
      <c r="L184" s="53">
        <v>7.7</v>
      </c>
      <c r="M184" s="53" t="s">
        <v>729</v>
      </c>
      <c r="N184" s="53">
        <v>11.3</v>
      </c>
      <c r="O184" s="51" t="str">
        <f>TEXT(tblWorkPackages[[#This Row],[Request date serial]]-WEEKDAY(tblWorkPackages[[#This Row],[Request date serial]],3),"yyyy-mm-dd")</f>
        <v>2025-04-28</v>
      </c>
      <c r="P184" s="51">
        <f>ABS(tblWorkPackages[[#This Row],[Actual labor hours]]-tblWorkPackages[[#This Row],[Estimated labor hours]])</f>
        <v>3.6</v>
      </c>
      <c r="Q184" s="51">
        <f>IF(tblWorkPackages[[#This Row],[Actual labor hours]]&gt;tblWorkPackages[[#This Row],[Estimated labor hours]],1,0)</f>
        <v>1</v>
      </c>
      <c r="R184" s="51">
        <f>tblWorkPackages[[#This Row],[Actual labor hours]]-tblWorkPackages[[#This Row],[Estimated labor hours]]</f>
        <v>3.6</v>
      </c>
      <c r="S184" s="51" t="str">
        <f>IF(tblWorkPackages[[#This Row],[Request date serial]]&lt;ValidationStart,"Train 2024",IF(tblWorkPackages[[#This Row],[Request date serial]]&lt;HoldoutStart,"Validation H1","Holdout H2"))</f>
        <v>Validation H1</v>
      </c>
      <c r="T184" s="51">
        <f>IF(tblWorkPackages[[#This Row],[Time split]]="Train 2024","",tblWorkPackages[[#This Row],[Estimated labor hours]]+VLOOKUP(tblWorkPackages[[#This Row],[Task type]],'Forecast validation'!$A$14:$E$25,IF(tblWorkPackages[[#This Row],[Time split]]="Validation H1",4,5),FALSE()))</f>
        <v>8.73205128205128</v>
      </c>
      <c r="U184" s="51">
        <f>IF(tblWorkPackages[[#This Row],[Calibrated forecast hours]]="","",ABS(tblWorkPackages[[#This Row],[Actual labor hours]]-tblWorkPackages[[#This Row],[Calibrated forecast hours]]))</f>
        <v>2.56794871794872</v>
      </c>
      <c r="V184" s="51">
        <f>IF(tblWorkPackages[[#This Row],[Time split]]="Train 2024",tblWorkPackages[[#This Row],[Estimated labor hours]],tblWorkPackages[[#This Row],[Calibrated forecast hours]])</f>
        <v>8.73205128205128</v>
      </c>
      <c r="W184" s="64">
        <f>DATEVALUE(tblWorkPackages[[#This Row],[Request date]])</f>
        <v>45780.0</v>
      </c>
      <c r="X184" s="64">
        <f>DATEVALUE(tblWorkPackages[[#This Row],[Due date]])</f>
        <v>45782.0</v>
      </c>
      <c r="Y184" s="64">
        <f>DATEVALUE(tblWorkPackages[[#This Row],[Completion date]])</f>
        <v>45784.0</v>
      </c>
      <c r="Z184" s="64">
        <f>_xlfn.MINIFS(tblLaborEntries[Work date serial],tblLaborEntries[Work package ID],tblWorkPackages[[#This Row],[Work package ID]])</f>
        <v>45781.0</v>
      </c>
      <c r="AA184" s="64">
        <f>_xlfn.MAXIFS(tblLaborEntries[Work date serial],tblLaborEntries[Work package ID],tblWorkPackages[[#This Row],[Work package ID]])</f>
        <v>45782.0</v>
      </c>
      <c r="AB184" s="65">
        <f>IF(tblWorkPackages[[#This Row],[Completion date serial]]&gt;tblWorkPackages[[#This Row],[Due date serial]],1,0)</f>
        <v>1</v>
      </c>
      <c r="AC184" s="65">
        <f>MAX(0,tblWorkPackages[[#This Row],[Completion date serial]]-tblWorkPackages[[#This Row],[Due date serial]])</f>
        <v>2</v>
      </c>
      <c r="AD184" s="65">
        <f>tblWorkPackages[[#This Row],[First labor date]]-tblWorkPackages[[#This Row],[Request date serial]]</f>
        <v>1</v>
      </c>
      <c r="AE184" s="65">
        <f>tblWorkPackages[[#This Row],[Last labor date]]-tblWorkPackages[[#This Row],[First labor date]]</f>
        <v>1</v>
      </c>
      <c r="AF184" s="65">
        <f>tblWorkPackages[[#This Row],[Completion date serial]]-tblWorkPackages[[#This Row],[Last labor date]]</f>
        <v>2</v>
      </c>
      <c r="AG184" s="65">
        <f>tblWorkPackages[[#This Row],[Completion date serial]]-tblWorkPackages[[#This Row],[Request date serial]]</f>
        <v>4</v>
      </c>
      <c r="AH184" s="65">
        <f>IFERROR(INDEX(tblParts[Delay days],MATCH(tblWorkPackages[[#This Row],[Work package ID]],tblParts[Work package ID],0)),0)</f>
        <v>0</v>
      </c>
      <c r="AI184" s="51" t="str">
        <f>IFERROR(INDEX(tblDisruptions[Event type],MATCH(tblWorkPackages[[#This Row],[Work package ID]],tblDisruptions[Work package ID],0)),"None")</f>
        <v>None</v>
      </c>
      <c r="AJ184" s="51" t="str">
        <f>TEXT(tblWorkPackages[[#This Row],[Due date serial]],"yyyy-mm")</f>
        <v>2025-05</v>
      </c>
    </row>
    <row r="185" spans="1:36" ht="15" x14ac:dyDescent="0.25">
      <c r="A185" s="53" t="s">
        <v>730</v>
      </c>
      <c r="B185" s="53" t="s">
        <v>235</v>
      </c>
      <c r="C185" s="53" t="s">
        <v>575</v>
      </c>
      <c r="D185" s="53" t="s">
        <v>576</v>
      </c>
      <c r="E185" s="53" t="s">
        <v>242</v>
      </c>
      <c r="F185" s="53" t="s">
        <v>243</v>
      </c>
      <c r="G185" s="53" t="s">
        <v>129</v>
      </c>
      <c r="H185" s="53">
        <v>3</v>
      </c>
      <c r="I185" s="53" t="s">
        <v>130</v>
      </c>
      <c r="J185" s="53">
        <v>0</v>
      </c>
      <c r="K185" s="53">
        <v>1</v>
      </c>
      <c r="L185" s="53">
        <v>12.2</v>
      </c>
      <c r="M185" s="53" t="s">
        <v>165</v>
      </c>
      <c r="N185" s="53">
        <v>9.4</v>
      </c>
      <c r="O185" s="51" t="str">
        <f>TEXT(tblWorkPackages[[#This Row],[Request date serial]]-WEEKDAY(tblWorkPackages[[#This Row],[Request date serial]],3),"yyyy-mm-dd")</f>
        <v>2024-06-10</v>
      </c>
      <c r="P185" s="51">
        <f>ABS(tblWorkPackages[[#This Row],[Actual labor hours]]-tblWorkPackages[[#This Row],[Estimated labor hours]])</f>
        <v>2.8</v>
      </c>
      <c r="Q185" s="51">
        <f>IF(tblWorkPackages[[#This Row],[Actual labor hours]]&gt;tblWorkPackages[[#This Row],[Estimated labor hours]],1,0)</f>
        <v>0</v>
      </c>
      <c r="R185" s="51">
        <f>tblWorkPackages[[#This Row],[Actual labor hours]]-tblWorkPackages[[#This Row],[Estimated labor hours]]</f>
        <v>-2.8</v>
      </c>
      <c r="S185" s="51" t="str">
        <f>IF(tblWorkPackages[[#This Row],[Request date serial]]&lt;ValidationStart,"Train 2024",IF(tblWorkPackages[[#This Row],[Request date serial]]&lt;HoldoutStart,"Validation H1","Holdout H2"))</f>
        <v>Train 2024</v>
      </c>
      <c r="T185" s="51" t="str">
        <f>IF(tblWorkPackages[[#This Row],[Time split]]="Train 2024","",tblWorkPackages[[#This Row],[Estimated labor hours]]+VLOOKUP(tblWorkPackages[[#This Row],[Task type]],'Forecast validation'!$A$14:$E$25,IF(tblWorkPackages[[#This Row],[Time split]]="Validation H1",4,5),FALSE()))</f>
        <v/>
      </c>
      <c r="U185" s="51" t="str">
        <f>IF(tblWorkPackages[[#This Row],[Calibrated forecast hours]]="","",ABS(tblWorkPackages[[#This Row],[Actual labor hours]]-tblWorkPackages[[#This Row],[Calibrated forecast hours]]))</f>
        <v/>
      </c>
      <c r="V185" s="51">
        <f>IF(tblWorkPackages[[#This Row],[Time split]]="Train 2024",tblWorkPackages[[#This Row],[Estimated labor hours]],tblWorkPackages[[#This Row],[Calibrated forecast hours]])</f>
        <v>12.2</v>
      </c>
      <c r="W185" s="64">
        <f>DATEVALUE(tblWorkPackages[[#This Row],[Request date]])</f>
        <v>45458.0</v>
      </c>
      <c r="X185" s="64">
        <f>DATEVALUE(tblWorkPackages[[#This Row],[Due date]])</f>
        <v>45471.0</v>
      </c>
      <c r="Y185" s="64">
        <f>DATEVALUE(tblWorkPackages[[#This Row],[Completion date]])</f>
        <v>45474.0</v>
      </c>
      <c r="Z185" s="64">
        <f>_xlfn.MINIFS(tblLaborEntries[Work date serial],tblLaborEntries[Work package ID],tblWorkPackages[[#This Row],[Work package ID]])</f>
        <v>45471.0</v>
      </c>
      <c r="AA185" s="64">
        <f>_xlfn.MAXIFS(tblLaborEntries[Work date serial],tblLaborEntries[Work package ID],tblWorkPackages[[#This Row],[Work package ID]])</f>
        <v>45471.0</v>
      </c>
      <c r="AB185" s="65">
        <f>IF(tblWorkPackages[[#This Row],[Completion date serial]]&gt;tblWorkPackages[[#This Row],[Due date serial]],1,0)</f>
        <v>1</v>
      </c>
      <c r="AC185" s="65">
        <f>MAX(0,tblWorkPackages[[#This Row],[Completion date serial]]-tblWorkPackages[[#This Row],[Due date serial]])</f>
        <v>3</v>
      </c>
      <c r="AD185" s="65">
        <f>tblWorkPackages[[#This Row],[First labor date]]-tblWorkPackages[[#This Row],[Request date serial]]</f>
        <v>13</v>
      </c>
      <c r="AE185" s="65">
        <f>tblWorkPackages[[#This Row],[Last labor date]]-tblWorkPackages[[#This Row],[First labor date]]</f>
        <v>0</v>
      </c>
      <c r="AF185" s="65">
        <f>tblWorkPackages[[#This Row],[Completion date serial]]-tblWorkPackages[[#This Row],[Last labor date]]</f>
        <v>3</v>
      </c>
      <c r="AG185" s="65">
        <f>tblWorkPackages[[#This Row],[Completion date serial]]-tblWorkPackages[[#This Row],[Request date serial]]</f>
        <v>16</v>
      </c>
      <c r="AH185" s="65">
        <f>IFERROR(INDEX(tblParts[Delay days],MATCH(tblWorkPackages[[#This Row],[Work package ID]],tblParts[Work package ID],0)),0)</f>
        <v>0</v>
      </c>
      <c r="AI185" s="51" t="str">
        <f>IFERROR(INDEX(tblDisruptions[Event type],MATCH(tblWorkPackages[[#This Row],[Work package ID]],tblDisruptions[Work package ID],0)),"None")</f>
        <v>None</v>
      </c>
      <c r="AJ185" s="51" t="str">
        <f>TEXT(tblWorkPackages[[#This Row],[Due date serial]],"yyyy-mm")</f>
        <v>2024-06</v>
      </c>
    </row>
    <row r="186" spans="1:36" ht="15" x14ac:dyDescent="0.25">
      <c r="A186" s="53" t="s">
        <v>731</v>
      </c>
      <c r="B186" s="53" t="s">
        <v>124</v>
      </c>
      <c r="C186" s="53" t="s">
        <v>396</v>
      </c>
      <c r="D186" s="53" t="s">
        <v>732</v>
      </c>
      <c r="E186" s="53" t="s">
        <v>272</v>
      </c>
      <c r="F186" s="53" t="s">
        <v>145</v>
      </c>
      <c r="G186" s="53" t="s">
        <v>273</v>
      </c>
      <c r="H186" s="53">
        <v>4</v>
      </c>
      <c r="I186" s="53" t="s">
        <v>130</v>
      </c>
      <c r="J186" s="53">
        <v>0</v>
      </c>
      <c r="K186" s="53">
        <v>0</v>
      </c>
      <c r="L186" s="53">
        <v>20.2</v>
      </c>
      <c r="M186" s="53" t="s">
        <v>233</v>
      </c>
      <c r="N186" s="53">
        <v>18</v>
      </c>
      <c r="O186" s="51" t="str">
        <f>TEXT(tblWorkPackages[[#This Row],[Request date serial]]-WEEKDAY(tblWorkPackages[[#This Row],[Request date serial]],3),"yyyy-mm-dd")</f>
        <v>2024-12-30</v>
      </c>
      <c r="P186" s="51">
        <f>ABS(tblWorkPackages[[#This Row],[Actual labor hours]]-tblWorkPackages[[#This Row],[Estimated labor hours]])</f>
        <v>2.2</v>
      </c>
      <c r="Q186" s="51">
        <f>IF(tblWorkPackages[[#This Row],[Actual labor hours]]&gt;tblWorkPackages[[#This Row],[Estimated labor hours]],1,0)</f>
        <v>0</v>
      </c>
      <c r="R186" s="51">
        <f>tblWorkPackages[[#This Row],[Actual labor hours]]-tblWorkPackages[[#This Row],[Estimated labor hours]]</f>
        <v>-2.2</v>
      </c>
      <c r="S186" s="51" t="str">
        <f>IF(tblWorkPackages[[#This Row],[Request date serial]]&lt;ValidationStart,"Train 2024",IF(tblWorkPackages[[#This Row],[Request date serial]]&lt;HoldoutStart,"Validation H1","Holdout H2"))</f>
        <v>Train 2024</v>
      </c>
      <c r="T186" s="51" t="str">
        <f>IF(tblWorkPackages[[#This Row],[Time split]]="Train 2024","",tblWorkPackages[[#This Row],[Estimated labor hours]]+VLOOKUP(tblWorkPackages[[#This Row],[Task type]],'Forecast validation'!$A$14:$E$25,IF(tblWorkPackages[[#This Row],[Time split]]="Validation H1",4,5),FALSE()))</f>
        <v/>
      </c>
      <c r="U186" s="51" t="str">
        <f>IF(tblWorkPackages[[#This Row],[Calibrated forecast hours]]="","",ABS(tblWorkPackages[[#This Row],[Actual labor hours]]-tblWorkPackages[[#This Row],[Calibrated forecast hours]]))</f>
        <v/>
      </c>
      <c r="V186" s="51">
        <f>IF(tblWorkPackages[[#This Row],[Time split]]="Train 2024",tblWorkPackages[[#This Row],[Estimated labor hours]],tblWorkPackages[[#This Row],[Calibrated forecast hours]])</f>
        <v>20.2</v>
      </c>
      <c r="W186" s="64">
        <f>DATEVALUE(tblWorkPackages[[#This Row],[Request date]])</f>
        <v>45657.0</v>
      </c>
      <c r="X186" s="64">
        <f>DATEVALUE(tblWorkPackages[[#This Row],[Due date]])</f>
        <v>45670.0</v>
      </c>
      <c r="Y186" s="64">
        <f>DATEVALUE(tblWorkPackages[[#This Row],[Completion date]])</f>
        <v>45661.0</v>
      </c>
      <c r="Z186" s="64">
        <f>_xlfn.MINIFS(tblLaborEntries[Work date serial],tblLaborEntries[Work package ID],tblWorkPackages[[#This Row],[Work package ID]])</f>
        <v>45660.0</v>
      </c>
      <c r="AA186" s="64">
        <f>_xlfn.MAXIFS(tblLaborEntries[Work date serial],tblLaborEntries[Work package ID],tblWorkPackages[[#This Row],[Work package ID]])</f>
        <v>45661.0</v>
      </c>
      <c r="AB186" s="65">
        <f>IF(tblWorkPackages[[#This Row],[Completion date serial]]&gt;tblWorkPackages[[#This Row],[Due date serial]],1,0)</f>
        <v>0</v>
      </c>
      <c r="AC186" s="65">
        <f>MAX(0,tblWorkPackages[[#This Row],[Completion date serial]]-tblWorkPackages[[#This Row],[Due date serial]])</f>
        <v>0</v>
      </c>
      <c r="AD186" s="65">
        <f>tblWorkPackages[[#This Row],[First labor date]]-tblWorkPackages[[#This Row],[Request date serial]]</f>
        <v>3</v>
      </c>
      <c r="AE186" s="65">
        <f>tblWorkPackages[[#This Row],[Last labor date]]-tblWorkPackages[[#This Row],[First labor date]]</f>
        <v>1</v>
      </c>
      <c r="AF186" s="65">
        <f>tblWorkPackages[[#This Row],[Completion date serial]]-tblWorkPackages[[#This Row],[Last labor date]]</f>
        <v>0</v>
      </c>
      <c r="AG186" s="65">
        <f>tblWorkPackages[[#This Row],[Completion date serial]]-tblWorkPackages[[#This Row],[Request date serial]]</f>
        <v>4</v>
      </c>
      <c r="AH186" s="65">
        <f>IFERROR(INDEX(tblParts[Delay days],MATCH(tblWorkPackages[[#This Row],[Work package ID]],tblParts[Work package ID],0)),0)</f>
        <v>0</v>
      </c>
      <c r="AI186" s="51" t="str">
        <f>IFERROR(INDEX(tblDisruptions[Event type],MATCH(tblWorkPackages[[#This Row],[Work package ID]],tblDisruptions[Work package ID],0)),"None")</f>
        <v>None</v>
      </c>
      <c r="AJ186" s="51" t="str">
        <f>TEXT(tblWorkPackages[[#This Row],[Due date serial]],"yyyy-mm")</f>
        <v>2025-01</v>
      </c>
    </row>
    <row r="187" spans="1:36" ht="15" x14ac:dyDescent="0.25">
      <c r="A187" s="53" t="s">
        <v>733</v>
      </c>
      <c r="B187" s="53" t="s">
        <v>124</v>
      </c>
      <c r="C187" s="53" t="s">
        <v>734</v>
      </c>
      <c r="D187" s="53" t="s">
        <v>195</v>
      </c>
      <c r="E187" s="53" t="s">
        <v>153</v>
      </c>
      <c r="F187" s="53" t="s">
        <v>128</v>
      </c>
      <c r="G187" s="53" t="s">
        <v>154</v>
      </c>
      <c r="H187" s="53">
        <v>2</v>
      </c>
      <c r="I187" s="53" t="s">
        <v>130</v>
      </c>
      <c r="J187" s="53">
        <v>0</v>
      </c>
      <c r="K187" s="53">
        <v>0</v>
      </c>
      <c r="L187" s="53">
        <v>8.6</v>
      </c>
      <c r="M187" s="53" t="s">
        <v>206</v>
      </c>
      <c r="N187" s="53">
        <v>7.6</v>
      </c>
      <c r="O187" s="51" t="str">
        <f>TEXT(tblWorkPackages[[#This Row],[Request date serial]]-WEEKDAY(tblWorkPackages[[#This Row],[Request date serial]],3),"yyyy-mm-dd")</f>
        <v>2024-09-30</v>
      </c>
      <c r="P187" s="51">
        <f>ABS(tblWorkPackages[[#This Row],[Actual labor hours]]-tblWorkPackages[[#This Row],[Estimated labor hours]])</f>
        <v>1</v>
      </c>
      <c r="Q187" s="51">
        <f>IF(tblWorkPackages[[#This Row],[Actual labor hours]]&gt;tblWorkPackages[[#This Row],[Estimated labor hours]],1,0)</f>
        <v>0</v>
      </c>
      <c r="R187" s="51">
        <f>tblWorkPackages[[#This Row],[Actual labor hours]]-tblWorkPackages[[#This Row],[Estimated labor hours]]</f>
        <v>-1</v>
      </c>
      <c r="S187" s="51" t="str">
        <f>IF(tblWorkPackages[[#This Row],[Request date serial]]&lt;ValidationStart,"Train 2024",IF(tblWorkPackages[[#This Row],[Request date serial]]&lt;HoldoutStart,"Validation H1","Holdout H2"))</f>
        <v>Train 2024</v>
      </c>
      <c r="T187" s="51" t="str">
        <f>IF(tblWorkPackages[[#This Row],[Time split]]="Train 2024","",tblWorkPackages[[#This Row],[Estimated labor hours]]+VLOOKUP(tblWorkPackages[[#This Row],[Task type]],'Forecast validation'!$A$14:$E$25,IF(tblWorkPackages[[#This Row],[Time split]]="Validation H1",4,5),FALSE()))</f>
        <v/>
      </c>
      <c r="U187" s="51" t="str">
        <f>IF(tblWorkPackages[[#This Row],[Calibrated forecast hours]]="","",ABS(tblWorkPackages[[#This Row],[Actual labor hours]]-tblWorkPackages[[#This Row],[Calibrated forecast hours]]))</f>
        <v/>
      </c>
      <c r="V187" s="51">
        <f>IF(tblWorkPackages[[#This Row],[Time split]]="Train 2024",tblWorkPackages[[#This Row],[Estimated labor hours]],tblWorkPackages[[#This Row],[Calibrated forecast hours]])</f>
        <v>8.6</v>
      </c>
      <c r="W187" s="64">
        <f>DATEVALUE(tblWorkPackages[[#This Row],[Request date]])</f>
        <v>45567.0</v>
      </c>
      <c r="X187" s="64">
        <f>DATEVALUE(tblWorkPackages[[#This Row],[Due date]])</f>
        <v>45580.0</v>
      </c>
      <c r="Y187" s="64">
        <f>DATEVALUE(tblWorkPackages[[#This Row],[Completion date]])</f>
        <v>45607.0</v>
      </c>
      <c r="Z187" s="64">
        <f>_xlfn.MINIFS(tblLaborEntries[Work date serial],tblLaborEntries[Work package ID],tblWorkPackages[[#This Row],[Work package ID]])</f>
        <v>45606.0</v>
      </c>
      <c r="AA187" s="64">
        <f>_xlfn.MAXIFS(tblLaborEntries[Work date serial],tblLaborEntries[Work package ID],tblWorkPackages[[#This Row],[Work package ID]])</f>
        <v>45606.0</v>
      </c>
      <c r="AB187" s="65">
        <f>IF(tblWorkPackages[[#This Row],[Completion date serial]]&gt;tblWorkPackages[[#This Row],[Due date serial]],1,0)</f>
        <v>1</v>
      </c>
      <c r="AC187" s="65">
        <f>MAX(0,tblWorkPackages[[#This Row],[Completion date serial]]-tblWorkPackages[[#This Row],[Due date serial]])</f>
        <v>27</v>
      </c>
      <c r="AD187" s="65">
        <f>tblWorkPackages[[#This Row],[First labor date]]-tblWorkPackages[[#This Row],[Request date serial]]</f>
        <v>39</v>
      </c>
      <c r="AE187" s="65">
        <f>tblWorkPackages[[#This Row],[Last labor date]]-tblWorkPackages[[#This Row],[First labor date]]</f>
        <v>0</v>
      </c>
      <c r="AF187" s="65">
        <f>tblWorkPackages[[#This Row],[Completion date serial]]-tblWorkPackages[[#This Row],[Last labor date]]</f>
        <v>1</v>
      </c>
      <c r="AG187" s="65">
        <f>tblWorkPackages[[#This Row],[Completion date serial]]-tblWorkPackages[[#This Row],[Request date serial]]</f>
        <v>40</v>
      </c>
      <c r="AH187" s="65">
        <f>IFERROR(INDEX(tblParts[Delay days],MATCH(tblWorkPackages[[#This Row],[Work package ID]],tblParts[Work package ID],0)),0)</f>
        <v>0</v>
      </c>
      <c r="AI187" s="51" t="str">
        <f>IFERROR(INDEX(tblDisruptions[Event type],MATCH(tblWorkPackages[[#This Row],[Work package ID]],tblDisruptions[Work package ID],0)),"None")</f>
        <v>None</v>
      </c>
      <c r="AJ187" s="51" t="str">
        <f>TEXT(tblWorkPackages[[#This Row],[Due date serial]],"yyyy-mm")</f>
        <v>2024-10</v>
      </c>
    </row>
    <row r="188" spans="1:36" ht="15" x14ac:dyDescent="0.25">
      <c r="A188" s="53" t="s">
        <v>735</v>
      </c>
      <c r="B188" s="53" t="s">
        <v>124</v>
      </c>
      <c r="C188" s="53" t="s">
        <v>372</v>
      </c>
      <c r="D188" s="53" t="s">
        <v>277</v>
      </c>
      <c r="E188" s="53" t="s">
        <v>272</v>
      </c>
      <c r="F188" s="53" t="s">
        <v>145</v>
      </c>
      <c r="G188" s="53" t="s">
        <v>273</v>
      </c>
      <c r="H188" s="53">
        <v>2</v>
      </c>
      <c r="I188" s="53" t="s">
        <v>176</v>
      </c>
      <c r="J188" s="53">
        <v>0</v>
      </c>
      <c r="K188" s="53">
        <v>1</v>
      </c>
      <c r="L188" s="53">
        <v>10.3</v>
      </c>
      <c r="M188" s="53" t="s">
        <v>736</v>
      </c>
      <c r="N188" s="53">
        <v>10.4</v>
      </c>
      <c r="O188" s="51" t="str">
        <f>TEXT(tblWorkPackages[[#This Row],[Request date serial]]-WEEKDAY(tblWorkPackages[[#This Row],[Request date serial]],3),"yyyy-mm-dd")</f>
        <v>2024-10-21</v>
      </c>
      <c r="P188" s="51">
        <f>ABS(tblWorkPackages[[#This Row],[Actual labor hours]]-tblWorkPackages[[#This Row],[Estimated labor hours]])</f>
        <v>0.0999999999999996</v>
      </c>
      <c r="Q188" s="51">
        <f>IF(tblWorkPackages[[#This Row],[Actual labor hours]]&gt;tblWorkPackages[[#This Row],[Estimated labor hours]],1,0)</f>
        <v>1</v>
      </c>
      <c r="R188" s="51">
        <f>tblWorkPackages[[#This Row],[Actual labor hours]]-tblWorkPackages[[#This Row],[Estimated labor hours]]</f>
        <v>0.0999999999999996</v>
      </c>
      <c r="S188" s="51" t="str">
        <f>IF(tblWorkPackages[[#This Row],[Request date serial]]&lt;ValidationStart,"Train 2024",IF(tblWorkPackages[[#This Row],[Request date serial]]&lt;HoldoutStart,"Validation H1","Holdout H2"))</f>
        <v>Train 2024</v>
      </c>
      <c r="T188" s="51" t="str">
        <f>IF(tblWorkPackages[[#This Row],[Time split]]="Train 2024","",tblWorkPackages[[#This Row],[Estimated labor hours]]+VLOOKUP(tblWorkPackages[[#This Row],[Task type]],'Forecast validation'!$A$14:$E$25,IF(tblWorkPackages[[#This Row],[Time split]]="Validation H1",4,5),FALSE()))</f>
        <v/>
      </c>
      <c r="U188" s="51" t="str">
        <f>IF(tblWorkPackages[[#This Row],[Calibrated forecast hours]]="","",ABS(tblWorkPackages[[#This Row],[Actual labor hours]]-tblWorkPackages[[#This Row],[Calibrated forecast hours]]))</f>
        <v/>
      </c>
      <c r="V188" s="51">
        <f>IF(tblWorkPackages[[#This Row],[Time split]]="Train 2024",tblWorkPackages[[#This Row],[Estimated labor hours]],tblWorkPackages[[#This Row],[Calibrated forecast hours]])</f>
        <v>10.3</v>
      </c>
      <c r="W188" s="64">
        <f>DATEVALUE(tblWorkPackages[[#This Row],[Request date]])</f>
        <v>45586.0</v>
      </c>
      <c r="X188" s="64">
        <f>DATEVALUE(tblWorkPackages[[#This Row],[Due date]])</f>
        <v>45592.0</v>
      </c>
      <c r="Y188" s="64">
        <f>DATEVALUE(tblWorkPackages[[#This Row],[Completion date]])</f>
        <v>45595.0</v>
      </c>
      <c r="Z188" s="64">
        <f>_xlfn.MINIFS(tblLaborEntries[Work date serial],tblLaborEntries[Work package ID],tblWorkPackages[[#This Row],[Work package ID]])</f>
        <v>45593.0</v>
      </c>
      <c r="AA188" s="64">
        <f>_xlfn.MAXIFS(tblLaborEntries[Work date serial],tblLaborEntries[Work package ID],tblWorkPackages[[#This Row],[Work package ID]])</f>
        <v>45593.0</v>
      </c>
      <c r="AB188" s="65">
        <f>IF(tblWorkPackages[[#This Row],[Completion date serial]]&gt;tblWorkPackages[[#This Row],[Due date serial]],1,0)</f>
        <v>1</v>
      </c>
      <c r="AC188" s="65">
        <f>MAX(0,tblWorkPackages[[#This Row],[Completion date serial]]-tblWorkPackages[[#This Row],[Due date serial]])</f>
        <v>3</v>
      </c>
      <c r="AD188" s="65">
        <f>tblWorkPackages[[#This Row],[First labor date]]-tblWorkPackages[[#This Row],[Request date serial]]</f>
        <v>7</v>
      </c>
      <c r="AE188" s="65">
        <f>tblWorkPackages[[#This Row],[Last labor date]]-tblWorkPackages[[#This Row],[First labor date]]</f>
        <v>0</v>
      </c>
      <c r="AF188" s="65">
        <f>tblWorkPackages[[#This Row],[Completion date serial]]-tblWorkPackages[[#This Row],[Last labor date]]</f>
        <v>2</v>
      </c>
      <c r="AG188" s="65">
        <f>tblWorkPackages[[#This Row],[Completion date serial]]-tblWorkPackages[[#This Row],[Request date serial]]</f>
        <v>9</v>
      </c>
      <c r="AH188" s="65">
        <f>IFERROR(INDEX(tblParts[Delay days],MATCH(tblWorkPackages[[#This Row],[Work package ID]],tblParts[Work package ID],0)),0)</f>
        <v>0</v>
      </c>
      <c r="AI188" s="51" t="str">
        <f>IFERROR(INDEX(tblDisruptions[Event type],MATCH(tblWorkPackages[[#This Row],[Work package ID]],tblDisruptions[Work package ID],0)),"None")</f>
        <v>None</v>
      </c>
      <c r="AJ188" s="51" t="str">
        <f>TEXT(tblWorkPackages[[#This Row],[Due date serial]],"yyyy-mm")</f>
        <v>2024-10</v>
      </c>
    </row>
    <row r="189" spans="1:36" ht="15" x14ac:dyDescent="0.25">
      <c r="A189" s="53" t="s">
        <v>737</v>
      </c>
      <c r="B189" s="53" t="s">
        <v>133</v>
      </c>
      <c r="C189" s="53" t="s">
        <v>738</v>
      </c>
      <c r="D189" s="53" t="s">
        <v>323</v>
      </c>
      <c r="E189" s="53" t="s">
        <v>127</v>
      </c>
      <c r="F189" s="53" t="s">
        <v>128</v>
      </c>
      <c r="G189" s="53" t="s">
        <v>129</v>
      </c>
      <c r="H189" s="53">
        <v>3</v>
      </c>
      <c r="I189" s="53" t="s">
        <v>176</v>
      </c>
      <c r="J189" s="53">
        <v>0</v>
      </c>
      <c r="K189" s="53">
        <v>0</v>
      </c>
      <c r="L189" s="53">
        <v>9.3000000000000007</v>
      </c>
      <c r="M189" s="53" t="s">
        <v>430</v>
      </c>
      <c r="N189" s="53">
        <v>11.4</v>
      </c>
      <c r="O189" s="51" t="str">
        <f>TEXT(tblWorkPackages[[#This Row],[Request date serial]]-WEEKDAY(tblWorkPackages[[#This Row],[Request date serial]],3),"yyyy-mm-dd")</f>
        <v>2025-06-30</v>
      </c>
      <c r="P189" s="51">
        <f>ABS(tblWorkPackages[[#This Row],[Actual labor hours]]-tblWorkPackages[[#This Row],[Estimated labor hours]])</f>
        <v>2.1</v>
      </c>
      <c r="Q189" s="51">
        <f>IF(tblWorkPackages[[#This Row],[Actual labor hours]]&gt;tblWorkPackages[[#This Row],[Estimated labor hours]],1,0)</f>
        <v>1</v>
      </c>
      <c r="R189" s="51">
        <f>tblWorkPackages[[#This Row],[Actual labor hours]]-tblWorkPackages[[#This Row],[Estimated labor hours]]</f>
        <v>2.1</v>
      </c>
      <c r="S189" s="51" t="str">
        <f>IF(tblWorkPackages[[#This Row],[Request date serial]]&lt;ValidationStart,"Train 2024",IF(tblWorkPackages[[#This Row],[Request date serial]]&lt;HoldoutStart,"Validation H1","Holdout H2"))</f>
        <v>Holdout H2</v>
      </c>
      <c r="T189" s="51">
        <f>IF(tblWorkPackages[[#This Row],[Time split]]="Train 2024","",tblWorkPackages[[#This Row],[Estimated labor hours]]+VLOOKUP(tblWorkPackages[[#This Row],[Task type]],'Forecast validation'!$A$14:$E$25,IF(tblWorkPackages[[#This Row],[Time split]]="Validation H1",4,5),FALSE()))</f>
        <v>9.84341085271318</v>
      </c>
      <c r="U189" s="51">
        <f>IF(tblWorkPackages[[#This Row],[Calibrated forecast hours]]="","",ABS(tblWorkPackages[[#This Row],[Actual labor hours]]-tblWorkPackages[[#This Row],[Calibrated forecast hours]]))</f>
        <v>1.55658914728682</v>
      </c>
      <c r="V189" s="51">
        <f>IF(tblWorkPackages[[#This Row],[Time split]]="Train 2024",tblWorkPackages[[#This Row],[Estimated labor hours]],tblWorkPackages[[#This Row],[Calibrated forecast hours]])</f>
        <v>9.84341085271318</v>
      </c>
      <c r="W189" s="64">
        <f>DATEVALUE(tblWorkPackages[[#This Row],[Request date]])</f>
        <v>45839.0</v>
      </c>
      <c r="X189" s="64">
        <f>DATEVALUE(tblWorkPackages[[#This Row],[Due date]])</f>
        <v>45845.0</v>
      </c>
      <c r="Y189" s="64">
        <f>DATEVALUE(tblWorkPackages[[#This Row],[Completion date]])</f>
        <v>45846.0</v>
      </c>
      <c r="Z189" s="64">
        <f>_xlfn.MINIFS(tblLaborEntries[Work date serial],tblLaborEntries[Work package ID],tblWorkPackages[[#This Row],[Work package ID]])</f>
        <v>45841.0</v>
      </c>
      <c r="AA189" s="64">
        <f>_xlfn.MAXIFS(tblLaborEntries[Work date serial],tblLaborEntries[Work package ID],tblWorkPackages[[#This Row],[Work package ID]])</f>
        <v>45843.0</v>
      </c>
      <c r="AB189" s="65">
        <f>IF(tblWorkPackages[[#This Row],[Completion date serial]]&gt;tblWorkPackages[[#This Row],[Due date serial]],1,0)</f>
        <v>1</v>
      </c>
      <c r="AC189" s="65">
        <f>MAX(0,tblWorkPackages[[#This Row],[Completion date serial]]-tblWorkPackages[[#This Row],[Due date serial]])</f>
        <v>1</v>
      </c>
      <c r="AD189" s="65">
        <f>tblWorkPackages[[#This Row],[First labor date]]-tblWorkPackages[[#This Row],[Request date serial]]</f>
        <v>2</v>
      </c>
      <c r="AE189" s="65">
        <f>tblWorkPackages[[#This Row],[Last labor date]]-tblWorkPackages[[#This Row],[First labor date]]</f>
        <v>2</v>
      </c>
      <c r="AF189" s="65">
        <f>tblWorkPackages[[#This Row],[Completion date serial]]-tblWorkPackages[[#This Row],[Last labor date]]</f>
        <v>3</v>
      </c>
      <c r="AG189" s="65">
        <f>tblWorkPackages[[#This Row],[Completion date serial]]-tblWorkPackages[[#This Row],[Request date serial]]</f>
        <v>7</v>
      </c>
      <c r="AH189" s="65">
        <f>IFERROR(INDEX(tblParts[Delay days],MATCH(tblWorkPackages[[#This Row],[Work package ID]],tblParts[Work package ID],0)),0)</f>
        <v>0</v>
      </c>
      <c r="AI189" s="51" t="str">
        <f>IFERROR(INDEX(tblDisruptions[Event type],MATCH(tblWorkPackages[[#This Row],[Work package ID]],tblDisruptions[Work package ID],0)),"None")</f>
        <v>None</v>
      </c>
      <c r="AJ189" s="51" t="str">
        <f>TEXT(tblWorkPackages[[#This Row],[Due date serial]],"yyyy-mm")</f>
        <v>2025-07</v>
      </c>
    </row>
    <row r="190" spans="1:36" ht="15" x14ac:dyDescent="0.25">
      <c r="A190" s="53" t="s">
        <v>739</v>
      </c>
      <c r="B190" s="53" t="s">
        <v>124</v>
      </c>
      <c r="C190" s="53" t="s">
        <v>740</v>
      </c>
      <c r="D190" s="53" t="s">
        <v>183</v>
      </c>
      <c r="E190" s="53" t="s">
        <v>144</v>
      </c>
      <c r="F190" s="53" t="s">
        <v>145</v>
      </c>
      <c r="G190" s="53" t="s">
        <v>146</v>
      </c>
      <c r="H190" s="53">
        <v>4</v>
      </c>
      <c r="I190" s="53" t="s">
        <v>147</v>
      </c>
      <c r="J190" s="53">
        <v>0</v>
      </c>
      <c r="K190" s="53">
        <v>0</v>
      </c>
      <c r="L190" s="53">
        <v>21.7</v>
      </c>
      <c r="M190" s="53" t="s">
        <v>741</v>
      </c>
      <c r="N190" s="53">
        <v>17.7</v>
      </c>
      <c r="O190" s="51" t="str">
        <f>TEXT(tblWorkPackages[[#This Row],[Request date serial]]-WEEKDAY(tblWorkPackages[[#This Row],[Request date serial]],3),"yyyy-mm-dd")</f>
        <v>2025-05-19</v>
      </c>
      <c r="P190" s="51">
        <f>ABS(tblWorkPackages[[#This Row],[Actual labor hours]]-tblWorkPackages[[#This Row],[Estimated labor hours]])</f>
        <v>4</v>
      </c>
      <c r="Q190" s="51">
        <f>IF(tblWorkPackages[[#This Row],[Actual labor hours]]&gt;tblWorkPackages[[#This Row],[Estimated labor hours]],1,0)</f>
        <v>0</v>
      </c>
      <c r="R190" s="51">
        <f>tblWorkPackages[[#This Row],[Actual labor hours]]-tblWorkPackages[[#This Row],[Estimated labor hours]]</f>
        <v>-4</v>
      </c>
      <c r="S190" s="51" t="str">
        <f>IF(tblWorkPackages[[#This Row],[Request date serial]]&lt;ValidationStart,"Train 2024",IF(tblWorkPackages[[#This Row],[Request date serial]]&lt;HoldoutStart,"Validation H1","Holdout H2"))</f>
        <v>Validation H1</v>
      </c>
      <c r="T190" s="51">
        <f>IF(tblWorkPackages[[#This Row],[Time split]]="Train 2024","",tblWorkPackages[[#This Row],[Estimated labor hours]]+VLOOKUP(tblWorkPackages[[#This Row],[Task type]],'Forecast validation'!$A$14:$E$25,IF(tblWorkPackages[[#This Row],[Time split]]="Validation H1",4,5),FALSE()))</f>
        <v>22.4547368421053</v>
      </c>
      <c r="U190" s="51">
        <f>IF(tblWorkPackages[[#This Row],[Calibrated forecast hours]]="","",ABS(tblWorkPackages[[#This Row],[Actual labor hours]]-tblWorkPackages[[#This Row],[Calibrated forecast hours]]))</f>
        <v>4.75473684210526</v>
      </c>
      <c r="V190" s="51">
        <f>IF(tblWorkPackages[[#This Row],[Time split]]="Train 2024",tblWorkPackages[[#This Row],[Estimated labor hours]],tblWorkPackages[[#This Row],[Calibrated forecast hours]])</f>
        <v>22.4547368421053</v>
      </c>
      <c r="W190" s="64">
        <f>DATEVALUE(tblWorkPackages[[#This Row],[Request date]])</f>
        <v>45797.0</v>
      </c>
      <c r="X190" s="64">
        <f>DATEVALUE(tblWorkPackages[[#This Row],[Due date]])</f>
        <v>45799.0</v>
      </c>
      <c r="Y190" s="64">
        <f>DATEVALUE(tblWorkPackages[[#This Row],[Completion date]])</f>
        <v>45814.0</v>
      </c>
      <c r="Z190" s="64">
        <f>_xlfn.MINIFS(tblLaborEntries[Work date serial],tblLaborEntries[Work package ID],tblWorkPackages[[#This Row],[Work package ID]])</f>
        <v>45814.0</v>
      </c>
      <c r="AA190" s="64">
        <f>_xlfn.MAXIFS(tblLaborEntries[Work date serial],tblLaborEntries[Work package ID],tblWorkPackages[[#This Row],[Work package ID]])</f>
        <v>45814.0</v>
      </c>
      <c r="AB190" s="65">
        <f>IF(tblWorkPackages[[#This Row],[Completion date serial]]&gt;tblWorkPackages[[#This Row],[Due date serial]],1,0)</f>
        <v>1</v>
      </c>
      <c r="AC190" s="65">
        <f>MAX(0,tblWorkPackages[[#This Row],[Completion date serial]]-tblWorkPackages[[#This Row],[Due date serial]])</f>
        <v>15</v>
      </c>
      <c r="AD190" s="65">
        <f>tblWorkPackages[[#This Row],[First labor date]]-tblWorkPackages[[#This Row],[Request date serial]]</f>
        <v>17</v>
      </c>
      <c r="AE190" s="65">
        <f>tblWorkPackages[[#This Row],[Last labor date]]-tblWorkPackages[[#This Row],[First labor date]]</f>
        <v>0</v>
      </c>
      <c r="AF190" s="65">
        <f>tblWorkPackages[[#This Row],[Completion date serial]]-tblWorkPackages[[#This Row],[Last labor date]]</f>
        <v>0</v>
      </c>
      <c r="AG190" s="65">
        <f>tblWorkPackages[[#This Row],[Completion date serial]]-tblWorkPackages[[#This Row],[Request date serial]]</f>
        <v>17</v>
      </c>
      <c r="AH190" s="65">
        <f>IFERROR(INDEX(tblParts[Delay days],MATCH(tblWorkPackages[[#This Row],[Work package ID]],tblParts[Work package ID],0)),0)</f>
        <v>0</v>
      </c>
      <c r="AI190" s="51" t="str">
        <f>IFERROR(INDEX(tblDisruptions[Event type],MATCH(tblWorkPackages[[#This Row],[Work package ID]],tblDisruptions[Work package ID],0)),"None")</f>
        <v>None</v>
      </c>
      <c r="AJ190" s="51" t="str">
        <f>TEXT(tblWorkPackages[[#This Row],[Due date serial]],"yyyy-mm")</f>
        <v>2025-05</v>
      </c>
    </row>
    <row r="191" spans="1:36" ht="15" x14ac:dyDescent="0.25">
      <c r="A191" s="53" t="s">
        <v>742</v>
      </c>
      <c r="B191" s="53" t="s">
        <v>133</v>
      </c>
      <c r="C191" s="53" t="s">
        <v>743</v>
      </c>
      <c r="D191" s="53" t="s">
        <v>343</v>
      </c>
      <c r="E191" s="53" t="s">
        <v>181</v>
      </c>
      <c r="F191" s="53" t="s">
        <v>182</v>
      </c>
      <c r="G191" s="53" t="s">
        <v>138</v>
      </c>
      <c r="H191" s="53">
        <v>4</v>
      </c>
      <c r="I191" s="53" t="s">
        <v>176</v>
      </c>
      <c r="J191" s="53">
        <v>0</v>
      </c>
      <c r="K191" s="53">
        <v>0</v>
      </c>
      <c r="L191" s="53">
        <v>13.4</v>
      </c>
      <c r="M191" s="53" t="s">
        <v>744</v>
      </c>
      <c r="N191" s="53">
        <v>14.2</v>
      </c>
      <c r="O191" s="51" t="str">
        <f>TEXT(tblWorkPackages[[#This Row],[Request date serial]]-WEEKDAY(tblWorkPackages[[#This Row],[Request date serial]],3),"yyyy-mm-dd")</f>
        <v>2025-07-14</v>
      </c>
      <c r="P191" s="51">
        <f>ABS(tblWorkPackages[[#This Row],[Actual labor hours]]-tblWorkPackages[[#This Row],[Estimated labor hours]])</f>
        <v>0.799999999999999</v>
      </c>
      <c r="Q191" s="51">
        <f>IF(tblWorkPackages[[#This Row],[Actual labor hours]]&gt;tblWorkPackages[[#This Row],[Estimated labor hours]],1,0)</f>
        <v>1</v>
      </c>
      <c r="R191" s="51">
        <f>tblWorkPackages[[#This Row],[Actual labor hours]]-tblWorkPackages[[#This Row],[Estimated labor hours]]</f>
        <v>0.799999999999999</v>
      </c>
      <c r="S191" s="51" t="str">
        <f>IF(tblWorkPackages[[#This Row],[Request date serial]]&lt;ValidationStart,"Train 2024",IF(tblWorkPackages[[#This Row],[Request date serial]]&lt;HoldoutStart,"Validation H1","Holdout H2"))</f>
        <v>Holdout H2</v>
      </c>
      <c r="T191" s="51">
        <f>IF(tblWorkPackages[[#This Row],[Time split]]="Train 2024","",tblWorkPackages[[#This Row],[Estimated labor hours]]+VLOOKUP(tblWorkPackages[[#This Row],[Task type]],'Forecast validation'!$A$14:$E$25,IF(tblWorkPackages[[#This Row],[Time split]]="Validation H1",4,5),FALSE()))</f>
        <v>13.9916083916084</v>
      </c>
      <c r="U191" s="51">
        <f>IF(tblWorkPackages[[#This Row],[Calibrated forecast hours]]="","",ABS(tblWorkPackages[[#This Row],[Actual labor hours]]-tblWorkPackages[[#This Row],[Calibrated forecast hours]]))</f>
        <v>0.208391608391608</v>
      </c>
      <c r="V191" s="51">
        <f>IF(tblWorkPackages[[#This Row],[Time split]]="Train 2024",tblWorkPackages[[#This Row],[Estimated labor hours]],tblWorkPackages[[#This Row],[Calibrated forecast hours]])</f>
        <v>13.9916083916084</v>
      </c>
      <c r="W191" s="64">
        <f>DATEVALUE(tblWorkPackages[[#This Row],[Request date]])</f>
        <v>45856.0</v>
      </c>
      <c r="X191" s="64">
        <f>DATEVALUE(tblWorkPackages[[#This Row],[Due date]])</f>
        <v>45862.0</v>
      </c>
      <c r="Y191" s="64">
        <f>DATEVALUE(tblWorkPackages[[#This Row],[Completion date]])</f>
        <v>45863.0</v>
      </c>
      <c r="Z191" s="64">
        <f>_xlfn.MINIFS(tblLaborEntries[Work date serial],tblLaborEntries[Work package ID],tblWorkPackages[[#This Row],[Work package ID]])</f>
        <v>45860.0</v>
      </c>
      <c r="AA191" s="64">
        <f>_xlfn.MAXIFS(tblLaborEntries[Work date serial],tblLaborEntries[Work package ID],tblWorkPackages[[#This Row],[Work package ID]])</f>
        <v>45862.0</v>
      </c>
      <c r="AB191" s="65">
        <f>IF(tblWorkPackages[[#This Row],[Completion date serial]]&gt;tblWorkPackages[[#This Row],[Due date serial]],1,0)</f>
        <v>1</v>
      </c>
      <c r="AC191" s="65">
        <f>MAX(0,tblWorkPackages[[#This Row],[Completion date serial]]-tblWorkPackages[[#This Row],[Due date serial]])</f>
        <v>1</v>
      </c>
      <c r="AD191" s="65">
        <f>tblWorkPackages[[#This Row],[First labor date]]-tblWorkPackages[[#This Row],[Request date serial]]</f>
        <v>4</v>
      </c>
      <c r="AE191" s="65">
        <f>tblWorkPackages[[#This Row],[Last labor date]]-tblWorkPackages[[#This Row],[First labor date]]</f>
        <v>2</v>
      </c>
      <c r="AF191" s="65">
        <f>tblWorkPackages[[#This Row],[Completion date serial]]-tblWorkPackages[[#This Row],[Last labor date]]</f>
        <v>1</v>
      </c>
      <c r="AG191" s="65">
        <f>tblWorkPackages[[#This Row],[Completion date serial]]-tblWorkPackages[[#This Row],[Request date serial]]</f>
        <v>7</v>
      </c>
      <c r="AH191" s="65">
        <f>IFERROR(INDEX(tblParts[Delay days],MATCH(tblWorkPackages[[#This Row],[Work package ID]],tblParts[Work package ID],0)),0)</f>
        <v>0</v>
      </c>
      <c r="AI191" s="51" t="str">
        <f>IFERROR(INDEX(tblDisruptions[Event type],MATCH(tblWorkPackages[[#This Row],[Work package ID]],tblDisruptions[Work package ID],0)),"None")</f>
        <v>None</v>
      </c>
      <c r="AJ191" s="51" t="str">
        <f>TEXT(tblWorkPackages[[#This Row],[Due date serial]],"yyyy-mm")</f>
        <v>2025-07</v>
      </c>
    </row>
    <row r="192" spans="1:36" ht="15" x14ac:dyDescent="0.25">
      <c r="A192" s="53" t="s">
        <v>745</v>
      </c>
      <c r="B192" s="53" t="s">
        <v>203</v>
      </c>
      <c r="C192" s="53" t="s">
        <v>531</v>
      </c>
      <c r="D192" s="53" t="s">
        <v>746</v>
      </c>
      <c r="E192" s="53" t="s">
        <v>136</v>
      </c>
      <c r="F192" s="53" t="s">
        <v>137</v>
      </c>
      <c r="G192" s="53" t="s">
        <v>138</v>
      </c>
      <c r="H192" s="53">
        <v>2</v>
      </c>
      <c r="I192" s="53" t="s">
        <v>176</v>
      </c>
      <c r="J192" s="53">
        <v>0</v>
      </c>
      <c r="K192" s="53">
        <v>0</v>
      </c>
      <c r="L192" s="53">
        <v>13.2</v>
      </c>
      <c r="M192" s="53" t="s">
        <v>341</v>
      </c>
      <c r="N192" s="53">
        <v>16.5</v>
      </c>
      <c r="O192" s="51" t="str">
        <f>TEXT(tblWorkPackages[[#This Row],[Request date serial]]-WEEKDAY(tblWorkPackages[[#This Row],[Request date serial]],3),"yyyy-mm-dd")</f>
        <v>2025-07-14</v>
      </c>
      <c r="P192" s="51">
        <f>ABS(tblWorkPackages[[#This Row],[Actual labor hours]]-tblWorkPackages[[#This Row],[Estimated labor hours]])</f>
        <v>3.3</v>
      </c>
      <c r="Q192" s="51">
        <f>IF(tblWorkPackages[[#This Row],[Actual labor hours]]&gt;tblWorkPackages[[#This Row],[Estimated labor hours]],1,0)</f>
        <v>1</v>
      </c>
      <c r="R192" s="51">
        <f>tblWorkPackages[[#This Row],[Actual labor hours]]-tblWorkPackages[[#This Row],[Estimated labor hours]]</f>
        <v>3.3</v>
      </c>
      <c r="S192" s="51" t="str">
        <f>IF(tblWorkPackages[[#This Row],[Request date serial]]&lt;ValidationStart,"Train 2024",IF(tblWorkPackages[[#This Row],[Request date serial]]&lt;HoldoutStart,"Validation H1","Holdout H2"))</f>
        <v>Holdout H2</v>
      </c>
      <c r="T192" s="51">
        <f>IF(tblWorkPackages[[#This Row],[Time split]]="Train 2024","",tblWorkPackages[[#This Row],[Estimated labor hours]]+VLOOKUP(tblWorkPackages[[#This Row],[Task type]],'Forecast validation'!$A$14:$E$25,IF(tblWorkPackages[[#This Row],[Time split]]="Validation H1",4,5),FALSE()))</f>
        <v>14.1207547169811</v>
      </c>
      <c r="U192" s="51">
        <f>IF(tblWorkPackages[[#This Row],[Calibrated forecast hours]]="","",ABS(tblWorkPackages[[#This Row],[Actual labor hours]]-tblWorkPackages[[#This Row],[Calibrated forecast hours]]))</f>
        <v>2.37924528301887</v>
      </c>
      <c r="V192" s="51">
        <f>IF(tblWorkPackages[[#This Row],[Time split]]="Train 2024",tblWorkPackages[[#This Row],[Estimated labor hours]],tblWorkPackages[[#This Row],[Calibrated forecast hours]])</f>
        <v>14.1207547169811</v>
      </c>
      <c r="W192" s="64">
        <f>DATEVALUE(tblWorkPackages[[#This Row],[Request date]])</f>
        <v>45854.0</v>
      </c>
      <c r="X192" s="64">
        <f>DATEVALUE(tblWorkPackages[[#This Row],[Due date]])</f>
        <v>45860.0</v>
      </c>
      <c r="Y192" s="64">
        <f>DATEVALUE(tblWorkPackages[[#This Row],[Completion date]])</f>
        <v>45858.0</v>
      </c>
      <c r="Z192" s="64">
        <f>_xlfn.MINIFS(tblLaborEntries[Work date serial],tblLaborEntries[Work package ID],tblWorkPackages[[#This Row],[Work package ID]])</f>
        <v>45855.0</v>
      </c>
      <c r="AA192" s="64">
        <f>_xlfn.MAXIFS(tblLaborEntries[Work date serial],tblLaborEntries[Work package ID],tblWorkPackages[[#This Row],[Work package ID]])</f>
        <v>45856.0</v>
      </c>
      <c r="AB192" s="65">
        <f>IF(tblWorkPackages[[#This Row],[Completion date serial]]&gt;tblWorkPackages[[#This Row],[Due date serial]],1,0)</f>
        <v>0</v>
      </c>
      <c r="AC192" s="65">
        <f>MAX(0,tblWorkPackages[[#This Row],[Completion date serial]]-tblWorkPackages[[#This Row],[Due date serial]])</f>
        <v>0</v>
      </c>
      <c r="AD192" s="65">
        <f>tblWorkPackages[[#This Row],[First labor date]]-tblWorkPackages[[#This Row],[Request date serial]]</f>
        <v>1</v>
      </c>
      <c r="AE192" s="65">
        <f>tblWorkPackages[[#This Row],[Last labor date]]-tblWorkPackages[[#This Row],[First labor date]]</f>
        <v>1</v>
      </c>
      <c r="AF192" s="65">
        <f>tblWorkPackages[[#This Row],[Completion date serial]]-tblWorkPackages[[#This Row],[Last labor date]]</f>
        <v>2</v>
      </c>
      <c r="AG192" s="65">
        <f>tblWorkPackages[[#This Row],[Completion date serial]]-tblWorkPackages[[#This Row],[Request date serial]]</f>
        <v>4</v>
      </c>
      <c r="AH192" s="65">
        <f>IFERROR(INDEX(tblParts[Delay days],MATCH(tblWorkPackages[[#This Row],[Work package ID]],tblParts[Work package ID],0)),0)</f>
        <v>0</v>
      </c>
      <c r="AI192" s="51" t="str">
        <f>IFERROR(INDEX(tblDisruptions[Event type],MATCH(tblWorkPackages[[#This Row],[Work package ID]],tblDisruptions[Work package ID],0)),"None")</f>
        <v>None</v>
      </c>
      <c r="AJ192" s="51" t="str">
        <f>TEXT(tblWorkPackages[[#This Row],[Due date serial]],"yyyy-mm")</f>
        <v>2025-07</v>
      </c>
    </row>
    <row r="193" spans="1:36" ht="15" x14ac:dyDescent="0.25">
      <c r="A193" s="53" t="s">
        <v>747</v>
      </c>
      <c r="B193" s="53" t="s">
        <v>230</v>
      </c>
      <c r="C193" s="53" t="s">
        <v>748</v>
      </c>
      <c r="D193" s="53" t="s">
        <v>474</v>
      </c>
      <c r="E193" s="53" t="s">
        <v>200</v>
      </c>
      <c r="F193" s="53" t="s">
        <v>128</v>
      </c>
      <c r="G193" s="53" t="s">
        <v>129</v>
      </c>
      <c r="H193" s="53">
        <v>3</v>
      </c>
      <c r="I193" s="53" t="s">
        <v>130</v>
      </c>
      <c r="J193" s="53">
        <v>0</v>
      </c>
      <c r="K193" s="53">
        <v>0</v>
      </c>
      <c r="L193" s="53">
        <v>4.5999999999999996</v>
      </c>
      <c r="M193" s="53" t="s">
        <v>474</v>
      </c>
      <c r="N193" s="53">
        <v>4.8</v>
      </c>
      <c r="O193" s="51" t="str">
        <f>TEXT(tblWorkPackages[[#This Row],[Request date serial]]-WEEKDAY(tblWorkPackages[[#This Row],[Request date serial]],3),"yyyy-mm-dd")</f>
        <v>2024-02-12</v>
      </c>
      <c r="P193" s="51">
        <f>ABS(tblWorkPackages[[#This Row],[Actual labor hours]]-tblWorkPackages[[#This Row],[Estimated labor hours]])</f>
        <v>0.2</v>
      </c>
      <c r="Q193" s="51">
        <f>IF(tblWorkPackages[[#This Row],[Actual labor hours]]&gt;tblWorkPackages[[#This Row],[Estimated labor hours]],1,0)</f>
        <v>1</v>
      </c>
      <c r="R193" s="51">
        <f>tblWorkPackages[[#This Row],[Actual labor hours]]-tblWorkPackages[[#This Row],[Estimated labor hours]]</f>
        <v>0.2</v>
      </c>
      <c r="S193" s="51" t="str">
        <f>IF(tblWorkPackages[[#This Row],[Request date serial]]&lt;ValidationStart,"Train 2024",IF(tblWorkPackages[[#This Row],[Request date serial]]&lt;HoldoutStart,"Validation H1","Holdout H2"))</f>
        <v>Train 2024</v>
      </c>
      <c r="T193" s="51" t="str">
        <f>IF(tblWorkPackages[[#This Row],[Time split]]="Train 2024","",tblWorkPackages[[#This Row],[Estimated labor hours]]+VLOOKUP(tblWorkPackages[[#This Row],[Task type]],'Forecast validation'!$A$14:$E$25,IF(tblWorkPackages[[#This Row],[Time split]]="Validation H1",4,5),FALSE()))</f>
        <v/>
      </c>
      <c r="U193" s="51" t="str">
        <f>IF(tblWorkPackages[[#This Row],[Calibrated forecast hours]]="","",ABS(tblWorkPackages[[#This Row],[Actual labor hours]]-tblWorkPackages[[#This Row],[Calibrated forecast hours]]))</f>
        <v/>
      </c>
      <c r="V193" s="51">
        <f>IF(tblWorkPackages[[#This Row],[Time split]]="Train 2024",tblWorkPackages[[#This Row],[Estimated labor hours]],tblWorkPackages[[#This Row],[Calibrated forecast hours]])</f>
        <v>4.6</v>
      </c>
      <c r="W193" s="64">
        <f>DATEVALUE(tblWorkPackages[[#This Row],[Request date]])</f>
        <v>45339.0</v>
      </c>
      <c r="X193" s="64">
        <f>DATEVALUE(tblWorkPackages[[#This Row],[Due date]])</f>
        <v>45352.0</v>
      </c>
      <c r="Y193" s="64">
        <f>DATEVALUE(tblWorkPackages[[#This Row],[Completion date]])</f>
        <v>45352.0</v>
      </c>
      <c r="Z193" s="64">
        <f>_xlfn.MINIFS(tblLaborEntries[Work date serial],tblLaborEntries[Work package ID],tblWorkPackages[[#This Row],[Work package ID]])</f>
        <v>45349.0</v>
      </c>
      <c r="AA193" s="64">
        <f>_xlfn.MAXIFS(tblLaborEntries[Work date serial],tblLaborEntries[Work package ID],tblWorkPackages[[#This Row],[Work package ID]])</f>
        <v>45349.0</v>
      </c>
      <c r="AB193" s="65">
        <f>IF(tblWorkPackages[[#This Row],[Completion date serial]]&gt;tblWorkPackages[[#This Row],[Due date serial]],1,0)</f>
        <v>0</v>
      </c>
      <c r="AC193" s="65">
        <f>MAX(0,tblWorkPackages[[#This Row],[Completion date serial]]-tblWorkPackages[[#This Row],[Due date serial]])</f>
        <v>0</v>
      </c>
      <c r="AD193" s="65">
        <f>tblWorkPackages[[#This Row],[First labor date]]-tblWorkPackages[[#This Row],[Request date serial]]</f>
        <v>10</v>
      </c>
      <c r="AE193" s="65">
        <f>tblWorkPackages[[#This Row],[Last labor date]]-tblWorkPackages[[#This Row],[First labor date]]</f>
        <v>0</v>
      </c>
      <c r="AF193" s="65">
        <f>tblWorkPackages[[#This Row],[Completion date serial]]-tblWorkPackages[[#This Row],[Last labor date]]</f>
        <v>3</v>
      </c>
      <c r="AG193" s="65">
        <f>tblWorkPackages[[#This Row],[Completion date serial]]-tblWorkPackages[[#This Row],[Request date serial]]</f>
        <v>13</v>
      </c>
      <c r="AH193" s="65">
        <f>IFERROR(INDEX(tblParts[Delay days],MATCH(tblWorkPackages[[#This Row],[Work package ID]],tblParts[Work package ID],0)),0)</f>
        <v>0</v>
      </c>
      <c r="AI193" s="51" t="str">
        <f>IFERROR(INDEX(tblDisruptions[Event type],MATCH(tblWorkPackages[[#This Row],[Work package ID]],tblDisruptions[Work package ID],0)),"None")</f>
        <v>None</v>
      </c>
      <c r="AJ193" s="51" t="str">
        <f>TEXT(tblWorkPackages[[#This Row],[Due date serial]],"yyyy-mm")</f>
        <v>2024-03</v>
      </c>
    </row>
    <row r="194" spans="1:36" ht="15" x14ac:dyDescent="0.25">
      <c r="A194" s="53" t="s">
        <v>749</v>
      </c>
      <c r="B194" s="53" t="s">
        <v>124</v>
      </c>
      <c r="C194" s="53" t="s">
        <v>484</v>
      </c>
      <c r="D194" s="53" t="s">
        <v>232</v>
      </c>
      <c r="E194" s="53" t="s">
        <v>153</v>
      </c>
      <c r="F194" s="53" t="s">
        <v>128</v>
      </c>
      <c r="G194" s="53" t="s">
        <v>154</v>
      </c>
      <c r="H194" s="53">
        <v>3</v>
      </c>
      <c r="I194" s="53" t="s">
        <v>176</v>
      </c>
      <c r="J194" s="53">
        <v>0</v>
      </c>
      <c r="K194" s="53">
        <v>0</v>
      </c>
      <c r="L194" s="53">
        <v>13.3</v>
      </c>
      <c r="M194" s="53" t="s">
        <v>486</v>
      </c>
      <c r="N194" s="53">
        <v>13.6</v>
      </c>
      <c r="O194" s="51" t="str">
        <f>TEXT(tblWorkPackages[[#This Row],[Request date serial]]-WEEKDAY(tblWorkPackages[[#This Row],[Request date serial]],3),"yyyy-mm-dd")</f>
        <v>2024-12-30</v>
      </c>
      <c r="P194" s="51">
        <f>ABS(tblWorkPackages[[#This Row],[Actual labor hours]]-tblWorkPackages[[#This Row],[Estimated labor hours]])</f>
        <v>0.299999999999999</v>
      </c>
      <c r="Q194" s="51">
        <f>IF(tblWorkPackages[[#This Row],[Actual labor hours]]&gt;tblWorkPackages[[#This Row],[Estimated labor hours]],1,0)</f>
        <v>1</v>
      </c>
      <c r="R194" s="51">
        <f>tblWorkPackages[[#This Row],[Actual labor hours]]-tblWorkPackages[[#This Row],[Estimated labor hours]]</f>
        <v>0.299999999999999</v>
      </c>
      <c r="S194" s="51" t="str">
        <f>IF(tblWorkPackages[[#This Row],[Request date serial]]&lt;ValidationStart,"Train 2024",IF(tblWorkPackages[[#This Row],[Request date serial]]&lt;HoldoutStart,"Validation H1","Holdout H2"))</f>
        <v>Validation H1</v>
      </c>
      <c r="T194" s="51">
        <f>IF(tblWorkPackages[[#This Row],[Time split]]="Train 2024","",tblWorkPackages[[#This Row],[Estimated labor hours]]+VLOOKUP(tblWorkPackages[[#This Row],[Task type]],'Forecast validation'!$A$14:$E$25,IF(tblWorkPackages[[#This Row],[Time split]]="Validation H1",4,5),FALSE()))</f>
        <v>13.8462264150943</v>
      </c>
      <c r="U194" s="51">
        <f>IF(tblWorkPackages[[#This Row],[Calibrated forecast hours]]="","",ABS(tblWorkPackages[[#This Row],[Actual labor hours]]-tblWorkPackages[[#This Row],[Calibrated forecast hours]]))</f>
        <v>0.246226415094341</v>
      </c>
      <c r="V194" s="51">
        <f>IF(tblWorkPackages[[#This Row],[Time split]]="Train 2024",tblWorkPackages[[#This Row],[Estimated labor hours]],tblWorkPackages[[#This Row],[Calibrated forecast hours]])</f>
        <v>13.8462264150943</v>
      </c>
      <c r="W194" s="64">
        <f>DATEVALUE(tblWorkPackages[[#This Row],[Request date]])</f>
        <v>45662.0</v>
      </c>
      <c r="X194" s="64">
        <f>DATEVALUE(tblWorkPackages[[#This Row],[Due date]])</f>
        <v>45668.0</v>
      </c>
      <c r="Y194" s="64">
        <f>DATEVALUE(tblWorkPackages[[#This Row],[Completion date]])</f>
        <v>45667.0</v>
      </c>
      <c r="Z194" s="64">
        <f>_xlfn.MINIFS(tblLaborEntries[Work date serial],tblLaborEntries[Work package ID],tblWorkPackages[[#This Row],[Work package ID]])</f>
        <v>45665.0</v>
      </c>
      <c r="AA194" s="64">
        <f>_xlfn.MAXIFS(tblLaborEntries[Work date serial],tblLaborEntries[Work package ID],tblWorkPackages[[#This Row],[Work package ID]])</f>
        <v>45667.0</v>
      </c>
      <c r="AB194" s="65">
        <f>IF(tblWorkPackages[[#This Row],[Completion date serial]]&gt;tblWorkPackages[[#This Row],[Due date serial]],1,0)</f>
        <v>0</v>
      </c>
      <c r="AC194" s="65">
        <f>MAX(0,tblWorkPackages[[#This Row],[Completion date serial]]-tblWorkPackages[[#This Row],[Due date serial]])</f>
        <v>0</v>
      </c>
      <c r="AD194" s="65">
        <f>tblWorkPackages[[#This Row],[First labor date]]-tblWorkPackages[[#This Row],[Request date serial]]</f>
        <v>3</v>
      </c>
      <c r="AE194" s="65">
        <f>tblWorkPackages[[#This Row],[Last labor date]]-tblWorkPackages[[#This Row],[First labor date]]</f>
        <v>2</v>
      </c>
      <c r="AF194" s="65">
        <f>tblWorkPackages[[#This Row],[Completion date serial]]-tblWorkPackages[[#This Row],[Last labor date]]</f>
        <v>0</v>
      </c>
      <c r="AG194" s="65">
        <f>tblWorkPackages[[#This Row],[Completion date serial]]-tblWorkPackages[[#This Row],[Request date serial]]</f>
        <v>5</v>
      </c>
      <c r="AH194" s="65">
        <f>IFERROR(INDEX(tblParts[Delay days],MATCH(tblWorkPackages[[#This Row],[Work package ID]],tblParts[Work package ID],0)),0)</f>
        <v>0</v>
      </c>
      <c r="AI194" s="51" t="str">
        <f>IFERROR(INDEX(tblDisruptions[Event type],MATCH(tblWorkPackages[[#This Row],[Work package ID]],tblDisruptions[Work package ID],0)),"None")</f>
        <v>None</v>
      </c>
      <c r="AJ194" s="51" t="str">
        <f>TEXT(tblWorkPackages[[#This Row],[Due date serial]],"yyyy-mm")</f>
        <v>2025-01</v>
      </c>
    </row>
    <row r="195" spans="1:36" ht="15" x14ac:dyDescent="0.25">
      <c r="A195" s="53" t="s">
        <v>750</v>
      </c>
      <c r="B195" s="53" t="s">
        <v>173</v>
      </c>
      <c r="C195" s="53" t="s">
        <v>236</v>
      </c>
      <c r="D195" s="53" t="s">
        <v>751</v>
      </c>
      <c r="E195" s="53" t="s">
        <v>209</v>
      </c>
      <c r="F195" s="53" t="s">
        <v>145</v>
      </c>
      <c r="G195" s="53" t="s">
        <v>210</v>
      </c>
      <c r="H195" s="53">
        <v>4</v>
      </c>
      <c r="I195" s="53" t="s">
        <v>130</v>
      </c>
      <c r="J195" s="53">
        <v>0</v>
      </c>
      <c r="K195" s="53">
        <v>1</v>
      </c>
      <c r="L195" s="53">
        <v>40.700000000000003</v>
      </c>
      <c r="M195" s="53" t="s">
        <v>568</v>
      </c>
      <c r="N195" s="53">
        <v>33.299999999999997</v>
      </c>
      <c r="O195" s="51" t="str">
        <f>TEXT(tblWorkPackages[[#This Row],[Request date serial]]-WEEKDAY(tblWorkPackages[[#This Row],[Request date serial]],3),"yyyy-mm-dd")</f>
        <v>2025-05-05</v>
      </c>
      <c r="P195" s="51">
        <f>ABS(tblWorkPackages[[#This Row],[Actual labor hours]]-tblWorkPackages[[#This Row],[Estimated labor hours]])</f>
        <v>7.40000000000001</v>
      </c>
      <c r="Q195" s="51">
        <f>IF(tblWorkPackages[[#This Row],[Actual labor hours]]&gt;tblWorkPackages[[#This Row],[Estimated labor hours]],1,0)</f>
        <v>0</v>
      </c>
      <c r="R195" s="51">
        <f>tblWorkPackages[[#This Row],[Actual labor hours]]-tblWorkPackages[[#This Row],[Estimated labor hours]]</f>
        <v>-7.40000000000001</v>
      </c>
      <c r="S195" s="51" t="str">
        <f>IF(tblWorkPackages[[#This Row],[Request date serial]]&lt;ValidationStart,"Train 2024",IF(tblWorkPackages[[#This Row],[Request date serial]]&lt;HoldoutStart,"Validation H1","Holdout H2"))</f>
        <v>Validation H1</v>
      </c>
      <c r="T195" s="51">
        <f>IF(tblWorkPackages[[#This Row],[Time split]]="Train 2024","",tblWorkPackages[[#This Row],[Estimated labor hours]]+VLOOKUP(tblWorkPackages[[#This Row],[Task type]],'Forecast validation'!$A$14:$E$25,IF(tblWorkPackages[[#This Row],[Time split]]="Validation H1",4,5),FALSE()))</f>
        <v>41.8029850746269</v>
      </c>
      <c r="U195" s="51">
        <f>IF(tblWorkPackages[[#This Row],[Calibrated forecast hours]]="","",ABS(tblWorkPackages[[#This Row],[Actual labor hours]]-tblWorkPackages[[#This Row],[Calibrated forecast hours]]))</f>
        <v>8.50298507462687</v>
      </c>
      <c r="V195" s="51">
        <f>IF(tblWorkPackages[[#This Row],[Time split]]="Train 2024",tblWorkPackages[[#This Row],[Estimated labor hours]],tblWorkPackages[[#This Row],[Calibrated forecast hours]])</f>
        <v>41.8029850746269</v>
      </c>
      <c r="W195" s="64">
        <f>DATEVALUE(tblWorkPackages[[#This Row],[Request date]])</f>
        <v>45782.0</v>
      </c>
      <c r="X195" s="64">
        <f>DATEVALUE(tblWorkPackages[[#This Row],[Due date]])</f>
        <v>45795.0</v>
      </c>
      <c r="Y195" s="64">
        <f>DATEVALUE(tblWorkPackages[[#This Row],[Completion date]])</f>
        <v>45813.0</v>
      </c>
      <c r="Z195" s="64">
        <f>_xlfn.MINIFS(tblLaborEntries[Work date serial],tblLaborEntries[Work package ID],tblWorkPackages[[#This Row],[Work package ID]])</f>
        <v>45811.0</v>
      </c>
      <c r="AA195" s="64">
        <f>_xlfn.MAXIFS(tblLaborEntries[Work date serial],tblLaborEntries[Work package ID],tblWorkPackages[[#This Row],[Work package ID]])</f>
        <v>45812.0</v>
      </c>
      <c r="AB195" s="65">
        <f>IF(tblWorkPackages[[#This Row],[Completion date serial]]&gt;tblWorkPackages[[#This Row],[Due date serial]],1,0)</f>
        <v>1</v>
      </c>
      <c r="AC195" s="65">
        <f>MAX(0,tblWorkPackages[[#This Row],[Completion date serial]]-tblWorkPackages[[#This Row],[Due date serial]])</f>
        <v>18</v>
      </c>
      <c r="AD195" s="65">
        <f>tblWorkPackages[[#This Row],[First labor date]]-tblWorkPackages[[#This Row],[Request date serial]]</f>
        <v>29</v>
      </c>
      <c r="AE195" s="65">
        <f>tblWorkPackages[[#This Row],[Last labor date]]-tblWorkPackages[[#This Row],[First labor date]]</f>
        <v>1</v>
      </c>
      <c r="AF195" s="65">
        <f>tblWorkPackages[[#This Row],[Completion date serial]]-tblWorkPackages[[#This Row],[Last labor date]]</f>
        <v>1</v>
      </c>
      <c r="AG195" s="65">
        <f>tblWorkPackages[[#This Row],[Completion date serial]]-tblWorkPackages[[#This Row],[Request date serial]]</f>
        <v>31</v>
      </c>
      <c r="AH195" s="65">
        <f>IFERROR(INDEX(tblParts[Delay days],MATCH(tblWorkPackages[[#This Row],[Work package ID]],tblParts[Work package ID],0)),0)</f>
        <v>0</v>
      </c>
      <c r="AI195" s="51" t="str">
        <f>IFERROR(INDEX(tblDisruptions[Event type],MATCH(tblWorkPackages[[#This Row],[Work package ID]],tblDisruptions[Work package ID],0)),"None")</f>
        <v>None</v>
      </c>
      <c r="AJ195" s="51" t="str">
        <f>TEXT(tblWorkPackages[[#This Row],[Due date serial]],"yyyy-mm")</f>
        <v>2025-05</v>
      </c>
    </row>
    <row r="196" spans="1:36" ht="15" x14ac:dyDescent="0.25">
      <c r="A196" s="53" t="s">
        <v>752</v>
      </c>
      <c r="B196" s="53" t="s">
        <v>230</v>
      </c>
      <c r="C196" s="53" t="s">
        <v>308</v>
      </c>
      <c r="D196" s="53" t="s">
        <v>482</v>
      </c>
      <c r="E196" s="53" t="s">
        <v>242</v>
      </c>
      <c r="F196" s="53" t="s">
        <v>243</v>
      </c>
      <c r="G196" s="53" t="s">
        <v>129</v>
      </c>
      <c r="H196" s="53">
        <v>4</v>
      </c>
      <c r="I196" s="53" t="s">
        <v>176</v>
      </c>
      <c r="J196" s="53">
        <v>0</v>
      </c>
      <c r="K196" s="53">
        <v>1</v>
      </c>
      <c r="L196" s="53">
        <v>14.9</v>
      </c>
      <c r="M196" s="53" t="s">
        <v>753</v>
      </c>
      <c r="N196" s="53">
        <v>13.5</v>
      </c>
      <c r="O196" s="51" t="str">
        <f>TEXT(tblWorkPackages[[#This Row],[Request date serial]]-WEEKDAY(tblWorkPackages[[#This Row],[Request date serial]],3),"yyyy-mm-dd")</f>
        <v>2025-11-10</v>
      </c>
      <c r="P196" s="51">
        <f>ABS(tblWorkPackages[[#This Row],[Actual labor hours]]-tblWorkPackages[[#This Row],[Estimated labor hours]])</f>
        <v>1.4</v>
      </c>
      <c r="Q196" s="51">
        <f>IF(tblWorkPackages[[#This Row],[Actual labor hours]]&gt;tblWorkPackages[[#This Row],[Estimated labor hours]],1,0)</f>
        <v>0</v>
      </c>
      <c r="R196" s="51">
        <f>tblWorkPackages[[#This Row],[Actual labor hours]]-tblWorkPackages[[#This Row],[Estimated labor hours]]</f>
        <v>-1.4</v>
      </c>
      <c r="S196" s="51" t="str">
        <f>IF(tblWorkPackages[[#This Row],[Request date serial]]&lt;ValidationStart,"Train 2024",IF(tblWorkPackages[[#This Row],[Request date serial]]&lt;HoldoutStart,"Validation H1","Holdout H2"))</f>
        <v>Holdout H2</v>
      </c>
      <c r="T196" s="51">
        <f>IF(tblWorkPackages[[#This Row],[Time split]]="Train 2024","",tblWorkPackages[[#This Row],[Estimated labor hours]]+VLOOKUP(tblWorkPackages[[#This Row],[Task type]],'Forecast validation'!$A$14:$E$25,IF(tblWorkPackages[[#This Row],[Time split]]="Validation H1",4,5),FALSE()))</f>
        <v>15.7254545454545</v>
      </c>
      <c r="U196" s="51">
        <f>IF(tblWorkPackages[[#This Row],[Calibrated forecast hours]]="","",ABS(tblWorkPackages[[#This Row],[Actual labor hours]]-tblWorkPackages[[#This Row],[Calibrated forecast hours]]))</f>
        <v>2.22545454545455</v>
      </c>
      <c r="V196" s="51">
        <f>IF(tblWorkPackages[[#This Row],[Time split]]="Train 2024",tblWorkPackages[[#This Row],[Estimated labor hours]],tblWorkPackages[[#This Row],[Calibrated forecast hours]])</f>
        <v>15.7254545454545</v>
      </c>
      <c r="W196" s="64">
        <f>DATEVALUE(tblWorkPackages[[#This Row],[Request date]])</f>
        <v>45977.0</v>
      </c>
      <c r="X196" s="64">
        <f>DATEVALUE(tblWorkPackages[[#This Row],[Due date]])</f>
        <v>45983.0</v>
      </c>
      <c r="Y196" s="64">
        <f>DATEVALUE(tblWorkPackages[[#This Row],[Completion date]])</f>
        <v>45989.0</v>
      </c>
      <c r="Z196" s="64">
        <f>_xlfn.MINIFS(tblLaborEntries[Work date serial],tblLaborEntries[Work package ID],tblWorkPackages[[#This Row],[Work package ID]])</f>
        <v>45987.0</v>
      </c>
      <c r="AA196" s="64">
        <f>_xlfn.MAXIFS(tblLaborEntries[Work date serial],tblLaborEntries[Work package ID],tblWorkPackages[[#This Row],[Work package ID]])</f>
        <v>45987.0</v>
      </c>
      <c r="AB196" s="65">
        <f>IF(tblWorkPackages[[#This Row],[Completion date serial]]&gt;tblWorkPackages[[#This Row],[Due date serial]],1,0)</f>
        <v>1</v>
      </c>
      <c r="AC196" s="65">
        <f>MAX(0,tblWorkPackages[[#This Row],[Completion date serial]]-tblWorkPackages[[#This Row],[Due date serial]])</f>
        <v>6</v>
      </c>
      <c r="AD196" s="65">
        <f>tblWorkPackages[[#This Row],[First labor date]]-tblWorkPackages[[#This Row],[Request date serial]]</f>
        <v>10</v>
      </c>
      <c r="AE196" s="65">
        <f>tblWorkPackages[[#This Row],[Last labor date]]-tblWorkPackages[[#This Row],[First labor date]]</f>
        <v>0</v>
      </c>
      <c r="AF196" s="65">
        <f>tblWorkPackages[[#This Row],[Completion date serial]]-tblWorkPackages[[#This Row],[Last labor date]]</f>
        <v>2</v>
      </c>
      <c r="AG196" s="65">
        <f>tblWorkPackages[[#This Row],[Completion date serial]]-tblWorkPackages[[#This Row],[Request date serial]]</f>
        <v>12</v>
      </c>
      <c r="AH196" s="65">
        <f>IFERROR(INDEX(tblParts[Delay days],MATCH(tblWorkPackages[[#This Row],[Work package ID]],tblParts[Work package ID],0)),0)</f>
        <v>5</v>
      </c>
      <c r="AI196" s="51" t="str">
        <f>IFERROR(INDEX(tblDisruptions[Event type],MATCH(tblWorkPackages[[#This Row],[Work package ID]],tblDisruptions[Work package ID],0)),"None")</f>
        <v>Part delay</v>
      </c>
      <c r="AJ196" s="51" t="str">
        <f>TEXT(tblWorkPackages[[#This Row],[Due date serial]],"yyyy-mm")</f>
        <v>2025-11</v>
      </c>
    </row>
    <row r="197" spans="1:36" ht="15" x14ac:dyDescent="0.25">
      <c r="A197" s="53" t="s">
        <v>754</v>
      </c>
      <c r="B197" s="53" t="s">
        <v>250</v>
      </c>
      <c r="C197" s="53" t="s">
        <v>755</v>
      </c>
      <c r="D197" s="53" t="s">
        <v>756</v>
      </c>
      <c r="E197" s="53" t="s">
        <v>242</v>
      </c>
      <c r="F197" s="53" t="s">
        <v>243</v>
      </c>
      <c r="G197" s="53" t="s">
        <v>129</v>
      </c>
      <c r="H197" s="53">
        <v>2</v>
      </c>
      <c r="I197" s="53" t="s">
        <v>130</v>
      </c>
      <c r="J197" s="53">
        <v>0</v>
      </c>
      <c r="K197" s="53">
        <v>0</v>
      </c>
      <c r="L197" s="53">
        <v>7.6</v>
      </c>
      <c r="M197" s="53" t="s">
        <v>757</v>
      </c>
      <c r="N197" s="53">
        <v>8.3000000000000007</v>
      </c>
      <c r="O197" s="51" t="str">
        <f>TEXT(tblWorkPackages[[#This Row],[Request date serial]]-WEEKDAY(tblWorkPackages[[#This Row],[Request date serial]],3),"yyyy-mm-dd")</f>
        <v>2024-09-09</v>
      </c>
      <c r="P197" s="51">
        <f>ABS(tblWorkPackages[[#This Row],[Actual labor hours]]-tblWorkPackages[[#This Row],[Estimated labor hours]])</f>
        <v>0.700000000000001</v>
      </c>
      <c r="Q197" s="51">
        <f>IF(tblWorkPackages[[#This Row],[Actual labor hours]]&gt;tblWorkPackages[[#This Row],[Estimated labor hours]],1,0)</f>
        <v>1</v>
      </c>
      <c r="R197" s="51">
        <f>tblWorkPackages[[#This Row],[Actual labor hours]]-tblWorkPackages[[#This Row],[Estimated labor hours]]</f>
        <v>0.700000000000001</v>
      </c>
      <c r="S197" s="51" t="str">
        <f>IF(tblWorkPackages[[#This Row],[Request date serial]]&lt;ValidationStart,"Train 2024",IF(tblWorkPackages[[#This Row],[Request date serial]]&lt;HoldoutStart,"Validation H1","Holdout H2"))</f>
        <v>Train 2024</v>
      </c>
      <c r="T197" s="51" t="str">
        <f>IF(tblWorkPackages[[#This Row],[Time split]]="Train 2024","",tblWorkPackages[[#This Row],[Estimated labor hours]]+VLOOKUP(tblWorkPackages[[#This Row],[Task type]],'Forecast validation'!$A$14:$E$25,IF(tblWorkPackages[[#This Row],[Time split]]="Validation H1",4,5),FALSE()))</f>
        <v/>
      </c>
      <c r="U197" s="51" t="str">
        <f>IF(tblWorkPackages[[#This Row],[Calibrated forecast hours]]="","",ABS(tblWorkPackages[[#This Row],[Actual labor hours]]-tblWorkPackages[[#This Row],[Calibrated forecast hours]]))</f>
        <v/>
      </c>
      <c r="V197" s="51">
        <f>IF(tblWorkPackages[[#This Row],[Time split]]="Train 2024",tblWorkPackages[[#This Row],[Estimated labor hours]],tblWorkPackages[[#This Row],[Calibrated forecast hours]])</f>
        <v>7.6</v>
      </c>
      <c r="W197" s="64">
        <f>DATEVALUE(tblWorkPackages[[#This Row],[Request date]])</f>
        <v>45550.0</v>
      </c>
      <c r="X197" s="64">
        <f>DATEVALUE(tblWorkPackages[[#This Row],[Due date]])</f>
        <v>45563.0</v>
      </c>
      <c r="Y197" s="64">
        <f>DATEVALUE(tblWorkPackages[[#This Row],[Completion date]])</f>
        <v>45557.0</v>
      </c>
      <c r="Z197" s="64">
        <f>_xlfn.MINIFS(tblLaborEntries[Work date serial],tblLaborEntries[Work package ID],tblWorkPackages[[#This Row],[Work package ID]])</f>
        <v>45552.0</v>
      </c>
      <c r="AA197" s="64">
        <f>_xlfn.MAXIFS(tblLaborEntries[Work date serial],tblLaborEntries[Work package ID],tblWorkPackages[[#This Row],[Work package ID]])</f>
        <v>45554.0</v>
      </c>
      <c r="AB197" s="65">
        <f>IF(tblWorkPackages[[#This Row],[Completion date serial]]&gt;tblWorkPackages[[#This Row],[Due date serial]],1,0)</f>
        <v>0</v>
      </c>
      <c r="AC197" s="65">
        <f>MAX(0,tblWorkPackages[[#This Row],[Completion date serial]]-tblWorkPackages[[#This Row],[Due date serial]])</f>
        <v>0</v>
      </c>
      <c r="AD197" s="65">
        <f>tblWorkPackages[[#This Row],[First labor date]]-tblWorkPackages[[#This Row],[Request date serial]]</f>
        <v>2</v>
      </c>
      <c r="AE197" s="65">
        <f>tblWorkPackages[[#This Row],[Last labor date]]-tblWorkPackages[[#This Row],[First labor date]]</f>
        <v>2</v>
      </c>
      <c r="AF197" s="65">
        <f>tblWorkPackages[[#This Row],[Completion date serial]]-tblWorkPackages[[#This Row],[Last labor date]]</f>
        <v>3</v>
      </c>
      <c r="AG197" s="65">
        <f>tblWorkPackages[[#This Row],[Completion date serial]]-tblWorkPackages[[#This Row],[Request date serial]]</f>
        <v>7</v>
      </c>
      <c r="AH197" s="65">
        <f>IFERROR(INDEX(tblParts[Delay days],MATCH(tblWorkPackages[[#This Row],[Work package ID]],tblParts[Work package ID],0)),0)</f>
        <v>0</v>
      </c>
      <c r="AI197" s="51" t="str">
        <f>IFERROR(INDEX(tblDisruptions[Event type],MATCH(tblWorkPackages[[#This Row],[Work package ID]],tblDisruptions[Work package ID],0)),"None")</f>
        <v>None</v>
      </c>
      <c r="AJ197" s="51" t="str">
        <f>TEXT(tblWorkPackages[[#This Row],[Due date serial]],"yyyy-mm")</f>
        <v>2024-09</v>
      </c>
    </row>
    <row r="198" spans="1:36" ht="15" x14ac:dyDescent="0.25">
      <c r="A198" s="53" t="s">
        <v>758</v>
      </c>
      <c r="B198" s="53" t="s">
        <v>133</v>
      </c>
      <c r="C198" s="53" t="s">
        <v>700</v>
      </c>
      <c r="D198" s="53" t="s">
        <v>443</v>
      </c>
      <c r="E198" s="53" t="s">
        <v>272</v>
      </c>
      <c r="F198" s="53" t="s">
        <v>145</v>
      </c>
      <c r="G198" s="53" t="s">
        <v>273</v>
      </c>
      <c r="H198" s="53">
        <v>1</v>
      </c>
      <c r="I198" s="53" t="s">
        <v>147</v>
      </c>
      <c r="J198" s="53">
        <v>0</v>
      </c>
      <c r="K198" s="53">
        <v>0</v>
      </c>
      <c r="L198" s="53">
        <v>7.6</v>
      </c>
      <c r="M198" s="53" t="s">
        <v>759</v>
      </c>
      <c r="N198" s="53">
        <v>7.8</v>
      </c>
      <c r="O198" s="51" t="str">
        <f>TEXT(tblWorkPackages[[#This Row],[Request date serial]]-WEEKDAY(tblWorkPackages[[#This Row],[Request date serial]],3),"yyyy-mm-dd")</f>
        <v>2024-02-26</v>
      </c>
      <c r="P198" s="51">
        <f>ABS(tblWorkPackages[[#This Row],[Actual labor hours]]-tblWorkPackages[[#This Row],[Estimated labor hours]])</f>
        <v>0.2</v>
      </c>
      <c r="Q198" s="51">
        <f>IF(tblWorkPackages[[#This Row],[Actual labor hours]]&gt;tblWorkPackages[[#This Row],[Estimated labor hours]],1,0)</f>
        <v>1</v>
      </c>
      <c r="R198" s="51">
        <f>tblWorkPackages[[#This Row],[Actual labor hours]]-tblWorkPackages[[#This Row],[Estimated labor hours]]</f>
        <v>0.2</v>
      </c>
      <c r="S198" s="51" t="str">
        <f>IF(tblWorkPackages[[#This Row],[Request date serial]]&lt;ValidationStart,"Train 2024",IF(tblWorkPackages[[#This Row],[Request date serial]]&lt;HoldoutStart,"Validation H1","Holdout H2"))</f>
        <v>Train 2024</v>
      </c>
      <c r="T198" s="51" t="str">
        <f>IF(tblWorkPackages[[#This Row],[Time split]]="Train 2024","",tblWorkPackages[[#This Row],[Estimated labor hours]]+VLOOKUP(tblWorkPackages[[#This Row],[Task type]],'Forecast validation'!$A$14:$E$25,IF(tblWorkPackages[[#This Row],[Time split]]="Validation H1",4,5),FALSE()))</f>
        <v/>
      </c>
      <c r="U198" s="51" t="str">
        <f>IF(tblWorkPackages[[#This Row],[Calibrated forecast hours]]="","",ABS(tblWorkPackages[[#This Row],[Actual labor hours]]-tblWorkPackages[[#This Row],[Calibrated forecast hours]]))</f>
        <v/>
      </c>
      <c r="V198" s="51">
        <f>IF(tblWorkPackages[[#This Row],[Time split]]="Train 2024",tblWorkPackages[[#This Row],[Estimated labor hours]],tblWorkPackages[[#This Row],[Calibrated forecast hours]])</f>
        <v>7.6</v>
      </c>
      <c r="W198" s="64">
        <f>DATEVALUE(tblWorkPackages[[#This Row],[Request date]])</f>
        <v>45349.0</v>
      </c>
      <c r="X198" s="64">
        <f>DATEVALUE(tblWorkPackages[[#This Row],[Due date]])</f>
        <v>45351.0</v>
      </c>
      <c r="Y198" s="64">
        <f>DATEVALUE(tblWorkPackages[[#This Row],[Completion date]])</f>
        <v>45363.0</v>
      </c>
      <c r="Z198" s="64">
        <f>_xlfn.MINIFS(tblLaborEntries[Work date serial],tblLaborEntries[Work package ID],tblWorkPackages[[#This Row],[Work package ID]])</f>
        <v>45363.0</v>
      </c>
      <c r="AA198" s="64">
        <f>_xlfn.MAXIFS(tblLaborEntries[Work date serial],tblLaborEntries[Work package ID],tblWorkPackages[[#This Row],[Work package ID]])</f>
        <v>45363.0</v>
      </c>
      <c r="AB198" s="65">
        <f>IF(tblWorkPackages[[#This Row],[Completion date serial]]&gt;tblWorkPackages[[#This Row],[Due date serial]],1,0)</f>
        <v>1</v>
      </c>
      <c r="AC198" s="65">
        <f>MAX(0,tblWorkPackages[[#This Row],[Completion date serial]]-tblWorkPackages[[#This Row],[Due date serial]])</f>
        <v>12</v>
      </c>
      <c r="AD198" s="65">
        <f>tblWorkPackages[[#This Row],[First labor date]]-tblWorkPackages[[#This Row],[Request date serial]]</f>
        <v>14</v>
      </c>
      <c r="AE198" s="65">
        <f>tblWorkPackages[[#This Row],[Last labor date]]-tblWorkPackages[[#This Row],[First labor date]]</f>
        <v>0</v>
      </c>
      <c r="AF198" s="65">
        <f>tblWorkPackages[[#This Row],[Completion date serial]]-tblWorkPackages[[#This Row],[Last labor date]]</f>
        <v>0</v>
      </c>
      <c r="AG198" s="65">
        <f>tblWorkPackages[[#This Row],[Completion date serial]]-tblWorkPackages[[#This Row],[Request date serial]]</f>
        <v>14</v>
      </c>
      <c r="AH198" s="65">
        <f>IFERROR(INDEX(tblParts[Delay days],MATCH(tblWorkPackages[[#This Row],[Work package ID]],tblParts[Work package ID],0)),0)</f>
        <v>0</v>
      </c>
      <c r="AI198" s="51" t="str">
        <f>IFERROR(INDEX(tblDisruptions[Event type],MATCH(tblWorkPackages[[#This Row],[Work package ID]],tblDisruptions[Work package ID],0)),"None")</f>
        <v>None</v>
      </c>
      <c r="AJ198" s="51" t="str">
        <f>TEXT(tblWorkPackages[[#This Row],[Due date serial]],"yyyy-mm")</f>
        <v>2024-02</v>
      </c>
    </row>
    <row r="199" spans="1:36" ht="15" x14ac:dyDescent="0.25">
      <c r="A199" s="53" t="s">
        <v>760</v>
      </c>
      <c r="B199" s="53" t="s">
        <v>250</v>
      </c>
      <c r="C199" s="53" t="s">
        <v>563</v>
      </c>
      <c r="D199" s="53" t="s">
        <v>761</v>
      </c>
      <c r="E199" s="53" t="s">
        <v>209</v>
      </c>
      <c r="F199" s="53" t="s">
        <v>145</v>
      </c>
      <c r="G199" s="53" t="s">
        <v>210</v>
      </c>
      <c r="H199" s="53">
        <v>1</v>
      </c>
      <c r="I199" s="53" t="s">
        <v>130</v>
      </c>
      <c r="J199" s="53">
        <v>0</v>
      </c>
      <c r="K199" s="53">
        <v>0</v>
      </c>
      <c r="L199" s="53">
        <v>14.5</v>
      </c>
      <c r="M199" s="53" t="s">
        <v>762</v>
      </c>
      <c r="N199" s="53">
        <v>16.100000000000001</v>
      </c>
      <c r="O199" s="51" t="str">
        <f>TEXT(tblWorkPackages[[#This Row],[Request date serial]]-WEEKDAY(tblWorkPackages[[#This Row],[Request date serial]],3),"yyyy-mm-dd")</f>
        <v>2024-06-03</v>
      </c>
      <c r="P199" s="51">
        <f>ABS(tblWorkPackages[[#This Row],[Actual labor hours]]-tblWorkPackages[[#This Row],[Estimated labor hours]])</f>
        <v>1.6</v>
      </c>
      <c r="Q199" s="51">
        <f>IF(tblWorkPackages[[#This Row],[Actual labor hours]]&gt;tblWorkPackages[[#This Row],[Estimated labor hours]],1,0)</f>
        <v>1</v>
      </c>
      <c r="R199" s="51">
        <f>tblWorkPackages[[#This Row],[Actual labor hours]]-tblWorkPackages[[#This Row],[Estimated labor hours]]</f>
        <v>1.6</v>
      </c>
      <c r="S199" s="51" t="str">
        <f>IF(tblWorkPackages[[#This Row],[Request date serial]]&lt;ValidationStart,"Train 2024",IF(tblWorkPackages[[#This Row],[Request date serial]]&lt;HoldoutStart,"Validation H1","Holdout H2"))</f>
        <v>Train 2024</v>
      </c>
      <c r="T199" s="51" t="str">
        <f>IF(tblWorkPackages[[#This Row],[Time split]]="Train 2024","",tblWorkPackages[[#This Row],[Estimated labor hours]]+VLOOKUP(tblWorkPackages[[#This Row],[Task type]],'Forecast validation'!$A$14:$E$25,IF(tblWorkPackages[[#This Row],[Time split]]="Validation H1",4,5),FALSE()))</f>
        <v/>
      </c>
      <c r="U199" s="51" t="str">
        <f>IF(tblWorkPackages[[#This Row],[Calibrated forecast hours]]="","",ABS(tblWorkPackages[[#This Row],[Actual labor hours]]-tblWorkPackages[[#This Row],[Calibrated forecast hours]]))</f>
        <v/>
      </c>
      <c r="V199" s="51">
        <f>IF(tblWorkPackages[[#This Row],[Time split]]="Train 2024",tblWorkPackages[[#This Row],[Estimated labor hours]],tblWorkPackages[[#This Row],[Calibrated forecast hours]])</f>
        <v>14.5</v>
      </c>
      <c r="W199" s="64">
        <f>DATEVALUE(tblWorkPackages[[#This Row],[Request date]])</f>
        <v>45447.0</v>
      </c>
      <c r="X199" s="64">
        <f>DATEVALUE(tblWorkPackages[[#This Row],[Due date]])</f>
        <v>45460.0</v>
      </c>
      <c r="Y199" s="64">
        <f>DATEVALUE(tblWorkPackages[[#This Row],[Completion date]])</f>
        <v>45452.0</v>
      </c>
      <c r="Z199" s="64">
        <f>_xlfn.MINIFS(tblLaborEntries[Work date serial],tblLaborEntries[Work package ID],tblWorkPackages[[#This Row],[Work package ID]])</f>
        <v>45450.0</v>
      </c>
      <c r="AA199" s="64">
        <f>_xlfn.MAXIFS(tblLaborEntries[Work date serial],tblLaborEntries[Work package ID],tblWorkPackages[[#This Row],[Work package ID]])</f>
        <v>45451.0</v>
      </c>
      <c r="AB199" s="65">
        <f>IF(tblWorkPackages[[#This Row],[Completion date serial]]&gt;tblWorkPackages[[#This Row],[Due date serial]],1,0)</f>
        <v>0</v>
      </c>
      <c r="AC199" s="65">
        <f>MAX(0,tblWorkPackages[[#This Row],[Completion date serial]]-tblWorkPackages[[#This Row],[Due date serial]])</f>
        <v>0</v>
      </c>
      <c r="AD199" s="65">
        <f>tblWorkPackages[[#This Row],[First labor date]]-tblWorkPackages[[#This Row],[Request date serial]]</f>
        <v>3</v>
      </c>
      <c r="AE199" s="65">
        <f>tblWorkPackages[[#This Row],[Last labor date]]-tblWorkPackages[[#This Row],[First labor date]]</f>
        <v>1</v>
      </c>
      <c r="AF199" s="65">
        <f>tblWorkPackages[[#This Row],[Completion date serial]]-tblWorkPackages[[#This Row],[Last labor date]]</f>
        <v>1</v>
      </c>
      <c r="AG199" s="65">
        <f>tblWorkPackages[[#This Row],[Completion date serial]]-tblWorkPackages[[#This Row],[Request date serial]]</f>
        <v>5</v>
      </c>
      <c r="AH199" s="65">
        <f>IFERROR(INDEX(tblParts[Delay days],MATCH(tblWorkPackages[[#This Row],[Work package ID]],tblParts[Work package ID],0)),0)</f>
        <v>0</v>
      </c>
      <c r="AI199" s="51" t="str">
        <f>IFERROR(INDEX(tblDisruptions[Event type],MATCH(tblWorkPackages[[#This Row],[Work package ID]],tblDisruptions[Work package ID],0)),"None")</f>
        <v>None</v>
      </c>
      <c r="AJ199" s="51" t="str">
        <f>TEXT(tblWorkPackages[[#This Row],[Due date serial]],"yyyy-mm")</f>
        <v>2024-06</v>
      </c>
    </row>
    <row r="200" spans="1:36" ht="15" x14ac:dyDescent="0.25">
      <c r="A200" s="53" t="s">
        <v>763</v>
      </c>
      <c r="B200" s="53" t="s">
        <v>235</v>
      </c>
      <c r="C200" s="53" t="s">
        <v>764</v>
      </c>
      <c r="D200" s="53" t="s">
        <v>765</v>
      </c>
      <c r="E200" s="53" t="s">
        <v>181</v>
      </c>
      <c r="F200" s="53" t="s">
        <v>182</v>
      </c>
      <c r="G200" s="53" t="s">
        <v>138</v>
      </c>
      <c r="H200" s="53">
        <v>4</v>
      </c>
      <c r="I200" s="53" t="s">
        <v>130</v>
      </c>
      <c r="J200" s="53">
        <v>0</v>
      </c>
      <c r="K200" s="53">
        <v>0</v>
      </c>
      <c r="L200" s="53">
        <v>13</v>
      </c>
      <c r="M200" s="53" t="s">
        <v>766</v>
      </c>
      <c r="N200" s="53">
        <v>14</v>
      </c>
      <c r="O200" s="51" t="str">
        <f>TEXT(tblWorkPackages[[#This Row],[Request date serial]]-WEEKDAY(tblWorkPackages[[#This Row],[Request date serial]],3),"yyyy-mm-dd")</f>
        <v>2025-12-15</v>
      </c>
      <c r="P200" s="51">
        <f>ABS(tblWorkPackages[[#This Row],[Actual labor hours]]-tblWorkPackages[[#This Row],[Estimated labor hours]])</f>
        <v>1</v>
      </c>
      <c r="Q200" s="51">
        <f>IF(tblWorkPackages[[#This Row],[Actual labor hours]]&gt;tblWorkPackages[[#This Row],[Estimated labor hours]],1,0)</f>
        <v>1</v>
      </c>
      <c r="R200" s="51">
        <f>tblWorkPackages[[#This Row],[Actual labor hours]]-tblWorkPackages[[#This Row],[Estimated labor hours]]</f>
        <v>1</v>
      </c>
      <c r="S200" s="51" t="str">
        <f>IF(tblWorkPackages[[#This Row],[Request date serial]]&lt;ValidationStart,"Train 2024",IF(tblWorkPackages[[#This Row],[Request date serial]]&lt;HoldoutStart,"Validation H1","Holdout H2"))</f>
        <v>Holdout H2</v>
      </c>
      <c r="T200" s="51">
        <f>IF(tblWorkPackages[[#This Row],[Time split]]="Train 2024","",tblWorkPackages[[#This Row],[Estimated labor hours]]+VLOOKUP(tblWorkPackages[[#This Row],[Task type]],'Forecast validation'!$A$14:$E$25,IF(tblWorkPackages[[#This Row],[Time split]]="Validation H1",4,5),FALSE()))</f>
        <v>13.5916083916084</v>
      </c>
      <c r="U200" s="51">
        <f>IF(tblWorkPackages[[#This Row],[Calibrated forecast hours]]="","",ABS(tblWorkPackages[[#This Row],[Actual labor hours]]-tblWorkPackages[[#This Row],[Calibrated forecast hours]]))</f>
        <v>0.408391608391609</v>
      </c>
      <c r="V200" s="51">
        <f>IF(tblWorkPackages[[#This Row],[Time split]]="Train 2024",tblWorkPackages[[#This Row],[Estimated labor hours]],tblWorkPackages[[#This Row],[Calibrated forecast hours]])</f>
        <v>13.5916083916084</v>
      </c>
      <c r="W200" s="64">
        <f>DATEVALUE(tblWorkPackages[[#This Row],[Request date]])</f>
        <v>46007.0</v>
      </c>
      <c r="X200" s="64">
        <f>DATEVALUE(tblWorkPackages[[#This Row],[Due date]])</f>
        <v>46020.0</v>
      </c>
      <c r="Y200" s="64">
        <f>DATEVALUE(tblWorkPackages[[#This Row],[Completion date]])</f>
        <v>46066.0</v>
      </c>
      <c r="Z200" s="64">
        <f>_xlfn.MINIFS(tblLaborEntries[Work date serial],tblLaborEntries[Work package ID],tblWorkPackages[[#This Row],[Work package ID]])</f>
        <v>46063.0</v>
      </c>
      <c r="AA200" s="64">
        <f>_xlfn.MAXIFS(tblLaborEntries[Work date serial],tblLaborEntries[Work package ID],tblWorkPackages[[#This Row],[Work package ID]])</f>
        <v>46064.0</v>
      </c>
      <c r="AB200" s="65">
        <f>IF(tblWorkPackages[[#This Row],[Completion date serial]]&gt;tblWorkPackages[[#This Row],[Due date serial]],1,0)</f>
        <v>1</v>
      </c>
      <c r="AC200" s="65">
        <f>MAX(0,tblWorkPackages[[#This Row],[Completion date serial]]-tblWorkPackages[[#This Row],[Due date serial]])</f>
        <v>46</v>
      </c>
      <c r="AD200" s="65">
        <f>tblWorkPackages[[#This Row],[First labor date]]-tblWorkPackages[[#This Row],[Request date serial]]</f>
        <v>56</v>
      </c>
      <c r="AE200" s="65">
        <f>tblWorkPackages[[#This Row],[Last labor date]]-tblWorkPackages[[#This Row],[First labor date]]</f>
        <v>1</v>
      </c>
      <c r="AF200" s="65">
        <f>tblWorkPackages[[#This Row],[Completion date serial]]-tblWorkPackages[[#This Row],[Last labor date]]</f>
        <v>2</v>
      </c>
      <c r="AG200" s="65">
        <f>tblWorkPackages[[#This Row],[Completion date serial]]-tblWorkPackages[[#This Row],[Request date serial]]</f>
        <v>59</v>
      </c>
      <c r="AH200" s="65">
        <f>IFERROR(INDEX(tblParts[Delay days],MATCH(tblWorkPackages[[#This Row],[Work package ID]],tblParts[Work package ID],0)),0)</f>
        <v>0</v>
      </c>
      <c r="AI200" s="51" t="str">
        <f>IFERROR(INDEX(tblDisruptions[Event type],MATCH(tblWorkPackages[[#This Row],[Work package ID]],tblDisruptions[Work package ID],0)),"None")</f>
        <v>None</v>
      </c>
      <c r="AJ200" s="51" t="str">
        <f>TEXT(tblWorkPackages[[#This Row],[Due date serial]],"yyyy-mm")</f>
        <v>2025-12</v>
      </c>
    </row>
    <row r="201" spans="1:36" ht="15" x14ac:dyDescent="0.25">
      <c r="A201" s="53" t="s">
        <v>767</v>
      </c>
      <c r="B201" s="53" t="s">
        <v>168</v>
      </c>
      <c r="C201" s="53" t="s">
        <v>753</v>
      </c>
      <c r="D201" s="53" t="s">
        <v>645</v>
      </c>
      <c r="E201" s="53" t="s">
        <v>160</v>
      </c>
      <c r="F201" s="53" t="s">
        <v>128</v>
      </c>
      <c r="G201" s="53" t="s">
        <v>138</v>
      </c>
      <c r="H201" s="53">
        <v>3</v>
      </c>
      <c r="I201" s="53" t="s">
        <v>130</v>
      </c>
      <c r="J201" s="53">
        <v>0</v>
      </c>
      <c r="K201" s="53">
        <v>0</v>
      </c>
      <c r="L201" s="53">
        <v>5.7</v>
      </c>
      <c r="M201" s="53" t="s">
        <v>768</v>
      </c>
      <c r="N201" s="53">
        <v>6.7</v>
      </c>
      <c r="O201" s="51" t="str">
        <f>TEXT(tblWorkPackages[[#This Row],[Request date serial]]-WEEKDAY(tblWorkPackages[[#This Row],[Request date serial]],3),"yyyy-mm-dd")</f>
        <v>2025-11-24</v>
      </c>
      <c r="P201" s="51">
        <f>ABS(tblWorkPackages[[#This Row],[Actual labor hours]]-tblWorkPackages[[#This Row],[Estimated labor hours]])</f>
        <v>1</v>
      </c>
      <c r="Q201" s="51">
        <f>IF(tblWorkPackages[[#This Row],[Actual labor hours]]&gt;tblWorkPackages[[#This Row],[Estimated labor hours]],1,0)</f>
        <v>1</v>
      </c>
      <c r="R201" s="51">
        <f>tblWorkPackages[[#This Row],[Actual labor hours]]-tblWorkPackages[[#This Row],[Estimated labor hours]]</f>
        <v>1</v>
      </c>
      <c r="S201" s="51" t="str">
        <f>IF(tblWorkPackages[[#This Row],[Request date serial]]&lt;ValidationStart,"Train 2024",IF(tblWorkPackages[[#This Row],[Request date serial]]&lt;HoldoutStart,"Validation H1","Holdout H2"))</f>
        <v>Holdout H2</v>
      </c>
      <c r="T201" s="51">
        <f>IF(tblWorkPackages[[#This Row],[Time split]]="Train 2024","",tblWorkPackages[[#This Row],[Estimated labor hours]]+VLOOKUP(tblWorkPackages[[#This Row],[Task type]],'Forecast validation'!$A$14:$E$25,IF(tblWorkPackages[[#This Row],[Time split]]="Validation H1",4,5),FALSE()))</f>
        <v>6.13739837398374</v>
      </c>
      <c r="U201" s="51">
        <f>IF(tblWorkPackages[[#This Row],[Calibrated forecast hours]]="","",ABS(tblWorkPackages[[#This Row],[Actual labor hours]]-tblWorkPackages[[#This Row],[Calibrated forecast hours]]))</f>
        <v>0.56260162601626</v>
      </c>
      <c r="V201" s="51">
        <f>IF(tblWorkPackages[[#This Row],[Time split]]="Train 2024",tblWorkPackages[[#This Row],[Estimated labor hours]],tblWorkPackages[[#This Row],[Calibrated forecast hours]])</f>
        <v>6.13739837398374</v>
      </c>
      <c r="W201" s="64">
        <f>DATEVALUE(tblWorkPackages[[#This Row],[Request date]])</f>
        <v>45989.0</v>
      </c>
      <c r="X201" s="64">
        <f>DATEVALUE(tblWorkPackages[[#This Row],[Due date]])</f>
        <v>46002.0</v>
      </c>
      <c r="Y201" s="64">
        <f>DATEVALUE(tblWorkPackages[[#This Row],[Completion date]])</f>
        <v>46001.0</v>
      </c>
      <c r="Z201" s="64">
        <f>_xlfn.MINIFS(tblLaborEntries[Work date serial],tblLaborEntries[Work package ID],tblWorkPackages[[#This Row],[Work package ID]])</f>
        <v>45997.0</v>
      </c>
      <c r="AA201" s="64">
        <f>_xlfn.MAXIFS(tblLaborEntries[Work date serial],tblLaborEntries[Work package ID],tblWorkPackages[[#This Row],[Work package ID]])</f>
        <v>45998.0</v>
      </c>
      <c r="AB201" s="65">
        <f>IF(tblWorkPackages[[#This Row],[Completion date serial]]&gt;tblWorkPackages[[#This Row],[Due date serial]],1,0)</f>
        <v>0</v>
      </c>
      <c r="AC201" s="65">
        <f>MAX(0,tblWorkPackages[[#This Row],[Completion date serial]]-tblWorkPackages[[#This Row],[Due date serial]])</f>
        <v>0</v>
      </c>
      <c r="AD201" s="65">
        <f>tblWorkPackages[[#This Row],[First labor date]]-tblWorkPackages[[#This Row],[Request date serial]]</f>
        <v>8</v>
      </c>
      <c r="AE201" s="65">
        <f>tblWorkPackages[[#This Row],[Last labor date]]-tblWorkPackages[[#This Row],[First labor date]]</f>
        <v>1</v>
      </c>
      <c r="AF201" s="65">
        <f>tblWorkPackages[[#This Row],[Completion date serial]]-tblWorkPackages[[#This Row],[Last labor date]]</f>
        <v>3</v>
      </c>
      <c r="AG201" s="65">
        <f>tblWorkPackages[[#This Row],[Completion date serial]]-tblWorkPackages[[#This Row],[Request date serial]]</f>
        <v>12</v>
      </c>
      <c r="AH201" s="65">
        <f>IFERROR(INDEX(tblParts[Delay days],MATCH(tblWorkPackages[[#This Row],[Work package ID]],tblParts[Work package ID],0)),0)</f>
        <v>0</v>
      </c>
      <c r="AI201" s="51" t="str">
        <f>IFERROR(INDEX(tblDisruptions[Event type],MATCH(tblWorkPackages[[#This Row],[Work package ID]],tblDisruptions[Work package ID],0)),"None")</f>
        <v>None</v>
      </c>
      <c r="AJ201" s="51" t="str">
        <f>TEXT(tblWorkPackages[[#This Row],[Due date serial]],"yyyy-mm")</f>
        <v>2025-12</v>
      </c>
    </row>
    <row r="202" spans="1:36" ht="15" x14ac:dyDescent="0.25">
      <c r="A202" s="53" t="s">
        <v>769</v>
      </c>
      <c r="B202" s="53" t="s">
        <v>157</v>
      </c>
      <c r="C202" s="53" t="s">
        <v>770</v>
      </c>
      <c r="D202" s="53" t="s">
        <v>771</v>
      </c>
      <c r="E202" s="53" t="s">
        <v>272</v>
      </c>
      <c r="F202" s="53" t="s">
        <v>145</v>
      </c>
      <c r="G202" s="53" t="s">
        <v>273</v>
      </c>
      <c r="H202" s="53">
        <v>1</v>
      </c>
      <c r="I202" s="53" t="s">
        <v>130</v>
      </c>
      <c r="J202" s="53">
        <v>0</v>
      </c>
      <c r="K202" s="53">
        <v>0</v>
      </c>
      <c r="L202" s="53">
        <v>6.2</v>
      </c>
      <c r="M202" s="53" t="s">
        <v>402</v>
      </c>
      <c r="N202" s="53">
        <v>7</v>
      </c>
      <c r="O202" s="51" t="str">
        <f>TEXT(tblWorkPackages[[#This Row],[Request date serial]]-WEEKDAY(tblWorkPackages[[#This Row],[Request date serial]],3),"yyyy-mm-dd")</f>
        <v>2024-09-23</v>
      </c>
      <c r="P202" s="51">
        <f>ABS(tblWorkPackages[[#This Row],[Actual labor hours]]-tblWorkPackages[[#This Row],[Estimated labor hours]])</f>
        <v>0.8</v>
      </c>
      <c r="Q202" s="51">
        <f>IF(tblWorkPackages[[#This Row],[Actual labor hours]]&gt;tblWorkPackages[[#This Row],[Estimated labor hours]],1,0)</f>
        <v>1</v>
      </c>
      <c r="R202" s="51">
        <f>tblWorkPackages[[#This Row],[Actual labor hours]]-tblWorkPackages[[#This Row],[Estimated labor hours]]</f>
        <v>0.8</v>
      </c>
      <c r="S202" s="51" t="str">
        <f>IF(tblWorkPackages[[#This Row],[Request date serial]]&lt;ValidationStart,"Train 2024",IF(tblWorkPackages[[#This Row],[Request date serial]]&lt;HoldoutStart,"Validation H1","Holdout H2"))</f>
        <v>Train 2024</v>
      </c>
      <c r="T202" s="51" t="str">
        <f>IF(tblWorkPackages[[#This Row],[Time split]]="Train 2024","",tblWorkPackages[[#This Row],[Estimated labor hours]]+VLOOKUP(tblWorkPackages[[#This Row],[Task type]],'Forecast validation'!$A$14:$E$25,IF(tblWorkPackages[[#This Row],[Time split]]="Validation H1",4,5),FALSE()))</f>
        <v/>
      </c>
      <c r="U202" s="51" t="str">
        <f>IF(tblWorkPackages[[#This Row],[Calibrated forecast hours]]="","",ABS(tblWorkPackages[[#This Row],[Actual labor hours]]-tblWorkPackages[[#This Row],[Calibrated forecast hours]]))</f>
        <v/>
      </c>
      <c r="V202" s="51">
        <f>IF(tblWorkPackages[[#This Row],[Time split]]="Train 2024",tblWorkPackages[[#This Row],[Estimated labor hours]],tblWorkPackages[[#This Row],[Calibrated forecast hours]])</f>
        <v>6.2</v>
      </c>
      <c r="W202" s="64">
        <f>DATEVALUE(tblWorkPackages[[#This Row],[Request date]])</f>
        <v>45558.0</v>
      </c>
      <c r="X202" s="64">
        <f>DATEVALUE(tblWorkPackages[[#This Row],[Due date]])</f>
        <v>45571.0</v>
      </c>
      <c r="Y202" s="64">
        <f>DATEVALUE(tblWorkPackages[[#This Row],[Completion date]])</f>
        <v>45561.0</v>
      </c>
      <c r="Z202" s="64">
        <f>_xlfn.MINIFS(tblLaborEntries[Work date serial],tblLaborEntries[Work package ID],tblWorkPackages[[#This Row],[Work package ID]])</f>
        <v>45560.0</v>
      </c>
      <c r="AA202" s="64">
        <f>_xlfn.MAXIFS(tblLaborEntries[Work date serial],tblLaborEntries[Work package ID],tblWorkPackages[[#This Row],[Work package ID]])</f>
        <v>45561.0</v>
      </c>
      <c r="AB202" s="65">
        <f>IF(tblWorkPackages[[#This Row],[Completion date serial]]&gt;tblWorkPackages[[#This Row],[Due date serial]],1,0)</f>
        <v>0</v>
      </c>
      <c r="AC202" s="65">
        <f>MAX(0,tblWorkPackages[[#This Row],[Completion date serial]]-tblWorkPackages[[#This Row],[Due date serial]])</f>
        <v>0</v>
      </c>
      <c r="AD202" s="65">
        <f>tblWorkPackages[[#This Row],[First labor date]]-tblWorkPackages[[#This Row],[Request date serial]]</f>
        <v>2</v>
      </c>
      <c r="AE202" s="65">
        <f>tblWorkPackages[[#This Row],[Last labor date]]-tblWorkPackages[[#This Row],[First labor date]]</f>
        <v>1</v>
      </c>
      <c r="AF202" s="65">
        <f>tblWorkPackages[[#This Row],[Completion date serial]]-tblWorkPackages[[#This Row],[Last labor date]]</f>
        <v>0</v>
      </c>
      <c r="AG202" s="65">
        <f>tblWorkPackages[[#This Row],[Completion date serial]]-tblWorkPackages[[#This Row],[Request date serial]]</f>
        <v>3</v>
      </c>
      <c r="AH202" s="65">
        <f>IFERROR(INDEX(tblParts[Delay days],MATCH(tblWorkPackages[[#This Row],[Work package ID]],tblParts[Work package ID],0)),0)</f>
        <v>0</v>
      </c>
      <c r="AI202" s="51" t="str">
        <f>IFERROR(INDEX(tblDisruptions[Event type],MATCH(tblWorkPackages[[#This Row],[Work package ID]],tblDisruptions[Work package ID],0)),"None")</f>
        <v>None</v>
      </c>
      <c r="AJ202" s="51" t="str">
        <f>TEXT(tblWorkPackages[[#This Row],[Due date serial]],"yyyy-mm")</f>
        <v>2024-10</v>
      </c>
    </row>
    <row r="203" spans="1:36" ht="15" x14ac:dyDescent="0.25">
      <c r="A203" s="53" t="s">
        <v>772</v>
      </c>
      <c r="B203" s="53" t="s">
        <v>230</v>
      </c>
      <c r="C203" s="53" t="s">
        <v>773</v>
      </c>
      <c r="D203" s="53" t="s">
        <v>655</v>
      </c>
      <c r="E203" s="53" t="s">
        <v>272</v>
      </c>
      <c r="F203" s="53" t="s">
        <v>145</v>
      </c>
      <c r="G203" s="53" t="s">
        <v>273</v>
      </c>
      <c r="H203" s="53">
        <v>2</v>
      </c>
      <c r="I203" s="53" t="s">
        <v>130</v>
      </c>
      <c r="J203" s="53">
        <v>0</v>
      </c>
      <c r="K203" s="53">
        <v>1</v>
      </c>
      <c r="L203" s="53">
        <v>13.3</v>
      </c>
      <c r="M203" s="53" t="s">
        <v>774</v>
      </c>
      <c r="N203" s="53">
        <v>13.6</v>
      </c>
      <c r="O203" s="51" t="str">
        <f>TEXT(tblWorkPackages[[#This Row],[Request date serial]]-WEEKDAY(tblWorkPackages[[#This Row],[Request date serial]],3),"yyyy-mm-dd")</f>
        <v>2024-03-04</v>
      </c>
      <c r="P203" s="51">
        <f>ABS(tblWorkPackages[[#This Row],[Actual labor hours]]-tblWorkPackages[[#This Row],[Estimated labor hours]])</f>
        <v>0.299999999999999</v>
      </c>
      <c r="Q203" s="51">
        <f>IF(tblWorkPackages[[#This Row],[Actual labor hours]]&gt;tblWorkPackages[[#This Row],[Estimated labor hours]],1,0)</f>
        <v>1</v>
      </c>
      <c r="R203" s="51">
        <f>tblWorkPackages[[#This Row],[Actual labor hours]]-tblWorkPackages[[#This Row],[Estimated labor hours]]</f>
        <v>0.299999999999999</v>
      </c>
      <c r="S203" s="51" t="str">
        <f>IF(tblWorkPackages[[#This Row],[Request date serial]]&lt;ValidationStart,"Train 2024",IF(tblWorkPackages[[#This Row],[Request date serial]]&lt;HoldoutStart,"Validation H1","Holdout H2"))</f>
        <v>Train 2024</v>
      </c>
      <c r="T203" s="51" t="str">
        <f>IF(tblWorkPackages[[#This Row],[Time split]]="Train 2024","",tblWorkPackages[[#This Row],[Estimated labor hours]]+VLOOKUP(tblWorkPackages[[#This Row],[Task type]],'Forecast validation'!$A$14:$E$25,IF(tblWorkPackages[[#This Row],[Time split]]="Validation H1",4,5),FALSE()))</f>
        <v/>
      </c>
      <c r="U203" s="51" t="str">
        <f>IF(tblWorkPackages[[#This Row],[Calibrated forecast hours]]="","",ABS(tblWorkPackages[[#This Row],[Actual labor hours]]-tblWorkPackages[[#This Row],[Calibrated forecast hours]]))</f>
        <v/>
      </c>
      <c r="V203" s="51">
        <f>IF(tblWorkPackages[[#This Row],[Time split]]="Train 2024",tblWorkPackages[[#This Row],[Estimated labor hours]],tblWorkPackages[[#This Row],[Calibrated forecast hours]])</f>
        <v>13.3</v>
      </c>
      <c r="W203" s="64">
        <f>DATEVALUE(tblWorkPackages[[#This Row],[Request date]])</f>
        <v>45356.0</v>
      </c>
      <c r="X203" s="64">
        <f>DATEVALUE(tblWorkPackages[[#This Row],[Due date]])</f>
        <v>45369.0</v>
      </c>
      <c r="Y203" s="64">
        <f>DATEVALUE(tblWorkPackages[[#This Row],[Completion date]])</f>
        <v>45381.0</v>
      </c>
      <c r="Z203" s="64">
        <f>_xlfn.MINIFS(tblLaborEntries[Work date serial],tblLaborEntries[Work package ID],tblWorkPackages[[#This Row],[Work package ID]])</f>
        <v>45378.0</v>
      </c>
      <c r="AA203" s="64">
        <f>_xlfn.MAXIFS(tblLaborEntries[Work date serial],tblLaborEntries[Work package ID],tblWorkPackages[[#This Row],[Work package ID]])</f>
        <v>45380.0</v>
      </c>
      <c r="AB203" s="65">
        <f>IF(tblWorkPackages[[#This Row],[Completion date serial]]&gt;tblWorkPackages[[#This Row],[Due date serial]],1,0)</f>
        <v>1</v>
      </c>
      <c r="AC203" s="65">
        <f>MAX(0,tblWorkPackages[[#This Row],[Completion date serial]]-tblWorkPackages[[#This Row],[Due date serial]])</f>
        <v>12</v>
      </c>
      <c r="AD203" s="65">
        <f>tblWorkPackages[[#This Row],[First labor date]]-tblWorkPackages[[#This Row],[Request date serial]]</f>
        <v>22</v>
      </c>
      <c r="AE203" s="65">
        <f>tblWorkPackages[[#This Row],[Last labor date]]-tblWorkPackages[[#This Row],[First labor date]]</f>
        <v>2</v>
      </c>
      <c r="AF203" s="65">
        <f>tblWorkPackages[[#This Row],[Completion date serial]]-tblWorkPackages[[#This Row],[Last labor date]]</f>
        <v>1</v>
      </c>
      <c r="AG203" s="65">
        <f>tblWorkPackages[[#This Row],[Completion date serial]]-tblWorkPackages[[#This Row],[Request date serial]]</f>
        <v>25</v>
      </c>
      <c r="AH203" s="65">
        <f>IFERROR(INDEX(tblParts[Delay days],MATCH(tblWorkPackages[[#This Row],[Work package ID]],tblParts[Work package ID],0)),0)</f>
        <v>0</v>
      </c>
      <c r="AI203" s="51" t="str">
        <f>IFERROR(INDEX(tblDisruptions[Event type],MATCH(tblWorkPackages[[#This Row],[Work package ID]],tblDisruptions[Work package ID],0)),"None")</f>
        <v>None</v>
      </c>
      <c r="AJ203" s="51" t="str">
        <f>TEXT(tblWorkPackages[[#This Row],[Due date serial]],"yyyy-mm")</f>
        <v>2024-03</v>
      </c>
    </row>
    <row r="204" spans="1:36" ht="15" x14ac:dyDescent="0.25">
      <c r="A204" s="53" t="s">
        <v>775</v>
      </c>
      <c r="B204" s="53" t="s">
        <v>287</v>
      </c>
      <c r="C204" s="53" t="s">
        <v>776</v>
      </c>
      <c r="D204" s="53" t="s">
        <v>513</v>
      </c>
      <c r="E204" s="53" t="s">
        <v>237</v>
      </c>
      <c r="F204" s="53" t="s">
        <v>182</v>
      </c>
      <c r="G204" s="53" t="s">
        <v>138</v>
      </c>
      <c r="H204" s="53">
        <v>4</v>
      </c>
      <c r="I204" s="53" t="s">
        <v>130</v>
      </c>
      <c r="J204" s="53">
        <v>0</v>
      </c>
      <c r="K204" s="53">
        <v>0</v>
      </c>
      <c r="L204" s="53">
        <v>9.3000000000000007</v>
      </c>
      <c r="M204" s="53" t="s">
        <v>268</v>
      </c>
      <c r="N204" s="53">
        <v>11.7</v>
      </c>
      <c r="O204" s="51" t="str">
        <f>TEXT(tblWorkPackages[[#This Row],[Request date serial]]-WEEKDAY(tblWorkPackages[[#This Row],[Request date serial]],3),"yyyy-mm-dd")</f>
        <v>2024-12-09</v>
      </c>
      <c r="P204" s="51">
        <f>ABS(tblWorkPackages[[#This Row],[Actual labor hours]]-tblWorkPackages[[#This Row],[Estimated labor hours]])</f>
        <v>2.4</v>
      </c>
      <c r="Q204" s="51">
        <f>IF(tblWorkPackages[[#This Row],[Actual labor hours]]&gt;tblWorkPackages[[#This Row],[Estimated labor hours]],1,0)</f>
        <v>1</v>
      </c>
      <c r="R204" s="51">
        <f>tblWorkPackages[[#This Row],[Actual labor hours]]-tblWorkPackages[[#This Row],[Estimated labor hours]]</f>
        <v>2.4</v>
      </c>
      <c r="S204" s="51" t="str">
        <f>IF(tblWorkPackages[[#This Row],[Request date serial]]&lt;ValidationStart,"Train 2024",IF(tblWorkPackages[[#This Row],[Request date serial]]&lt;HoldoutStart,"Validation H1","Holdout H2"))</f>
        <v>Train 2024</v>
      </c>
      <c r="T204" s="51" t="str">
        <f>IF(tblWorkPackages[[#This Row],[Time split]]="Train 2024","",tblWorkPackages[[#This Row],[Estimated labor hours]]+VLOOKUP(tblWorkPackages[[#This Row],[Task type]],'Forecast validation'!$A$14:$E$25,IF(tblWorkPackages[[#This Row],[Time split]]="Validation H1",4,5),FALSE()))</f>
        <v/>
      </c>
      <c r="U204" s="51" t="str">
        <f>IF(tblWorkPackages[[#This Row],[Calibrated forecast hours]]="","",ABS(tblWorkPackages[[#This Row],[Actual labor hours]]-tblWorkPackages[[#This Row],[Calibrated forecast hours]]))</f>
        <v/>
      </c>
      <c r="V204" s="51">
        <f>IF(tblWorkPackages[[#This Row],[Time split]]="Train 2024",tblWorkPackages[[#This Row],[Estimated labor hours]],tblWorkPackages[[#This Row],[Calibrated forecast hours]])</f>
        <v>9.3</v>
      </c>
      <c r="W204" s="64">
        <f>DATEVALUE(tblWorkPackages[[#This Row],[Request date]])</f>
        <v>45636.0</v>
      </c>
      <c r="X204" s="64">
        <f>DATEVALUE(tblWorkPackages[[#This Row],[Due date]])</f>
        <v>45649.0</v>
      </c>
      <c r="Y204" s="64">
        <f>DATEVALUE(tblWorkPackages[[#This Row],[Completion date]])</f>
        <v>45644.0</v>
      </c>
      <c r="Z204" s="64">
        <f>_xlfn.MINIFS(tblLaborEntries[Work date serial],tblLaborEntries[Work package ID],tblWorkPackages[[#This Row],[Work package ID]])</f>
        <v>45640.0</v>
      </c>
      <c r="AA204" s="64">
        <f>_xlfn.MAXIFS(tblLaborEntries[Work date serial],tblLaborEntries[Work package ID],tblWorkPackages[[#This Row],[Work package ID]])</f>
        <v>45642.0</v>
      </c>
      <c r="AB204" s="65">
        <f>IF(tblWorkPackages[[#This Row],[Completion date serial]]&gt;tblWorkPackages[[#This Row],[Due date serial]],1,0)</f>
        <v>0</v>
      </c>
      <c r="AC204" s="65">
        <f>MAX(0,tblWorkPackages[[#This Row],[Completion date serial]]-tblWorkPackages[[#This Row],[Due date serial]])</f>
        <v>0</v>
      </c>
      <c r="AD204" s="65">
        <f>tblWorkPackages[[#This Row],[First labor date]]-tblWorkPackages[[#This Row],[Request date serial]]</f>
        <v>4</v>
      </c>
      <c r="AE204" s="65">
        <f>tblWorkPackages[[#This Row],[Last labor date]]-tblWorkPackages[[#This Row],[First labor date]]</f>
        <v>2</v>
      </c>
      <c r="AF204" s="65">
        <f>tblWorkPackages[[#This Row],[Completion date serial]]-tblWorkPackages[[#This Row],[Last labor date]]</f>
        <v>2</v>
      </c>
      <c r="AG204" s="65">
        <f>tblWorkPackages[[#This Row],[Completion date serial]]-tblWorkPackages[[#This Row],[Request date serial]]</f>
        <v>8</v>
      </c>
      <c r="AH204" s="65">
        <f>IFERROR(INDEX(tblParts[Delay days],MATCH(tblWorkPackages[[#This Row],[Work package ID]],tblParts[Work package ID],0)),0)</f>
        <v>0</v>
      </c>
      <c r="AI204" s="51" t="str">
        <f>IFERROR(INDEX(tblDisruptions[Event type],MATCH(tblWorkPackages[[#This Row],[Work package ID]],tblDisruptions[Work package ID],0)),"None")</f>
        <v>None</v>
      </c>
      <c r="AJ204" s="51" t="str">
        <f>TEXT(tblWorkPackages[[#This Row],[Due date serial]],"yyyy-mm")</f>
        <v>2024-12</v>
      </c>
    </row>
    <row r="205" spans="1:36" ht="15" x14ac:dyDescent="0.25">
      <c r="A205" s="53" t="s">
        <v>777</v>
      </c>
      <c r="B205" s="53" t="s">
        <v>203</v>
      </c>
      <c r="C205" s="53" t="s">
        <v>778</v>
      </c>
      <c r="D205" s="53" t="s">
        <v>779</v>
      </c>
      <c r="E205" s="53" t="s">
        <v>223</v>
      </c>
      <c r="F205" s="53" t="s">
        <v>182</v>
      </c>
      <c r="G205" s="53" t="s">
        <v>154</v>
      </c>
      <c r="H205" s="53">
        <v>4</v>
      </c>
      <c r="I205" s="53" t="s">
        <v>130</v>
      </c>
      <c r="J205" s="53">
        <v>0</v>
      </c>
      <c r="K205" s="53">
        <v>0</v>
      </c>
      <c r="L205" s="53">
        <v>19.8</v>
      </c>
      <c r="M205" s="53" t="s">
        <v>780</v>
      </c>
      <c r="N205" s="53">
        <v>15.2</v>
      </c>
      <c r="O205" s="51" t="str">
        <f>TEXT(tblWorkPackages[[#This Row],[Request date serial]]-WEEKDAY(tblWorkPackages[[#This Row],[Request date serial]],3),"yyyy-mm-dd")</f>
        <v>2025-12-08</v>
      </c>
      <c r="P205" s="51">
        <f>ABS(tblWorkPackages[[#This Row],[Actual labor hours]]-tblWorkPackages[[#This Row],[Estimated labor hours]])</f>
        <v>4.6</v>
      </c>
      <c r="Q205" s="51">
        <f>IF(tblWorkPackages[[#This Row],[Actual labor hours]]&gt;tblWorkPackages[[#This Row],[Estimated labor hours]],1,0)</f>
        <v>0</v>
      </c>
      <c r="R205" s="51">
        <f>tblWorkPackages[[#This Row],[Actual labor hours]]-tblWorkPackages[[#This Row],[Estimated labor hours]]</f>
        <v>-4.6</v>
      </c>
      <c r="S205" s="51" t="str">
        <f>IF(tblWorkPackages[[#This Row],[Request date serial]]&lt;ValidationStart,"Train 2024",IF(tblWorkPackages[[#This Row],[Request date serial]]&lt;HoldoutStart,"Validation H1","Holdout H2"))</f>
        <v>Holdout H2</v>
      </c>
      <c r="T205" s="51">
        <f>IF(tblWorkPackages[[#This Row],[Time split]]="Train 2024","",tblWorkPackages[[#This Row],[Estimated labor hours]]+VLOOKUP(tblWorkPackages[[#This Row],[Task type]],'Forecast validation'!$A$14:$E$25,IF(tblWorkPackages[[#This Row],[Time split]]="Validation H1",4,5),FALSE()))</f>
        <v>20.7246575342466</v>
      </c>
      <c r="U205" s="51">
        <f>IF(tblWorkPackages[[#This Row],[Calibrated forecast hours]]="","",ABS(tblWorkPackages[[#This Row],[Actual labor hours]]-tblWorkPackages[[#This Row],[Calibrated forecast hours]]))</f>
        <v>5.52465753424658</v>
      </c>
      <c r="V205" s="51">
        <f>IF(tblWorkPackages[[#This Row],[Time split]]="Train 2024",tblWorkPackages[[#This Row],[Estimated labor hours]],tblWorkPackages[[#This Row],[Calibrated forecast hours]])</f>
        <v>20.7246575342466</v>
      </c>
      <c r="W205" s="64">
        <f>DATEVALUE(tblWorkPackages[[#This Row],[Request date]])</f>
        <v>46005.0</v>
      </c>
      <c r="X205" s="64">
        <f>DATEVALUE(tblWorkPackages[[#This Row],[Due date]])</f>
        <v>46018.0</v>
      </c>
      <c r="Y205" s="64">
        <f>DATEVALUE(tblWorkPackages[[#This Row],[Completion date]])</f>
        <v>46009.0</v>
      </c>
      <c r="Z205" s="64">
        <f>_xlfn.MINIFS(tblLaborEntries[Work date serial],tblLaborEntries[Work package ID],tblWorkPackages[[#This Row],[Work package ID]])</f>
        <v>46006.0</v>
      </c>
      <c r="AA205" s="64">
        <f>_xlfn.MAXIFS(tblLaborEntries[Work date serial],tblLaborEntries[Work package ID],tblWorkPackages[[#This Row],[Work package ID]])</f>
        <v>46006.0</v>
      </c>
      <c r="AB205" s="65">
        <f>IF(tblWorkPackages[[#This Row],[Completion date serial]]&gt;tblWorkPackages[[#This Row],[Due date serial]],1,0)</f>
        <v>0</v>
      </c>
      <c r="AC205" s="65">
        <f>MAX(0,tblWorkPackages[[#This Row],[Completion date serial]]-tblWorkPackages[[#This Row],[Due date serial]])</f>
        <v>0</v>
      </c>
      <c r="AD205" s="65">
        <f>tblWorkPackages[[#This Row],[First labor date]]-tblWorkPackages[[#This Row],[Request date serial]]</f>
        <v>1</v>
      </c>
      <c r="AE205" s="65">
        <f>tblWorkPackages[[#This Row],[Last labor date]]-tblWorkPackages[[#This Row],[First labor date]]</f>
        <v>0</v>
      </c>
      <c r="AF205" s="65">
        <f>tblWorkPackages[[#This Row],[Completion date serial]]-tblWorkPackages[[#This Row],[Last labor date]]</f>
        <v>3</v>
      </c>
      <c r="AG205" s="65">
        <f>tblWorkPackages[[#This Row],[Completion date serial]]-tblWorkPackages[[#This Row],[Request date serial]]</f>
        <v>4</v>
      </c>
      <c r="AH205" s="65">
        <f>IFERROR(INDEX(tblParts[Delay days],MATCH(tblWorkPackages[[#This Row],[Work package ID]],tblParts[Work package ID],0)),0)</f>
        <v>0</v>
      </c>
      <c r="AI205" s="51" t="str">
        <f>IFERROR(INDEX(tblDisruptions[Event type],MATCH(tblWorkPackages[[#This Row],[Work package ID]],tblDisruptions[Work package ID],0)),"None")</f>
        <v>None</v>
      </c>
      <c r="AJ205" s="51" t="str">
        <f>TEXT(tblWorkPackages[[#This Row],[Due date serial]],"yyyy-mm")</f>
        <v>2025-12</v>
      </c>
    </row>
    <row r="206" spans="1:36" ht="15" x14ac:dyDescent="0.25">
      <c r="A206" s="53" t="s">
        <v>781</v>
      </c>
      <c r="B206" s="53" t="s">
        <v>250</v>
      </c>
      <c r="C206" s="53" t="s">
        <v>782</v>
      </c>
      <c r="D206" s="53" t="s">
        <v>296</v>
      </c>
      <c r="E206" s="53" t="s">
        <v>153</v>
      </c>
      <c r="F206" s="53" t="s">
        <v>128</v>
      </c>
      <c r="G206" s="53" t="s">
        <v>154</v>
      </c>
      <c r="H206" s="53">
        <v>1</v>
      </c>
      <c r="I206" s="53" t="s">
        <v>176</v>
      </c>
      <c r="J206" s="53">
        <v>0</v>
      </c>
      <c r="K206" s="53">
        <v>0</v>
      </c>
      <c r="L206" s="53">
        <v>5.8</v>
      </c>
      <c r="M206" s="53" t="s">
        <v>293</v>
      </c>
      <c r="N206" s="53">
        <v>5.9</v>
      </c>
      <c r="O206" s="51" t="str">
        <f>TEXT(tblWorkPackages[[#This Row],[Request date serial]]-WEEKDAY(tblWorkPackages[[#This Row],[Request date serial]],3),"yyyy-mm-dd")</f>
        <v>2024-08-12</v>
      </c>
      <c r="P206" s="51">
        <f>ABS(tblWorkPackages[[#This Row],[Actual labor hours]]-tblWorkPackages[[#This Row],[Estimated labor hours]])</f>
        <v>0.100000000000001</v>
      </c>
      <c r="Q206" s="51">
        <f>IF(tblWorkPackages[[#This Row],[Actual labor hours]]&gt;tblWorkPackages[[#This Row],[Estimated labor hours]],1,0)</f>
        <v>1</v>
      </c>
      <c r="R206" s="51">
        <f>tblWorkPackages[[#This Row],[Actual labor hours]]-tblWorkPackages[[#This Row],[Estimated labor hours]]</f>
        <v>0.100000000000001</v>
      </c>
      <c r="S206" s="51" t="str">
        <f>IF(tblWorkPackages[[#This Row],[Request date serial]]&lt;ValidationStart,"Train 2024",IF(tblWorkPackages[[#This Row],[Request date serial]]&lt;HoldoutStart,"Validation H1","Holdout H2"))</f>
        <v>Train 2024</v>
      </c>
      <c r="T206" s="51" t="str">
        <f>IF(tblWorkPackages[[#This Row],[Time split]]="Train 2024","",tblWorkPackages[[#This Row],[Estimated labor hours]]+VLOOKUP(tblWorkPackages[[#This Row],[Task type]],'Forecast validation'!$A$14:$E$25,IF(tblWorkPackages[[#This Row],[Time split]]="Validation H1",4,5),FALSE()))</f>
        <v/>
      </c>
      <c r="U206" s="51" t="str">
        <f>IF(tblWorkPackages[[#This Row],[Calibrated forecast hours]]="","",ABS(tblWorkPackages[[#This Row],[Actual labor hours]]-tblWorkPackages[[#This Row],[Calibrated forecast hours]]))</f>
        <v/>
      </c>
      <c r="V206" s="51">
        <f>IF(tblWorkPackages[[#This Row],[Time split]]="Train 2024",tblWorkPackages[[#This Row],[Estimated labor hours]],tblWorkPackages[[#This Row],[Calibrated forecast hours]])</f>
        <v>5.8</v>
      </c>
      <c r="W206" s="64">
        <f>DATEVALUE(tblWorkPackages[[#This Row],[Request date]])</f>
        <v>45517.0</v>
      </c>
      <c r="X206" s="64">
        <f>DATEVALUE(tblWorkPackages[[#This Row],[Due date]])</f>
        <v>45523.0</v>
      </c>
      <c r="Y206" s="64">
        <f>DATEVALUE(tblWorkPackages[[#This Row],[Completion date]])</f>
        <v>45530.0</v>
      </c>
      <c r="Z206" s="64">
        <f>_xlfn.MINIFS(tblLaborEntries[Work date serial],tblLaborEntries[Work package ID],tblWorkPackages[[#This Row],[Work package ID]])</f>
        <v>45529.0</v>
      </c>
      <c r="AA206" s="64">
        <f>_xlfn.MAXIFS(tblLaborEntries[Work date serial],tblLaborEntries[Work package ID],tblWorkPackages[[#This Row],[Work package ID]])</f>
        <v>45530.0</v>
      </c>
      <c r="AB206" s="65">
        <f>IF(tblWorkPackages[[#This Row],[Completion date serial]]&gt;tblWorkPackages[[#This Row],[Due date serial]],1,0)</f>
        <v>1</v>
      </c>
      <c r="AC206" s="65">
        <f>MAX(0,tblWorkPackages[[#This Row],[Completion date serial]]-tblWorkPackages[[#This Row],[Due date serial]])</f>
        <v>7</v>
      </c>
      <c r="AD206" s="65">
        <f>tblWorkPackages[[#This Row],[First labor date]]-tblWorkPackages[[#This Row],[Request date serial]]</f>
        <v>12</v>
      </c>
      <c r="AE206" s="65">
        <f>tblWorkPackages[[#This Row],[Last labor date]]-tblWorkPackages[[#This Row],[First labor date]]</f>
        <v>1</v>
      </c>
      <c r="AF206" s="65">
        <f>tblWorkPackages[[#This Row],[Completion date serial]]-tblWorkPackages[[#This Row],[Last labor date]]</f>
        <v>0</v>
      </c>
      <c r="AG206" s="65">
        <f>tblWorkPackages[[#This Row],[Completion date serial]]-tblWorkPackages[[#This Row],[Request date serial]]</f>
        <v>13</v>
      </c>
      <c r="AH206" s="65">
        <f>IFERROR(INDEX(tblParts[Delay days],MATCH(tblWorkPackages[[#This Row],[Work package ID]],tblParts[Work package ID],0)),0)</f>
        <v>0</v>
      </c>
      <c r="AI206" s="51" t="str">
        <f>IFERROR(INDEX(tblDisruptions[Event type],MATCH(tblWorkPackages[[#This Row],[Work package ID]],tblDisruptions[Work package ID],0)),"None")</f>
        <v>None</v>
      </c>
      <c r="AJ206" s="51" t="str">
        <f>TEXT(tblWorkPackages[[#This Row],[Due date serial]],"yyyy-mm")</f>
        <v>2024-08</v>
      </c>
    </row>
    <row r="207" spans="1:36" ht="15" x14ac:dyDescent="0.25">
      <c r="A207" s="53" t="s">
        <v>783</v>
      </c>
      <c r="B207" s="53" t="s">
        <v>203</v>
      </c>
      <c r="C207" s="53" t="s">
        <v>784</v>
      </c>
      <c r="D207" s="53" t="s">
        <v>785</v>
      </c>
      <c r="E207" s="53" t="s">
        <v>200</v>
      </c>
      <c r="F207" s="53" t="s">
        <v>128</v>
      </c>
      <c r="G207" s="53" t="s">
        <v>129</v>
      </c>
      <c r="H207" s="53">
        <v>4</v>
      </c>
      <c r="I207" s="53" t="s">
        <v>176</v>
      </c>
      <c r="J207" s="53">
        <v>0</v>
      </c>
      <c r="K207" s="53">
        <v>0</v>
      </c>
      <c r="L207" s="53">
        <v>5.8</v>
      </c>
      <c r="M207" s="53" t="s">
        <v>375</v>
      </c>
      <c r="N207" s="53">
        <v>5.0999999999999996</v>
      </c>
      <c r="O207" s="51" t="str">
        <f>TEXT(tblWorkPackages[[#This Row],[Request date serial]]-WEEKDAY(tblWorkPackages[[#This Row],[Request date serial]],3),"yyyy-mm-dd")</f>
        <v>2025-04-14</v>
      </c>
      <c r="P207" s="51">
        <f>ABS(tblWorkPackages[[#This Row],[Actual labor hours]]-tblWorkPackages[[#This Row],[Estimated labor hours]])</f>
        <v>0.7</v>
      </c>
      <c r="Q207" s="51">
        <f>IF(tblWorkPackages[[#This Row],[Actual labor hours]]&gt;tblWorkPackages[[#This Row],[Estimated labor hours]],1,0)</f>
        <v>0</v>
      </c>
      <c r="R207" s="51">
        <f>tblWorkPackages[[#This Row],[Actual labor hours]]-tblWorkPackages[[#This Row],[Estimated labor hours]]</f>
        <v>-0.7</v>
      </c>
      <c r="S207" s="51" t="str">
        <f>IF(tblWorkPackages[[#This Row],[Request date serial]]&lt;ValidationStart,"Train 2024",IF(tblWorkPackages[[#This Row],[Request date serial]]&lt;HoldoutStart,"Validation H1","Holdout H2"))</f>
        <v>Validation H1</v>
      </c>
      <c r="T207" s="51">
        <f>IF(tblWorkPackages[[#This Row],[Time split]]="Train 2024","",tblWorkPackages[[#This Row],[Estimated labor hours]]+VLOOKUP(tblWorkPackages[[#This Row],[Task type]],'Forecast validation'!$A$14:$E$25,IF(tblWorkPackages[[#This Row],[Time split]]="Validation H1",4,5),FALSE()))</f>
        <v>6.13069306930693</v>
      </c>
      <c r="U207" s="51">
        <f>IF(tblWorkPackages[[#This Row],[Calibrated forecast hours]]="","",ABS(tblWorkPackages[[#This Row],[Actual labor hours]]-tblWorkPackages[[#This Row],[Calibrated forecast hours]]))</f>
        <v>1.03069306930693</v>
      </c>
      <c r="V207" s="51">
        <f>IF(tblWorkPackages[[#This Row],[Time split]]="Train 2024",tblWorkPackages[[#This Row],[Estimated labor hours]],tblWorkPackages[[#This Row],[Calibrated forecast hours]])</f>
        <v>6.13069306930693</v>
      </c>
      <c r="W207" s="64">
        <f>DATEVALUE(tblWorkPackages[[#This Row],[Request date]])</f>
        <v>45765.0</v>
      </c>
      <c r="X207" s="64">
        <f>DATEVALUE(tblWorkPackages[[#This Row],[Due date]])</f>
        <v>45771.0</v>
      </c>
      <c r="Y207" s="64">
        <f>DATEVALUE(tblWorkPackages[[#This Row],[Completion date]])</f>
        <v>45770.0</v>
      </c>
      <c r="Z207" s="64">
        <f>_xlfn.MINIFS(tblLaborEntries[Work date serial],tblLaborEntries[Work package ID],tblWorkPackages[[#This Row],[Work package ID]])</f>
        <v>45768.0</v>
      </c>
      <c r="AA207" s="64">
        <f>_xlfn.MAXIFS(tblLaborEntries[Work date serial],tblLaborEntries[Work package ID],tblWorkPackages[[#This Row],[Work package ID]])</f>
        <v>45769.0</v>
      </c>
      <c r="AB207" s="65">
        <f>IF(tblWorkPackages[[#This Row],[Completion date serial]]&gt;tblWorkPackages[[#This Row],[Due date serial]],1,0)</f>
        <v>0</v>
      </c>
      <c r="AC207" s="65">
        <f>MAX(0,tblWorkPackages[[#This Row],[Completion date serial]]-tblWorkPackages[[#This Row],[Due date serial]])</f>
        <v>0</v>
      </c>
      <c r="AD207" s="65">
        <f>tblWorkPackages[[#This Row],[First labor date]]-tblWorkPackages[[#This Row],[Request date serial]]</f>
        <v>3</v>
      </c>
      <c r="AE207" s="65">
        <f>tblWorkPackages[[#This Row],[Last labor date]]-tblWorkPackages[[#This Row],[First labor date]]</f>
        <v>1</v>
      </c>
      <c r="AF207" s="65">
        <f>tblWorkPackages[[#This Row],[Completion date serial]]-tblWorkPackages[[#This Row],[Last labor date]]</f>
        <v>1</v>
      </c>
      <c r="AG207" s="65">
        <f>tblWorkPackages[[#This Row],[Completion date serial]]-tblWorkPackages[[#This Row],[Request date serial]]</f>
        <v>5</v>
      </c>
      <c r="AH207" s="65">
        <f>IFERROR(INDEX(tblParts[Delay days],MATCH(tblWorkPackages[[#This Row],[Work package ID]],tblParts[Work package ID],0)),0)</f>
        <v>0</v>
      </c>
      <c r="AI207" s="51" t="str">
        <f>IFERROR(INDEX(tblDisruptions[Event type],MATCH(tblWorkPackages[[#This Row],[Work package ID]],tblDisruptions[Work package ID],0)),"None")</f>
        <v>None</v>
      </c>
      <c r="AJ207" s="51" t="str">
        <f>TEXT(tblWorkPackages[[#This Row],[Due date serial]],"yyyy-mm")</f>
        <v>2025-04</v>
      </c>
    </row>
    <row r="208" spans="1:36" ht="15" x14ac:dyDescent="0.25">
      <c r="A208" s="53" t="s">
        <v>786</v>
      </c>
      <c r="B208" s="53" t="s">
        <v>150</v>
      </c>
      <c r="C208" s="53" t="s">
        <v>264</v>
      </c>
      <c r="D208" s="53" t="s">
        <v>787</v>
      </c>
      <c r="E208" s="53" t="s">
        <v>223</v>
      </c>
      <c r="F208" s="53" t="s">
        <v>182</v>
      </c>
      <c r="G208" s="53" t="s">
        <v>154</v>
      </c>
      <c r="H208" s="53">
        <v>1</v>
      </c>
      <c r="I208" s="53" t="s">
        <v>130</v>
      </c>
      <c r="J208" s="53">
        <v>0</v>
      </c>
      <c r="K208" s="53">
        <v>0</v>
      </c>
      <c r="L208" s="53">
        <v>8.1</v>
      </c>
      <c r="M208" s="53" t="s">
        <v>788</v>
      </c>
      <c r="N208" s="53">
        <v>8.5</v>
      </c>
      <c r="O208" s="51" t="str">
        <f>TEXT(tblWorkPackages[[#This Row],[Request date serial]]-WEEKDAY(tblWorkPackages[[#This Row],[Request date serial]],3),"yyyy-mm-dd")</f>
        <v>2024-08-19</v>
      </c>
      <c r="P208" s="51">
        <f>ABS(tblWorkPackages[[#This Row],[Actual labor hours]]-tblWorkPackages[[#This Row],[Estimated labor hours]])</f>
        <v>0.4</v>
      </c>
      <c r="Q208" s="51">
        <f>IF(tblWorkPackages[[#This Row],[Actual labor hours]]&gt;tblWorkPackages[[#This Row],[Estimated labor hours]],1,0)</f>
        <v>1</v>
      </c>
      <c r="R208" s="51">
        <f>tblWorkPackages[[#This Row],[Actual labor hours]]-tblWorkPackages[[#This Row],[Estimated labor hours]]</f>
        <v>0.4</v>
      </c>
      <c r="S208" s="51" t="str">
        <f>IF(tblWorkPackages[[#This Row],[Request date serial]]&lt;ValidationStart,"Train 2024",IF(tblWorkPackages[[#This Row],[Request date serial]]&lt;HoldoutStart,"Validation H1","Holdout H2"))</f>
        <v>Train 2024</v>
      </c>
      <c r="T208" s="51" t="str">
        <f>IF(tblWorkPackages[[#This Row],[Time split]]="Train 2024","",tblWorkPackages[[#This Row],[Estimated labor hours]]+VLOOKUP(tblWorkPackages[[#This Row],[Task type]],'Forecast validation'!$A$14:$E$25,IF(tblWorkPackages[[#This Row],[Time split]]="Validation H1",4,5),FALSE()))</f>
        <v/>
      </c>
      <c r="U208" s="51" t="str">
        <f>IF(tblWorkPackages[[#This Row],[Calibrated forecast hours]]="","",ABS(tblWorkPackages[[#This Row],[Actual labor hours]]-tblWorkPackages[[#This Row],[Calibrated forecast hours]]))</f>
        <v/>
      </c>
      <c r="V208" s="51">
        <f>IF(tblWorkPackages[[#This Row],[Time split]]="Train 2024",tblWorkPackages[[#This Row],[Estimated labor hours]],tblWorkPackages[[#This Row],[Calibrated forecast hours]])</f>
        <v>8.1</v>
      </c>
      <c r="W208" s="64">
        <f>DATEVALUE(tblWorkPackages[[#This Row],[Request date]])</f>
        <v>45528.0</v>
      </c>
      <c r="X208" s="64">
        <f>DATEVALUE(tblWorkPackages[[#This Row],[Due date]])</f>
        <v>45541.0</v>
      </c>
      <c r="Y208" s="64">
        <f>DATEVALUE(tblWorkPackages[[#This Row],[Completion date]])</f>
        <v>45566.0</v>
      </c>
      <c r="Z208" s="64">
        <f>_xlfn.MINIFS(tblLaborEntries[Work date serial],tblLaborEntries[Work package ID],tblWorkPackages[[#This Row],[Work package ID]])</f>
        <v>45562.0</v>
      </c>
      <c r="AA208" s="64">
        <f>_xlfn.MAXIFS(tblLaborEntries[Work date serial],tblLaborEntries[Work package ID],tblWorkPackages[[#This Row],[Work package ID]])</f>
        <v>45564.0</v>
      </c>
      <c r="AB208" s="65">
        <f>IF(tblWorkPackages[[#This Row],[Completion date serial]]&gt;tblWorkPackages[[#This Row],[Due date serial]],1,0)</f>
        <v>1</v>
      </c>
      <c r="AC208" s="65">
        <f>MAX(0,tblWorkPackages[[#This Row],[Completion date serial]]-tblWorkPackages[[#This Row],[Due date serial]])</f>
        <v>25</v>
      </c>
      <c r="AD208" s="65">
        <f>tblWorkPackages[[#This Row],[First labor date]]-tblWorkPackages[[#This Row],[Request date serial]]</f>
        <v>34</v>
      </c>
      <c r="AE208" s="65">
        <f>tblWorkPackages[[#This Row],[Last labor date]]-tblWorkPackages[[#This Row],[First labor date]]</f>
        <v>2</v>
      </c>
      <c r="AF208" s="65">
        <f>tblWorkPackages[[#This Row],[Completion date serial]]-tblWorkPackages[[#This Row],[Last labor date]]</f>
        <v>2</v>
      </c>
      <c r="AG208" s="65">
        <f>tblWorkPackages[[#This Row],[Completion date serial]]-tblWorkPackages[[#This Row],[Request date serial]]</f>
        <v>38</v>
      </c>
      <c r="AH208" s="65">
        <f>IFERROR(INDEX(tblParts[Delay days],MATCH(tblWorkPackages[[#This Row],[Work package ID]],tblParts[Work package ID],0)),0)</f>
        <v>0</v>
      </c>
      <c r="AI208" s="51" t="str">
        <f>IFERROR(INDEX(tblDisruptions[Event type],MATCH(tblWorkPackages[[#This Row],[Work package ID]],tblDisruptions[Work package ID],0)),"None")</f>
        <v>None</v>
      </c>
      <c r="AJ208" s="51" t="str">
        <f>TEXT(tblWorkPackages[[#This Row],[Due date serial]],"yyyy-mm")</f>
        <v>2024-09</v>
      </c>
    </row>
    <row r="209" spans="1:36" ht="15" x14ac:dyDescent="0.25">
      <c r="A209" s="53" t="s">
        <v>789</v>
      </c>
      <c r="B209" s="53" t="s">
        <v>124</v>
      </c>
      <c r="C209" s="53" t="s">
        <v>790</v>
      </c>
      <c r="D209" s="53" t="s">
        <v>791</v>
      </c>
      <c r="E209" s="53" t="s">
        <v>223</v>
      </c>
      <c r="F209" s="53" t="s">
        <v>182</v>
      </c>
      <c r="G209" s="53" t="s">
        <v>154</v>
      </c>
      <c r="H209" s="53">
        <v>2</v>
      </c>
      <c r="I209" s="53" t="s">
        <v>176</v>
      </c>
      <c r="J209" s="53">
        <v>0</v>
      </c>
      <c r="K209" s="53">
        <v>1</v>
      </c>
      <c r="L209" s="53">
        <v>11.3</v>
      </c>
      <c r="M209" s="53" t="s">
        <v>462</v>
      </c>
      <c r="N209" s="53">
        <v>13.5</v>
      </c>
      <c r="O209" s="51" t="str">
        <f>TEXT(tblWorkPackages[[#This Row],[Request date serial]]-WEEKDAY(tblWorkPackages[[#This Row],[Request date serial]],3),"yyyy-mm-dd")</f>
        <v>2025-09-15</v>
      </c>
      <c r="P209" s="51">
        <f>ABS(tblWorkPackages[[#This Row],[Actual labor hours]]-tblWorkPackages[[#This Row],[Estimated labor hours]])</f>
        <v>2.2</v>
      </c>
      <c r="Q209" s="51">
        <f>IF(tblWorkPackages[[#This Row],[Actual labor hours]]&gt;tblWorkPackages[[#This Row],[Estimated labor hours]],1,0)</f>
        <v>1</v>
      </c>
      <c r="R209" s="51">
        <f>tblWorkPackages[[#This Row],[Actual labor hours]]-tblWorkPackages[[#This Row],[Estimated labor hours]]</f>
        <v>2.2</v>
      </c>
      <c r="S209" s="51" t="str">
        <f>IF(tblWorkPackages[[#This Row],[Request date serial]]&lt;ValidationStart,"Train 2024",IF(tblWorkPackages[[#This Row],[Request date serial]]&lt;HoldoutStart,"Validation H1","Holdout H2"))</f>
        <v>Holdout H2</v>
      </c>
      <c r="T209" s="51">
        <f>IF(tblWorkPackages[[#This Row],[Time split]]="Train 2024","",tblWorkPackages[[#This Row],[Estimated labor hours]]+VLOOKUP(tblWorkPackages[[#This Row],[Task type]],'Forecast validation'!$A$14:$E$25,IF(tblWorkPackages[[#This Row],[Time split]]="Validation H1",4,5),FALSE()))</f>
        <v>12.2246575342466</v>
      </c>
      <c r="U209" s="51">
        <f>IF(tblWorkPackages[[#This Row],[Calibrated forecast hours]]="","",ABS(tblWorkPackages[[#This Row],[Actual labor hours]]-tblWorkPackages[[#This Row],[Calibrated forecast hours]]))</f>
        <v>1.27534246575342</v>
      </c>
      <c r="V209" s="51">
        <f>IF(tblWorkPackages[[#This Row],[Time split]]="Train 2024",tblWorkPackages[[#This Row],[Estimated labor hours]],tblWorkPackages[[#This Row],[Calibrated forecast hours]])</f>
        <v>12.2246575342466</v>
      </c>
      <c r="W209" s="64">
        <f>DATEVALUE(tblWorkPackages[[#This Row],[Request date]])</f>
        <v>45916.0</v>
      </c>
      <c r="X209" s="64">
        <f>DATEVALUE(tblWorkPackages[[#This Row],[Due date]])</f>
        <v>45922.0</v>
      </c>
      <c r="Y209" s="64">
        <f>DATEVALUE(tblWorkPackages[[#This Row],[Completion date]])</f>
        <v>45925.0</v>
      </c>
      <c r="Z209" s="64">
        <f>_xlfn.MINIFS(tblLaborEntries[Work date serial],tblLaborEntries[Work package ID],tblWorkPackages[[#This Row],[Work package ID]])</f>
        <v>45922.0</v>
      </c>
      <c r="AA209" s="64">
        <f>_xlfn.MAXIFS(tblLaborEntries[Work date serial],tblLaborEntries[Work package ID],tblWorkPackages[[#This Row],[Work package ID]])</f>
        <v>45922.0</v>
      </c>
      <c r="AB209" s="65">
        <f>IF(tblWorkPackages[[#This Row],[Completion date serial]]&gt;tblWorkPackages[[#This Row],[Due date serial]],1,0)</f>
        <v>1</v>
      </c>
      <c r="AC209" s="65">
        <f>MAX(0,tblWorkPackages[[#This Row],[Completion date serial]]-tblWorkPackages[[#This Row],[Due date serial]])</f>
        <v>3</v>
      </c>
      <c r="AD209" s="65">
        <f>tblWorkPackages[[#This Row],[First labor date]]-tblWorkPackages[[#This Row],[Request date serial]]</f>
        <v>6</v>
      </c>
      <c r="AE209" s="65">
        <f>tblWorkPackages[[#This Row],[Last labor date]]-tblWorkPackages[[#This Row],[First labor date]]</f>
        <v>0</v>
      </c>
      <c r="AF209" s="65">
        <f>tblWorkPackages[[#This Row],[Completion date serial]]-tblWorkPackages[[#This Row],[Last labor date]]</f>
        <v>3</v>
      </c>
      <c r="AG209" s="65">
        <f>tblWorkPackages[[#This Row],[Completion date serial]]-tblWorkPackages[[#This Row],[Request date serial]]</f>
        <v>9</v>
      </c>
      <c r="AH209" s="65">
        <f>IFERROR(INDEX(tblParts[Delay days],MATCH(tblWorkPackages[[#This Row],[Work package ID]],tblParts[Work package ID],0)),0)</f>
        <v>0</v>
      </c>
      <c r="AI209" s="51" t="str">
        <f>IFERROR(INDEX(tblDisruptions[Event type],MATCH(tblWorkPackages[[#This Row],[Work package ID]],tblDisruptions[Work package ID],0)),"None")</f>
        <v>None</v>
      </c>
      <c r="AJ209" s="51" t="str">
        <f>TEXT(tblWorkPackages[[#This Row],[Due date serial]],"yyyy-mm")</f>
        <v>2025-09</v>
      </c>
    </row>
    <row r="210" spans="1:36" ht="15" x14ac:dyDescent="0.25">
      <c r="A210" s="53" t="s">
        <v>792</v>
      </c>
      <c r="B210" s="53" t="s">
        <v>230</v>
      </c>
      <c r="C210" s="53" t="s">
        <v>793</v>
      </c>
      <c r="D210" s="53" t="s">
        <v>515</v>
      </c>
      <c r="E210" s="53" t="s">
        <v>181</v>
      </c>
      <c r="F210" s="53" t="s">
        <v>182</v>
      </c>
      <c r="G210" s="53" t="s">
        <v>138</v>
      </c>
      <c r="H210" s="53">
        <v>2</v>
      </c>
      <c r="I210" s="53" t="s">
        <v>130</v>
      </c>
      <c r="J210" s="53">
        <v>0</v>
      </c>
      <c r="K210" s="53">
        <v>0</v>
      </c>
      <c r="L210" s="53">
        <v>7.2</v>
      </c>
      <c r="M210" s="53" t="s">
        <v>794</v>
      </c>
      <c r="N210" s="53">
        <v>7.9</v>
      </c>
      <c r="O210" s="51" t="str">
        <f>TEXT(tblWorkPackages[[#This Row],[Request date serial]]-WEEKDAY(tblWorkPackages[[#This Row],[Request date serial]],3),"yyyy-mm-dd")</f>
        <v>2024-11-11</v>
      </c>
      <c r="P210" s="51">
        <f>ABS(tblWorkPackages[[#This Row],[Actual labor hours]]-tblWorkPackages[[#This Row],[Estimated labor hours]])</f>
        <v>0.7</v>
      </c>
      <c r="Q210" s="51">
        <f>IF(tblWorkPackages[[#This Row],[Actual labor hours]]&gt;tblWorkPackages[[#This Row],[Estimated labor hours]],1,0)</f>
        <v>1</v>
      </c>
      <c r="R210" s="51">
        <f>tblWorkPackages[[#This Row],[Actual labor hours]]-tblWorkPackages[[#This Row],[Estimated labor hours]]</f>
        <v>0.7</v>
      </c>
      <c r="S210" s="51" t="str">
        <f>IF(tblWorkPackages[[#This Row],[Request date serial]]&lt;ValidationStart,"Train 2024",IF(tblWorkPackages[[#This Row],[Request date serial]]&lt;HoldoutStart,"Validation H1","Holdout H2"))</f>
        <v>Train 2024</v>
      </c>
      <c r="T210" s="51" t="str">
        <f>IF(tblWorkPackages[[#This Row],[Time split]]="Train 2024","",tblWorkPackages[[#This Row],[Estimated labor hours]]+VLOOKUP(tblWorkPackages[[#This Row],[Task type]],'Forecast validation'!$A$14:$E$25,IF(tblWorkPackages[[#This Row],[Time split]]="Validation H1",4,5),FALSE()))</f>
        <v/>
      </c>
      <c r="U210" s="51" t="str">
        <f>IF(tblWorkPackages[[#This Row],[Calibrated forecast hours]]="","",ABS(tblWorkPackages[[#This Row],[Actual labor hours]]-tblWorkPackages[[#This Row],[Calibrated forecast hours]]))</f>
        <v/>
      </c>
      <c r="V210" s="51">
        <f>IF(tblWorkPackages[[#This Row],[Time split]]="Train 2024",tblWorkPackages[[#This Row],[Estimated labor hours]],tblWorkPackages[[#This Row],[Calibrated forecast hours]])</f>
        <v>7.2</v>
      </c>
      <c r="W210" s="64">
        <f>DATEVALUE(tblWorkPackages[[#This Row],[Request date]])</f>
        <v>45608.0</v>
      </c>
      <c r="X210" s="64">
        <f>DATEVALUE(tblWorkPackages[[#This Row],[Due date]])</f>
        <v>45621.0</v>
      </c>
      <c r="Y210" s="64">
        <f>DATEVALUE(tblWorkPackages[[#This Row],[Completion date]])</f>
        <v>45610.0</v>
      </c>
      <c r="Z210" s="64">
        <f>_xlfn.MINIFS(tblLaborEntries[Work date serial],tblLaborEntries[Work package ID],tblWorkPackages[[#This Row],[Work package ID]])</f>
        <v>45610.0</v>
      </c>
      <c r="AA210" s="64">
        <f>_xlfn.MAXIFS(tblLaborEntries[Work date serial],tblLaborEntries[Work package ID],tblWorkPackages[[#This Row],[Work package ID]])</f>
        <v>45610.0</v>
      </c>
      <c r="AB210" s="65">
        <f>IF(tblWorkPackages[[#This Row],[Completion date serial]]&gt;tblWorkPackages[[#This Row],[Due date serial]],1,0)</f>
        <v>0</v>
      </c>
      <c r="AC210" s="65">
        <f>MAX(0,tblWorkPackages[[#This Row],[Completion date serial]]-tblWorkPackages[[#This Row],[Due date serial]])</f>
        <v>0</v>
      </c>
      <c r="AD210" s="65">
        <f>tblWorkPackages[[#This Row],[First labor date]]-tblWorkPackages[[#This Row],[Request date serial]]</f>
        <v>2</v>
      </c>
      <c r="AE210" s="65">
        <f>tblWorkPackages[[#This Row],[Last labor date]]-tblWorkPackages[[#This Row],[First labor date]]</f>
        <v>0</v>
      </c>
      <c r="AF210" s="65">
        <f>tblWorkPackages[[#This Row],[Completion date serial]]-tblWorkPackages[[#This Row],[Last labor date]]</f>
        <v>0</v>
      </c>
      <c r="AG210" s="65">
        <f>tblWorkPackages[[#This Row],[Completion date serial]]-tblWorkPackages[[#This Row],[Request date serial]]</f>
        <v>2</v>
      </c>
      <c r="AH210" s="65">
        <f>IFERROR(INDEX(tblParts[Delay days],MATCH(tblWorkPackages[[#This Row],[Work package ID]],tblParts[Work package ID],0)),0)</f>
        <v>0</v>
      </c>
      <c r="AI210" s="51" t="str">
        <f>IFERROR(INDEX(tblDisruptions[Event type],MATCH(tblWorkPackages[[#This Row],[Work package ID]],tblDisruptions[Work package ID],0)),"None")</f>
        <v>None</v>
      </c>
      <c r="AJ210" s="51" t="str">
        <f>TEXT(tblWorkPackages[[#This Row],[Due date serial]],"yyyy-mm")</f>
        <v>2024-11</v>
      </c>
    </row>
    <row r="211" spans="1:36" ht="15" x14ac:dyDescent="0.25">
      <c r="A211" s="53" t="s">
        <v>795</v>
      </c>
      <c r="B211" s="53" t="s">
        <v>141</v>
      </c>
      <c r="C211" s="53" t="s">
        <v>796</v>
      </c>
      <c r="D211" s="53" t="s">
        <v>744</v>
      </c>
      <c r="E211" s="53" t="s">
        <v>127</v>
      </c>
      <c r="F211" s="53" t="s">
        <v>128</v>
      </c>
      <c r="G211" s="53" t="s">
        <v>129</v>
      </c>
      <c r="H211" s="53">
        <v>2</v>
      </c>
      <c r="I211" s="53" t="s">
        <v>130</v>
      </c>
      <c r="J211" s="53">
        <v>0</v>
      </c>
      <c r="K211" s="53">
        <v>0</v>
      </c>
      <c r="L211" s="53">
        <v>7.1</v>
      </c>
      <c r="M211" s="53" t="s">
        <v>797</v>
      </c>
      <c r="N211" s="53">
        <v>7.5</v>
      </c>
      <c r="O211" s="51" t="str">
        <f>TEXT(tblWorkPackages[[#This Row],[Request date serial]]-WEEKDAY(tblWorkPackages[[#This Row],[Request date serial]],3),"yyyy-mm-dd")</f>
        <v>2025-07-07</v>
      </c>
      <c r="P211" s="51">
        <f>ABS(tblWorkPackages[[#This Row],[Actual labor hours]]-tblWorkPackages[[#This Row],[Estimated labor hours]])</f>
        <v>0.4</v>
      </c>
      <c r="Q211" s="51">
        <f>IF(tblWorkPackages[[#This Row],[Actual labor hours]]&gt;tblWorkPackages[[#This Row],[Estimated labor hours]],1,0)</f>
        <v>1</v>
      </c>
      <c r="R211" s="51">
        <f>tblWorkPackages[[#This Row],[Actual labor hours]]-tblWorkPackages[[#This Row],[Estimated labor hours]]</f>
        <v>0.4</v>
      </c>
      <c r="S211" s="51" t="str">
        <f>IF(tblWorkPackages[[#This Row],[Request date serial]]&lt;ValidationStart,"Train 2024",IF(tblWorkPackages[[#This Row],[Request date serial]]&lt;HoldoutStart,"Validation H1","Holdout H2"))</f>
        <v>Holdout H2</v>
      </c>
      <c r="T211" s="51">
        <f>IF(tblWorkPackages[[#This Row],[Time split]]="Train 2024","",tblWorkPackages[[#This Row],[Estimated labor hours]]+VLOOKUP(tblWorkPackages[[#This Row],[Task type]],'Forecast validation'!$A$14:$E$25,IF(tblWorkPackages[[#This Row],[Time split]]="Validation H1",4,5),FALSE()))</f>
        <v>7.64341085271318</v>
      </c>
      <c r="U211" s="51">
        <f>IF(tblWorkPackages[[#This Row],[Calibrated forecast hours]]="","",ABS(tblWorkPackages[[#This Row],[Actual labor hours]]-tblWorkPackages[[#This Row],[Calibrated forecast hours]]))</f>
        <v>0.143410852713178</v>
      </c>
      <c r="V211" s="51">
        <f>IF(tblWorkPackages[[#This Row],[Time split]]="Train 2024",tblWorkPackages[[#This Row],[Estimated labor hours]],tblWorkPackages[[#This Row],[Calibrated forecast hours]])</f>
        <v>7.64341085271318</v>
      </c>
      <c r="W211" s="64">
        <f>DATEVALUE(tblWorkPackages[[#This Row],[Request date]])</f>
        <v>45850.0</v>
      </c>
      <c r="X211" s="64">
        <f>DATEVALUE(tblWorkPackages[[#This Row],[Due date]])</f>
        <v>45863.0</v>
      </c>
      <c r="Y211" s="64">
        <f>DATEVALUE(tblWorkPackages[[#This Row],[Completion date]])</f>
        <v>45867.0</v>
      </c>
      <c r="Z211" s="64">
        <f>_xlfn.MINIFS(tblLaborEntries[Work date serial],tblLaborEntries[Work package ID],tblWorkPackages[[#This Row],[Work package ID]])</f>
        <v>45865.0</v>
      </c>
      <c r="AA211" s="64">
        <f>_xlfn.MAXIFS(tblLaborEntries[Work date serial],tblLaborEntries[Work package ID],tblWorkPackages[[#This Row],[Work package ID]])</f>
        <v>45866.0</v>
      </c>
      <c r="AB211" s="65">
        <f>IF(tblWorkPackages[[#This Row],[Completion date serial]]&gt;tblWorkPackages[[#This Row],[Due date serial]],1,0)</f>
        <v>1</v>
      </c>
      <c r="AC211" s="65">
        <f>MAX(0,tblWorkPackages[[#This Row],[Completion date serial]]-tblWorkPackages[[#This Row],[Due date serial]])</f>
        <v>4</v>
      </c>
      <c r="AD211" s="65">
        <f>tblWorkPackages[[#This Row],[First labor date]]-tblWorkPackages[[#This Row],[Request date serial]]</f>
        <v>15</v>
      </c>
      <c r="AE211" s="65">
        <f>tblWorkPackages[[#This Row],[Last labor date]]-tblWorkPackages[[#This Row],[First labor date]]</f>
        <v>1</v>
      </c>
      <c r="AF211" s="65">
        <f>tblWorkPackages[[#This Row],[Completion date serial]]-tblWorkPackages[[#This Row],[Last labor date]]</f>
        <v>1</v>
      </c>
      <c r="AG211" s="65">
        <f>tblWorkPackages[[#This Row],[Completion date serial]]-tblWorkPackages[[#This Row],[Request date serial]]</f>
        <v>17</v>
      </c>
      <c r="AH211" s="65">
        <f>IFERROR(INDEX(tblParts[Delay days],MATCH(tblWorkPackages[[#This Row],[Work package ID]],tblParts[Work package ID],0)),0)</f>
        <v>0</v>
      </c>
      <c r="AI211" s="51" t="str">
        <f>IFERROR(INDEX(tblDisruptions[Event type],MATCH(tblWorkPackages[[#This Row],[Work package ID]],tblDisruptions[Work package ID],0)),"None")</f>
        <v>None</v>
      </c>
      <c r="AJ211" s="51" t="str">
        <f>TEXT(tblWorkPackages[[#This Row],[Due date serial]],"yyyy-mm")</f>
        <v>2025-07</v>
      </c>
    </row>
    <row r="212" spans="1:36" ht="15" x14ac:dyDescent="0.25">
      <c r="A212" s="53" t="s">
        <v>798</v>
      </c>
      <c r="B212" s="53" t="s">
        <v>133</v>
      </c>
      <c r="C212" s="53" t="s">
        <v>799</v>
      </c>
      <c r="D212" s="53" t="s">
        <v>800</v>
      </c>
      <c r="E212" s="53" t="s">
        <v>242</v>
      </c>
      <c r="F212" s="53" t="s">
        <v>243</v>
      </c>
      <c r="G212" s="53" t="s">
        <v>129</v>
      </c>
      <c r="H212" s="53">
        <v>2</v>
      </c>
      <c r="I212" s="53" t="s">
        <v>130</v>
      </c>
      <c r="J212" s="53">
        <v>0</v>
      </c>
      <c r="K212" s="53">
        <v>0</v>
      </c>
      <c r="L212" s="53">
        <v>7.3</v>
      </c>
      <c r="M212" s="53" t="s">
        <v>660</v>
      </c>
      <c r="N212" s="53">
        <v>5.8</v>
      </c>
      <c r="O212" s="51" t="str">
        <f>TEXT(tblWorkPackages[[#This Row],[Request date serial]]-WEEKDAY(tblWorkPackages[[#This Row],[Request date serial]],3),"yyyy-mm-dd")</f>
        <v>2024-09-09</v>
      </c>
      <c r="P212" s="51">
        <f>ABS(tblWorkPackages[[#This Row],[Actual labor hours]]-tblWorkPackages[[#This Row],[Estimated labor hours]])</f>
        <v>1.5</v>
      </c>
      <c r="Q212" s="51">
        <f>IF(tblWorkPackages[[#This Row],[Actual labor hours]]&gt;tblWorkPackages[[#This Row],[Estimated labor hours]],1,0)</f>
        <v>0</v>
      </c>
      <c r="R212" s="51">
        <f>tblWorkPackages[[#This Row],[Actual labor hours]]-tblWorkPackages[[#This Row],[Estimated labor hours]]</f>
        <v>-1.5</v>
      </c>
      <c r="S212" s="51" t="str">
        <f>IF(tblWorkPackages[[#This Row],[Request date serial]]&lt;ValidationStart,"Train 2024",IF(tblWorkPackages[[#This Row],[Request date serial]]&lt;HoldoutStart,"Validation H1","Holdout H2"))</f>
        <v>Train 2024</v>
      </c>
      <c r="T212" s="51" t="str">
        <f>IF(tblWorkPackages[[#This Row],[Time split]]="Train 2024","",tblWorkPackages[[#This Row],[Estimated labor hours]]+VLOOKUP(tblWorkPackages[[#This Row],[Task type]],'Forecast validation'!$A$14:$E$25,IF(tblWorkPackages[[#This Row],[Time split]]="Validation H1",4,5),FALSE()))</f>
        <v/>
      </c>
      <c r="U212" s="51" t="str">
        <f>IF(tblWorkPackages[[#This Row],[Calibrated forecast hours]]="","",ABS(tblWorkPackages[[#This Row],[Actual labor hours]]-tblWorkPackages[[#This Row],[Calibrated forecast hours]]))</f>
        <v/>
      </c>
      <c r="V212" s="51">
        <f>IF(tblWorkPackages[[#This Row],[Time split]]="Train 2024",tblWorkPackages[[#This Row],[Estimated labor hours]],tblWorkPackages[[#This Row],[Calibrated forecast hours]])</f>
        <v>7.3</v>
      </c>
      <c r="W212" s="64">
        <f>DATEVALUE(tblWorkPackages[[#This Row],[Request date]])</f>
        <v>45549.0</v>
      </c>
      <c r="X212" s="64">
        <f>DATEVALUE(tblWorkPackages[[#This Row],[Due date]])</f>
        <v>45562.0</v>
      </c>
      <c r="Y212" s="64">
        <f>DATEVALUE(tblWorkPackages[[#This Row],[Completion date]])</f>
        <v>45556.0</v>
      </c>
      <c r="Z212" s="64">
        <f>_xlfn.MINIFS(tblLaborEntries[Work date serial],tblLaborEntries[Work package ID],tblWorkPackages[[#This Row],[Work package ID]])</f>
        <v>45553.0</v>
      </c>
      <c r="AA212" s="64">
        <f>_xlfn.MAXIFS(tblLaborEntries[Work date serial],tblLaborEntries[Work package ID],tblWorkPackages[[#This Row],[Work package ID]])</f>
        <v>45554.0</v>
      </c>
      <c r="AB212" s="65">
        <f>IF(tblWorkPackages[[#This Row],[Completion date serial]]&gt;tblWorkPackages[[#This Row],[Due date serial]],1,0)</f>
        <v>0</v>
      </c>
      <c r="AC212" s="65">
        <f>MAX(0,tblWorkPackages[[#This Row],[Completion date serial]]-tblWorkPackages[[#This Row],[Due date serial]])</f>
        <v>0</v>
      </c>
      <c r="AD212" s="65">
        <f>tblWorkPackages[[#This Row],[First labor date]]-tblWorkPackages[[#This Row],[Request date serial]]</f>
        <v>4</v>
      </c>
      <c r="AE212" s="65">
        <f>tblWorkPackages[[#This Row],[Last labor date]]-tblWorkPackages[[#This Row],[First labor date]]</f>
        <v>1</v>
      </c>
      <c r="AF212" s="65">
        <f>tblWorkPackages[[#This Row],[Completion date serial]]-tblWorkPackages[[#This Row],[Last labor date]]</f>
        <v>2</v>
      </c>
      <c r="AG212" s="65">
        <f>tblWorkPackages[[#This Row],[Completion date serial]]-tblWorkPackages[[#This Row],[Request date serial]]</f>
        <v>7</v>
      </c>
      <c r="AH212" s="65">
        <f>IFERROR(INDEX(tblParts[Delay days],MATCH(tblWorkPackages[[#This Row],[Work package ID]],tblParts[Work package ID],0)),0)</f>
        <v>0</v>
      </c>
      <c r="AI212" s="51" t="str">
        <f>IFERROR(INDEX(tblDisruptions[Event type],MATCH(tblWorkPackages[[#This Row],[Work package ID]],tblDisruptions[Work package ID],0)),"None")</f>
        <v>None</v>
      </c>
      <c r="AJ212" s="51" t="str">
        <f>TEXT(tblWorkPackages[[#This Row],[Due date serial]],"yyyy-mm")</f>
        <v>2024-09</v>
      </c>
    </row>
    <row r="213" spans="1:36" ht="15" x14ac:dyDescent="0.25">
      <c r="A213" s="53" t="s">
        <v>801</v>
      </c>
      <c r="B213" s="53" t="s">
        <v>168</v>
      </c>
      <c r="C213" s="53" t="s">
        <v>442</v>
      </c>
      <c r="D213" s="53" t="s">
        <v>802</v>
      </c>
      <c r="E213" s="53" t="s">
        <v>153</v>
      </c>
      <c r="F213" s="53" t="s">
        <v>128</v>
      </c>
      <c r="G213" s="53" t="s">
        <v>154</v>
      </c>
      <c r="H213" s="53">
        <v>3</v>
      </c>
      <c r="I213" s="53" t="s">
        <v>130</v>
      </c>
      <c r="J213" s="53">
        <v>0</v>
      </c>
      <c r="K213" s="53">
        <v>0</v>
      </c>
      <c r="L213" s="53">
        <v>14.1</v>
      </c>
      <c r="M213" s="53" t="s">
        <v>215</v>
      </c>
      <c r="N213" s="53">
        <v>16</v>
      </c>
      <c r="O213" s="51" t="str">
        <f>TEXT(tblWorkPackages[[#This Row],[Request date serial]]-WEEKDAY(tblWorkPackages[[#This Row],[Request date serial]],3),"yyyy-mm-dd")</f>
        <v>2024-02-05</v>
      </c>
      <c r="P213" s="51">
        <f>ABS(tblWorkPackages[[#This Row],[Actual labor hours]]-tblWorkPackages[[#This Row],[Estimated labor hours]])</f>
        <v>1.9</v>
      </c>
      <c r="Q213" s="51">
        <f>IF(tblWorkPackages[[#This Row],[Actual labor hours]]&gt;tblWorkPackages[[#This Row],[Estimated labor hours]],1,0)</f>
        <v>1</v>
      </c>
      <c r="R213" s="51">
        <f>tblWorkPackages[[#This Row],[Actual labor hours]]-tblWorkPackages[[#This Row],[Estimated labor hours]]</f>
        <v>1.9</v>
      </c>
      <c r="S213" s="51" t="str">
        <f>IF(tblWorkPackages[[#This Row],[Request date serial]]&lt;ValidationStart,"Train 2024",IF(tblWorkPackages[[#This Row],[Request date serial]]&lt;HoldoutStart,"Validation H1","Holdout H2"))</f>
        <v>Train 2024</v>
      </c>
      <c r="T213" s="51" t="str">
        <f>IF(tblWorkPackages[[#This Row],[Time split]]="Train 2024","",tblWorkPackages[[#This Row],[Estimated labor hours]]+VLOOKUP(tblWorkPackages[[#This Row],[Task type]],'Forecast validation'!$A$14:$E$25,IF(tblWorkPackages[[#This Row],[Time split]]="Validation H1",4,5),FALSE()))</f>
        <v/>
      </c>
      <c r="U213" s="51" t="str">
        <f>IF(tblWorkPackages[[#This Row],[Calibrated forecast hours]]="","",ABS(tblWorkPackages[[#This Row],[Actual labor hours]]-tblWorkPackages[[#This Row],[Calibrated forecast hours]]))</f>
        <v/>
      </c>
      <c r="V213" s="51">
        <f>IF(tblWorkPackages[[#This Row],[Time split]]="Train 2024",tblWorkPackages[[#This Row],[Estimated labor hours]],tblWorkPackages[[#This Row],[Calibrated forecast hours]])</f>
        <v>14.1</v>
      </c>
      <c r="W213" s="64">
        <f>DATEVALUE(tblWorkPackages[[#This Row],[Request date]])</f>
        <v>45330.0</v>
      </c>
      <c r="X213" s="64">
        <f>DATEVALUE(tblWorkPackages[[#This Row],[Due date]])</f>
        <v>45343.0</v>
      </c>
      <c r="Y213" s="64">
        <f>DATEVALUE(tblWorkPackages[[#This Row],[Completion date]])</f>
        <v>45336.0</v>
      </c>
      <c r="Z213" s="64">
        <f>_xlfn.MINIFS(tblLaborEntries[Work date serial],tblLaborEntries[Work package ID],tblWorkPackages[[#This Row],[Work package ID]])</f>
        <v>45331.0</v>
      </c>
      <c r="AA213" s="64">
        <f>_xlfn.MAXIFS(tblLaborEntries[Work date serial],tblLaborEntries[Work package ID],tblWorkPackages[[#This Row],[Work package ID]])</f>
        <v>45333.0</v>
      </c>
      <c r="AB213" s="65">
        <f>IF(tblWorkPackages[[#This Row],[Completion date serial]]&gt;tblWorkPackages[[#This Row],[Due date serial]],1,0)</f>
        <v>0</v>
      </c>
      <c r="AC213" s="65">
        <f>MAX(0,tblWorkPackages[[#This Row],[Completion date serial]]-tblWorkPackages[[#This Row],[Due date serial]])</f>
        <v>0</v>
      </c>
      <c r="AD213" s="65">
        <f>tblWorkPackages[[#This Row],[First labor date]]-tblWorkPackages[[#This Row],[Request date serial]]</f>
        <v>1</v>
      </c>
      <c r="AE213" s="65">
        <f>tblWorkPackages[[#This Row],[Last labor date]]-tblWorkPackages[[#This Row],[First labor date]]</f>
        <v>2</v>
      </c>
      <c r="AF213" s="65">
        <f>tblWorkPackages[[#This Row],[Completion date serial]]-tblWorkPackages[[#This Row],[Last labor date]]</f>
        <v>3</v>
      </c>
      <c r="AG213" s="65">
        <f>tblWorkPackages[[#This Row],[Completion date serial]]-tblWorkPackages[[#This Row],[Request date serial]]</f>
        <v>6</v>
      </c>
      <c r="AH213" s="65">
        <f>IFERROR(INDEX(tblParts[Delay days],MATCH(tblWorkPackages[[#This Row],[Work package ID]],tblParts[Work package ID],0)),0)</f>
        <v>0</v>
      </c>
      <c r="AI213" s="51" t="str">
        <f>IFERROR(INDEX(tblDisruptions[Event type],MATCH(tblWorkPackages[[#This Row],[Work package ID]],tblDisruptions[Work package ID],0)),"None")</f>
        <v>None</v>
      </c>
      <c r="AJ213" s="51" t="str">
        <f>TEXT(tblWorkPackages[[#This Row],[Due date serial]],"yyyy-mm")</f>
        <v>2024-02</v>
      </c>
    </row>
    <row r="214" spans="1:36" ht="15" x14ac:dyDescent="0.25">
      <c r="A214" s="53" t="s">
        <v>803</v>
      </c>
      <c r="B214" s="53" t="s">
        <v>163</v>
      </c>
      <c r="C214" s="53" t="s">
        <v>773</v>
      </c>
      <c r="D214" s="53" t="s">
        <v>701</v>
      </c>
      <c r="E214" s="53" t="s">
        <v>181</v>
      </c>
      <c r="F214" s="53" t="s">
        <v>182</v>
      </c>
      <c r="G214" s="53" t="s">
        <v>138</v>
      </c>
      <c r="H214" s="53">
        <v>2</v>
      </c>
      <c r="I214" s="53" t="s">
        <v>176</v>
      </c>
      <c r="J214" s="53">
        <v>0</v>
      </c>
      <c r="K214" s="53">
        <v>1</v>
      </c>
      <c r="L214" s="53">
        <v>8</v>
      </c>
      <c r="M214" s="53" t="s">
        <v>663</v>
      </c>
      <c r="N214" s="53">
        <v>6.6</v>
      </c>
      <c r="O214" s="51" t="str">
        <f>TEXT(tblWorkPackages[[#This Row],[Request date serial]]-WEEKDAY(tblWorkPackages[[#This Row],[Request date serial]],3),"yyyy-mm-dd")</f>
        <v>2024-03-04</v>
      </c>
      <c r="P214" s="51">
        <f>ABS(tblWorkPackages[[#This Row],[Actual labor hours]]-tblWorkPackages[[#This Row],[Estimated labor hours]])</f>
        <v>1.4</v>
      </c>
      <c r="Q214" s="51">
        <f>IF(tblWorkPackages[[#This Row],[Actual labor hours]]&gt;tblWorkPackages[[#This Row],[Estimated labor hours]],1,0)</f>
        <v>0</v>
      </c>
      <c r="R214" s="51">
        <f>tblWorkPackages[[#This Row],[Actual labor hours]]-tblWorkPackages[[#This Row],[Estimated labor hours]]</f>
        <v>-1.4</v>
      </c>
      <c r="S214" s="51" t="str">
        <f>IF(tblWorkPackages[[#This Row],[Request date serial]]&lt;ValidationStart,"Train 2024",IF(tblWorkPackages[[#This Row],[Request date serial]]&lt;HoldoutStart,"Validation H1","Holdout H2"))</f>
        <v>Train 2024</v>
      </c>
      <c r="T214" s="51" t="str">
        <f>IF(tblWorkPackages[[#This Row],[Time split]]="Train 2024","",tblWorkPackages[[#This Row],[Estimated labor hours]]+VLOOKUP(tblWorkPackages[[#This Row],[Task type]],'Forecast validation'!$A$14:$E$25,IF(tblWorkPackages[[#This Row],[Time split]]="Validation H1",4,5),FALSE()))</f>
        <v/>
      </c>
      <c r="U214" s="51" t="str">
        <f>IF(tblWorkPackages[[#This Row],[Calibrated forecast hours]]="","",ABS(tblWorkPackages[[#This Row],[Actual labor hours]]-tblWorkPackages[[#This Row],[Calibrated forecast hours]]))</f>
        <v/>
      </c>
      <c r="V214" s="51">
        <f>IF(tblWorkPackages[[#This Row],[Time split]]="Train 2024",tblWorkPackages[[#This Row],[Estimated labor hours]],tblWorkPackages[[#This Row],[Calibrated forecast hours]])</f>
        <v>8</v>
      </c>
      <c r="W214" s="64">
        <f>DATEVALUE(tblWorkPackages[[#This Row],[Request date]])</f>
        <v>45356.0</v>
      </c>
      <c r="X214" s="64">
        <f>DATEVALUE(tblWorkPackages[[#This Row],[Due date]])</f>
        <v>45362.0</v>
      </c>
      <c r="Y214" s="64">
        <f>DATEVALUE(tblWorkPackages[[#This Row],[Completion date]])</f>
        <v>45366.0</v>
      </c>
      <c r="Z214" s="64">
        <f>_xlfn.MINIFS(tblLaborEntries[Work date serial],tblLaborEntries[Work package ID],tblWorkPackages[[#This Row],[Work package ID]])</f>
        <v>45366.0</v>
      </c>
      <c r="AA214" s="64">
        <f>_xlfn.MAXIFS(tblLaborEntries[Work date serial],tblLaborEntries[Work package ID],tblWorkPackages[[#This Row],[Work package ID]])</f>
        <v>45366.0</v>
      </c>
      <c r="AB214" s="65">
        <f>IF(tblWorkPackages[[#This Row],[Completion date serial]]&gt;tblWorkPackages[[#This Row],[Due date serial]],1,0)</f>
        <v>1</v>
      </c>
      <c r="AC214" s="65">
        <f>MAX(0,tblWorkPackages[[#This Row],[Completion date serial]]-tblWorkPackages[[#This Row],[Due date serial]])</f>
        <v>4</v>
      </c>
      <c r="AD214" s="65">
        <f>tblWorkPackages[[#This Row],[First labor date]]-tblWorkPackages[[#This Row],[Request date serial]]</f>
        <v>10</v>
      </c>
      <c r="AE214" s="65">
        <f>tblWorkPackages[[#This Row],[Last labor date]]-tblWorkPackages[[#This Row],[First labor date]]</f>
        <v>0</v>
      </c>
      <c r="AF214" s="65">
        <f>tblWorkPackages[[#This Row],[Completion date serial]]-tblWorkPackages[[#This Row],[Last labor date]]</f>
        <v>0</v>
      </c>
      <c r="AG214" s="65">
        <f>tblWorkPackages[[#This Row],[Completion date serial]]-tblWorkPackages[[#This Row],[Request date serial]]</f>
        <v>10</v>
      </c>
      <c r="AH214" s="65">
        <f>IFERROR(INDEX(tblParts[Delay days],MATCH(tblWorkPackages[[#This Row],[Work package ID]],tblParts[Work package ID],0)),0)</f>
        <v>0</v>
      </c>
      <c r="AI214" s="51" t="str">
        <f>IFERROR(INDEX(tblDisruptions[Event type],MATCH(tblWorkPackages[[#This Row],[Work package ID]],tblDisruptions[Work package ID],0)),"None")</f>
        <v>None</v>
      </c>
      <c r="AJ214" s="51" t="str">
        <f>TEXT(tblWorkPackages[[#This Row],[Due date serial]],"yyyy-mm")</f>
        <v>2024-03</v>
      </c>
    </row>
    <row r="215" spans="1:36" ht="15" x14ac:dyDescent="0.25">
      <c r="A215" s="53" t="s">
        <v>804</v>
      </c>
      <c r="B215" s="53" t="s">
        <v>235</v>
      </c>
      <c r="C215" s="53" t="s">
        <v>805</v>
      </c>
      <c r="D215" s="53" t="s">
        <v>148</v>
      </c>
      <c r="E215" s="53" t="s">
        <v>127</v>
      </c>
      <c r="F215" s="53" t="s">
        <v>128</v>
      </c>
      <c r="G215" s="53" t="s">
        <v>129</v>
      </c>
      <c r="H215" s="53">
        <v>3</v>
      </c>
      <c r="I215" s="53" t="s">
        <v>130</v>
      </c>
      <c r="J215" s="53">
        <v>0</v>
      </c>
      <c r="K215" s="53">
        <v>0</v>
      </c>
      <c r="L215" s="53">
        <v>10.199999999999999</v>
      </c>
      <c r="M215" s="53" t="s">
        <v>748</v>
      </c>
      <c r="N215" s="53">
        <v>9.1</v>
      </c>
      <c r="O215" s="51" t="str">
        <f>TEXT(tblWorkPackages[[#This Row],[Request date serial]]-WEEKDAY(tblWorkPackages[[#This Row],[Request date serial]],3),"yyyy-mm-dd")</f>
        <v>2024-02-12</v>
      </c>
      <c r="P215" s="51">
        <f>ABS(tblWorkPackages[[#This Row],[Actual labor hours]]-tblWorkPackages[[#This Row],[Estimated labor hours]])</f>
        <v>1.1</v>
      </c>
      <c r="Q215" s="51">
        <f>IF(tblWorkPackages[[#This Row],[Actual labor hours]]&gt;tblWorkPackages[[#This Row],[Estimated labor hours]],1,0)</f>
        <v>0</v>
      </c>
      <c r="R215" s="51">
        <f>tblWorkPackages[[#This Row],[Actual labor hours]]-tblWorkPackages[[#This Row],[Estimated labor hours]]</f>
        <v>-1.1</v>
      </c>
      <c r="S215" s="51" t="str">
        <f>IF(tblWorkPackages[[#This Row],[Request date serial]]&lt;ValidationStart,"Train 2024",IF(tblWorkPackages[[#This Row],[Request date serial]]&lt;HoldoutStart,"Validation H1","Holdout H2"))</f>
        <v>Train 2024</v>
      </c>
      <c r="T215" s="51" t="str">
        <f>IF(tblWorkPackages[[#This Row],[Time split]]="Train 2024","",tblWorkPackages[[#This Row],[Estimated labor hours]]+VLOOKUP(tblWorkPackages[[#This Row],[Task type]],'Forecast validation'!$A$14:$E$25,IF(tblWorkPackages[[#This Row],[Time split]]="Validation H1",4,5),FALSE()))</f>
        <v/>
      </c>
      <c r="U215" s="51" t="str">
        <f>IF(tblWorkPackages[[#This Row],[Calibrated forecast hours]]="","",ABS(tblWorkPackages[[#This Row],[Actual labor hours]]-tblWorkPackages[[#This Row],[Calibrated forecast hours]]))</f>
        <v/>
      </c>
      <c r="V215" s="51">
        <f>IF(tblWorkPackages[[#This Row],[Time split]]="Train 2024",tblWorkPackages[[#This Row],[Estimated labor hours]],tblWorkPackages[[#This Row],[Calibrated forecast hours]])</f>
        <v>10.2</v>
      </c>
      <c r="W215" s="64">
        <f>DATEVALUE(tblWorkPackages[[#This Row],[Request date]])</f>
        <v>45335.0</v>
      </c>
      <c r="X215" s="64">
        <f>DATEVALUE(tblWorkPackages[[#This Row],[Due date]])</f>
        <v>45348.0</v>
      </c>
      <c r="Y215" s="64">
        <f>DATEVALUE(tblWorkPackages[[#This Row],[Completion date]])</f>
        <v>45339.0</v>
      </c>
      <c r="Z215" s="64">
        <f>_xlfn.MINIFS(tblLaborEntries[Work date serial],tblLaborEntries[Work package ID],tblWorkPackages[[#This Row],[Work package ID]])</f>
        <v>45338.0</v>
      </c>
      <c r="AA215" s="64">
        <f>_xlfn.MAXIFS(tblLaborEntries[Work date serial],tblLaborEntries[Work package ID],tblWorkPackages[[#This Row],[Work package ID]])</f>
        <v>45338.0</v>
      </c>
      <c r="AB215" s="65">
        <f>IF(tblWorkPackages[[#This Row],[Completion date serial]]&gt;tblWorkPackages[[#This Row],[Due date serial]],1,0)</f>
        <v>0</v>
      </c>
      <c r="AC215" s="65">
        <f>MAX(0,tblWorkPackages[[#This Row],[Completion date serial]]-tblWorkPackages[[#This Row],[Due date serial]])</f>
        <v>0</v>
      </c>
      <c r="AD215" s="65">
        <f>tblWorkPackages[[#This Row],[First labor date]]-tblWorkPackages[[#This Row],[Request date serial]]</f>
        <v>3</v>
      </c>
      <c r="AE215" s="65">
        <f>tblWorkPackages[[#This Row],[Last labor date]]-tblWorkPackages[[#This Row],[First labor date]]</f>
        <v>0</v>
      </c>
      <c r="AF215" s="65">
        <f>tblWorkPackages[[#This Row],[Completion date serial]]-tblWorkPackages[[#This Row],[Last labor date]]</f>
        <v>1</v>
      </c>
      <c r="AG215" s="65">
        <f>tblWorkPackages[[#This Row],[Completion date serial]]-tblWorkPackages[[#This Row],[Request date serial]]</f>
        <v>4</v>
      </c>
      <c r="AH215" s="65">
        <f>IFERROR(INDEX(tblParts[Delay days],MATCH(tblWorkPackages[[#This Row],[Work package ID]],tblParts[Work package ID],0)),0)</f>
        <v>0</v>
      </c>
      <c r="AI215" s="51" t="str">
        <f>IFERROR(INDEX(tblDisruptions[Event type],MATCH(tblWorkPackages[[#This Row],[Work package ID]],tblDisruptions[Work package ID],0)),"None")</f>
        <v>None</v>
      </c>
      <c r="AJ215" s="51" t="str">
        <f>TEXT(tblWorkPackages[[#This Row],[Due date serial]],"yyyy-mm")</f>
        <v>2024-02</v>
      </c>
    </row>
    <row r="216" spans="1:36" ht="15" x14ac:dyDescent="0.25">
      <c r="A216" s="53" t="s">
        <v>806</v>
      </c>
      <c r="B216" s="53" t="s">
        <v>133</v>
      </c>
      <c r="C216" s="53" t="s">
        <v>807</v>
      </c>
      <c r="D216" s="53" t="s">
        <v>808</v>
      </c>
      <c r="E216" s="53" t="s">
        <v>181</v>
      </c>
      <c r="F216" s="53" t="s">
        <v>182</v>
      </c>
      <c r="G216" s="53" t="s">
        <v>138</v>
      </c>
      <c r="H216" s="53">
        <v>2</v>
      </c>
      <c r="I216" s="53" t="s">
        <v>130</v>
      </c>
      <c r="J216" s="53">
        <v>0</v>
      </c>
      <c r="K216" s="53">
        <v>0</v>
      </c>
      <c r="L216" s="53">
        <v>8.1999999999999993</v>
      </c>
      <c r="M216" s="53" t="s">
        <v>518</v>
      </c>
      <c r="N216" s="53">
        <v>7.7</v>
      </c>
      <c r="O216" s="51" t="str">
        <f>TEXT(tblWorkPackages[[#This Row],[Request date serial]]-WEEKDAY(tblWorkPackages[[#This Row],[Request date serial]],3),"yyyy-mm-dd")</f>
        <v>2025-04-14</v>
      </c>
      <c r="P216" s="51">
        <f>ABS(tblWorkPackages[[#This Row],[Actual labor hours]]-tblWorkPackages[[#This Row],[Estimated labor hours]])</f>
        <v>0.499999999999999</v>
      </c>
      <c r="Q216" s="51">
        <f>IF(tblWorkPackages[[#This Row],[Actual labor hours]]&gt;tblWorkPackages[[#This Row],[Estimated labor hours]],1,0)</f>
        <v>0</v>
      </c>
      <c r="R216" s="51">
        <f>tblWorkPackages[[#This Row],[Actual labor hours]]-tblWorkPackages[[#This Row],[Estimated labor hours]]</f>
        <v>-0.499999999999999</v>
      </c>
      <c r="S216" s="51" t="str">
        <f>IF(tblWorkPackages[[#This Row],[Request date serial]]&lt;ValidationStart,"Train 2024",IF(tblWorkPackages[[#This Row],[Request date serial]]&lt;HoldoutStart,"Validation H1","Holdout H2"))</f>
        <v>Validation H1</v>
      </c>
      <c r="T216" s="51">
        <f>IF(tblWorkPackages[[#This Row],[Time split]]="Train 2024","",tblWorkPackages[[#This Row],[Estimated labor hours]]+VLOOKUP(tblWorkPackages[[#This Row],[Task type]],'Forecast validation'!$A$14:$E$25,IF(tblWorkPackages[[#This Row],[Time split]]="Validation H1",4,5),FALSE()))</f>
        <v>8.78409090909091</v>
      </c>
      <c r="U216" s="51">
        <f>IF(tblWorkPackages[[#This Row],[Calibrated forecast hours]]="","",ABS(tblWorkPackages[[#This Row],[Actual labor hours]]-tblWorkPackages[[#This Row],[Calibrated forecast hours]]))</f>
        <v>1.08409090909091</v>
      </c>
      <c r="V216" s="51">
        <f>IF(tblWorkPackages[[#This Row],[Time split]]="Train 2024",tblWorkPackages[[#This Row],[Estimated labor hours]],tblWorkPackages[[#This Row],[Calibrated forecast hours]])</f>
        <v>8.78409090909091</v>
      </c>
      <c r="W216" s="64">
        <f>DATEVALUE(tblWorkPackages[[#This Row],[Request date]])</f>
        <v>45766.0</v>
      </c>
      <c r="X216" s="64">
        <f>DATEVALUE(tblWorkPackages[[#This Row],[Due date]])</f>
        <v>45779.0</v>
      </c>
      <c r="Y216" s="64">
        <f>DATEVALUE(tblWorkPackages[[#This Row],[Completion date]])</f>
        <v>45794.0</v>
      </c>
      <c r="Z216" s="64">
        <f>_xlfn.MINIFS(tblLaborEntries[Work date serial],tblLaborEntries[Work package ID],tblWorkPackages[[#This Row],[Work package ID]])</f>
        <v>45792.0</v>
      </c>
      <c r="AA216" s="64">
        <f>_xlfn.MAXIFS(tblLaborEntries[Work date serial],tblLaborEntries[Work package ID],tblWorkPackages[[#This Row],[Work package ID]])</f>
        <v>45792.0</v>
      </c>
      <c r="AB216" s="65">
        <f>IF(tblWorkPackages[[#This Row],[Completion date serial]]&gt;tblWorkPackages[[#This Row],[Due date serial]],1,0)</f>
        <v>1</v>
      </c>
      <c r="AC216" s="65">
        <f>MAX(0,tblWorkPackages[[#This Row],[Completion date serial]]-tblWorkPackages[[#This Row],[Due date serial]])</f>
        <v>15</v>
      </c>
      <c r="AD216" s="65">
        <f>tblWorkPackages[[#This Row],[First labor date]]-tblWorkPackages[[#This Row],[Request date serial]]</f>
        <v>26</v>
      </c>
      <c r="AE216" s="65">
        <f>tblWorkPackages[[#This Row],[Last labor date]]-tblWorkPackages[[#This Row],[First labor date]]</f>
        <v>0</v>
      </c>
      <c r="AF216" s="65">
        <f>tblWorkPackages[[#This Row],[Completion date serial]]-tblWorkPackages[[#This Row],[Last labor date]]</f>
        <v>2</v>
      </c>
      <c r="AG216" s="65">
        <f>tblWorkPackages[[#This Row],[Completion date serial]]-tblWorkPackages[[#This Row],[Request date serial]]</f>
        <v>28</v>
      </c>
      <c r="AH216" s="65">
        <f>IFERROR(INDEX(tblParts[Delay days],MATCH(tblWorkPackages[[#This Row],[Work package ID]],tblParts[Work package ID],0)),0)</f>
        <v>0</v>
      </c>
      <c r="AI216" s="51" t="str">
        <f>IFERROR(INDEX(tblDisruptions[Event type],MATCH(tblWorkPackages[[#This Row],[Work package ID]],tblDisruptions[Work package ID],0)),"None")</f>
        <v>None</v>
      </c>
      <c r="AJ216" s="51" t="str">
        <f>TEXT(tblWorkPackages[[#This Row],[Due date serial]],"yyyy-mm")</f>
        <v>2025-05</v>
      </c>
    </row>
    <row r="217" spans="1:36" ht="15" x14ac:dyDescent="0.25">
      <c r="A217" s="53" t="s">
        <v>809</v>
      </c>
      <c r="B217" s="53" t="s">
        <v>163</v>
      </c>
      <c r="C217" s="53" t="s">
        <v>532</v>
      </c>
      <c r="D217" s="53" t="s">
        <v>810</v>
      </c>
      <c r="E217" s="53" t="s">
        <v>237</v>
      </c>
      <c r="F217" s="53" t="s">
        <v>182</v>
      </c>
      <c r="G217" s="53" t="s">
        <v>138</v>
      </c>
      <c r="H217" s="53">
        <v>4</v>
      </c>
      <c r="I217" s="53" t="s">
        <v>130</v>
      </c>
      <c r="J217" s="53">
        <v>0</v>
      </c>
      <c r="K217" s="53">
        <v>1</v>
      </c>
      <c r="L217" s="53">
        <v>8.3000000000000007</v>
      </c>
      <c r="M217" s="53" t="s">
        <v>790</v>
      </c>
      <c r="N217" s="53">
        <v>10.5</v>
      </c>
      <c r="O217" s="51" t="str">
        <f>TEXT(tblWorkPackages[[#This Row],[Request date serial]]-WEEKDAY(tblWorkPackages[[#This Row],[Request date serial]],3),"yyyy-mm-dd")</f>
        <v>2025-09-01</v>
      </c>
      <c r="P217" s="51">
        <f>ABS(tblWorkPackages[[#This Row],[Actual labor hours]]-tblWorkPackages[[#This Row],[Estimated labor hours]])</f>
        <v>2.2</v>
      </c>
      <c r="Q217" s="51">
        <f>IF(tblWorkPackages[[#This Row],[Actual labor hours]]&gt;tblWorkPackages[[#This Row],[Estimated labor hours]],1,0)</f>
        <v>1</v>
      </c>
      <c r="R217" s="51">
        <f>tblWorkPackages[[#This Row],[Actual labor hours]]-tblWorkPackages[[#This Row],[Estimated labor hours]]</f>
        <v>2.2</v>
      </c>
      <c r="S217" s="51" t="str">
        <f>IF(tblWorkPackages[[#This Row],[Request date serial]]&lt;ValidationStart,"Train 2024",IF(tblWorkPackages[[#This Row],[Request date serial]]&lt;HoldoutStart,"Validation H1","Holdout H2"))</f>
        <v>Holdout H2</v>
      </c>
      <c r="T217" s="51">
        <f>IF(tblWorkPackages[[#This Row],[Time split]]="Train 2024","",tblWorkPackages[[#This Row],[Estimated labor hours]]+VLOOKUP(tblWorkPackages[[#This Row],[Task type]],'Forecast validation'!$A$14:$E$25,IF(tblWorkPackages[[#This Row],[Time split]]="Validation H1",4,5),FALSE()))</f>
        <v>8.753125</v>
      </c>
      <c r="U217" s="51">
        <f>IF(tblWorkPackages[[#This Row],[Calibrated forecast hours]]="","",ABS(tblWorkPackages[[#This Row],[Actual labor hours]]-tblWorkPackages[[#This Row],[Calibrated forecast hours]]))</f>
        <v>1.746875</v>
      </c>
      <c r="V217" s="51">
        <f>IF(tblWorkPackages[[#This Row],[Time split]]="Train 2024",tblWorkPackages[[#This Row],[Estimated labor hours]],tblWorkPackages[[#This Row],[Calibrated forecast hours]])</f>
        <v>8.753125</v>
      </c>
      <c r="W217" s="64">
        <f>DATEVALUE(tblWorkPackages[[#This Row],[Request date]])</f>
        <v>45904.0</v>
      </c>
      <c r="X217" s="64">
        <f>DATEVALUE(tblWorkPackages[[#This Row],[Due date]])</f>
        <v>45917.0</v>
      </c>
      <c r="Y217" s="64">
        <f>DATEVALUE(tblWorkPackages[[#This Row],[Completion date]])</f>
        <v>45916.0</v>
      </c>
      <c r="Z217" s="64">
        <f>_xlfn.MINIFS(tblLaborEntries[Work date serial],tblLaborEntries[Work package ID],tblWorkPackages[[#This Row],[Work package ID]])</f>
        <v>45911.0</v>
      </c>
      <c r="AA217" s="64">
        <f>_xlfn.MAXIFS(tblLaborEntries[Work date serial],tblLaborEntries[Work package ID],tblWorkPackages[[#This Row],[Work package ID]])</f>
        <v>45913.0</v>
      </c>
      <c r="AB217" s="65">
        <f>IF(tblWorkPackages[[#This Row],[Completion date serial]]&gt;tblWorkPackages[[#This Row],[Due date serial]],1,0)</f>
        <v>0</v>
      </c>
      <c r="AC217" s="65">
        <f>MAX(0,tblWorkPackages[[#This Row],[Completion date serial]]-tblWorkPackages[[#This Row],[Due date serial]])</f>
        <v>0</v>
      </c>
      <c r="AD217" s="65">
        <f>tblWorkPackages[[#This Row],[First labor date]]-tblWorkPackages[[#This Row],[Request date serial]]</f>
        <v>7</v>
      </c>
      <c r="AE217" s="65">
        <f>tblWorkPackages[[#This Row],[Last labor date]]-tblWorkPackages[[#This Row],[First labor date]]</f>
        <v>2</v>
      </c>
      <c r="AF217" s="65">
        <f>tblWorkPackages[[#This Row],[Completion date serial]]-tblWorkPackages[[#This Row],[Last labor date]]</f>
        <v>3</v>
      </c>
      <c r="AG217" s="65">
        <f>tblWorkPackages[[#This Row],[Completion date serial]]-tblWorkPackages[[#This Row],[Request date serial]]</f>
        <v>12</v>
      </c>
      <c r="AH217" s="65">
        <f>IFERROR(INDEX(tblParts[Delay days],MATCH(tblWorkPackages[[#This Row],[Work package ID]],tblParts[Work package ID],0)),0)</f>
        <v>3</v>
      </c>
      <c r="AI217" s="51" t="str">
        <f>IFERROR(INDEX(tblDisruptions[Event type],MATCH(tblWorkPackages[[#This Row],[Work package ID]],tblDisruptions[Work package ID],0)),"None")</f>
        <v>Part delay</v>
      </c>
      <c r="AJ217" s="51" t="str">
        <f>TEXT(tblWorkPackages[[#This Row],[Due date serial]],"yyyy-mm")</f>
        <v>2025-09</v>
      </c>
    </row>
    <row r="218" spans="1:36" ht="15" x14ac:dyDescent="0.25">
      <c r="A218" s="53" t="s">
        <v>811</v>
      </c>
      <c r="B218" s="53" t="s">
        <v>163</v>
      </c>
      <c r="C218" s="53" t="s">
        <v>334</v>
      </c>
      <c r="D218" s="53" t="s">
        <v>652</v>
      </c>
      <c r="E218" s="53" t="s">
        <v>209</v>
      </c>
      <c r="F218" s="53" t="s">
        <v>145</v>
      </c>
      <c r="G218" s="53" t="s">
        <v>210</v>
      </c>
      <c r="H218" s="53">
        <v>3</v>
      </c>
      <c r="I218" s="53" t="s">
        <v>130</v>
      </c>
      <c r="J218" s="53">
        <v>0</v>
      </c>
      <c r="K218" s="53">
        <v>1</v>
      </c>
      <c r="L218" s="53">
        <v>24.5</v>
      </c>
      <c r="M218" s="53" t="s">
        <v>812</v>
      </c>
      <c r="N218" s="53">
        <v>22</v>
      </c>
      <c r="O218" s="51" t="str">
        <f>TEXT(tblWorkPackages[[#This Row],[Request date serial]]-WEEKDAY(tblWorkPackages[[#This Row],[Request date serial]],3),"yyyy-mm-dd")</f>
        <v>2025-11-24</v>
      </c>
      <c r="P218" s="51">
        <f>ABS(tblWorkPackages[[#This Row],[Actual labor hours]]-tblWorkPackages[[#This Row],[Estimated labor hours]])</f>
        <v>2.5</v>
      </c>
      <c r="Q218" s="51">
        <f>IF(tblWorkPackages[[#This Row],[Actual labor hours]]&gt;tblWorkPackages[[#This Row],[Estimated labor hours]],1,0)</f>
        <v>0</v>
      </c>
      <c r="R218" s="51">
        <f>tblWorkPackages[[#This Row],[Actual labor hours]]-tblWorkPackages[[#This Row],[Estimated labor hours]]</f>
        <v>-2.5</v>
      </c>
      <c r="S218" s="51" t="str">
        <f>IF(tblWorkPackages[[#This Row],[Request date serial]]&lt;ValidationStart,"Train 2024",IF(tblWorkPackages[[#This Row],[Request date serial]]&lt;HoldoutStart,"Validation H1","Holdout H2"))</f>
        <v>Holdout H2</v>
      </c>
      <c r="T218" s="51">
        <f>IF(tblWorkPackages[[#This Row],[Time split]]="Train 2024","",tblWorkPackages[[#This Row],[Estimated labor hours]]+VLOOKUP(tblWorkPackages[[#This Row],[Task type]],'Forecast validation'!$A$14:$E$25,IF(tblWorkPackages[[#This Row],[Time split]]="Validation H1",4,5),FALSE()))</f>
        <v>26.295652173913</v>
      </c>
      <c r="U218" s="51">
        <f>IF(tblWorkPackages[[#This Row],[Calibrated forecast hours]]="","",ABS(tblWorkPackages[[#This Row],[Actual labor hours]]-tblWorkPackages[[#This Row],[Calibrated forecast hours]]))</f>
        <v>4.29565217391304</v>
      </c>
      <c r="V218" s="51">
        <f>IF(tblWorkPackages[[#This Row],[Time split]]="Train 2024",tblWorkPackages[[#This Row],[Estimated labor hours]],tblWorkPackages[[#This Row],[Calibrated forecast hours]])</f>
        <v>26.295652173913</v>
      </c>
      <c r="W218" s="64">
        <f>DATEVALUE(tblWorkPackages[[#This Row],[Request date]])</f>
        <v>45990.0</v>
      </c>
      <c r="X218" s="64">
        <f>DATEVALUE(tblWorkPackages[[#This Row],[Due date]])</f>
        <v>46003.0</v>
      </c>
      <c r="Y218" s="64">
        <f>DATEVALUE(tblWorkPackages[[#This Row],[Completion date]])</f>
        <v>45993.0</v>
      </c>
      <c r="Z218" s="64">
        <f>_xlfn.MINIFS(tblLaborEntries[Work date serial],tblLaborEntries[Work package ID],tblWorkPackages[[#This Row],[Work package ID]])</f>
        <v>45991.0</v>
      </c>
      <c r="AA218" s="64">
        <f>_xlfn.MAXIFS(tblLaborEntries[Work date serial],tblLaborEntries[Work package ID],tblWorkPackages[[#This Row],[Work package ID]])</f>
        <v>45993.0</v>
      </c>
      <c r="AB218" s="65">
        <f>IF(tblWorkPackages[[#This Row],[Completion date serial]]&gt;tblWorkPackages[[#This Row],[Due date serial]],1,0)</f>
        <v>0</v>
      </c>
      <c r="AC218" s="65">
        <f>MAX(0,tblWorkPackages[[#This Row],[Completion date serial]]-tblWorkPackages[[#This Row],[Due date serial]])</f>
        <v>0</v>
      </c>
      <c r="AD218" s="65">
        <f>tblWorkPackages[[#This Row],[First labor date]]-tblWorkPackages[[#This Row],[Request date serial]]</f>
        <v>1</v>
      </c>
      <c r="AE218" s="65">
        <f>tblWorkPackages[[#This Row],[Last labor date]]-tblWorkPackages[[#This Row],[First labor date]]</f>
        <v>2</v>
      </c>
      <c r="AF218" s="65">
        <f>tblWorkPackages[[#This Row],[Completion date serial]]-tblWorkPackages[[#This Row],[Last labor date]]</f>
        <v>0</v>
      </c>
      <c r="AG218" s="65">
        <f>tblWorkPackages[[#This Row],[Completion date serial]]-tblWorkPackages[[#This Row],[Request date serial]]</f>
        <v>3</v>
      </c>
      <c r="AH218" s="65">
        <f>IFERROR(INDEX(tblParts[Delay days],MATCH(tblWorkPackages[[#This Row],[Work package ID]],tblParts[Work package ID],0)),0)</f>
        <v>0</v>
      </c>
      <c r="AI218" s="51" t="str">
        <f>IFERROR(INDEX(tblDisruptions[Event type],MATCH(tblWorkPackages[[#This Row],[Work package ID]],tblDisruptions[Work package ID],0)),"None")</f>
        <v>None</v>
      </c>
      <c r="AJ218" s="51" t="str">
        <f>TEXT(tblWorkPackages[[#This Row],[Due date serial]],"yyyy-mm")</f>
        <v>2025-12</v>
      </c>
    </row>
    <row r="219" spans="1:36" ht="15" x14ac:dyDescent="0.25">
      <c r="A219" s="53" t="s">
        <v>813</v>
      </c>
      <c r="B219" s="53" t="s">
        <v>173</v>
      </c>
      <c r="C219" s="53" t="s">
        <v>400</v>
      </c>
      <c r="D219" s="53" t="s">
        <v>563</v>
      </c>
      <c r="E219" s="53" t="s">
        <v>144</v>
      </c>
      <c r="F219" s="53" t="s">
        <v>145</v>
      </c>
      <c r="G219" s="53" t="s">
        <v>146</v>
      </c>
      <c r="H219" s="53">
        <v>1</v>
      </c>
      <c r="I219" s="53" t="s">
        <v>130</v>
      </c>
      <c r="J219" s="53">
        <v>0</v>
      </c>
      <c r="K219" s="53">
        <v>1</v>
      </c>
      <c r="L219" s="53">
        <v>7.3</v>
      </c>
      <c r="M219" s="53" t="s">
        <v>814</v>
      </c>
      <c r="N219" s="53">
        <v>7.4</v>
      </c>
      <c r="O219" s="51" t="str">
        <f>TEXT(tblWorkPackages[[#This Row],[Request date serial]]-WEEKDAY(tblWorkPackages[[#This Row],[Request date serial]],3),"yyyy-mm-dd")</f>
        <v>2024-05-20</v>
      </c>
      <c r="P219" s="51">
        <f>ABS(tblWorkPackages[[#This Row],[Actual labor hours]]-tblWorkPackages[[#This Row],[Estimated labor hours]])</f>
        <v>0.100000000000001</v>
      </c>
      <c r="Q219" s="51">
        <f>IF(tblWorkPackages[[#This Row],[Actual labor hours]]&gt;tblWorkPackages[[#This Row],[Estimated labor hours]],1,0)</f>
        <v>1</v>
      </c>
      <c r="R219" s="51">
        <f>tblWorkPackages[[#This Row],[Actual labor hours]]-tblWorkPackages[[#This Row],[Estimated labor hours]]</f>
        <v>0.100000000000001</v>
      </c>
      <c r="S219" s="51" t="str">
        <f>IF(tblWorkPackages[[#This Row],[Request date serial]]&lt;ValidationStart,"Train 2024",IF(tblWorkPackages[[#This Row],[Request date serial]]&lt;HoldoutStart,"Validation H1","Holdout H2"))</f>
        <v>Train 2024</v>
      </c>
      <c r="T219" s="51" t="str">
        <f>IF(tblWorkPackages[[#This Row],[Time split]]="Train 2024","",tblWorkPackages[[#This Row],[Estimated labor hours]]+VLOOKUP(tblWorkPackages[[#This Row],[Task type]],'Forecast validation'!$A$14:$E$25,IF(tblWorkPackages[[#This Row],[Time split]]="Validation H1",4,5),FALSE()))</f>
        <v/>
      </c>
      <c r="U219" s="51" t="str">
        <f>IF(tblWorkPackages[[#This Row],[Calibrated forecast hours]]="","",ABS(tblWorkPackages[[#This Row],[Actual labor hours]]-tblWorkPackages[[#This Row],[Calibrated forecast hours]]))</f>
        <v/>
      </c>
      <c r="V219" s="51">
        <f>IF(tblWorkPackages[[#This Row],[Time split]]="Train 2024",tblWorkPackages[[#This Row],[Estimated labor hours]],tblWorkPackages[[#This Row],[Calibrated forecast hours]])</f>
        <v>7.3</v>
      </c>
      <c r="W219" s="64">
        <f>DATEVALUE(tblWorkPackages[[#This Row],[Request date]])</f>
        <v>45434.0</v>
      </c>
      <c r="X219" s="64">
        <f>DATEVALUE(tblWorkPackages[[#This Row],[Due date]])</f>
        <v>45447.0</v>
      </c>
      <c r="Y219" s="64">
        <f>DATEVALUE(tblWorkPackages[[#This Row],[Completion date]])</f>
        <v>45448.0</v>
      </c>
      <c r="Z219" s="64">
        <f>_xlfn.MINIFS(tblLaborEntries[Work date serial],tblLaborEntries[Work package ID],tblWorkPackages[[#This Row],[Work package ID]])</f>
        <v>45447.0</v>
      </c>
      <c r="AA219" s="64">
        <f>_xlfn.MAXIFS(tblLaborEntries[Work date serial],tblLaborEntries[Work package ID],tblWorkPackages[[#This Row],[Work package ID]])</f>
        <v>45447.0</v>
      </c>
      <c r="AB219" s="65">
        <f>IF(tblWorkPackages[[#This Row],[Completion date serial]]&gt;tblWorkPackages[[#This Row],[Due date serial]],1,0)</f>
        <v>1</v>
      </c>
      <c r="AC219" s="65">
        <f>MAX(0,tblWorkPackages[[#This Row],[Completion date serial]]-tblWorkPackages[[#This Row],[Due date serial]])</f>
        <v>1</v>
      </c>
      <c r="AD219" s="65">
        <f>tblWorkPackages[[#This Row],[First labor date]]-tblWorkPackages[[#This Row],[Request date serial]]</f>
        <v>13</v>
      </c>
      <c r="AE219" s="65">
        <f>tblWorkPackages[[#This Row],[Last labor date]]-tblWorkPackages[[#This Row],[First labor date]]</f>
        <v>0</v>
      </c>
      <c r="AF219" s="65">
        <f>tblWorkPackages[[#This Row],[Completion date serial]]-tblWorkPackages[[#This Row],[Last labor date]]</f>
        <v>1</v>
      </c>
      <c r="AG219" s="65">
        <f>tblWorkPackages[[#This Row],[Completion date serial]]-tblWorkPackages[[#This Row],[Request date serial]]</f>
        <v>14</v>
      </c>
      <c r="AH219" s="65">
        <f>IFERROR(INDEX(tblParts[Delay days],MATCH(tblWorkPackages[[#This Row],[Work package ID]],tblParts[Work package ID],0)),0)</f>
        <v>0</v>
      </c>
      <c r="AI219" s="51" t="str">
        <f>IFERROR(INDEX(tblDisruptions[Event type],MATCH(tblWorkPackages[[#This Row],[Work package ID]],tblDisruptions[Work package ID],0)),"None")</f>
        <v>None</v>
      </c>
      <c r="AJ219" s="51" t="str">
        <f>TEXT(tblWorkPackages[[#This Row],[Due date serial]],"yyyy-mm")</f>
        <v>2024-06</v>
      </c>
    </row>
    <row r="220" spans="1:36" ht="15" x14ac:dyDescent="0.25">
      <c r="A220" s="53" t="s">
        <v>815</v>
      </c>
      <c r="B220" s="53" t="s">
        <v>157</v>
      </c>
      <c r="C220" s="53" t="s">
        <v>726</v>
      </c>
      <c r="D220" s="53" t="s">
        <v>400</v>
      </c>
      <c r="E220" s="53" t="s">
        <v>242</v>
      </c>
      <c r="F220" s="53" t="s">
        <v>243</v>
      </c>
      <c r="G220" s="53" t="s">
        <v>129</v>
      </c>
      <c r="H220" s="53">
        <v>1</v>
      </c>
      <c r="I220" s="53" t="s">
        <v>147</v>
      </c>
      <c r="J220" s="53">
        <v>0</v>
      </c>
      <c r="K220" s="53">
        <v>0</v>
      </c>
      <c r="L220" s="53">
        <v>5.8</v>
      </c>
      <c r="M220" s="53" t="s">
        <v>634</v>
      </c>
      <c r="N220" s="53">
        <v>6.1</v>
      </c>
      <c r="O220" s="51" t="str">
        <f>TEXT(tblWorkPackages[[#This Row],[Request date serial]]-WEEKDAY(tblWorkPackages[[#This Row],[Request date serial]],3),"yyyy-mm-dd")</f>
        <v>2024-05-20</v>
      </c>
      <c r="P220" s="51">
        <f>ABS(tblWorkPackages[[#This Row],[Actual labor hours]]-tblWorkPackages[[#This Row],[Estimated labor hours]])</f>
        <v>0.3</v>
      </c>
      <c r="Q220" s="51">
        <f>IF(tblWorkPackages[[#This Row],[Actual labor hours]]&gt;tblWorkPackages[[#This Row],[Estimated labor hours]],1,0)</f>
        <v>1</v>
      </c>
      <c r="R220" s="51">
        <f>tblWorkPackages[[#This Row],[Actual labor hours]]-tblWorkPackages[[#This Row],[Estimated labor hours]]</f>
        <v>0.3</v>
      </c>
      <c r="S220" s="51" t="str">
        <f>IF(tblWorkPackages[[#This Row],[Request date serial]]&lt;ValidationStart,"Train 2024",IF(tblWorkPackages[[#This Row],[Request date serial]]&lt;HoldoutStart,"Validation H1","Holdout H2"))</f>
        <v>Train 2024</v>
      </c>
      <c r="T220" s="51" t="str">
        <f>IF(tblWorkPackages[[#This Row],[Time split]]="Train 2024","",tblWorkPackages[[#This Row],[Estimated labor hours]]+VLOOKUP(tblWorkPackages[[#This Row],[Task type]],'Forecast validation'!$A$14:$E$25,IF(tblWorkPackages[[#This Row],[Time split]]="Validation H1",4,5),FALSE()))</f>
        <v/>
      </c>
      <c r="U220" s="51" t="str">
        <f>IF(tblWorkPackages[[#This Row],[Calibrated forecast hours]]="","",ABS(tblWorkPackages[[#This Row],[Actual labor hours]]-tblWorkPackages[[#This Row],[Calibrated forecast hours]]))</f>
        <v/>
      </c>
      <c r="V220" s="51">
        <f>IF(tblWorkPackages[[#This Row],[Time split]]="Train 2024",tblWorkPackages[[#This Row],[Estimated labor hours]],tblWorkPackages[[#This Row],[Calibrated forecast hours]])</f>
        <v>5.8</v>
      </c>
      <c r="W220" s="64">
        <f>DATEVALUE(tblWorkPackages[[#This Row],[Request date]])</f>
        <v>45432.0</v>
      </c>
      <c r="X220" s="64">
        <f>DATEVALUE(tblWorkPackages[[#This Row],[Due date]])</f>
        <v>45434.0</v>
      </c>
      <c r="Y220" s="64">
        <f>DATEVALUE(tblWorkPackages[[#This Row],[Completion date]])</f>
        <v>45438.0</v>
      </c>
      <c r="Z220" s="64">
        <f>_xlfn.MINIFS(tblLaborEntries[Work date serial],tblLaborEntries[Work package ID],tblWorkPackages[[#This Row],[Work package ID]])</f>
        <v>45435.0</v>
      </c>
      <c r="AA220" s="64">
        <f>_xlfn.MAXIFS(tblLaborEntries[Work date serial],tblLaborEntries[Work package ID],tblWorkPackages[[#This Row],[Work package ID]])</f>
        <v>45436.0</v>
      </c>
      <c r="AB220" s="65">
        <f>IF(tblWorkPackages[[#This Row],[Completion date serial]]&gt;tblWorkPackages[[#This Row],[Due date serial]],1,0)</f>
        <v>1</v>
      </c>
      <c r="AC220" s="65">
        <f>MAX(0,tblWorkPackages[[#This Row],[Completion date serial]]-tblWorkPackages[[#This Row],[Due date serial]])</f>
        <v>4</v>
      </c>
      <c r="AD220" s="65">
        <f>tblWorkPackages[[#This Row],[First labor date]]-tblWorkPackages[[#This Row],[Request date serial]]</f>
        <v>3</v>
      </c>
      <c r="AE220" s="65">
        <f>tblWorkPackages[[#This Row],[Last labor date]]-tblWorkPackages[[#This Row],[First labor date]]</f>
        <v>1</v>
      </c>
      <c r="AF220" s="65">
        <f>tblWorkPackages[[#This Row],[Completion date serial]]-tblWorkPackages[[#This Row],[Last labor date]]</f>
        <v>2</v>
      </c>
      <c r="AG220" s="65">
        <f>tblWorkPackages[[#This Row],[Completion date serial]]-tblWorkPackages[[#This Row],[Request date serial]]</f>
        <v>6</v>
      </c>
      <c r="AH220" s="65">
        <f>IFERROR(INDEX(tblParts[Delay days],MATCH(tblWorkPackages[[#This Row],[Work package ID]],tblParts[Work package ID],0)),0)</f>
        <v>0</v>
      </c>
      <c r="AI220" s="51" t="str">
        <f>IFERROR(INDEX(tblDisruptions[Event type],MATCH(tblWorkPackages[[#This Row],[Work package ID]],tblDisruptions[Work package ID],0)),"None")</f>
        <v>None</v>
      </c>
      <c r="AJ220" s="51" t="str">
        <f>TEXT(tblWorkPackages[[#This Row],[Due date serial]],"yyyy-mm")</f>
        <v>2024-05</v>
      </c>
    </row>
    <row r="221" spans="1:36" ht="15" x14ac:dyDescent="0.25">
      <c r="A221" s="53" t="s">
        <v>816</v>
      </c>
      <c r="B221" s="53" t="s">
        <v>173</v>
      </c>
      <c r="C221" s="53" t="s">
        <v>817</v>
      </c>
      <c r="D221" s="53" t="s">
        <v>818</v>
      </c>
      <c r="E221" s="53" t="s">
        <v>181</v>
      </c>
      <c r="F221" s="53" t="s">
        <v>182</v>
      </c>
      <c r="G221" s="53" t="s">
        <v>138</v>
      </c>
      <c r="H221" s="53">
        <v>1</v>
      </c>
      <c r="I221" s="53" t="s">
        <v>176</v>
      </c>
      <c r="J221" s="53">
        <v>0</v>
      </c>
      <c r="K221" s="53">
        <v>0</v>
      </c>
      <c r="L221" s="53">
        <v>4.5</v>
      </c>
      <c r="M221" s="53" t="s">
        <v>260</v>
      </c>
      <c r="N221" s="53">
        <v>4.7</v>
      </c>
      <c r="O221" s="51" t="str">
        <f>TEXT(tblWorkPackages[[#This Row],[Request date serial]]-WEEKDAY(tblWorkPackages[[#This Row],[Request date serial]],3),"yyyy-mm-dd")</f>
        <v>2024-12-09</v>
      </c>
      <c r="P221" s="51">
        <f>ABS(tblWorkPackages[[#This Row],[Actual labor hours]]-tblWorkPackages[[#This Row],[Estimated labor hours]])</f>
        <v>0.2</v>
      </c>
      <c r="Q221" s="51">
        <f>IF(tblWorkPackages[[#This Row],[Actual labor hours]]&gt;tblWorkPackages[[#This Row],[Estimated labor hours]],1,0)</f>
        <v>1</v>
      </c>
      <c r="R221" s="51">
        <f>tblWorkPackages[[#This Row],[Actual labor hours]]-tblWorkPackages[[#This Row],[Estimated labor hours]]</f>
        <v>0.2</v>
      </c>
      <c r="S221" s="51" t="str">
        <f>IF(tblWorkPackages[[#This Row],[Request date serial]]&lt;ValidationStart,"Train 2024",IF(tblWorkPackages[[#This Row],[Request date serial]]&lt;HoldoutStart,"Validation H1","Holdout H2"))</f>
        <v>Train 2024</v>
      </c>
      <c r="T221" s="51" t="str">
        <f>IF(tblWorkPackages[[#This Row],[Time split]]="Train 2024","",tblWorkPackages[[#This Row],[Estimated labor hours]]+VLOOKUP(tblWorkPackages[[#This Row],[Task type]],'Forecast validation'!$A$14:$E$25,IF(tblWorkPackages[[#This Row],[Time split]]="Validation H1",4,5),FALSE()))</f>
        <v/>
      </c>
      <c r="U221" s="51" t="str">
        <f>IF(tblWorkPackages[[#This Row],[Calibrated forecast hours]]="","",ABS(tblWorkPackages[[#This Row],[Actual labor hours]]-tblWorkPackages[[#This Row],[Calibrated forecast hours]]))</f>
        <v/>
      </c>
      <c r="V221" s="51">
        <f>IF(tblWorkPackages[[#This Row],[Time split]]="Train 2024",tblWorkPackages[[#This Row],[Estimated labor hours]],tblWorkPackages[[#This Row],[Calibrated forecast hours]])</f>
        <v>4.5</v>
      </c>
      <c r="W221" s="64">
        <f>DATEVALUE(tblWorkPackages[[#This Row],[Request date]])</f>
        <v>45637.0</v>
      </c>
      <c r="X221" s="64">
        <f>DATEVALUE(tblWorkPackages[[#This Row],[Due date]])</f>
        <v>45643.0</v>
      </c>
      <c r="Y221" s="64">
        <f>DATEVALUE(tblWorkPackages[[#This Row],[Completion date]])</f>
        <v>45686.0</v>
      </c>
      <c r="Z221" s="64">
        <f>_xlfn.MINIFS(tblLaborEntries[Work date serial],tblLaborEntries[Work package ID],tblWorkPackages[[#This Row],[Work package ID]])</f>
        <v>45682.0</v>
      </c>
      <c r="AA221" s="64">
        <f>_xlfn.MAXIFS(tblLaborEntries[Work date serial],tblLaborEntries[Work package ID],tblWorkPackages[[#This Row],[Work package ID]])</f>
        <v>45683.0</v>
      </c>
      <c r="AB221" s="65">
        <f>IF(tblWorkPackages[[#This Row],[Completion date serial]]&gt;tblWorkPackages[[#This Row],[Due date serial]],1,0)</f>
        <v>1</v>
      </c>
      <c r="AC221" s="65">
        <f>MAX(0,tblWorkPackages[[#This Row],[Completion date serial]]-tblWorkPackages[[#This Row],[Due date serial]])</f>
        <v>43</v>
      </c>
      <c r="AD221" s="65">
        <f>tblWorkPackages[[#This Row],[First labor date]]-tblWorkPackages[[#This Row],[Request date serial]]</f>
        <v>45</v>
      </c>
      <c r="AE221" s="65">
        <f>tblWorkPackages[[#This Row],[Last labor date]]-tblWorkPackages[[#This Row],[First labor date]]</f>
        <v>1</v>
      </c>
      <c r="AF221" s="65">
        <f>tblWorkPackages[[#This Row],[Completion date serial]]-tblWorkPackages[[#This Row],[Last labor date]]</f>
        <v>3</v>
      </c>
      <c r="AG221" s="65">
        <f>tblWorkPackages[[#This Row],[Completion date serial]]-tblWorkPackages[[#This Row],[Request date serial]]</f>
        <v>49</v>
      </c>
      <c r="AH221" s="65">
        <f>IFERROR(INDEX(tblParts[Delay days],MATCH(tblWorkPackages[[#This Row],[Work package ID]],tblParts[Work package ID],0)),0)</f>
        <v>0</v>
      </c>
      <c r="AI221" s="51" t="str">
        <f>IFERROR(INDEX(tblDisruptions[Event type],MATCH(tblWorkPackages[[#This Row],[Work package ID]],tblDisruptions[Work package ID],0)),"None")</f>
        <v>None</v>
      </c>
      <c r="AJ221" s="51" t="str">
        <f>TEXT(tblWorkPackages[[#This Row],[Due date serial]],"yyyy-mm")</f>
        <v>2024-12</v>
      </c>
    </row>
    <row r="222" spans="1:36" ht="15" x14ac:dyDescent="0.25">
      <c r="A222" s="53" t="s">
        <v>819</v>
      </c>
      <c r="B222" s="53" t="s">
        <v>163</v>
      </c>
      <c r="C222" s="53" t="s">
        <v>347</v>
      </c>
      <c r="D222" s="53" t="s">
        <v>320</v>
      </c>
      <c r="E222" s="53" t="s">
        <v>223</v>
      </c>
      <c r="F222" s="53" t="s">
        <v>182</v>
      </c>
      <c r="G222" s="53" t="s">
        <v>154</v>
      </c>
      <c r="H222" s="53">
        <v>3</v>
      </c>
      <c r="I222" s="53" t="s">
        <v>147</v>
      </c>
      <c r="J222" s="53">
        <v>0</v>
      </c>
      <c r="K222" s="53">
        <v>0</v>
      </c>
      <c r="L222" s="53">
        <v>17.8</v>
      </c>
      <c r="M222" s="53" t="s">
        <v>663</v>
      </c>
      <c r="N222" s="53">
        <v>17.3</v>
      </c>
      <c r="O222" s="51" t="str">
        <f>TEXT(tblWorkPackages[[#This Row],[Request date serial]]-WEEKDAY(tblWorkPackages[[#This Row],[Request date serial]],3),"yyyy-mm-dd")</f>
        <v>2024-03-04</v>
      </c>
      <c r="P222" s="51">
        <f>ABS(tblWorkPackages[[#This Row],[Actual labor hours]]-tblWorkPackages[[#This Row],[Estimated labor hours]])</f>
        <v>0.5</v>
      </c>
      <c r="Q222" s="51">
        <f>IF(tblWorkPackages[[#This Row],[Actual labor hours]]&gt;tblWorkPackages[[#This Row],[Estimated labor hours]],1,0)</f>
        <v>0</v>
      </c>
      <c r="R222" s="51">
        <f>tblWorkPackages[[#This Row],[Actual labor hours]]-tblWorkPackages[[#This Row],[Estimated labor hours]]</f>
        <v>-0.5</v>
      </c>
      <c r="S222" s="51" t="str">
        <f>IF(tblWorkPackages[[#This Row],[Request date serial]]&lt;ValidationStart,"Train 2024",IF(tblWorkPackages[[#This Row],[Request date serial]]&lt;HoldoutStart,"Validation H1","Holdout H2"))</f>
        <v>Train 2024</v>
      </c>
      <c r="T222" s="51" t="str">
        <f>IF(tblWorkPackages[[#This Row],[Time split]]="Train 2024","",tblWorkPackages[[#This Row],[Estimated labor hours]]+VLOOKUP(tblWorkPackages[[#This Row],[Task type]],'Forecast validation'!$A$14:$E$25,IF(tblWorkPackages[[#This Row],[Time split]]="Validation H1",4,5),FALSE()))</f>
        <v/>
      </c>
      <c r="U222" s="51" t="str">
        <f>IF(tblWorkPackages[[#This Row],[Calibrated forecast hours]]="","",ABS(tblWorkPackages[[#This Row],[Actual labor hours]]-tblWorkPackages[[#This Row],[Calibrated forecast hours]]))</f>
        <v/>
      </c>
      <c r="V222" s="51">
        <f>IF(tblWorkPackages[[#This Row],[Time split]]="Train 2024",tblWorkPackages[[#This Row],[Estimated labor hours]],tblWorkPackages[[#This Row],[Calibrated forecast hours]])</f>
        <v>17.8</v>
      </c>
      <c r="W222" s="64">
        <f>DATEVALUE(tblWorkPackages[[#This Row],[Request date]])</f>
        <v>45358.0</v>
      </c>
      <c r="X222" s="64">
        <f>DATEVALUE(tblWorkPackages[[#This Row],[Due date]])</f>
        <v>45360.0</v>
      </c>
      <c r="Y222" s="64">
        <f>DATEVALUE(tblWorkPackages[[#This Row],[Completion date]])</f>
        <v>45366.0</v>
      </c>
      <c r="Z222" s="64">
        <f>_xlfn.MINIFS(tblLaborEntries[Work date serial],tblLaborEntries[Work package ID],tblWorkPackages[[#This Row],[Work package ID]])</f>
        <v>45366.0</v>
      </c>
      <c r="AA222" s="64">
        <f>_xlfn.MAXIFS(tblLaborEntries[Work date serial],tblLaborEntries[Work package ID],tblWorkPackages[[#This Row],[Work package ID]])</f>
        <v>45366.0</v>
      </c>
      <c r="AB222" s="65">
        <f>IF(tblWorkPackages[[#This Row],[Completion date serial]]&gt;tblWorkPackages[[#This Row],[Due date serial]],1,0)</f>
        <v>1</v>
      </c>
      <c r="AC222" s="65">
        <f>MAX(0,tblWorkPackages[[#This Row],[Completion date serial]]-tblWorkPackages[[#This Row],[Due date serial]])</f>
        <v>6</v>
      </c>
      <c r="AD222" s="65">
        <f>tblWorkPackages[[#This Row],[First labor date]]-tblWorkPackages[[#This Row],[Request date serial]]</f>
        <v>8</v>
      </c>
      <c r="AE222" s="65">
        <f>tblWorkPackages[[#This Row],[Last labor date]]-tblWorkPackages[[#This Row],[First labor date]]</f>
        <v>0</v>
      </c>
      <c r="AF222" s="65">
        <f>tblWorkPackages[[#This Row],[Completion date serial]]-tblWorkPackages[[#This Row],[Last labor date]]</f>
        <v>0</v>
      </c>
      <c r="AG222" s="65">
        <f>tblWorkPackages[[#This Row],[Completion date serial]]-tblWorkPackages[[#This Row],[Request date serial]]</f>
        <v>8</v>
      </c>
      <c r="AH222" s="65">
        <f>IFERROR(INDEX(tblParts[Delay days],MATCH(tblWorkPackages[[#This Row],[Work package ID]],tblParts[Work package ID],0)),0)</f>
        <v>0</v>
      </c>
      <c r="AI222" s="51" t="str">
        <f>IFERROR(INDEX(tblDisruptions[Event type],MATCH(tblWorkPackages[[#This Row],[Work package ID]],tblDisruptions[Work package ID],0)),"None")</f>
        <v>None</v>
      </c>
      <c r="AJ222" s="51" t="str">
        <f>TEXT(tblWorkPackages[[#This Row],[Due date serial]],"yyyy-mm")</f>
        <v>2024-03</v>
      </c>
    </row>
    <row r="223" spans="1:36" ht="15" x14ac:dyDescent="0.25">
      <c r="A223" s="53" t="s">
        <v>820</v>
      </c>
      <c r="B223" s="53" t="s">
        <v>133</v>
      </c>
      <c r="C223" s="53" t="s">
        <v>301</v>
      </c>
      <c r="D223" s="53" t="s">
        <v>821</v>
      </c>
      <c r="E223" s="53" t="s">
        <v>209</v>
      </c>
      <c r="F223" s="53" t="s">
        <v>145</v>
      </c>
      <c r="G223" s="53" t="s">
        <v>210</v>
      </c>
      <c r="H223" s="53">
        <v>3</v>
      </c>
      <c r="I223" s="53" t="s">
        <v>176</v>
      </c>
      <c r="J223" s="53">
        <v>0</v>
      </c>
      <c r="K223" s="53">
        <v>1</v>
      </c>
      <c r="L223" s="53">
        <v>30.2</v>
      </c>
      <c r="M223" s="53" t="s">
        <v>822</v>
      </c>
      <c r="N223" s="53">
        <v>23.7</v>
      </c>
      <c r="O223" s="51" t="str">
        <f>TEXT(tblWorkPackages[[#This Row],[Request date serial]]-WEEKDAY(tblWorkPackages[[#This Row],[Request date serial]],3),"yyyy-mm-dd")</f>
        <v>2024-05-06</v>
      </c>
      <c r="P223" s="51">
        <f>ABS(tblWorkPackages[[#This Row],[Actual labor hours]]-tblWorkPackages[[#This Row],[Estimated labor hours]])</f>
        <v>6.5</v>
      </c>
      <c r="Q223" s="51">
        <f>IF(tblWorkPackages[[#This Row],[Actual labor hours]]&gt;tblWorkPackages[[#This Row],[Estimated labor hours]],1,0)</f>
        <v>0</v>
      </c>
      <c r="R223" s="51">
        <f>tblWorkPackages[[#This Row],[Actual labor hours]]-tblWorkPackages[[#This Row],[Estimated labor hours]]</f>
        <v>-6.5</v>
      </c>
      <c r="S223" s="51" t="str">
        <f>IF(tblWorkPackages[[#This Row],[Request date serial]]&lt;ValidationStart,"Train 2024",IF(tblWorkPackages[[#This Row],[Request date serial]]&lt;HoldoutStart,"Validation H1","Holdout H2"))</f>
        <v>Train 2024</v>
      </c>
      <c r="T223" s="51" t="str">
        <f>IF(tblWorkPackages[[#This Row],[Time split]]="Train 2024","",tblWorkPackages[[#This Row],[Estimated labor hours]]+VLOOKUP(tblWorkPackages[[#This Row],[Task type]],'Forecast validation'!$A$14:$E$25,IF(tblWorkPackages[[#This Row],[Time split]]="Validation H1",4,5),FALSE()))</f>
        <v/>
      </c>
      <c r="U223" s="51" t="str">
        <f>IF(tblWorkPackages[[#This Row],[Calibrated forecast hours]]="","",ABS(tblWorkPackages[[#This Row],[Actual labor hours]]-tblWorkPackages[[#This Row],[Calibrated forecast hours]]))</f>
        <v/>
      </c>
      <c r="V223" s="51">
        <f>IF(tblWorkPackages[[#This Row],[Time split]]="Train 2024",tblWorkPackages[[#This Row],[Estimated labor hours]],tblWorkPackages[[#This Row],[Calibrated forecast hours]])</f>
        <v>30.2</v>
      </c>
      <c r="W223" s="64">
        <f>DATEVALUE(tblWorkPackages[[#This Row],[Request date]])</f>
        <v>45422.0</v>
      </c>
      <c r="X223" s="64">
        <f>DATEVALUE(tblWorkPackages[[#This Row],[Due date]])</f>
        <v>45428.0</v>
      </c>
      <c r="Y223" s="64">
        <f>DATEVALUE(tblWorkPackages[[#This Row],[Completion date]])</f>
        <v>45425.0</v>
      </c>
      <c r="Z223" s="64">
        <f>_xlfn.MINIFS(tblLaborEntries[Work date serial],tblLaborEntries[Work package ID],tblWorkPackages[[#This Row],[Work package ID]])</f>
        <v>45424.0</v>
      </c>
      <c r="AA223" s="64">
        <f>_xlfn.MAXIFS(tblLaborEntries[Work date serial],tblLaborEntries[Work package ID],tblWorkPackages[[#This Row],[Work package ID]])</f>
        <v>45424.0</v>
      </c>
      <c r="AB223" s="65">
        <f>IF(tblWorkPackages[[#This Row],[Completion date serial]]&gt;tblWorkPackages[[#This Row],[Due date serial]],1,0)</f>
        <v>0</v>
      </c>
      <c r="AC223" s="65">
        <f>MAX(0,tblWorkPackages[[#This Row],[Completion date serial]]-tblWorkPackages[[#This Row],[Due date serial]])</f>
        <v>0</v>
      </c>
      <c r="AD223" s="65">
        <f>tblWorkPackages[[#This Row],[First labor date]]-tblWorkPackages[[#This Row],[Request date serial]]</f>
        <v>2</v>
      </c>
      <c r="AE223" s="65">
        <f>tblWorkPackages[[#This Row],[Last labor date]]-tblWorkPackages[[#This Row],[First labor date]]</f>
        <v>0</v>
      </c>
      <c r="AF223" s="65">
        <f>tblWorkPackages[[#This Row],[Completion date serial]]-tblWorkPackages[[#This Row],[Last labor date]]</f>
        <v>1</v>
      </c>
      <c r="AG223" s="65">
        <f>tblWorkPackages[[#This Row],[Completion date serial]]-tblWorkPackages[[#This Row],[Request date serial]]</f>
        <v>3</v>
      </c>
      <c r="AH223" s="65">
        <f>IFERROR(INDEX(tblParts[Delay days],MATCH(tblWorkPackages[[#This Row],[Work package ID]],tblParts[Work package ID],0)),0)</f>
        <v>0</v>
      </c>
      <c r="AI223" s="51" t="str">
        <f>IFERROR(INDEX(tblDisruptions[Event type],MATCH(tblWorkPackages[[#This Row],[Work package ID]],tblDisruptions[Work package ID],0)),"None")</f>
        <v>None</v>
      </c>
      <c r="AJ223" s="51" t="str">
        <f>TEXT(tblWorkPackages[[#This Row],[Due date serial]],"yyyy-mm")</f>
        <v>2024-05</v>
      </c>
    </row>
    <row r="224" spans="1:36" ht="15" x14ac:dyDescent="0.25">
      <c r="A224" s="53" t="s">
        <v>823</v>
      </c>
      <c r="B224" s="53" t="s">
        <v>185</v>
      </c>
      <c r="C224" s="53" t="s">
        <v>723</v>
      </c>
      <c r="D224" s="53" t="s">
        <v>535</v>
      </c>
      <c r="E224" s="53" t="s">
        <v>237</v>
      </c>
      <c r="F224" s="53" t="s">
        <v>182</v>
      </c>
      <c r="G224" s="53" t="s">
        <v>138</v>
      </c>
      <c r="H224" s="53">
        <v>4</v>
      </c>
      <c r="I224" s="53" t="s">
        <v>130</v>
      </c>
      <c r="J224" s="53">
        <v>0</v>
      </c>
      <c r="K224" s="53">
        <v>1</v>
      </c>
      <c r="L224" s="53">
        <v>8.9</v>
      </c>
      <c r="M224" s="53" t="s">
        <v>824</v>
      </c>
      <c r="N224" s="53">
        <v>11.6</v>
      </c>
      <c r="O224" s="51" t="str">
        <f>TEXT(tblWorkPackages[[#This Row],[Request date serial]]-WEEKDAY(tblWorkPackages[[#This Row],[Request date serial]],3),"yyyy-mm-dd")</f>
        <v>2024-10-21</v>
      </c>
      <c r="P224" s="51">
        <f>ABS(tblWorkPackages[[#This Row],[Actual labor hours]]-tblWorkPackages[[#This Row],[Estimated labor hours]])</f>
        <v>2.7</v>
      </c>
      <c r="Q224" s="51">
        <f>IF(tblWorkPackages[[#This Row],[Actual labor hours]]&gt;tblWorkPackages[[#This Row],[Estimated labor hours]],1,0)</f>
        <v>1</v>
      </c>
      <c r="R224" s="51">
        <f>tblWorkPackages[[#This Row],[Actual labor hours]]-tblWorkPackages[[#This Row],[Estimated labor hours]]</f>
        <v>2.7</v>
      </c>
      <c r="S224" s="51" t="str">
        <f>IF(tblWorkPackages[[#This Row],[Request date serial]]&lt;ValidationStart,"Train 2024",IF(tblWorkPackages[[#This Row],[Request date serial]]&lt;HoldoutStart,"Validation H1","Holdout H2"))</f>
        <v>Train 2024</v>
      </c>
      <c r="T224" s="51" t="str">
        <f>IF(tblWorkPackages[[#This Row],[Time split]]="Train 2024","",tblWorkPackages[[#This Row],[Estimated labor hours]]+VLOOKUP(tblWorkPackages[[#This Row],[Task type]],'Forecast validation'!$A$14:$E$25,IF(tblWorkPackages[[#This Row],[Time split]]="Validation H1",4,5),FALSE()))</f>
        <v/>
      </c>
      <c r="U224" s="51" t="str">
        <f>IF(tblWorkPackages[[#This Row],[Calibrated forecast hours]]="","",ABS(tblWorkPackages[[#This Row],[Actual labor hours]]-tblWorkPackages[[#This Row],[Calibrated forecast hours]]))</f>
        <v/>
      </c>
      <c r="V224" s="51">
        <f>IF(tblWorkPackages[[#This Row],[Time split]]="Train 2024",tblWorkPackages[[#This Row],[Estimated labor hours]],tblWorkPackages[[#This Row],[Calibrated forecast hours]])</f>
        <v>8.9</v>
      </c>
      <c r="W224" s="64">
        <f>DATEVALUE(tblWorkPackages[[#This Row],[Request date]])</f>
        <v>45589.0</v>
      </c>
      <c r="X224" s="64">
        <f>DATEVALUE(tblWorkPackages[[#This Row],[Due date]])</f>
        <v>45602.0</v>
      </c>
      <c r="Y224" s="64">
        <f>DATEVALUE(tblWorkPackages[[#This Row],[Completion date]])</f>
        <v>45620.0</v>
      </c>
      <c r="Z224" s="64">
        <f>_xlfn.MINIFS(tblLaborEntries[Work date serial],tblLaborEntries[Work package ID],tblWorkPackages[[#This Row],[Work package ID]])</f>
        <v>45616.0</v>
      </c>
      <c r="AA224" s="64">
        <f>_xlfn.MAXIFS(tblLaborEntries[Work date serial],tblLaborEntries[Work package ID],tblWorkPackages[[#This Row],[Work package ID]])</f>
        <v>45618.0</v>
      </c>
      <c r="AB224" s="65">
        <f>IF(tblWorkPackages[[#This Row],[Completion date serial]]&gt;tblWorkPackages[[#This Row],[Due date serial]],1,0)</f>
        <v>1</v>
      </c>
      <c r="AC224" s="65">
        <f>MAX(0,tblWorkPackages[[#This Row],[Completion date serial]]-tblWorkPackages[[#This Row],[Due date serial]])</f>
        <v>18</v>
      </c>
      <c r="AD224" s="65">
        <f>tblWorkPackages[[#This Row],[First labor date]]-tblWorkPackages[[#This Row],[Request date serial]]</f>
        <v>27</v>
      </c>
      <c r="AE224" s="65">
        <f>tblWorkPackages[[#This Row],[Last labor date]]-tblWorkPackages[[#This Row],[First labor date]]</f>
        <v>2</v>
      </c>
      <c r="AF224" s="65">
        <f>tblWorkPackages[[#This Row],[Completion date serial]]-tblWorkPackages[[#This Row],[Last labor date]]</f>
        <v>2</v>
      </c>
      <c r="AG224" s="65">
        <f>tblWorkPackages[[#This Row],[Completion date serial]]-tblWorkPackages[[#This Row],[Request date serial]]</f>
        <v>31</v>
      </c>
      <c r="AH224" s="65">
        <f>IFERROR(INDEX(tblParts[Delay days],MATCH(tblWorkPackages[[#This Row],[Work package ID]],tblParts[Work package ID],0)),0)</f>
        <v>8</v>
      </c>
      <c r="AI224" s="51" t="str">
        <f>IFERROR(INDEX(tblDisruptions[Event type],MATCH(tblWorkPackages[[#This Row],[Work package ID]],tblDisruptions[Work package ID],0)),"None")</f>
        <v>Part delay</v>
      </c>
      <c r="AJ224" s="51" t="str">
        <f>TEXT(tblWorkPackages[[#This Row],[Due date serial]],"yyyy-mm")</f>
        <v>2024-11</v>
      </c>
    </row>
    <row r="225" spans="1:36" ht="15" x14ac:dyDescent="0.25">
      <c r="A225" s="53" t="s">
        <v>825</v>
      </c>
      <c r="B225" s="53" t="s">
        <v>235</v>
      </c>
      <c r="C225" s="53" t="s">
        <v>188</v>
      </c>
      <c r="D225" s="53" t="s">
        <v>826</v>
      </c>
      <c r="E225" s="53" t="s">
        <v>237</v>
      </c>
      <c r="F225" s="53" t="s">
        <v>182</v>
      </c>
      <c r="G225" s="53" t="s">
        <v>138</v>
      </c>
      <c r="H225" s="53">
        <v>4</v>
      </c>
      <c r="I225" s="53" t="s">
        <v>130</v>
      </c>
      <c r="J225" s="53">
        <v>0</v>
      </c>
      <c r="K225" s="53">
        <v>0</v>
      </c>
      <c r="L225" s="53">
        <v>10.1</v>
      </c>
      <c r="M225" s="53" t="s">
        <v>827</v>
      </c>
      <c r="N225" s="53">
        <v>12.4</v>
      </c>
      <c r="O225" s="51" t="str">
        <f>TEXT(tblWorkPackages[[#This Row],[Request date serial]]-WEEKDAY(tblWorkPackages[[#This Row],[Request date serial]],3),"yyyy-mm-dd")</f>
        <v>2025-02-17</v>
      </c>
      <c r="P225" s="51">
        <f>ABS(tblWorkPackages[[#This Row],[Actual labor hours]]-tblWorkPackages[[#This Row],[Estimated labor hours]])</f>
        <v>2.3</v>
      </c>
      <c r="Q225" s="51">
        <f>IF(tblWorkPackages[[#This Row],[Actual labor hours]]&gt;tblWorkPackages[[#This Row],[Estimated labor hours]],1,0)</f>
        <v>1</v>
      </c>
      <c r="R225" s="51">
        <f>tblWorkPackages[[#This Row],[Actual labor hours]]-tblWorkPackages[[#This Row],[Estimated labor hours]]</f>
        <v>2.3</v>
      </c>
      <c r="S225" s="51" t="str">
        <f>IF(tblWorkPackages[[#This Row],[Request date serial]]&lt;ValidationStart,"Train 2024",IF(tblWorkPackages[[#This Row],[Request date serial]]&lt;HoldoutStart,"Validation H1","Holdout H2"))</f>
        <v>Validation H1</v>
      </c>
      <c r="T225" s="51">
        <f>IF(tblWorkPackages[[#This Row],[Time split]]="Train 2024","",tblWorkPackages[[#This Row],[Estimated labor hours]]+VLOOKUP(tblWorkPackages[[#This Row],[Task type]],'Forecast validation'!$A$14:$E$25,IF(tblWorkPackages[[#This Row],[Time split]]="Validation H1",4,5),FALSE()))</f>
        <v>10.6037037037037</v>
      </c>
      <c r="U225" s="51">
        <f>IF(tblWorkPackages[[#This Row],[Calibrated forecast hours]]="","",ABS(tblWorkPackages[[#This Row],[Actual labor hours]]-tblWorkPackages[[#This Row],[Calibrated forecast hours]]))</f>
        <v>1.7962962962963</v>
      </c>
      <c r="V225" s="51">
        <f>IF(tblWorkPackages[[#This Row],[Time split]]="Train 2024",tblWorkPackages[[#This Row],[Estimated labor hours]],tblWorkPackages[[#This Row],[Calibrated forecast hours]])</f>
        <v>10.6037037037037</v>
      </c>
      <c r="W225" s="64">
        <f>DATEVALUE(tblWorkPackages[[#This Row],[Request date]])</f>
        <v>45711.0</v>
      </c>
      <c r="X225" s="64">
        <f>DATEVALUE(tblWorkPackages[[#This Row],[Due date]])</f>
        <v>45724.0</v>
      </c>
      <c r="Y225" s="64">
        <f>DATEVALUE(tblWorkPackages[[#This Row],[Completion date]])</f>
        <v>45718.0</v>
      </c>
      <c r="Z225" s="64">
        <f>_xlfn.MINIFS(tblLaborEntries[Work date serial],tblLaborEntries[Work package ID],tblWorkPackages[[#This Row],[Work package ID]])</f>
        <v>45715.0</v>
      </c>
      <c r="AA225" s="64">
        <f>_xlfn.MAXIFS(tblLaborEntries[Work date serial],tblLaborEntries[Work package ID],tblWorkPackages[[#This Row],[Work package ID]])</f>
        <v>45715.0</v>
      </c>
      <c r="AB225" s="65">
        <f>IF(tblWorkPackages[[#This Row],[Completion date serial]]&gt;tblWorkPackages[[#This Row],[Due date serial]],1,0)</f>
        <v>0</v>
      </c>
      <c r="AC225" s="65">
        <f>MAX(0,tblWorkPackages[[#This Row],[Completion date serial]]-tblWorkPackages[[#This Row],[Due date serial]])</f>
        <v>0</v>
      </c>
      <c r="AD225" s="65">
        <f>tblWorkPackages[[#This Row],[First labor date]]-tblWorkPackages[[#This Row],[Request date serial]]</f>
        <v>4</v>
      </c>
      <c r="AE225" s="65">
        <f>tblWorkPackages[[#This Row],[Last labor date]]-tblWorkPackages[[#This Row],[First labor date]]</f>
        <v>0</v>
      </c>
      <c r="AF225" s="65">
        <f>tblWorkPackages[[#This Row],[Completion date serial]]-tblWorkPackages[[#This Row],[Last labor date]]</f>
        <v>3</v>
      </c>
      <c r="AG225" s="65">
        <f>tblWorkPackages[[#This Row],[Completion date serial]]-tblWorkPackages[[#This Row],[Request date serial]]</f>
        <v>7</v>
      </c>
      <c r="AH225" s="65">
        <f>IFERROR(INDEX(tblParts[Delay days],MATCH(tblWorkPackages[[#This Row],[Work package ID]],tblParts[Work package ID],0)),0)</f>
        <v>0</v>
      </c>
      <c r="AI225" s="51" t="str">
        <f>IFERROR(INDEX(tblDisruptions[Event type],MATCH(tblWorkPackages[[#This Row],[Work package ID]],tblDisruptions[Work package ID],0)),"None")</f>
        <v>None</v>
      </c>
      <c r="AJ225" s="51" t="str">
        <f>TEXT(tblWorkPackages[[#This Row],[Due date serial]],"yyyy-mm")</f>
        <v>2025-03</v>
      </c>
    </row>
    <row r="226" spans="1:36" ht="15" x14ac:dyDescent="0.25">
      <c r="A226" s="53" t="s">
        <v>828</v>
      </c>
      <c r="B226" s="53" t="s">
        <v>287</v>
      </c>
      <c r="C226" s="53" t="s">
        <v>265</v>
      </c>
      <c r="D226" s="53" t="s">
        <v>799</v>
      </c>
      <c r="E226" s="53" t="s">
        <v>136</v>
      </c>
      <c r="F226" s="53" t="s">
        <v>137</v>
      </c>
      <c r="G226" s="53" t="s">
        <v>138</v>
      </c>
      <c r="H226" s="53">
        <v>4</v>
      </c>
      <c r="I226" s="53" t="s">
        <v>130</v>
      </c>
      <c r="J226" s="53">
        <v>0</v>
      </c>
      <c r="K226" s="53">
        <v>0</v>
      </c>
      <c r="L226" s="53">
        <v>24.1</v>
      </c>
      <c r="M226" s="53" t="s">
        <v>540</v>
      </c>
      <c r="N226" s="53">
        <v>19.899999999999999</v>
      </c>
      <c r="O226" s="51" t="str">
        <f>TEXT(tblWorkPackages[[#This Row],[Request date serial]]-WEEKDAY(tblWorkPackages[[#This Row],[Request date serial]],3),"yyyy-mm-dd")</f>
        <v>2024-08-26</v>
      </c>
      <c r="P226" s="51">
        <f>ABS(tblWorkPackages[[#This Row],[Actual labor hours]]-tblWorkPackages[[#This Row],[Estimated labor hours]])</f>
        <v>4.2</v>
      </c>
      <c r="Q226" s="51">
        <f>IF(tblWorkPackages[[#This Row],[Actual labor hours]]&gt;tblWorkPackages[[#This Row],[Estimated labor hours]],1,0)</f>
        <v>0</v>
      </c>
      <c r="R226" s="51">
        <f>tblWorkPackages[[#This Row],[Actual labor hours]]-tblWorkPackages[[#This Row],[Estimated labor hours]]</f>
        <v>-4.2</v>
      </c>
      <c r="S226" s="51" t="str">
        <f>IF(tblWorkPackages[[#This Row],[Request date serial]]&lt;ValidationStart,"Train 2024",IF(tblWorkPackages[[#This Row],[Request date serial]]&lt;HoldoutStart,"Validation H1","Holdout H2"))</f>
        <v>Train 2024</v>
      </c>
      <c r="T226" s="51" t="str">
        <f>IF(tblWorkPackages[[#This Row],[Time split]]="Train 2024","",tblWorkPackages[[#This Row],[Estimated labor hours]]+VLOOKUP(tblWorkPackages[[#This Row],[Task type]],'Forecast validation'!$A$14:$E$25,IF(tblWorkPackages[[#This Row],[Time split]]="Validation H1",4,5),FALSE()))</f>
        <v/>
      </c>
      <c r="U226" s="51" t="str">
        <f>IF(tblWorkPackages[[#This Row],[Calibrated forecast hours]]="","",ABS(tblWorkPackages[[#This Row],[Actual labor hours]]-tblWorkPackages[[#This Row],[Calibrated forecast hours]]))</f>
        <v/>
      </c>
      <c r="V226" s="51">
        <f>IF(tblWorkPackages[[#This Row],[Time split]]="Train 2024",tblWorkPackages[[#This Row],[Estimated labor hours]],tblWorkPackages[[#This Row],[Calibrated forecast hours]])</f>
        <v>24.1</v>
      </c>
      <c r="W226" s="64">
        <f>DATEVALUE(tblWorkPackages[[#This Row],[Request date]])</f>
        <v>45536.0</v>
      </c>
      <c r="X226" s="64">
        <f>DATEVALUE(tblWorkPackages[[#This Row],[Due date]])</f>
        <v>45549.0</v>
      </c>
      <c r="Y226" s="64">
        <f>DATEVALUE(tblWorkPackages[[#This Row],[Completion date]])</f>
        <v>45538.0</v>
      </c>
      <c r="Z226" s="64">
        <f>_xlfn.MINIFS(tblLaborEntries[Work date serial],tblLaborEntries[Work package ID],tblWorkPackages[[#This Row],[Work package ID]])</f>
        <v>45537.0</v>
      </c>
      <c r="AA226" s="64">
        <f>_xlfn.MAXIFS(tblLaborEntries[Work date serial],tblLaborEntries[Work package ID],tblWorkPackages[[#This Row],[Work package ID]])</f>
        <v>45538.0</v>
      </c>
      <c r="AB226" s="65">
        <f>IF(tblWorkPackages[[#This Row],[Completion date serial]]&gt;tblWorkPackages[[#This Row],[Due date serial]],1,0)</f>
        <v>0</v>
      </c>
      <c r="AC226" s="65">
        <f>MAX(0,tblWorkPackages[[#This Row],[Completion date serial]]-tblWorkPackages[[#This Row],[Due date serial]])</f>
        <v>0</v>
      </c>
      <c r="AD226" s="65">
        <f>tblWorkPackages[[#This Row],[First labor date]]-tblWorkPackages[[#This Row],[Request date serial]]</f>
        <v>1</v>
      </c>
      <c r="AE226" s="65">
        <f>tblWorkPackages[[#This Row],[Last labor date]]-tblWorkPackages[[#This Row],[First labor date]]</f>
        <v>1</v>
      </c>
      <c r="AF226" s="65">
        <f>tblWorkPackages[[#This Row],[Completion date serial]]-tblWorkPackages[[#This Row],[Last labor date]]</f>
        <v>0</v>
      </c>
      <c r="AG226" s="65">
        <f>tblWorkPackages[[#This Row],[Completion date serial]]-tblWorkPackages[[#This Row],[Request date serial]]</f>
        <v>2</v>
      </c>
      <c r="AH226" s="65">
        <f>IFERROR(INDEX(tblParts[Delay days],MATCH(tblWorkPackages[[#This Row],[Work package ID]],tblParts[Work package ID],0)),0)</f>
        <v>0</v>
      </c>
      <c r="AI226" s="51" t="str">
        <f>IFERROR(INDEX(tblDisruptions[Event type],MATCH(tblWorkPackages[[#This Row],[Work package ID]],tblDisruptions[Work package ID],0)),"None")</f>
        <v>None</v>
      </c>
      <c r="AJ226" s="51" t="str">
        <f>TEXT(tblWorkPackages[[#This Row],[Due date serial]],"yyyy-mm")</f>
        <v>2024-09</v>
      </c>
    </row>
    <row r="227" spans="1:36" ht="15" x14ac:dyDescent="0.25">
      <c r="A227" s="53" t="s">
        <v>829</v>
      </c>
      <c r="B227" s="53" t="s">
        <v>235</v>
      </c>
      <c r="C227" s="53" t="s">
        <v>830</v>
      </c>
      <c r="D227" s="53" t="s">
        <v>293</v>
      </c>
      <c r="E227" s="53" t="s">
        <v>136</v>
      </c>
      <c r="F227" s="53" t="s">
        <v>137</v>
      </c>
      <c r="G227" s="53" t="s">
        <v>138</v>
      </c>
      <c r="H227" s="53">
        <v>2</v>
      </c>
      <c r="I227" s="53" t="s">
        <v>176</v>
      </c>
      <c r="J227" s="53">
        <v>0</v>
      </c>
      <c r="K227" s="53">
        <v>0</v>
      </c>
      <c r="L227" s="53">
        <v>13.3</v>
      </c>
      <c r="M227" s="53" t="s">
        <v>265</v>
      </c>
      <c r="N227" s="53">
        <v>16.2</v>
      </c>
      <c r="O227" s="51" t="str">
        <f>TEXT(tblWorkPackages[[#This Row],[Request date serial]]-WEEKDAY(tblWorkPackages[[#This Row],[Request date serial]],3),"yyyy-mm-dd")</f>
        <v>2024-08-19</v>
      </c>
      <c r="P227" s="51">
        <f>ABS(tblWorkPackages[[#This Row],[Actual labor hours]]-tblWorkPackages[[#This Row],[Estimated labor hours]])</f>
        <v>2.9</v>
      </c>
      <c r="Q227" s="51">
        <f>IF(tblWorkPackages[[#This Row],[Actual labor hours]]&gt;tblWorkPackages[[#This Row],[Estimated labor hours]],1,0)</f>
        <v>1</v>
      </c>
      <c r="R227" s="51">
        <f>tblWorkPackages[[#This Row],[Actual labor hours]]-tblWorkPackages[[#This Row],[Estimated labor hours]]</f>
        <v>2.9</v>
      </c>
      <c r="S227" s="51" t="str">
        <f>IF(tblWorkPackages[[#This Row],[Request date serial]]&lt;ValidationStart,"Train 2024",IF(tblWorkPackages[[#This Row],[Request date serial]]&lt;HoldoutStart,"Validation H1","Holdout H2"))</f>
        <v>Train 2024</v>
      </c>
      <c r="T227" s="51" t="str">
        <f>IF(tblWorkPackages[[#This Row],[Time split]]="Train 2024","",tblWorkPackages[[#This Row],[Estimated labor hours]]+VLOOKUP(tblWorkPackages[[#This Row],[Task type]],'Forecast validation'!$A$14:$E$25,IF(tblWorkPackages[[#This Row],[Time split]]="Validation H1",4,5),FALSE()))</f>
        <v/>
      </c>
      <c r="U227" s="51" t="str">
        <f>IF(tblWorkPackages[[#This Row],[Calibrated forecast hours]]="","",ABS(tblWorkPackages[[#This Row],[Actual labor hours]]-tblWorkPackages[[#This Row],[Calibrated forecast hours]]))</f>
        <v/>
      </c>
      <c r="V227" s="51">
        <f>IF(tblWorkPackages[[#This Row],[Time split]]="Train 2024",tblWorkPackages[[#This Row],[Estimated labor hours]],tblWorkPackages[[#This Row],[Calibrated forecast hours]])</f>
        <v>13.3</v>
      </c>
      <c r="W227" s="64">
        <f>DATEVALUE(tblWorkPackages[[#This Row],[Request date]])</f>
        <v>45524.0</v>
      </c>
      <c r="X227" s="64">
        <f>DATEVALUE(tblWorkPackages[[#This Row],[Due date]])</f>
        <v>45530.0</v>
      </c>
      <c r="Y227" s="64">
        <f>DATEVALUE(tblWorkPackages[[#This Row],[Completion date]])</f>
        <v>45536.0</v>
      </c>
      <c r="Z227" s="64">
        <f>_xlfn.MINIFS(tblLaborEntries[Work date serial],tblLaborEntries[Work package ID],tblWorkPackages[[#This Row],[Work package ID]])</f>
        <v>45535.0</v>
      </c>
      <c r="AA227" s="64">
        <f>_xlfn.MAXIFS(tblLaborEntries[Work date serial],tblLaborEntries[Work package ID],tblWorkPackages[[#This Row],[Work package ID]])</f>
        <v>45535.0</v>
      </c>
      <c r="AB227" s="65">
        <f>IF(tblWorkPackages[[#This Row],[Completion date serial]]&gt;tblWorkPackages[[#This Row],[Due date serial]],1,0)</f>
        <v>1</v>
      </c>
      <c r="AC227" s="65">
        <f>MAX(0,tblWorkPackages[[#This Row],[Completion date serial]]-tblWorkPackages[[#This Row],[Due date serial]])</f>
        <v>6</v>
      </c>
      <c r="AD227" s="65">
        <f>tblWorkPackages[[#This Row],[First labor date]]-tblWorkPackages[[#This Row],[Request date serial]]</f>
        <v>11</v>
      </c>
      <c r="AE227" s="65">
        <f>tblWorkPackages[[#This Row],[Last labor date]]-tblWorkPackages[[#This Row],[First labor date]]</f>
        <v>0</v>
      </c>
      <c r="AF227" s="65">
        <f>tblWorkPackages[[#This Row],[Completion date serial]]-tblWorkPackages[[#This Row],[Last labor date]]</f>
        <v>1</v>
      </c>
      <c r="AG227" s="65">
        <f>tblWorkPackages[[#This Row],[Completion date serial]]-tblWorkPackages[[#This Row],[Request date serial]]</f>
        <v>12</v>
      </c>
      <c r="AH227" s="65">
        <f>IFERROR(INDEX(tblParts[Delay days],MATCH(tblWorkPackages[[#This Row],[Work package ID]],tblParts[Work package ID],0)),0)</f>
        <v>0</v>
      </c>
      <c r="AI227" s="51" t="str">
        <f>IFERROR(INDEX(tblDisruptions[Event type],MATCH(tblWorkPackages[[#This Row],[Work package ID]],tblDisruptions[Work package ID],0)),"None")</f>
        <v>None</v>
      </c>
      <c r="AJ227" s="51" t="str">
        <f>TEXT(tblWorkPackages[[#This Row],[Due date serial]],"yyyy-mm")</f>
        <v>2024-08</v>
      </c>
    </row>
    <row r="228" spans="1:36" ht="15" x14ac:dyDescent="0.25">
      <c r="A228" s="53" t="s">
        <v>831</v>
      </c>
      <c r="B228" s="53" t="s">
        <v>141</v>
      </c>
      <c r="C228" s="53" t="s">
        <v>832</v>
      </c>
      <c r="D228" s="53" t="s">
        <v>833</v>
      </c>
      <c r="E228" s="53" t="s">
        <v>209</v>
      </c>
      <c r="F228" s="53" t="s">
        <v>145</v>
      </c>
      <c r="G228" s="53" t="s">
        <v>210</v>
      </c>
      <c r="H228" s="53">
        <v>1</v>
      </c>
      <c r="I228" s="53" t="s">
        <v>130</v>
      </c>
      <c r="J228" s="53">
        <v>0</v>
      </c>
      <c r="K228" s="53">
        <v>1</v>
      </c>
      <c r="L228" s="53">
        <v>12.2</v>
      </c>
      <c r="M228" s="53" t="s">
        <v>560</v>
      </c>
      <c r="N228" s="53">
        <v>10.4</v>
      </c>
      <c r="O228" s="51" t="str">
        <f>TEXT(tblWorkPackages[[#This Row],[Request date serial]]-WEEKDAY(tblWorkPackages[[#This Row],[Request date serial]],3),"yyyy-mm-dd")</f>
        <v>2025-10-27</v>
      </c>
      <c r="P228" s="51">
        <f>ABS(tblWorkPackages[[#This Row],[Actual labor hours]]-tblWorkPackages[[#This Row],[Estimated labor hours]])</f>
        <v>1.8</v>
      </c>
      <c r="Q228" s="51">
        <f>IF(tblWorkPackages[[#This Row],[Actual labor hours]]&gt;tblWorkPackages[[#This Row],[Estimated labor hours]],1,0)</f>
        <v>0</v>
      </c>
      <c r="R228" s="51">
        <f>tblWorkPackages[[#This Row],[Actual labor hours]]-tblWorkPackages[[#This Row],[Estimated labor hours]]</f>
        <v>-1.8</v>
      </c>
      <c r="S228" s="51" t="str">
        <f>IF(tblWorkPackages[[#This Row],[Request date serial]]&lt;ValidationStart,"Train 2024",IF(tblWorkPackages[[#This Row],[Request date serial]]&lt;HoldoutStart,"Validation H1","Holdout H2"))</f>
        <v>Holdout H2</v>
      </c>
      <c r="T228" s="51">
        <f>IF(tblWorkPackages[[#This Row],[Time split]]="Train 2024","",tblWorkPackages[[#This Row],[Estimated labor hours]]+VLOOKUP(tblWorkPackages[[#This Row],[Task type]],'Forecast validation'!$A$14:$E$25,IF(tblWorkPackages[[#This Row],[Time split]]="Validation H1",4,5),FALSE()))</f>
        <v>13.995652173913</v>
      </c>
      <c r="U228" s="51">
        <f>IF(tblWorkPackages[[#This Row],[Calibrated forecast hours]]="","",ABS(tblWorkPackages[[#This Row],[Actual labor hours]]-tblWorkPackages[[#This Row],[Calibrated forecast hours]]))</f>
        <v>3.59565217391304</v>
      </c>
      <c r="V228" s="51">
        <f>IF(tblWorkPackages[[#This Row],[Time split]]="Train 2024",tblWorkPackages[[#This Row],[Estimated labor hours]],tblWorkPackages[[#This Row],[Calibrated forecast hours]])</f>
        <v>13.995652173913</v>
      </c>
      <c r="W228" s="64">
        <f>DATEVALUE(tblWorkPackages[[#This Row],[Request date]])</f>
        <v>45963.0</v>
      </c>
      <c r="X228" s="64">
        <f>DATEVALUE(tblWorkPackages[[#This Row],[Due date]])</f>
        <v>45976.0</v>
      </c>
      <c r="Y228" s="64">
        <f>DATEVALUE(tblWorkPackages[[#This Row],[Completion date]])</f>
        <v>45970.0</v>
      </c>
      <c r="Z228" s="64">
        <f>_xlfn.MINIFS(tblLaborEntries[Work date serial],tblLaborEntries[Work package ID],tblWorkPackages[[#This Row],[Work package ID]])</f>
        <v>45966.0</v>
      </c>
      <c r="AA228" s="64">
        <f>_xlfn.MAXIFS(tblLaborEntries[Work date serial],tblLaborEntries[Work package ID],tblWorkPackages[[#This Row],[Work package ID]])</f>
        <v>45968.0</v>
      </c>
      <c r="AB228" s="65">
        <f>IF(tblWorkPackages[[#This Row],[Completion date serial]]&gt;tblWorkPackages[[#This Row],[Due date serial]],1,0)</f>
        <v>0</v>
      </c>
      <c r="AC228" s="65">
        <f>MAX(0,tblWorkPackages[[#This Row],[Completion date serial]]-tblWorkPackages[[#This Row],[Due date serial]])</f>
        <v>0</v>
      </c>
      <c r="AD228" s="65">
        <f>tblWorkPackages[[#This Row],[First labor date]]-tblWorkPackages[[#This Row],[Request date serial]]</f>
        <v>3</v>
      </c>
      <c r="AE228" s="65">
        <f>tblWorkPackages[[#This Row],[Last labor date]]-tblWorkPackages[[#This Row],[First labor date]]</f>
        <v>2</v>
      </c>
      <c r="AF228" s="65">
        <f>tblWorkPackages[[#This Row],[Completion date serial]]-tblWorkPackages[[#This Row],[Last labor date]]</f>
        <v>2</v>
      </c>
      <c r="AG228" s="65">
        <f>tblWorkPackages[[#This Row],[Completion date serial]]-tblWorkPackages[[#This Row],[Request date serial]]</f>
        <v>7</v>
      </c>
      <c r="AH228" s="65">
        <f>IFERROR(INDEX(tblParts[Delay days],MATCH(tblWorkPackages[[#This Row],[Work package ID]],tblParts[Work package ID],0)),0)</f>
        <v>0</v>
      </c>
      <c r="AI228" s="51" t="str">
        <f>IFERROR(INDEX(tblDisruptions[Event type],MATCH(tblWorkPackages[[#This Row],[Work package ID]],tblDisruptions[Work package ID],0)),"None")</f>
        <v>None</v>
      </c>
      <c r="AJ228" s="51" t="str">
        <f>TEXT(tblWorkPackages[[#This Row],[Due date serial]],"yyyy-mm")</f>
        <v>2025-11</v>
      </c>
    </row>
    <row r="229" spans="1:36" ht="15" x14ac:dyDescent="0.25">
      <c r="A229" s="53" t="s">
        <v>834</v>
      </c>
      <c r="B229" s="53" t="s">
        <v>203</v>
      </c>
      <c r="C229" s="53" t="s">
        <v>764</v>
      </c>
      <c r="D229" s="53" t="s">
        <v>765</v>
      </c>
      <c r="E229" s="53" t="s">
        <v>127</v>
      </c>
      <c r="F229" s="53" t="s">
        <v>128</v>
      </c>
      <c r="G229" s="53" t="s">
        <v>129</v>
      </c>
      <c r="H229" s="53">
        <v>4</v>
      </c>
      <c r="I229" s="53" t="s">
        <v>130</v>
      </c>
      <c r="J229" s="53">
        <v>0</v>
      </c>
      <c r="K229" s="53">
        <v>0</v>
      </c>
      <c r="L229" s="53">
        <v>11.4</v>
      </c>
      <c r="M229" s="53" t="s">
        <v>835</v>
      </c>
      <c r="N229" s="53">
        <v>9.6</v>
      </c>
      <c r="O229" s="51" t="str">
        <f>TEXT(tblWorkPackages[[#This Row],[Request date serial]]-WEEKDAY(tblWorkPackages[[#This Row],[Request date serial]],3),"yyyy-mm-dd")</f>
        <v>2025-12-15</v>
      </c>
      <c r="P229" s="51">
        <f>ABS(tblWorkPackages[[#This Row],[Actual labor hours]]-tblWorkPackages[[#This Row],[Estimated labor hours]])</f>
        <v>1.8</v>
      </c>
      <c r="Q229" s="51">
        <f>IF(tblWorkPackages[[#This Row],[Actual labor hours]]&gt;tblWorkPackages[[#This Row],[Estimated labor hours]],1,0)</f>
        <v>0</v>
      </c>
      <c r="R229" s="51">
        <f>tblWorkPackages[[#This Row],[Actual labor hours]]-tblWorkPackages[[#This Row],[Estimated labor hours]]</f>
        <v>-1.8</v>
      </c>
      <c r="S229" s="51" t="str">
        <f>IF(tblWorkPackages[[#This Row],[Request date serial]]&lt;ValidationStart,"Train 2024",IF(tblWorkPackages[[#This Row],[Request date serial]]&lt;HoldoutStart,"Validation H1","Holdout H2"))</f>
        <v>Holdout H2</v>
      </c>
      <c r="T229" s="51">
        <f>IF(tblWorkPackages[[#This Row],[Time split]]="Train 2024","",tblWorkPackages[[#This Row],[Estimated labor hours]]+VLOOKUP(tblWorkPackages[[#This Row],[Task type]],'Forecast validation'!$A$14:$E$25,IF(tblWorkPackages[[#This Row],[Time split]]="Validation H1",4,5),FALSE()))</f>
        <v>11.9434108527132</v>
      </c>
      <c r="U229" s="51">
        <f>IF(tblWorkPackages[[#This Row],[Calibrated forecast hours]]="","",ABS(tblWorkPackages[[#This Row],[Actual labor hours]]-tblWorkPackages[[#This Row],[Calibrated forecast hours]]))</f>
        <v>2.34341085271318</v>
      </c>
      <c r="V229" s="51">
        <f>IF(tblWorkPackages[[#This Row],[Time split]]="Train 2024",tblWorkPackages[[#This Row],[Estimated labor hours]],tblWorkPackages[[#This Row],[Calibrated forecast hours]])</f>
        <v>11.9434108527132</v>
      </c>
      <c r="W229" s="64">
        <f>DATEVALUE(tblWorkPackages[[#This Row],[Request date]])</f>
        <v>46007.0</v>
      </c>
      <c r="X229" s="64">
        <f>DATEVALUE(tblWorkPackages[[#This Row],[Due date]])</f>
        <v>46020.0</v>
      </c>
      <c r="Y229" s="64">
        <f>DATEVALUE(tblWorkPackages[[#This Row],[Completion date]])</f>
        <v>46041.0</v>
      </c>
      <c r="Z229" s="64">
        <f>_xlfn.MINIFS(tblLaborEntries[Work date serial],tblLaborEntries[Work package ID],tblWorkPackages[[#This Row],[Work package ID]])</f>
        <v>46038.0</v>
      </c>
      <c r="AA229" s="64">
        <f>_xlfn.MAXIFS(tblLaborEntries[Work date serial],tblLaborEntries[Work package ID],tblWorkPackages[[#This Row],[Work package ID]])</f>
        <v>46038.0</v>
      </c>
      <c r="AB229" s="65">
        <f>IF(tblWorkPackages[[#This Row],[Completion date serial]]&gt;tblWorkPackages[[#This Row],[Due date serial]],1,0)</f>
        <v>1</v>
      </c>
      <c r="AC229" s="65">
        <f>MAX(0,tblWorkPackages[[#This Row],[Completion date serial]]-tblWorkPackages[[#This Row],[Due date serial]])</f>
        <v>21</v>
      </c>
      <c r="AD229" s="65">
        <f>tblWorkPackages[[#This Row],[First labor date]]-tblWorkPackages[[#This Row],[Request date serial]]</f>
        <v>31</v>
      </c>
      <c r="AE229" s="65">
        <f>tblWorkPackages[[#This Row],[Last labor date]]-tblWorkPackages[[#This Row],[First labor date]]</f>
        <v>0</v>
      </c>
      <c r="AF229" s="65">
        <f>tblWorkPackages[[#This Row],[Completion date serial]]-tblWorkPackages[[#This Row],[Last labor date]]</f>
        <v>3</v>
      </c>
      <c r="AG229" s="65">
        <f>tblWorkPackages[[#This Row],[Completion date serial]]-tblWorkPackages[[#This Row],[Request date serial]]</f>
        <v>34</v>
      </c>
      <c r="AH229" s="65">
        <f>IFERROR(INDEX(tblParts[Delay days],MATCH(tblWorkPackages[[#This Row],[Work package ID]],tblParts[Work package ID],0)),0)</f>
        <v>0</v>
      </c>
      <c r="AI229" s="51" t="str">
        <f>IFERROR(INDEX(tblDisruptions[Event type],MATCH(tblWorkPackages[[#This Row],[Work package ID]],tblDisruptions[Work package ID],0)),"None")</f>
        <v>None</v>
      </c>
      <c r="AJ229" s="51" t="str">
        <f>TEXT(tblWorkPackages[[#This Row],[Due date serial]],"yyyy-mm")</f>
        <v>2025-12</v>
      </c>
    </row>
    <row r="230" spans="1:36" ht="15" x14ac:dyDescent="0.25">
      <c r="A230" s="53" t="s">
        <v>836</v>
      </c>
      <c r="B230" s="53" t="s">
        <v>133</v>
      </c>
      <c r="C230" s="53" t="s">
        <v>251</v>
      </c>
      <c r="D230" s="53" t="s">
        <v>837</v>
      </c>
      <c r="E230" s="53" t="s">
        <v>209</v>
      </c>
      <c r="F230" s="53" t="s">
        <v>145</v>
      </c>
      <c r="G230" s="53" t="s">
        <v>210</v>
      </c>
      <c r="H230" s="53">
        <v>4</v>
      </c>
      <c r="I230" s="53" t="s">
        <v>130</v>
      </c>
      <c r="J230" s="53">
        <v>0</v>
      </c>
      <c r="K230" s="53">
        <v>1</v>
      </c>
      <c r="L230" s="53">
        <v>34.700000000000003</v>
      </c>
      <c r="M230" s="53" t="s">
        <v>395</v>
      </c>
      <c r="N230" s="53">
        <v>27.7</v>
      </c>
      <c r="O230" s="51" t="str">
        <f>TEXT(tblWorkPackages[[#This Row],[Request date serial]]-WEEKDAY(tblWorkPackages[[#This Row],[Request date serial]],3),"yyyy-mm-dd")</f>
        <v>2024-12-23</v>
      </c>
      <c r="P230" s="51">
        <f>ABS(tblWorkPackages[[#This Row],[Actual labor hours]]-tblWorkPackages[[#This Row],[Estimated labor hours]])</f>
        <v>7</v>
      </c>
      <c r="Q230" s="51">
        <f>IF(tblWorkPackages[[#This Row],[Actual labor hours]]&gt;tblWorkPackages[[#This Row],[Estimated labor hours]],1,0)</f>
        <v>0</v>
      </c>
      <c r="R230" s="51">
        <f>tblWorkPackages[[#This Row],[Actual labor hours]]-tblWorkPackages[[#This Row],[Estimated labor hours]]</f>
        <v>-7</v>
      </c>
      <c r="S230" s="51" t="str">
        <f>IF(tblWorkPackages[[#This Row],[Request date serial]]&lt;ValidationStart,"Train 2024",IF(tblWorkPackages[[#This Row],[Request date serial]]&lt;HoldoutStart,"Validation H1","Holdout H2"))</f>
        <v>Train 2024</v>
      </c>
      <c r="T230" s="51" t="str">
        <f>IF(tblWorkPackages[[#This Row],[Time split]]="Train 2024","",tblWorkPackages[[#This Row],[Estimated labor hours]]+VLOOKUP(tblWorkPackages[[#This Row],[Task type]],'Forecast validation'!$A$14:$E$25,IF(tblWorkPackages[[#This Row],[Time split]]="Validation H1",4,5),FALSE()))</f>
        <v/>
      </c>
      <c r="U230" s="51" t="str">
        <f>IF(tblWorkPackages[[#This Row],[Calibrated forecast hours]]="","",ABS(tblWorkPackages[[#This Row],[Actual labor hours]]-tblWorkPackages[[#This Row],[Calibrated forecast hours]]))</f>
        <v/>
      </c>
      <c r="V230" s="51">
        <f>IF(tblWorkPackages[[#This Row],[Time split]]="Train 2024",tblWorkPackages[[#This Row],[Estimated labor hours]],tblWorkPackages[[#This Row],[Calibrated forecast hours]])</f>
        <v>34.7</v>
      </c>
      <c r="W230" s="64">
        <f>DATEVALUE(tblWorkPackages[[#This Row],[Request date]])</f>
        <v>45652.0</v>
      </c>
      <c r="X230" s="64">
        <f>DATEVALUE(tblWorkPackages[[#This Row],[Due date]])</f>
        <v>45665.0</v>
      </c>
      <c r="Y230" s="64">
        <f>DATEVALUE(tblWorkPackages[[#This Row],[Completion date]])</f>
        <v>45659.0</v>
      </c>
      <c r="Z230" s="64">
        <f>_xlfn.MINIFS(tblLaborEntries[Work date serial],tblLaborEntries[Work package ID],tblWorkPackages[[#This Row],[Work package ID]])</f>
        <v>45658.0</v>
      </c>
      <c r="AA230" s="64">
        <f>_xlfn.MAXIFS(tblLaborEntries[Work date serial],tblLaborEntries[Work package ID],tblWorkPackages[[#This Row],[Work package ID]])</f>
        <v>45659.0</v>
      </c>
      <c r="AB230" s="65">
        <f>IF(tblWorkPackages[[#This Row],[Completion date serial]]&gt;tblWorkPackages[[#This Row],[Due date serial]],1,0)</f>
        <v>0</v>
      </c>
      <c r="AC230" s="65">
        <f>MAX(0,tblWorkPackages[[#This Row],[Completion date serial]]-tblWorkPackages[[#This Row],[Due date serial]])</f>
        <v>0</v>
      </c>
      <c r="AD230" s="65">
        <f>tblWorkPackages[[#This Row],[First labor date]]-tblWorkPackages[[#This Row],[Request date serial]]</f>
        <v>6</v>
      </c>
      <c r="AE230" s="65">
        <f>tblWorkPackages[[#This Row],[Last labor date]]-tblWorkPackages[[#This Row],[First labor date]]</f>
        <v>1</v>
      </c>
      <c r="AF230" s="65">
        <f>tblWorkPackages[[#This Row],[Completion date serial]]-tblWorkPackages[[#This Row],[Last labor date]]</f>
        <v>0</v>
      </c>
      <c r="AG230" s="65">
        <f>tblWorkPackages[[#This Row],[Completion date serial]]-tblWorkPackages[[#This Row],[Request date serial]]</f>
        <v>7</v>
      </c>
      <c r="AH230" s="65">
        <f>IFERROR(INDEX(tblParts[Delay days],MATCH(tblWorkPackages[[#This Row],[Work package ID]],tblParts[Work package ID],0)),0)</f>
        <v>0</v>
      </c>
      <c r="AI230" s="51" t="str">
        <f>IFERROR(INDEX(tblDisruptions[Event type],MATCH(tblWorkPackages[[#This Row],[Work package ID]],tblDisruptions[Work package ID],0)),"None")</f>
        <v>None</v>
      </c>
      <c r="AJ230" s="51" t="str">
        <f>TEXT(tblWorkPackages[[#This Row],[Due date serial]],"yyyy-mm")</f>
        <v>2025-01</v>
      </c>
    </row>
    <row r="231" spans="1:36" ht="15" x14ac:dyDescent="0.25">
      <c r="A231" s="53" t="s">
        <v>838</v>
      </c>
      <c r="B231" s="53" t="s">
        <v>124</v>
      </c>
      <c r="C231" s="53" t="s">
        <v>839</v>
      </c>
      <c r="D231" s="53" t="s">
        <v>474</v>
      </c>
      <c r="E231" s="53" t="s">
        <v>200</v>
      </c>
      <c r="F231" s="53" t="s">
        <v>128</v>
      </c>
      <c r="G231" s="53" t="s">
        <v>129</v>
      </c>
      <c r="H231" s="53">
        <v>2</v>
      </c>
      <c r="I231" s="53" t="s">
        <v>176</v>
      </c>
      <c r="J231" s="53">
        <v>0</v>
      </c>
      <c r="K231" s="53">
        <v>0</v>
      </c>
      <c r="L231" s="53">
        <v>3.3</v>
      </c>
      <c r="M231" s="53" t="s">
        <v>700</v>
      </c>
      <c r="N231" s="53">
        <v>3.6</v>
      </c>
      <c r="O231" s="51" t="str">
        <f>TEXT(tblWorkPackages[[#This Row],[Request date serial]]-WEEKDAY(tblWorkPackages[[#This Row],[Request date serial]],3),"yyyy-mm-dd")</f>
        <v>2024-02-19</v>
      </c>
      <c r="P231" s="51">
        <f>ABS(tblWorkPackages[[#This Row],[Actual labor hours]]-tblWorkPackages[[#This Row],[Estimated labor hours]])</f>
        <v>0.3</v>
      </c>
      <c r="Q231" s="51">
        <f>IF(tblWorkPackages[[#This Row],[Actual labor hours]]&gt;tblWorkPackages[[#This Row],[Estimated labor hours]],1,0)</f>
        <v>1</v>
      </c>
      <c r="R231" s="51">
        <f>tblWorkPackages[[#This Row],[Actual labor hours]]-tblWorkPackages[[#This Row],[Estimated labor hours]]</f>
        <v>0.3</v>
      </c>
      <c r="S231" s="51" t="str">
        <f>IF(tblWorkPackages[[#This Row],[Request date serial]]&lt;ValidationStart,"Train 2024",IF(tblWorkPackages[[#This Row],[Request date serial]]&lt;HoldoutStart,"Validation H1","Holdout H2"))</f>
        <v>Train 2024</v>
      </c>
      <c r="T231" s="51" t="str">
        <f>IF(tblWorkPackages[[#This Row],[Time split]]="Train 2024","",tblWorkPackages[[#This Row],[Estimated labor hours]]+VLOOKUP(tblWorkPackages[[#This Row],[Task type]],'Forecast validation'!$A$14:$E$25,IF(tblWorkPackages[[#This Row],[Time split]]="Validation H1",4,5),FALSE()))</f>
        <v/>
      </c>
      <c r="U231" s="51" t="str">
        <f>IF(tblWorkPackages[[#This Row],[Calibrated forecast hours]]="","",ABS(tblWorkPackages[[#This Row],[Actual labor hours]]-tblWorkPackages[[#This Row],[Calibrated forecast hours]]))</f>
        <v/>
      </c>
      <c r="V231" s="51">
        <f>IF(tblWorkPackages[[#This Row],[Time split]]="Train 2024",tblWorkPackages[[#This Row],[Estimated labor hours]],tblWorkPackages[[#This Row],[Calibrated forecast hours]])</f>
        <v>3.3</v>
      </c>
      <c r="W231" s="64">
        <f>DATEVALUE(tblWorkPackages[[#This Row],[Request date]])</f>
        <v>45346.0</v>
      </c>
      <c r="X231" s="64">
        <f>DATEVALUE(tblWorkPackages[[#This Row],[Due date]])</f>
        <v>45352.0</v>
      </c>
      <c r="Y231" s="64">
        <f>DATEVALUE(tblWorkPackages[[#This Row],[Completion date]])</f>
        <v>45349.0</v>
      </c>
      <c r="Z231" s="64">
        <f>_xlfn.MINIFS(tblLaborEntries[Work date serial],tblLaborEntries[Work package ID],tblWorkPackages[[#This Row],[Work package ID]])</f>
        <v>45348.0</v>
      </c>
      <c r="AA231" s="64">
        <f>_xlfn.MAXIFS(tblLaborEntries[Work date serial],tblLaborEntries[Work package ID],tblWorkPackages[[#This Row],[Work package ID]])</f>
        <v>45348.0</v>
      </c>
      <c r="AB231" s="65">
        <f>IF(tblWorkPackages[[#This Row],[Completion date serial]]&gt;tblWorkPackages[[#This Row],[Due date serial]],1,0)</f>
        <v>0</v>
      </c>
      <c r="AC231" s="65">
        <f>MAX(0,tblWorkPackages[[#This Row],[Completion date serial]]-tblWorkPackages[[#This Row],[Due date serial]])</f>
        <v>0</v>
      </c>
      <c r="AD231" s="65">
        <f>tblWorkPackages[[#This Row],[First labor date]]-tblWorkPackages[[#This Row],[Request date serial]]</f>
        <v>2</v>
      </c>
      <c r="AE231" s="65">
        <f>tblWorkPackages[[#This Row],[Last labor date]]-tblWorkPackages[[#This Row],[First labor date]]</f>
        <v>0</v>
      </c>
      <c r="AF231" s="65">
        <f>tblWorkPackages[[#This Row],[Completion date serial]]-tblWorkPackages[[#This Row],[Last labor date]]</f>
        <v>1</v>
      </c>
      <c r="AG231" s="65">
        <f>tblWorkPackages[[#This Row],[Completion date serial]]-tblWorkPackages[[#This Row],[Request date serial]]</f>
        <v>3</v>
      </c>
      <c r="AH231" s="65">
        <f>IFERROR(INDEX(tblParts[Delay days],MATCH(tblWorkPackages[[#This Row],[Work package ID]],tblParts[Work package ID],0)),0)</f>
        <v>0</v>
      </c>
      <c r="AI231" s="51" t="str">
        <f>IFERROR(INDEX(tblDisruptions[Event type],MATCH(tblWorkPackages[[#This Row],[Work package ID]],tblDisruptions[Work package ID],0)),"None")</f>
        <v>None</v>
      </c>
      <c r="AJ231" s="51" t="str">
        <f>TEXT(tblWorkPackages[[#This Row],[Due date serial]],"yyyy-mm")</f>
        <v>2024-03</v>
      </c>
    </row>
    <row r="232" spans="1:36" ht="15" x14ac:dyDescent="0.25">
      <c r="A232" s="53" t="s">
        <v>840</v>
      </c>
      <c r="B232" s="53" t="s">
        <v>203</v>
      </c>
      <c r="C232" s="53" t="s">
        <v>668</v>
      </c>
      <c r="D232" s="53" t="s">
        <v>689</v>
      </c>
      <c r="E232" s="53" t="s">
        <v>136</v>
      </c>
      <c r="F232" s="53" t="s">
        <v>137</v>
      </c>
      <c r="G232" s="53" t="s">
        <v>138</v>
      </c>
      <c r="H232" s="53">
        <v>3</v>
      </c>
      <c r="I232" s="53" t="s">
        <v>176</v>
      </c>
      <c r="J232" s="53">
        <v>0</v>
      </c>
      <c r="K232" s="53">
        <v>1</v>
      </c>
      <c r="L232" s="53">
        <v>19.899999999999999</v>
      </c>
      <c r="M232" s="53" t="s">
        <v>675</v>
      </c>
      <c r="N232" s="53">
        <v>24.8</v>
      </c>
      <c r="O232" s="51" t="str">
        <f>TEXT(tblWorkPackages[[#This Row],[Request date serial]]-WEEKDAY(tblWorkPackages[[#This Row],[Request date serial]],3),"yyyy-mm-dd")</f>
        <v>2024-03-25</v>
      </c>
      <c r="P232" s="51">
        <f>ABS(tblWorkPackages[[#This Row],[Actual labor hours]]-tblWorkPackages[[#This Row],[Estimated labor hours]])</f>
        <v>4.9</v>
      </c>
      <c r="Q232" s="51">
        <f>IF(tblWorkPackages[[#This Row],[Actual labor hours]]&gt;tblWorkPackages[[#This Row],[Estimated labor hours]],1,0)</f>
        <v>1</v>
      </c>
      <c r="R232" s="51">
        <f>tblWorkPackages[[#This Row],[Actual labor hours]]-tblWorkPackages[[#This Row],[Estimated labor hours]]</f>
        <v>4.9</v>
      </c>
      <c r="S232" s="51" t="str">
        <f>IF(tblWorkPackages[[#This Row],[Request date serial]]&lt;ValidationStart,"Train 2024",IF(tblWorkPackages[[#This Row],[Request date serial]]&lt;HoldoutStart,"Validation H1","Holdout H2"))</f>
        <v>Train 2024</v>
      </c>
      <c r="T232" s="51" t="str">
        <f>IF(tblWorkPackages[[#This Row],[Time split]]="Train 2024","",tblWorkPackages[[#This Row],[Estimated labor hours]]+VLOOKUP(tblWorkPackages[[#This Row],[Task type]],'Forecast validation'!$A$14:$E$25,IF(tblWorkPackages[[#This Row],[Time split]]="Validation H1",4,5),FALSE()))</f>
        <v/>
      </c>
      <c r="U232" s="51" t="str">
        <f>IF(tblWorkPackages[[#This Row],[Calibrated forecast hours]]="","",ABS(tblWorkPackages[[#This Row],[Actual labor hours]]-tblWorkPackages[[#This Row],[Calibrated forecast hours]]))</f>
        <v/>
      </c>
      <c r="V232" s="51">
        <f>IF(tblWorkPackages[[#This Row],[Time split]]="Train 2024",tblWorkPackages[[#This Row],[Estimated labor hours]],tblWorkPackages[[#This Row],[Calibrated forecast hours]])</f>
        <v>19.9</v>
      </c>
      <c r="W232" s="64">
        <f>DATEVALUE(tblWorkPackages[[#This Row],[Request date]])</f>
        <v>45379.0</v>
      </c>
      <c r="X232" s="64">
        <f>DATEVALUE(tblWorkPackages[[#This Row],[Due date]])</f>
        <v>45385.0</v>
      </c>
      <c r="Y232" s="64">
        <f>DATEVALUE(tblWorkPackages[[#This Row],[Completion date]])</f>
        <v>45399.0</v>
      </c>
      <c r="Z232" s="64">
        <f>_xlfn.MINIFS(tblLaborEntries[Work date serial],tblLaborEntries[Work package ID],tblWorkPackages[[#This Row],[Work package ID]])</f>
        <v>45396.0</v>
      </c>
      <c r="AA232" s="64">
        <f>_xlfn.MAXIFS(tblLaborEntries[Work date serial],tblLaborEntries[Work package ID],tblWorkPackages[[#This Row],[Work package ID]])</f>
        <v>45397.0</v>
      </c>
      <c r="AB232" s="65">
        <f>IF(tblWorkPackages[[#This Row],[Completion date serial]]&gt;tblWorkPackages[[#This Row],[Due date serial]],1,0)</f>
        <v>1</v>
      </c>
      <c r="AC232" s="65">
        <f>MAX(0,tblWorkPackages[[#This Row],[Completion date serial]]-tblWorkPackages[[#This Row],[Due date serial]])</f>
        <v>14</v>
      </c>
      <c r="AD232" s="65">
        <f>tblWorkPackages[[#This Row],[First labor date]]-tblWorkPackages[[#This Row],[Request date serial]]</f>
        <v>17</v>
      </c>
      <c r="AE232" s="65">
        <f>tblWorkPackages[[#This Row],[Last labor date]]-tblWorkPackages[[#This Row],[First labor date]]</f>
        <v>1</v>
      </c>
      <c r="AF232" s="65">
        <f>tblWorkPackages[[#This Row],[Completion date serial]]-tblWorkPackages[[#This Row],[Last labor date]]</f>
        <v>2</v>
      </c>
      <c r="AG232" s="65">
        <f>tblWorkPackages[[#This Row],[Completion date serial]]-tblWorkPackages[[#This Row],[Request date serial]]</f>
        <v>20</v>
      </c>
      <c r="AH232" s="65">
        <f>IFERROR(INDEX(tblParts[Delay days],MATCH(tblWorkPackages[[#This Row],[Work package ID]],tblParts[Work package ID],0)),0)</f>
        <v>3</v>
      </c>
      <c r="AI232" s="51" t="str">
        <f>IFERROR(INDEX(tblDisruptions[Event type],MATCH(tblWorkPackages[[#This Row],[Work package ID]],tblDisruptions[Work package ID],0)),"None")</f>
        <v>Part delay</v>
      </c>
      <c r="AJ232" s="51" t="str">
        <f>TEXT(tblWorkPackages[[#This Row],[Due date serial]],"yyyy-mm")</f>
        <v>2024-04</v>
      </c>
    </row>
    <row r="233" spans="1:36" ht="15" x14ac:dyDescent="0.25">
      <c r="A233" s="53" t="s">
        <v>841</v>
      </c>
      <c r="B233" s="53" t="s">
        <v>150</v>
      </c>
      <c r="C233" s="53" t="s">
        <v>842</v>
      </c>
      <c r="D233" s="53" t="s">
        <v>843</v>
      </c>
      <c r="E233" s="53" t="s">
        <v>127</v>
      </c>
      <c r="F233" s="53" t="s">
        <v>128</v>
      </c>
      <c r="G233" s="53" t="s">
        <v>129</v>
      </c>
      <c r="H233" s="53">
        <v>3</v>
      </c>
      <c r="I233" s="53" t="s">
        <v>130</v>
      </c>
      <c r="J233" s="53">
        <v>0</v>
      </c>
      <c r="K233" s="53">
        <v>1</v>
      </c>
      <c r="L233" s="53">
        <v>10.3</v>
      </c>
      <c r="M233" s="53" t="s">
        <v>844</v>
      </c>
      <c r="N233" s="53">
        <v>13</v>
      </c>
      <c r="O233" s="51" t="str">
        <f>TEXT(tblWorkPackages[[#This Row],[Request date serial]]-WEEKDAY(tblWorkPackages[[#This Row],[Request date serial]],3),"yyyy-mm-dd")</f>
        <v>2025-07-21</v>
      </c>
      <c r="P233" s="51">
        <f>ABS(tblWorkPackages[[#This Row],[Actual labor hours]]-tblWorkPackages[[#This Row],[Estimated labor hours]])</f>
        <v>2.7</v>
      </c>
      <c r="Q233" s="51">
        <f>IF(tblWorkPackages[[#This Row],[Actual labor hours]]&gt;tblWorkPackages[[#This Row],[Estimated labor hours]],1,0)</f>
        <v>1</v>
      </c>
      <c r="R233" s="51">
        <f>tblWorkPackages[[#This Row],[Actual labor hours]]-tblWorkPackages[[#This Row],[Estimated labor hours]]</f>
        <v>2.7</v>
      </c>
      <c r="S233" s="51" t="str">
        <f>IF(tblWorkPackages[[#This Row],[Request date serial]]&lt;ValidationStart,"Train 2024",IF(tblWorkPackages[[#This Row],[Request date serial]]&lt;HoldoutStart,"Validation H1","Holdout H2"))</f>
        <v>Holdout H2</v>
      </c>
      <c r="T233" s="51">
        <f>IF(tblWorkPackages[[#This Row],[Time split]]="Train 2024","",tblWorkPackages[[#This Row],[Estimated labor hours]]+VLOOKUP(tblWorkPackages[[#This Row],[Task type]],'Forecast validation'!$A$14:$E$25,IF(tblWorkPackages[[#This Row],[Time split]]="Validation H1",4,5),FALSE()))</f>
        <v>10.8434108527132</v>
      </c>
      <c r="U233" s="51">
        <f>IF(tblWorkPackages[[#This Row],[Calibrated forecast hours]]="","",ABS(tblWorkPackages[[#This Row],[Actual labor hours]]-tblWorkPackages[[#This Row],[Calibrated forecast hours]]))</f>
        <v>2.15658914728682</v>
      </c>
      <c r="V233" s="51">
        <f>IF(tblWorkPackages[[#This Row],[Time split]]="Train 2024",tblWorkPackages[[#This Row],[Estimated labor hours]],tblWorkPackages[[#This Row],[Calibrated forecast hours]])</f>
        <v>10.8434108527132</v>
      </c>
      <c r="W233" s="64">
        <f>DATEVALUE(tblWorkPackages[[#This Row],[Request date]])</f>
        <v>45865.0</v>
      </c>
      <c r="X233" s="64">
        <f>DATEVALUE(tblWorkPackages[[#This Row],[Due date]])</f>
        <v>45878.0</v>
      </c>
      <c r="Y233" s="64">
        <f>DATEVALUE(tblWorkPackages[[#This Row],[Completion date]])</f>
        <v>45874.0</v>
      </c>
      <c r="Z233" s="64">
        <f>_xlfn.MINIFS(tblLaborEntries[Work date serial],tblLaborEntries[Work package ID],tblWorkPackages[[#This Row],[Work package ID]])</f>
        <v>45869.0</v>
      </c>
      <c r="AA233" s="64">
        <f>_xlfn.MAXIFS(tblLaborEntries[Work date serial],tblLaborEntries[Work package ID],tblWorkPackages[[#This Row],[Work package ID]])</f>
        <v>45871.0</v>
      </c>
      <c r="AB233" s="65">
        <f>IF(tblWorkPackages[[#This Row],[Completion date serial]]&gt;tblWorkPackages[[#This Row],[Due date serial]],1,0)</f>
        <v>0</v>
      </c>
      <c r="AC233" s="65">
        <f>MAX(0,tblWorkPackages[[#This Row],[Completion date serial]]-tblWorkPackages[[#This Row],[Due date serial]])</f>
        <v>0</v>
      </c>
      <c r="AD233" s="65">
        <f>tblWorkPackages[[#This Row],[First labor date]]-tblWorkPackages[[#This Row],[Request date serial]]</f>
        <v>4</v>
      </c>
      <c r="AE233" s="65">
        <f>tblWorkPackages[[#This Row],[Last labor date]]-tblWorkPackages[[#This Row],[First labor date]]</f>
        <v>2</v>
      </c>
      <c r="AF233" s="65">
        <f>tblWorkPackages[[#This Row],[Completion date serial]]-tblWorkPackages[[#This Row],[Last labor date]]</f>
        <v>3</v>
      </c>
      <c r="AG233" s="65">
        <f>tblWorkPackages[[#This Row],[Completion date serial]]-tblWorkPackages[[#This Row],[Request date serial]]</f>
        <v>9</v>
      </c>
      <c r="AH233" s="65">
        <f>IFERROR(INDEX(tblParts[Delay days],MATCH(tblWorkPackages[[#This Row],[Work package ID]],tblParts[Work package ID],0)),0)</f>
        <v>0</v>
      </c>
      <c r="AI233" s="51" t="str">
        <f>IFERROR(INDEX(tblDisruptions[Event type],MATCH(tblWorkPackages[[#This Row],[Work package ID]],tblDisruptions[Work package ID],0)),"None")</f>
        <v>None</v>
      </c>
      <c r="AJ233" s="51" t="str">
        <f>TEXT(tblWorkPackages[[#This Row],[Due date serial]],"yyyy-mm")</f>
        <v>2025-08</v>
      </c>
    </row>
    <row r="234" spans="1:36" ht="15" x14ac:dyDescent="0.25">
      <c r="A234" s="53" t="s">
        <v>845</v>
      </c>
      <c r="B234" s="53" t="s">
        <v>124</v>
      </c>
      <c r="C234" s="53" t="s">
        <v>265</v>
      </c>
      <c r="D234" s="53" t="s">
        <v>846</v>
      </c>
      <c r="E234" s="53" t="s">
        <v>237</v>
      </c>
      <c r="F234" s="53" t="s">
        <v>182</v>
      </c>
      <c r="G234" s="53" t="s">
        <v>138</v>
      </c>
      <c r="H234" s="53">
        <v>1</v>
      </c>
      <c r="I234" s="53" t="s">
        <v>176</v>
      </c>
      <c r="J234" s="53">
        <v>0</v>
      </c>
      <c r="K234" s="53">
        <v>0</v>
      </c>
      <c r="L234" s="53">
        <v>3.2</v>
      </c>
      <c r="M234" s="53" t="s">
        <v>540</v>
      </c>
      <c r="N234" s="53">
        <v>2.6</v>
      </c>
      <c r="O234" s="51" t="str">
        <f>TEXT(tblWorkPackages[[#This Row],[Request date serial]]-WEEKDAY(tblWorkPackages[[#This Row],[Request date serial]],3),"yyyy-mm-dd")</f>
        <v>2024-08-26</v>
      </c>
      <c r="P234" s="51">
        <f>ABS(tblWorkPackages[[#This Row],[Actual labor hours]]-tblWorkPackages[[#This Row],[Estimated labor hours]])</f>
        <v>0.6</v>
      </c>
      <c r="Q234" s="51">
        <f>IF(tblWorkPackages[[#This Row],[Actual labor hours]]&gt;tblWorkPackages[[#This Row],[Estimated labor hours]],1,0)</f>
        <v>0</v>
      </c>
      <c r="R234" s="51">
        <f>tblWorkPackages[[#This Row],[Actual labor hours]]-tblWorkPackages[[#This Row],[Estimated labor hours]]</f>
        <v>-0.6</v>
      </c>
      <c r="S234" s="51" t="str">
        <f>IF(tblWorkPackages[[#This Row],[Request date serial]]&lt;ValidationStart,"Train 2024",IF(tblWorkPackages[[#This Row],[Request date serial]]&lt;HoldoutStart,"Validation H1","Holdout H2"))</f>
        <v>Train 2024</v>
      </c>
      <c r="T234" s="51" t="str">
        <f>IF(tblWorkPackages[[#This Row],[Time split]]="Train 2024","",tblWorkPackages[[#This Row],[Estimated labor hours]]+VLOOKUP(tblWorkPackages[[#This Row],[Task type]],'Forecast validation'!$A$14:$E$25,IF(tblWorkPackages[[#This Row],[Time split]]="Validation H1",4,5),FALSE()))</f>
        <v/>
      </c>
      <c r="U234" s="51" t="str">
        <f>IF(tblWorkPackages[[#This Row],[Calibrated forecast hours]]="","",ABS(tblWorkPackages[[#This Row],[Actual labor hours]]-tblWorkPackages[[#This Row],[Calibrated forecast hours]]))</f>
        <v/>
      </c>
      <c r="V234" s="51">
        <f>IF(tblWorkPackages[[#This Row],[Time split]]="Train 2024",tblWorkPackages[[#This Row],[Estimated labor hours]],tblWorkPackages[[#This Row],[Calibrated forecast hours]])</f>
        <v>3.2</v>
      </c>
      <c r="W234" s="64">
        <f>DATEVALUE(tblWorkPackages[[#This Row],[Request date]])</f>
        <v>45536.0</v>
      </c>
      <c r="X234" s="64">
        <f>DATEVALUE(tblWorkPackages[[#This Row],[Due date]])</f>
        <v>45542.0</v>
      </c>
      <c r="Y234" s="64">
        <f>DATEVALUE(tblWorkPackages[[#This Row],[Completion date]])</f>
        <v>45538.0</v>
      </c>
      <c r="Z234" s="64">
        <f>_xlfn.MINIFS(tblLaborEntries[Work date serial],tblLaborEntries[Work package ID],tblWorkPackages[[#This Row],[Work package ID]])</f>
        <v>45537.0</v>
      </c>
      <c r="AA234" s="64">
        <f>_xlfn.MAXIFS(tblLaborEntries[Work date serial],tblLaborEntries[Work package ID],tblWorkPackages[[#This Row],[Work package ID]])</f>
        <v>45538.0</v>
      </c>
      <c r="AB234" s="65">
        <f>IF(tblWorkPackages[[#This Row],[Completion date serial]]&gt;tblWorkPackages[[#This Row],[Due date serial]],1,0)</f>
        <v>0</v>
      </c>
      <c r="AC234" s="65">
        <f>MAX(0,tblWorkPackages[[#This Row],[Completion date serial]]-tblWorkPackages[[#This Row],[Due date serial]])</f>
        <v>0</v>
      </c>
      <c r="AD234" s="65">
        <f>tblWorkPackages[[#This Row],[First labor date]]-tblWorkPackages[[#This Row],[Request date serial]]</f>
        <v>1</v>
      </c>
      <c r="AE234" s="65">
        <f>tblWorkPackages[[#This Row],[Last labor date]]-tblWorkPackages[[#This Row],[First labor date]]</f>
        <v>1</v>
      </c>
      <c r="AF234" s="65">
        <f>tblWorkPackages[[#This Row],[Completion date serial]]-tblWorkPackages[[#This Row],[Last labor date]]</f>
        <v>0</v>
      </c>
      <c r="AG234" s="65">
        <f>tblWorkPackages[[#This Row],[Completion date serial]]-tblWorkPackages[[#This Row],[Request date serial]]</f>
        <v>2</v>
      </c>
      <c r="AH234" s="65">
        <f>IFERROR(INDEX(tblParts[Delay days],MATCH(tblWorkPackages[[#This Row],[Work package ID]],tblParts[Work package ID],0)),0)</f>
        <v>0</v>
      </c>
      <c r="AI234" s="51" t="str">
        <f>IFERROR(INDEX(tblDisruptions[Event type],MATCH(tblWorkPackages[[#This Row],[Work package ID]],tblDisruptions[Work package ID],0)),"None")</f>
        <v>None</v>
      </c>
      <c r="AJ234" s="51" t="str">
        <f>TEXT(tblWorkPackages[[#This Row],[Due date serial]],"yyyy-mm")</f>
        <v>2024-09</v>
      </c>
    </row>
    <row r="235" spans="1:36" ht="15" x14ac:dyDescent="0.25">
      <c r="A235" s="53" t="s">
        <v>847</v>
      </c>
      <c r="B235" s="53" t="s">
        <v>141</v>
      </c>
      <c r="C235" s="53" t="s">
        <v>848</v>
      </c>
      <c r="D235" s="53" t="s">
        <v>849</v>
      </c>
      <c r="E235" s="53" t="s">
        <v>136</v>
      </c>
      <c r="F235" s="53" t="s">
        <v>137</v>
      </c>
      <c r="G235" s="53" t="s">
        <v>138</v>
      </c>
      <c r="H235" s="53">
        <v>4</v>
      </c>
      <c r="I235" s="53" t="s">
        <v>130</v>
      </c>
      <c r="J235" s="53">
        <v>1</v>
      </c>
      <c r="K235" s="53">
        <v>1</v>
      </c>
      <c r="L235" s="53">
        <v>24.4</v>
      </c>
      <c r="M235" s="53" t="s">
        <v>579</v>
      </c>
      <c r="N235" s="53">
        <v>34.4</v>
      </c>
      <c r="O235" s="51" t="str">
        <f>TEXT(tblWorkPackages[[#This Row],[Request date serial]]-WEEKDAY(tblWorkPackages[[#This Row],[Request date serial]],3),"yyyy-mm-dd")</f>
        <v>2025-12-15</v>
      </c>
      <c r="P235" s="51">
        <f>ABS(tblWorkPackages[[#This Row],[Actual labor hours]]-tblWorkPackages[[#This Row],[Estimated labor hours]])</f>
        <v>10</v>
      </c>
      <c r="Q235" s="51">
        <f>IF(tblWorkPackages[[#This Row],[Actual labor hours]]&gt;tblWorkPackages[[#This Row],[Estimated labor hours]],1,0)</f>
        <v>1</v>
      </c>
      <c r="R235" s="51">
        <f>tblWorkPackages[[#This Row],[Actual labor hours]]-tblWorkPackages[[#This Row],[Estimated labor hours]]</f>
        <v>10</v>
      </c>
      <c r="S235" s="51" t="str">
        <f>IF(tblWorkPackages[[#This Row],[Request date serial]]&lt;ValidationStart,"Train 2024",IF(tblWorkPackages[[#This Row],[Request date serial]]&lt;HoldoutStart,"Validation H1","Holdout H2"))</f>
        <v>Holdout H2</v>
      </c>
      <c r="T235" s="51">
        <f>IF(tblWorkPackages[[#This Row],[Time split]]="Train 2024","",tblWorkPackages[[#This Row],[Estimated labor hours]]+VLOOKUP(tblWorkPackages[[#This Row],[Task type]],'Forecast validation'!$A$14:$E$25,IF(tblWorkPackages[[#This Row],[Time split]]="Validation H1",4,5),FALSE()))</f>
        <v>25.3207547169811</v>
      </c>
      <c r="U235" s="51">
        <f>IF(tblWorkPackages[[#This Row],[Calibrated forecast hours]]="","",ABS(tblWorkPackages[[#This Row],[Actual labor hours]]-tblWorkPackages[[#This Row],[Calibrated forecast hours]]))</f>
        <v>9.07924528301887</v>
      </c>
      <c r="V235" s="51">
        <f>IF(tblWorkPackages[[#This Row],[Time split]]="Train 2024",tblWorkPackages[[#This Row],[Estimated labor hours]],tblWorkPackages[[#This Row],[Calibrated forecast hours]])</f>
        <v>25.3207547169811</v>
      </c>
      <c r="W235" s="64">
        <f>DATEVALUE(tblWorkPackages[[#This Row],[Request date]])</f>
        <v>46006.0</v>
      </c>
      <c r="X235" s="64">
        <f>DATEVALUE(tblWorkPackages[[#This Row],[Due date]])</f>
        <v>46019.0</v>
      </c>
      <c r="Y235" s="64">
        <f>DATEVALUE(tblWorkPackages[[#This Row],[Completion date]])</f>
        <v>46021.0</v>
      </c>
      <c r="Z235" s="64">
        <f>_xlfn.MINIFS(tblLaborEntries[Work date serial],tblLaborEntries[Work package ID],tblWorkPackages[[#This Row],[Work package ID]])</f>
        <v>46018.0</v>
      </c>
      <c r="AA235" s="64">
        <f>_xlfn.MAXIFS(tblLaborEntries[Work date serial],tblLaborEntries[Work package ID],tblWorkPackages[[#This Row],[Work package ID]])</f>
        <v>46020.0</v>
      </c>
      <c r="AB235" s="65">
        <f>IF(tblWorkPackages[[#This Row],[Completion date serial]]&gt;tblWorkPackages[[#This Row],[Due date serial]],1,0)</f>
        <v>1</v>
      </c>
      <c r="AC235" s="65">
        <f>MAX(0,tblWorkPackages[[#This Row],[Completion date serial]]-tblWorkPackages[[#This Row],[Due date serial]])</f>
        <v>2</v>
      </c>
      <c r="AD235" s="65">
        <f>tblWorkPackages[[#This Row],[First labor date]]-tblWorkPackages[[#This Row],[Request date serial]]</f>
        <v>12</v>
      </c>
      <c r="AE235" s="65">
        <f>tblWorkPackages[[#This Row],[Last labor date]]-tblWorkPackages[[#This Row],[First labor date]]</f>
        <v>2</v>
      </c>
      <c r="AF235" s="65">
        <f>tblWorkPackages[[#This Row],[Completion date serial]]-tblWorkPackages[[#This Row],[Last labor date]]</f>
        <v>1</v>
      </c>
      <c r="AG235" s="65">
        <f>tblWorkPackages[[#This Row],[Completion date serial]]-tblWorkPackages[[#This Row],[Request date serial]]</f>
        <v>15</v>
      </c>
      <c r="AH235" s="65">
        <f>IFERROR(INDEX(tblParts[Delay days],MATCH(tblWorkPackages[[#This Row],[Work package ID]],tblParts[Work package ID],0)),0)</f>
        <v>3</v>
      </c>
      <c r="AI235" s="51" t="str">
        <f>IFERROR(INDEX(tblDisruptions[Event type],MATCH(tblWorkPackages[[#This Row],[Work package ID]],tblDisruptions[Work package ID],0)),"None")</f>
        <v>Part delay</v>
      </c>
      <c r="AJ235" s="51" t="str">
        <f>TEXT(tblWorkPackages[[#This Row],[Due date serial]],"yyyy-mm")</f>
        <v>2025-12</v>
      </c>
    </row>
    <row r="236" spans="1:36" ht="15" x14ac:dyDescent="0.25">
      <c r="A236" s="53" t="s">
        <v>850</v>
      </c>
      <c r="B236" s="53" t="s">
        <v>141</v>
      </c>
      <c r="C236" s="53" t="s">
        <v>640</v>
      </c>
      <c r="D236" s="53" t="s">
        <v>851</v>
      </c>
      <c r="E236" s="53" t="s">
        <v>153</v>
      </c>
      <c r="F236" s="53" t="s">
        <v>128</v>
      </c>
      <c r="G236" s="53" t="s">
        <v>154</v>
      </c>
      <c r="H236" s="53">
        <v>1</v>
      </c>
      <c r="I236" s="53" t="s">
        <v>130</v>
      </c>
      <c r="J236" s="53">
        <v>0</v>
      </c>
      <c r="K236" s="53">
        <v>0</v>
      </c>
      <c r="L236" s="53">
        <v>6.6</v>
      </c>
      <c r="M236" s="53" t="s">
        <v>603</v>
      </c>
      <c r="N236" s="53">
        <v>6.5</v>
      </c>
      <c r="O236" s="51" t="str">
        <f>TEXT(tblWorkPackages[[#This Row],[Request date serial]]-WEEKDAY(tblWorkPackages[[#This Row],[Request date serial]],3),"yyyy-mm-dd")</f>
        <v>2025-06-16</v>
      </c>
      <c r="P236" s="51">
        <f>ABS(tblWorkPackages[[#This Row],[Actual labor hours]]-tblWorkPackages[[#This Row],[Estimated labor hours]])</f>
        <v>0.0999999999999996</v>
      </c>
      <c r="Q236" s="51">
        <f>IF(tblWorkPackages[[#This Row],[Actual labor hours]]&gt;tblWorkPackages[[#This Row],[Estimated labor hours]],1,0)</f>
        <v>0</v>
      </c>
      <c r="R236" s="51">
        <f>tblWorkPackages[[#This Row],[Actual labor hours]]-tblWorkPackages[[#This Row],[Estimated labor hours]]</f>
        <v>-0.0999999999999996</v>
      </c>
      <c r="S236" s="51" t="str">
        <f>IF(tblWorkPackages[[#This Row],[Request date serial]]&lt;ValidationStart,"Train 2024",IF(tblWorkPackages[[#This Row],[Request date serial]]&lt;HoldoutStart,"Validation H1","Holdout H2"))</f>
        <v>Validation H1</v>
      </c>
      <c r="T236" s="51">
        <f>IF(tblWorkPackages[[#This Row],[Time split]]="Train 2024","",tblWorkPackages[[#This Row],[Estimated labor hours]]+VLOOKUP(tblWorkPackages[[#This Row],[Task type]],'Forecast validation'!$A$14:$E$25,IF(tblWorkPackages[[#This Row],[Time split]]="Validation H1",4,5),FALSE()))</f>
        <v>7.14622641509434</v>
      </c>
      <c r="U236" s="51">
        <f>IF(tblWorkPackages[[#This Row],[Calibrated forecast hours]]="","",ABS(tblWorkPackages[[#This Row],[Actual labor hours]]-tblWorkPackages[[#This Row],[Calibrated forecast hours]]))</f>
        <v>0.646226415094339</v>
      </c>
      <c r="V236" s="51">
        <f>IF(tblWorkPackages[[#This Row],[Time split]]="Train 2024",tblWorkPackages[[#This Row],[Estimated labor hours]],tblWorkPackages[[#This Row],[Calibrated forecast hours]])</f>
        <v>7.14622641509434</v>
      </c>
      <c r="W236" s="64">
        <f>DATEVALUE(tblWorkPackages[[#This Row],[Request date]])</f>
        <v>45828.0</v>
      </c>
      <c r="X236" s="64">
        <f>DATEVALUE(tblWorkPackages[[#This Row],[Due date]])</f>
        <v>45841.0</v>
      </c>
      <c r="Y236" s="64">
        <f>DATEVALUE(tblWorkPackages[[#This Row],[Completion date]])</f>
        <v>45834.0</v>
      </c>
      <c r="Z236" s="64">
        <f>_xlfn.MINIFS(tblLaborEntries[Work date serial],tblLaborEntries[Work package ID],tblWorkPackages[[#This Row],[Work package ID]])</f>
        <v>45830.0</v>
      </c>
      <c r="AA236" s="64">
        <f>_xlfn.MAXIFS(tblLaborEntries[Work date serial],tblLaborEntries[Work package ID],tblWorkPackages[[#This Row],[Work package ID]])</f>
        <v>45832.0</v>
      </c>
      <c r="AB236" s="65">
        <f>IF(tblWorkPackages[[#This Row],[Completion date serial]]&gt;tblWorkPackages[[#This Row],[Due date serial]],1,0)</f>
        <v>0</v>
      </c>
      <c r="AC236" s="65">
        <f>MAX(0,tblWorkPackages[[#This Row],[Completion date serial]]-tblWorkPackages[[#This Row],[Due date serial]])</f>
        <v>0</v>
      </c>
      <c r="AD236" s="65">
        <f>tblWorkPackages[[#This Row],[First labor date]]-tblWorkPackages[[#This Row],[Request date serial]]</f>
        <v>2</v>
      </c>
      <c r="AE236" s="65">
        <f>tblWorkPackages[[#This Row],[Last labor date]]-tblWorkPackages[[#This Row],[First labor date]]</f>
        <v>2</v>
      </c>
      <c r="AF236" s="65">
        <f>tblWorkPackages[[#This Row],[Completion date serial]]-tblWorkPackages[[#This Row],[Last labor date]]</f>
        <v>2</v>
      </c>
      <c r="AG236" s="65">
        <f>tblWorkPackages[[#This Row],[Completion date serial]]-tblWorkPackages[[#This Row],[Request date serial]]</f>
        <v>6</v>
      </c>
      <c r="AH236" s="65">
        <f>IFERROR(INDEX(tblParts[Delay days],MATCH(tblWorkPackages[[#This Row],[Work package ID]],tblParts[Work package ID],0)),0)</f>
        <v>0</v>
      </c>
      <c r="AI236" s="51" t="str">
        <f>IFERROR(INDEX(tblDisruptions[Event type],MATCH(tblWorkPackages[[#This Row],[Work package ID]],tblDisruptions[Work package ID],0)),"None")</f>
        <v>None</v>
      </c>
      <c r="AJ236" s="51" t="str">
        <f>TEXT(tblWorkPackages[[#This Row],[Due date serial]],"yyyy-mm")</f>
        <v>2025-07</v>
      </c>
    </row>
    <row r="237" spans="1:36" ht="15" x14ac:dyDescent="0.25">
      <c r="A237" s="53" t="s">
        <v>852</v>
      </c>
      <c r="B237" s="53" t="s">
        <v>173</v>
      </c>
      <c r="C237" s="53" t="s">
        <v>853</v>
      </c>
      <c r="D237" s="53" t="s">
        <v>164</v>
      </c>
      <c r="E237" s="53" t="s">
        <v>200</v>
      </c>
      <c r="F237" s="53" t="s">
        <v>128</v>
      </c>
      <c r="G237" s="53" t="s">
        <v>129</v>
      </c>
      <c r="H237" s="53">
        <v>4</v>
      </c>
      <c r="I237" s="53" t="s">
        <v>176</v>
      </c>
      <c r="J237" s="53">
        <v>0</v>
      </c>
      <c r="K237" s="53">
        <v>0</v>
      </c>
      <c r="L237" s="53">
        <v>5.7</v>
      </c>
      <c r="M237" s="53" t="s">
        <v>854</v>
      </c>
      <c r="N237" s="53">
        <v>6.7</v>
      </c>
      <c r="O237" s="51" t="str">
        <f>TEXT(tblWorkPackages[[#This Row],[Request date serial]]-WEEKDAY(tblWorkPackages[[#This Row],[Request date serial]],3),"yyyy-mm-dd")</f>
        <v>2024-06-17</v>
      </c>
      <c r="P237" s="51">
        <f>ABS(tblWorkPackages[[#This Row],[Actual labor hours]]-tblWorkPackages[[#This Row],[Estimated labor hours]])</f>
        <v>1</v>
      </c>
      <c r="Q237" s="51">
        <f>IF(tblWorkPackages[[#This Row],[Actual labor hours]]&gt;tblWorkPackages[[#This Row],[Estimated labor hours]],1,0)</f>
        <v>1</v>
      </c>
      <c r="R237" s="51">
        <f>tblWorkPackages[[#This Row],[Actual labor hours]]-tblWorkPackages[[#This Row],[Estimated labor hours]]</f>
        <v>1</v>
      </c>
      <c r="S237" s="51" t="str">
        <f>IF(tblWorkPackages[[#This Row],[Request date serial]]&lt;ValidationStart,"Train 2024",IF(tblWorkPackages[[#This Row],[Request date serial]]&lt;HoldoutStart,"Validation H1","Holdout H2"))</f>
        <v>Train 2024</v>
      </c>
      <c r="T237" s="51" t="str">
        <f>IF(tblWorkPackages[[#This Row],[Time split]]="Train 2024","",tblWorkPackages[[#This Row],[Estimated labor hours]]+VLOOKUP(tblWorkPackages[[#This Row],[Task type]],'Forecast validation'!$A$14:$E$25,IF(tblWorkPackages[[#This Row],[Time split]]="Validation H1",4,5),FALSE()))</f>
        <v/>
      </c>
      <c r="U237" s="51" t="str">
        <f>IF(tblWorkPackages[[#This Row],[Calibrated forecast hours]]="","",ABS(tblWorkPackages[[#This Row],[Actual labor hours]]-tblWorkPackages[[#This Row],[Calibrated forecast hours]]))</f>
        <v/>
      </c>
      <c r="V237" s="51">
        <f>IF(tblWorkPackages[[#This Row],[Time split]]="Train 2024",tblWorkPackages[[#This Row],[Estimated labor hours]],tblWorkPackages[[#This Row],[Calibrated forecast hours]])</f>
        <v>5.7</v>
      </c>
      <c r="W237" s="64">
        <f>DATEVALUE(tblWorkPackages[[#This Row],[Request date]])</f>
        <v>45466.0</v>
      </c>
      <c r="X237" s="64">
        <f>DATEVALUE(tblWorkPackages[[#This Row],[Due date]])</f>
        <v>45472.0</v>
      </c>
      <c r="Y237" s="64">
        <f>DATEVALUE(tblWorkPackages[[#This Row],[Completion date]])</f>
        <v>45492.0</v>
      </c>
      <c r="Z237" s="64">
        <f>_xlfn.MINIFS(tblLaborEntries[Work date serial],tblLaborEntries[Work package ID],tblWorkPackages[[#This Row],[Work package ID]])</f>
        <v>45489.0</v>
      </c>
      <c r="AA237" s="64">
        <f>_xlfn.MAXIFS(tblLaborEntries[Work date serial],tblLaborEntries[Work package ID],tblWorkPackages[[#This Row],[Work package ID]])</f>
        <v>45489.0</v>
      </c>
      <c r="AB237" s="65">
        <f>IF(tblWorkPackages[[#This Row],[Completion date serial]]&gt;tblWorkPackages[[#This Row],[Due date serial]],1,0)</f>
        <v>1</v>
      </c>
      <c r="AC237" s="65">
        <f>MAX(0,tblWorkPackages[[#This Row],[Completion date serial]]-tblWorkPackages[[#This Row],[Due date serial]])</f>
        <v>20</v>
      </c>
      <c r="AD237" s="65">
        <f>tblWorkPackages[[#This Row],[First labor date]]-tblWorkPackages[[#This Row],[Request date serial]]</f>
        <v>23</v>
      </c>
      <c r="AE237" s="65">
        <f>tblWorkPackages[[#This Row],[Last labor date]]-tblWorkPackages[[#This Row],[First labor date]]</f>
        <v>0</v>
      </c>
      <c r="AF237" s="65">
        <f>tblWorkPackages[[#This Row],[Completion date serial]]-tblWorkPackages[[#This Row],[Last labor date]]</f>
        <v>3</v>
      </c>
      <c r="AG237" s="65">
        <f>tblWorkPackages[[#This Row],[Completion date serial]]-tblWorkPackages[[#This Row],[Request date serial]]</f>
        <v>26</v>
      </c>
      <c r="AH237" s="65">
        <f>IFERROR(INDEX(tblParts[Delay days],MATCH(tblWorkPackages[[#This Row],[Work package ID]],tblParts[Work package ID],0)),0)</f>
        <v>0</v>
      </c>
      <c r="AI237" s="51" t="str">
        <f>IFERROR(INDEX(tblDisruptions[Event type],MATCH(tblWorkPackages[[#This Row],[Work package ID]],tblDisruptions[Work package ID],0)),"None")</f>
        <v>None</v>
      </c>
      <c r="AJ237" s="51" t="str">
        <f>TEXT(tblWorkPackages[[#This Row],[Due date serial]],"yyyy-mm")</f>
        <v>2024-06</v>
      </c>
    </row>
    <row r="238" spans="1:36" ht="15" x14ac:dyDescent="0.25">
      <c r="A238" s="53" t="s">
        <v>855</v>
      </c>
      <c r="B238" s="53" t="s">
        <v>157</v>
      </c>
      <c r="C238" s="53" t="s">
        <v>856</v>
      </c>
      <c r="D238" s="53" t="s">
        <v>765</v>
      </c>
      <c r="E238" s="53" t="s">
        <v>144</v>
      </c>
      <c r="F238" s="53" t="s">
        <v>145</v>
      </c>
      <c r="G238" s="53" t="s">
        <v>146</v>
      </c>
      <c r="H238" s="53">
        <v>1</v>
      </c>
      <c r="I238" s="53" t="s">
        <v>176</v>
      </c>
      <c r="J238" s="53">
        <v>0</v>
      </c>
      <c r="K238" s="53">
        <v>1</v>
      </c>
      <c r="L238" s="53">
        <v>6</v>
      </c>
      <c r="M238" s="53" t="s">
        <v>849</v>
      </c>
      <c r="N238" s="53">
        <v>5.2</v>
      </c>
      <c r="O238" s="51" t="str">
        <f>TEXT(tblWorkPackages[[#This Row],[Request date serial]]-WEEKDAY(tblWorkPackages[[#This Row],[Request date serial]],3),"yyyy-mm-dd")</f>
        <v>2025-12-22</v>
      </c>
      <c r="P238" s="51">
        <f>ABS(tblWorkPackages[[#This Row],[Actual labor hours]]-tblWorkPackages[[#This Row],[Estimated labor hours]])</f>
        <v>0.8</v>
      </c>
      <c r="Q238" s="51">
        <f>IF(tblWorkPackages[[#This Row],[Actual labor hours]]&gt;tblWorkPackages[[#This Row],[Estimated labor hours]],1,0)</f>
        <v>0</v>
      </c>
      <c r="R238" s="51">
        <f>tblWorkPackages[[#This Row],[Actual labor hours]]-tblWorkPackages[[#This Row],[Estimated labor hours]]</f>
        <v>-0.8</v>
      </c>
      <c r="S238" s="51" t="str">
        <f>IF(tblWorkPackages[[#This Row],[Request date serial]]&lt;ValidationStart,"Train 2024",IF(tblWorkPackages[[#This Row],[Request date serial]]&lt;HoldoutStart,"Validation H1","Holdout H2"))</f>
        <v>Holdout H2</v>
      </c>
      <c r="T238" s="51">
        <f>IF(tblWorkPackages[[#This Row],[Time split]]="Train 2024","",tblWorkPackages[[#This Row],[Estimated labor hours]]+VLOOKUP(tblWorkPackages[[#This Row],[Task type]],'Forecast validation'!$A$14:$E$25,IF(tblWorkPackages[[#This Row],[Time split]]="Validation H1",4,5),FALSE()))</f>
        <v>6.97354838709677</v>
      </c>
      <c r="U238" s="51">
        <f>IF(tblWorkPackages[[#This Row],[Calibrated forecast hours]]="","",ABS(tblWorkPackages[[#This Row],[Actual labor hours]]-tblWorkPackages[[#This Row],[Calibrated forecast hours]]))</f>
        <v>1.77354838709677</v>
      </c>
      <c r="V238" s="51">
        <f>IF(tblWorkPackages[[#This Row],[Time split]]="Train 2024",tblWorkPackages[[#This Row],[Estimated labor hours]],tblWorkPackages[[#This Row],[Calibrated forecast hours]])</f>
        <v>6.97354838709677</v>
      </c>
      <c r="W238" s="64">
        <f>DATEVALUE(tblWorkPackages[[#This Row],[Request date]])</f>
        <v>46014.0</v>
      </c>
      <c r="X238" s="64">
        <f>DATEVALUE(tblWorkPackages[[#This Row],[Due date]])</f>
        <v>46020.0</v>
      </c>
      <c r="Y238" s="64">
        <f>DATEVALUE(tblWorkPackages[[#This Row],[Completion date]])</f>
        <v>46019.0</v>
      </c>
      <c r="Z238" s="64">
        <f>_xlfn.MINIFS(tblLaborEntries[Work date serial],tblLaborEntries[Work package ID],tblWorkPackages[[#This Row],[Work package ID]])</f>
        <v>46018.0</v>
      </c>
      <c r="AA238" s="64">
        <f>_xlfn.MAXIFS(tblLaborEntries[Work date serial],tblLaborEntries[Work package ID],tblWorkPackages[[#This Row],[Work package ID]])</f>
        <v>46019.0</v>
      </c>
      <c r="AB238" s="65">
        <f>IF(tblWorkPackages[[#This Row],[Completion date serial]]&gt;tblWorkPackages[[#This Row],[Due date serial]],1,0)</f>
        <v>0</v>
      </c>
      <c r="AC238" s="65">
        <f>MAX(0,tblWorkPackages[[#This Row],[Completion date serial]]-tblWorkPackages[[#This Row],[Due date serial]])</f>
        <v>0</v>
      </c>
      <c r="AD238" s="65">
        <f>tblWorkPackages[[#This Row],[First labor date]]-tblWorkPackages[[#This Row],[Request date serial]]</f>
        <v>4</v>
      </c>
      <c r="AE238" s="65">
        <f>tblWorkPackages[[#This Row],[Last labor date]]-tblWorkPackages[[#This Row],[First labor date]]</f>
        <v>1</v>
      </c>
      <c r="AF238" s="65">
        <f>tblWorkPackages[[#This Row],[Completion date serial]]-tblWorkPackages[[#This Row],[Last labor date]]</f>
        <v>0</v>
      </c>
      <c r="AG238" s="65">
        <f>tblWorkPackages[[#This Row],[Completion date serial]]-tblWorkPackages[[#This Row],[Request date serial]]</f>
        <v>5</v>
      </c>
      <c r="AH238" s="65">
        <f>IFERROR(INDEX(tblParts[Delay days],MATCH(tblWorkPackages[[#This Row],[Work package ID]],tblParts[Work package ID],0)),0)</f>
        <v>0</v>
      </c>
      <c r="AI238" s="51" t="str">
        <f>IFERROR(INDEX(tblDisruptions[Event type],MATCH(tblWorkPackages[[#This Row],[Work package ID]],tblDisruptions[Work package ID],0)),"None")</f>
        <v>None</v>
      </c>
      <c r="AJ238" s="51" t="str">
        <f>TEXT(tblWorkPackages[[#This Row],[Due date serial]],"yyyy-mm")</f>
        <v>2025-12</v>
      </c>
    </row>
    <row r="239" spans="1:36" ht="15" x14ac:dyDescent="0.25">
      <c r="A239" s="53" t="s">
        <v>857</v>
      </c>
      <c r="B239" s="53" t="s">
        <v>168</v>
      </c>
      <c r="C239" s="53" t="s">
        <v>354</v>
      </c>
      <c r="D239" s="53" t="s">
        <v>858</v>
      </c>
      <c r="E239" s="53" t="s">
        <v>200</v>
      </c>
      <c r="F239" s="53" t="s">
        <v>128</v>
      </c>
      <c r="G239" s="53" t="s">
        <v>129</v>
      </c>
      <c r="H239" s="53">
        <v>4</v>
      </c>
      <c r="I239" s="53" t="s">
        <v>130</v>
      </c>
      <c r="J239" s="53">
        <v>0</v>
      </c>
      <c r="K239" s="53">
        <v>0</v>
      </c>
      <c r="L239" s="53">
        <v>6.1</v>
      </c>
      <c r="M239" s="53" t="s">
        <v>859</v>
      </c>
      <c r="N239" s="53">
        <v>6</v>
      </c>
      <c r="O239" s="51" t="str">
        <f>TEXT(tblWorkPackages[[#This Row],[Request date serial]]-WEEKDAY(tblWorkPackages[[#This Row],[Request date serial]],3),"yyyy-mm-dd")</f>
        <v>2025-02-24</v>
      </c>
      <c r="P239" s="51">
        <f>ABS(tblWorkPackages[[#This Row],[Actual labor hours]]-tblWorkPackages[[#This Row],[Estimated labor hours]])</f>
        <v>0.0999999999999996</v>
      </c>
      <c r="Q239" s="51">
        <f>IF(tblWorkPackages[[#This Row],[Actual labor hours]]&gt;tblWorkPackages[[#This Row],[Estimated labor hours]],1,0)</f>
        <v>0</v>
      </c>
      <c r="R239" s="51">
        <f>tblWorkPackages[[#This Row],[Actual labor hours]]-tblWorkPackages[[#This Row],[Estimated labor hours]]</f>
        <v>-0.0999999999999996</v>
      </c>
      <c r="S239" s="51" t="str">
        <f>IF(tblWorkPackages[[#This Row],[Request date serial]]&lt;ValidationStart,"Train 2024",IF(tblWorkPackages[[#This Row],[Request date serial]]&lt;HoldoutStart,"Validation H1","Holdout H2"))</f>
        <v>Validation H1</v>
      </c>
      <c r="T239" s="51">
        <f>IF(tblWorkPackages[[#This Row],[Time split]]="Train 2024","",tblWorkPackages[[#This Row],[Estimated labor hours]]+VLOOKUP(tblWorkPackages[[#This Row],[Task type]],'Forecast validation'!$A$14:$E$25,IF(tblWorkPackages[[#This Row],[Time split]]="Validation H1",4,5),FALSE()))</f>
        <v>6.43069306930693</v>
      </c>
      <c r="U239" s="51">
        <f>IF(tblWorkPackages[[#This Row],[Calibrated forecast hours]]="","",ABS(tblWorkPackages[[#This Row],[Actual labor hours]]-tblWorkPackages[[#This Row],[Calibrated forecast hours]]))</f>
        <v>0.430693069306931</v>
      </c>
      <c r="V239" s="51">
        <f>IF(tblWorkPackages[[#This Row],[Time split]]="Train 2024",tblWorkPackages[[#This Row],[Estimated labor hours]],tblWorkPackages[[#This Row],[Calibrated forecast hours]])</f>
        <v>6.43069306930693</v>
      </c>
      <c r="W239" s="64">
        <f>DATEVALUE(tblWorkPackages[[#This Row],[Request date]])</f>
        <v>45716.0</v>
      </c>
      <c r="X239" s="64">
        <f>DATEVALUE(tblWorkPackages[[#This Row],[Due date]])</f>
        <v>45729.0</v>
      </c>
      <c r="Y239" s="64">
        <f>DATEVALUE(tblWorkPackages[[#This Row],[Completion date]])</f>
        <v>45719.0</v>
      </c>
      <c r="Z239" s="64">
        <f>_xlfn.MINIFS(tblLaborEntries[Work date serial],tblLaborEntries[Work package ID],tblWorkPackages[[#This Row],[Work package ID]])</f>
        <v>45717.0</v>
      </c>
      <c r="AA239" s="64">
        <f>_xlfn.MAXIFS(tblLaborEntries[Work date serial],tblLaborEntries[Work package ID],tblWorkPackages[[#This Row],[Work package ID]])</f>
        <v>45718.0</v>
      </c>
      <c r="AB239" s="65">
        <f>IF(tblWorkPackages[[#This Row],[Completion date serial]]&gt;tblWorkPackages[[#This Row],[Due date serial]],1,0)</f>
        <v>0</v>
      </c>
      <c r="AC239" s="65">
        <f>MAX(0,tblWorkPackages[[#This Row],[Completion date serial]]-tblWorkPackages[[#This Row],[Due date serial]])</f>
        <v>0</v>
      </c>
      <c r="AD239" s="65">
        <f>tblWorkPackages[[#This Row],[First labor date]]-tblWorkPackages[[#This Row],[Request date serial]]</f>
        <v>1</v>
      </c>
      <c r="AE239" s="65">
        <f>tblWorkPackages[[#This Row],[Last labor date]]-tblWorkPackages[[#This Row],[First labor date]]</f>
        <v>1</v>
      </c>
      <c r="AF239" s="65">
        <f>tblWorkPackages[[#This Row],[Completion date serial]]-tblWorkPackages[[#This Row],[Last labor date]]</f>
        <v>1</v>
      </c>
      <c r="AG239" s="65">
        <f>tblWorkPackages[[#This Row],[Completion date serial]]-tblWorkPackages[[#This Row],[Request date serial]]</f>
        <v>3</v>
      </c>
      <c r="AH239" s="65">
        <f>IFERROR(INDEX(tblParts[Delay days],MATCH(tblWorkPackages[[#This Row],[Work package ID]],tblParts[Work package ID],0)),0)</f>
        <v>0</v>
      </c>
      <c r="AI239" s="51" t="str">
        <f>IFERROR(INDEX(tblDisruptions[Event type],MATCH(tblWorkPackages[[#This Row],[Work package ID]],tblDisruptions[Work package ID],0)),"None")</f>
        <v>None</v>
      </c>
      <c r="AJ239" s="51" t="str">
        <f>TEXT(tblWorkPackages[[#This Row],[Due date serial]],"yyyy-mm")</f>
        <v>2025-03</v>
      </c>
    </row>
    <row r="240" spans="1:36" ht="15" x14ac:dyDescent="0.25">
      <c r="A240" s="53" t="s">
        <v>860</v>
      </c>
      <c r="B240" s="53" t="s">
        <v>141</v>
      </c>
      <c r="C240" s="53" t="s">
        <v>467</v>
      </c>
      <c r="D240" s="53" t="s">
        <v>784</v>
      </c>
      <c r="E240" s="53" t="s">
        <v>209</v>
      </c>
      <c r="F240" s="53" t="s">
        <v>145</v>
      </c>
      <c r="G240" s="53" t="s">
        <v>210</v>
      </c>
      <c r="H240" s="53">
        <v>2</v>
      </c>
      <c r="I240" s="53" t="s">
        <v>130</v>
      </c>
      <c r="J240" s="53">
        <v>1</v>
      </c>
      <c r="K240" s="53">
        <v>0</v>
      </c>
      <c r="L240" s="53">
        <v>23.2</v>
      </c>
      <c r="M240" s="53" t="s">
        <v>861</v>
      </c>
      <c r="N240" s="53">
        <v>29.8</v>
      </c>
      <c r="O240" s="51" t="str">
        <f>TEXT(tblWorkPackages[[#This Row],[Request date serial]]-WEEKDAY(tblWorkPackages[[#This Row],[Request date serial]],3),"yyyy-mm-dd")</f>
        <v>2025-03-31</v>
      </c>
      <c r="P240" s="51">
        <f>ABS(tblWorkPackages[[#This Row],[Actual labor hours]]-tblWorkPackages[[#This Row],[Estimated labor hours]])</f>
        <v>6.6</v>
      </c>
      <c r="Q240" s="51">
        <f>IF(tblWorkPackages[[#This Row],[Actual labor hours]]&gt;tblWorkPackages[[#This Row],[Estimated labor hours]],1,0)</f>
        <v>1</v>
      </c>
      <c r="R240" s="51">
        <f>tblWorkPackages[[#This Row],[Actual labor hours]]-tblWorkPackages[[#This Row],[Estimated labor hours]]</f>
        <v>6.6</v>
      </c>
      <c r="S240" s="51" t="str">
        <f>IF(tblWorkPackages[[#This Row],[Request date serial]]&lt;ValidationStart,"Train 2024",IF(tblWorkPackages[[#This Row],[Request date serial]]&lt;HoldoutStart,"Validation H1","Holdout H2"))</f>
        <v>Validation H1</v>
      </c>
      <c r="T240" s="51">
        <f>IF(tblWorkPackages[[#This Row],[Time split]]="Train 2024","",tblWorkPackages[[#This Row],[Estimated labor hours]]+VLOOKUP(tblWorkPackages[[#This Row],[Task type]],'Forecast validation'!$A$14:$E$25,IF(tblWorkPackages[[#This Row],[Time split]]="Validation H1",4,5),FALSE()))</f>
        <v>24.3029850746269</v>
      </c>
      <c r="U240" s="51">
        <f>IF(tblWorkPackages[[#This Row],[Calibrated forecast hours]]="","",ABS(tblWorkPackages[[#This Row],[Actual labor hours]]-tblWorkPackages[[#This Row],[Calibrated forecast hours]]))</f>
        <v>5.49701492537314</v>
      </c>
      <c r="V240" s="51">
        <f>IF(tblWorkPackages[[#This Row],[Time split]]="Train 2024",tblWorkPackages[[#This Row],[Estimated labor hours]],tblWorkPackages[[#This Row],[Calibrated forecast hours]])</f>
        <v>24.3029850746269</v>
      </c>
      <c r="W240" s="64">
        <f>DATEVALUE(tblWorkPackages[[#This Row],[Request date]])</f>
        <v>45752.0</v>
      </c>
      <c r="X240" s="64">
        <f>DATEVALUE(tblWorkPackages[[#This Row],[Due date]])</f>
        <v>45765.0</v>
      </c>
      <c r="Y240" s="64">
        <f>DATEVALUE(tblWorkPackages[[#This Row],[Completion date]])</f>
        <v>45767.0</v>
      </c>
      <c r="Z240" s="64">
        <f>_xlfn.MINIFS(tblLaborEntries[Work date serial],tblLaborEntries[Work package ID],tblWorkPackages[[#This Row],[Work package ID]])</f>
        <v>45764.0</v>
      </c>
      <c r="AA240" s="64">
        <f>_xlfn.MAXIFS(tblLaborEntries[Work date serial],tblLaborEntries[Work package ID],tblWorkPackages[[#This Row],[Work package ID]])</f>
        <v>45765.0</v>
      </c>
      <c r="AB240" s="65">
        <f>IF(tblWorkPackages[[#This Row],[Completion date serial]]&gt;tblWorkPackages[[#This Row],[Due date serial]],1,0)</f>
        <v>1</v>
      </c>
      <c r="AC240" s="65">
        <f>MAX(0,tblWorkPackages[[#This Row],[Completion date serial]]-tblWorkPackages[[#This Row],[Due date serial]])</f>
        <v>2</v>
      </c>
      <c r="AD240" s="65">
        <f>tblWorkPackages[[#This Row],[First labor date]]-tblWorkPackages[[#This Row],[Request date serial]]</f>
        <v>12</v>
      </c>
      <c r="AE240" s="65">
        <f>tblWorkPackages[[#This Row],[Last labor date]]-tblWorkPackages[[#This Row],[First labor date]]</f>
        <v>1</v>
      </c>
      <c r="AF240" s="65">
        <f>tblWorkPackages[[#This Row],[Completion date serial]]-tblWorkPackages[[#This Row],[Last labor date]]</f>
        <v>2</v>
      </c>
      <c r="AG240" s="65">
        <f>tblWorkPackages[[#This Row],[Completion date serial]]-tblWorkPackages[[#This Row],[Request date serial]]</f>
        <v>15</v>
      </c>
      <c r="AH240" s="65">
        <f>IFERROR(INDEX(tblParts[Delay days],MATCH(tblWorkPackages[[#This Row],[Work package ID]],tblParts[Work package ID],0)),0)</f>
        <v>0</v>
      </c>
      <c r="AI240" s="51" t="str">
        <f>IFERROR(INDEX(tblDisruptions[Event type],MATCH(tblWorkPackages[[#This Row],[Work package ID]],tblDisruptions[Work package ID],0)),"None")</f>
        <v>None</v>
      </c>
      <c r="AJ240" s="51" t="str">
        <f>TEXT(tblWorkPackages[[#This Row],[Due date serial]],"yyyy-mm")</f>
        <v>2025-04</v>
      </c>
    </row>
    <row r="241" spans="1:36" ht="15" x14ac:dyDescent="0.25">
      <c r="A241" s="53" t="s">
        <v>862</v>
      </c>
      <c r="B241" s="53" t="s">
        <v>185</v>
      </c>
      <c r="C241" s="53" t="s">
        <v>863</v>
      </c>
      <c r="D241" s="53" t="s">
        <v>627</v>
      </c>
      <c r="E241" s="53" t="s">
        <v>153</v>
      </c>
      <c r="F241" s="53" t="s">
        <v>128</v>
      </c>
      <c r="G241" s="53" t="s">
        <v>154</v>
      </c>
      <c r="H241" s="53">
        <v>1</v>
      </c>
      <c r="I241" s="53" t="s">
        <v>176</v>
      </c>
      <c r="J241" s="53">
        <v>0</v>
      </c>
      <c r="K241" s="53">
        <v>0</v>
      </c>
      <c r="L241" s="53">
        <v>7</v>
      </c>
      <c r="M241" s="53" t="s">
        <v>627</v>
      </c>
      <c r="N241" s="53">
        <v>7.9</v>
      </c>
      <c r="O241" s="51" t="str">
        <f>TEXT(tblWorkPackages[[#This Row],[Request date serial]]-WEEKDAY(tblWorkPackages[[#This Row],[Request date serial]],3),"yyyy-mm-dd")</f>
        <v>2025-06-23</v>
      </c>
      <c r="P241" s="51">
        <f>ABS(tblWorkPackages[[#This Row],[Actual labor hours]]-tblWorkPackages[[#This Row],[Estimated labor hours]])</f>
        <v>0.9</v>
      </c>
      <c r="Q241" s="51">
        <f>IF(tblWorkPackages[[#This Row],[Actual labor hours]]&gt;tblWorkPackages[[#This Row],[Estimated labor hours]],1,0)</f>
        <v>1</v>
      </c>
      <c r="R241" s="51">
        <f>tblWorkPackages[[#This Row],[Actual labor hours]]-tblWorkPackages[[#This Row],[Estimated labor hours]]</f>
        <v>0.9</v>
      </c>
      <c r="S241" s="51" t="str">
        <f>IF(tblWorkPackages[[#This Row],[Request date serial]]&lt;ValidationStart,"Train 2024",IF(tblWorkPackages[[#This Row],[Request date serial]]&lt;HoldoutStart,"Validation H1","Holdout H2"))</f>
        <v>Validation H1</v>
      </c>
      <c r="T241" s="51">
        <f>IF(tblWorkPackages[[#This Row],[Time split]]="Train 2024","",tblWorkPackages[[#This Row],[Estimated labor hours]]+VLOOKUP(tblWorkPackages[[#This Row],[Task type]],'Forecast validation'!$A$14:$E$25,IF(tblWorkPackages[[#This Row],[Time split]]="Validation H1",4,5),FALSE()))</f>
        <v>7.54622641509434</v>
      </c>
      <c r="U241" s="51">
        <f>IF(tblWorkPackages[[#This Row],[Calibrated forecast hours]]="","",ABS(tblWorkPackages[[#This Row],[Actual labor hours]]-tblWorkPackages[[#This Row],[Calibrated forecast hours]]))</f>
        <v>0.353773584905661</v>
      </c>
      <c r="V241" s="51">
        <f>IF(tblWorkPackages[[#This Row],[Time split]]="Train 2024",tblWorkPackages[[#This Row],[Estimated labor hours]],tblWorkPackages[[#This Row],[Calibrated forecast hours]])</f>
        <v>7.54622641509434</v>
      </c>
      <c r="W241" s="64">
        <f>DATEVALUE(tblWorkPackages[[#This Row],[Request date]])</f>
        <v>45837.0</v>
      </c>
      <c r="X241" s="64">
        <f>DATEVALUE(tblWorkPackages[[#This Row],[Due date]])</f>
        <v>45843.0</v>
      </c>
      <c r="Y241" s="64">
        <f>DATEVALUE(tblWorkPackages[[#This Row],[Completion date]])</f>
        <v>45843.0</v>
      </c>
      <c r="Z241" s="64">
        <f>_xlfn.MINIFS(tblLaborEntries[Work date serial],tblLaborEntries[Work package ID],tblWorkPackages[[#This Row],[Work package ID]])</f>
        <v>45840.0</v>
      </c>
      <c r="AA241" s="64">
        <f>_xlfn.MAXIFS(tblLaborEntries[Work date serial],tblLaborEntries[Work package ID],tblWorkPackages[[#This Row],[Work package ID]])</f>
        <v>45840.0</v>
      </c>
      <c r="AB241" s="65">
        <f>IF(tblWorkPackages[[#This Row],[Completion date serial]]&gt;tblWorkPackages[[#This Row],[Due date serial]],1,0)</f>
        <v>0</v>
      </c>
      <c r="AC241" s="65">
        <f>MAX(0,tblWorkPackages[[#This Row],[Completion date serial]]-tblWorkPackages[[#This Row],[Due date serial]])</f>
        <v>0</v>
      </c>
      <c r="AD241" s="65">
        <f>tblWorkPackages[[#This Row],[First labor date]]-tblWorkPackages[[#This Row],[Request date serial]]</f>
        <v>3</v>
      </c>
      <c r="AE241" s="65">
        <f>tblWorkPackages[[#This Row],[Last labor date]]-tblWorkPackages[[#This Row],[First labor date]]</f>
        <v>0</v>
      </c>
      <c r="AF241" s="65">
        <f>tblWorkPackages[[#This Row],[Completion date serial]]-tblWorkPackages[[#This Row],[Last labor date]]</f>
        <v>3</v>
      </c>
      <c r="AG241" s="65">
        <f>tblWorkPackages[[#This Row],[Completion date serial]]-tblWorkPackages[[#This Row],[Request date serial]]</f>
        <v>6</v>
      </c>
      <c r="AH241" s="65">
        <f>IFERROR(INDEX(tblParts[Delay days],MATCH(tblWorkPackages[[#This Row],[Work package ID]],tblParts[Work package ID],0)),0)</f>
        <v>0</v>
      </c>
      <c r="AI241" s="51" t="str">
        <f>IFERROR(INDEX(tblDisruptions[Event type],MATCH(tblWorkPackages[[#This Row],[Work package ID]],tblDisruptions[Work package ID],0)),"None")</f>
        <v>None</v>
      </c>
      <c r="AJ241" s="51" t="str">
        <f>TEXT(tblWorkPackages[[#This Row],[Due date serial]],"yyyy-mm")</f>
        <v>2025-07</v>
      </c>
    </row>
    <row r="242" spans="1:36" ht="15" x14ac:dyDescent="0.25">
      <c r="A242" s="53" t="s">
        <v>864</v>
      </c>
      <c r="B242" s="53" t="s">
        <v>141</v>
      </c>
      <c r="C242" s="53" t="s">
        <v>634</v>
      </c>
      <c r="D242" s="53" t="s">
        <v>865</v>
      </c>
      <c r="E242" s="53" t="s">
        <v>200</v>
      </c>
      <c r="F242" s="53" t="s">
        <v>128</v>
      </c>
      <c r="G242" s="53" t="s">
        <v>129</v>
      </c>
      <c r="H242" s="53">
        <v>2</v>
      </c>
      <c r="I242" s="53" t="s">
        <v>130</v>
      </c>
      <c r="J242" s="53">
        <v>0</v>
      </c>
      <c r="K242" s="53">
        <v>0</v>
      </c>
      <c r="L242" s="53">
        <v>3.3</v>
      </c>
      <c r="M242" s="53" t="s">
        <v>165</v>
      </c>
      <c r="N242" s="53">
        <v>4</v>
      </c>
      <c r="O242" s="51" t="str">
        <f>TEXT(tblWorkPackages[[#This Row],[Request date serial]]-WEEKDAY(tblWorkPackages[[#This Row],[Request date serial]],3),"yyyy-mm-dd")</f>
        <v>2024-05-20</v>
      </c>
      <c r="P242" s="51">
        <f>ABS(tblWorkPackages[[#This Row],[Actual labor hours]]-tblWorkPackages[[#This Row],[Estimated labor hours]])</f>
        <v>0.7</v>
      </c>
      <c r="Q242" s="51">
        <f>IF(tblWorkPackages[[#This Row],[Actual labor hours]]&gt;tblWorkPackages[[#This Row],[Estimated labor hours]],1,0)</f>
        <v>1</v>
      </c>
      <c r="R242" s="51">
        <f>tblWorkPackages[[#This Row],[Actual labor hours]]-tblWorkPackages[[#This Row],[Estimated labor hours]]</f>
        <v>0.7</v>
      </c>
      <c r="S242" s="51" t="str">
        <f>IF(tblWorkPackages[[#This Row],[Request date serial]]&lt;ValidationStart,"Train 2024",IF(tblWorkPackages[[#This Row],[Request date serial]]&lt;HoldoutStart,"Validation H1","Holdout H2"))</f>
        <v>Train 2024</v>
      </c>
      <c r="T242" s="51" t="str">
        <f>IF(tblWorkPackages[[#This Row],[Time split]]="Train 2024","",tblWorkPackages[[#This Row],[Estimated labor hours]]+VLOOKUP(tblWorkPackages[[#This Row],[Task type]],'Forecast validation'!$A$14:$E$25,IF(tblWorkPackages[[#This Row],[Time split]]="Validation H1",4,5),FALSE()))</f>
        <v/>
      </c>
      <c r="U242" s="51" t="str">
        <f>IF(tblWorkPackages[[#This Row],[Calibrated forecast hours]]="","",ABS(tblWorkPackages[[#This Row],[Actual labor hours]]-tblWorkPackages[[#This Row],[Calibrated forecast hours]]))</f>
        <v/>
      </c>
      <c r="V242" s="51">
        <f>IF(tblWorkPackages[[#This Row],[Time split]]="Train 2024",tblWorkPackages[[#This Row],[Estimated labor hours]],tblWorkPackages[[#This Row],[Calibrated forecast hours]])</f>
        <v>3.3</v>
      </c>
      <c r="W242" s="64">
        <f>DATEVALUE(tblWorkPackages[[#This Row],[Request date]])</f>
        <v>45438.0</v>
      </c>
      <c r="X242" s="64">
        <f>DATEVALUE(tblWorkPackages[[#This Row],[Due date]])</f>
        <v>45451.0</v>
      </c>
      <c r="Y242" s="64">
        <f>DATEVALUE(tblWorkPackages[[#This Row],[Completion date]])</f>
        <v>45474.0</v>
      </c>
      <c r="Z242" s="64">
        <f>_xlfn.MINIFS(tblLaborEntries[Work date serial],tblLaborEntries[Work package ID],tblWorkPackages[[#This Row],[Work package ID]])</f>
        <v>45474.0</v>
      </c>
      <c r="AA242" s="64">
        <f>_xlfn.MAXIFS(tblLaborEntries[Work date serial],tblLaborEntries[Work package ID],tblWorkPackages[[#This Row],[Work package ID]])</f>
        <v>45474.0</v>
      </c>
      <c r="AB242" s="65">
        <f>IF(tblWorkPackages[[#This Row],[Completion date serial]]&gt;tblWorkPackages[[#This Row],[Due date serial]],1,0)</f>
        <v>1</v>
      </c>
      <c r="AC242" s="65">
        <f>MAX(0,tblWorkPackages[[#This Row],[Completion date serial]]-tblWorkPackages[[#This Row],[Due date serial]])</f>
        <v>23</v>
      </c>
      <c r="AD242" s="65">
        <f>tblWorkPackages[[#This Row],[First labor date]]-tblWorkPackages[[#This Row],[Request date serial]]</f>
        <v>36</v>
      </c>
      <c r="AE242" s="65">
        <f>tblWorkPackages[[#This Row],[Last labor date]]-tblWorkPackages[[#This Row],[First labor date]]</f>
        <v>0</v>
      </c>
      <c r="AF242" s="65">
        <f>tblWorkPackages[[#This Row],[Completion date serial]]-tblWorkPackages[[#This Row],[Last labor date]]</f>
        <v>0</v>
      </c>
      <c r="AG242" s="65">
        <f>tblWorkPackages[[#This Row],[Completion date serial]]-tblWorkPackages[[#This Row],[Request date serial]]</f>
        <v>36</v>
      </c>
      <c r="AH242" s="65">
        <f>IFERROR(INDEX(tblParts[Delay days],MATCH(tblWorkPackages[[#This Row],[Work package ID]],tblParts[Work package ID],0)),0)</f>
        <v>0</v>
      </c>
      <c r="AI242" s="51" t="str">
        <f>IFERROR(INDEX(tblDisruptions[Event type],MATCH(tblWorkPackages[[#This Row],[Work package ID]],tblDisruptions[Work package ID],0)),"None")</f>
        <v>None</v>
      </c>
      <c r="AJ242" s="51" t="str">
        <f>TEXT(tblWorkPackages[[#This Row],[Due date serial]],"yyyy-mm")</f>
        <v>2024-06</v>
      </c>
    </row>
    <row r="243" spans="1:36" ht="15" x14ac:dyDescent="0.25">
      <c r="A243" s="53" t="s">
        <v>866</v>
      </c>
      <c r="B243" s="53" t="s">
        <v>230</v>
      </c>
      <c r="C243" s="53" t="s">
        <v>762</v>
      </c>
      <c r="D243" s="53" t="s">
        <v>867</v>
      </c>
      <c r="E243" s="53" t="s">
        <v>209</v>
      </c>
      <c r="F243" s="53" t="s">
        <v>145</v>
      </c>
      <c r="G243" s="53" t="s">
        <v>210</v>
      </c>
      <c r="H243" s="53">
        <v>1</v>
      </c>
      <c r="I243" s="53" t="s">
        <v>130</v>
      </c>
      <c r="J243" s="53">
        <v>1</v>
      </c>
      <c r="K243" s="53">
        <v>1</v>
      </c>
      <c r="L243" s="53">
        <v>15.4</v>
      </c>
      <c r="M243" s="53" t="s">
        <v>565</v>
      </c>
      <c r="N243" s="53">
        <v>21.5</v>
      </c>
      <c r="O243" s="51" t="str">
        <f>TEXT(tblWorkPackages[[#This Row],[Request date serial]]-WEEKDAY(tblWorkPackages[[#This Row],[Request date serial]],3),"yyyy-mm-dd")</f>
        <v>2024-06-03</v>
      </c>
      <c r="P243" s="51">
        <f>ABS(tblWorkPackages[[#This Row],[Actual labor hours]]-tblWorkPackages[[#This Row],[Estimated labor hours]])</f>
        <v>6.1</v>
      </c>
      <c r="Q243" s="51">
        <f>IF(tblWorkPackages[[#This Row],[Actual labor hours]]&gt;tblWorkPackages[[#This Row],[Estimated labor hours]],1,0)</f>
        <v>1</v>
      </c>
      <c r="R243" s="51">
        <f>tblWorkPackages[[#This Row],[Actual labor hours]]-tblWorkPackages[[#This Row],[Estimated labor hours]]</f>
        <v>6.1</v>
      </c>
      <c r="S243" s="51" t="str">
        <f>IF(tblWorkPackages[[#This Row],[Request date serial]]&lt;ValidationStart,"Train 2024",IF(tblWorkPackages[[#This Row],[Request date serial]]&lt;HoldoutStart,"Validation H1","Holdout H2"))</f>
        <v>Train 2024</v>
      </c>
      <c r="T243" s="51" t="str">
        <f>IF(tblWorkPackages[[#This Row],[Time split]]="Train 2024","",tblWorkPackages[[#This Row],[Estimated labor hours]]+VLOOKUP(tblWorkPackages[[#This Row],[Task type]],'Forecast validation'!$A$14:$E$25,IF(tblWorkPackages[[#This Row],[Time split]]="Validation H1",4,5),FALSE()))</f>
        <v/>
      </c>
      <c r="U243" s="51" t="str">
        <f>IF(tblWorkPackages[[#This Row],[Calibrated forecast hours]]="","",ABS(tblWorkPackages[[#This Row],[Actual labor hours]]-tblWorkPackages[[#This Row],[Calibrated forecast hours]]))</f>
        <v/>
      </c>
      <c r="V243" s="51">
        <f>IF(tblWorkPackages[[#This Row],[Time split]]="Train 2024",tblWorkPackages[[#This Row],[Estimated labor hours]],tblWorkPackages[[#This Row],[Calibrated forecast hours]])</f>
        <v>15.4</v>
      </c>
      <c r="W243" s="64">
        <f>DATEVALUE(tblWorkPackages[[#This Row],[Request date]])</f>
        <v>45452.0</v>
      </c>
      <c r="X243" s="64">
        <f>DATEVALUE(tblWorkPackages[[#This Row],[Due date]])</f>
        <v>45465.0</v>
      </c>
      <c r="Y243" s="64">
        <f>DATEVALUE(tblWorkPackages[[#This Row],[Completion date]])</f>
        <v>45462.0</v>
      </c>
      <c r="Z243" s="64">
        <f>_xlfn.MINIFS(tblLaborEntries[Work date serial],tblLaborEntries[Work package ID],tblWorkPackages[[#This Row],[Work package ID]])</f>
        <v>45459.0</v>
      </c>
      <c r="AA243" s="64">
        <f>_xlfn.MAXIFS(tblLaborEntries[Work date serial],tblLaborEntries[Work package ID],tblWorkPackages[[#This Row],[Work package ID]])</f>
        <v>45461.0</v>
      </c>
      <c r="AB243" s="65">
        <f>IF(tblWorkPackages[[#This Row],[Completion date serial]]&gt;tblWorkPackages[[#This Row],[Due date serial]],1,0)</f>
        <v>0</v>
      </c>
      <c r="AC243" s="65">
        <f>MAX(0,tblWorkPackages[[#This Row],[Completion date serial]]-tblWorkPackages[[#This Row],[Due date serial]])</f>
        <v>0</v>
      </c>
      <c r="AD243" s="65">
        <f>tblWorkPackages[[#This Row],[First labor date]]-tblWorkPackages[[#This Row],[Request date serial]]</f>
        <v>7</v>
      </c>
      <c r="AE243" s="65">
        <f>tblWorkPackages[[#This Row],[Last labor date]]-tblWorkPackages[[#This Row],[First labor date]]</f>
        <v>2</v>
      </c>
      <c r="AF243" s="65">
        <f>tblWorkPackages[[#This Row],[Completion date serial]]-tblWorkPackages[[#This Row],[Last labor date]]</f>
        <v>1</v>
      </c>
      <c r="AG243" s="65">
        <f>tblWorkPackages[[#This Row],[Completion date serial]]-tblWorkPackages[[#This Row],[Request date serial]]</f>
        <v>10</v>
      </c>
      <c r="AH243" s="65">
        <f>IFERROR(INDEX(tblParts[Delay days],MATCH(tblWorkPackages[[#This Row],[Work package ID]],tblParts[Work package ID],0)),0)</f>
        <v>0</v>
      </c>
      <c r="AI243" s="51" t="str">
        <f>IFERROR(INDEX(tblDisruptions[Event type],MATCH(tblWorkPackages[[#This Row],[Work package ID]],tblDisruptions[Work package ID],0)),"None")</f>
        <v>None</v>
      </c>
      <c r="AJ243" s="51" t="str">
        <f>TEXT(tblWorkPackages[[#This Row],[Due date serial]],"yyyy-mm")</f>
        <v>2024-06</v>
      </c>
    </row>
    <row r="244" spans="1:36" ht="15" x14ac:dyDescent="0.25">
      <c r="A244" s="53" t="s">
        <v>868</v>
      </c>
      <c r="B244" s="53" t="s">
        <v>157</v>
      </c>
      <c r="C244" s="53" t="s">
        <v>316</v>
      </c>
      <c r="D244" s="53" t="s">
        <v>417</v>
      </c>
      <c r="E244" s="53" t="s">
        <v>153</v>
      </c>
      <c r="F244" s="53" t="s">
        <v>128</v>
      </c>
      <c r="G244" s="53" t="s">
        <v>154</v>
      </c>
      <c r="H244" s="53">
        <v>2</v>
      </c>
      <c r="I244" s="53" t="s">
        <v>130</v>
      </c>
      <c r="J244" s="53">
        <v>0</v>
      </c>
      <c r="K244" s="53">
        <v>0</v>
      </c>
      <c r="L244" s="53">
        <v>9.9</v>
      </c>
      <c r="M244" s="53" t="s">
        <v>472</v>
      </c>
      <c r="N244" s="53">
        <v>12</v>
      </c>
      <c r="O244" s="51" t="str">
        <f>TEXT(tblWorkPackages[[#This Row],[Request date serial]]-WEEKDAY(tblWorkPackages[[#This Row],[Request date serial]],3),"yyyy-mm-dd")</f>
        <v>2024-04-15</v>
      </c>
      <c r="P244" s="51">
        <f>ABS(tblWorkPackages[[#This Row],[Actual labor hours]]-tblWorkPackages[[#This Row],[Estimated labor hours]])</f>
        <v>2.1</v>
      </c>
      <c r="Q244" s="51">
        <f>IF(tblWorkPackages[[#This Row],[Actual labor hours]]&gt;tblWorkPackages[[#This Row],[Estimated labor hours]],1,0)</f>
        <v>1</v>
      </c>
      <c r="R244" s="51">
        <f>tblWorkPackages[[#This Row],[Actual labor hours]]-tblWorkPackages[[#This Row],[Estimated labor hours]]</f>
        <v>2.1</v>
      </c>
      <c r="S244" s="51" t="str">
        <f>IF(tblWorkPackages[[#This Row],[Request date serial]]&lt;ValidationStart,"Train 2024",IF(tblWorkPackages[[#This Row],[Request date serial]]&lt;HoldoutStart,"Validation H1","Holdout H2"))</f>
        <v>Train 2024</v>
      </c>
      <c r="T244" s="51" t="str">
        <f>IF(tblWorkPackages[[#This Row],[Time split]]="Train 2024","",tblWorkPackages[[#This Row],[Estimated labor hours]]+VLOOKUP(tblWorkPackages[[#This Row],[Task type]],'Forecast validation'!$A$14:$E$25,IF(tblWorkPackages[[#This Row],[Time split]]="Validation H1",4,5),FALSE()))</f>
        <v/>
      </c>
      <c r="U244" s="51" t="str">
        <f>IF(tblWorkPackages[[#This Row],[Calibrated forecast hours]]="","",ABS(tblWorkPackages[[#This Row],[Actual labor hours]]-tblWorkPackages[[#This Row],[Calibrated forecast hours]]))</f>
        <v/>
      </c>
      <c r="V244" s="51">
        <f>IF(tblWorkPackages[[#This Row],[Time split]]="Train 2024",tblWorkPackages[[#This Row],[Estimated labor hours]],tblWorkPackages[[#This Row],[Calibrated forecast hours]])</f>
        <v>9.9</v>
      </c>
      <c r="W244" s="64">
        <f>DATEVALUE(tblWorkPackages[[#This Row],[Request date]])</f>
        <v>45403.0</v>
      </c>
      <c r="X244" s="64">
        <f>DATEVALUE(tblWorkPackages[[#This Row],[Due date]])</f>
        <v>45416.0</v>
      </c>
      <c r="Y244" s="64">
        <f>DATEVALUE(tblWorkPackages[[#This Row],[Completion date]])</f>
        <v>45408.0</v>
      </c>
      <c r="Z244" s="64">
        <f>_xlfn.MINIFS(tblLaborEntries[Work date serial],tblLaborEntries[Work package ID],tblWorkPackages[[#This Row],[Work package ID]])</f>
        <v>45405.0</v>
      </c>
      <c r="AA244" s="64">
        <f>_xlfn.MAXIFS(tblLaborEntries[Work date serial],tblLaborEntries[Work package ID],tblWorkPackages[[#This Row],[Work package ID]])</f>
        <v>45406.0</v>
      </c>
      <c r="AB244" s="65">
        <f>IF(tblWorkPackages[[#This Row],[Completion date serial]]&gt;tblWorkPackages[[#This Row],[Due date serial]],1,0)</f>
        <v>0</v>
      </c>
      <c r="AC244" s="65">
        <f>MAX(0,tblWorkPackages[[#This Row],[Completion date serial]]-tblWorkPackages[[#This Row],[Due date serial]])</f>
        <v>0</v>
      </c>
      <c r="AD244" s="65">
        <f>tblWorkPackages[[#This Row],[First labor date]]-tblWorkPackages[[#This Row],[Request date serial]]</f>
        <v>2</v>
      </c>
      <c r="AE244" s="65">
        <f>tblWorkPackages[[#This Row],[Last labor date]]-tblWorkPackages[[#This Row],[First labor date]]</f>
        <v>1</v>
      </c>
      <c r="AF244" s="65">
        <f>tblWorkPackages[[#This Row],[Completion date serial]]-tblWorkPackages[[#This Row],[Last labor date]]</f>
        <v>2</v>
      </c>
      <c r="AG244" s="65">
        <f>tblWorkPackages[[#This Row],[Completion date serial]]-tblWorkPackages[[#This Row],[Request date serial]]</f>
        <v>5</v>
      </c>
      <c r="AH244" s="65">
        <f>IFERROR(INDEX(tblParts[Delay days],MATCH(tblWorkPackages[[#This Row],[Work package ID]],tblParts[Work package ID],0)),0)</f>
        <v>0</v>
      </c>
      <c r="AI244" s="51" t="str">
        <f>IFERROR(INDEX(tblDisruptions[Event type],MATCH(tblWorkPackages[[#This Row],[Work package ID]],tblDisruptions[Work package ID],0)),"None")</f>
        <v>None</v>
      </c>
      <c r="AJ244" s="51" t="str">
        <f>TEXT(tblWorkPackages[[#This Row],[Due date serial]],"yyyy-mm")</f>
        <v>2024-05</v>
      </c>
    </row>
    <row r="245" spans="1:36" ht="15" x14ac:dyDescent="0.25">
      <c r="A245" s="53" t="s">
        <v>869</v>
      </c>
      <c r="B245" s="53" t="s">
        <v>163</v>
      </c>
      <c r="C245" s="53" t="s">
        <v>870</v>
      </c>
      <c r="D245" s="53" t="s">
        <v>871</v>
      </c>
      <c r="E245" s="53" t="s">
        <v>136</v>
      </c>
      <c r="F245" s="53" t="s">
        <v>137</v>
      </c>
      <c r="G245" s="53" t="s">
        <v>138</v>
      </c>
      <c r="H245" s="53">
        <v>2</v>
      </c>
      <c r="I245" s="53" t="s">
        <v>176</v>
      </c>
      <c r="J245" s="53">
        <v>0</v>
      </c>
      <c r="K245" s="53">
        <v>1</v>
      </c>
      <c r="L245" s="53">
        <v>15.1</v>
      </c>
      <c r="M245" s="53" t="s">
        <v>467</v>
      </c>
      <c r="N245" s="53">
        <v>19.100000000000001</v>
      </c>
      <c r="O245" s="51" t="str">
        <f>TEXT(tblWorkPackages[[#This Row],[Request date serial]]-WEEKDAY(tblWorkPackages[[#This Row],[Request date serial]],3),"yyyy-mm-dd")</f>
        <v>2025-03-10</v>
      </c>
      <c r="P245" s="51">
        <f>ABS(tblWorkPackages[[#This Row],[Actual labor hours]]-tblWorkPackages[[#This Row],[Estimated labor hours]])</f>
        <v>4</v>
      </c>
      <c r="Q245" s="51">
        <f>IF(tblWorkPackages[[#This Row],[Actual labor hours]]&gt;tblWorkPackages[[#This Row],[Estimated labor hours]],1,0)</f>
        <v>1</v>
      </c>
      <c r="R245" s="51">
        <f>tblWorkPackages[[#This Row],[Actual labor hours]]-tblWorkPackages[[#This Row],[Estimated labor hours]]</f>
        <v>4</v>
      </c>
      <c r="S245" s="51" t="str">
        <f>IF(tblWorkPackages[[#This Row],[Request date serial]]&lt;ValidationStart,"Train 2024",IF(tblWorkPackages[[#This Row],[Request date serial]]&lt;HoldoutStart,"Validation H1","Holdout H2"))</f>
        <v>Validation H1</v>
      </c>
      <c r="T245" s="51">
        <f>IF(tblWorkPackages[[#This Row],[Time split]]="Train 2024","",tblWorkPackages[[#This Row],[Estimated labor hours]]+VLOOKUP(tblWorkPackages[[#This Row],[Task type]],'Forecast validation'!$A$14:$E$25,IF(tblWorkPackages[[#This Row],[Time split]]="Validation H1",4,5),FALSE()))</f>
        <v>15.9765306122449</v>
      </c>
      <c r="U245" s="51">
        <f>IF(tblWorkPackages[[#This Row],[Calibrated forecast hours]]="","",ABS(tblWorkPackages[[#This Row],[Actual labor hours]]-tblWorkPackages[[#This Row],[Calibrated forecast hours]]))</f>
        <v>3.1234693877551</v>
      </c>
      <c r="V245" s="51">
        <f>IF(tblWorkPackages[[#This Row],[Time split]]="Train 2024",tblWorkPackages[[#This Row],[Estimated labor hours]],tblWorkPackages[[#This Row],[Calibrated forecast hours]])</f>
        <v>15.9765306122449</v>
      </c>
      <c r="W245" s="64">
        <f>DATEVALUE(tblWorkPackages[[#This Row],[Request date]])</f>
        <v>45732.0</v>
      </c>
      <c r="X245" s="64">
        <f>DATEVALUE(tblWorkPackages[[#This Row],[Due date]])</f>
        <v>45738.0</v>
      </c>
      <c r="Y245" s="64">
        <f>DATEVALUE(tblWorkPackages[[#This Row],[Completion date]])</f>
        <v>45752.0</v>
      </c>
      <c r="Z245" s="64">
        <f>_xlfn.MINIFS(tblLaborEntries[Work date serial],tblLaborEntries[Work package ID],tblWorkPackages[[#This Row],[Work package ID]])</f>
        <v>45748.0</v>
      </c>
      <c r="AA245" s="64">
        <f>_xlfn.MAXIFS(tblLaborEntries[Work date serial],tblLaborEntries[Work package ID],tblWorkPackages[[#This Row],[Work package ID]])</f>
        <v>45749.0</v>
      </c>
      <c r="AB245" s="65">
        <f>IF(tblWorkPackages[[#This Row],[Completion date serial]]&gt;tblWorkPackages[[#This Row],[Due date serial]],1,0)</f>
        <v>1</v>
      </c>
      <c r="AC245" s="65">
        <f>MAX(0,tblWorkPackages[[#This Row],[Completion date serial]]-tblWorkPackages[[#This Row],[Due date serial]])</f>
        <v>14</v>
      </c>
      <c r="AD245" s="65">
        <f>tblWorkPackages[[#This Row],[First labor date]]-tblWorkPackages[[#This Row],[Request date serial]]</f>
        <v>16</v>
      </c>
      <c r="AE245" s="65">
        <f>tblWorkPackages[[#This Row],[Last labor date]]-tblWorkPackages[[#This Row],[First labor date]]</f>
        <v>1</v>
      </c>
      <c r="AF245" s="65">
        <f>tblWorkPackages[[#This Row],[Completion date serial]]-tblWorkPackages[[#This Row],[Last labor date]]</f>
        <v>3</v>
      </c>
      <c r="AG245" s="65">
        <f>tblWorkPackages[[#This Row],[Completion date serial]]-tblWorkPackages[[#This Row],[Request date serial]]</f>
        <v>20</v>
      </c>
      <c r="AH245" s="65">
        <f>IFERROR(INDEX(tblParts[Delay days],MATCH(tblWorkPackages[[#This Row],[Work package ID]],tblParts[Work package ID],0)),0)</f>
        <v>0</v>
      </c>
      <c r="AI245" s="51" t="str">
        <f>IFERROR(INDEX(tblDisruptions[Event type],MATCH(tblWorkPackages[[#This Row],[Work package ID]],tblDisruptions[Work package ID],0)),"None")</f>
        <v>None</v>
      </c>
      <c r="AJ245" s="51" t="str">
        <f>TEXT(tblWorkPackages[[#This Row],[Due date serial]],"yyyy-mm")</f>
        <v>2025-03</v>
      </c>
    </row>
    <row r="246" spans="1:36" ht="15" x14ac:dyDescent="0.25">
      <c r="A246" s="53" t="s">
        <v>872</v>
      </c>
      <c r="B246" s="53" t="s">
        <v>250</v>
      </c>
      <c r="C246" s="53" t="s">
        <v>696</v>
      </c>
      <c r="D246" s="53" t="s">
        <v>697</v>
      </c>
      <c r="E246" s="53" t="s">
        <v>160</v>
      </c>
      <c r="F246" s="53" t="s">
        <v>128</v>
      </c>
      <c r="G246" s="53" t="s">
        <v>138</v>
      </c>
      <c r="H246" s="53">
        <v>2</v>
      </c>
      <c r="I246" s="53" t="s">
        <v>130</v>
      </c>
      <c r="J246" s="53">
        <v>0</v>
      </c>
      <c r="K246" s="53">
        <v>0</v>
      </c>
      <c r="L246" s="53">
        <v>4.8</v>
      </c>
      <c r="M246" s="53" t="s">
        <v>698</v>
      </c>
      <c r="N246" s="53">
        <v>6.7</v>
      </c>
      <c r="O246" s="51" t="str">
        <f>TEXT(tblWorkPackages[[#This Row],[Request date serial]]-WEEKDAY(tblWorkPackages[[#This Row],[Request date serial]],3),"yyyy-mm-dd")</f>
        <v>2025-01-27</v>
      </c>
      <c r="P246" s="51">
        <f>ABS(tblWorkPackages[[#This Row],[Actual labor hours]]-tblWorkPackages[[#This Row],[Estimated labor hours]])</f>
        <v>1.9</v>
      </c>
      <c r="Q246" s="51">
        <f>IF(tblWorkPackages[[#This Row],[Actual labor hours]]&gt;tblWorkPackages[[#This Row],[Estimated labor hours]],1,0)</f>
        <v>1</v>
      </c>
      <c r="R246" s="51">
        <f>tblWorkPackages[[#This Row],[Actual labor hours]]-tblWorkPackages[[#This Row],[Estimated labor hours]]</f>
        <v>1.9</v>
      </c>
      <c r="S246" s="51" t="str">
        <f>IF(tblWorkPackages[[#This Row],[Request date serial]]&lt;ValidationStart,"Train 2024",IF(tblWorkPackages[[#This Row],[Request date serial]]&lt;HoldoutStart,"Validation H1","Holdout H2"))</f>
        <v>Validation H1</v>
      </c>
      <c r="T246" s="51">
        <f>IF(tblWorkPackages[[#This Row],[Time split]]="Train 2024","",tblWorkPackages[[#This Row],[Estimated labor hours]]+VLOOKUP(tblWorkPackages[[#This Row],[Task type]],'Forecast validation'!$A$14:$E$25,IF(tblWorkPackages[[#This Row],[Time split]]="Validation H1",4,5),FALSE()))</f>
        <v>5.24146341463415</v>
      </c>
      <c r="U246" s="51">
        <f>IF(tblWorkPackages[[#This Row],[Calibrated forecast hours]]="","",ABS(tblWorkPackages[[#This Row],[Actual labor hours]]-tblWorkPackages[[#This Row],[Calibrated forecast hours]]))</f>
        <v>1.45853658536585</v>
      </c>
      <c r="V246" s="51">
        <f>IF(tblWorkPackages[[#This Row],[Time split]]="Train 2024",tblWorkPackages[[#This Row],[Estimated labor hours]],tblWorkPackages[[#This Row],[Calibrated forecast hours]])</f>
        <v>5.24146341463415</v>
      </c>
      <c r="W246" s="64">
        <f>DATEVALUE(tblWorkPackages[[#This Row],[Request date]])</f>
        <v>45690.0</v>
      </c>
      <c r="X246" s="64">
        <f>DATEVALUE(tblWorkPackages[[#This Row],[Due date]])</f>
        <v>45703.0</v>
      </c>
      <c r="Y246" s="64">
        <f>DATEVALUE(tblWorkPackages[[#This Row],[Completion date]])</f>
        <v>45696.0</v>
      </c>
      <c r="Z246" s="64">
        <f>_xlfn.MINIFS(tblLaborEntries[Work date serial],tblLaborEntries[Work package ID],tblWorkPackages[[#This Row],[Work package ID]])</f>
        <v>45694.0</v>
      </c>
      <c r="AA246" s="64">
        <f>_xlfn.MAXIFS(tblLaborEntries[Work date serial],tblLaborEntries[Work package ID],tblWorkPackages[[#This Row],[Work package ID]])</f>
        <v>45696.0</v>
      </c>
      <c r="AB246" s="65">
        <f>IF(tblWorkPackages[[#This Row],[Completion date serial]]&gt;tblWorkPackages[[#This Row],[Due date serial]],1,0)</f>
        <v>0</v>
      </c>
      <c r="AC246" s="65">
        <f>MAX(0,tblWorkPackages[[#This Row],[Completion date serial]]-tblWorkPackages[[#This Row],[Due date serial]])</f>
        <v>0</v>
      </c>
      <c r="AD246" s="65">
        <f>tblWorkPackages[[#This Row],[First labor date]]-tblWorkPackages[[#This Row],[Request date serial]]</f>
        <v>4</v>
      </c>
      <c r="AE246" s="65">
        <f>tblWorkPackages[[#This Row],[Last labor date]]-tblWorkPackages[[#This Row],[First labor date]]</f>
        <v>2</v>
      </c>
      <c r="AF246" s="65">
        <f>tblWorkPackages[[#This Row],[Completion date serial]]-tblWorkPackages[[#This Row],[Last labor date]]</f>
        <v>0</v>
      </c>
      <c r="AG246" s="65">
        <f>tblWorkPackages[[#This Row],[Completion date serial]]-tblWorkPackages[[#This Row],[Request date serial]]</f>
        <v>6</v>
      </c>
      <c r="AH246" s="65">
        <f>IFERROR(INDEX(tblParts[Delay days],MATCH(tblWorkPackages[[#This Row],[Work package ID]],tblParts[Work package ID],0)),0)</f>
        <v>0</v>
      </c>
      <c r="AI246" s="51" t="str">
        <f>IFERROR(INDEX(tblDisruptions[Event type],MATCH(tblWorkPackages[[#This Row],[Work package ID]],tblDisruptions[Work package ID],0)),"None")</f>
        <v>Equipment unavailable</v>
      </c>
      <c r="AJ246" s="51" t="str">
        <f>TEXT(tblWorkPackages[[#This Row],[Due date serial]],"yyyy-mm")</f>
        <v>2025-02</v>
      </c>
    </row>
    <row r="247" spans="1:36" ht="15" x14ac:dyDescent="0.25">
      <c r="A247" s="53" t="s">
        <v>873</v>
      </c>
      <c r="B247" s="53" t="s">
        <v>168</v>
      </c>
      <c r="C247" s="53" t="s">
        <v>846</v>
      </c>
      <c r="D247" s="53" t="s">
        <v>874</v>
      </c>
      <c r="E247" s="53" t="s">
        <v>272</v>
      </c>
      <c r="F247" s="53" t="s">
        <v>145</v>
      </c>
      <c r="G247" s="53" t="s">
        <v>273</v>
      </c>
      <c r="H247" s="53">
        <v>3</v>
      </c>
      <c r="I247" s="53" t="s">
        <v>176</v>
      </c>
      <c r="J247" s="53">
        <v>0</v>
      </c>
      <c r="K247" s="53">
        <v>1</v>
      </c>
      <c r="L247" s="53">
        <v>14.3</v>
      </c>
      <c r="M247" s="53" t="s">
        <v>875</v>
      </c>
      <c r="N247" s="53">
        <v>13.2</v>
      </c>
      <c r="O247" s="51" t="str">
        <f>TEXT(tblWorkPackages[[#This Row],[Request date serial]]-WEEKDAY(tblWorkPackages[[#This Row],[Request date serial]],3),"yyyy-mm-dd")</f>
        <v>2024-09-02</v>
      </c>
      <c r="P247" s="51">
        <f>ABS(tblWorkPackages[[#This Row],[Actual labor hours]]-tblWorkPackages[[#This Row],[Estimated labor hours]])</f>
        <v>1.1</v>
      </c>
      <c r="Q247" s="51">
        <f>IF(tblWorkPackages[[#This Row],[Actual labor hours]]&gt;tblWorkPackages[[#This Row],[Estimated labor hours]],1,0)</f>
        <v>0</v>
      </c>
      <c r="R247" s="51">
        <f>tblWorkPackages[[#This Row],[Actual labor hours]]-tblWorkPackages[[#This Row],[Estimated labor hours]]</f>
        <v>-1.1</v>
      </c>
      <c r="S247" s="51" t="str">
        <f>IF(tblWorkPackages[[#This Row],[Request date serial]]&lt;ValidationStart,"Train 2024",IF(tblWorkPackages[[#This Row],[Request date serial]]&lt;HoldoutStart,"Validation H1","Holdout H2"))</f>
        <v>Train 2024</v>
      </c>
      <c r="T247" s="51" t="str">
        <f>IF(tblWorkPackages[[#This Row],[Time split]]="Train 2024","",tblWorkPackages[[#This Row],[Estimated labor hours]]+VLOOKUP(tblWorkPackages[[#This Row],[Task type]],'Forecast validation'!$A$14:$E$25,IF(tblWorkPackages[[#This Row],[Time split]]="Validation H1",4,5),FALSE()))</f>
        <v/>
      </c>
      <c r="U247" s="51" t="str">
        <f>IF(tblWorkPackages[[#This Row],[Calibrated forecast hours]]="","",ABS(tblWorkPackages[[#This Row],[Actual labor hours]]-tblWorkPackages[[#This Row],[Calibrated forecast hours]]))</f>
        <v/>
      </c>
      <c r="V247" s="51">
        <f>IF(tblWorkPackages[[#This Row],[Time split]]="Train 2024",tblWorkPackages[[#This Row],[Estimated labor hours]],tblWorkPackages[[#This Row],[Calibrated forecast hours]])</f>
        <v>14.3</v>
      </c>
      <c r="W247" s="64">
        <f>DATEVALUE(tblWorkPackages[[#This Row],[Request date]])</f>
        <v>45542.0</v>
      </c>
      <c r="X247" s="64">
        <f>DATEVALUE(tblWorkPackages[[#This Row],[Due date]])</f>
        <v>45548.0</v>
      </c>
      <c r="Y247" s="64">
        <f>DATEVALUE(tblWorkPackages[[#This Row],[Completion date]])</f>
        <v>45544.0</v>
      </c>
      <c r="Z247" s="64">
        <f>_xlfn.MINIFS(tblLaborEntries[Work date serial],tblLaborEntries[Work package ID],tblWorkPackages[[#This Row],[Work package ID]])</f>
        <v>45543.0</v>
      </c>
      <c r="AA247" s="64">
        <f>_xlfn.MAXIFS(tblLaborEntries[Work date serial],tblLaborEntries[Work package ID],tblWorkPackages[[#This Row],[Work package ID]])</f>
        <v>45543.0</v>
      </c>
      <c r="AB247" s="65">
        <f>IF(tblWorkPackages[[#This Row],[Completion date serial]]&gt;tblWorkPackages[[#This Row],[Due date serial]],1,0)</f>
        <v>0</v>
      </c>
      <c r="AC247" s="65">
        <f>MAX(0,tblWorkPackages[[#This Row],[Completion date serial]]-tblWorkPackages[[#This Row],[Due date serial]])</f>
        <v>0</v>
      </c>
      <c r="AD247" s="65">
        <f>tblWorkPackages[[#This Row],[First labor date]]-tblWorkPackages[[#This Row],[Request date serial]]</f>
        <v>1</v>
      </c>
      <c r="AE247" s="65">
        <f>tblWorkPackages[[#This Row],[Last labor date]]-tblWorkPackages[[#This Row],[First labor date]]</f>
        <v>0</v>
      </c>
      <c r="AF247" s="65">
        <f>tblWorkPackages[[#This Row],[Completion date serial]]-tblWorkPackages[[#This Row],[Last labor date]]</f>
        <v>1</v>
      </c>
      <c r="AG247" s="65">
        <f>tblWorkPackages[[#This Row],[Completion date serial]]-tblWorkPackages[[#This Row],[Request date serial]]</f>
        <v>2</v>
      </c>
      <c r="AH247" s="65">
        <f>IFERROR(INDEX(tblParts[Delay days],MATCH(tblWorkPackages[[#This Row],[Work package ID]],tblParts[Work package ID],0)),0)</f>
        <v>0</v>
      </c>
      <c r="AI247" s="51" t="str">
        <f>IFERROR(INDEX(tblDisruptions[Event type],MATCH(tblWorkPackages[[#This Row],[Work package ID]],tblDisruptions[Work package ID],0)),"None")</f>
        <v>None</v>
      </c>
      <c r="AJ247" s="51" t="str">
        <f>TEXT(tblWorkPackages[[#This Row],[Due date serial]],"yyyy-mm")</f>
        <v>2024-09</v>
      </c>
    </row>
    <row r="248" spans="1:36" ht="15" x14ac:dyDescent="0.25">
      <c r="A248" s="53" t="s">
        <v>876</v>
      </c>
      <c r="B248" s="53" t="s">
        <v>250</v>
      </c>
      <c r="C248" s="53" t="s">
        <v>555</v>
      </c>
      <c r="D248" s="53" t="s">
        <v>877</v>
      </c>
      <c r="E248" s="53" t="s">
        <v>209</v>
      </c>
      <c r="F248" s="53" t="s">
        <v>145</v>
      </c>
      <c r="G248" s="53" t="s">
        <v>210</v>
      </c>
      <c r="H248" s="53">
        <v>2</v>
      </c>
      <c r="I248" s="53" t="s">
        <v>147</v>
      </c>
      <c r="J248" s="53">
        <v>0</v>
      </c>
      <c r="K248" s="53">
        <v>1</v>
      </c>
      <c r="L248" s="53">
        <v>18.600000000000001</v>
      </c>
      <c r="M248" s="53" t="s">
        <v>776</v>
      </c>
      <c r="N248" s="53">
        <v>18.100000000000001</v>
      </c>
      <c r="O248" s="51" t="str">
        <f>TEXT(tblWorkPackages[[#This Row],[Request date serial]]-WEEKDAY(tblWorkPackages[[#This Row],[Request date serial]],3),"yyyy-mm-dd")</f>
        <v>2024-11-25</v>
      </c>
      <c r="P248" s="51">
        <f>ABS(tblWorkPackages[[#This Row],[Actual labor hours]]-tblWorkPackages[[#This Row],[Estimated labor hours]])</f>
        <v>0.5</v>
      </c>
      <c r="Q248" s="51">
        <f>IF(tblWorkPackages[[#This Row],[Actual labor hours]]&gt;tblWorkPackages[[#This Row],[Estimated labor hours]],1,0)</f>
        <v>0</v>
      </c>
      <c r="R248" s="51">
        <f>tblWorkPackages[[#This Row],[Actual labor hours]]-tblWorkPackages[[#This Row],[Estimated labor hours]]</f>
        <v>-0.5</v>
      </c>
      <c r="S248" s="51" t="str">
        <f>IF(tblWorkPackages[[#This Row],[Request date serial]]&lt;ValidationStart,"Train 2024",IF(tblWorkPackages[[#This Row],[Request date serial]]&lt;HoldoutStart,"Validation H1","Holdout H2"))</f>
        <v>Train 2024</v>
      </c>
      <c r="T248" s="51" t="str">
        <f>IF(tblWorkPackages[[#This Row],[Time split]]="Train 2024","",tblWorkPackages[[#This Row],[Estimated labor hours]]+VLOOKUP(tblWorkPackages[[#This Row],[Task type]],'Forecast validation'!$A$14:$E$25,IF(tblWorkPackages[[#This Row],[Time split]]="Validation H1",4,5),FALSE()))</f>
        <v/>
      </c>
      <c r="U248" s="51" t="str">
        <f>IF(tblWorkPackages[[#This Row],[Calibrated forecast hours]]="","",ABS(tblWorkPackages[[#This Row],[Actual labor hours]]-tblWorkPackages[[#This Row],[Calibrated forecast hours]]))</f>
        <v/>
      </c>
      <c r="V248" s="51">
        <f>IF(tblWorkPackages[[#This Row],[Time split]]="Train 2024",tblWorkPackages[[#This Row],[Estimated labor hours]],tblWorkPackages[[#This Row],[Calibrated forecast hours]])</f>
        <v>18.6</v>
      </c>
      <c r="W248" s="64">
        <f>DATEVALUE(tblWorkPackages[[#This Row],[Request date]])</f>
        <v>45622.0</v>
      </c>
      <c r="X248" s="64">
        <f>DATEVALUE(tblWorkPackages[[#This Row],[Due date]])</f>
        <v>45624.0</v>
      </c>
      <c r="Y248" s="64">
        <f>DATEVALUE(tblWorkPackages[[#This Row],[Completion date]])</f>
        <v>45636.0</v>
      </c>
      <c r="Z248" s="64">
        <f>_xlfn.MINIFS(tblLaborEntries[Work date serial],tblLaborEntries[Work package ID],tblWorkPackages[[#This Row],[Work package ID]])</f>
        <v>45632.0</v>
      </c>
      <c r="AA248" s="64">
        <f>_xlfn.MAXIFS(tblLaborEntries[Work date serial],tblLaborEntries[Work package ID],tblWorkPackages[[#This Row],[Work package ID]])</f>
        <v>45634.0</v>
      </c>
      <c r="AB248" s="65">
        <f>IF(tblWorkPackages[[#This Row],[Completion date serial]]&gt;tblWorkPackages[[#This Row],[Due date serial]],1,0)</f>
        <v>1</v>
      </c>
      <c r="AC248" s="65">
        <f>MAX(0,tblWorkPackages[[#This Row],[Completion date serial]]-tblWorkPackages[[#This Row],[Due date serial]])</f>
        <v>12</v>
      </c>
      <c r="AD248" s="65">
        <f>tblWorkPackages[[#This Row],[First labor date]]-tblWorkPackages[[#This Row],[Request date serial]]</f>
        <v>10</v>
      </c>
      <c r="AE248" s="65">
        <f>tblWorkPackages[[#This Row],[Last labor date]]-tblWorkPackages[[#This Row],[First labor date]]</f>
        <v>2</v>
      </c>
      <c r="AF248" s="65">
        <f>tblWorkPackages[[#This Row],[Completion date serial]]-tblWorkPackages[[#This Row],[Last labor date]]</f>
        <v>2</v>
      </c>
      <c r="AG248" s="65">
        <f>tblWorkPackages[[#This Row],[Completion date serial]]-tblWorkPackages[[#This Row],[Request date serial]]</f>
        <v>14</v>
      </c>
      <c r="AH248" s="65">
        <f>IFERROR(INDEX(tblParts[Delay days],MATCH(tblWorkPackages[[#This Row],[Work package ID]],tblParts[Work package ID],0)),0)</f>
        <v>0</v>
      </c>
      <c r="AI248" s="51" t="str">
        <f>IFERROR(INDEX(tblDisruptions[Event type],MATCH(tblWorkPackages[[#This Row],[Work package ID]],tblDisruptions[Work package ID],0)),"None")</f>
        <v>None</v>
      </c>
      <c r="AJ248" s="51" t="str">
        <f>TEXT(tblWorkPackages[[#This Row],[Due date serial]],"yyyy-mm")</f>
        <v>2024-11</v>
      </c>
    </row>
    <row r="249" spans="1:36" ht="15" x14ac:dyDescent="0.25">
      <c r="A249" s="53" t="s">
        <v>878</v>
      </c>
      <c r="B249" s="53" t="s">
        <v>150</v>
      </c>
      <c r="C249" s="53" t="s">
        <v>879</v>
      </c>
      <c r="D249" s="53" t="s">
        <v>675</v>
      </c>
      <c r="E249" s="53" t="s">
        <v>127</v>
      </c>
      <c r="F249" s="53" t="s">
        <v>128</v>
      </c>
      <c r="G249" s="53" t="s">
        <v>129</v>
      </c>
      <c r="H249" s="53">
        <v>2</v>
      </c>
      <c r="I249" s="53" t="s">
        <v>130</v>
      </c>
      <c r="J249" s="53">
        <v>0</v>
      </c>
      <c r="K249" s="53">
        <v>0</v>
      </c>
      <c r="L249" s="53">
        <v>8.4</v>
      </c>
      <c r="M249" s="53" t="s">
        <v>880</v>
      </c>
      <c r="N249" s="53">
        <v>8.4</v>
      </c>
      <c r="O249" s="51" t="str">
        <f>TEXT(tblWorkPackages[[#This Row],[Request date serial]]-WEEKDAY(tblWorkPackages[[#This Row],[Request date serial]],3),"yyyy-mm-dd")</f>
        <v>2024-04-01</v>
      </c>
      <c r="P249" s="51">
        <f>ABS(tblWorkPackages[[#This Row],[Actual labor hours]]-tblWorkPackages[[#This Row],[Estimated labor hours]])</f>
        <v>0</v>
      </c>
      <c r="Q249" s="51">
        <f>IF(tblWorkPackages[[#This Row],[Actual labor hours]]&gt;tblWorkPackages[[#This Row],[Estimated labor hours]],1,0)</f>
        <v>0</v>
      </c>
      <c r="R249" s="51">
        <f>tblWorkPackages[[#This Row],[Actual labor hours]]-tblWorkPackages[[#This Row],[Estimated labor hours]]</f>
        <v>0</v>
      </c>
      <c r="S249" s="51" t="str">
        <f>IF(tblWorkPackages[[#This Row],[Request date serial]]&lt;ValidationStart,"Train 2024",IF(tblWorkPackages[[#This Row],[Request date serial]]&lt;HoldoutStart,"Validation H1","Holdout H2"))</f>
        <v>Train 2024</v>
      </c>
      <c r="T249" s="51" t="str">
        <f>IF(tblWorkPackages[[#This Row],[Time split]]="Train 2024","",tblWorkPackages[[#This Row],[Estimated labor hours]]+VLOOKUP(tblWorkPackages[[#This Row],[Task type]],'Forecast validation'!$A$14:$E$25,IF(tblWorkPackages[[#This Row],[Time split]]="Validation H1",4,5),FALSE()))</f>
        <v/>
      </c>
      <c r="U249" s="51" t="str">
        <f>IF(tblWorkPackages[[#This Row],[Calibrated forecast hours]]="","",ABS(tblWorkPackages[[#This Row],[Actual labor hours]]-tblWorkPackages[[#This Row],[Calibrated forecast hours]]))</f>
        <v/>
      </c>
      <c r="V249" s="51">
        <f>IF(tblWorkPackages[[#This Row],[Time split]]="Train 2024",tblWorkPackages[[#This Row],[Estimated labor hours]],tblWorkPackages[[#This Row],[Calibrated forecast hours]])</f>
        <v>8.4</v>
      </c>
      <c r="W249" s="64">
        <f>DATEVALUE(tblWorkPackages[[#This Row],[Request date]])</f>
        <v>45386.0</v>
      </c>
      <c r="X249" s="64">
        <f>DATEVALUE(tblWorkPackages[[#This Row],[Due date]])</f>
        <v>45399.0</v>
      </c>
      <c r="Y249" s="64">
        <f>DATEVALUE(tblWorkPackages[[#This Row],[Completion date]])</f>
        <v>45392.0</v>
      </c>
      <c r="Z249" s="64">
        <f>_xlfn.MINIFS(tblLaborEntries[Work date serial],tblLaborEntries[Work package ID],tblWorkPackages[[#This Row],[Work package ID]])</f>
        <v>45389.0</v>
      </c>
      <c r="AA249" s="64">
        <f>_xlfn.MAXIFS(tblLaborEntries[Work date serial],tblLaborEntries[Work package ID],tblWorkPackages[[#This Row],[Work package ID]])</f>
        <v>45389.0</v>
      </c>
      <c r="AB249" s="65">
        <f>IF(tblWorkPackages[[#This Row],[Completion date serial]]&gt;tblWorkPackages[[#This Row],[Due date serial]],1,0)</f>
        <v>0</v>
      </c>
      <c r="AC249" s="65">
        <f>MAX(0,tblWorkPackages[[#This Row],[Completion date serial]]-tblWorkPackages[[#This Row],[Due date serial]])</f>
        <v>0</v>
      </c>
      <c r="AD249" s="65">
        <f>tblWorkPackages[[#This Row],[First labor date]]-tblWorkPackages[[#This Row],[Request date serial]]</f>
        <v>3</v>
      </c>
      <c r="AE249" s="65">
        <f>tblWorkPackages[[#This Row],[Last labor date]]-tblWorkPackages[[#This Row],[First labor date]]</f>
        <v>0</v>
      </c>
      <c r="AF249" s="65">
        <f>tblWorkPackages[[#This Row],[Completion date serial]]-tblWorkPackages[[#This Row],[Last labor date]]</f>
        <v>3</v>
      </c>
      <c r="AG249" s="65">
        <f>tblWorkPackages[[#This Row],[Completion date serial]]-tblWorkPackages[[#This Row],[Request date serial]]</f>
        <v>6</v>
      </c>
      <c r="AH249" s="65">
        <f>IFERROR(INDEX(tblParts[Delay days],MATCH(tblWorkPackages[[#This Row],[Work package ID]],tblParts[Work package ID],0)),0)</f>
        <v>0</v>
      </c>
      <c r="AI249" s="51" t="str">
        <f>IFERROR(INDEX(tblDisruptions[Event type],MATCH(tblWorkPackages[[#This Row],[Work package ID]],tblDisruptions[Work package ID],0)),"None")</f>
        <v>None</v>
      </c>
      <c r="AJ249" s="51" t="str">
        <f>TEXT(tblWorkPackages[[#This Row],[Due date serial]],"yyyy-mm")</f>
        <v>2024-04</v>
      </c>
    </row>
    <row r="250" spans="1:36" ht="15" x14ac:dyDescent="0.25">
      <c r="A250" s="53" t="s">
        <v>881</v>
      </c>
      <c r="B250" s="53" t="s">
        <v>185</v>
      </c>
      <c r="C250" s="53" t="s">
        <v>703</v>
      </c>
      <c r="D250" s="53" t="s">
        <v>761</v>
      </c>
      <c r="E250" s="53" t="s">
        <v>181</v>
      </c>
      <c r="F250" s="53" t="s">
        <v>182</v>
      </c>
      <c r="G250" s="53" t="s">
        <v>138</v>
      </c>
      <c r="H250" s="53">
        <v>4</v>
      </c>
      <c r="I250" s="53" t="s">
        <v>176</v>
      </c>
      <c r="J250" s="53">
        <v>0</v>
      </c>
      <c r="K250" s="53">
        <v>1</v>
      </c>
      <c r="L250" s="53">
        <v>15.7</v>
      </c>
      <c r="M250" s="53" t="s">
        <v>451</v>
      </c>
      <c r="N250" s="53">
        <v>18.8</v>
      </c>
      <c r="O250" s="51" t="str">
        <f>TEXT(tblWorkPackages[[#This Row],[Request date serial]]-WEEKDAY(tblWorkPackages[[#This Row],[Request date serial]],3),"yyyy-mm-dd")</f>
        <v>2024-06-10</v>
      </c>
      <c r="P250" s="51">
        <f>ABS(tblWorkPackages[[#This Row],[Actual labor hours]]-tblWorkPackages[[#This Row],[Estimated labor hours]])</f>
        <v>3.1</v>
      </c>
      <c r="Q250" s="51">
        <f>IF(tblWorkPackages[[#This Row],[Actual labor hours]]&gt;tblWorkPackages[[#This Row],[Estimated labor hours]],1,0)</f>
        <v>1</v>
      </c>
      <c r="R250" s="51">
        <f>tblWorkPackages[[#This Row],[Actual labor hours]]-tblWorkPackages[[#This Row],[Estimated labor hours]]</f>
        <v>3.1</v>
      </c>
      <c r="S250" s="51" t="str">
        <f>IF(tblWorkPackages[[#This Row],[Request date serial]]&lt;ValidationStart,"Train 2024",IF(tblWorkPackages[[#This Row],[Request date serial]]&lt;HoldoutStart,"Validation H1","Holdout H2"))</f>
        <v>Train 2024</v>
      </c>
      <c r="T250" s="51" t="str">
        <f>IF(tblWorkPackages[[#This Row],[Time split]]="Train 2024","",tblWorkPackages[[#This Row],[Estimated labor hours]]+VLOOKUP(tblWorkPackages[[#This Row],[Task type]],'Forecast validation'!$A$14:$E$25,IF(tblWorkPackages[[#This Row],[Time split]]="Validation H1",4,5),FALSE()))</f>
        <v/>
      </c>
      <c r="U250" s="51" t="str">
        <f>IF(tblWorkPackages[[#This Row],[Calibrated forecast hours]]="","",ABS(tblWorkPackages[[#This Row],[Actual labor hours]]-tblWorkPackages[[#This Row],[Calibrated forecast hours]]))</f>
        <v/>
      </c>
      <c r="V250" s="51">
        <f>IF(tblWorkPackages[[#This Row],[Time split]]="Train 2024",tblWorkPackages[[#This Row],[Estimated labor hours]],tblWorkPackages[[#This Row],[Calibrated forecast hours]])</f>
        <v>15.7</v>
      </c>
      <c r="W250" s="64">
        <f>DATEVALUE(tblWorkPackages[[#This Row],[Request date]])</f>
        <v>45454.0</v>
      </c>
      <c r="X250" s="64">
        <f>DATEVALUE(tblWorkPackages[[#This Row],[Due date]])</f>
        <v>45460.0</v>
      </c>
      <c r="Y250" s="64">
        <f>DATEVALUE(tblWorkPackages[[#This Row],[Completion date]])</f>
        <v>45484.0</v>
      </c>
      <c r="Z250" s="64">
        <f>_xlfn.MINIFS(tblLaborEntries[Work date serial],tblLaborEntries[Work package ID],tblWorkPackages[[#This Row],[Work package ID]])</f>
        <v>45482.0</v>
      </c>
      <c r="AA250" s="64">
        <f>_xlfn.MAXIFS(tblLaborEntries[Work date serial],tblLaborEntries[Work package ID],tblWorkPackages[[#This Row],[Work package ID]])</f>
        <v>45484.0</v>
      </c>
      <c r="AB250" s="65">
        <f>IF(tblWorkPackages[[#This Row],[Completion date serial]]&gt;tblWorkPackages[[#This Row],[Due date serial]],1,0)</f>
        <v>1</v>
      </c>
      <c r="AC250" s="65">
        <f>MAX(0,tblWorkPackages[[#This Row],[Completion date serial]]-tblWorkPackages[[#This Row],[Due date serial]])</f>
        <v>24</v>
      </c>
      <c r="AD250" s="65">
        <f>tblWorkPackages[[#This Row],[First labor date]]-tblWorkPackages[[#This Row],[Request date serial]]</f>
        <v>28</v>
      </c>
      <c r="AE250" s="65">
        <f>tblWorkPackages[[#This Row],[Last labor date]]-tblWorkPackages[[#This Row],[First labor date]]</f>
        <v>2</v>
      </c>
      <c r="AF250" s="65">
        <f>tblWorkPackages[[#This Row],[Completion date serial]]-tblWorkPackages[[#This Row],[Last labor date]]</f>
        <v>0</v>
      </c>
      <c r="AG250" s="65">
        <f>tblWorkPackages[[#This Row],[Completion date serial]]-tblWorkPackages[[#This Row],[Request date serial]]</f>
        <v>30</v>
      </c>
      <c r="AH250" s="65">
        <f>IFERROR(INDEX(tblParts[Delay days],MATCH(tblWorkPackages[[#This Row],[Work package ID]],tblParts[Work package ID],0)),0)</f>
        <v>0</v>
      </c>
      <c r="AI250" s="51" t="str">
        <f>IFERROR(INDEX(tblDisruptions[Event type],MATCH(tblWorkPackages[[#This Row],[Work package ID]],tblDisruptions[Work package ID],0)),"None")</f>
        <v>None</v>
      </c>
      <c r="AJ250" s="51" t="str">
        <f>TEXT(tblWorkPackages[[#This Row],[Due date serial]],"yyyy-mm")</f>
        <v>2024-06</v>
      </c>
    </row>
    <row r="251" spans="1:36" ht="15" x14ac:dyDescent="0.25">
      <c r="A251" s="53" t="s">
        <v>882</v>
      </c>
      <c r="B251" s="53" t="s">
        <v>141</v>
      </c>
      <c r="C251" s="53" t="s">
        <v>883</v>
      </c>
      <c r="D251" s="53" t="s">
        <v>204</v>
      </c>
      <c r="E251" s="53" t="s">
        <v>144</v>
      </c>
      <c r="F251" s="53" t="s">
        <v>145</v>
      </c>
      <c r="G251" s="53" t="s">
        <v>146</v>
      </c>
      <c r="H251" s="53">
        <v>4</v>
      </c>
      <c r="I251" s="53" t="s">
        <v>130</v>
      </c>
      <c r="J251" s="53">
        <v>0</v>
      </c>
      <c r="K251" s="53">
        <v>1</v>
      </c>
      <c r="L251" s="53">
        <v>16.8</v>
      </c>
      <c r="M251" s="53" t="s">
        <v>534</v>
      </c>
      <c r="N251" s="53">
        <v>15.6</v>
      </c>
      <c r="O251" s="51" t="str">
        <f>TEXT(tblWorkPackages[[#This Row],[Request date serial]]-WEEKDAY(tblWorkPackages[[#This Row],[Request date serial]],3),"yyyy-mm-dd")</f>
        <v>2024-10-14</v>
      </c>
      <c r="P251" s="51">
        <f>ABS(tblWorkPackages[[#This Row],[Actual labor hours]]-tblWorkPackages[[#This Row],[Estimated labor hours]])</f>
        <v>1.2</v>
      </c>
      <c r="Q251" s="51">
        <f>IF(tblWorkPackages[[#This Row],[Actual labor hours]]&gt;tblWorkPackages[[#This Row],[Estimated labor hours]],1,0)</f>
        <v>0</v>
      </c>
      <c r="R251" s="51">
        <f>tblWorkPackages[[#This Row],[Actual labor hours]]-tblWorkPackages[[#This Row],[Estimated labor hours]]</f>
        <v>-1.2</v>
      </c>
      <c r="S251" s="51" t="str">
        <f>IF(tblWorkPackages[[#This Row],[Request date serial]]&lt;ValidationStart,"Train 2024",IF(tblWorkPackages[[#This Row],[Request date serial]]&lt;HoldoutStart,"Validation H1","Holdout H2"))</f>
        <v>Train 2024</v>
      </c>
      <c r="T251" s="51" t="str">
        <f>IF(tblWorkPackages[[#This Row],[Time split]]="Train 2024","",tblWorkPackages[[#This Row],[Estimated labor hours]]+VLOOKUP(tblWorkPackages[[#This Row],[Task type]],'Forecast validation'!$A$14:$E$25,IF(tblWorkPackages[[#This Row],[Time split]]="Validation H1",4,5),FALSE()))</f>
        <v/>
      </c>
      <c r="U251" s="51" t="str">
        <f>IF(tblWorkPackages[[#This Row],[Calibrated forecast hours]]="","",ABS(tblWorkPackages[[#This Row],[Actual labor hours]]-tblWorkPackages[[#This Row],[Calibrated forecast hours]]))</f>
        <v/>
      </c>
      <c r="V251" s="51">
        <f>IF(tblWorkPackages[[#This Row],[Time split]]="Train 2024",tblWorkPackages[[#This Row],[Estimated labor hours]],tblWorkPackages[[#This Row],[Calibrated forecast hours]])</f>
        <v>16.8</v>
      </c>
      <c r="W251" s="64">
        <f>DATEVALUE(tblWorkPackages[[#This Row],[Request date]])</f>
        <v>45583.0</v>
      </c>
      <c r="X251" s="64">
        <f>DATEVALUE(tblWorkPackages[[#This Row],[Due date]])</f>
        <v>45596.0</v>
      </c>
      <c r="Y251" s="64">
        <f>DATEVALUE(tblWorkPackages[[#This Row],[Completion date]])</f>
        <v>45591.0</v>
      </c>
      <c r="Z251" s="64">
        <f>_xlfn.MINIFS(tblLaborEntries[Work date serial],tblLaborEntries[Work package ID],tblWorkPackages[[#This Row],[Work package ID]])</f>
        <v>45588.0</v>
      </c>
      <c r="AA251" s="64">
        <f>_xlfn.MAXIFS(tblLaborEntries[Work date serial],tblLaborEntries[Work package ID],tblWorkPackages[[#This Row],[Work package ID]])</f>
        <v>45590.0</v>
      </c>
      <c r="AB251" s="65">
        <f>IF(tblWorkPackages[[#This Row],[Completion date serial]]&gt;tblWorkPackages[[#This Row],[Due date serial]],1,0)</f>
        <v>0</v>
      </c>
      <c r="AC251" s="65">
        <f>MAX(0,tblWorkPackages[[#This Row],[Completion date serial]]-tblWorkPackages[[#This Row],[Due date serial]])</f>
        <v>0</v>
      </c>
      <c r="AD251" s="65">
        <f>tblWorkPackages[[#This Row],[First labor date]]-tblWorkPackages[[#This Row],[Request date serial]]</f>
        <v>5</v>
      </c>
      <c r="AE251" s="65">
        <f>tblWorkPackages[[#This Row],[Last labor date]]-tblWorkPackages[[#This Row],[First labor date]]</f>
        <v>2</v>
      </c>
      <c r="AF251" s="65">
        <f>tblWorkPackages[[#This Row],[Completion date serial]]-tblWorkPackages[[#This Row],[Last labor date]]</f>
        <v>1</v>
      </c>
      <c r="AG251" s="65">
        <f>tblWorkPackages[[#This Row],[Completion date serial]]-tblWorkPackages[[#This Row],[Request date serial]]</f>
        <v>8</v>
      </c>
      <c r="AH251" s="65">
        <f>IFERROR(INDEX(tblParts[Delay days],MATCH(tblWorkPackages[[#This Row],[Work package ID]],tblParts[Work package ID],0)),0)</f>
        <v>0</v>
      </c>
      <c r="AI251" s="51" t="str">
        <f>IFERROR(INDEX(tblDisruptions[Event type],MATCH(tblWorkPackages[[#This Row],[Work package ID]],tblDisruptions[Work package ID],0)),"None")</f>
        <v>None</v>
      </c>
      <c r="AJ251" s="51" t="str">
        <f>TEXT(tblWorkPackages[[#This Row],[Due date serial]],"yyyy-mm")</f>
        <v>2024-10</v>
      </c>
    </row>
    <row r="252" spans="1:36" ht="15" x14ac:dyDescent="0.25">
      <c r="A252" s="53" t="s">
        <v>884</v>
      </c>
      <c r="B252" s="53" t="s">
        <v>157</v>
      </c>
      <c r="C252" s="53" t="s">
        <v>885</v>
      </c>
      <c r="D252" s="53" t="s">
        <v>886</v>
      </c>
      <c r="E252" s="53" t="s">
        <v>181</v>
      </c>
      <c r="F252" s="53" t="s">
        <v>182</v>
      </c>
      <c r="G252" s="53" t="s">
        <v>138</v>
      </c>
      <c r="H252" s="53">
        <v>1</v>
      </c>
      <c r="I252" s="53" t="s">
        <v>176</v>
      </c>
      <c r="J252" s="53">
        <v>1</v>
      </c>
      <c r="K252" s="53">
        <v>0</v>
      </c>
      <c r="L252" s="53">
        <v>4.2</v>
      </c>
      <c r="M252" s="53" t="s">
        <v>886</v>
      </c>
      <c r="N252" s="53">
        <v>6.3</v>
      </c>
      <c r="O252" s="51" t="str">
        <f>TEXT(tblWorkPackages[[#This Row],[Request date serial]]-WEEKDAY(tblWorkPackages[[#This Row],[Request date serial]],3),"yyyy-mm-dd")</f>
        <v>2025-09-01</v>
      </c>
      <c r="P252" s="51">
        <f>ABS(tblWorkPackages[[#This Row],[Actual labor hours]]-tblWorkPackages[[#This Row],[Estimated labor hours]])</f>
        <v>2.1</v>
      </c>
      <c r="Q252" s="51">
        <f>IF(tblWorkPackages[[#This Row],[Actual labor hours]]&gt;tblWorkPackages[[#This Row],[Estimated labor hours]],1,0)</f>
        <v>1</v>
      </c>
      <c r="R252" s="51">
        <f>tblWorkPackages[[#This Row],[Actual labor hours]]-tblWorkPackages[[#This Row],[Estimated labor hours]]</f>
        <v>2.1</v>
      </c>
      <c r="S252" s="51" t="str">
        <f>IF(tblWorkPackages[[#This Row],[Request date serial]]&lt;ValidationStart,"Train 2024",IF(tblWorkPackages[[#This Row],[Request date serial]]&lt;HoldoutStart,"Validation H1","Holdout H2"))</f>
        <v>Holdout H2</v>
      </c>
      <c r="T252" s="51">
        <f>IF(tblWorkPackages[[#This Row],[Time split]]="Train 2024","",tblWorkPackages[[#This Row],[Estimated labor hours]]+VLOOKUP(tblWorkPackages[[#This Row],[Task type]],'Forecast validation'!$A$14:$E$25,IF(tblWorkPackages[[#This Row],[Time split]]="Validation H1",4,5),FALSE()))</f>
        <v>4.79160839160839</v>
      </c>
      <c r="U252" s="51">
        <f>IF(tblWorkPackages[[#This Row],[Calibrated forecast hours]]="","",ABS(tblWorkPackages[[#This Row],[Actual labor hours]]-tblWorkPackages[[#This Row],[Calibrated forecast hours]]))</f>
        <v>1.50839160839161</v>
      </c>
      <c r="V252" s="51">
        <f>IF(tblWorkPackages[[#This Row],[Time split]]="Train 2024",tblWorkPackages[[#This Row],[Estimated labor hours]],tblWorkPackages[[#This Row],[Calibrated forecast hours]])</f>
        <v>4.79160839160839</v>
      </c>
      <c r="W252" s="64">
        <f>DATEVALUE(tblWorkPackages[[#This Row],[Request date]])</f>
        <v>45901.0</v>
      </c>
      <c r="X252" s="64">
        <f>DATEVALUE(tblWorkPackages[[#This Row],[Due date]])</f>
        <v>45907.0</v>
      </c>
      <c r="Y252" s="64">
        <f>DATEVALUE(tblWorkPackages[[#This Row],[Completion date]])</f>
        <v>45907.0</v>
      </c>
      <c r="Z252" s="64">
        <f>_xlfn.MINIFS(tblLaborEntries[Work date serial],tblLaborEntries[Work package ID],tblWorkPackages[[#This Row],[Work package ID]])</f>
        <v>45903.0</v>
      </c>
      <c r="AA252" s="64">
        <f>_xlfn.MAXIFS(tblLaborEntries[Work date serial],tblLaborEntries[Work package ID],tblWorkPackages[[#This Row],[Work package ID]])</f>
        <v>45905.0</v>
      </c>
      <c r="AB252" s="65">
        <f>IF(tblWorkPackages[[#This Row],[Completion date serial]]&gt;tblWorkPackages[[#This Row],[Due date serial]],1,0)</f>
        <v>0</v>
      </c>
      <c r="AC252" s="65">
        <f>MAX(0,tblWorkPackages[[#This Row],[Completion date serial]]-tblWorkPackages[[#This Row],[Due date serial]])</f>
        <v>0</v>
      </c>
      <c r="AD252" s="65">
        <f>tblWorkPackages[[#This Row],[First labor date]]-tblWorkPackages[[#This Row],[Request date serial]]</f>
        <v>2</v>
      </c>
      <c r="AE252" s="65">
        <f>tblWorkPackages[[#This Row],[Last labor date]]-tblWorkPackages[[#This Row],[First labor date]]</f>
        <v>2</v>
      </c>
      <c r="AF252" s="65">
        <f>tblWorkPackages[[#This Row],[Completion date serial]]-tblWorkPackages[[#This Row],[Last labor date]]</f>
        <v>2</v>
      </c>
      <c r="AG252" s="65">
        <f>tblWorkPackages[[#This Row],[Completion date serial]]-tblWorkPackages[[#This Row],[Request date serial]]</f>
        <v>6</v>
      </c>
      <c r="AH252" s="65">
        <f>IFERROR(INDEX(tblParts[Delay days],MATCH(tblWorkPackages[[#This Row],[Work package ID]],tblParts[Work package ID],0)),0)</f>
        <v>0</v>
      </c>
      <c r="AI252" s="51" t="str">
        <f>IFERROR(INDEX(tblDisruptions[Event type],MATCH(tblWorkPackages[[#This Row],[Work package ID]],tblDisruptions[Work package ID],0)),"None")</f>
        <v>None</v>
      </c>
      <c r="AJ252" s="51" t="str">
        <f>TEXT(tblWorkPackages[[#This Row],[Due date serial]],"yyyy-mm")</f>
        <v>2025-09</v>
      </c>
    </row>
    <row r="253" spans="1:36" ht="15" x14ac:dyDescent="0.25">
      <c r="A253" s="53" t="s">
        <v>887</v>
      </c>
      <c r="B253" s="53" t="s">
        <v>163</v>
      </c>
      <c r="C253" s="53" t="s">
        <v>332</v>
      </c>
      <c r="D253" s="53" t="s">
        <v>421</v>
      </c>
      <c r="E253" s="53" t="s">
        <v>127</v>
      </c>
      <c r="F253" s="53" t="s">
        <v>128</v>
      </c>
      <c r="G253" s="53" t="s">
        <v>129</v>
      </c>
      <c r="H253" s="53">
        <v>2</v>
      </c>
      <c r="I253" s="53" t="s">
        <v>176</v>
      </c>
      <c r="J253" s="53">
        <v>0</v>
      </c>
      <c r="K253" s="53">
        <v>0</v>
      </c>
      <c r="L253" s="53">
        <v>6</v>
      </c>
      <c r="M253" s="53" t="s">
        <v>560</v>
      </c>
      <c r="N253" s="53">
        <v>6.4</v>
      </c>
      <c r="O253" s="51" t="str">
        <f>TEXT(tblWorkPackages[[#This Row],[Request date serial]]-WEEKDAY(tblWorkPackages[[#This Row],[Request date serial]],3),"yyyy-mm-dd")</f>
        <v>2025-10-20</v>
      </c>
      <c r="P253" s="51">
        <f>ABS(tblWorkPackages[[#This Row],[Actual labor hours]]-tblWorkPackages[[#This Row],[Estimated labor hours]])</f>
        <v>0.4</v>
      </c>
      <c r="Q253" s="51">
        <f>IF(tblWorkPackages[[#This Row],[Actual labor hours]]&gt;tblWorkPackages[[#This Row],[Estimated labor hours]],1,0)</f>
        <v>1</v>
      </c>
      <c r="R253" s="51">
        <f>tblWorkPackages[[#This Row],[Actual labor hours]]-tblWorkPackages[[#This Row],[Estimated labor hours]]</f>
        <v>0.4</v>
      </c>
      <c r="S253" s="51" t="str">
        <f>IF(tblWorkPackages[[#This Row],[Request date serial]]&lt;ValidationStart,"Train 2024",IF(tblWorkPackages[[#This Row],[Request date serial]]&lt;HoldoutStart,"Validation H1","Holdout H2"))</f>
        <v>Holdout H2</v>
      </c>
      <c r="T253" s="51">
        <f>IF(tblWorkPackages[[#This Row],[Time split]]="Train 2024","",tblWorkPackages[[#This Row],[Estimated labor hours]]+VLOOKUP(tblWorkPackages[[#This Row],[Task type]],'Forecast validation'!$A$14:$E$25,IF(tblWorkPackages[[#This Row],[Time split]]="Validation H1",4,5),FALSE()))</f>
        <v>6.54341085271318</v>
      </c>
      <c r="U253" s="51">
        <f>IF(tblWorkPackages[[#This Row],[Calibrated forecast hours]]="","",ABS(tblWorkPackages[[#This Row],[Actual labor hours]]-tblWorkPackages[[#This Row],[Calibrated forecast hours]]))</f>
        <v>0.143410852713178</v>
      </c>
      <c r="V253" s="51">
        <f>IF(tblWorkPackages[[#This Row],[Time split]]="Train 2024",tblWorkPackages[[#This Row],[Estimated labor hours]],tblWorkPackages[[#This Row],[Calibrated forecast hours]])</f>
        <v>6.54341085271318</v>
      </c>
      <c r="W253" s="64">
        <f>DATEVALUE(tblWorkPackages[[#This Row],[Request date]])</f>
        <v>45954.0</v>
      </c>
      <c r="X253" s="64">
        <f>DATEVALUE(tblWorkPackages[[#This Row],[Due date]])</f>
        <v>45960.0</v>
      </c>
      <c r="Y253" s="64">
        <f>DATEVALUE(tblWorkPackages[[#This Row],[Completion date]])</f>
        <v>45970.0</v>
      </c>
      <c r="Z253" s="64">
        <f>_xlfn.MINIFS(tblLaborEntries[Work date serial],tblLaborEntries[Work package ID],tblWorkPackages[[#This Row],[Work package ID]])</f>
        <v>45967.0</v>
      </c>
      <c r="AA253" s="64">
        <f>_xlfn.MAXIFS(tblLaborEntries[Work date serial],tblLaborEntries[Work package ID],tblWorkPackages[[#This Row],[Work package ID]])</f>
        <v>45967.0</v>
      </c>
      <c r="AB253" s="65">
        <f>IF(tblWorkPackages[[#This Row],[Completion date serial]]&gt;tblWorkPackages[[#This Row],[Due date serial]],1,0)</f>
        <v>1</v>
      </c>
      <c r="AC253" s="65">
        <f>MAX(0,tblWorkPackages[[#This Row],[Completion date serial]]-tblWorkPackages[[#This Row],[Due date serial]])</f>
        <v>10</v>
      </c>
      <c r="AD253" s="65">
        <f>tblWorkPackages[[#This Row],[First labor date]]-tblWorkPackages[[#This Row],[Request date serial]]</f>
        <v>13</v>
      </c>
      <c r="AE253" s="65">
        <f>tblWorkPackages[[#This Row],[Last labor date]]-tblWorkPackages[[#This Row],[First labor date]]</f>
        <v>0</v>
      </c>
      <c r="AF253" s="65">
        <f>tblWorkPackages[[#This Row],[Completion date serial]]-tblWorkPackages[[#This Row],[Last labor date]]</f>
        <v>3</v>
      </c>
      <c r="AG253" s="65">
        <f>tblWorkPackages[[#This Row],[Completion date serial]]-tblWorkPackages[[#This Row],[Request date serial]]</f>
        <v>16</v>
      </c>
      <c r="AH253" s="65">
        <f>IFERROR(INDEX(tblParts[Delay days],MATCH(tblWorkPackages[[#This Row],[Work package ID]],tblParts[Work package ID],0)),0)</f>
        <v>0</v>
      </c>
      <c r="AI253" s="51" t="str">
        <f>IFERROR(INDEX(tblDisruptions[Event type],MATCH(tblWorkPackages[[#This Row],[Work package ID]],tblDisruptions[Work package ID],0)),"None")</f>
        <v>None</v>
      </c>
      <c r="AJ253" s="51" t="str">
        <f>TEXT(tblWorkPackages[[#This Row],[Due date serial]],"yyyy-mm")</f>
        <v>2025-10</v>
      </c>
    </row>
    <row r="254" spans="1:36" ht="15" x14ac:dyDescent="0.25">
      <c r="A254" s="53" t="s">
        <v>888</v>
      </c>
      <c r="B254" s="53" t="s">
        <v>287</v>
      </c>
      <c r="C254" s="53" t="s">
        <v>793</v>
      </c>
      <c r="D254" s="53" t="s">
        <v>515</v>
      </c>
      <c r="E254" s="53" t="s">
        <v>160</v>
      </c>
      <c r="F254" s="53" t="s">
        <v>128</v>
      </c>
      <c r="G254" s="53" t="s">
        <v>138</v>
      </c>
      <c r="H254" s="53">
        <v>1</v>
      </c>
      <c r="I254" s="53" t="s">
        <v>130</v>
      </c>
      <c r="J254" s="53">
        <v>0</v>
      </c>
      <c r="K254" s="53">
        <v>1</v>
      </c>
      <c r="L254" s="53">
        <v>2.8</v>
      </c>
      <c r="M254" s="53" t="s">
        <v>599</v>
      </c>
      <c r="N254" s="53">
        <v>2.6</v>
      </c>
      <c r="O254" s="51" t="str">
        <f>TEXT(tblWorkPackages[[#This Row],[Request date serial]]-WEEKDAY(tblWorkPackages[[#This Row],[Request date serial]],3),"yyyy-mm-dd")</f>
        <v>2024-11-11</v>
      </c>
      <c r="P254" s="51">
        <f>ABS(tblWorkPackages[[#This Row],[Actual labor hours]]-tblWorkPackages[[#This Row],[Estimated labor hours]])</f>
        <v>0.2</v>
      </c>
      <c r="Q254" s="51">
        <f>IF(tblWorkPackages[[#This Row],[Actual labor hours]]&gt;tblWorkPackages[[#This Row],[Estimated labor hours]],1,0)</f>
        <v>0</v>
      </c>
      <c r="R254" s="51">
        <f>tblWorkPackages[[#This Row],[Actual labor hours]]-tblWorkPackages[[#This Row],[Estimated labor hours]]</f>
        <v>-0.2</v>
      </c>
      <c r="S254" s="51" t="str">
        <f>IF(tblWorkPackages[[#This Row],[Request date serial]]&lt;ValidationStart,"Train 2024",IF(tblWorkPackages[[#This Row],[Request date serial]]&lt;HoldoutStart,"Validation H1","Holdout H2"))</f>
        <v>Train 2024</v>
      </c>
      <c r="T254" s="51" t="str">
        <f>IF(tblWorkPackages[[#This Row],[Time split]]="Train 2024","",tblWorkPackages[[#This Row],[Estimated labor hours]]+VLOOKUP(tblWorkPackages[[#This Row],[Task type]],'Forecast validation'!$A$14:$E$25,IF(tblWorkPackages[[#This Row],[Time split]]="Validation H1",4,5),FALSE()))</f>
        <v/>
      </c>
      <c r="U254" s="51" t="str">
        <f>IF(tblWorkPackages[[#This Row],[Calibrated forecast hours]]="","",ABS(tblWorkPackages[[#This Row],[Actual labor hours]]-tblWorkPackages[[#This Row],[Calibrated forecast hours]]))</f>
        <v/>
      </c>
      <c r="V254" s="51">
        <f>IF(tblWorkPackages[[#This Row],[Time split]]="Train 2024",tblWorkPackages[[#This Row],[Estimated labor hours]],tblWorkPackages[[#This Row],[Calibrated forecast hours]])</f>
        <v>2.8</v>
      </c>
      <c r="W254" s="64">
        <f>DATEVALUE(tblWorkPackages[[#This Row],[Request date]])</f>
        <v>45608.0</v>
      </c>
      <c r="X254" s="64">
        <f>DATEVALUE(tblWorkPackages[[#This Row],[Due date]])</f>
        <v>45621.0</v>
      </c>
      <c r="Y254" s="64">
        <f>DATEVALUE(tblWorkPackages[[#This Row],[Completion date]])</f>
        <v>45612.0</v>
      </c>
      <c r="Z254" s="64">
        <f>_xlfn.MINIFS(tblLaborEntries[Work date serial],tblLaborEntries[Work package ID],tblWorkPackages[[#This Row],[Work package ID]])</f>
        <v>45611.0</v>
      </c>
      <c r="AA254" s="64">
        <f>_xlfn.MAXIFS(tblLaborEntries[Work date serial],tblLaborEntries[Work package ID],tblWorkPackages[[#This Row],[Work package ID]])</f>
        <v>45612.0</v>
      </c>
      <c r="AB254" s="65">
        <f>IF(tblWorkPackages[[#This Row],[Completion date serial]]&gt;tblWorkPackages[[#This Row],[Due date serial]],1,0)</f>
        <v>0</v>
      </c>
      <c r="AC254" s="65">
        <f>MAX(0,tblWorkPackages[[#This Row],[Completion date serial]]-tblWorkPackages[[#This Row],[Due date serial]])</f>
        <v>0</v>
      </c>
      <c r="AD254" s="65">
        <f>tblWorkPackages[[#This Row],[First labor date]]-tblWorkPackages[[#This Row],[Request date serial]]</f>
        <v>3</v>
      </c>
      <c r="AE254" s="65">
        <f>tblWorkPackages[[#This Row],[Last labor date]]-tblWorkPackages[[#This Row],[First labor date]]</f>
        <v>1</v>
      </c>
      <c r="AF254" s="65">
        <f>tblWorkPackages[[#This Row],[Completion date serial]]-tblWorkPackages[[#This Row],[Last labor date]]</f>
        <v>0</v>
      </c>
      <c r="AG254" s="65">
        <f>tblWorkPackages[[#This Row],[Completion date serial]]-tblWorkPackages[[#This Row],[Request date serial]]</f>
        <v>4</v>
      </c>
      <c r="AH254" s="65">
        <f>IFERROR(INDEX(tblParts[Delay days],MATCH(tblWorkPackages[[#This Row],[Work package ID]],tblParts[Work package ID],0)),0)</f>
        <v>0</v>
      </c>
      <c r="AI254" s="51" t="str">
        <f>IFERROR(INDEX(tblDisruptions[Event type],MATCH(tblWorkPackages[[#This Row],[Work package ID]],tblDisruptions[Work package ID],0)),"None")</f>
        <v>None</v>
      </c>
      <c r="AJ254" s="51" t="str">
        <f>TEXT(tblWorkPackages[[#This Row],[Due date serial]],"yyyy-mm")</f>
        <v>2024-11</v>
      </c>
    </row>
    <row r="255" spans="1:36" ht="15" x14ac:dyDescent="0.25">
      <c r="A255" s="53" t="s">
        <v>889</v>
      </c>
      <c r="B255" s="53" t="s">
        <v>168</v>
      </c>
      <c r="C255" s="53" t="s">
        <v>890</v>
      </c>
      <c r="D255" s="53" t="s">
        <v>891</v>
      </c>
      <c r="E255" s="53" t="s">
        <v>242</v>
      </c>
      <c r="F255" s="53" t="s">
        <v>243</v>
      </c>
      <c r="G255" s="53" t="s">
        <v>129</v>
      </c>
      <c r="H255" s="53">
        <v>1</v>
      </c>
      <c r="I255" s="53" t="s">
        <v>130</v>
      </c>
      <c r="J255" s="53">
        <v>0</v>
      </c>
      <c r="K255" s="53">
        <v>0</v>
      </c>
      <c r="L255" s="53">
        <v>5.2</v>
      </c>
      <c r="M255" s="53" t="s">
        <v>892</v>
      </c>
      <c r="N255" s="53">
        <v>6.4</v>
      </c>
      <c r="O255" s="51" t="str">
        <f>TEXT(tblWorkPackages[[#This Row],[Request date serial]]-WEEKDAY(tblWorkPackages[[#This Row],[Request date serial]],3),"yyyy-mm-dd")</f>
        <v>2024-11-11</v>
      </c>
      <c r="P255" s="51">
        <f>ABS(tblWorkPackages[[#This Row],[Actual labor hours]]-tblWorkPackages[[#This Row],[Estimated labor hours]])</f>
        <v>1.2</v>
      </c>
      <c r="Q255" s="51">
        <f>IF(tblWorkPackages[[#This Row],[Actual labor hours]]&gt;tblWorkPackages[[#This Row],[Estimated labor hours]],1,0)</f>
        <v>1</v>
      </c>
      <c r="R255" s="51">
        <f>tblWorkPackages[[#This Row],[Actual labor hours]]-tblWorkPackages[[#This Row],[Estimated labor hours]]</f>
        <v>1.2</v>
      </c>
      <c r="S255" s="51" t="str">
        <f>IF(tblWorkPackages[[#This Row],[Request date serial]]&lt;ValidationStart,"Train 2024",IF(tblWorkPackages[[#This Row],[Request date serial]]&lt;HoldoutStart,"Validation H1","Holdout H2"))</f>
        <v>Train 2024</v>
      </c>
      <c r="T255" s="51" t="str">
        <f>IF(tblWorkPackages[[#This Row],[Time split]]="Train 2024","",tblWorkPackages[[#This Row],[Estimated labor hours]]+VLOOKUP(tblWorkPackages[[#This Row],[Task type]],'Forecast validation'!$A$14:$E$25,IF(tblWorkPackages[[#This Row],[Time split]]="Validation H1",4,5),FALSE()))</f>
        <v/>
      </c>
      <c r="U255" s="51" t="str">
        <f>IF(tblWorkPackages[[#This Row],[Calibrated forecast hours]]="","",ABS(tblWorkPackages[[#This Row],[Actual labor hours]]-tblWorkPackages[[#This Row],[Calibrated forecast hours]]))</f>
        <v/>
      </c>
      <c r="V255" s="51">
        <f>IF(tblWorkPackages[[#This Row],[Time split]]="Train 2024",tblWorkPackages[[#This Row],[Estimated labor hours]],tblWorkPackages[[#This Row],[Calibrated forecast hours]])</f>
        <v>5.2</v>
      </c>
      <c r="W255" s="64">
        <f>DATEVALUE(tblWorkPackages[[#This Row],[Request date]])</f>
        <v>45613.0</v>
      </c>
      <c r="X255" s="64">
        <f>DATEVALUE(tblWorkPackages[[#This Row],[Due date]])</f>
        <v>45626.0</v>
      </c>
      <c r="Y255" s="64">
        <f>DATEVALUE(tblWorkPackages[[#This Row],[Completion date]])</f>
        <v>45666.0</v>
      </c>
      <c r="Z255" s="64">
        <f>_xlfn.MINIFS(tblLaborEntries[Work date serial],tblLaborEntries[Work package ID],tblWorkPackages[[#This Row],[Work package ID]])</f>
        <v>45665.0</v>
      </c>
      <c r="AA255" s="64">
        <f>_xlfn.MAXIFS(tblLaborEntries[Work date serial],tblLaborEntries[Work package ID],tblWorkPackages[[#This Row],[Work package ID]])</f>
        <v>45665.0</v>
      </c>
      <c r="AB255" s="65">
        <f>IF(tblWorkPackages[[#This Row],[Completion date serial]]&gt;tblWorkPackages[[#This Row],[Due date serial]],1,0)</f>
        <v>1</v>
      </c>
      <c r="AC255" s="65">
        <f>MAX(0,tblWorkPackages[[#This Row],[Completion date serial]]-tblWorkPackages[[#This Row],[Due date serial]])</f>
        <v>40</v>
      </c>
      <c r="AD255" s="65">
        <f>tblWorkPackages[[#This Row],[First labor date]]-tblWorkPackages[[#This Row],[Request date serial]]</f>
        <v>52</v>
      </c>
      <c r="AE255" s="65">
        <f>tblWorkPackages[[#This Row],[Last labor date]]-tblWorkPackages[[#This Row],[First labor date]]</f>
        <v>0</v>
      </c>
      <c r="AF255" s="65">
        <f>tblWorkPackages[[#This Row],[Completion date serial]]-tblWorkPackages[[#This Row],[Last labor date]]</f>
        <v>1</v>
      </c>
      <c r="AG255" s="65">
        <f>tblWorkPackages[[#This Row],[Completion date serial]]-tblWorkPackages[[#This Row],[Request date serial]]</f>
        <v>53</v>
      </c>
      <c r="AH255" s="65">
        <f>IFERROR(INDEX(tblParts[Delay days],MATCH(tblWorkPackages[[#This Row],[Work package ID]],tblParts[Work package ID],0)),0)</f>
        <v>0</v>
      </c>
      <c r="AI255" s="51" t="str">
        <f>IFERROR(INDEX(tblDisruptions[Event type],MATCH(tblWorkPackages[[#This Row],[Work package ID]],tblDisruptions[Work package ID],0)),"None")</f>
        <v>None</v>
      </c>
      <c r="AJ255" s="51" t="str">
        <f>TEXT(tblWorkPackages[[#This Row],[Due date serial]],"yyyy-mm")</f>
        <v>2024-11</v>
      </c>
    </row>
    <row r="256" spans="1:36" ht="15" x14ac:dyDescent="0.25">
      <c r="A256" s="53" t="s">
        <v>893</v>
      </c>
      <c r="B256" s="53" t="s">
        <v>203</v>
      </c>
      <c r="C256" s="53" t="s">
        <v>894</v>
      </c>
      <c r="D256" s="53" t="s">
        <v>895</v>
      </c>
      <c r="E256" s="53" t="s">
        <v>144</v>
      </c>
      <c r="F256" s="53" t="s">
        <v>145</v>
      </c>
      <c r="G256" s="53" t="s">
        <v>146</v>
      </c>
      <c r="H256" s="53">
        <v>4</v>
      </c>
      <c r="I256" s="53" t="s">
        <v>176</v>
      </c>
      <c r="J256" s="53">
        <v>0</v>
      </c>
      <c r="K256" s="53">
        <v>1</v>
      </c>
      <c r="L256" s="53">
        <v>16</v>
      </c>
      <c r="M256" s="53" t="s">
        <v>756</v>
      </c>
      <c r="N256" s="53">
        <v>20.6</v>
      </c>
      <c r="O256" s="51" t="str">
        <f>TEXT(tblWorkPackages[[#This Row],[Request date serial]]-WEEKDAY(tblWorkPackages[[#This Row],[Request date serial]],3),"yyyy-mm-dd")</f>
        <v>2024-09-09</v>
      </c>
      <c r="P256" s="51">
        <f>ABS(tblWorkPackages[[#This Row],[Actual labor hours]]-tblWorkPackages[[#This Row],[Estimated labor hours]])</f>
        <v>4.6</v>
      </c>
      <c r="Q256" s="51">
        <f>IF(tblWorkPackages[[#This Row],[Actual labor hours]]&gt;tblWorkPackages[[#This Row],[Estimated labor hours]],1,0)</f>
        <v>1</v>
      </c>
      <c r="R256" s="51">
        <f>tblWorkPackages[[#This Row],[Actual labor hours]]-tblWorkPackages[[#This Row],[Estimated labor hours]]</f>
        <v>4.6</v>
      </c>
      <c r="S256" s="51" t="str">
        <f>IF(tblWorkPackages[[#This Row],[Request date serial]]&lt;ValidationStart,"Train 2024",IF(tblWorkPackages[[#This Row],[Request date serial]]&lt;HoldoutStart,"Validation H1","Holdout H2"))</f>
        <v>Train 2024</v>
      </c>
      <c r="T256" s="51" t="str">
        <f>IF(tblWorkPackages[[#This Row],[Time split]]="Train 2024","",tblWorkPackages[[#This Row],[Estimated labor hours]]+VLOOKUP(tblWorkPackages[[#This Row],[Task type]],'Forecast validation'!$A$14:$E$25,IF(tblWorkPackages[[#This Row],[Time split]]="Validation H1",4,5),FALSE()))</f>
        <v/>
      </c>
      <c r="U256" s="51" t="str">
        <f>IF(tblWorkPackages[[#This Row],[Calibrated forecast hours]]="","",ABS(tblWorkPackages[[#This Row],[Actual labor hours]]-tblWorkPackages[[#This Row],[Calibrated forecast hours]]))</f>
        <v/>
      </c>
      <c r="V256" s="51">
        <f>IF(tblWorkPackages[[#This Row],[Time split]]="Train 2024",tblWorkPackages[[#This Row],[Estimated labor hours]],tblWorkPackages[[#This Row],[Calibrated forecast hours]])</f>
        <v>16</v>
      </c>
      <c r="W256" s="64">
        <f>DATEVALUE(tblWorkPackages[[#This Row],[Request date]])</f>
        <v>45547.0</v>
      </c>
      <c r="X256" s="64">
        <f>DATEVALUE(tblWorkPackages[[#This Row],[Due date]])</f>
        <v>45553.0</v>
      </c>
      <c r="Y256" s="64">
        <f>DATEVALUE(tblWorkPackages[[#This Row],[Completion date]])</f>
        <v>45563.0</v>
      </c>
      <c r="Z256" s="64">
        <f>_xlfn.MINIFS(tblLaborEntries[Work date serial],tblLaborEntries[Work package ID],tblWorkPackages[[#This Row],[Work package ID]])</f>
        <v>45559.0</v>
      </c>
      <c r="AA256" s="64">
        <f>_xlfn.MAXIFS(tblLaborEntries[Work date serial],tblLaborEntries[Work package ID],tblWorkPackages[[#This Row],[Work package ID]])</f>
        <v>45561.0</v>
      </c>
      <c r="AB256" s="65">
        <f>IF(tblWorkPackages[[#This Row],[Completion date serial]]&gt;tblWorkPackages[[#This Row],[Due date serial]],1,0)</f>
        <v>1</v>
      </c>
      <c r="AC256" s="65">
        <f>MAX(0,tblWorkPackages[[#This Row],[Completion date serial]]-tblWorkPackages[[#This Row],[Due date serial]])</f>
        <v>10</v>
      </c>
      <c r="AD256" s="65">
        <f>tblWorkPackages[[#This Row],[First labor date]]-tblWorkPackages[[#This Row],[Request date serial]]</f>
        <v>12</v>
      </c>
      <c r="AE256" s="65">
        <f>tblWorkPackages[[#This Row],[Last labor date]]-tblWorkPackages[[#This Row],[First labor date]]</f>
        <v>2</v>
      </c>
      <c r="AF256" s="65">
        <f>tblWorkPackages[[#This Row],[Completion date serial]]-tblWorkPackages[[#This Row],[Last labor date]]</f>
        <v>2</v>
      </c>
      <c r="AG256" s="65">
        <f>tblWorkPackages[[#This Row],[Completion date serial]]-tblWorkPackages[[#This Row],[Request date serial]]</f>
        <v>16</v>
      </c>
      <c r="AH256" s="65">
        <f>IFERROR(INDEX(tblParts[Delay days],MATCH(tblWorkPackages[[#This Row],[Work package ID]],tblParts[Work package ID],0)),0)</f>
        <v>4</v>
      </c>
      <c r="AI256" s="51" t="str">
        <f>IFERROR(INDEX(tblDisruptions[Event type],MATCH(tblWorkPackages[[#This Row],[Work package ID]],tblDisruptions[Work package ID],0)),"None")</f>
        <v>Part delay</v>
      </c>
      <c r="AJ256" s="51" t="str">
        <f>TEXT(tblWorkPackages[[#This Row],[Due date serial]],"yyyy-mm")</f>
        <v>2024-09</v>
      </c>
    </row>
    <row r="257" spans="1:36" ht="15" x14ac:dyDescent="0.25">
      <c r="A257" s="53" t="s">
        <v>896</v>
      </c>
      <c r="B257" s="53" t="s">
        <v>235</v>
      </c>
      <c r="C257" s="53" t="s">
        <v>364</v>
      </c>
      <c r="D257" s="53" t="s">
        <v>597</v>
      </c>
      <c r="E257" s="53" t="s">
        <v>209</v>
      </c>
      <c r="F257" s="53" t="s">
        <v>145</v>
      </c>
      <c r="G257" s="53" t="s">
        <v>210</v>
      </c>
      <c r="H257" s="53">
        <v>2</v>
      </c>
      <c r="I257" s="53" t="s">
        <v>130</v>
      </c>
      <c r="J257" s="53">
        <v>1</v>
      </c>
      <c r="K257" s="53">
        <v>1</v>
      </c>
      <c r="L257" s="53">
        <v>22.9</v>
      </c>
      <c r="M257" s="53" t="s">
        <v>365</v>
      </c>
      <c r="N257" s="53">
        <v>35.799999999999997</v>
      </c>
      <c r="O257" s="51" t="str">
        <f>TEXT(tblWorkPackages[[#This Row],[Request date serial]]-WEEKDAY(tblWorkPackages[[#This Row],[Request date serial]],3),"yyyy-mm-dd")</f>
        <v>2025-05-12</v>
      </c>
      <c r="P257" s="51">
        <f>ABS(tblWorkPackages[[#This Row],[Actual labor hours]]-tblWorkPackages[[#This Row],[Estimated labor hours]])</f>
        <v>12.9</v>
      </c>
      <c r="Q257" s="51">
        <f>IF(tblWorkPackages[[#This Row],[Actual labor hours]]&gt;tblWorkPackages[[#This Row],[Estimated labor hours]],1,0)</f>
        <v>1</v>
      </c>
      <c r="R257" s="51">
        <f>tblWorkPackages[[#This Row],[Actual labor hours]]-tblWorkPackages[[#This Row],[Estimated labor hours]]</f>
        <v>12.9</v>
      </c>
      <c r="S257" s="51" t="str">
        <f>IF(tblWorkPackages[[#This Row],[Request date serial]]&lt;ValidationStart,"Train 2024",IF(tblWorkPackages[[#This Row],[Request date serial]]&lt;HoldoutStart,"Validation H1","Holdout H2"))</f>
        <v>Validation H1</v>
      </c>
      <c r="T257" s="51">
        <f>IF(tblWorkPackages[[#This Row],[Time split]]="Train 2024","",tblWorkPackages[[#This Row],[Estimated labor hours]]+VLOOKUP(tblWorkPackages[[#This Row],[Task type]],'Forecast validation'!$A$14:$E$25,IF(tblWorkPackages[[#This Row],[Time split]]="Validation H1",4,5),FALSE()))</f>
        <v>24.0029850746269</v>
      </c>
      <c r="U257" s="51">
        <f>IF(tblWorkPackages[[#This Row],[Calibrated forecast hours]]="","",ABS(tblWorkPackages[[#This Row],[Actual labor hours]]-tblWorkPackages[[#This Row],[Calibrated forecast hours]]))</f>
        <v>11.7970149253731</v>
      </c>
      <c r="V257" s="51">
        <f>IF(tblWorkPackages[[#This Row],[Time split]]="Train 2024",tblWorkPackages[[#This Row],[Estimated labor hours]],tblWorkPackages[[#This Row],[Calibrated forecast hours]])</f>
        <v>24.0029850746269</v>
      </c>
      <c r="W257" s="64">
        <f>DATEVALUE(tblWorkPackages[[#This Row],[Request date]])</f>
        <v>45790.0</v>
      </c>
      <c r="X257" s="64">
        <f>DATEVALUE(tblWorkPackages[[#This Row],[Due date]])</f>
        <v>45803.0</v>
      </c>
      <c r="Y257" s="64">
        <f>DATEVALUE(tblWorkPackages[[#This Row],[Completion date]])</f>
        <v>45796.0</v>
      </c>
      <c r="Z257" s="64">
        <f>_xlfn.MINIFS(tblLaborEntries[Work date serial],tblLaborEntries[Work package ID],tblWorkPackages[[#This Row],[Work package ID]])</f>
        <v>45792.0</v>
      </c>
      <c r="AA257" s="64">
        <f>_xlfn.MAXIFS(tblLaborEntries[Work date serial],tblLaborEntries[Work package ID],tblWorkPackages[[#This Row],[Work package ID]])</f>
        <v>45793.0</v>
      </c>
      <c r="AB257" s="65">
        <f>IF(tblWorkPackages[[#This Row],[Completion date serial]]&gt;tblWorkPackages[[#This Row],[Due date serial]],1,0)</f>
        <v>0</v>
      </c>
      <c r="AC257" s="65">
        <f>MAX(0,tblWorkPackages[[#This Row],[Completion date serial]]-tblWorkPackages[[#This Row],[Due date serial]])</f>
        <v>0</v>
      </c>
      <c r="AD257" s="65">
        <f>tblWorkPackages[[#This Row],[First labor date]]-tblWorkPackages[[#This Row],[Request date serial]]</f>
        <v>2</v>
      </c>
      <c r="AE257" s="65">
        <f>tblWorkPackages[[#This Row],[Last labor date]]-tblWorkPackages[[#This Row],[First labor date]]</f>
        <v>1</v>
      </c>
      <c r="AF257" s="65">
        <f>tblWorkPackages[[#This Row],[Completion date serial]]-tblWorkPackages[[#This Row],[Last labor date]]</f>
        <v>3</v>
      </c>
      <c r="AG257" s="65">
        <f>tblWorkPackages[[#This Row],[Completion date serial]]-tblWorkPackages[[#This Row],[Request date serial]]</f>
        <v>6</v>
      </c>
      <c r="AH257" s="65">
        <f>IFERROR(INDEX(tblParts[Delay days],MATCH(tblWorkPackages[[#This Row],[Work package ID]],tblParts[Work package ID],0)),0)</f>
        <v>0</v>
      </c>
      <c r="AI257" s="51" t="str">
        <f>IFERROR(INDEX(tblDisruptions[Event type],MATCH(tblWorkPackages[[#This Row],[Work package ID]],tblDisruptions[Work package ID],0)),"None")</f>
        <v>None</v>
      </c>
      <c r="AJ257" s="51" t="str">
        <f>TEXT(tblWorkPackages[[#This Row],[Due date serial]],"yyyy-mm")</f>
        <v>2025-05</v>
      </c>
    </row>
    <row r="258" spans="1:36" ht="15" x14ac:dyDescent="0.25">
      <c r="A258" s="53" t="s">
        <v>897</v>
      </c>
      <c r="B258" s="53" t="s">
        <v>163</v>
      </c>
      <c r="C258" s="53" t="s">
        <v>317</v>
      </c>
      <c r="D258" s="53" t="s">
        <v>470</v>
      </c>
      <c r="E258" s="53" t="s">
        <v>181</v>
      </c>
      <c r="F258" s="53" t="s">
        <v>182</v>
      </c>
      <c r="G258" s="53" t="s">
        <v>138</v>
      </c>
      <c r="H258" s="53">
        <v>2</v>
      </c>
      <c r="I258" s="53" t="s">
        <v>176</v>
      </c>
      <c r="J258" s="53">
        <v>0</v>
      </c>
      <c r="K258" s="53">
        <v>1</v>
      </c>
      <c r="L258" s="53">
        <v>8.1999999999999993</v>
      </c>
      <c r="M258" s="53" t="s">
        <v>898</v>
      </c>
      <c r="N258" s="53">
        <v>9.9</v>
      </c>
      <c r="O258" s="51" t="str">
        <f>TEXT(tblWorkPackages[[#This Row],[Request date serial]]-WEEKDAY(tblWorkPackages[[#This Row],[Request date serial]],3),"yyyy-mm-dd")</f>
        <v>2024-04-08</v>
      </c>
      <c r="P258" s="51">
        <f>ABS(tblWorkPackages[[#This Row],[Actual labor hours]]-tblWorkPackages[[#This Row],[Estimated labor hours]])</f>
        <v>1.7</v>
      </c>
      <c r="Q258" s="51">
        <f>IF(tblWorkPackages[[#This Row],[Actual labor hours]]&gt;tblWorkPackages[[#This Row],[Estimated labor hours]],1,0)</f>
        <v>1</v>
      </c>
      <c r="R258" s="51">
        <f>tblWorkPackages[[#This Row],[Actual labor hours]]-tblWorkPackages[[#This Row],[Estimated labor hours]]</f>
        <v>1.7</v>
      </c>
      <c r="S258" s="51" t="str">
        <f>IF(tblWorkPackages[[#This Row],[Request date serial]]&lt;ValidationStart,"Train 2024",IF(tblWorkPackages[[#This Row],[Request date serial]]&lt;HoldoutStart,"Validation H1","Holdout H2"))</f>
        <v>Train 2024</v>
      </c>
      <c r="T258" s="51" t="str">
        <f>IF(tblWorkPackages[[#This Row],[Time split]]="Train 2024","",tblWorkPackages[[#This Row],[Estimated labor hours]]+VLOOKUP(tblWorkPackages[[#This Row],[Task type]],'Forecast validation'!$A$14:$E$25,IF(tblWorkPackages[[#This Row],[Time split]]="Validation H1",4,5),FALSE()))</f>
        <v/>
      </c>
      <c r="U258" s="51" t="str">
        <f>IF(tblWorkPackages[[#This Row],[Calibrated forecast hours]]="","",ABS(tblWorkPackages[[#This Row],[Actual labor hours]]-tblWorkPackages[[#This Row],[Calibrated forecast hours]]))</f>
        <v/>
      </c>
      <c r="V258" s="51">
        <f>IF(tblWorkPackages[[#This Row],[Time split]]="Train 2024",tblWorkPackages[[#This Row],[Estimated labor hours]],tblWorkPackages[[#This Row],[Calibrated forecast hours]])</f>
        <v>8.2</v>
      </c>
      <c r="W258" s="64">
        <f>DATEVALUE(tblWorkPackages[[#This Row],[Request date]])</f>
        <v>45394.0</v>
      </c>
      <c r="X258" s="64">
        <f>DATEVALUE(tblWorkPackages[[#This Row],[Due date]])</f>
        <v>45400.0</v>
      </c>
      <c r="Y258" s="64">
        <f>DATEVALUE(tblWorkPackages[[#This Row],[Completion date]])</f>
        <v>45420.0</v>
      </c>
      <c r="Z258" s="64">
        <f>_xlfn.MINIFS(tblLaborEntries[Work date serial],tblLaborEntries[Work package ID],tblWorkPackages[[#This Row],[Work package ID]])</f>
        <v>45418.0</v>
      </c>
      <c r="AA258" s="64">
        <f>_xlfn.MAXIFS(tblLaborEntries[Work date serial],tblLaborEntries[Work package ID],tblWorkPackages[[#This Row],[Work package ID]])</f>
        <v>45420.0</v>
      </c>
      <c r="AB258" s="65">
        <f>IF(tblWorkPackages[[#This Row],[Completion date serial]]&gt;tblWorkPackages[[#This Row],[Due date serial]],1,0)</f>
        <v>1</v>
      </c>
      <c r="AC258" s="65">
        <f>MAX(0,tblWorkPackages[[#This Row],[Completion date serial]]-tblWorkPackages[[#This Row],[Due date serial]])</f>
        <v>20</v>
      </c>
      <c r="AD258" s="65">
        <f>tblWorkPackages[[#This Row],[First labor date]]-tblWorkPackages[[#This Row],[Request date serial]]</f>
        <v>24</v>
      </c>
      <c r="AE258" s="65">
        <f>tblWorkPackages[[#This Row],[Last labor date]]-tblWorkPackages[[#This Row],[First labor date]]</f>
        <v>2</v>
      </c>
      <c r="AF258" s="65">
        <f>tblWorkPackages[[#This Row],[Completion date serial]]-tblWorkPackages[[#This Row],[Last labor date]]</f>
        <v>0</v>
      </c>
      <c r="AG258" s="65">
        <f>tblWorkPackages[[#This Row],[Completion date serial]]-tblWorkPackages[[#This Row],[Request date serial]]</f>
        <v>26</v>
      </c>
      <c r="AH258" s="65">
        <f>IFERROR(INDEX(tblParts[Delay days],MATCH(tblWorkPackages[[#This Row],[Work package ID]],tblParts[Work package ID],0)),0)</f>
        <v>4</v>
      </c>
      <c r="AI258" s="51" t="str">
        <f>IFERROR(INDEX(tblDisruptions[Event type],MATCH(tblWorkPackages[[#This Row],[Work package ID]],tblDisruptions[Work package ID],0)),"None")</f>
        <v>Part delay</v>
      </c>
      <c r="AJ258" s="51" t="str">
        <f>TEXT(tblWorkPackages[[#This Row],[Due date serial]],"yyyy-mm")</f>
        <v>2024-04</v>
      </c>
    </row>
    <row r="259" spans="1:36" ht="15" x14ac:dyDescent="0.25">
      <c r="A259" s="53" t="s">
        <v>899</v>
      </c>
      <c r="B259" s="53" t="s">
        <v>168</v>
      </c>
      <c r="C259" s="53" t="s">
        <v>606</v>
      </c>
      <c r="D259" s="53" t="s">
        <v>607</v>
      </c>
      <c r="E259" s="53" t="s">
        <v>242</v>
      </c>
      <c r="F259" s="53" t="s">
        <v>243</v>
      </c>
      <c r="G259" s="53" t="s">
        <v>129</v>
      </c>
      <c r="H259" s="53">
        <v>1</v>
      </c>
      <c r="I259" s="53" t="s">
        <v>130</v>
      </c>
      <c r="J259" s="53">
        <v>0</v>
      </c>
      <c r="K259" s="53">
        <v>0</v>
      </c>
      <c r="L259" s="53">
        <v>6.4</v>
      </c>
      <c r="M259" s="53" t="s">
        <v>900</v>
      </c>
      <c r="N259" s="53">
        <v>6.6</v>
      </c>
      <c r="O259" s="51" t="str">
        <f>TEXT(tblWorkPackages[[#This Row],[Request date serial]]-WEEKDAY(tblWorkPackages[[#This Row],[Request date serial]],3),"yyyy-mm-dd")</f>
        <v>2025-03-03</v>
      </c>
      <c r="P259" s="51">
        <f>ABS(tblWorkPackages[[#This Row],[Actual labor hours]]-tblWorkPackages[[#This Row],[Estimated labor hours]])</f>
        <v>0.199999999999999</v>
      </c>
      <c r="Q259" s="51">
        <f>IF(tblWorkPackages[[#This Row],[Actual labor hours]]&gt;tblWorkPackages[[#This Row],[Estimated labor hours]],1,0)</f>
        <v>1</v>
      </c>
      <c r="R259" s="51">
        <f>tblWorkPackages[[#This Row],[Actual labor hours]]-tblWorkPackages[[#This Row],[Estimated labor hours]]</f>
        <v>0.199999999999999</v>
      </c>
      <c r="S259" s="51" t="str">
        <f>IF(tblWorkPackages[[#This Row],[Request date serial]]&lt;ValidationStart,"Train 2024",IF(tblWorkPackages[[#This Row],[Request date serial]]&lt;HoldoutStart,"Validation H1","Holdout H2"))</f>
        <v>Validation H1</v>
      </c>
      <c r="T259" s="51">
        <f>IF(tblWorkPackages[[#This Row],[Time split]]="Train 2024","",tblWorkPackages[[#This Row],[Estimated labor hours]]+VLOOKUP(tblWorkPackages[[#This Row],[Task type]],'Forecast validation'!$A$14:$E$25,IF(tblWorkPackages[[#This Row],[Time split]]="Validation H1",4,5),FALSE()))</f>
        <v>6.95612244897959</v>
      </c>
      <c r="U259" s="51">
        <f>IF(tblWorkPackages[[#This Row],[Calibrated forecast hours]]="","",ABS(tblWorkPackages[[#This Row],[Actual labor hours]]-tblWorkPackages[[#This Row],[Calibrated forecast hours]]))</f>
        <v>0.356122448979592</v>
      </c>
      <c r="V259" s="51">
        <f>IF(tblWorkPackages[[#This Row],[Time split]]="Train 2024",tblWorkPackages[[#This Row],[Estimated labor hours]],tblWorkPackages[[#This Row],[Calibrated forecast hours]])</f>
        <v>6.95612244897959</v>
      </c>
      <c r="W259" s="64">
        <f>DATEVALUE(tblWorkPackages[[#This Row],[Request date]])</f>
        <v>45721.0</v>
      </c>
      <c r="X259" s="64">
        <f>DATEVALUE(tblWorkPackages[[#This Row],[Due date]])</f>
        <v>45734.0</v>
      </c>
      <c r="Y259" s="64">
        <f>DATEVALUE(tblWorkPackages[[#This Row],[Completion date]])</f>
        <v>45728.0</v>
      </c>
      <c r="Z259" s="64">
        <f>_xlfn.MINIFS(tblLaborEntries[Work date serial],tblLaborEntries[Work package ID],tblWorkPackages[[#This Row],[Work package ID]])</f>
        <v>45725.0</v>
      </c>
      <c r="AA259" s="64">
        <f>_xlfn.MAXIFS(tblLaborEntries[Work date serial],tblLaborEntries[Work package ID],tblWorkPackages[[#This Row],[Work package ID]])</f>
        <v>45727.0</v>
      </c>
      <c r="AB259" s="65">
        <f>IF(tblWorkPackages[[#This Row],[Completion date serial]]&gt;tblWorkPackages[[#This Row],[Due date serial]],1,0)</f>
        <v>0</v>
      </c>
      <c r="AC259" s="65">
        <f>MAX(0,tblWorkPackages[[#This Row],[Completion date serial]]-tblWorkPackages[[#This Row],[Due date serial]])</f>
        <v>0</v>
      </c>
      <c r="AD259" s="65">
        <f>tblWorkPackages[[#This Row],[First labor date]]-tblWorkPackages[[#This Row],[Request date serial]]</f>
        <v>4</v>
      </c>
      <c r="AE259" s="65">
        <f>tblWorkPackages[[#This Row],[Last labor date]]-tblWorkPackages[[#This Row],[First labor date]]</f>
        <v>2</v>
      </c>
      <c r="AF259" s="65">
        <f>tblWorkPackages[[#This Row],[Completion date serial]]-tblWorkPackages[[#This Row],[Last labor date]]</f>
        <v>1</v>
      </c>
      <c r="AG259" s="65">
        <f>tblWorkPackages[[#This Row],[Completion date serial]]-tblWorkPackages[[#This Row],[Request date serial]]</f>
        <v>7</v>
      </c>
      <c r="AH259" s="65">
        <f>IFERROR(INDEX(tblParts[Delay days],MATCH(tblWorkPackages[[#This Row],[Work package ID]],tblParts[Work package ID],0)),0)</f>
        <v>0</v>
      </c>
      <c r="AI259" s="51" t="str">
        <f>IFERROR(INDEX(tblDisruptions[Event type],MATCH(tblWorkPackages[[#This Row],[Work package ID]],tblDisruptions[Work package ID],0)),"None")</f>
        <v>None</v>
      </c>
      <c r="AJ259" s="51" t="str">
        <f>TEXT(tblWorkPackages[[#This Row],[Due date serial]],"yyyy-mm")</f>
        <v>2025-03</v>
      </c>
    </row>
    <row r="260" spans="1:36" ht="15" x14ac:dyDescent="0.25">
      <c r="A260" s="53" t="s">
        <v>901</v>
      </c>
      <c r="B260" s="53" t="s">
        <v>173</v>
      </c>
      <c r="C260" s="53" t="s">
        <v>206</v>
      </c>
      <c r="D260" s="53" t="s">
        <v>890</v>
      </c>
      <c r="E260" s="53" t="s">
        <v>136</v>
      </c>
      <c r="F260" s="53" t="s">
        <v>137</v>
      </c>
      <c r="G260" s="53" t="s">
        <v>138</v>
      </c>
      <c r="H260" s="53">
        <v>1</v>
      </c>
      <c r="I260" s="53" t="s">
        <v>176</v>
      </c>
      <c r="J260" s="53">
        <v>0</v>
      </c>
      <c r="K260" s="53">
        <v>0</v>
      </c>
      <c r="L260" s="53">
        <v>8.1</v>
      </c>
      <c r="M260" s="53" t="s">
        <v>794</v>
      </c>
      <c r="N260" s="53">
        <v>7</v>
      </c>
      <c r="O260" s="51" t="str">
        <f>TEXT(tblWorkPackages[[#This Row],[Request date serial]]-WEEKDAY(tblWorkPackages[[#This Row],[Request date serial]],3),"yyyy-mm-dd")</f>
        <v>2024-11-11</v>
      </c>
      <c r="P260" s="51">
        <f>ABS(tblWorkPackages[[#This Row],[Actual labor hours]]-tblWorkPackages[[#This Row],[Estimated labor hours]])</f>
        <v>1.1</v>
      </c>
      <c r="Q260" s="51">
        <f>IF(tblWorkPackages[[#This Row],[Actual labor hours]]&gt;tblWorkPackages[[#This Row],[Estimated labor hours]],1,0)</f>
        <v>0</v>
      </c>
      <c r="R260" s="51">
        <f>tblWorkPackages[[#This Row],[Actual labor hours]]-tblWorkPackages[[#This Row],[Estimated labor hours]]</f>
        <v>-1.1</v>
      </c>
      <c r="S260" s="51" t="str">
        <f>IF(tblWorkPackages[[#This Row],[Request date serial]]&lt;ValidationStart,"Train 2024",IF(tblWorkPackages[[#This Row],[Request date serial]]&lt;HoldoutStart,"Validation H1","Holdout H2"))</f>
        <v>Train 2024</v>
      </c>
      <c r="T260" s="51" t="str">
        <f>IF(tblWorkPackages[[#This Row],[Time split]]="Train 2024","",tblWorkPackages[[#This Row],[Estimated labor hours]]+VLOOKUP(tblWorkPackages[[#This Row],[Task type]],'Forecast validation'!$A$14:$E$25,IF(tblWorkPackages[[#This Row],[Time split]]="Validation H1",4,5),FALSE()))</f>
        <v/>
      </c>
      <c r="U260" s="51" t="str">
        <f>IF(tblWorkPackages[[#This Row],[Calibrated forecast hours]]="","",ABS(tblWorkPackages[[#This Row],[Actual labor hours]]-tblWorkPackages[[#This Row],[Calibrated forecast hours]]))</f>
        <v/>
      </c>
      <c r="V260" s="51">
        <f>IF(tblWorkPackages[[#This Row],[Time split]]="Train 2024",tblWorkPackages[[#This Row],[Estimated labor hours]],tblWorkPackages[[#This Row],[Calibrated forecast hours]])</f>
        <v>8.1</v>
      </c>
      <c r="W260" s="64">
        <f>DATEVALUE(tblWorkPackages[[#This Row],[Request date]])</f>
        <v>45607.0</v>
      </c>
      <c r="X260" s="64">
        <f>DATEVALUE(tblWorkPackages[[#This Row],[Due date]])</f>
        <v>45613.0</v>
      </c>
      <c r="Y260" s="64">
        <f>DATEVALUE(tblWorkPackages[[#This Row],[Completion date]])</f>
        <v>45610.0</v>
      </c>
      <c r="Z260" s="64">
        <f>_xlfn.MINIFS(tblLaborEntries[Work date serial],tblLaborEntries[Work package ID],tblWorkPackages[[#This Row],[Work package ID]])</f>
        <v>45608.0</v>
      </c>
      <c r="AA260" s="64">
        <f>_xlfn.MAXIFS(tblLaborEntries[Work date serial],tblLaborEntries[Work package ID],tblWorkPackages[[#This Row],[Work package ID]])</f>
        <v>45608.0</v>
      </c>
      <c r="AB260" s="65">
        <f>IF(tblWorkPackages[[#This Row],[Completion date serial]]&gt;tblWorkPackages[[#This Row],[Due date serial]],1,0)</f>
        <v>0</v>
      </c>
      <c r="AC260" s="65">
        <f>MAX(0,tblWorkPackages[[#This Row],[Completion date serial]]-tblWorkPackages[[#This Row],[Due date serial]])</f>
        <v>0</v>
      </c>
      <c r="AD260" s="65">
        <f>tblWorkPackages[[#This Row],[First labor date]]-tblWorkPackages[[#This Row],[Request date serial]]</f>
        <v>1</v>
      </c>
      <c r="AE260" s="65">
        <f>tblWorkPackages[[#This Row],[Last labor date]]-tblWorkPackages[[#This Row],[First labor date]]</f>
        <v>0</v>
      </c>
      <c r="AF260" s="65">
        <f>tblWorkPackages[[#This Row],[Completion date serial]]-tblWorkPackages[[#This Row],[Last labor date]]</f>
        <v>2</v>
      </c>
      <c r="AG260" s="65">
        <f>tblWorkPackages[[#This Row],[Completion date serial]]-tblWorkPackages[[#This Row],[Request date serial]]</f>
        <v>3</v>
      </c>
      <c r="AH260" s="65">
        <f>IFERROR(INDEX(tblParts[Delay days],MATCH(tblWorkPackages[[#This Row],[Work package ID]],tblParts[Work package ID],0)),0)</f>
        <v>0</v>
      </c>
      <c r="AI260" s="51" t="str">
        <f>IFERROR(INDEX(tblDisruptions[Event type],MATCH(tblWorkPackages[[#This Row],[Work package ID]],tblDisruptions[Work package ID],0)),"None")</f>
        <v>None</v>
      </c>
      <c r="AJ260" s="51" t="str">
        <f>TEXT(tblWorkPackages[[#This Row],[Due date serial]],"yyyy-mm")</f>
        <v>2024-11</v>
      </c>
    </row>
    <row r="261" spans="1:36" ht="15" x14ac:dyDescent="0.25">
      <c r="A261" s="53" t="s">
        <v>902</v>
      </c>
      <c r="B261" s="53" t="s">
        <v>157</v>
      </c>
      <c r="C261" s="53" t="s">
        <v>313</v>
      </c>
      <c r="D261" s="53" t="s">
        <v>134</v>
      </c>
      <c r="E261" s="53" t="s">
        <v>223</v>
      </c>
      <c r="F261" s="53" t="s">
        <v>182</v>
      </c>
      <c r="G261" s="53" t="s">
        <v>154</v>
      </c>
      <c r="H261" s="53">
        <v>3</v>
      </c>
      <c r="I261" s="53" t="s">
        <v>176</v>
      </c>
      <c r="J261" s="53">
        <v>0</v>
      </c>
      <c r="K261" s="53">
        <v>1</v>
      </c>
      <c r="L261" s="53">
        <v>14.7</v>
      </c>
      <c r="M261" s="53" t="s">
        <v>903</v>
      </c>
      <c r="N261" s="53">
        <v>15.7</v>
      </c>
      <c r="O261" s="51" t="str">
        <f>TEXT(tblWorkPackages[[#This Row],[Request date serial]]-WEEKDAY(tblWorkPackages[[#This Row],[Request date serial]],3),"yyyy-mm-dd")</f>
        <v>2025-08-25</v>
      </c>
      <c r="P261" s="51">
        <f>ABS(tblWorkPackages[[#This Row],[Actual labor hours]]-tblWorkPackages[[#This Row],[Estimated labor hours]])</f>
        <v>1</v>
      </c>
      <c r="Q261" s="51">
        <f>IF(tblWorkPackages[[#This Row],[Actual labor hours]]&gt;tblWorkPackages[[#This Row],[Estimated labor hours]],1,0)</f>
        <v>1</v>
      </c>
      <c r="R261" s="51">
        <f>tblWorkPackages[[#This Row],[Actual labor hours]]-tblWorkPackages[[#This Row],[Estimated labor hours]]</f>
        <v>1</v>
      </c>
      <c r="S261" s="51" t="str">
        <f>IF(tblWorkPackages[[#This Row],[Request date serial]]&lt;ValidationStart,"Train 2024",IF(tblWorkPackages[[#This Row],[Request date serial]]&lt;HoldoutStart,"Validation H1","Holdout H2"))</f>
        <v>Holdout H2</v>
      </c>
      <c r="T261" s="51">
        <f>IF(tblWorkPackages[[#This Row],[Time split]]="Train 2024","",tblWorkPackages[[#This Row],[Estimated labor hours]]+VLOOKUP(tblWorkPackages[[#This Row],[Task type]],'Forecast validation'!$A$14:$E$25,IF(tblWorkPackages[[#This Row],[Time split]]="Validation H1",4,5),FALSE()))</f>
        <v>15.6246575342466</v>
      </c>
      <c r="U261" s="51">
        <f>IF(tblWorkPackages[[#This Row],[Calibrated forecast hours]]="","",ABS(tblWorkPackages[[#This Row],[Actual labor hours]]-tblWorkPackages[[#This Row],[Calibrated forecast hours]]))</f>
        <v>0.0753424657534243</v>
      </c>
      <c r="V261" s="51">
        <f>IF(tblWorkPackages[[#This Row],[Time split]]="Train 2024",tblWorkPackages[[#This Row],[Estimated labor hours]],tblWorkPackages[[#This Row],[Calibrated forecast hours]])</f>
        <v>15.6246575342466</v>
      </c>
      <c r="W261" s="64">
        <f>DATEVALUE(tblWorkPackages[[#This Row],[Request date]])</f>
        <v>45899.0</v>
      </c>
      <c r="X261" s="64">
        <f>DATEVALUE(tblWorkPackages[[#This Row],[Due date]])</f>
        <v>45905.0</v>
      </c>
      <c r="Y261" s="64">
        <f>DATEVALUE(tblWorkPackages[[#This Row],[Completion date]])</f>
        <v>45914.0</v>
      </c>
      <c r="Z261" s="64">
        <f>_xlfn.MINIFS(tblLaborEntries[Work date serial],tblLaborEntries[Work package ID],tblWorkPackages[[#This Row],[Work package ID]])</f>
        <v>45910.0</v>
      </c>
      <c r="AA261" s="64">
        <f>_xlfn.MAXIFS(tblLaborEntries[Work date serial],tblLaborEntries[Work package ID],tblWorkPackages[[#This Row],[Work package ID]])</f>
        <v>45911.0</v>
      </c>
      <c r="AB261" s="65">
        <f>IF(tblWorkPackages[[#This Row],[Completion date serial]]&gt;tblWorkPackages[[#This Row],[Due date serial]],1,0)</f>
        <v>1</v>
      </c>
      <c r="AC261" s="65">
        <f>MAX(0,tblWorkPackages[[#This Row],[Completion date serial]]-tblWorkPackages[[#This Row],[Due date serial]])</f>
        <v>9</v>
      </c>
      <c r="AD261" s="65">
        <f>tblWorkPackages[[#This Row],[First labor date]]-tblWorkPackages[[#This Row],[Request date serial]]</f>
        <v>11</v>
      </c>
      <c r="AE261" s="65">
        <f>tblWorkPackages[[#This Row],[Last labor date]]-tblWorkPackages[[#This Row],[First labor date]]</f>
        <v>1</v>
      </c>
      <c r="AF261" s="65">
        <f>tblWorkPackages[[#This Row],[Completion date serial]]-tblWorkPackages[[#This Row],[Last labor date]]</f>
        <v>3</v>
      </c>
      <c r="AG261" s="65">
        <f>tblWorkPackages[[#This Row],[Completion date serial]]-tblWorkPackages[[#This Row],[Request date serial]]</f>
        <v>15</v>
      </c>
      <c r="AH261" s="65">
        <f>IFERROR(INDEX(tblParts[Delay days],MATCH(tblWorkPackages[[#This Row],[Work package ID]],tblParts[Work package ID],0)),0)</f>
        <v>0</v>
      </c>
      <c r="AI261" s="51" t="str">
        <f>IFERROR(INDEX(tblDisruptions[Event type],MATCH(tblWorkPackages[[#This Row],[Work package ID]],tblDisruptions[Work package ID],0)),"None")</f>
        <v>None</v>
      </c>
      <c r="AJ261" s="51" t="str">
        <f>TEXT(tblWorkPackages[[#This Row],[Due date serial]],"yyyy-mm")</f>
        <v>2025-09</v>
      </c>
    </row>
    <row r="262" spans="1:36" ht="15" x14ac:dyDescent="0.25">
      <c r="A262" s="53" t="s">
        <v>904</v>
      </c>
      <c r="B262" s="53" t="s">
        <v>133</v>
      </c>
      <c r="C262" s="53" t="s">
        <v>776</v>
      </c>
      <c r="D262" s="53" t="s">
        <v>513</v>
      </c>
      <c r="E262" s="53" t="s">
        <v>237</v>
      </c>
      <c r="F262" s="53" t="s">
        <v>182</v>
      </c>
      <c r="G262" s="53" t="s">
        <v>138</v>
      </c>
      <c r="H262" s="53">
        <v>2</v>
      </c>
      <c r="I262" s="53" t="s">
        <v>130</v>
      </c>
      <c r="J262" s="53">
        <v>0</v>
      </c>
      <c r="K262" s="53">
        <v>0</v>
      </c>
      <c r="L262" s="53">
        <v>4.7</v>
      </c>
      <c r="M262" s="53" t="s">
        <v>159</v>
      </c>
      <c r="N262" s="53">
        <v>4</v>
      </c>
      <c r="O262" s="51" t="str">
        <f>TEXT(tblWorkPackages[[#This Row],[Request date serial]]-WEEKDAY(tblWorkPackages[[#This Row],[Request date serial]],3),"yyyy-mm-dd")</f>
        <v>2024-12-09</v>
      </c>
      <c r="P262" s="51">
        <f>ABS(tblWorkPackages[[#This Row],[Actual labor hours]]-tblWorkPackages[[#This Row],[Estimated labor hours]])</f>
        <v>0.7</v>
      </c>
      <c r="Q262" s="51">
        <f>IF(tblWorkPackages[[#This Row],[Actual labor hours]]&gt;tblWorkPackages[[#This Row],[Estimated labor hours]],1,0)</f>
        <v>0</v>
      </c>
      <c r="R262" s="51">
        <f>tblWorkPackages[[#This Row],[Actual labor hours]]-tblWorkPackages[[#This Row],[Estimated labor hours]]</f>
        <v>-0.7</v>
      </c>
      <c r="S262" s="51" t="str">
        <f>IF(tblWorkPackages[[#This Row],[Request date serial]]&lt;ValidationStart,"Train 2024",IF(tblWorkPackages[[#This Row],[Request date serial]]&lt;HoldoutStart,"Validation H1","Holdout H2"))</f>
        <v>Train 2024</v>
      </c>
      <c r="T262" s="51" t="str">
        <f>IF(tblWorkPackages[[#This Row],[Time split]]="Train 2024","",tblWorkPackages[[#This Row],[Estimated labor hours]]+VLOOKUP(tblWorkPackages[[#This Row],[Task type]],'Forecast validation'!$A$14:$E$25,IF(tblWorkPackages[[#This Row],[Time split]]="Validation H1",4,5),FALSE()))</f>
        <v/>
      </c>
      <c r="U262" s="51" t="str">
        <f>IF(tblWorkPackages[[#This Row],[Calibrated forecast hours]]="","",ABS(tblWorkPackages[[#This Row],[Actual labor hours]]-tblWorkPackages[[#This Row],[Calibrated forecast hours]]))</f>
        <v/>
      </c>
      <c r="V262" s="51">
        <f>IF(tblWorkPackages[[#This Row],[Time split]]="Train 2024",tblWorkPackages[[#This Row],[Estimated labor hours]],tblWorkPackages[[#This Row],[Calibrated forecast hours]])</f>
        <v>4.7</v>
      </c>
      <c r="W262" s="64">
        <f>DATEVALUE(tblWorkPackages[[#This Row],[Request date]])</f>
        <v>45636.0</v>
      </c>
      <c r="X262" s="64">
        <f>DATEVALUE(tblWorkPackages[[#This Row],[Due date]])</f>
        <v>45649.0</v>
      </c>
      <c r="Y262" s="64">
        <f>DATEVALUE(tblWorkPackages[[#This Row],[Completion date]])</f>
        <v>45640.0</v>
      </c>
      <c r="Z262" s="64">
        <f>_xlfn.MINIFS(tblLaborEntries[Work date serial],tblLaborEntries[Work package ID],tblWorkPackages[[#This Row],[Work package ID]])</f>
        <v>45639.0</v>
      </c>
      <c r="AA262" s="64">
        <f>_xlfn.MAXIFS(tblLaborEntries[Work date serial],tblLaborEntries[Work package ID],tblWorkPackages[[#This Row],[Work package ID]])</f>
        <v>45640.0</v>
      </c>
      <c r="AB262" s="65">
        <f>IF(tblWorkPackages[[#This Row],[Completion date serial]]&gt;tblWorkPackages[[#This Row],[Due date serial]],1,0)</f>
        <v>0</v>
      </c>
      <c r="AC262" s="65">
        <f>MAX(0,tblWorkPackages[[#This Row],[Completion date serial]]-tblWorkPackages[[#This Row],[Due date serial]])</f>
        <v>0</v>
      </c>
      <c r="AD262" s="65">
        <f>tblWorkPackages[[#This Row],[First labor date]]-tblWorkPackages[[#This Row],[Request date serial]]</f>
        <v>3</v>
      </c>
      <c r="AE262" s="65">
        <f>tblWorkPackages[[#This Row],[Last labor date]]-tblWorkPackages[[#This Row],[First labor date]]</f>
        <v>1</v>
      </c>
      <c r="AF262" s="65">
        <f>tblWorkPackages[[#This Row],[Completion date serial]]-tblWorkPackages[[#This Row],[Last labor date]]</f>
        <v>0</v>
      </c>
      <c r="AG262" s="65">
        <f>tblWorkPackages[[#This Row],[Completion date serial]]-tblWorkPackages[[#This Row],[Request date serial]]</f>
        <v>4</v>
      </c>
      <c r="AH262" s="65">
        <f>IFERROR(INDEX(tblParts[Delay days],MATCH(tblWorkPackages[[#This Row],[Work package ID]],tblParts[Work package ID],0)),0)</f>
        <v>0</v>
      </c>
      <c r="AI262" s="51" t="str">
        <f>IFERROR(INDEX(tblDisruptions[Event type],MATCH(tblWorkPackages[[#This Row],[Work package ID]],tblDisruptions[Work package ID],0)),"None")</f>
        <v>None</v>
      </c>
      <c r="AJ262" s="51" t="str">
        <f>TEXT(tblWorkPackages[[#This Row],[Due date serial]],"yyyy-mm")</f>
        <v>2024-12</v>
      </c>
    </row>
    <row r="263" spans="1:36" ht="15" x14ac:dyDescent="0.25">
      <c r="A263" s="53" t="s">
        <v>905</v>
      </c>
      <c r="B263" s="53" t="s">
        <v>173</v>
      </c>
      <c r="C263" s="53" t="s">
        <v>906</v>
      </c>
      <c r="D263" s="53" t="s">
        <v>518</v>
      </c>
      <c r="E263" s="53" t="s">
        <v>272</v>
      </c>
      <c r="F263" s="53" t="s">
        <v>145</v>
      </c>
      <c r="G263" s="53" t="s">
        <v>273</v>
      </c>
      <c r="H263" s="53">
        <v>3</v>
      </c>
      <c r="I263" s="53" t="s">
        <v>130</v>
      </c>
      <c r="J263" s="53">
        <v>0</v>
      </c>
      <c r="K263" s="53">
        <v>1</v>
      </c>
      <c r="L263" s="53">
        <v>16.5</v>
      </c>
      <c r="M263" s="53" t="s">
        <v>907</v>
      </c>
      <c r="N263" s="53">
        <v>20.399999999999999</v>
      </c>
      <c r="O263" s="51" t="str">
        <f>TEXT(tblWorkPackages[[#This Row],[Request date serial]]-WEEKDAY(tblWorkPackages[[#This Row],[Request date serial]],3),"yyyy-mm-dd")</f>
        <v>2025-04-28</v>
      </c>
      <c r="P263" s="51">
        <f>ABS(tblWorkPackages[[#This Row],[Actual labor hours]]-tblWorkPackages[[#This Row],[Estimated labor hours]])</f>
        <v>3.9</v>
      </c>
      <c r="Q263" s="51">
        <f>IF(tblWorkPackages[[#This Row],[Actual labor hours]]&gt;tblWorkPackages[[#This Row],[Estimated labor hours]],1,0)</f>
        <v>1</v>
      </c>
      <c r="R263" s="51">
        <f>tblWorkPackages[[#This Row],[Actual labor hours]]-tblWorkPackages[[#This Row],[Estimated labor hours]]</f>
        <v>3.9</v>
      </c>
      <c r="S263" s="51" t="str">
        <f>IF(tblWorkPackages[[#This Row],[Request date serial]]&lt;ValidationStart,"Train 2024",IF(tblWorkPackages[[#This Row],[Request date serial]]&lt;HoldoutStart,"Validation H1","Holdout H2"))</f>
        <v>Validation H1</v>
      </c>
      <c r="T263" s="51">
        <f>IF(tblWorkPackages[[#This Row],[Time split]]="Train 2024","",tblWorkPackages[[#This Row],[Estimated labor hours]]+VLOOKUP(tblWorkPackages[[#This Row],[Task type]],'Forecast validation'!$A$14:$E$25,IF(tblWorkPackages[[#This Row],[Time split]]="Validation H1",4,5),FALSE()))</f>
        <v>17.5320512820513</v>
      </c>
      <c r="U263" s="51">
        <f>IF(tblWorkPackages[[#This Row],[Calibrated forecast hours]]="","",ABS(tblWorkPackages[[#This Row],[Actual labor hours]]-tblWorkPackages[[#This Row],[Calibrated forecast hours]]))</f>
        <v>2.86794871794872</v>
      </c>
      <c r="V263" s="51">
        <f>IF(tblWorkPackages[[#This Row],[Time split]]="Train 2024",tblWorkPackages[[#This Row],[Estimated labor hours]],tblWorkPackages[[#This Row],[Calibrated forecast hours]])</f>
        <v>17.5320512820513</v>
      </c>
      <c r="W263" s="64">
        <f>DATEVALUE(tblWorkPackages[[#This Row],[Request date]])</f>
        <v>45781.0</v>
      </c>
      <c r="X263" s="64">
        <f>DATEVALUE(tblWorkPackages[[#This Row],[Due date]])</f>
        <v>45794.0</v>
      </c>
      <c r="Y263" s="64">
        <f>DATEVALUE(tblWorkPackages[[#This Row],[Completion date]])</f>
        <v>45816.0</v>
      </c>
      <c r="Z263" s="64">
        <f>_xlfn.MINIFS(tblLaborEntries[Work date serial],tblLaborEntries[Work package ID],tblWorkPackages[[#This Row],[Work package ID]])</f>
        <v>45814.0</v>
      </c>
      <c r="AA263" s="64">
        <f>_xlfn.MAXIFS(tblLaborEntries[Work date serial],tblLaborEntries[Work package ID],tblWorkPackages[[#This Row],[Work package ID]])</f>
        <v>45815.0</v>
      </c>
      <c r="AB263" s="65">
        <f>IF(tblWorkPackages[[#This Row],[Completion date serial]]&gt;tblWorkPackages[[#This Row],[Due date serial]],1,0)</f>
        <v>1</v>
      </c>
      <c r="AC263" s="65">
        <f>MAX(0,tblWorkPackages[[#This Row],[Completion date serial]]-tblWorkPackages[[#This Row],[Due date serial]])</f>
        <v>22</v>
      </c>
      <c r="AD263" s="65">
        <f>tblWorkPackages[[#This Row],[First labor date]]-tblWorkPackages[[#This Row],[Request date serial]]</f>
        <v>33</v>
      </c>
      <c r="AE263" s="65">
        <f>tblWorkPackages[[#This Row],[Last labor date]]-tblWorkPackages[[#This Row],[First labor date]]</f>
        <v>1</v>
      </c>
      <c r="AF263" s="65">
        <f>tblWorkPackages[[#This Row],[Completion date serial]]-tblWorkPackages[[#This Row],[Last labor date]]</f>
        <v>1</v>
      </c>
      <c r="AG263" s="65">
        <f>tblWorkPackages[[#This Row],[Completion date serial]]-tblWorkPackages[[#This Row],[Request date serial]]</f>
        <v>35</v>
      </c>
      <c r="AH263" s="65">
        <f>IFERROR(INDEX(tblParts[Delay days],MATCH(tblWorkPackages[[#This Row],[Work package ID]],tblParts[Work package ID],0)),0)</f>
        <v>0</v>
      </c>
      <c r="AI263" s="51" t="str">
        <f>IFERROR(INDEX(tblDisruptions[Event type],MATCH(tblWorkPackages[[#This Row],[Work package ID]],tblDisruptions[Work package ID],0)),"None")</f>
        <v>None</v>
      </c>
      <c r="AJ263" s="51" t="str">
        <f>TEXT(tblWorkPackages[[#This Row],[Due date serial]],"yyyy-mm")</f>
        <v>2025-05</v>
      </c>
    </row>
    <row r="264" spans="1:36" ht="15" x14ac:dyDescent="0.25">
      <c r="A264" s="53" t="s">
        <v>908</v>
      </c>
      <c r="B264" s="53" t="s">
        <v>150</v>
      </c>
      <c r="C264" s="53" t="s">
        <v>651</v>
      </c>
      <c r="D264" s="53" t="s">
        <v>909</v>
      </c>
      <c r="E264" s="53" t="s">
        <v>153</v>
      </c>
      <c r="F264" s="53" t="s">
        <v>128</v>
      </c>
      <c r="G264" s="53" t="s">
        <v>154</v>
      </c>
      <c r="H264" s="53">
        <v>4</v>
      </c>
      <c r="I264" s="53" t="s">
        <v>147</v>
      </c>
      <c r="J264" s="53">
        <v>0</v>
      </c>
      <c r="K264" s="53">
        <v>0</v>
      </c>
      <c r="L264" s="53">
        <v>17.399999999999999</v>
      </c>
      <c r="M264" s="53" t="s">
        <v>778</v>
      </c>
      <c r="N264" s="53">
        <v>19.3</v>
      </c>
      <c r="O264" s="51" t="str">
        <f>TEXT(tblWorkPackages[[#This Row],[Request date serial]]-WEEKDAY(tblWorkPackages[[#This Row],[Request date serial]],3),"yyyy-mm-dd")</f>
        <v>2025-12-01</v>
      </c>
      <c r="P264" s="51">
        <f>ABS(tblWorkPackages[[#This Row],[Actual labor hours]]-tblWorkPackages[[#This Row],[Estimated labor hours]])</f>
        <v>1.9</v>
      </c>
      <c r="Q264" s="51">
        <f>IF(tblWorkPackages[[#This Row],[Actual labor hours]]&gt;tblWorkPackages[[#This Row],[Estimated labor hours]],1,0)</f>
        <v>1</v>
      </c>
      <c r="R264" s="51">
        <f>tblWorkPackages[[#This Row],[Actual labor hours]]-tblWorkPackages[[#This Row],[Estimated labor hours]]</f>
        <v>1.9</v>
      </c>
      <c r="S264" s="51" t="str">
        <f>IF(tblWorkPackages[[#This Row],[Request date serial]]&lt;ValidationStart,"Train 2024",IF(tblWorkPackages[[#This Row],[Request date serial]]&lt;HoldoutStart,"Validation H1","Holdout H2"))</f>
        <v>Holdout H2</v>
      </c>
      <c r="T264" s="51">
        <f>IF(tblWorkPackages[[#This Row],[Time split]]="Train 2024","",tblWorkPackages[[#This Row],[Estimated labor hours]]+VLOOKUP(tblWorkPackages[[#This Row],[Task type]],'Forecast validation'!$A$14:$E$25,IF(tblWorkPackages[[#This Row],[Time split]]="Validation H1",4,5),FALSE()))</f>
        <v>18.0026666666667</v>
      </c>
      <c r="U264" s="51">
        <f>IF(tblWorkPackages[[#This Row],[Calibrated forecast hours]]="","",ABS(tblWorkPackages[[#This Row],[Actual labor hours]]-tblWorkPackages[[#This Row],[Calibrated forecast hours]]))</f>
        <v>1.29733333333333</v>
      </c>
      <c r="V264" s="51">
        <f>IF(tblWorkPackages[[#This Row],[Time split]]="Train 2024",tblWorkPackages[[#This Row],[Estimated labor hours]],tblWorkPackages[[#This Row],[Calibrated forecast hours]])</f>
        <v>18.0026666666667</v>
      </c>
      <c r="W264" s="64">
        <f>DATEVALUE(tblWorkPackages[[#This Row],[Request date]])</f>
        <v>45997.0</v>
      </c>
      <c r="X264" s="64">
        <f>DATEVALUE(tblWorkPackages[[#This Row],[Due date]])</f>
        <v>45999.0</v>
      </c>
      <c r="Y264" s="64">
        <f>DATEVALUE(tblWorkPackages[[#This Row],[Completion date]])</f>
        <v>46005.0</v>
      </c>
      <c r="Z264" s="64">
        <f>_xlfn.MINIFS(tblLaborEntries[Work date serial],tblLaborEntries[Work package ID],tblWorkPackages[[#This Row],[Work package ID]])</f>
        <v>46003.0</v>
      </c>
      <c r="AA264" s="64">
        <f>_xlfn.MAXIFS(tblLaborEntries[Work date serial],tblLaborEntries[Work package ID],tblWorkPackages[[#This Row],[Work package ID]])</f>
        <v>46003.0</v>
      </c>
      <c r="AB264" s="65">
        <f>IF(tblWorkPackages[[#This Row],[Completion date serial]]&gt;tblWorkPackages[[#This Row],[Due date serial]],1,0)</f>
        <v>1</v>
      </c>
      <c r="AC264" s="65">
        <f>MAX(0,tblWorkPackages[[#This Row],[Completion date serial]]-tblWorkPackages[[#This Row],[Due date serial]])</f>
        <v>6</v>
      </c>
      <c r="AD264" s="65">
        <f>tblWorkPackages[[#This Row],[First labor date]]-tblWorkPackages[[#This Row],[Request date serial]]</f>
        <v>6</v>
      </c>
      <c r="AE264" s="65">
        <f>tblWorkPackages[[#This Row],[Last labor date]]-tblWorkPackages[[#This Row],[First labor date]]</f>
        <v>0</v>
      </c>
      <c r="AF264" s="65">
        <f>tblWorkPackages[[#This Row],[Completion date serial]]-tblWorkPackages[[#This Row],[Last labor date]]</f>
        <v>2</v>
      </c>
      <c r="AG264" s="65">
        <f>tblWorkPackages[[#This Row],[Completion date serial]]-tblWorkPackages[[#This Row],[Request date serial]]</f>
        <v>8</v>
      </c>
      <c r="AH264" s="65">
        <f>IFERROR(INDEX(tblParts[Delay days],MATCH(tblWorkPackages[[#This Row],[Work package ID]],tblParts[Work package ID],0)),0)</f>
        <v>0</v>
      </c>
      <c r="AI264" s="51" t="str">
        <f>IFERROR(INDEX(tblDisruptions[Event type],MATCH(tblWorkPackages[[#This Row],[Work package ID]],tblDisruptions[Work package ID],0)),"None")</f>
        <v>None</v>
      </c>
      <c r="AJ264" s="51" t="str">
        <f>TEXT(tblWorkPackages[[#This Row],[Due date serial]],"yyyy-mm")</f>
        <v>2025-12</v>
      </c>
    </row>
    <row r="265" spans="1:36" ht="15" x14ac:dyDescent="0.25">
      <c r="A265" s="53" t="s">
        <v>910</v>
      </c>
      <c r="B265" s="53" t="s">
        <v>150</v>
      </c>
      <c r="C265" s="53" t="s">
        <v>790</v>
      </c>
      <c r="D265" s="53" t="s">
        <v>464</v>
      </c>
      <c r="E265" s="53" t="s">
        <v>200</v>
      </c>
      <c r="F265" s="53" t="s">
        <v>128</v>
      </c>
      <c r="G265" s="53" t="s">
        <v>129</v>
      </c>
      <c r="H265" s="53">
        <v>4</v>
      </c>
      <c r="I265" s="53" t="s">
        <v>130</v>
      </c>
      <c r="J265" s="53">
        <v>0</v>
      </c>
      <c r="K265" s="53">
        <v>0</v>
      </c>
      <c r="L265" s="53">
        <v>5.3</v>
      </c>
      <c r="M265" s="53" t="s">
        <v>911</v>
      </c>
      <c r="N265" s="53">
        <v>4.5</v>
      </c>
      <c r="O265" s="51" t="str">
        <f>TEXT(tblWorkPackages[[#This Row],[Request date serial]]-WEEKDAY(tblWorkPackages[[#This Row],[Request date serial]],3),"yyyy-mm-dd")</f>
        <v>2025-09-15</v>
      </c>
      <c r="P265" s="51">
        <f>ABS(tblWorkPackages[[#This Row],[Actual labor hours]]-tblWorkPackages[[#This Row],[Estimated labor hours]])</f>
        <v>0.8</v>
      </c>
      <c r="Q265" s="51">
        <f>IF(tblWorkPackages[[#This Row],[Actual labor hours]]&gt;tblWorkPackages[[#This Row],[Estimated labor hours]],1,0)</f>
        <v>0</v>
      </c>
      <c r="R265" s="51">
        <f>tblWorkPackages[[#This Row],[Actual labor hours]]-tblWorkPackages[[#This Row],[Estimated labor hours]]</f>
        <v>-0.8</v>
      </c>
      <c r="S265" s="51" t="str">
        <f>IF(tblWorkPackages[[#This Row],[Request date serial]]&lt;ValidationStart,"Train 2024",IF(tblWorkPackages[[#This Row],[Request date serial]]&lt;HoldoutStart,"Validation H1","Holdout H2"))</f>
        <v>Holdout H2</v>
      </c>
      <c r="T265" s="51">
        <f>IF(tblWorkPackages[[#This Row],[Time split]]="Train 2024","",tblWorkPackages[[#This Row],[Estimated labor hours]]+VLOOKUP(tblWorkPackages[[#This Row],[Task type]],'Forecast validation'!$A$14:$E$25,IF(tblWorkPackages[[#This Row],[Time split]]="Validation H1",4,5),FALSE()))</f>
        <v>5.62893081761006</v>
      </c>
      <c r="U265" s="51">
        <f>IF(tblWorkPackages[[#This Row],[Calibrated forecast hours]]="","",ABS(tblWorkPackages[[#This Row],[Actual labor hours]]-tblWorkPackages[[#This Row],[Calibrated forecast hours]]))</f>
        <v>1.12893081761006</v>
      </c>
      <c r="V265" s="51">
        <f>IF(tblWorkPackages[[#This Row],[Time split]]="Train 2024",tblWorkPackages[[#This Row],[Estimated labor hours]],tblWorkPackages[[#This Row],[Calibrated forecast hours]])</f>
        <v>5.62893081761006</v>
      </c>
      <c r="W265" s="64">
        <f>DATEVALUE(tblWorkPackages[[#This Row],[Request date]])</f>
        <v>45916.0</v>
      </c>
      <c r="X265" s="64">
        <f>DATEVALUE(tblWorkPackages[[#This Row],[Due date]])</f>
        <v>45929.0</v>
      </c>
      <c r="Y265" s="64">
        <f>DATEVALUE(tblWorkPackages[[#This Row],[Completion date]])</f>
        <v>45923.0</v>
      </c>
      <c r="Z265" s="64">
        <f>_xlfn.MINIFS(tblLaborEntries[Work date serial],tblLaborEntries[Work package ID],tblWorkPackages[[#This Row],[Work package ID]])</f>
        <v>45918.0</v>
      </c>
      <c r="AA265" s="64">
        <f>_xlfn.MAXIFS(tblLaborEntries[Work date serial],tblLaborEntries[Work package ID],tblWorkPackages[[#This Row],[Work package ID]])</f>
        <v>45920.0</v>
      </c>
      <c r="AB265" s="65">
        <f>IF(tblWorkPackages[[#This Row],[Completion date serial]]&gt;tblWorkPackages[[#This Row],[Due date serial]],1,0)</f>
        <v>0</v>
      </c>
      <c r="AC265" s="65">
        <f>MAX(0,tblWorkPackages[[#This Row],[Completion date serial]]-tblWorkPackages[[#This Row],[Due date serial]])</f>
        <v>0</v>
      </c>
      <c r="AD265" s="65">
        <f>tblWorkPackages[[#This Row],[First labor date]]-tblWorkPackages[[#This Row],[Request date serial]]</f>
        <v>2</v>
      </c>
      <c r="AE265" s="65">
        <f>tblWorkPackages[[#This Row],[Last labor date]]-tblWorkPackages[[#This Row],[First labor date]]</f>
        <v>2</v>
      </c>
      <c r="AF265" s="65">
        <f>tblWorkPackages[[#This Row],[Completion date serial]]-tblWorkPackages[[#This Row],[Last labor date]]</f>
        <v>3</v>
      </c>
      <c r="AG265" s="65">
        <f>tblWorkPackages[[#This Row],[Completion date serial]]-tblWorkPackages[[#This Row],[Request date serial]]</f>
        <v>7</v>
      </c>
      <c r="AH265" s="65">
        <f>IFERROR(INDEX(tblParts[Delay days],MATCH(tblWorkPackages[[#This Row],[Work package ID]],tblParts[Work package ID],0)),0)</f>
        <v>0</v>
      </c>
      <c r="AI265" s="51" t="str">
        <f>IFERROR(INDEX(tblDisruptions[Event type],MATCH(tblWorkPackages[[#This Row],[Work package ID]],tblDisruptions[Work package ID],0)),"None")</f>
        <v>None</v>
      </c>
      <c r="AJ265" s="51" t="str">
        <f>TEXT(tblWorkPackages[[#This Row],[Due date serial]],"yyyy-mm")</f>
        <v>2025-09</v>
      </c>
    </row>
    <row r="266" spans="1:36" ht="15" x14ac:dyDescent="0.25">
      <c r="A266" s="53" t="s">
        <v>912</v>
      </c>
      <c r="B266" s="53" t="s">
        <v>250</v>
      </c>
      <c r="C266" s="53" t="s">
        <v>532</v>
      </c>
      <c r="D266" s="53" t="s">
        <v>284</v>
      </c>
      <c r="E266" s="53" t="s">
        <v>223</v>
      </c>
      <c r="F266" s="53" t="s">
        <v>182</v>
      </c>
      <c r="G266" s="53" t="s">
        <v>154</v>
      </c>
      <c r="H266" s="53">
        <v>4</v>
      </c>
      <c r="I266" s="53" t="s">
        <v>176</v>
      </c>
      <c r="J266" s="53">
        <v>0</v>
      </c>
      <c r="K266" s="53">
        <v>0</v>
      </c>
      <c r="L266" s="53">
        <v>20.2</v>
      </c>
      <c r="M266" s="53" t="s">
        <v>289</v>
      </c>
      <c r="N266" s="53">
        <v>16.899999999999999</v>
      </c>
      <c r="O266" s="51" t="str">
        <f>TEXT(tblWorkPackages[[#This Row],[Request date serial]]-WEEKDAY(tblWorkPackages[[#This Row],[Request date serial]],3),"yyyy-mm-dd")</f>
        <v>2025-09-01</v>
      </c>
      <c r="P266" s="51">
        <f>ABS(tblWorkPackages[[#This Row],[Actual labor hours]]-tblWorkPackages[[#This Row],[Estimated labor hours]])</f>
        <v>3.3</v>
      </c>
      <c r="Q266" s="51">
        <f>IF(tblWorkPackages[[#This Row],[Actual labor hours]]&gt;tblWorkPackages[[#This Row],[Estimated labor hours]],1,0)</f>
        <v>0</v>
      </c>
      <c r="R266" s="51">
        <f>tblWorkPackages[[#This Row],[Actual labor hours]]-tblWorkPackages[[#This Row],[Estimated labor hours]]</f>
        <v>-3.3</v>
      </c>
      <c r="S266" s="51" t="str">
        <f>IF(tblWorkPackages[[#This Row],[Request date serial]]&lt;ValidationStart,"Train 2024",IF(tblWorkPackages[[#This Row],[Request date serial]]&lt;HoldoutStart,"Validation H1","Holdout H2"))</f>
        <v>Holdout H2</v>
      </c>
      <c r="T266" s="51">
        <f>IF(tblWorkPackages[[#This Row],[Time split]]="Train 2024","",tblWorkPackages[[#This Row],[Estimated labor hours]]+VLOOKUP(tblWorkPackages[[#This Row],[Task type]],'Forecast validation'!$A$14:$E$25,IF(tblWorkPackages[[#This Row],[Time split]]="Validation H1",4,5),FALSE()))</f>
        <v>21.1246575342466</v>
      </c>
      <c r="U266" s="51">
        <f>IF(tblWorkPackages[[#This Row],[Calibrated forecast hours]]="","",ABS(tblWorkPackages[[#This Row],[Actual labor hours]]-tblWorkPackages[[#This Row],[Calibrated forecast hours]]))</f>
        <v>4.22465753424658</v>
      </c>
      <c r="V266" s="51">
        <f>IF(tblWorkPackages[[#This Row],[Time split]]="Train 2024",tblWorkPackages[[#This Row],[Estimated labor hours]],tblWorkPackages[[#This Row],[Calibrated forecast hours]])</f>
        <v>21.1246575342466</v>
      </c>
      <c r="W266" s="64">
        <f>DATEVALUE(tblWorkPackages[[#This Row],[Request date]])</f>
        <v>45904.0</v>
      </c>
      <c r="X266" s="64">
        <f>DATEVALUE(tblWorkPackages[[#This Row],[Due date]])</f>
        <v>45910.0</v>
      </c>
      <c r="Y266" s="64">
        <f>DATEVALUE(tblWorkPackages[[#This Row],[Completion date]])</f>
        <v>45920.0</v>
      </c>
      <c r="Z266" s="64">
        <f>_xlfn.MINIFS(tblLaborEntries[Work date serial],tblLaborEntries[Work package ID],tblWorkPackages[[#This Row],[Work package ID]])</f>
        <v>45919.0</v>
      </c>
      <c r="AA266" s="64">
        <f>_xlfn.MAXIFS(tblLaborEntries[Work date serial],tblLaborEntries[Work package ID],tblWorkPackages[[#This Row],[Work package ID]])</f>
        <v>45920.0</v>
      </c>
      <c r="AB266" s="65">
        <f>IF(tblWorkPackages[[#This Row],[Completion date serial]]&gt;tblWorkPackages[[#This Row],[Due date serial]],1,0)</f>
        <v>1</v>
      </c>
      <c r="AC266" s="65">
        <f>MAX(0,tblWorkPackages[[#This Row],[Completion date serial]]-tblWorkPackages[[#This Row],[Due date serial]])</f>
        <v>10</v>
      </c>
      <c r="AD266" s="65">
        <f>tblWorkPackages[[#This Row],[First labor date]]-tblWorkPackages[[#This Row],[Request date serial]]</f>
        <v>15</v>
      </c>
      <c r="AE266" s="65">
        <f>tblWorkPackages[[#This Row],[Last labor date]]-tblWorkPackages[[#This Row],[First labor date]]</f>
        <v>1</v>
      </c>
      <c r="AF266" s="65">
        <f>tblWorkPackages[[#This Row],[Completion date serial]]-tblWorkPackages[[#This Row],[Last labor date]]</f>
        <v>0</v>
      </c>
      <c r="AG266" s="65">
        <f>tblWorkPackages[[#This Row],[Completion date serial]]-tblWorkPackages[[#This Row],[Request date serial]]</f>
        <v>16</v>
      </c>
      <c r="AH266" s="65">
        <f>IFERROR(INDEX(tblParts[Delay days],MATCH(tblWorkPackages[[#This Row],[Work package ID]],tblParts[Work package ID],0)),0)</f>
        <v>0</v>
      </c>
      <c r="AI266" s="51" t="str">
        <f>IFERROR(INDEX(tblDisruptions[Event type],MATCH(tblWorkPackages[[#This Row],[Work package ID]],tblDisruptions[Work package ID],0)),"None")</f>
        <v>None</v>
      </c>
      <c r="AJ266" s="51" t="str">
        <f>TEXT(tblWorkPackages[[#This Row],[Due date serial]],"yyyy-mm")</f>
        <v>2025-09</v>
      </c>
    </row>
    <row r="267" spans="1:36" ht="15" x14ac:dyDescent="0.25">
      <c r="A267" s="53" t="s">
        <v>913</v>
      </c>
      <c r="B267" s="53" t="s">
        <v>157</v>
      </c>
      <c r="C267" s="53" t="s">
        <v>764</v>
      </c>
      <c r="D267" s="53" t="s">
        <v>765</v>
      </c>
      <c r="E267" s="53" t="s">
        <v>223</v>
      </c>
      <c r="F267" s="53" t="s">
        <v>182</v>
      </c>
      <c r="G267" s="53" t="s">
        <v>154</v>
      </c>
      <c r="H267" s="53">
        <v>2</v>
      </c>
      <c r="I267" s="53" t="s">
        <v>130</v>
      </c>
      <c r="J267" s="53">
        <v>0</v>
      </c>
      <c r="K267" s="53">
        <v>0</v>
      </c>
      <c r="L267" s="53">
        <v>10.8</v>
      </c>
      <c r="M267" s="53" t="s">
        <v>914</v>
      </c>
      <c r="N267" s="53">
        <v>10.8</v>
      </c>
      <c r="O267" s="51" t="str">
        <f>TEXT(tblWorkPackages[[#This Row],[Request date serial]]-WEEKDAY(tblWorkPackages[[#This Row],[Request date serial]],3),"yyyy-mm-dd")</f>
        <v>2025-12-15</v>
      </c>
      <c r="P267" s="51">
        <f>ABS(tblWorkPackages[[#This Row],[Actual labor hours]]-tblWorkPackages[[#This Row],[Estimated labor hours]])</f>
        <v>0</v>
      </c>
      <c r="Q267" s="51">
        <f>IF(tblWorkPackages[[#This Row],[Actual labor hours]]&gt;tblWorkPackages[[#This Row],[Estimated labor hours]],1,0)</f>
        <v>0</v>
      </c>
      <c r="R267" s="51">
        <f>tblWorkPackages[[#This Row],[Actual labor hours]]-tblWorkPackages[[#This Row],[Estimated labor hours]]</f>
        <v>0</v>
      </c>
      <c r="S267" s="51" t="str">
        <f>IF(tblWorkPackages[[#This Row],[Request date serial]]&lt;ValidationStart,"Train 2024",IF(tblWorkPackages[[#This Row],[Request date serial]]&lt;HoldoutStart,"Validation H1","Holdout H2"))</f>
        <v>Holdout H2</v>
      </c>
      <c r="T267" s="51">
        <f>IF(tblWorkPackages[[#This Row],[Time split]]="Train 2024","",tblWorkPackages[[#This Row],[Estimated labor hours]]+VLOOKUP(tblWorkPackages[[#This Row],[Task type]],'Forecast validation'!$A$14:$E$25,IF(tblWorkPackages[[#This Row],[Time split]]="Validation H1",4,5),FALSE()))</f>
        <v>11.7246575342466</v>
      </c>
      <c r="U267" s="51">
        <f>IF(tblWorkPackages[[#This Row],[Calibrated forecast hours]]="","",ABS(tblWorkPackages[[#This Row],[Actual labor hours]]-tblWorkPackages[[#This Row],[Calibrated forecast hours]]))</f>
        <v>0.924657534246576</v>
      </c>
      <c r="V267" s="51">
        <f>IF(tblWorkPackages[[#This Row],[Time split]]="Train 2024",tblWorkPackages[[#This Row],[Estimated labor hours]],tblWorkPackages[[#This Row],[Calibrated forecast hours]])</f>
        <v>11.7246575342466</v>
      </c>
      <c r="W267" s="64">
        <f>DATEVALUE(tblWorkPackages[[#This Row],[Request date]])</f>
        <v>46007.0</v>
      </c>
      <c r="X267" s="64">
        <f>DATEVALUE(tblWorkPackages[[#This Row],[Due date]])</f>
        <v>46020.0</v>
      </c>
      <c r="Y267" s="64">
        <f>DATEVALUE(tblWorkPackages[[#This Row],[Completion date]])</f>
        <v>46013.0</v>
      </c>
      <c r="Z267" s="64">
        <f>_xlfn.MINIFS(tblLaborEntries[Work date serial],tblLaborEntries[Work package ID],tblWorkPackages[[#This Row],[Work package ID]])</f>
        <v>46011.0</v>
      </c>
      <c r="AA267" s="64">
        <f>_xlfn.MAXIFS(tblLaborEntries[Work date serial],tblLaborEntries[Work package ID],tblWorkPackages[[#This Row],[Work package ID]])</f>
        <v>46012.0</v>
      </c>
      <c r="AB267" s="65">
        <f>IF(tblWorkPackages[[#This Row],[Completion date serial]]&gt;tblWorkPackages[[#This Row],[Due date serial]],1,0)</f>
        <v>0</v>
      </c>
      <c r="AC267" s="65">
        <f>MAX(0,tblWorkPackages[[#This Row],[Completion date serial]]-tblWorkPackages[[#This Row],[Due date serial]])</f>
        <v>0</v>
      </c>
      <c r="AD267" s="65">
        <f>tblWorkPackages[[#This Row],[First labor date]]-tblWorkPackages[[#This Row],[Request date serial]]</f>
        <v>4</v>
      </c>
      <c r="AE267" s="65">
        <f>tblWorkPackages[[#This Row],[Last labor date]]-tblWorkPackages[[#This Row],[First labor date]]</f>
        <v>1</v>
      </c>
      <c r="AF267" s="65">
        <f>tblWorkPackages[[#This Row],[Completion date serial]]-tblWorkPackages[[#This Row],[Last labor date]]</f>
        <v>1</v>
      </c>
      <c r="AG267" s="65">
        <f>tblWorkPackages[[#This Row],[Completion date serial]]-tblWorkPackages[[#This Row],[Request date serial]]</f>
        <v>6</v>
      </c>
      <c r="AH267" s="65">
        <f>IFERROR(INDEX(tblParts[Delay days],MATCH(tblWorkPackages[[#This Row],[Work package ID]],tblParts[Work package ID],0)),0)</f>
        <v>0</v>
      </c>
      <c r="AI267" s="51" t="str">
        <f>IFERROR(INDEX(tblDisruptions[Event type],MATCH(tblWorkPackages[[#This Row],[Work package ID]],tblDisruptions[Work package ID],0)),"None")</f>
        <v>None</v>
      </c>
      <c r="AJ267" s="51" t="str">
        <f>TEXT(tblWorkPackages[[#This Row],[Due date serial]],"yyyy-mm")</f>
        <v>2025-12</v>
      </c>
    </row>
    <row r="268" spans="1:36" ht="15" x14ac:dyDescent="0.25">
      <c r="A268" s="53" t="s">
        <v>915</v>
      </c>
      <c r="B268" s="53" t="s">
        <v>173</v>
      </c>
      <c r="C268" s="53" t="s">
        <v>916</v>
      </c>
      <c r="D268" s="53" t="s">
        <v>274</v>
      </c>
      <c r="E268" s="53" t="s">
        <v>136</v>
      </c>
      <c r="F268" s="53" t="s">
        <v>137</v>
      </c>
      <c r="G268" s="53" t="s">
        <v>138</v>
      </c>
      <c r="H268" s="53">
        <v>3</v>
      </c>
      <c r="I268" s="53" t="s">
        <v>176</v>
      </c>
      <c r="J268" s="53">
        <v>0</v>
      </c>
      <c r="K268" s="53">
        <v>0</v>
      </c>
      <c r="L268" s="53">
        <v>20.9</v>
      </c>
      <c r="M268" s="53" t="s">
        <v>906</v>
      </c>
      <c r="N268" s="53">
        <v>16</v>
      </c>
      <c r="O268" s="51" t="str">
        <f>TEXT(tblWorkPackages[[#This Row],[Request date serial]]-WEEKDAY(tblWorkPackages[[#This Row],[Request date serial]],3),"yyyy-mm-dd")</f>
        <v>2025-04-28</v>
      </c>
      <c r="P268" s="51">
        <f>ABS(tblWorkPackages[[#This Row],[Actual labor hours]]-tblWorkPackages[[#This Row],[Estimated labor hours]])</f>
        <v>4.9</v>
      </c>
      <c r="Q268" s="51">
        <f>IF(tblWorkPackages[[#This Row],[Actual labor hours]]&gt;tblWorkPackages[[#This Row],[Estimated labor hours]],1,0)</f>
        <v>0</v>
      </c>
      <c r="R268" s="51">
        <f>tblWorkPackages[[#This Row],[Actual labor hours]]-tblWorkPackages[[#This Row],[Estimated labor hours]]</f>
        <v>-4.9</v>
      </c>
      <c r="S268" s="51" t="str">
        <f>IF(tblWorkPackages[[#This Row],[Request date serial]]&lt;ValidationStart,"Train 2024",IF(tblWorkPackages[[#This Row],[Request date serial]]&lt;HoldoutStart,"Validation H1","Holdout H2"))</f>
        <v>Validation H1</v>
      </c>
      <c r="T268" s="51">
        <f>IF(tblWorkPackages[[#This Row],[Time split]]="Train 2024","",tblWorkPackages[[#This Row],[Estimated labor hours]]+VLOOKUP(tblWorkPackages[[#This Row],[Task type]],'Forecast validation'!$A$14:$E$25,IF(tblWorkPackages[[#This Row],[Time split]]="Validation H1",4,5),FALSE()))</f>
        <v>21.7765306122449</v>
      </c>
      <c r="U268" s="51">
        <f>IF(tblWorkPackages[[#This Row],[Calibrated forecast hours]]="","",ABS(tblWorkPackages[[#This Row],[Actual labor hours]]-tblWorkPackages[[#This Row],[Calibrated forecast hours]]))</f>
        <v>5.7765306122449</v>
      </c>
      <c r="V268" s="51">
        <f>IF(tblWorkPackages[[#This Row],[Time split]]="Train 2024",tblWorkPackages[[#This Row],[Estimated labor hours]],tblWorkPackages[[#This Row],[Calibrated forecast hours]])</f>
        <v>21.7765306122449</v>
      </c>
      <c r="W268" s="64">
        <f>DATEVALUE(tblWorkPackages[[#This Row],[Request date]])</f>
        <v>45777.0</v>
      </c>
      <c r="X268" s="64">
        <f>DATEVALUE(tblWorkPackages[[#This Row],[Due date]])</f>
        <v>45783.0</v>
      </c>
      <c r="Y268" s="64">
        <f>DATEVALUE(tblWorkPackages[[#This Row],[Completion date]])</f>
        <v>45781.0</v>
      </c>
      <c r="Z268" s="64">
        <f>_xlfn.MINIFS(tblLaborEntries[Work date serial],tblLaborEntries[Work package ID],tblWorkPackages[[#This Row],[Work package ID]])</f>
        <v>45778.0</v>
      </c>
      <c r="AA268" s="64">
        <f>_xlfn.MAXIFS(tblLaborEntries[Work date serial],tblLaborEntries[Work package ID],tblWorkPackages[[#This Row],[Work package ID]])</f>
        <v>45779.0</v>
      </c>
      <c r="AB268" s="65">
        <f>IF(tblWorkPackages[[#This Row],[Completion date serial]]&gt;tblWorkPackages[[#This Row],[Due date serial]],1,0)</f>
        <v>0</v>
      </c>
      <c r="AC268" s="65">
        <f>MAX(0,tblWorkPackages[[#This Row],[Completion date serial]]-tblWorkPackages[[#This Row],[Due date serial]])</f>
        <v>0</v>
      </c>
      <c r="AD268" s="65">
        <f>tblWorkPackages[[#This Row],[First labor date]]-tblWorkPackages[[#This Row],[Request date serial]]</f>
        <v>1</v>
      </c>
      <c r="AE268" s="65">
        <f>tblWorkPackages[[#This Row],[Last labor date]]-tblWorkPackages[[#This Row],[First labor date]]</f>
        <v>1</v>
      </c>
      <c r="AF268" s="65">
        <f>tblWorkPackages[[#This Row],[Completion date serial]]-tblWorkPackages[[#This Row],[Last labor date]]</f>
        <v>2</v>
      </c>
      <c r="AG268" s="65">
        <f>tblWorkPackages[[#This Row],[Completion date serial]]-tblWorkPackages[[#This Row],[Request date serial]]</f>
        <v>4</v>
      </c>
      <c r="AH268" s="65">
        <f>IFERROR(INDEX(tblParts[Delay days],MATCH(tblWorkPackages[[#This Row],[Work package ID]],tblParts[Work package ID],0)),0)</f>
        <v>0</v>
      </c>
      <c r="AI268" s="51" t="str">
        <f>IFERROR(INDEX(tblDisruptions[Event type],MATCH(tblWorkPackages[[#This Row],[Work package ID]],tblDisruptions[Work package ID],0)),"None")</f>
        <v>None</v>
      </c>
      <c r="AJ268" s="51" t="str">
        <f>TEXT(tblWorkPackages[[#This Row],[Due date serial]],"yyyy-mm")</f>
        <v>2025-05</v>
      </c>
    </row>
    <row r="269" spans="1:36" ht="15" x14ac:dyDescent="0.25">
      <c r="A269" s="53" t="s">
        <v>917</v>
      </c>
      <c r="B269" s="53" t="s">
        <v>133</v>
      </c>
      <c r="C269" s="53" t="s">
        <v>710</v>
      </c>
      <c r="D269" s="53" t="s">
        <v>603</v>
      </c>
      <c r="E269" s="53" t="s">
        <v>160</v>
      </c>
      <c r="F269" s="53" t="s">
        <v>128</v>
      </c>
      <c r="G269" s="53" t="s">
        <v>138</v>
      </c>
      <c r="H269" s="53">
        <v>2</v>
      </c>
      <c r="I269" s="53" t="s">
        <v>130</v>
      </c>
      <c r="J269" s="53">
        <v>1</v>
      </c>
      <c r="K269" s="53">
        <v>0</v>
      </c>
      <c r="L269" s="53">
        <v>4.5999999999999996</v>
      </c>
      <c r="M269" s="53" t="s">
        <v>201</v>
      </c>
      <c r="N269" s="53">
        <v>6.2</v>
      </c>
      <c r="O269" s="51" t="str">
        <f>TEXT(tblWorkPackages[[#This Row],[Request date serial]]-WEEKDAY(tblWorkPackages[[#This Row],[Request date serial]],3),"yyyy-mm-dd")</f>
        <v>2025-06-09</v>
      </c>
      <c r="P269" s="51">
        <f>ABS(tblWorkPackages[[#This Row],[Actual labor hours]]-tblWorkPackages[[#This Row],[Estimated labor hours]])</f>
        <v>1.6</v>
      </c>
      <c r="Q269" s="51">
        <f>IF(tblWorkPackages[[#This Row],[Actual labor hours]]&gt;tblWorkPackages[[#This Row],[Estimated labor hours]],1,0)</f>
        <v>1</v>
      </c>
      <c r="R269" s="51">
        <f>tblWorkPackages[[#This Row],[Actual labor hours]]-tblWorkPackages[[#This Row],[Estimated labor hours]]</f>
        <v>1.6</v>
      </c>
      <c r="S269" s="51" t="str">
        <f>IF(tblWorkPackages[[#This Row],[Request date serial]]&lt;ValidationStart,"Train 2024",IF(tblWorkPackages[[#This Row],[Request date serial]]&lt;HoldoutStart,"Validation H1","Holdout H2"))</f>
        <v>Validation H1</v>
      </c>
      <c r="T269" s="51">
        <f>IF(tblWorkPackages[[#This Row],[Time split]]="Train 2024","",tblWorkPackages[[#This Row],[Estimated labor hours]]+VLOOKUP(tblWorkPackages[[#This Row],[Task type]],'Forecast validation'!$A$14:$E$25,IF(tblWorkPackages[[#This Row],[Time split]]="Validation H1",4,5),FALSE()))</f>
        <v>5.04146341463415</v>
      </c>
      <c r="U269" s="51">
        <f>IF(tblWorkPackages[[#This Row],[Calibrated forecast hours]]="","",ABS(tblWorkPackages[[#This Row],[Actual labor hours]]-tblWorkPackages[[#This Row],[Calibrated forecast hours]]))</f>
        <v>1.15853658536585</v>
      </c>
      <c r="V269" s="51">
        <f>IF(tblWorkPackages[[#This Row],[Time split]]="Train 2024",tblWorkPackages[[#This Row],[Estimated labor hours]],tblWorkPackages[[#This Row],[Calibrated forecast hours]])</f>
        <v>5.04146341463415</v>
      </c>
      <c r="W269" s="64">
        <f>DATEVALUE(tblWorkPackages[[#This Row],[Request date]])</f>
        <v>45821.0</v>
      </c>
      <c r="X269" s="64">
        <f>DATEVALUE(tblWorkPackages[[#This Row],[Due date]])</f>
        <v>45834.0</v>
      </c>
      <c r="Y269" s="64">
        <f>DATEVALUE(tblWorkPackages[[#This Row],[Completion date]])</f>
        <v>45835.0</v>
      </c>
      <c r="Z269" s="64">
        <f>_xlfn.MINIFS(tblLaborEntries[Work date serial],tblLaborEntries[Work package ID],tblWorkPackages[[#This Row],[Work package ID]])</f>
        <v>45830.0</v>
      </c>
      <c r="AA269" s="64">
        <f>_xlfn.MAXIFS(tblLaborEntries[Work date serial],tblLaborEntries[Work package ID],tblWorkPackages[[#This Row],[Work package ID]])</f>
        <v>45832.0</v>
      </c>
      <c r="AB269" s="65">
        <f>IF(tblWorkPackages[[#This Row],[Completion date serial]]&gt;tblWorkPackages[[#This Row],[Due date serial]],1,0)</f>
        <v>1</v>
      </c>
      <c r="AC269" s="65">
        <f>MAX(0,tblWorkPackages[[#This Row],[Completion date serial]]-tblWorkPackages[[#This Row],[Due date serial]])</f>
        <v>1</v>
      </c>
      <c r="AD269" s="65">
        <f>tblWorkPackages[[#This Row],[First labor date]]-tblWorkPackages[[#This Row],[Request date serial]]</f>
        <v>9</v>
      </c>
      <c r="AE269" s="65">
        <f>tblWorkPackages[[#This Row],[Last labor date]]-tblWorkPackages[[#This Row],[First labor date]]</f>
        <v>2</v>
      </c>
      <c r="AF269" s="65">
        <f>tblWorkPackages[[#This Row],[Completion date serial]]-tblWorkPackages[[#This Row],[Last labor date]]</f>
        <v>3</v>
      </c>
      <c r="AG269" s="65">
        <f>tblWorkPackages[[#This Row],[Completion date serial]]-tblWorkPackages[[#This Row],[Request date serial]]</f>
        <v>14</v>
      </c>
      <c r="AH269" s="65">
        <f>IFERROR(INDEX(tblParts[Delay days],MATCH(tblWorkPackages[[#This Row],[Work package ID]],tblParts[Work package ID],0)),0)</f>
        <v>0</v>
      </c>
      <c r="AI269" s="51" t="str">
        <f>IFERROR(INDEX(tblDisruptions[Event type],MATCH(tblWorkPackages[[#This Row],[Work package ID]],tblDisruptions[Work package ID],0)),"None")</f>
        <v>None</v>
      </c>
      <c r="AJ269" s="51" t="str">
        <f>TEXT(tblWorkPackages[[#This Row],[Due date serial]],"yyyy-mm")</f>
        <v>2025-06</v>
      </c>
    </row>
    <row r="270" spans="1:36" ht="15" x14ac:dyDescent="0.25">
      <c r="A270" s="53" t="s">
        <v>918</v>
      </c>
      <c r="B270" s="53" t="s">
        <v>185</v>
      </c>
      <c r="C270" s="53" t="s">
        <v>768</v>
      </c>
      <c r="D270" s="53" t="s">
        <v>856</v>
      </c>
      <c r="E270" s="53" t="s">
        <v>200</v>
      </c>
      <c r="F270" s="53" t="s">
        <v>128</v>
      </c>
      <c r="G270" s="53" t="s">
        <v>129</v>
      </c>
      <c r="H270" s="53">
        <v>2</v>
      </c>
      <c r="I270" s="53" t="s">
        <v>130</v>
      </c>
      <c r="J270" s="53">
        <v>0</v>
      </c>
      <c r="K270" s="53">
        <v>0</v>
      </c>
      <c r="L270" s="53">
        <v>3</v>
      </c>
      <c r="M270" s="53" t="s">
        <v>848</v>
      </c>
      <c r="N270" s="53">
        <v>2.9</v>
      </c>
      <c r="O270" s="51" t="str">
        <f>TEXT(tblWorkPackages[[#This Row],[Request date serial]]-WEEKDAY(tblWorkPackages[[#This Row],[Request date serial]],3),"yyyy-mm-dd")</f>
        <v>2025-12-08</v>
      </c>
      <c r="P270" s="51">
        <f>ABS(tblWorkPackages[[#This Row],[Actual labor hours]]-tblWorkPackages[[#This Row],[Estimated labor hours]])</f>
        <v>0.1</v>
      </c>
      <c r="Q270" s="51">
        <f>IF(tblWorkPackages[[#This Row],[Actual labor hours]]&gt;tblWorkPackages[[#This Row],[Estimated labor hours]],1,0)</f>
        <v>0</v>
      </c>
      <c r="R270" s="51">
        <f>tblWorkPackages[[#This Row],[Actual labor hours]]-tblWorkPackages[[#This Row],[Estimated labor hours]]</f>
        <v>-0.1</v>
      </c>
      <c r="S270" s="51" t="str">
        <f>IF(tblWorkPackages[[#This Row],[Request date serial]]&lt;ValidationStart,"Train 2024",IF(tblWorkPackages[[#This Row],[Request date serial]]&lt;HoldoutStart,"Validation H1","Holdout H2"))</f>
        <v>Holdout H2</v>
      </c>
      <c r="T270" s="51">
        <f>IF(tblWorkPackages[[#This Row],[Time split]]="Train 2024","",tblWorkPackages[[#This Row],[Estimated labor hours]]+VLOOKUP(tblWorkPackages[[#This Row],[Task type]],'Forecast validation'!$A$14:$E$25,IF(tblWorkPackages[[#This Row],[Time split]]="Validation H1",4,5),FALSE()))</f>
        <v>3.32893081761006</v>
      </c>
      <c r="U270" s="51">
        <f>IF(tblWorkPackages[[#This Row],[Calibrated forecast hours]]="","",ABS(tblWorkPackages[[#This Row],[Actual labor hours]]-tblWorkPackages[[#This Row],[Calibrated forecast hours]]))</f>
        <v>0.428930817610063</v>
      </c>
      <c r="V270" s="51">
        <f>IF(tblWorkPackages[[#This Row],[Time split]]="Train 2024",tblWorkPackages[[#This Row],[Estimated labor hours]],tblWorkPackages[[#This Row],[Calibrated forecast hours]])</f>
        <v>3.32893081761006</v>
      </c>
      <c r="W270" s="64">
        <f>DATEVALUE(tblWorkPackages[[#This Row],[Request date]])</f>
        <v>46001.0</v>
      </c>
      <c r="X270" s="64">
        <f>DATEVALUE(tblWorkPackages[[#This Row],[Due date]])</f>
        <v>46014.0</v>
      </c>
      <c r="Y270" s="64">
        <f>DATEVALUE(tblWorkPackages[[#This Row],[Completion date]])</f>
        <v>46006.0</v>
      </c>
      <c r="Z270" s="64">
        <f>_xlfn.MINIFS(tblLaborEntries[Work date serial],tblLaborEntries[Work package ID],tblWorkPackages[[#This Row],[Work package ID]])</f>
        <v>46004.0</v>
      </c>
      <c r="AA270" s="64">
        <f>_xlfn.MAXIFS(tblLaborEntries[Work date serial],tblLaborEntries[Work package ID],tblWorkPackages[[#This Row],[Work package ID]])</f>
        <v>46006.0</v>
      </c>
      <c r="AB270" s="65">
        <f>IF(tblWorkPackages[[#This Row],[Completion date serial]]&gt;tblWorkPackages[[#This Row],[Due date serial]],1,0)</f>
        <v>0</v>
      </c>
      <c r="AC270" s="65">
        <f>MAX(0,tblWorkPackages[[#This Row],[Completion date serial]]-tblWorkPackages[[#This Row],[Due date serial]])</f>
        <v>0</v>
      </c>
      <c r="AD270" s="65">
        <f>tblWorkPackages[[#This Row],[First labor date]]-tblWorkPackages[[#This Row],[Request date serial]]</f>
        <v>3</v>
      </c>
      <c r="AE270" s="65">
        <f>tblWorkPackages[[#This Row],[Last labor date]]-tblWorkPackages[[#This Row],[First labor date]]</f>
        <v>2</v>
      </c>
      <c r="AF270" s="65">
        <f>tblWorkPackages[[#This Row],[Completion date serial]]-tblWorkPackages[[#This Row],[Last labor date]]</f>
        <v>0</v>
      </c>
      <c r="AG270" s="65">
        <f>tblWorkPackages[[#This Row],[Completion date serial]]-tblWorkPackages[[#This Row],[Request date serial]]</f>
        <v>5</v>
      </c>
      <c r="AH270" s="65">
        <f>IFERROR(INDEX(tblParts[Delay days],MATCH(tblWorkPackages[[#This Row],[Work package ID]],tblParts[Work package ID],0)),0)</f>
        <v>0</v>
      </c>
      <c r="AI270" s="51" t="str">
        <f>IFERROR(INDEX(tblDisruptions[Event type],MATCH(tblWorkPackages[[#This Row],[Work package ID]],tblDisruptions[Work package ID],0)),"None")</f>
        <v>None</v>
      </c>
      <c r="AJ270" s="51" t="str">
        <f>TEXT(tblWorkPackages[[#This Row],[Due date serial]],"yyyy-mm")</f>
        <v>2025-12</v>
      </c>
    </row>
    <row r="271" spans="1:36" ht="15" x14ac:dyDescent="0.25">
      <c r="A271" s="53" t="s">
        <v>919</v>
      </c>
      <c r="B271" s="53" t="s">
        <v>250</v>
      </c>
      <c r="C271" s="53" t="s">
        <v>321</v>
      </c>
      <c r="D271" s="53" t="s">
        <v>920</v>
      </c>
      <c r="E271" s="53" t="s">
        <v>237</v>
      </c>
      <c r="F271" s="53" t="s">
        <v>182</v>
      </c>
      <c r="G271" s="53" t="s">
        <v>138</v>
      </c>
      <c r="H271" s="53">
        <v>4</v>
      </c>
      <c r="I271" s="53" t="s">
        <v>130</v>
      </c>
      <c r="J271" s="53">
        <v>0</v>
      </c>
      <c r="K271" s="53">
        <v>0</v>
      </c>
      <c r="L271" s="53">
        <v>10.7</v>
      </c>
      <c r="M271" s="53" t="s">
        <v>417</v>
      </c>
      <c r="N271" s="53">
        <v>10.5</v>
      </c>
      <c r="O271" s="51" t="str">
        <f>TEXT(tblWorkPackages[[#This Row],[Request date serial]]-WEEKDAY(tblWorkPackages[[#This Row],[Request date serial]],3),"yyyy-mm-dd")</f>
        <v>2024-04-01</v>
      </c>
      <c r="P271" s="51">
        <f>ABS(tblWorkPackages[[#This Row],[Actual labor hours]]-tblWorkPackages[[#This Row],[Estimated labor hours]])</f>
        <v>0.199999999999999</v>
      </c>
      <c r="Q271" s="51">
        <f>IF(tblWorkPackages[[#This Row],[Actual labor hours]]&gt;tblWorkPackages[[#This Row],[Estimated labor hours]],1,0)</f>
        <v>0</v>
      </c>
      <c r="R271" s="51">
        <f>tblWorkPackages[[#This Row],[Actual labor hours]]-tblWorkPackages[[#This Row],[Estimated labor hours]]</f>
        <v>-0.199999999999999</v>
      </c>
      <c r="S271" s="51" t="str">
        <f>IF(tblWorkPackages[[#This Row],[Request date serial]]&lt;ValidationStart,"Train 2024",IF(tblWorkPackages[[#This Row],[Request date serial]]&lt;HoldoutStart,"Validation H1","Holdout H2"))</f>
        <v>Train 2024</v>
      </c>
      <c r="T271" s="51" t="str">
        <f>IF(tblWorkPackages[[#This Row],[Time split]]="Train 2024","",tblWorkPackages[[#This Row],[Estimated labor hours]]+VLOOKUP(tblWorkPackages[[#This Row],[Task type]],'Forecast validation'!$A$14:$E$25,IF(tblWorkPackages[[#This Row],[Time split]]="Validation H1",4,5),FALSE()))</f>
        <v/>
      </c>
      <c r="U271" s="51" t="str">
        <f>IF(tblWorkPackages[[#This Row],[Calibrated forecast hours]]="","",ABS(tblWorkPackages[[#This Row],[Actual labor hours]]-tblWorkPackages[[#This Row],[Calibrated forecast hours]]))</f>
        <v/>
      </c>
      <c r="V271" s="51">
        <f>IF(tblWorkPackages[[#This Row],[Time split]]="Train 2024",tblWorkPackages[[#This Row],[Estimated labor hours]],tblWorkPackages[[#This Row],[Calibrated forecast hours]])</f>
        <v>10.7</v>
      </c>
      <c r="W271" s="64">
        <f>DATEVALUE(tblWorkPackages[[#This Row],[Request date]])</f>
        <v>45388.0</v>
      </c>
      <c r="X271" s="64">
        <f>DATEVALUE(tblWorkPackages[[#This Row],[Due date]])</f>
        <v>45401.0</v>
      </c>
      <c r="Y271" s="64">
        <f>DATEVALUE(tblWorkPackages[[#This Row],[Completion date]])</f>
        <v>45416.0</v>
      </c>
      <c r="Z271" s="64">
        <f>_xlfn.MINIFS(tblLaborEntries[Work date serial],tblLaborEntries[Work package ID],tblWorkPackages[[#This Row],[Work package ID]])</f>
        <v>45413.0</v>
      </c>
      <c r="AA271" s="64">
        <f>_xlfn.MAXIFS(tblLaborEntries[Work date serial],tblLaborEntries[Work package ID],tblWorkPackages[[#This Row],[Work package ID]])</f>
        <v>45415.0</v>
      </c>
      <c r="AB271" s="65">
        <f>IF(tblWorkPackages[[#This Row],[Completion date serial]]&gt;tblWorkPackages[[#This Row],[Due date serial]],1,0)</f>
        <v>1</v>
      </c>
      <c r="AC271" s="65">
        <f>MAX(0,tblWorkPackages[[#This Row],[Completion date serial]]-tblWorkPackages[[#This Row],[Due date serial]])</f>
        <v>15</v>
      </c>
      <c r="AD271" s="65">
        <f>tblWorkPackages[[#This Row],[First labor date]]-tblWorkPackages[[#This Row],[Request date serial]]</f>
        <v>25</v>
      </c>
      <c r="AE271" s="65">
        <f>tblWorkPackages[[#This Row],[Last labor date]]-tblWorkPackages[[#This Row],[First labor date]]</f>
        <v>2</v>
      </c>
      <c r="AF271" s="65">
        <f>tblWorkPackages[[#This Row],[Completion date serial]]-tblWorkPackages[[#This Row],[Last labor date]]</f>
        <v>1</v>
      </c>
      <c r="AG271" s="65">
        <f>tblWorkPackages[[#This Row],[Completion date serial]]-tblWorkPackages[[#This Row],[Request date serial]]</f>
        <v>28</v>
      </c>
      <c r="AH271" s="65">
        <f>IFERROR(INDEX(tblParts[Delay days],MATCH(tblWorkPackages[[#This Row],[Work package ID]],tblParts[Work package ID],0)),0)</f>
        <v>0</v>
      </c>
      <c r="AI271" s="51" t="str">
        <f>IFERROR(INDEX(tblDisruptions[Event type],MATCH(tblWorkPackages[[#This Row],[Work package ID]],tblDisruptions[Work package ID],0)),"None")</f>
        <v>None</v>
      </c>
      <c r="AJ271" s="51" t="str">
        <f>TEXT(tblWorkPackages[[#This Row],[Due date serial]],"yyyy-mm")</f>
        <v>2024-04</v>
      </c>
    </row>
    <row r="272" spans="1:36" ht="15" x14ac:dyDescent="0.25">
      <c r="A272" s="53" t="s">
        <v>921</v>
      </c>
      <c r="B272" s="53" t="s">
        <v>163</v>
      </c>
      <c r="C272" s="53" t="s">
        <v>922</v>
      </c>
      <c r="D272" s="53" t="s">
        <v>456</v>
      </c>
      <c r="E272" s="53" t="s">
        <v>181</v>
      </c>
      <c r="F272" s="53" t="s">
        <v>182</v>
      </c>
      <c r="G272" s="53" t="s">
        <v>138</v>
      </c>
      <c r="H272" s="53">
        <v>1</v>
      </c>
      <c r="I272" s="53" t="s">
        <v>130</v>
      </c>
      <c r="J272" s="53">
        <v>0</v>
      </c>
      <c r="K272" s="53">
        <v>0</v>
      </c>
      <c r="L272" s="53">
        <v>4.5</v>
      </c>
      <c r="M272" s="53" t="s">
        <v>396</v>
      </c>
      <c r="N272" s="53">
        <v>4.2</v>
      </c>
      <c r="O272" s="51" t="str">
        <f>TEXT(tblWorkPackages[[#This Row],[Request date serial]]-WEEKDAY(tblWorkPackages[[#This Row],[Request date serial]],3),"yyyy-mm-dd")</f>
        <v>2024-12-23</v>
      </c>
      <c r="P272" s="51">
        <f>ABS(tblWorkPackages[[#This Row],[Actual labor hours]]-tblWorkPackages[[#This Row],[Estimated labor hours]])</f>
        <v>0.3</v>
      </c>
      <c r="Q272" s="51">
        <f>IF(tblWorkPackages[[#This Row],[Actual labor hours]]&gt;tblWorkPackages[[#This Row],[Estimated labor hours]],1,0)</f>
        <v>0</v>
      </c>
      <c r="R272" s="51">
        <f>tblWorkPackages[[#This Row],[Actual labor hours]]-tblWorkPackages[[#This Row],[Estimated labor hours]]</f>
        <v>-0.3</v>
      </c>
      <c r="S272" s="51" t="str">
        <f>IF(tblWorkPackages[[#This Row],[Request date serial]]&lt;ValidationStart,"Train 2024",IF(tblWorkPackages[[#This Row],[Request date serial]]&lt;HoldoutStart,"Validation H1","Holdout H2"))</f>
        <v>Train 2024</v>
      </c>
      <c r="T272" s="51" t="str">
        <f>IF(tblWorkPackages[[#This Row],[Time split]]="Train 2024","",tblWorkPackages[[#This Row],[Estimated labor hours]]+VLOOKUP(tblWorkPackages[[#This Row],[Task type]],'Forecast validation'!$A$14:$E$25,IF(tblWorkPackages[[#This Row],[Time split]]="Validation H1",4,5),FALSE()))</f>
        <v/>
      </c>
      <c r="U272" s="51" t="str">
        <f>IF(tblWorkPackages[[#This Row],[Calibrated forecast hours]]="","",ABS(tblWorkPackages[[#This Row],[Actual labor hours]]-tblWorkPackages[[#This Row],[Calibrated forecast hours]]))</f>
        <v/>
      </c>
      <c r="V272" s="51">
        <f>IF(tblWorkPackages[[#This Row],[Time split]]="Train 2024",tblWorkPackages[[#This Row],[Estimated labor hours]],tblWorkPackages[[#This Row],[Calibrated forecast hours]])</f>
        <v>4.5</v>
      </c>
      <c r="W272" s="64">
        <f>DATEVALUE(tblWorkPackages[[#This Row],[Request date]])</f>
        <v>45651.0</v>
      </c>
      <c r="X272" s="64">
        <f>DATEVALUE(tblWorkPackages[[#This Row],[Due date]])</f>
        <v>45664.0</v>
      </c>
      <c r="Y272" s="64">
        <f>DATEVALUE(tblWorkPackages[[#This Row],[Completion date]])</f>
        <v>45657.0</v>
      </c>
      <c r="Z272" s="64">
        <f>_xlfn.MINIFS(tblLaborEntries[Work date serial],tblLaborEntries[Work package ID],tblWorkPackages[[#This Row],[Work package ID]])</f>
        <v>45655.0</v>
      </c>
      <c r="AA272" s="64">
        <f>_xlfn.MAXIFS(tblLaborEntries[Work date serial],tblLaborEntries[Work package ID],tblWorkPackages[[#This Row],[Work package ID]])</f>
        <v>45655.0</v>
      </c>
      <c r="AB272" s="65">
        <f>IF(tblWorkPackages[[#This Row],[Completion date serial]]&gt;tblWorkPackages[[#This Row],[Due date serial]],1,0)</f>
        <v>0</v>
      </c>
      <c r="AC272" s="65">
        <f>MAX(0,tblWorkPackages[[#This Row],[Completion date serial]]-tblWorkPackages[[#This Row],[Due date serial]])</f>
        <v>0</v>
      </c>
      <c r="AD272" s="65">
        <f>tblWorkPackages[[#This Row],[First labor date]]-tblWorkPackages[[#This Row],[Request date serial]]</f>
        <v>4</v>
      </c>
      <c r="AE272" s="65">
        <f>tblWorkPackages[[#This Row],[Last labor date]]-tblWorkPackages[[#This Row],[First labor date]]</f>
        <v>0</v>
      </c>
      <c r="AF272" s="65">
        <f>tblWorkPackages[[#This Row],[Completion date serial]]-tblWorkPackages[[#This Row],[Last labor date]]</f>
        <v>2</v>
      </c>
      <c r="AG272" s="65">
        <f>tblWorkPackages[[#This Row],[Completion date serial]]-tblWorkPackages[[#This Row],[Request date serial]]</f>
        <v>6</v>
      </c>
      <c r="AH272" s="65">
        <f>IFERROR(INDEX(tblParts[Delay days],MATCH(tblWorkPackages[[#This Row],[Work package ID]],tblParts[Work package ID],0)),0)</f>
        <v>0</v>
      </c>
      <c r="AI272" s="51" t="str">
        <f>IFERROR(INDEX(tblDisruptions[Event type],MATCH(tblWorkPackages[[#This Row],[Work package ID]],tblDisruptions[Work package ID],0)),"None")</f>
        <v>None</v>
      </c>
      <c r="AJ272" s="51" t="str">
        <f>TEXT(tblWorkPackages[[#This Row],[Due date serial]],"yyyy-mm")</f>
        <v>2025-01</v>
      </c>
    </row>
    <row r="273" spans="1:36" ht="15" x14ac:dyDescent="0.25">
      <c r="A273" s="53" t="s">
        <v>923</v>
      </c>
      <c r="B273" s="53" t="s">
        <v>124</v>
      </c>
      <c r="C273" s="53" t="s">
        <v>729</v>
      </c>
      <c r="D273" s="53" t="s">
        <v>740</v>
      </c>
      <c r="E273" s="53" t="s">
        <v>181</v>
      </c>
      <c r="F273" s="53" t="s">
        <v>182</v>
      </c>
      <c r="G273" s="53" t="s">
        <v>138</v>
      </c>
      <c r="H273" s="53">
        <v>4</v>
      </c>
      <c r="I273" s="53" t="s">
        <v>130</v>
      </c>
      <c r="J273" s="53">
        <v>0</v>
      </c>
      <c r="K273" s="53">
        <v>1</v>
      </c>
      <c r="L273" s="53">
        <v>15.8</v>
      </c>
      <c r="M273" s="53" t="s">
        <v>924</v>
      </c>
      <c r="N273" s="53">
        <v>19.2</v>
      </c>
      <c r="O273" s="51" t="str">
        <f>TEXT(tblWorkPackages[[#This Row],[Request date serial]]-WEEKDAY(tblWorkPackages[[#This Row],[Request date serial]],3),"yyyy-mm-dd")</f>
        <v>2025-05-05</v>
      </c>
      <c r="P273" s="51">
        <f>ABS(tblWorkPackages[[#This Row],[Actual labor hours]]-tblWorkPackages[[#This Row],[Estimated labor hours]])</f>
        <v>3.4</v>
      </c>
      <c r="Q273" s="51">
        <f>IF(tblWorkPackages[[#This Row],[Actual labor hours]]&gt;tblWorkPackages[[#This Row],[Estimated labor hours]],1,0)</f>
        <v>1</v>
      </c>
      <c r="R273" s="51">
        <f>tblWorkPackages[[#This Row],[Actual labor hours]]-tblWorkPackages[[#This Row],[Estimated labor hours]]</f>
        <v>3.4</v>
      </c>
      <c r="S273" s="51" t="str">
        <f>IF(tblWorkPackages[[#This Row],[Request date serial]]&lt;ValidationStart,"Train 2024",IF(tblWorkPackages[[#This Row],[Request date serial]]&lt;HoldoutStart,"Validation H1","Holdout H2"))</f>
        <v>Validation H1</v>
      </c>
      <c r="T273" s="51">
        <f>IF(tblWorkPackages[[#This Row],[Time split]]="Train 2024","",tblWorkPackages[[#This Row],[Estimated labor hours]]+VLOOKUP(tblWorkPackages[[#This Row],[Task type]],'Forecast validation'!$A$14:$E$25,IF(tblWorkPackages[[#This Row],[Time split]]="Validation H1",4,5),FALSE()))</f>
        <v>16.3840909090909</v>
      </c>
      <c r="U273" s="51">
        <f>IF(tblWorkPackages[[#This Row],[Calibrated forecast hours]]="","",ABS(tblWorkPackages[[#This Row],[Actual labor hours]]-tblWorkPackages[[#This Row],[Calibrated forecast hours]]))</f>
        <v>2.81590909090909</v>
      </c>
      <c r="V273" s="51">
        <f>IF(tblWorkPackages[[#This Row],[Time split]]="Train 2024",tblWorkPackages[[#This Row],[Estimated labor hours]],tblWorkPackages[[#This Row],[Calibrated forecast hours]])</f>
        <v>16.3840909090909</v>
      </c>
      <c r="W273" s="64">
        <f>DATEVALUE(tblWorkPackages[[#This Row],[Request date]])</f>
        <v>45784.0</v>
      </c>
      <c r="X273" s="64">
        <f>DATEVALUE(tblWorkPackages[[#This Row],[Due date]])</f>
        <v>45797.0</v>
      </c>
      <c r="Y273" s="64">
        <f>DATEVALUE(tblWorkPackages[[#This Row],[Completion date]])</f>
        <v>45789.0</v>
      </c>
      <c r="Z273" s="64">
        <f>_xlfn.MINIFS(tblLaborEntries[Work date serial],tblLaborEntries[Work package ID],tblWorkPackages[[#This Row],[Work package ID]])</f>
        <v>45785.0</v>
      </c>
      <c r="AA273" s="64">
        <f>_xlfn.MAXIFS(tblLaborEntries[Work date serial],tblLaborEntries[Work package ID],tblWorkPackages[[#This Row],[Work package ID]])</f>
        <v>45786.0</v>
      </c>
      <c r="AB273" s="65">
        <f>IF(tblWorkPackages[[#This Row],[Completion date serial]]&gt;tblWorkPackages[[#This Row],[Due date serial]],1,0)</f>
        <v>0</v>
      </c>
      <c r="AC273" s="65">
        <f>MAX(0,tblWorkPackages[[#This Row],[Completion date serial]]-tblWorkPackages[[#This Row],[Due date serial]])</f>
        <v>0</v>
      </c>
      <c r="AD273" s="65">
        <f>tblWorkPackages[[#This Row],[First labor date]]-tblWorkPackages[[#This Row],[Request date serial]]</f>
        <v>1</v>
      </c>
      <c r="AE273" s="65">
        <f>tblWorkPackages[[#This Row],[Last labor date]]-tblWorkPackages[[#This Row],[First labor date]]</f>
        <v>1</v>
      </c>
      <c r="AF273" s="65">
        <f>tblWorkPackages[[#This Row],[Completion date serial]]-tblWorkPackages[[#This Row],[Last labor date]]</f>
        <v>3</v>
      </c>
      <c r="AG273" s="65">
        <f>tblWorkPackages[[#This Row],[Completion date serial]]-tblWorkPackages[[#This Row],[Request date serial]]</f>
        <v>5</v>
      </c>
      <c r="AH273" s="65">
        <f>IFERROR(INDEX(tblParts[Delay days],MATCH(tblWorkPackages[[#This Row],[Work package ID]],tblParts[Work package ID],0)),0)</f>
        <v>0</v>
      </c>
      <c r="AI273" s="51" t="str">
        <f>IFERROR(INDEX(tblDisruptions[Event type],MATCH(tblWorkPackages[[#This Row],[Work package ID]],tblDisruptions[Work package ID],0)),"None")</f>
        <v>None</v>
      </c>
      <c r="AJ273" s="51" t="str">
        <f>TEXT(tblWorkPackages[[#This Row],[Due date serial]],"yyyy-mm")</f>
        <v>2025-05</v>
      </c>
    </row>
    <row r="274" spans="1:36" ht="15" x14ac:dyDescent="0.25">
      <c r="A274" s="53" t="s">
        <v>925</v>
      </c>
      <c r="B274" s="53" t="s">
        <v>150</v>
      </c>
      <c r="C274" s="53" t="s">
        <v>926</v>
      </c>
      <c r="D274" s="53" t="s">
        <v>475</v>
      </c>
      <c r="E274" s="53" t="s">
        <v>242</v>
      </c>
      <c r="F274" s="53" t="s">
        <v>243</v>
      </c>
      <c r="G274" s="53" t="s">
        <v>129</v>
      </c>
      <c r="H274" s="53">
        <v>2</v>
      </c>
      <c r="I274" s="53" t="s">
        <v>130</v>
      </c>
      <c r="J274" s="53">
        <v>0</v>
      </c>
      <c r="K274" s="53">
        <v>1</v>
      </c>
      <c r="L274" s="53">
        <v>9.6</v>
      </c>
      <c r="M274" s="53" t="s">
        <v>719</v>
      </c>
      <c r="N274" s="53">
        <v>10.6</v>
      </c>
      <c r="O274" s="51" t="str">
        <f>TEXT(tblWorkPackages[[#This Row],[Request date serial]]-WEEKDAY(tblWorkPackages[[#This Row],[Request date serial]],3),"yyyy-mm-dd")</f>
        <v>2024-02-12</v>
      </c>
      <c r="P274" s="51">
        <f>ABS(tblWorkPackages[[#This Row],[Actual labor hours]]-tblWorkPackages[[#This Row],[Estimated labor hours]])</f>
        <v>1</v>
      </c>
      <c r="Q274" s="51">
        <f>IF(tblWorkPackages[[#This Row],[Actual labor hours]]&gt;tblWorkPackages[[#This Row],[Estimated labor hours]],1,0)</f>
        <v>1</v>
      </c>
      <c r="R274" s="51">
        <f>tblWorkPackages[[#This Row],[Actual labor hours]]-tblWorkPackages[[#This Row],[Estimated labor hours]]</f>
        <v>1</v>
      </c>
      <c r="S274" s="51" t="str">
        <f>IF(tblWorkPackages[[#This Row],[Request date serial]]&lt;ValidationStart,"Train 2024",IF(tblWorkPackages[[#This Row],[Request date serial]]&lt;HoldoutStart,"Validation H1","Holdout H2"))</f>
        <v>Train 2024</v>
      </c>
      <c r="T274" s="51" t="str">
        <f>IF(tblWorkPackages[[#This Row],[Time split]]="Train 2024","",tblWorkPackages[[#This Row],[Estimated labor hours]]+VLOOKUP(tblWorkPackages[[#This Row],[Task type]],'Forecast validation'!$A$14:$E$25,IF(tblWorkPackages[[#This Row],[Time split]]="Validation H1",4,5),FALSE()))</f>
        <v/>
      </c>
      <c r="U274" s="51" t="str">
        <f>IF(tblWorkPackages[[#This Row],[Calibrated forecast hours]]="","",ABS(tblWorkPackages[[#This Row],[Actual labor hours]]-tblWorkPackages[[#This Row],[Calibrated forecast hours]]))</f>
        <v/>
      </c>
      <c r="V274" s="51">
        <f>IF(tblWorkPackages[[#This Row],[Time split]]="Train 2024",tblWorkPackages[[#This Row],[Estimated labor hours]],tblWorkPackages[[#This Row],[Calibrated forecast hours]])</f>
        <v>9.6</v>
      </c>
      <c r="W274" s="64">
        <f>DATEVALUE(tblWorkPackages[[#This Row],[Request date]])</f>
        <v>45340.0</v>
      </c>
      <c r="X274" s="64">
        <f>DATEVALUE(tblWorkPackages[[#This Row],[Due date]])</f>
        <v>45353.0</v>
      </c>
      <c r="Y274" s="64">
        <f>DATEVALUE(tblWorkPackages[[#This Row],[Completion date]])</f>
        <v>45354.0</v>
      </c>
      <c r="Z274" s="64">
        <f>_xlfn.MINIFS(tblLaborEntries[Work date serial],tblLaborEntries[Work package ID],tblWorkPackages[[#This Row],[Work package ID]])</f>
        <v>45353.0</v>
      </c>
      <c r="AA274" s="64">
        <f>_xlfn.MAXIFS(tblLaborEntries[Work date serial],tblLaborEntries[Work package ID],tblWorkPackages[[#This Row],[Work package ID]])</f>
        <v>45354.0</v>
      </c>
      <c r="AB274" s="65">
        <f>IF(tblWorkPackages[[#This Row],[Completion date serial]]&gt;tblWorkPackages[[#This Row],[Due date serial]],1,0)</f>
        <v>1</v>
      </c>
      <c r="AC274" s="65">
        <f>MAX(0,tblWorkPackages[[#This Row],[Completion date serial]]-tblWorkPackages[[#This Row],[Due date serial]])</f>
        <v>1</v>
      </c>
      <c r="AD274" s="65">
        <f>tblWorkPackages[[#This Row],[First labor date]]-tblWorkPackages[[#This Row],[Request date serial]]</f>
        <v>13</v>
      </c>
      <c r="AE274" s="65">
        <f>tblWorkPackages[[#This Row],[Last labor date]]-tblWorkPackages[[#This Row],[First labor date]]</f>
        <v>1</v>
      </c>
      <c r="AF274" s="65">
        <f>tblWorkPackages[[#This Row],[Completion date serial]]-tblWorkPackages[[#This Row],[Last labor date]]</f>
        <v>0</v>
      </c>
      <c r="AG274" s="65">
        <f>tblWorkPackages[[#This Row],[Completion date serial]]-tblWorkPackages[[#This Row],[Request date serial]]</f>
        <v>14</v>
      </c>
      <c r="AH274" s="65">
        <f>IFERROR(INDEX(tblParts[Delay days],MATCH(tblWorkPackages[[#This Row],[Work package ID]],tblParts[Work package ID],0)),0)</f>
        <v>0</v>
      </c>
      <c r="AI274" s="51" t="str">
        <f>IFERROR(INDEX(tblDisruptions[Event type],MATCH(tblWorkPackages[[#This Row],[Work package ID]],tblDisruptions[Work package ID],0)),"None")</f>
        <v>Equipment unavailable</v>
      </c>
      <c r="AJ274" s="51" t="str">
        <f>TEXT(tblWorkPackages[[#This Row],[Due date serial]],"yyyy-mm")</f>
        <v>2024-03</v>
      </c>
    </row>
    <row r="275" spans="1:36" ht="15" x14ac:dyDescent="0.25">
      <c r="A275" s="53" t="s">
        <v>927</v>
      </c>
      <c r="B275" s="53" t="s">
        <v>141</v>
      </c>
      <c r="C275" s="53" t="s">
        <v>563</v>
      </c>
      <c r="D275" s="53" t="s">
        <v>761</v>
      </c>
      <c r="E275" s="53" t="s">
        <v>160</v>
      </c>
      <c r="F275" s="53" t="s">
        <v>128</v>
      </c>
      <c r="G275" s="53" t="s">
        <v>138</v>
      </c>
      <c r="H275" s="53">
        <v>3</v>
      </c>
      <c r="I275" s="53" t="s">
        <v>130</v>
      </c>
      <c r="J275" s="53">
        <v>0</v>
      </c>
      <c r="K275" s="53">
        <v>1</v>
      </c>
      <c r="L275" s="53">
        <v>6.5</v>
      </c>
      <c r="M275" s="53" t="s">
        <v>419</v>
      </c>
      <c r="N275" s="53">
        <v>7.4</v>
      </c>
      <c r="O275" s="51" t="str">
        <f>TEXT(tblWorkPackages[[#This Row],[Request date serial]]-WEEKDAY(tblWorkPackages[[#This Row],[Request date serial]],3),"yyyy-mm-dd")</f>
        <v>2024-06-03</v>
      </c>
      <c r="P275" s="51">
        <f>ABS(tblWorkPackages[[#This Row],[Actual labor hours]]-tblWorkPackages[[#This Row],[Estimated labor hours]])</f>
        <v>0.9</v>
      </c>
      <c r="Q275" s="51">
        <f>IF(tblWorkPackages[[#This Row],[Actual labor hours]]&gt;tblWorkPackages[[#This Row],[Estimated labor hours]],1,0)</f>
        <v>1</v>
      </c>
      <c r="R275" s="51">
        <f>tblWorkPackages[[#This Row],[Actual labor hours]]-tblWorkPackages[[#This Row],[Estimated labor hours]]</f>
        <v>0.9</v>
      </c>
      <c r="S275" s="51" t="str">
        <f>IF(tblWorkPackages[[#This Row],[Request date serial]]&lt;ValidationStart,"Train 2024",IF(tblWorkPackages[[#This Row],[Request date serial]]&lt;HoldoutStart,"Validation H1","Holdout H2"))</f>
        <v>Train 2024</v>
      </c>
      <c r="T275" s="51" t="str">
        <f>IF(tblWorkPackages[[#This Row],[Time split]]="Train 2024","",tblWorkPackages[[#This Row],[Estimated labor hours]]+VLOOKUP(tblWorkPackages[[#This Row],[Task type]],'Forecast validation'!$A$14:$E$25,IF(tblWorkPackages[[#This Row],[Time split]]="Validation H1",4,5),FALSE()))</f>
        <v/>
      </c>
      <c r="U275" s="51" t="str">
        <f>IF(tblWorkPackages[[#This Row],[Calibrated forecast hours]]="","",ABS(tblWorkPackages[[#This Row],[Actual labor hours]]-tblWorkPackages[[#This Row],[Calibrated forecast hours]]))</f>
        <v/>
      </c>
      <c r="V275" s="51">
        <f>IF(tblWorkPackages[[#This Row],[Time split]]="Train 2024",tblWorkPackages[[#This Row],[Estimated labor hours]],tblWorkPackages[[#This Row],[Calibrated forecast hours]])</f>
        <v>6.5</v>
      </c>
      <c r="W275" s="64">
        <f>DATEVALUE(tblWorkPackages[[#This Row],[Request date]])</f>
        <v>45447.0</v>
      </c>
      <c r="X275" s="64">
        <f>DATEVALUE(tblWorkPackages[[#This Row],[Due date]])</f>
        <v>45460.0</v>
      </c>
      <c r="Y275" s="64">
        <f>DATEVALUE(tblWorkPackages[[#This Row],[Completion date]])</f>
        <v>45457.0</v>
      </c>
      <c r="Z275" s="64">
        <f>_xlfn.MINIFS(tblLaborEntries[Work date serial],tblLaborEntries[Work package ID],tblWorkPackages[[#This Row],[Work package ID]])</f>
        <v>45455.0</v>
      </c>
      <c r="AA275" s="64">
        <f>_xlfn.MAXIFS(tblLaborEntries[Work date serial],tblLaborEntries[Work package ID],tblWorkPackages[[#This Row],[Work package ID]])</f>
        <v>45456.0</v>
      </c>
      <c r="AB275" s="65">
        <f>IF(tblWorkPackages[[#This Row],[Completion date serial]]&gt;tblWorkPackages[[#This Row],[Due date serial]],1,0)</f>
        <v>0</v>
      </c>
      <c r="AC275" s="65">
        <f>MAX(0,tblWorkPackages[[#This Row],[Completion date serial]]-tblWorkPackages[[#This Row],[Due date serial]])</f>
        <v>0</v>
      </c>
      <c r="AD275" s="65">
        <f>tblWorkPackages[[#This Row],[First labor date]]-tblWorkPackages[[#This Row],[Request date serial]]</f>
        <v>8</v>
      </c>
      <c r="AE275" s="65">
        <f>tblWorkPackages[[#This Row],[Last labor date]]-tblWorkPackages[[#This Row],[First labor date]]</f>
        <v>1</v>
      </c>
      <c r="AF275" s="65">
        <f>tblWorkPackages[[#This Row],[Completion date serial]]-tblWorkPackages[[#This Row],[Last labor date]]</f>
        <v>1</v>
      </c>
      <c r="AG275" s="65">
        <f>tblWorkPackages[[#This Row],[Completion date serial]]-tblWorkPackages[[#This Row],[Request date serial]]</f>
        <v>10</v>
      </c>
      <c r="AH275" s="65">
        <f>IFERROR(INDEX(tblParts[Delay days],MATCH(tblWorkPackages[[#This Row],[Work package ID]],tblParts[Work package ID],0)),0)</f>
        <v>5</v>
      </c>
      <c r="AI275" s="51" t="str">
        <f>IFERROR(INDEX(tblDisruptions[Event type],MATCH(tblWorkPackages[[#This Row],[Work package ID]],tblDisruptions[Work package ID],0)),"None")</f>
        <v>Part delay</v>
      </c>
      <c r="AJ275" s="51" t="str">
        <f>TEXT(tblWorkPackages[[#This Row],[Due date serial]],"yyyy-mm")</f>
        <v>2024-06</v>
      </c>
    </row>
    <row r="276" spans="1:36" ht="15" x14ac:dyDescent="0.25">
      <c r="A276" s="53" t="s">
        <v>928</v>
      </c>
      <c r="B276" s="53" t="s">
        <v>133</v>
      </c>
      <c r="C276" s="53" t="s">
        <v>821</v>
      </c>
      <c r="D276" s="53" t="s">
        <v>407</v>
      </c>
      <c r="E276" s="53" t="s">
        <v>209</v>
      </c>
      <c r="F276" s="53" t="s">
        <v>145</v>
      </c>
      <c r="G276" s="53" t="s">
        <v>210</v>
      </c>
      <c r="H276" s="53">
        <v>3</v>
      </c>
      <c r="I276" s="53" t="s">
        <v>130</v>
      </c>
      <c r="J276" s="53">
        <v>0</v>
      </c>
      <c r="K276" s="53">
        <v>1</v>
      </c>
      <c r="L276" s="53">
        <v>30.2</v>
      </c>
      <c r="M276" s="53" t="s">
        <v>929</v>
      </c>
      <c r="N276" s="53">
        <v>30.1</v>
      </c>
      <c r="O276" s="51" t="str">
        <f>TEXT(tblWorkPackages[[#This Row],[Request date serial]]-WEEKDAY(tblWorkPackages[[#This Row],[Request date serial]],3),"yyyy-mm-dd")</f>
        <v>2024-05-13</v>
      </c>
      <c r="P276" s="51">
        <f>ABS(tblWorkPackages[[#This Row],[Actual labor hours]]-tblWorkPackages[[#This Row],[Estimated labor hours]])</f>
        <v>0.0999999999999979</v>
      </c>
      <c r="Q276" s="51">
        <f>IF(tblWorkPackages[[#This Row],[Actual labor hours]]&gt;tblWorkPackages[[#This Row],[Estimated labor hours]],1,0)</f>
        <v>0</v>
      </c>
      <c r="R276" s="51">
        <f>tblWorkPackages[[#This Row],[Actual labor hours]]-tblWorkPackages[[#This Row],[Estimated labor hours]]</f>
        <v>-0.0999999999999979</v>
      </c>
      <c r="S276" s="51" t="str">
        <f>IF(tblWorkPackages[[#This Row],[Request date serial]]&lt;ValidationStart,"Train 2024",IF(tblWorkPackages[[#This Row],[Request date serial]]&lt;HoldoutStart,"Validation H1","Holdout H2"))</f>
        <v>Train 2024</v>
      </c>
      <c r="T276" s="51" t="str">
        <f>IF(tblWorkPackages[[#This Row],[Time split]]="Train 2024","",tblWorkPackages[[#This Row],[Estimated labor hours]]+VLOOKUP(tblWorkPackages[[#This Row],[Task type]],'Forecast validation'!$A$14:$E$25,IF(tblWorkPackages[[#This Row],[Time split]]="Validation H1",4,5),FALSE()))</f>
        <v/>
      </c>
      <c r="U276" s="51" t="str">
        <f>IF(tblWorkPackages[[#This Row],[Calibrated forecast hours]]="","",ABS(tblWorkPackages[[#This Row],[Actual labor hours]]-tblWorkPackages[[#This Row],[Calibrated forecast hours]]))</f>
        <v/>
      </c>
      <c r="V276" s="51">
        <f>IF(tblWorkPackages[[#This Row],[Time split]]="Train 2024",tblWorkPackages[[#This Row],[Estimated labor hours]],tblWorkPackages[[#This Row],[Calibrated forecast hours]])</f>
        <v>30.2</v>
      </c>
      <c r="W276" s="64">
        <f>DATEVALUE(tblWorkPackages[[#This Row],[Request date]])</f>
        <v>45428.0</v>
      </c>
      <c r="X276" s="64">
        <f>DATEVALUE(tblWorkPackages[[#This Row],[Due date]])</f>
        <v>45441.0</v>
      </c>
      <c r="Y276" s="64">
        <f>DATEVALUE(tblWorkPackages[[#This Row],[Completion date]])</f>
        <v>45473.0</v>
      </c>
      <c r="Z276" s="64">
        <f>_xlfn.MINIFS(tblLaborEntries[Work date serial],tblLaborEntries[Work package ID],tblWorkPackages[[#This Row],[Work package ID]])</f>
        <v>45469.0</v>
      </c>
      <c r="AA276" s="64">
        <f>_xlfn.MAXIFS(tblLaborEntries[Work date serial],tblLaborEntries[Work package ID],tblWorkPackages[[#This Row],[Work package ID]])</f>
        <v>45471.0</v>
      </c>
      <c r="AB276" s="65">
        <f>IF(tblWorkPackages[[#This Row],[Completion date serial]]&gt;tblWorkPackages[[#This Row],[Due date serial]],1,0)</f>
        <v>1</v>
      </c>
      <c r="AC276" s="65">
        <f>MAX(0,tblWorkPackages[[#This Row],[Completion date serial]]-tblWorkPackages[[#This Row],[Due date serial]])</f>
        <v>32</v>
      </c>
      <c r="AD276" s="65">
        <f>tblWorkPackages[[#This Row],[First labor date]]-tblWorkPackages[[#This Row],[Request date serial]]</f>
        <v>41</v>
      </c>
      <c r="AE276" s="65">
        <f>tblWorkPackages[[#This Row],[Last labor date]]-tblWorkPackages[[#This Row],[First labor date]]</f>
        <v>2</v>
      </c>
      <c r="AF276" s="65">
        <f>tblWorkPackages[[#This Row],[Completion date serial]]-tblWorkPackages[[#This Row],[Last labor date]]</f>
        <v>2</v>
      </c>
      <c r="AG276" s="65">
        <f>tblWorkPackages[[#This Row],[Completion date serial]]-tblWorkPackages[[#This Row],[Request date serial]]</f>
        <v>45</v>
      </c>
      <c r="AH276" s="65">
        <f>IFERROR(INDEX(tblParts[Delay days],MATCH(tblWorkPackages[[#This Row],[Work package ID]],tblParts[Work package ID],0)),0)</f>
        <v>0</v>
      </c>
      <c r="AI276" s="51" t="str">
        <f>IFERROR(INDEX(tblDisruptions[Event type],MATCH(tblWorkPackages[[#This Row],[Work package ID]],tblDisruptions[Work package ID],0)),"None")</f>
        <v>None</v>
      </c>
      <c r="AJ276" s="51" t="str">
        <f>TEXT(tblWorkPackages[[#This Row],[Due date serial]],"yyyy-mm")</f>
        <v>2024-05</v>
      </c>
    </row>
    <row r="277" spans="1:36" ht="15" x14ac:dyDescent="0.25">
      <c r="A277" s="53" t="s">
        <v>930</v>
      </c>
      <c r="B277" s="53" t="s">
        <v>163</v>
      </c>
      <c r="C277" s="53" t="s">
        <v>470</v>
      </c>
      <c r="D277" s="53" t="s">
        <v>471</v>
      </c>
      <c r="E277" s="53" t="s">
        <v>242</v>
      </c>
      <c r="F277" s="53" t="s">
        <v>243</v>
      </c>
      <c r="G277" s="53" t="s">
        <v>129</v>
      </c>
      <c r="H277" s="53">
        <v>4</v>
      </c>
      <c r="I277" s="53" t="s">
        <v>130</v>
      </c>
      <c r="J277" s="53">
        <v>0</v>
      </c>
      <c r="K277" s="53">
        <v>0</v>
      </c>
      <c r="L277" s="53">
        <v>16.899999999999999</v>
      </c>
      <c r="M277" s="53" t="s">
        <v>931</v>
      </c>
      <c r="N277" s="53">
        <v>13</v>
      </c>
      <c r="O277" s="51" t="str">
        <f>TEXT(tblWorkPackages[[#This Row],[Request date serial]]-WEEKDAY(tblWorkPackages[[#This Row],[Request date serial]],3),"yyyy-mm-dd")</f>
        <v>2024-04-15</v>
      </c>
      <c r="P277" s="51">
        <f>ABS(tblWorkPackages[[#This Row],[Actual labor hours]]-tblWorkPackages[[#This Row],[Estimated labor hours]])</f>
        <v>3.9</v>
      </c>
      <c r="Q277" s="51">
        <f>IF(tblWorkPackages[[#This Row],[Actual labor hours]]&gt;tblWorkPackages[[#This Row],[Estimated labor hours]],1,0)</f>
        <v>0</v>
      </c>
      <c r="R277" s="51">
        <f>tblWorkPackages[[#This Row],[Actual labor hours]]-tblWorkPackages[[#This Row],[Estimated labor hours]]</f>
        <v>-3.9</v>
      </c>
      <c r="S277" s="51" t="str">
        <f>IF(tblWorkPackages[[#This Row],[Request date serial]]&lt;ValidationStart,"Train 2024",IF(tblWorkPackages[[#This Row],[Request date serial]]&lt;HoldoutStart,"Validation H1","Holdout H2"))</f>
        <v>Train 2024</v>
      </c>
      <c r="T277" s="51" t="str">
        <f>IF(tblWorkPackages[[#This Row],[Time split]]="Train 2024","",tblWorkPackages[[#This Row],[Estimated labor hours]]+VLOOKUP(tblWorkPackages[[#This Row],[Task type]],'Forecast validation'!$A$14:$E$25,IF(tblWorkPackages[[#This Row],[Time split]]="Validation H1",4,5),FALSE()))</f>
        <v/>
      </c>
      <c r="U277" s="51" t="str">
        <f>IF(tblWorkPackages[[#This Row],[Calibrated forecast hours]]="","",ABS(tblWorkPackages[[#This Row],[Actual labor hours]]-tblWorkPackages[[#This Row],[Calibrated forecast hours]]))</f>
        <v/>
      </c>
      <c r="V277" s="51">
        <f>IF(tblWorkPackages[[#This Row],[Time split]]="Train 2024",tblWorkPackages[[#This Row],[Estimated labor hours]],tblWorkPackages[[#This Row],[Calibrated forecast hours]])</f>
        <v>16.9</v>
      </c>
      <c r="W277" s="64">
        <f>DATEVALUE(tblWorkPackages[[#This Row],[Request date]])</f>
        <v>45400.0</v>
      </c>
      <c r="X277" s="64">
        <f>DATEVALUE(tblWorkPackages[[#This Row],[Due date]])</f>
        <v>45413.0</v>
      </c>
      <c r="Y277" s="64">
        <f>DATEVALUE(tblWorkPackages[[#This Row],[Completion date]])</f>
        <v>45410.0</v>
      </c>
      <c r="Z277" s="64">
        <f>_xlfn.MINIFS(tblLaborEntries[Work date serial],tblLaborEntries[Work package ID],tblWorkPackages[[#This Row],[Work package ID]])</f>
        <v>45407.0</v>
      </c>
      <c r="AA277" s="64">
        <f>_xlfn.MAXIFS(tblLaborEntries[Work date serial],tblLaborEntries[Work package ID],tblWorkPackages[[#This Row],[Work package ID]])</f>
        <v>45407.0</v>
      </c>
      <c r="AB277" s="65">
        <f>IF(tblWorkPackages[[#This Row],[Completion date serial]]&gt;tblWorkPackages[[#This Row],[Due date serial]],1,0)</f>
        <v>0</v>
      </c>
      <c r="AC277" s="65">
        <f>MAX(0,tblWorkPackages[[#This Row],[Completion date serial]]-tblWorkPackages[[#This Row],[Due date serial]])</f>
        <v>0</v>
      </c>
      <c r="AD277" s="65">
        <f>tblWorkPackages[[#This Row],[First labor date]]-tblWorkPackages[[#This Row],[Request date serial]]</f>
        <v>7</v>
      </c>
      <c r="AE277" s="65">
        <f>tblWorkPackages[[#This Row],[Last labor date]]-tblWorkPackages[[#This Row],[First labor date]]</f>
        <v>0</v>
      </c>
      <c r="AF277" s="65">
        <f>tblWorkPackages[[#This Row],[Completion date serial]]-tblWorkPackages[[#This Row],[Last labor date]]</f>
        <v>3</v>
      </c>
      <c r="AG277" s="65">
        <f>tblWorkPackages[[#This Row],[Completion date serial]]-tblWorkPackages[[#This Row],[Request date serial]]</f>
        <v>10</v>
      </c>
      <c r="AH277" s="65">
        <f>IFERROR(INDEX(tblParts[Delay days],MATCH(tblWorkPackages[[#This Row],[Work package ID]],tblParts[Work package ID],0)),0)</f>
        <v>0</v>
      </c>
      <c r="AI277" s="51" t="str">
        <f>IFERROR(INDEX(tblDisruptions[Event type],MATCH(tblWorkPackages[[#This Row],[Work package ID]],tblDisruptions[Work package ID],0)),"None")</f>
        <v>None</v>
      </c>
      <c r="AJ277" s="51" t="str">
        <f>TEXT(tblWorkPackages[[#This Row],[Due date serial]],"yyyy-mm")</f>
        <v>2024-05</v>
      </c>
    </row>
    <row r="278" spans="1:36" ht="15" x14ac:dyDescent="0.25">
      <c r="A278" s="53" t="s">
        <v>932</v>
      </c>
      <c r="B278" s="53" t="s">
        <v>173</v>
      </c>
      <c r="C278" s="53" t="s">
        <v>515</v>
      </c>
      <c r="D278" s="53" t="s">
        <v>256</v>
      </c>
      <c r="E278" s="53" t="s">
        <v>242</v>
      </c>
      <c r="F278" s="53" t="s">
        <v>243</v>
      </c>
      <c r="G278" s="53" t="s">
        <v>129</v>
      </c>
      <c r="H278" s="53">
        <v>4</v>
      </c>
      <c r="I278" s="53" t="s">
        <v>130</v>
      </c>
      <c r="J278" s="53">
        <v>0</v>
      </c>
      <c r="K278" s="53">
        <v>0</v>
      </c>
      <c r="L278" s="53">
        <v>13.5</v>
      </c>
      <c r="M278" s="53" t="s">
        <v>933</v>
      </c>
      <c r="N278" s="53">
        <v>15.8</v>
      </c>
      <c r="O278" s="51" t="str">
        <f>TEXT(tblWorkPackages[[#This Row],[Request date serial]]-WEEKDAY(tblWorkPackages[[#This Row],[Request date serial]],3),"yyyy-mm-dd")</f>
        <v>2024-11-25</v>
      </c>
      <c r="P278" s="51">
        <f>ABS(tblWorkPackages[[#This Row],[Actual labor hours]]-tblWorkPackages[[#This Row],[Estimated labor hours]])</f>
        <v>2.3</v>
      </c>
      <c r="Q278" s="51">
        <f>IF(tblWorkPackages[[#This Row],[Actual labor hours]]&gt;tblWorkPackages[[#This Row],[Estimated labor hours]],1,0)</f>
        <v>1</v>
      </c>
      <c r="R278" s="51">
        <f>tblWorkPackages[[#This Row],[Actual labor hours]]-tblWorkPackages[[#This Row],[Estimated labor hours]]</f>
        <v>2.3</v>
      </c>
      <c r="S278" s="51" t="str">
        <f>IF(tblWorkPackages[[#This Row],[Request date serial]]&lt;ValidationStart,"Train 2024",IF(tblWorkPackages[[#This Row],[Request date serial]]&lt;HoldoutStart,"Validation H1","Holdout H2"))</f>
        <v>Train 2024</v>
      </c>
      <c r="T278" s="51" t="str">
        <f>IF(tblWorkPackages[[#This Row],[Time split]]="Train 2024","",tblWorkPackages[[#This Row],[Estimated labor hours]]+VLOOKUP(tblWorkPackages[[#This Row],[Task type]],'Forecast validation'!$A$14:$E$25,IF(tblWorkPackages[[#This Row],[Time split]]="Validation H1",4,5),FALSE()))</f>
        <v/>
      </c>
      <c r="U278" s="51" t="str">
        <f>IF(tblWorkPackages[[#This Row],[Calibrated forecast hours]]="","",ABS(tblWorkPackages[[#This Row],[Actual labor hours]]-tblWorkPackages[[#This Row],[Calibrated forecast hours]]))</f>
        <v/>
      </c>
      <c r="V278" s="51">
        <f>IF(tblWorkPackages[[#This Row],[Time split]]="Train 2024",tblWorkPackages[[#This Row],[Estimated labor hours]],tblWorkPackages[[#This Row],[Calibrated forecast hours]])</f>
        <v>13.5</v>
      </c>
      <c r="W278" s="64">
        <f>DATEVALUE(tblWorkPackages[[#This Row],[Request date]])</f>
        <v>45621.0</v>
      </c>
      <c r="X278" s="64">
        <f>DATEVALUE(tblWorkPackages[[#This Row],[Due date]])</f>
        <v>45634.0</v>
      </c>
      <c r="Y278" s="64">
        <f>DATEVALUE(tblWorkPackages[[#This Row],[Completion date]])</f>
        <v>45625.0</v>
      </c>
      <c r="Z278" s="64">
        <f>_xlfn.MINIFS(tblLaborEntries[Work date serial],tblLaborEntries[Work package ID],tblWorkPackages[[#This Row],[Work package ID]])</f>
        <v>45623.0</v>
      </c>
      <c r="AA278" s="64">
        <f>_xlfn.MAXIFS(tblLaborEntries[Work date serial],tblLaborEntries[Work package ID],tblWorkPackages[[#This Row],[Work package ID]])</f>
        <v>45625.0</v>
      </c>
      <c r="AB278" s="65">
        <f>IF(tblWorkPackages[[#This Row],[Completion date serial]]&gt;tblWorkPackages[[#This Row],[Due date serial]],1,0)</f>
        <v>0</v>
      </c>
      <c r="AC278" s="65">
        <f>MAX(0,tblWorkPackages[[#This Row],[Completion date serial]]-tblWorkPackages[[#This Row],[Due date serial]])</f>
        <v>0</v>
      </c>
      <c r="AD278" s="65">
        <f>tblWorkPackages[[#This Row],[First labor date]]-tblWorkPackages[[#This Row],[Request date serial]]</f>
        <v>2</v>
      </c>
      <c r="AE278" s="65">
        <f>tblWorkPackages[[#This Row],[Last labor date]]-tblWorkPackages[[#This Row],[First labor date]]</f>
        <v>2</v>
      </c>
      <c r="AF278" s="65">
        <f>tblWorkPackages[[#This Row],[Completion date serial]]-tblWorkPackages[[#This Row],[Last labor date]]</f>
        <v>0</v>
      </c>
      <c r="AG278" s="65">
        <f>tblWorkPackages[[#This Row],[Completion date serial]]-tblWorkPackages[[#This Row],[Request date serial]]</f>
        <v>4</v>
      </c>
      <c r="AH278" s="65">
        <f>IFERROR(INDEX(tblParts[Delay days],MATCH(tblWorkPackages[[#This Row],[Work package ID]],tblParts[Work package ID],0)),0)</f>
        <v>0</v>
      </c>
      <c r="AI278" s="51" t="str">
        <f>IFERROR(INDEX(tblDisruptions[Event type],MATCH(tblWorkPackages[[#This Row],[Work package ID]],tblDisruptions[Work package ID],0)),"None")</f>
        <v>None</v>
      </c>
      <c r="AJ278" s="51" t="str">
        <f>TEXT(tblWorkPackages[[#This Row],[Due date serial]],"yyyy-mm")</f>
        <v>2024-12</v>
      </c>
    </row>
    <row r="279" spans="1:36" ht="15" x14ac:dyDescent="0.25">
      <c r="A279" s="53" t="s">
        <v>934</v>
      </c>
      <c r="B279" s="53" t="s">
        <v>157</v>
      </c>
      <c r="C279" s="53" t="s">
        <v>279</v>
      </c>
      <c r="D279" s="53" t="s">
        <v>681</v>
      </c>
      <c r="E279" s="53" t="s">
        <v>160</v>
      </c>
      <c r="F279" s="53" t="s">
        <v>128</v>
      </c>
      <c r="G279" s="53" t="s">
        <v>138</v>
      </c>
      <c r="H279" s="53">
        <v>2</v>
      </c>
      <c r="I279" s="53" t="s">
        <v>147</v>
      </c>
      <c r="J279" s="53">
        <v>0</v>
      </c>
      <c r="K279" s="53">
        <v>1</v>
      </c>
      <c r="L279" s="53">
        <v>4.2</v>
      </c>
      <c r="M279" s="53" t="s">
        <v>935</v>
      </c>
      <c r="N279" s="53">
        <v>3.9</v>
      </c>
      <c r="O279" s="51" t="str">
        <f>TEXT(tblWorkPackages[[#This Row],[Request date serial]]-WEEKDAY(tblWorkPackages[[#This Row],[Request date serial]],3),"yyyy-mm-dd")</f>
        <v>2025-01-20</v>
      </c>
      <c r="P279" s="51">
        <f>ABS(tblWorkPackages[[#This Row],[Actual labor hours]]-tblWorkPackages[[#This Row],[Estimated labor hours]])</f>
        <v>0.3</v>
      </c>
      <c r="Q279" s="51">
        <f>IF(tblWorkPackages[[#This Row],[Actual labor hours]]&gt;tblWorkPackages[[#This Row],[Estimated labor hours]],1,0)</f>
        <v>0</v>
      </c>
      <c r="R279" s="51">
        <f>tblWorkPackages[[#This Row],[Actual labor hours]]-tblWorkPackages[[#This Row],[Estimated labor hours]]</f>
        <v>-0.3</v>
      </c>
      <c r="S279" s="51" t="str">
        <f>IF(tblWorkPackages[[#This Row],[Request date serial]]&lt;ValidationStart,"Train 2024",IF(tblWorkPackages[[#This Row],[Request date serial]]&lt;HoldoutStart,"Validation H1","Holdout H2"))</f>
        <v>Validation H1</v>
      </c>
      <c r="T279" s="51">
        <f>IF(tblWorkPackages[[#This Row],[Time split]]="Train 2024","",tblWorkPackages[[#This Row],[Estimated labor hours]]+VLOOKUP(tblWorkPackages[[#This Row],[Task type]],'Forecast validation'!$A$14:$E$25,IF(tblWorkPackages[[#This Row],[Time split]]="Validation H1",4,5),FALSE()))</f>
        <v>4.64146341463415</v>
      </c>
      <c r="U279" s="51">
        <f>IF(tblWorkPackages[[#This Row],[Calibrated forecast hours]]="","",ABS(tblWorkPackages[[#This Row],[Actual labor hours]]-tblWorkPackages[[#This Row],[Calibrated forecast hours]]))</f>
        <v>0.741463414634147</v>
      </c>
      <c r="V279" s="51">
        <f>IF(tblWorkPackages[[#This Row],[Time split]]="Train 2024",tblWorkPackages[[#This Row],[Estimated labor hours]],tblWorkPackages[[#This Row],[Calibrated forecast hours]])</f>
        <v>4.64146341463415</v>
      </c>
      <c r="W279" s="64">
        <f>DATEVALUE(tblWorkPackages[[#This Row],[Request date]])</f>
        <v>45679.0</v>
      </c>
      <c r="X279" s="64">
        <f>DATEVALUE(tblWorkPackages[[#This Row],[Due date]])</f>
        <v>45681.0</v>
      </c>
      <c r="Y279" s="64">
        <f>DATEVALUE(tblWorkPackages[[#This Row],[Completion date]])</f>
        <v>45698.0</v>
      </c>
      <c r="Z279" s="64">
        <f>_xlfn.MINIFS(tblLaborEntries[Work date serial],tblLaborEntries[Work package ID],tblWorkPackages[[#This Row],[Work package ID]])</f>
        <v>45696.0</v>
      </c>
      <c r="AA279" s="64">
        <f>_xlfn.MAXIFS(tblLaborEntries[Work date serial],tblLaborEntries[Work package ID],tblWorkPackages[[#This Row],[Work package ID]])</f>
        <v>45697.0</v>
      </c>
      <c r="AB279" s="65">
        <f>IF(tblWorkPackages[[#This Row],[Completion date serial]]&gt;tblWorkPackages[[#This Row],[Due date serial]],1,0)</f>
        <v>1</v>
      </c>
      <c r="AC279" s="65">
        <f>MAX(0,tblWorkPackages[[#This Row],[Completion date serial]]-tblWorkPackages[[#This Row],[Due date serial]])</f>
        <v>17</v>
      </c>
      <c r="AD279" s="65">
        <f>tblWorkPackages[[#This Row],[First labor date]]-tblWorkPackages[[#This Row],[Request date serial]]</f>
        <v>17</v>
      </c>
      <c r="AE279" s="65">
        <f>tblWorkPackages[[#This Row],[Last labor date]]-tblWorkPackages[[#This Row],[First labor date]]</f>
        <v>1</v>
      </c>
      <c r="AF279" s="65">
        <f>tblWorkPackages[[#This Row],[Completion date serial]]-tblWorkPackages[[#This Row],[Last labor date]]</f>
        <v>1</v>
      </c>
      <c r="AG279" s="65">
        <f>tblWorkPackages[[#This Row],[Completion date serial]]-tblWorkPackages[[#This Row],[Request date serial]]</f>
        <v>19</v>
      </c>
      <c r="AH279" s="65">
        <f>IFERROR(INDEX(tblParts[Delay days],MATCH(tblWorkPackages[[#This Row],[Work package ID]],tblParts[Work package ID],0)),0)</f>
        <v>0</v>
      </c>
      <c r="AI279" s="51" t="str">
        <f>IFERROR(INDEX(tblDisruptions[Event type],MATCH(tblWorkPackages[[#This Row],[Work package ID]],tblDisruptions[Work package ID],0)),"None")</f>
        <v>None</v>
      </c>
      <c r="AJ279" s="51" t="str">
        <f>TEXT(tblWorkPackages[[#This Row],[Due date serial]],"yyyy-mm")</f>
        <v>2025-01</v>
      </c>
    </row>
    <row r="280" spans="1:36" ht="15" x14ac:dyDescent="0.25">
      <c r="A280" s="53" t="s">
        <v>936</v>
      </c>
      <c r="B280" s="53" t="s">
        <v>203</v>
      </c>
      <c r="C280" s="53" t="s">
        <v>937</v>
      </c>
      <c r="D280" s="53" t="s">
        <v>335</v>
      </c>
      <c r="E280" s="53" t="s">
        <v>144</v>
      </c>
      <c r="F280" s="53" t="s">
        <v>145</v>
      </c>
      <c r="G280" s="53" t="s">
        <v>146</v>
      </c>
      <c r="H280" s="53">
        <v>1</v>
      </c>
      <c r="I280" s="53" t="s">
        <v>130</v>
      </c>
      <c r="J280" s="53">
        <v>0</v>
      </c>
      <c r="K280" s="53">
        <v>0</v>
      </c>
      <c r="L280" s="53">
        <v>5.7</v>
      </c>
      <c r="M280" s="53" t="s">
        <v>537</v>
      </c>
      <c r="N280" s="53">
        <v>6.6</v>
      </c>
      <c r="O280" s="51" t="str">
        <f>TEXT(tblWorkPackages[[#This Row],[Request date serial]]-WEEKDAY(tblWorkPackages[[#This Row],[Request date serial]],3),"yyyy-mm-dd")</f>
        <v>2025-11-10</v>
      </c>
      <c r="P280" s="51">
        <f>ABS(tblWorkPackages[[#This Row],[Actual labor hours]]-tblWorkPackages[[#This Row],[Estimated labor hours]])</f>
        <v>0.9</v>
      </c>
      <c r="Q280" s="51">
        <f>IF(tblWorkPackages[[#This Row],[Actual labor hours]]&gt;tblWorkPackages[[#This Row],[Estimated labor hours]],1,0)</f>
        <v>1</v>
      </c>
      <c r="R280" s="51">
        <f>tblWorkPackages[[#This Row],[Actual labor hours]]-tblWorkPackages[[#This Row],[Estimated labor hours]]</f>
        <v>0.9</v>
      </c>
      <c r="S280" s="51" t="str">
        <f>IF(tblWorkPackages[[#This Row],[Request date serial]]&lt;ValidationStart,"Train 2024",IF(tblWorkPackages[[#This Row],[Request date serial]]&lt;HoldoutStart,"Validation H1","Holdout H2"))</f>
        <v>Holdout H2</v>
      </c>
      <c r="T280" s="51">
        <f>IF(tblWorkPackages[[#This Row],[Time split]]="Train 2024","",tblWorkPackages[[#This Row],[Estimated labor hours]]+VLOOKUP(tblWorkPackages[[#This Row],[Task type]],'Forecast validation'!$A$14:$E$25,IF(tblWorkPackages[[#This Row],[Time split]]="Validation H1",4,5),FALSE()))</f>
        <v>6.67354838709677</v>
      </c>
      <c r="U280" s="51">
        <f>IF(tblWorkPackages[[#This Row],[Calibrated forecast hours]]="","",ABS(tblWorkPackages[[#This Row],[Actual labor hours]]-tblWorkPackages[[#This Row],[Calibrated forecast hours]]))</f>
        <v>0.0735483870967748</v>
      </c>
      <c r="V280" s="51">
        <f>IF(tblWorkPackages[[#This Row],[Time split]]="Train 2024",tblWorkPackages[[#This Row],[Estimated labor hours]],tblWorkPackages[[#This Row],[Calibrated forecast hours]])</f>
        <v>6.67354838709677</v>
      </c>
      <c r="W280" s="64">
        <f>DATEVALUE(tblWorkPackages[[#This Row],[Request date]])</f>
        <v>45971.0</v>
      </c>
      <c r="X280" s="64">
        <f>DATEVALUE(tblWorkPackages[[#This Row],[Due date]])</f>
        <v>45984.0</v>
      </c>
      <c r="Y280" s="64">
        <f>DATEVALUE(tblWorkPackages[[#This Row],[Completion date]])</f>
        <v>45979.0</v>
      </c>
      <c r="Z280" s="64">
        <f>_xlfn.MINIFS(tblLaborEntries[Work date serial],tblLaborEntries[Work package ID],tblWorkPackages[[#This Row],[Work package ID]])</f>
        <v>45975.0</v>
      </c>
      <c r="AA280" s="64">
        <f>_xlfn.MAXIFS(tblLaborEntries[Work date serial],tblLaborEntries[Work package ID],tblWorkPackages[[#This Row],[Work package ID]])</f>
        <v>45977.0</v>
      </c>
      <c r="AB280" s="65">
        <f>IF(tblWorkPackages[[#This Row],[Completion date serial]]&gt;tblWorkPackages[[#This Row],[Due date serial]],1,0)</f>
        <v>0</v>
      </c>
      <c r="AC280" s="65">
        <f>MAX(0,tblWorkPackages[[#This Row],[Completion date serial]]-tblWorkPackages[[#This Row],[Due date serial]])</f>
        <v>0</v>
      </c>
      <c r="AD280" s="65">
        <f>tblWorkPackages[[#This Row],[First labor date]]-tblWorkPackages[[#This Row],[Request date serial]]</f>
        <v>4</v>
      </c>
      <c r="AE280" s="65">
        <f>tblWorkPackages[[#This Row],[Last labor date]]-tblWorkPackages[[#This Row],[First labor date]]</f>
        <v>2</v>
      </c>
      <c r="AF280" s="65">
        <f>tblWorkPackages[[#This Row],[Completion date serial]]-tblWorkPackages[[#This Row],[Last labor date]]</f>
        <v>2</v>
      </c>
      <c r="AG280" s="65">
        <f>tblWorkPackages[[#This Row],[Completion date serial]]-tblWorkPackages[[#This Row],[Request date serial]]</f>
        <v>8</v>
      </c>
      <c r="AH280" s="65">
        <f>IFERROR(INDEX(tblParts[Delay days],MATCH(tblWorkPackages[[#This Row],[Work package ID]],tblParts[Work package ID],0)),0)</f>
        <v>0</v>
      </c>
      <c r="AI280" s="51" t="str">
        <f>IFERROR(INDEX(tblDisruptions[Event type],MATCH(tblWorkPackages[[#This Row],[Work package ID]],tblDisruptions[Work package ID],0)),"None")</f>
        <v>None</v>
      </c>
      <c r="AJ280" s="51" t="str">
        <f>TEXT(tblWorkPackages[[#This Row],[Due date serial]],"yyyy-mm")</f>
        <v>2025-11</v>
      </c>
    </row>
    <row r="281" spans="1:36" ht="15" x14ac:dyDescent="0.25">
      <c r="A281" s="53" t="s">
        <v>938</v>
      </c>
      <c r="B281" s="53" t="s">
        <v>287</v>
      </c>
      <c r="C281" s="53" t="s">
        <v>538</v>
      </c>
      <c r="D281" s="53" t="s">
        <v>939</v>
      </c>
      <c r="E281" s="53" t="s">
        <v>272</v>
      </c>
      <c r="F281" s="53" t="s">
        <v>145</v>
      </c>
      <c r="G281" s="53" t="s">
        <v>273</v>
      </c>
      <c r="H281" s="53">
        <v>2</v>
      </c>
      <c r="I281" s="53" t="s">
        <v>147</v>
      </c>
      <c r="J281" s="53">
        <v>0</v>
      </c>
      <c r="K281" s="53">
        <v>1</v>
      </c>
      <c r="L281" s="53">
        <v>10.5</v>
      </c>
      <c r="M281" s="53" t="s">
        <v>498</v>
      </c>
      <c r="N281" s="53">
        <v>11.9</v>
      </c>
      <c r="O281" s="51" t="str">
        <f>TEXT(tblWorkPackages[[#This Row],[Request date serial]]-WEEKDAY(tblWorkPackages[[#This Row],[Request date serial]],3),"yyyy-mm-dd")</f>
        <v>2025-11-17</v>
      </c>
      <c r="P281" s="51">
        <f>ABS(tblWorkPackages[[#This Row],[Actual labor hours]]-tblWorkPackages[[#This Row],[Estimated labor hours]])</f>
        <v>1.4</v>
      </c>
      <c r="Q281" s="51">
        <f>IF(tblWorkPackages[[#This Row],[Actual labor hours]]&gt;tblWorkPackages[[#This Row],[Estimated labor hours]],1,0)</f>
        <v>1</v>
      </c>
      <c r="R281" s="51">
        <f>tblWorkPackages[[#This Row],[Actual labor hours]]-tblWorkPackages[[#This Row],[Estimated labor hours]]</f>
        <v>1.4</v>
      </c>
      <c r="S281" s="51" t="str">
        <f>IF(tblWorkPackages[[#This Row],[Request date serial]]&lt;ValidationStart,"Train 2024",IF(tblWorkPackages[[#This Row],[Request date serial]]&lt;HoldoutStart,"Validation H1","Holdout H2"))</f>
        <v>Holdout H2</v>
      </c>
      <c r="T281" s="51">
        <f>IF(tblWorkPackages[[#This Row],[Time split]]="Train 2024","",tblWorkPackages[[#This Row],[Estimated labor hours]]+VLOOKUP(tblWorkPackages[[#This Row],[Task type]],'Forecast validation'!$A$14:$E$25,IF(tblWorkPackages[[#This Row],[Time split]]="Validation H1",4,5),FALSE()))</f>
        <v>11.48515625</v>
      </c>
      <c r="U281" s="51">
        <f>IF(tblWorkPackages[[#This Row],[Calibrated forecast hours]]="","",ABS(tblWorkPackages[[#This Row],[Actual labor hours]]-tblWorkPackages[[#This Row],[Calibrated forecast hours]]))</f>
        <v>0.414843750000001</v>
      </c>
      <c r="V281" s="51">
        <f>IF(tblWorkPackages[[#This Row],[Time split]]="Train 2024",tblWorkPackages[[#This Row],[Estimated labor hours]],tblWorkPackages[[#This Row],[Calibrated forecast hours]])</f>
        <v>11.48515625</v>
      </c>
      <c r="W281" s="64">
        <f>DATEVALUE(tblWorkPackages[[#This Row],[Request date]])</f>
        <v>45978.0</v>
      </c>
      <c r="X281" s="64">
        <f>DATEVALUE(tblWorkPackages[[#This Row],[Due date]])</f>
        <v>45980.0</v>
      </c>
      <c r="Y281" s="64">
        <f>DATEVALUE(tblWorkPackages[[#This Row],[Completion date]])</f>
        <v>45982.0</v>
      </c>
      <c r="Z281" s="64">
        <f>_xlfn.MINIFS(tblLaborEntries[Work date serial],tblLaborEntries[Work package ID],tblWorkPackages[[#This Row],[Work package ID]])</f>
        <v>45979.0</v>
      </c>
      <c r="AA281" s="64">
        <f>_xlfn.MAXIFS(tblLaborEntries[Work date serial],tblLaborEntries[Work package ID],tblWorkPackages[[#This Row],[Work package ID]])</f>
        <v>45979.0</v>
      </c>
      <c r="AB281" s="65">
        <f>IF(tblWorkPackages[[#This Row],[Completion date serial]]&gt;tblWorkPackages[[#This Row],[Due date serial]],1,0)</f>
        <v>1</v>
      </c>
      <c r="AC281" s="65">
        <f>MAX(0,tblWorkPackages[[#This Row],[Completion date serial]]-tblWorkPackages[[#This Row],[Due date serial]])</f>
        <v>2</v>
      </c>
      <c r="AD281" s="65">
        <f>tblWorkPackages[[#This Row],[First labor date]]-tblWorkPackages[[#This Row],[Request date serial]]</f>
        <v>1</v>
      </c>
      <c r="AE281" s="65">
        <f>tblWorkPackages[[#This Row],[Last labor date]]-tblWorkPackages[[#This Row],[First labor date]]</f>
        <v>0</v>
      </c>
      <c r="AF281" s="65">
        <f>tblWorkPackages[[#This Row],[Completion date serial]]-tblWorkPackages[[#This Row],[Last labor date]]</f>
        <v>3</v>
      </c>
      <c r="AG281" s="65">
        <f>tblWorkPackages[[#This Row],[Completion date serial]]-tblWorkPackages[[#This Row],[Request date serial]]</f>
        <v>4</v>
      </c>
      <c r="AH281" s="65">
        <f>IFERROR(INDEX(tblParts[Delay days],MATCH(tblWorkPackages[[#This Row],[Work package ID]],tblParts[Work package ID],0)),0)</f>
        <v>0</v>
      </c>
      <c r="AI281" s="51" t="str">
        <f>IFERROR(INDEX(tblDisruptions[Event type],MATCH(tblWorkPackages[[#This Row],[Work package ID]],tblDisruptions[Work package ID],0)),"None")</f>
        <v>None</v>
      </c>
      <c r="AJ281" s="51" t="str">
        <f>TEXT(tblWorkPackages[[#This Row],[Due date serial]],"yyyy-mm")</f>
        <v>2025-11</v>
      </c>
    </row>
    <row r="282" spans="1:36" ht="15" x14ac:dyDescent="0.25">
      <c r="A282" s="53" t="s">
        <v>940</v>
      </c>
      <c r="B282" s="53" t="s">
        <v>235</v>
      </c>
      <c r="C282" s="53" t="s">
        <v>941</v>
      </c>
      <c r="D282" s="53" t="s">
        <v>942</v>
      </c>
      <c r="E282" s="53" t="s">
        <v>136</v>
      </c>
      <c r="F282" s="53" t="s">
        <v>137</v>
      </c>
      <c r="G282" s="53" t="s">
        <v>138</v>
      </c>
      <c r="H282" s="53">
        <v>1</v>
      </c>
      <c r="I282" s="53" t="s">
        <v>130</v>
      </c>
      <c r="J282" s="53">
        <v>0</v>
      </c>
      <c r="K282" s="53">
        <v>1</v>
      </c>
      <c r="L282" s="53">
        <v>8.1999999999999993</v>
      </c>
      <c r="M282" s="53" t="s">
        <v>943</v>
      </c>
      <c r="N282" s="53">
        <v>6.2</v>
      </c>
      <c r="O282" s="51" t="str">
        <f>TEXT(tblWorkPackages[[#This Row],[Request date serial]]-WEEKDAY(tblWorkPackages[[#This Row],[Request date serial]],3),"yyyy-mm-dd")</f>
        <v>2025-09-29</v>
      </c>
      <c r="P282" s="51">
        <f>ABS(tblWorkPackages[[#This Row],[Actual labor hours]]-tblWorkPackages[[#This Row],[Estimated labor hours]])</f>
        <v>2</v>
      </c>
      <c r="Q282" s="51">
        <f>IF(tblWorkPackages[[#This Row],[Actual labor hours]]&gt;tblWorkPackages[[#This Row],[Estimated labor hours]],1,0)</f>
        <v>0</v>
      </c>
      <c r="R282" s="51">
        <f>tblWorkPackages[[#This Row],[Actual labor hours]]-tblWorkPackages[[#This Row],[Estimated labor hours]]</f>
        <v>-2</v>
      </c>
      <c r="S282" s="51" t="str">
        <f>IF(tblWorkPackages[[#This Row],[Request date serial]]&lt;ValidationStart,"Train 2024",IF(tblWorkPackages[[#This Row],[Request date serial]]&lt;HoldoutStart,"Validation H1","Holdout H2"))</f>
        <v>Holdout H2</v>
      </c>
      <c r="T282" s="51">
        <f>IF(tblWorkPackages[[#This Row],[Time split]]="Train 2024","",tblWorkPackages[[#This Row],[Estimated labor hours]]+VLOOKUP(tblWorkPackages[[#This Row],[Task type]],'Forecast validation'!$A$14:$E$25,IF(tblWorkPackages[[#This Row],[Time split]]="Validation H1",4,5),FALSE()))</f>
        <v>9.12075471698113</v>
      </c>
      <c r="U282" s="51">
        <f>IF(tblWorkPackages[[#This Row],[Calibrated forecast hours]]="","",ABS(tblWorkPackages[[#This Row],[Actual labor hours]]-tblWorkPackages[[#This Row],[Calibrated forecast hours]]))</f>
        <v>2.92075471698113</v>
      </c>
      <c r="V282" s="51">
        <f>IF(tblWorkPackages[[#This Row],[Time split]]="Train 2024",tblWorkPackages[[#This Row],[Estimated labor hours]],tblWorkPackages[[#This Row],[Calibrated forecast hours]])</f>
        <v>9.12075471698113</v>
      </c>
      <c r="W282" s="64">
        <f>DATEVALUE(tblWorkPackages[[#This Row],[Request date]])</f>
        <v>45933.0</v>
      </c>
      <c r="X282" s="64">
        <f>DATEVALUE(tblWorkPackages[[#This Row],[Due date]])</f>
        <v>45946.0</v>
      </c>
      <c r="Y282" s="64">
        <f>DATEVALUE(tblWorkPackages[[#This Row],[Completion date]])</f>
        <v>45944.0</v>
      </c>
      <c r="Z282" s="64">
        <f>_xlfn.MINIFS(tblLaborEntries[Work date serial],tblLaborEntries[Work package ID],tblWorkPackages[[#This Row],[Work package ID]])</f>
        <v>45944.0</v>
      </c>
      <c r="AA282" s="64">
        <f>_xlfn.MAXIFS(tblLaborEntries[Work date serial],tblLaborEntries[Work package ID],tblWorkPackages[[#This Row],[Work package ID]])</f>
        <v>45944.0</v>
      </c>
      <c r="AB282" s="65">
        <f>IF(tblWorkPackages[[#This Row],[Completion date serial]]&gt;tblWorkPackages[[#This Row],[Due date serial]],1,0)</f>
        <v>0</v>
      </c>
      <c r="AC282" s="65">
        <f>MAX(0,tblWorkPackages[[#This Row],[Completion date serial]]-tblWorkPackages[[#This Row],[Due date serial]])</f>
        <v>0</v>
      </c>
      <c r="AD282" s="65">
        <f>tblWorkPackages[[#This Row],[First labor date]]-tblWorkPackages[[#This Row],[Request date serial]]</f>
        <v>11</v>
      </c>
      <c r="AE282" s="65">
        <f>tblWorkPackages[[#This Row],[Last labor date]]-tblWorkPackages[[#This Row],[First labor date]]</f>
        <v>0</v>
      </c>
      <c r="AF282" s="65">
        <f>tblWorkPackages[[#This Row],[Completion date serial]]-tblWorkPackages[[#This Row],[Last labor date]]</f>
        <v>0</v>
      </c>
      <c r="AG282" s="65">
        <f>tblWorkPackages[[#This Row],[Completion date serial]]-tblWorkPackages[[#This Row],[Request date serial]]</f>
        <v>11</v>
      </c>
      <c r="AH282" s="65">
        <f>IFERROR(INDEX(tblParts[Delay days],MATCH(tblWorkPackages[[#This Row],[Work package ID]],tblParts[Work package ID],0)),0)</f>
        <v>0</v>
      </c>
      <c r="AI282" s="51" t="str">
        <f>IFERROR(INDEX(tblDisruptions[Event type],MATCH(tblWorkPackages[[#This Row],[Work package ID]],tblDisruptions[Work package ID],0)),"None")</f>
        <v>None</v>
      </c>
      <c r="AJ282" s="51" t="str">
        <f>TEXT(tblWorkPackages[[#This Row],[Due date serial]],"yyyy-mm")</f>
        <v>2025-10</v>
      </c>
    </row>
    <row r="283" spans="1:36" ht="15" x14ac:dyDescent="0.25">
      <c r="A283" s="53" t="s">
        <v>944</v>
      </c>
      <c r="B283" s="53" t="s">
        <v>168</v>
      </c>
      <c r="C283" s="53" t="s">
        <v>782</v>
      </c>
      <c r="D283" s="53" t="s">
        <v>296</v>
      </c>
      <c r="E283" s="53" t="s">
        <v>136</v>
      </c>
      <c r="F283" s="53" t="s">
        <v>137</v>
      </c>
      <c r="G283" s="53" t="s">
        <v>138</v>
      </c>
      <c r="H283" s="53">
        <v>1</v>
      </c>
      <c r="I283" s="53" t="s">
        <v>176</v>
      </c>
      <c r="J283" s="53">
        <v>0</v>
      </c>
      <c r="K283" s="53">
        <v>1</v>
      </c>
      <c r="L283" s="53">
        <v>9</v>
      </c>
      <c r="M283" s="53" t="s">
        <v>945</v>
      </c>
      <c r="N283" s="53">
        <v>11.5</v>
      </c>
      <c r="O283" s="51" t="str">
        <f>TEXT(tblWorkPackages[[#This Row],[Request date serial]]-WEEKDAY(tblWorkPackages[[#This Row],[Request date serial]],3),"yyyy-mm-dd")</f>
        <v>2024-08-12</v>
      </c>
      <c r="P283" s="51">
        <f>ABS(tblWorkPackages[[#This Row],[Actual labor hours]]-tblWorkPackages[[#This Row],[Estimated labor hours]])</f>
        <v>2.5</v>
      </c>
      <c r="Q283" s="51">
        <f>IF(tblWorkPackages[[#This Row],[Actual labor hours]]&gt;tblWorkPackages[[#This Row],[Estimated labor hours]],1,0)</f>
        <v>1</v>
      </c>
      <c r="R283" s="51">
        <f>tblWorkPackages[[#This Row],[Actual labor hours]]-tblWorkPackages[[#This Row],[Estimated labor hours]]</f>
        <v>2.5</v>
      </c>
      <c r="S283" s="51" t="str">
        <f>IF(tblWorkPackages[[#This Row],[Request date serial]]&lt;ValidationStart,"Train 2024",IF(tblWorkPackages[[#This Row],[Request date serial]]&lt;HoldoutStart,"Validation H1","Holdout H2"))</f>
        <v>Train 2024</v>
      </c>
      <c r="T283" s="51" t="str">
        <f>IF(tblWorkPackages[[#This Row],[Time split]]="Train 2024","",tblWorkPackages[[#This Row],[Estimated labor hours]]+VLOOKUP(tblWorkPackages[[#This Row],[Task type]],'Forecast validation'!$A$14:$E$25,IF(tblWorkPackages[[#This Row],[Time split]]="Validation H1",4,5),FALSE()))</f>
        <v/>
      </c>
      <c r="U283" s="51" t="str">
        <f>IF(tblWorkPackages[[#This Row],[Calibrated forecast hours]]="","",ABS(tblWorkPackages[[#This Row],[Actual labor hours]]-tblWorkPackages[[#This Row],[Calibrated forecast hours]]))</f>
        <v/>
      </c>
      <c r="V283" s="51">
        <f>IF(tblWorkPackages[[#This Row],[Time split]]="Train 2024",tblWorkPackages[[#This Row],[Estimated labor hours]],tblWorkPackages[[#This Row],[Calibrated forecast hours]])</f>
        <v>9</v>
      </c>
      <c r="W283" s="64">
        <f>DATEVALUE(tblWorkPackages[[#This Row],[Request date]])</f>
        <v>45517.0</v>
      </c>
      <c r="X283" s="64">
        <f>DATEVALUE(tblWorkPackages[[#This Row],[Due date]])</f>
        <v>45523.0</v>
      </c>
      <c r="Y283" s="64">
        <f>DATEVALUE(tblWorkPackages[[#This Row],[Completion date]])</f>
        <v>45521.0</v>
      </c>
      <c r="Z283" s="64">
        <f>_xlfn.MINIFS(tblLaborEntries[Work date serial],tblLaborEntries[Work package ID],tblWorkPackages[[#This Row],[Work package ID]])</f>
        <v>45520.0</v>
      </c>
      <c r="AA283" s="64">
        <f>_xlfn.MAXIFS(tblLaborEntries[Work date serial],tblLaborEntries[Work package ID],tblWorkPackages[[#This Row],[Work package ID]])</f>
        <v>45520.0</v>
      </c>
      <c r="AB283" s="65">
        <f>IF(tblWorkPackages[[#This Row],[Completion date serial]]&gt;tblWorkPackages[[#This Row],[Due date serial]],1,0)</f>
        <v>0</v>
      </c>
      <c r="AC283" s="65">
        <f>MAX(0,tblWorkPackages[[#This Row],[Completion date serial]]-tblWorkPackages[[#This Row],[Due date serial]])</f>
        <v>0</v>
      </c>
      <c r="AD283" s="65">
        <f>tblWorkPackages[[#This Row],[First labor date]]-tblWorkPackages[[#This Row],[Request date serial]]</f>
        <v>3</v>
      </c>
      <c r="AE283" s="65">
        <f>tblWorkPackages[[#This Row],[Last labor date]]-tblWorkPackages[[#This Row],[First labor date]]</f>
        <v>0</v>
      </c>
      <c r="AF283" s="65">
        <f>tblWorkPackages[[#This Row],[Completion date serial]]-tblWorkPackages[[#This Row],[Last labor date]]</f>
        <v>1</v>
      </c>
      <c r="AG283" s="65">
        <f>tblWorkPackages[[#This Row],[Completion date serial]]-tblWorkPackages[[#This Row],[Request date serial]]</f>
        <v>4</v>
      </c>
      <c r="AH283" s="65">
        <f>IFERROR(INDEX(tblParts[Delay days],MATCH(tblWorkPackages[[#This Row],[Work package ID]],tblParts[Work package ID],0)),0)</f>
        <v>0</v>
      </c>
      <c r="AI283" s="51" t="str">
        <f>IFERROR(INDEX(tblDisruptions[Event type],MATCH(tblWorkPackages[[#This Row],[Work package ID]],tblDisruptions[Work package ID],0)),"None")</f>
        <v>None</v>
      </c>
      <c r="AJ283" s="51" t="str">
        <f>TEXT(tblWorkPackages[[#This Row],[Due date serial]],"yyyy-mm")</f>
        <v>2024-08</v>
      </c>
    </row>
    <row r="284" spans="1:36" ht="15" x14ac:dyDescent="0.25">
      <c r="A284" s="53" t="s">
        <v>946</v>
      </c>
      <c r="B284" s="53" t="s">
        <v>157</v>
      </c>
      <c r="C284" s="53" t="s">
        <v>947</v>
      </c>
      <c r="D284" s="53" t="s">
        <v>883</v>
      </c>
      <c r="E284" s="53" t="s">
        <v>160</v>
      </c>
      <c r="F284" s="53" t="s">
        <v>128</v>
      </c>
      <c r="G284" s="53" t="s">
        <v>138</v>
      </c>
      <c r="H284" s="53">
        <v>1</v>
      </c>
      <c r="I284" s="53" t="s">
        <v>130</v>
      </c>
      <c r="J284" s="53">
        <v>0</v>
      </c>
      <c r="K284" s="53">
        <v>0</v>
      </c>
      <c r="L284" s="53">
        <v>2.4</v>
      </c>
      <c r="M284" s="53" t="s">
        <v>948</v>
      </c>
      <c r="N284" s="53">
        <v>2.4</v>
      </c>
      <c r="O284" s="51" t="str">
        <f>TEXT(tblWorkPackages[[#This Row],[Request date serial]]-WEEKDAY(tblWorkPackages[[#This Row],[Request date serial]],3),"yyyy-mm-dd")</f>
        <v>2024-09-30</v>
      </c>
      <c r="P284" s="51">
        <f>ABS(tblWorkPackages[[#This Row],[Actual labor hours]]-tblWorkPackages[[#This Row],[Estimated labor hours]])</f>
        <v>0</v>
      </c>
      <c r="Q284" s="51">
        <f>IF(tblWorkPackages[[#This Row],[Actual labor hours]]&gt;tblWorkPackages[[#This Row],[Estimated labor hours]],1,0)</f>
        <v>0</v>
      </c>
      <c r="R284" s="51">
        <f>tblWorkPackages[[#This Row],[Actual labor hours]]-tblWorkPackages[[#This Row],[Estimated labor hours]]</f>
        <v>0</v>
      </c>
      <c r="S284" s="51" t="str">
        <f>IF(tblWorkPackages[[#This Row],[Request date serial]]&lt;ValidationStart,"Train 2024",IF(tblWorkPackages[[#This Row],[Request date serial]]&lt;HoldoutStart,"Validation H1","Holdout H2"))</f>
        <v>Train 2024</v>
      </c>
      <c r="T284" s="51" t="str">
        <f>IF(tblWorkPackages[[#This Row],[Time split]]="Train 2024","",tblWorkPackages[[#This Row],[Estimated labor hours]]+VLOOKUP(tblWorkPackages[[#This Row],[Task type]],'Forecast validation'!$A$14:$E$25,IF(tblWorkPackages[[#This Row],[Time split]]="Validation H1",4,5),FALSE()))</f>
        <v/>
      </c>
      <c r="U284" s="51" t="str">
        <f>IF(tblWorkPackages[[#This Row],[Calibrated forecast hours]]="","",ABS(tblWorkPackages[[#This Row],[Actual labor hours]]-tblWorkPackages[[#This Row],[Calibrated forecast hours]]))</f>
        <v/>
      </c>
      <c r="V284" s="51">
        <f>IF(tblWorkPackages[[#This Row],[Time split]]="Train 2024",tblWorkPackages[[#This Row],[Estimated labor hours]],tblWorkPackages[[#This Row],[Calibrated forecast hours]])</f>
        <v>2.4</v>
      </c>
      <c r="W284" s="64">
        <f>DATEVALUE(tblWorkPackages[[#This Row],[Request date]])</f>
        <v>45570.0</v>
      </c>
      <c r="X284" s="64">
        <f>DATEVALUE(tblWorkPackages[[#This Row],[Due date]])</f>
        <v>45583.0</v>
      </c>
      <c r="Y284" s="64">
        <f>DATEVALUE(tblWorkPackages[[#This Row],[Completion date]])</f>
        <v>45603.0</v>
      </c>
      <c r="Z284" s="64">
        <f>_xlfn.MINIFS(tblLaborEntries[Work date serial],tblLaborEntries[Work package ID],tblWorkPackages[[#This Row],[Work package ID]])</f>
        <v>45600.0</v>
      </c>
      <c r="AA284" s="64">
        <f>_xlfn.MAXIFS(tblLaborEntries[Work date serial],tblLaborEntries[Work package ID],tblWorkPackages[[#This Row],[Work package ID]])</f>
        <v>45601.0</v>
      </c>
      <c r="AB284" s="65">
        <f>IF(tblWorkPackages[[#This Row],[Completion date serial]]&gt;tblWorkPackages[[#This Row],[Due date serial]],1,0)</f>
        <v>1</v>
      </c>
      <c r="AC284" s="65">
        <f>MAX(0,tblWorkPackages[[#This Row],[Completion date serial]]-tblWorkPackages[[#This Row],[Due date serial]])</f>
        <v>20</v>
      </c>
      <c r="AD284" s="65">
        <f>tblWorkPackages[[#This Row],[First labor date]]-tblWorkPackages[[#This Row],[Request date serial]]</f>
        <v>30</v>
      </c>
      <c r="AE284" s="65">
        <f>tblWorkPackages[[#This Row],[Last labor date]]-tblWorkPackages[[#This Row],[First labor date]]</f>
        <v>1</v>
      </c>
      <c r="AF284" s="65">
        <f>tblWorkPackages[[#This Row],[Completion date serial]]-tblWorkPackages[[#This Row],[Last labor date]]</f>
        <v>2</v>
      </c>
      <c r="AG284" s="65">
        <f>tblWorkPackages[[#This Row],[Completion date serial]]-tblWorkPackages[[#This Row],[Request date serial]]</f>
        <v>33</v>
      </c>
      <c r="AH284" s="65">
        <f>IFERROR(INDEX(tblParts[Delay days],MATCH(tblWorkPackages[[#This Row],[Work package ID]],tblParts[Work package ID],0)),0)</f>
        <v>0</v>
      </c>
      <c r="AI284" s="51" t="str">
        <f>IFERROR(INDEX(tblDisruptions[Event type],MATCH(tblWorkPackages[[#This Row],[Work package ID]],tblDisruptions[Work package ID],0)),"None")</f>
        <v>None</v>
      </c>
      <c r="AJ284" s="51" t="str">
        <f>TEXT(tblWorkPackages[[#This Row],[Due date serial]],"yyyy-mm")</f>
        <v>2024-10</v>
      </c>
    </row>
    <row r="285" spans="1:36" ht="15" x14ac:dyDescent="0.25">
      <c r="A285" s="53" t="s">
        <v>949</v>
      </c>
      <c r="B285" s="53" t="s">
        <v>230</v>
      </c>
      <c r="C285" s="53" t="s">
        <v>945</v>
      </c>
      <c r="D285" s="53" t="s">
        <v>151</v>
      </c>
      <c r="E285" s="53" t="s">
        <v>272</v>
      </c>
      <c r="F285" s="53" t="s">
        <v>145</v>
      </c>
      <c r="G285" s="53" t="s">
        <v>273</v>
      </c>
      <c r="H285" s="53">
        <v>1</v>
      </c>
      <c r="I285" s="53" t="s">
        <v>176</v>
      </c>
      <c r="J285" s="53">
        <v>0</v>
      </c>
      <c r="K285" s="53">
        <v>0</v>
      </c>
      <c r="L285" s="53">
        <v>7.5</v>
      </c>
      <c r="M285" s="53" t="s">
        <v>152</v>
      </c>
      <c r="N285" s="53">
        <v>6</v>
      </c>
      <c r="O285" s="51" t="str">
        <f>TEXT(tblWorkPackages[[#This Row],[Request date serial]]-WEEKDAY(tblWorkPackages[[#This Row],[Request date serial]],3),"yyyy-mm-dd")</f>
        <v>2024-08-12</v>
      </c>
      <c r="P285" s="51">
        <f>ABS(tblWorkPackages[[#This Row],[Actual labor hours]]-tblWorkPackages[[#This Row],[Estimated labor hours]])</f>
        <v>1.5</v>
      </c>
      <c r="Q285" s="51">
        <f>IF(tblWorkPackages[[#This Row],[Actual labor hours]]&gt;tblWorkPackages[[#This Row],[Estimated labor hours]],1,0)</f>
        <v>0</v>
      </c>
      <c r="R285" s="51">
        <f>tblWorkPackages[[#This Row],[Actual labor hours]]-tblWorkPackages[[#This Row],[Estimated labor hours]]</f>
        <v>-1.5</v>
      </c>
      <c r="S285" s="51" t="str">
        <f>IF(tblWorkPackages[[#This Row],[Request date serial]]&lt;ValidationStart,"Train 2024",IF(tblWorkPackages[[#This Row],[Request date serial]]&lt;HoldoutStart,"Validation H1","Holdout H2"))</f>
        <v>Train 2024</v>
      </c>
      <c r="T285" s="51" t="str">
        <f>IF(tblWorkPackages[[#This Row],[Time split]]="Train 2024","",tblWorkPackages[[#This Row],[Estimated labor hours]]+VLOOKUP(tblWorkPackages[[#This Row],[Task type]],'Forecast validation'!$A$14:$E$25,IF(tblWorkPackages[[#This Row],[Time split]]="Validation H1",4,5),FALSE()))</f>
        <v/>
      </c>
      <c r="U285" s="51" t="str">
        <f>IF(tblWorkPackages[[#This Row],[Calibrated forecast hours]]="","",ABS(tblWorkPackages[[#This Row],[Actual labor hours]]-tblWorkPackages[[#This Row],[Calibrated forecast hours]]))</f>
        <v/>
      </c>
      <c r="V285" s="51">
        <f>IF(tblWorkPackages[[#This Row],[Time split]]="Train 2024",tblWorkPackages[[#This Row],[Estimated labor hours]],tblWorkPackages[[#This Row],[Calibrated forecast hours]])</f>
        <v>7.5</v>
      </c>
      <c r="W285" s="64">
        <f>DATEVALUE(tblWorkPackages[[#This Row],[Request date]])</f>
        <v>45521.0</v>
      </c>
      <c r="X285" s="64">
        <f>DATEVALUE(tblWorkPackages[[#This Row],[Due date]])</f>
        <v>45527.0</v>
      </c>
      <c r="Y285" s="64">
        <f>DATEVALUE(tblWorkPackages[[#This Row],[Completion date]])</f>
        <v>45529.0</v>
      </c>
      <c r="Z285" s="64">
        <f>_xlfn.MINIFS(tblLaborEntries[Work date serial],tblLaborEntries[Work package ID],tblWorkPackages[[#This Row],[Work package ID]])</f>
        <v>45526.0</v>
      </c>
      <c r="AA285" s="64">
        <f>_xlfn.MAXIFS(tblLaborEntries[Work date serial],tblLaborEntries[Work package ID],tblWorkPackages[[#This Row],[Work package ID]])</f>
        <v>45526.0</v>
      </c>
      <c r="AB285" s="65">
        <f>IF(tblWorkPackages[[#This Row],[Completion date serial]]&gt;tblWorkPackages[[#This Row],[Due date serial]],1,0)</f>
        <v>1</v>
      </c>
      <c r="AC285" s="65">
        <f>MAX(0,tblWorkPackages[[#This Row],[Completion date serial]]-tblWorkPackages[[#This Row],[Due date serial]])</f>
        <v>2</v>
      </c>
      <c r="AD285" s="65">
        <f>tblWorkPackages[[#This Row],[First labor date]]-tblWorkPackages[[#This Row],[Request date serial]]</f>
        <v>5</v>
      </c>
      <c r="AE285" s="65">
        <f>tblWorkPackages[[#This Row],[Last labor date]]-tblWorkPackages[[#This Row],[First labor date]]</f>
        <v>0</v>
      </c>
      <c r="AF285" s="65">
        <f>tblWorkPackages[[#This Row],[Completion date serial]]-tblWorkPackages[[#This Row],[Last labor date]]</f>
        <v>3</v>
      </c>
      <c r="AG285" s="65">
        <f>tblWorkPackages[[#This Row],[Completion date serial]]-tblWorkPackages[[#This Row],[Request date serial]]</f>
        <v>8</v>
      </c>
      <c r="AH285" s="65">
        <f>IFERROR(INDEX(tblParts[Delay days],MATCH(tblWorkPackages[[#This Row],[Work package ID]],tblParts[Work package ID],0)),0)</f>
        <v>0</v>
      </c>
      <c r="AI285" s="51" t="str">
        <f>IFERROR(INDEX(tblDisruptions[Event type],MATCH(tblWorkPackages[[#This Row],[Work package ID]],tblDisruptions[Work package ID],0)),"None")</f>
        <v>None</v>
      </c>
      <c r="AJ285" s="51" t="str">
        <f>TEXT(tblWorkPackages[[#This Row],[Due date serial]],"yyyy-mm")</f>
        <v>2024-08</v>
      </c>
    </row>
    <row r="286" spans="1:36" ht="15" x14ac:dyDescent="0.25">
      <c r="A286" s="53" t="s">
        <v>950</v>
      </c>
      <c r="B286" s="53" t="s">
        <v>185</v>
      </c>
      <c r="C286" s="53" t="s">
        <v>951</v>
      </c>
      <c r="D286" s="53" t="s">
        <v>952</v>
      </c>
      <c r="E286" s="53" t="s">
        <v>200</v>
      </c>
      <c r="F286" s="53" t="s">
        <v>128</v>
      </c>
      <c r="G286" s="53" t="s">
        <v>129</v>
      </c>
      <c r="H286" s="53">
        <v>3</v>
      </c>
      <c r="I286" s="53" t="s">
        <v>130</v>
      </c>
      <c r="J286" s="53">
        <v>0</v>
      </c>
      <c r="K286" s="53">
        <v>1</v>
      </c>
      <c r="L286" s="53">
        <v>3.9</v>
      </c>
      <c r="M286" s="53" t="s">
        <v>953</v>
      </c>
      <c r="N286" s="53">
        <v>3.5</v>
      </c>
      <c r="O286" s="51" t="str">
        <f>TEXT(tblWorkPackages[[#This Row],[Request date serial]]-WEEKDAY(tblWorkPackages[[#This Row],[Request date serial]],3),"yyyy-mm-dd")</f>
        <v>2024-09-30</v>
      </c>
      <c r="P286" s="51">
        <f>ABS(tblWorkPackages[[#This Row],[Actual labor hours]]-tblWorkPackages[[#This Row],[Estimated labor hours]])</f>
        <v>0.4</v>
      </c>
      <c r="Q286" s="51">
        <f>IF(tblWorkPackages[[#This Row],[Actual labor hours]]&gt;tblWorkPackages[[#This Row],[Estimated labor hours]],1,0)</f>
        <v>0</v>
      </c>
      <c r="R286" s="51">
        <f>tblWorkPackages[[#This Row],[Actual labor hours]]-tblWorkPackages[[#This Row],[Estimated labor hours]]</f>
        <v>-0.4</v>
      </c>
      <c r="S286" s="51" t="str">
        <f>IF(tblWorkPackages[[#This Row],[Request date serial]]&lt;ValidationStart,"Train 2024",IF(tblWorkPackages[[#This Row],[Request date serial]]&lt;HoldoutStart,"Validation H1","Holdout H2"))</f>
        <v>Train 2024</v>
      </c>
      <c r="T286" s="51" t="str">
        <f>IF(tblWorkPackages[[#This Row],[Time split]]="Train 2024","",tblWorkPackages[[#This Row],[Estimated labor hours]]+VLOOKUP(tblWorkPackages[[#This Row],[Task type]],'Forecast validation'!$A$14:$E$25,IF(tblWorkPackages[[#This Row],[Time split]]="Validation H1",4,5),FALSE()))</f>
        <v/>
      </c>
      <c r="U286" s="51" t="str">
        <f>IF(tblWorkPackages[[#This Row],[Calibrated forecast hours]]="","",ABS(tblWorkPackages[[#This Row],[Actual labor hours]]-tblWorkPackages[[#This Row],[Calibrated forecast hours]]))</f>
        <v/>
      </c>
      <c r="V286" s="51">
        <f>IF(tblWorkPackages[[#This Row],[Time split]]="Train 2024",tblWorkPackages[[#This Row],[Estimated labor hours]],tblWorkPackages[[#This Row],[Calibrated forecast hours]])</f>
        <v>3.9</v>
      </c>
      <c r="W286" s="64">
        <f>DATEVALUE(tblWorkPackages[[#This Row],[Request date]])</f>
        <v>45565.0</v>
      </c>
      <c r="X286" s="64">
        <f>DATEVALUE(tblWorkPackages[[#This Row],[Due date]])</f>
        <v>45578.0</v>
      </c>
      <c r="Y286" s="64">
        <f>DATEVALUE(tblWorkPackages[[#This Row],[Completion date]])</f>
        <v>45568.0</v>
      </c>
      <c r="Z286" s="64">
        <f>_xlfn.MINIFS(tblLaborEntries[Work date serial],tblLaborEntries[Work package ID],tblWorkPackages[[#This Row],[Work package ID]])</f>
        <v>45567.0</v>
      </c>
      <c r="AA286" s="64">
        <f>_xlfn.MAXIFS(tblLaborEntries[Work date serial],tblLaborEntries[Work package ID],tblWorkPackages[[#This Row],[Work package ID]])</f>
        <v>45568.0</v>
      </c>
      <c r="AB286" s="65">
        <f>IF(tblWorkPackages[[#This Row],[Completion date serial]]&gt;tblWorkPackages[[#This Row],[Due date serial]],1,0)</f>
        <v>0</v>
      </c>
      <c r="AC286" s="65">
        <f>MAX(0,tblWorkPackages[[#This Row],[Completion date serial]]-tblWorkPackages[[#This Row],[Due date serial]])</f>
        <v>0</v>
      </c>
      <c r="AD286" s="65">
        <f>tblWorkPackages[[#This Row],[First labor date]]-tblWorkPackages[[#This Row],[Request date serial]]</f>
        <v>2</v>
      </c>
      <c r="AE286" s="65">
        <f>tblWorkPackages[[#This Row],[Last labor date]]-tblWorkPackages[[#This Row],[First labor date]]</f>
        <v>1</v>
      </c>
      <c r="AF286" s="65">
        <f>tblWorkPackages[[#This Row],[Completion date serial]]-tblWorkPackages[[#This Row],[Last labor date]]</f>
        <v>0</v>
      </c>
      <c r="AG286" s="65">
        <f>tblWorkPackages[[#This Row],[Completion date serial]]-tblWorkPackages[[#This Row],[Request date serial]]</f>
        <v>3</v>
      </c>
      <c r="AH286" s="65">
        <f>IFERROR(INDEX(tblParts[Delay days],MATCH(tblWorkPackages[[#This Row],[Work package ID]],tblParts[Work package ID],0)),0)</f>
        <v>0</v>
      </c>
      <c r="AI286" s="51" t="str">
        <f>IFERROR(INDEX(tblDisruptions[Event type],MATCH(tblWorkPackages[[#This Row],[Work package ID]],tblDisruptions[Work package ID],0)),"None")</f>
        <v>None</v>
      </c>
      <c r="AJ286" s="51" t="str">
        <f>TEXT(tblWorkPackages[[#This Row],[Due date serial]],"yyyy-mm")</f>
        <v>2024-10</v>
      </c>
    </row>
    <row r="287" spans="1:36" ht="15" x14ac:dyDescent="0.25">
      <c r="A287" s="53" t="s">
        <v>954</v>
      </c>
      <c r="B287" s="53" t="s">
        <v>185</v>
      </c>
      <c r="C287" s="53" t="s">
        <v>663</v>
      </c>
      <c r="D287" s="53" t="s">
        <v>668</v>
      </c>
      <c r="E287" s="53" t="s">
        <v>209</v>
      </c>
      <c r="F287" s="53" t="s">
        <v>145</v>
      </c>
      <c r="G287" s="53" t="s">
        <v>210</v>
      </c>
      <c r="H287" s="53">
        <v>2</v>
      </c>
      <c r="I287" s="53" t="s">
        <v>130</v>
      </c>
      <c r="J287" s="53">
        <v>0</v>
      </c>
      <c r="K287" s="53">
        <v>1</v>
      </c>
      <c r="L287" s="53">
        <v>24.4</v>
      </c>
      <c r="M287" s="53" t="s">
        <v>436</v>
      </c>
      <c r="N287" s="53">
        <v>30.7</v>
      </c>
      <c r="O287" s="51" t="str">
        <f>TEXT(tblWorkPackages[[#This Row],[Request date serial]]-WEEKDAY(tblWorkPackages[[#This Row],[Request date serial]],3),"yyyy-mm-dd")</f>
        <v>2024-03-11</v>
      </c>
      <c r="P287" s="51">
        <f>ABS(tblWorkPackages[[#This Row],[Actual labor hours]]-tblWorkPackages[[#This Row],[Estimated labor hours]])</f>
        <v>6.3</v>
      </c>
      <c r="Q287" s="51">
        <f>IF(tblWorkPackages[[#This Row],[Actual labor hours]]&gt;tblWorkPackages[[#This Row],[Estimated labor hours]],1,0)</f>
        <v>1</v>
      </c>
      <c r="R287" s="51">
        <f>tblWorkPackages[[#This Row],[Actual labor hours]]-tblWorkPackages[[#This Row],[Estimated labor hours]]</f>
        <v>6.3</v>
      </c>
      <c r="S287" s="51" t="str">
        <f>IF(tblWorkPackages[[#This Row],[Request date serial]]&lt;ValidationStart,"Train 2024",IF(tblWorkPackages[[#This Row],[Request date serial]]&lt;HoldoutStart,"Validation H1","Holdout H2"))</f>
        <v>Train 2024</v>
      </c>
      <c r="T287" s="51" t="str">
        <f>IF(tblWorkPackages[[#This Row],[Time split]]="Train 2024","",tblWorkPackages[[#This Row],[Estimated labor hours]]+VLOOKUP(tblWorkPackages[[#This Row],[Task type]],'Forecast validation'!$A$14:$E$25,IF(tblWorkPackages[[#This Row],[Time split]]="Validation H1",4,5),FALSE()))</f>
        <v/>
      </c>
      <c r="U287" s="51" t="str">
        <f>IF(tblWorkPackages[[#This Row],[Calibrated forecast hours]]="","",ABS(tblWorkPackages[[#This Row],[Actual labor hours]]-tblWorkPackages[[#This Row],[Calibrated forecast hours]]))</f>
        <v/>
      </c>
      <c r="V287" s="51">
        <f>IF(tblWorkPackages[[#This Row],[Time split]]="Train 2024",tblWorkPackages[[#This Row],[Estimated labor hours]],tblWorkPackages[[#This Row],[Calibrated forecast hours]])</f>
        <v>24.4</v>
      </c>
      <c r="W287" s="64">
        <f>DATEVALUE(tblWorkPackages[[#This Row],[Request date]])</f>
        <v>45366.0</v>
      </c>
      <c r="X287" s="64">
        <f>DATEVALUE(tblWorkPackages[[#This Row],[Due date]])</f>
        <v>45379.0</v>
      </c>
      <c r="Y287" s="64">
        <f>DATEVALUE(tblWorkPackages[[#This Row],[Completion date]])</f>
        <v>45383.0</v>
      </c>
      <c r="Z287" s="64">
        <f>_xlfn.MINIFS(tblLaborEntries[Work date serial],tblLaborEntries[Work package ID],tblWorkPackages[[#This Row],[Work package ID]])</f>
        <v>45380.0</v>
      </c>
      <c r="AA287" s="64">
        <f>_xlfn.MAXIFS(tblLaborEntries[Work date serial],tblLaborEntries[Work package ID],tblWorkPackages[[#This Row],[Work package ID]])</f>
        <v>45382.0</v>
      </c>
      <c r="AB287" s="65">
        <f>IF(tblWorkPackages[[#This Row],[Completion date serial]]&gt;tblWorkPackages[[#This Row],[Due date serial]],1,0)</f>
        <v>1</v>
      </c>
      <c r="AC287" s="65">
        <f>MAX(0,tblWorkPackages[[#This Row],[Completion date serial]]-tblWorkPackages[[#This Row],[Due date serial]])</f>
        <v>4</v>
      </c>
      <c r="AD287" s="65">
        <f>tblWorkPackages[[#This Row],[First labor date]]-tblWorkPackages[[#This Row],[Request date serial]]</f>
        <v>14</v>
      </c>
      <c r="AE287" s="65">
        <f>tblWorkPackages[[#This Row],[Last labor date]]-tblWorkPackages[[#This Row],[First labor date]]</f>
        <v>2</v>
      </c>
      <c r="AF287" s="65">
        <f>tblWorkPackages[[#This Row],[Completion date serial]]-tblWorkPackages[[#This Row],[Last labor date]]</f>
        <v>1</v>
      </c>
      <c r="AG287" s="65">
        <f>tblWorkPackages[[#This Row],[Completion date serial]]-tblWorkPackages[[#This Row],[Request date serial]]</f>
        <v>17</v>
      </c>
      <c r="AH287" s="65">
        <f>IFERROR(INDEX(tblParts[Delay days],MATCH(tblWorkPackages[[#This Row],[Work package ID]],tblParts[Work package ID],0)),0)</f>
        <v>0</v>
      </c>
      <c r="AI287" s="51" t="str">
        <f>IFERROR(INDEX(tblDisruptions[Event type],MATCH(tblWorkPackages[[#This Row],[Work package ID]],tblDisruptions[Work package ID],0)),"None")</f>
        <v>None</v>
      </c>
      <c r="AJ287" s="51" t="str">
        <f>TEXT(tblWorkPackages[[#This Row],[Due date serial]],"yyyy-mm")</f>
        <v>2024-03</v>
      </c>
    </row>
    <row r="288" spans="1:36" ht="15" x14ac:dyDescent="0.25">
      <c r="A288" s="53" t="s">
        <v>955</v>
      </c>
      <c r="B288" s="53" t="s">
        <v>287</v>
      </c>
      <c r="C288" s="53" t="s">
        <v>956</v>
      </c>
      <c r="D288" s="53" t="s">
        <v>549</v>
      </c>
      <c r="E288" s="53" t="s">
        <v>242</v>
      </c>
      <c r="F288" s="53" t="s">
        <v>243</v>
      </c>
      <c r="G288" s="53" t="s">
        <v>129</v>
      </c>
      <c r="H288" s="53">
        <v>3</v>
      </c>
      <c r="I288" s="53" t="s">
        <v>130</v>
      </c>
      <c r="J288" s="53">
        <v>0</v>
      </c>
      <c r="K288" s="53">
        <v>0</v>
      </c>
      <c r="L288" s="53">
        <v>12.7</v>
      </c>
      <c r="M288" s="53" t="s">
        <v>957</v>
      </c>
      <c r="N288" s="53">
        <v>15.4</v>
      </c>
      <c r="O288" s="51" t="str">
        <f>TEXT(tblWorkPackages[[#This Row],[Request date serial]]-WEEKDAY(tblWorkPackages[[#This Row],[Request date serial]],3),"yyyy-mm-dd")</f>
        <v>2024-06-10</v>
      </c>
      <c r="P288" s="51">
        <f>ABS(tblWorkPackages[[#This Row],[Actual labor hours]]-tblWorkPackages[[#This Row],[Estimated labor hours]])</f>
        <v>2.7</v>
      </c>
      <c r="Q288" s="51">
        <f>IF(tblWorkPackages[[#This Row],[Actual labor hours]]&gt;tblWorkPackages[[#This Row],[Estimated labor hours]],1,0)</f>
        <v>1</v>
      </c>
      <c r="R288" s="51">
        <f>tblWorkPackages[[#This Row],[Actual labor hours]]-tblWorkPackages[[#This Row],[Estimated labor hours]]</f>
        <v>2.7</v>
      </c>
      <c r="S288" s="51" t="str">
        <f>IF(tblWorkPackages[[#This Row],[Request date serial]]&lt;ValidationStart,"Train 2024",IF(tblWorkPackages[[#This Row],[Request date serial]]&lt;HoldoutStart,"Validation H1","Holdout H2"))</f>
        <v>Train 2024</v>
      </c>
      <c r="T288" s="51" t="str">
        <f>IF(tblWorkPackages[[#This Row],[Time split]]="Train 2024","",tblWorkPackages[[#This Row],[Estimated labor hours]]+VLOOKUP(tblWorkPackages[[#This Row],[Task type]],'Forecast validation'!$A$14:$E$25,IF(tblWorkPackages[[#This Row],[Time split]]="Validation H1",4,5),FALSE()))</f>
        <v/>
      </c>
      <c r="U288" s="51" t="str">
        <f>IF(tblWorkPackages[[#This Row],[Calibrated forecast hours]]="","",ABS(tblWorkPackages[[#This Row],[Actual labor hours]]-tblWorkPackages[[#This Row],[Calibrated forecast hours]]))</f>
        <v/>
      </c>
      <c r="V288" s="51">
        <f>IF(tblWorkPackages[[#This Row],[Time split]]="Train 2024",tblWorkPackages[[#This Row],[Estimated labor hours]],tblWorkPackages[[#This Row],[Calibrated forecast hours]])</f>
        <v>12.7</v>
      </c>
      <c r="W288" s="64">
        <f>DATEVALUE(tblWorkPackages[[#This Row],[Request date]])</f>
        <v>45456.0</v>
      </c>
      <c r="X288" s="64">
        <f>DATEVALUE(tblWorkPackages[[#This Row],[Due date]])</f>
        <v>45469.0</v>
      </c>
      <c r="Y288" s="64">
        <f>DATEVALUE(tblWorkPackages[[#This Row],[Completion date]])</f>
        <v>45464.0</v>
      </c>
      <c r="Z288" s="64">
        <f>_xlfn.MINIFS(tblLaborEntries[Work date serial],tblLaborEntries[Work package ID],tblWorkPackages[[#This Row],[Work package ID]])</f>
        <v>45460.0</v>
      </c>
      <c r="AA288" s="64">
        <f>_xlfn.MAXIFS(tblLaborEntries[Work date serial],tblLaborEntries[Work package ID],tblWorkPackages[[#This Row],[Work package ID]])</f>
        <v>45462.0</v>
      </c>
      <c r="AB288" s="65">
        <f>IF(tblWorkPackages[[#This Row],[Completion date serial]]&gt;tblWorkPackages[[#This Row],[Due date serial]],1,0)</f>
        <v>0</v>
      </c>
      <c r="AC288" s="65">
        <f>MAX(0,tblWorkPackages[[#This Row],[Completion date serial]]-tblWorkPackages[[#This Row],[Due date serial]])</f>
        <v>0</v>
      </c>
      <c r="AD288" s="65">
        <f>tblWorkPackages[[#This Row],[First labor date]]-tblWorkPackages[[#This Row],[Request date serial]]</f>
        <v>4</v>
      </c>
      <c r="AE288" s="65">
        <f>tblWorkPackages[[#This Row],[Last labor date]]-tblWorkPackages[[#This Row],[First labor date]]</f>
        <v>2</v>
      </c>
      <c r="AF288" s="65">
        <f>tblWorkPackages[[#This Row],[Completion date serial]]-tblWorkPackages[[#This Row],[Last labor date]]</f>
        <v>2</v>
      </c>
      <c r="AG288" s="65">
        <f>tblWorkPackages[[#This Row],[Completion date serial]]-tblWorkPackages[[#This Row],[Request date serial]]</f>
        <v>8</v>
      </c>
      <c r="AH288" s="65">
        <f>IFERROR(INDEX(tblParts[Delay days],MATCH(tblWorkPackages[[#This Row],[Work package ID]],tblParts[Work package ID],0)),0)</f>
        <v>0</v>
      </c>
      <c r="AI288" s="51" t="str">
        <f>IFERROR(INDEX(tblDisruptions[Event type],MATCH(tblWorkPackages[[#This Row],[Work package ID]],tblDisruptions[Work package ID],0)),"None")</f>
        <v>None</v>
      </c>
      <c r="AJ288" s="51" t="str">
        <f>TEXT(tblWorkPackages[[#This Row],[Due date serial]],"yyyy-mm")</f>
        <v>2024-06</v>
      </c>
    </row>
    <row r="289" spans="1:36" ht="15" x14ac:dyDescent="0.25">
      <c r="A289" s="53" t="s">
        <v>958</v>
      </c>
      <c r="B289" s="53" t="s">
        <v>168</v>
      </c>
      <c r="C289" s="53" t="s">
        <v>265</v>
      </c>
      <c r="D289" s="53" t="s">
        <v>799</v>
      </c>
      <c r="E289" s="53" t="s">
        <v>200</v>
      </c>
      <c r="F289" s="53" t="s">
        <v>128</v>
      </c>
      <c r="G289" s="53" t="s">
        <v>129</v>
      </c>
      <c r="H289" s="53">
        <v>3</v>
      </c>
      <c r="I289" s="53" t="s">
        <v>130</v>
      </c>
      <c r="J289" s="53">
        <v>0</v>
      </c>
      <c r="K289" s="53">
        <v>0</v>
      </c>
      <c r="L289" s="53">
        <v>3.8</v>
      </c>
      <c r="M289" s="53" t="s">
        <v>509</v>
      </c>
      <c r="N289" s="53">
        <v>4.3</v>
      </c>
      <c r="O289" s="51" t="str">
        <f>TEXT(tblWorkPackages[[#This Row],[Request date serial]]-WEEKDAY(tblWorkPackages[[#This Row],[Request date serial]],3),"yyyy-mm-dd")</f>
        <v>2024-08-26</v>
      </c>
      <c r="P289" s="51">
        <f>ABS(tblWorkPackages[[#This Row],[Actual labor hours]]-tblWorkPackages[[#This Row],[Estimated labor hours]])</f>
        <v>0.5</v>
      </c>
      <c r="Q289" s="51">
        <f>IF(tblWorkPackages[[#This Row],[Actual labor hours]]&gt;tblWorkPackages[[#This Row],[Estimated labor hours]],1,0)</f>
        <v>1</v>
      </c>
      <c r="R289" s="51">
        <f>tblWorkPackages[[#This Row],[Actual labor hours]]-tblWorkPackages[[#This Row],[Estimated labor hours]]</f>
        <v>0.5</v>
      </c>
      <c r="S289" s="51" t="str">
        <f>IF(tblWorkPackages[[#This Row],[Request date serial]]&lt;ValidationStart,"Train 2024",IF(tblWorkPackages[[#This Row],[Request date serial]]&lt;HoldoutStart,"Validation H1","Holdout H2"))</f>
        <v>Train 2024</v>
      </c>
      <c r="T289" s="51" t="str">
        <f>IF(tblWorkPackages[[#This Row],[Time split]]="Train 2024","",tblWorkPackages[[#This Row],[Estimated labor hours]]+VLOOKUP(tblWorkPackages[[#This Row],[Task type]],'Forecast validation'!$A$14:$E$25,IF(tblWorkPackages[[#This Row],[Time split]]="Validation H1",4,5),FALSE()))</f>
        <v/>
      </c>
      <c r="U289" s="51" t="str">
        <f>IF(tblWorkPackages[[#This Row],[Calibrated forecast hours]]="","",ABS(tblWorkPackages[[#This Row],[Actual labor hours]]-tblWorkPackages[[#This Row],[Calibrated forecast hours]]))</f>
        <v/>
      </c>
      <c r="V289" s="51">
        <f>IF(tblWorkPackages[[#This Row],[Time split]]="Train 2024",tblWorkPackages[[#This Row],[Estimated labor hours]],tblWorkPackages[[#This Row],[Calibrated forecast hours]])</f>
        <v>3.8</v>
      </c>
      <c r="W289" s="64">
        <f>DATEVALUE(tblWorkPackages[[#This Row],[Request date]])</f>
        <v>45536.0</v>
      </c>
      <c r="X289" s="64">
        <f>DATEVALUE(tblWorkPackages[[#This Row],[Due date]])</f>
        <v>45549.0</v>
      </c>
      <c r="Y289" s="64">
        <f>DATEVALUE(tblWorkPackages[[#This Row],[Completion date]])</f>
        <v>45597.0</v>
      </c>
      <c r="Z289" s="64">
        <f>_xlfn.MINIFS(tblLaborEntries[Work date serial],tblLaborEntries[Work package ID],tblWorkPackages[[#This Row],[Work package ID]])</f>
        <v>45594.0</v>
      </c>
      <c r="AA289" s="64">
        <f>_xlfn.MAXIFS(tblLaborEntries[Work date serial],tblLaborEntries[Work package ID],tblWorkPackages[[#This Row],[Work package ID]])</f>
        <v>45594.0</v>
      </c>
      <c r="AB289" s="65">
        <f>IF(tblWorkPackages[[#This Row],[Completion date serial]]&gt;tblWorkPackages[[#This Row],[Due date serial]],1,0)</f>
        <v>1</v>
      </c>
      <c r="AC289" s="65">
        <f>MAX(0,tblWorkPackages[[#This Row],[Completion date serial]]-tblWorkPackages[[#This Row],[Due date serial]])</f>
        <v>48</v>
      </c>
      <c r="AD289" s="65">
        <f>tblWorkPackages[[#This Row],[First labor date]]-tblWorkPackages[[#This Row],[Request date serial]]</f>
        <v>58</v>
      </c>
      <c r="AE289" s="65">
        <f>tblWorkPackages[[#This Row],[Last labor date]]-tblWorkPackages[[#This Row],[First labor date]]</f>
        <v>0</v>
      </c>
      <c r="AF289" s="65">
        <f>tblWorkPackages[[#This Row],[Completion date serial]]-tblWorkPackages[[#This Row],[Last labor date]]</f>
        <v>3</v>
      </c>
      <c r="AG289" s="65">
        <f>tblWorkPackages[[#This Row],[Completion date serial]]-tblWorkPackages[[#This Row],[Request date serial]]</f>
        <v>61</v>
      </c>
      <c r="AH289" s="65">
        <f>IFERROR(INDEX(tblParts[Delay days],MATCH(tblWorkPackages[[#This Row],[Work package ID]],tblParts[Work package ID],0)),0)</f>
        <v>0</v>
      </c>
      <c r="AI289" s="51" t="str">
        <f>IFERROR(INDEX(tblDisruptions[Event type],MATCH(tblWorkPackages[[#This Row],[Work package ID]],tblDisruptions[Work package ID],0)),"None")</f>
        <v>None</v>
      </c>
      <c r="AJ289" s="51" t="str">
        <f>TEXT(tblWorkPackages[[#This Row],[Due date serial]],"yyyy-mm")</f>
        <v>2024-09</v>
      </c>
    </row>
    <row r="290" spans="1:36" ht="15" x14ac:dyDescent="0.25">
      <c r="A290" s="53" t="s">
        <v>959</v>
      </c>
      <c r="B290" s="53" t="s">
        <v>235</v>
      </c>
      <c r="C290" s="53" t="s">
        <v>276</v>
      </c>
      <c r="D290" s="53" t="s">
        <v>171</v>
      </c>
      <c r="E290" s="53" t="s">
        <v>200</v>
      </c>
      <c r="F290" s="53" t="s">
        <v>128</v>
      </c>
      <c r="G290" s="53" t="s">
        <v>129</v>
      </c>
      <c r="H290" s="53">
        <v>2</v>
      </c>
      <c r="I290" s="53" t="s">
        <v>176</v>
      </c>
      <c r="J290" s="53">
        <v>0</v>
      </c>
      <c r="K290" s="53">
        <v>0</v>
      </c>
      <c r="L290" s="53">
        <v>2.7</v>
      </c>
      <c r="M290" s="53" t="s">
        <v>960</v>
      </c>
      <c r="N290" s="53">
        <v>2.7</v>
      </c>
      <c r="O290" s="51" t="str">
        <f>TEXT(tblWorkPackages[[#This Row],[Request date serial]]-WEEKDAY(tblWorkPackages[[#This Row],[Request date serial]],3),"yyyy-mm-dd")</f>
        <v>2024-10-14</v>
      </c>
      <c r="P290" s="51">
        <f>ABS(tblWorkPackages[[#This Row],[Actual labor hours]]-tblWorkPackages[[#This Row],[Estimated labor hours]])</f>
        <v>0</v>
      </c>
      <c r="Q290" s="51">
        <f>IF(tblWorkPackages[[#This Row],[Actual labor hours]]&gt;tblWorkPackages[[#This Row],[Estimated labor hours]],1,0)</f>
        <v>0</v>
      </c>
      <c r="R290" s="51">
        <f>tblWorkPackages[[#This Row],[Actual labor hours]]-tblWorkPackages[[#This Row],[Estimated labor hours]]</f>
        <v>0</v>
      </c>
      <c r="S290" s="51" t="str">
        <f>IF(tblWorkPackages[[#This Row],[Request date serial]]&lt;ValidationStart,"Train 2024",IF(tblWorkPackages[[#This Row],[Request date serial]]&lt;HoldoutStart,"Validation H1","Holdout H2"))</f>
        <v>Train 2024</v>
      </c>
      <c r="T290" s="51" t="str">
        <f>IF(tblWorkPackages[[#This Row],[Time split]]="Train 2024","",tblWorkPackages[[#This Row],[Estimated labor hours]]+VLOOKUP(tblWorkPackages[[#This Row],[Task type]],'Forecast validation'!$A$14:$E$25,IF(tblWorkPackages[[#This Row],[Time split]]="Validation H1",4,5),FALSE()))</f>
        <v/>
      </c>
      <c r="U290" s="51" t="str">
        <f>IF(tblWorkPackages[[#This Row],[Calibrated forecast hours]]="","",ABS(tblWorkPackages[[#This Row],[Actual labor hours]]-tblWorkPackages[[#This Row],[Calibrated forecast hours]]))</f>
        <v/>
      </c>
      <c r="V290" s="51">
        <f>IF(tblWorkPackages[[#This Row],[Time split]]="Train 2024",tblWorkPackages[[#This Row],[Estimated labor hours]],tblWorkPackages[[#This Row],[Calibrated forecast hours]])</f>
        <v>2.7</v>
      </c>
      <c r="W290" s="64">
        <f>DATEVALUE(tblWorkPackages[[#This Row],[Request date]])</f>
        <v>45584.0</v>
      </c>
      <c r="X290" s="64">
        <f>DATEVALUE(tblWorkPackages[[#This Row],[Due date]])</f>
        <v>45590.0</v>
      </c>
      <c r="Y290" s="64">
        <f>DATEVALUE(tblWorkPackages[[#This Row],[Completion date]])</f>
        <v>45594.0</v>
      </c>
      <c r="Z290" s="64">
        <f>_xlfn.MINIFS(tblLaborEntries[Work date serial],tblLaborEntries[Work package ID],tblWorkPackages[[#This Row],[Work package ID]])</f>
        <v>45593.0</v>
      </c>
      <c r="AA290" s="64">
        <f>_xlfn.MAXIFS(tblLaborEntries[Work date serial],tblLaborEntries[Work package ID],tblWorkPackages[[#This Row],[Work package ID]])</f>
        <v>45594.0</v>
      </c>
      <c r="AB290" s="65">
        <f>IF(tblWorkPackages[[#This Row],[Completion date serial]]&gt;tblWorkPackages[[#This Row],[Due date serial]],1,0)</f>
        <v>1</v>
      </c>
      <c r="AC290" s="65">
        <f>MAX(0,tblWorkPackages[[#This Row],[Completion date serial]]-tblWorkPackages[[#This Row],[Due date serial]])</f>
        <v>4</v>
      </c>
      <c r="AD290" s="65">
        <f>tblWorkPackages[[#This Row],[First labor date]]-tblWorkPackages[[#This Row],[Request date serial]]</f>
        <v>9</v>
      </c>
      <c r="AE290" s="65">
        <f>tblWorkPackages[[#This Row],[Last labor date]]-tblWorkPackages[[#This Row],[First labor date]]</f>
        <v>1</v>
      </c>
      <c r="AF290" s="65">
        <f>tblWorkPackages[[#This Row],[Completion date serial]]-tblWorkPackages[[#This Row],[Last labor date]]</f>
        <v>0</v>
      </c>
      <c r="AG290" s="65">
        <f>tblWorkPackages[[#This Row],[Completion date serial]]-tblWorkPackages[[#This Row],[Request date serial]]</f>
        <v>10</v>
      </c>
      <c r="AH290" s="65">
        <f>IFERROR(INDEX(tblParts[Delay days],MATCH(tblWorkPackages[[#This Row],[Work package ID]],tblParts[Work package ID],0)),0)</f>
        <v>0</v>
      </c>
      <c r="AI290" s="51" t="str">
        <f>IFERROR(INDEX(tblDisruptions[Event type],MATCH(tblWorkPackages[[#This Row],[Work package ID]],tblDisruptions[Work package ID],0)),"None")</f>
        <v>None</v>
      </c>
      <c r="AJ290" s="51" t="str">
        <f>TEXT(tblWorkPackages[[#This Row],[Due date serial]],"yyyy-mm")</f>
        <v>2024-10</v>
      </c>
    </row>
    <row r="291" spans="1:36" ht="15" x14ac:dyDescent="0.25">
      <c r="A291" s="53" t="s">
        <v>961</v>
      </c>
      <c r="B291" s="53" t="s">
        <v>141</v>
      </c>
      <c r="C291" s="53" t="s">
        <v>962</v>
      </c>
      <c r="D291" s="53" t="s">
        <v>963</v>
      </c>
      <c r="E291" s="53" t="s">
        <v>242</v>
      </c>
      <c r="F291" s="53" t="s">
        <v>243</v>
      </c>
      <c r="G291" s="53" t="s">
        <v>129</v>
      </c>
      <c r="H291" s="53">
        <v>1</v>
      </c>
      <c r="I291" s="53" t="s">
        <v>176</v>
      </c>
      <c r="J291" s="53">
        <v>0</v>
      </c>
      <c r="K291" s="53">
        <v>0</v>
      </c>
      <c r="L291" s="53">
        <v>5.9</v>
      </c>
      <c r="M291" s="53" t="s">
        <v>964</v>
      </c>
      <c r="N291" s="53">
        <v>7</v>
      </c>
      <c r="O291" s="51" t="str">
        <f>TEXT(tblWorkPackages[[#This Row],[Request date serial]]-WEEKDAY(tblWorkPackages[[#This Row],[Request date serial]],3),"yyyy-mm-dd")</f>
        <v>2025-02-03</v>
      </c>
      <c r="P291" s="51">
        <f>ABS(tblWorkPackages[[#This Row],[Actual labor hours]]-tblWorkPackages[[#This Row],[Estimated labor hours]])</f>
        <v>1.1</v>
      </c>
      <c r="Q291" s="51">
        <f>IF(tblWorkPackages[[#This Row],[Actual labor hours]]&gt;tblWorkPackages[[#This Row],[Estimated labor hours]],1,0)</f>
        <v>1</v>
      </c>
      <c r="R291" s="51">
        <f>tblWorkPackages[[#This Row],[Actual labor hours]]-tblWorkPackages[[#This Row],[Estimated labor hours]]</f>
        <v>1.1</v>
      </c>
      <c r="S291" s="51" t="str">
        <f>IF(tblWorkPackages[[#This Row],[Request date serial]]&lt;ValidationStart,"Train 2024",IF(tblWorkPackages[[#This Row],[Request date serial]]&lt;HoldoutStart,"Validation H1","Holdout H2"))</f>
        <v>Validation H1</v>
      </c>
      <c r="T291" s="51">
        <f>IF(tblWorkPackages[[#This Row],[Time split]]="Train 2024","",tblWorkPackages[[#This Row],[Estimated labor hours]]+VLOOKUP(tblWorkPackages[[#This Row],[Task type]],'Forecast validation'!$A$14:$E$25,IF(tblWorkPackages[[#This Row],[Time split]]="Validation H1",4,5),FALSE()))</f>
        <v>6.45612244897959</v>
      </c>
      <c r="U291" s="51">
        <f>IF(tblWorkPackages[[#This Row],[Calibrated forecast hours]]="","",ABS(tblWorkPackages[[#This Row],[Actual labor hours]]-tblWorkPackages[[#This Row],[Calibrated forecast hours]]))</f>
        <v>0.543877551020408</v>
      </c>
      <c r="V291" s="51">
        <f>IF(tblWorkPackages[[#This Row],[Time split]]="Train 2024",tblWorkPackages[[#This Row],[Estimated labor hours]],tblWorkPackages[[#This Row],[Calibrated forecast hours]])</f>
        <v>6.45612244897959</v>
      </c>
      <c r="W291" s="64">
        <f>DATEVALUE(tblWorkPackages[[#This Row],[Request date]])</f>
        <v>45694.0</v>
      </c>
      <c r="X291" s="64">
        <f>DATEVALUE(tblWorkPackages[[#This Row],[Due date]])</f>
        <v>45700.0</v>
      </c>
      <c r="Y291" s="64">
        <f>DATEVALUE(tblWorkPackages[[#This Row],[Completion date]])</f>
        <v>45697.0</v>
      </c>
      <c r="Z291" s="64">
        <f>_xlfn.MINIFS(tblLaborEntries[Work date serial],tblLaborEntries[Work package ID],tblWorkPackages[[#This Row],[Work package ID]])</f>
        <v>45696.0</v>
      </c>
      <c r="AA291" s="64">
        <f>_xlfn.MAXIFS(tblLaborEntries[Work date serial],tblLaborEntries[Work package ID],tblWorkPackages[[#This Row],[Work package ID]])</f>
        <v>45696.0</v>
      </c>
      <c r="AB291" s="65">
        <f>IF(tblWorkPackages[[#This Row],[Completion date serial]]&gt;tblWorkPackages[[#This Row],[Due date serial]],1,0)</f>
        <v>0</v>
      </c>
      <c r="AC291" s="65">
        <f>MAX(0,tblWorkPackages[[#This Row],[Completion date serial]]-tblWorkPackages[[#This Row],[Due date serial]])</f>
        <v>0</v>
      </c>
      <c r="AD291" s="65">
        <f>tblWorkPackages[[#This Row],[First labor date]]-tblWorkPackages[[#This Row],[Request date serial]]</f>
        <v>2</v>
      </c>
      <c r="AE291" s="65">
        <f>tblWorkPackages[[#This Row],[Last labor date]]-tblWorkPackages[[#This Row],[First labor date]]</f>
        <v>0</v>
      </c>
      <c r="AF291" s="65">
        <f>tblWorkPackages[[#This Row],[Completion date serial]]-tblWorkPackages[[#This Row],[Last labor date]]</f>
        <v>1</v>
      </c>
      <c r="AG291" s="65">
        <f>tblWorkPackages[[#This Row],[Completion date serial]]-tblWorkPackages[[#This Row],[Request date serial]]</f>
        <v>3</v>
      </c>
      <c r="AH291" s="65">
        <f>IFERROR(INDEX(tblParts[Delay days],MATCH(tblWorkPackages[[#This Row],[Work package ID]],tblParts[Work package ID],0)),0)</f>
        <v>0</v>
      </c>
      <c r="AI291" s="51" t="str">
        <f>IFERROR(INDEX(tblDisruptions[Event type],MATCH(tblWorkPackages[[#This Row],[Work package ID]],tblDisruptions[Work package ID],0)),"None")</f>
        <v>None</v>
      </c>
      <c r="AJ291" s="51" t="str">
        <f>TEXT(tblWorkPackages[[#This Row],[Due date serial]],"yyyy-mm")</f>
        <v>2025-02</v>
      </c>
    </row>
    <row r="292" spans="1:36" ht="15" x14ac:dyDescent="0.25">
      <c r="A292" s="53" t="s">
        <v>965</v>
      </c>
      <c r="B292" s="53" t="s">
        <v>133</v>
      </c>
      <c r="C292" s="53" t="s">
        <v>966</v>
      </c>
      <c r="D292" s="53" t="s">
        <v>466</v>
      </c>
      <c r="E292" s="53" t="s">
        <v>127</v>
      </c>
      <c r="F292" s="53" t="s">
        <v>128</v>
      </c>
      <c r="G292" s="53" t="s">
        <v>129</v>
      </c>
      <c r="H292" s="53">
        <v>4</v>
      </c>
      <c r="I292" s="53" t="s">
        <v>130</v>
      </c>
      <c r="J292" s="53">
        <v>0</v>
      </c>
      <c r="K292" s="53">
        <v>0</v>
      </c>
      <c r="L292" s="53">
        <v>13.9</v>
      </c>
      <c r="M292" s="53" t="s">
        <v>967</v>
      </c>
      <c r="N292" s="53">
        <v>13.1</v>
      </c>
      <c r="O292" s="51" t="str">
        <f>TEXT(tblWorkPackages[[#This Row],[Request date serial]]-WEEKDAY(tblWorkPackages[[#This Row],[Request date serial]],3),"yyyy-mm-dd")</f>
        <v>2025-03-17</v>
      </c>
      <c r="P292" s="51">
        <f>ABS(tblWorkPackages[[#This Row],[Actual labor hours]]-tblWorkPackages[[#This Row],[Estimated labor hours]])</f>
        <v>0.800000000000001</v>
      </c>
      <c r="Q292" s="51">
        <f>IF(tblWorkPackages[[#This Row],[Actual labor hours]]&gt;tblWorkPackages[[#This Row],[Estimated labor hours]],1,0)</f>
        <v>0</v>
      </c>
      <c r="R292" s="51">
        <f>tblWorkPackages[[#This Row],[Actual labor hours]]-tblWorkPackages[[#This Row],[Estimated labor hours]]</f>
        <v>-0.800000000000001</v>
      </c>
      <c r="S292" s="51" t="str">
        <f>IF(tblWorkPackages[[#This Row],[Request date serial]]&lt;ValidationStart,"Train 2024",IF(tblWorkPackages[[#This Row],[Request date serial]]&lt;HoldoutStart,"Validation H1","Holdout H2"))</f>
        <v>Validation H1</v>
      </c>
      <c r="T292" s="51">
        <f>IF(tblWorkPackages[[#This Row],[Time split]]="Train 2024","",tblWorkPackages[[#This Row],[Estimated labor hours]]+VLOOKUP(tblWorkPackages[[#This Row],[Task type]],'Forecast validation'!$A$14:$E$25,IF(tblWorkPackages[[#This Row],[Time split]]="Validation H1",4,5),FALSE()))</f>
        <v>14.375641025641</v>
      </c>
      <c r="U292" s="51">
        <f>IF(tblWorkPackages[[#This Row],[Calibrated forecast hours]]="","",ABS(tblWorkPackages[[#This Row],[Actual labor hours]]-tblWorkPackages[[#This Row],[Calibrated forecast hours]]))</f>
        <v>1.27564102564103</v>
      </c>
      <c r="V292" s="51">
        <f>IF(tblWorkPackages[[#This Row],[Time split]]="Train 2024",tblWorkPackages[[#This Row],[Estimated labor hours]],tblWorkPackages[[#This Row],[Calibrated forecast hours]])</f>
        <v>14.375641025641</v>
      </c>
      <c r="W292" s="64">
        <f>DATEVALUE(tblWorkPackages[[#This Row],[Request date]])</f>
        <v>45733.0</v>
      </c>
      <c r="X292" s="64">
        <f>DATEVALUE(tblWorkPackages[[#This Row],[Due date]])</f>
        <v>45746.0</v>
      </c>
      <c r="Y292" s="64">
        <f>DATEVALUE(tblWorkPackages[[#This Row],[Completion date]])</f>
        <v>45758.0</v>
      </c>
      <c r="Z292" s="64">
        <f>_xlfn.MINIFS(tblLaborEntries[Work date serial],tblLaborEntries[Work package ID],tblWorkPackages[[#This Row],[Work package ID]])</f>
        <v>45755.0</v>
      </c>
      <c r="AA292" s="64">
        <f>_xlfn.MAXIFS(tblLaborEntries[Work date serial],tblLaborEntries[Work package ID],tblWorkPackages[[#This Row],[Work package ID]])</f>
        <v>45756.0</v>
      </c>
      <c r="AB292" s="65">
        <f>IF(tblWorkPackages[[#This Row],[Completion date serial]]&gt;tblWorkPackages[[#This Row],[Due date serial]],1,0)</f>
        <v>1</v>
      </c>
      <c r="AC292" s="65">
        <f>MAX(0,tblWorkPackages[[#This Row],[Completion date serial]]-tblWorkPackages[[#This Row],[Due date serial]])</f>
        <v>12</v>
      </c>
      <c r="AD292" s="65">
        <f>tblWorkPackages[[#This Row],[First labor date]]-tblWorkPackages[[#This Row],[Request date serial]]</f>
        <v>22</v>
      </c>
      <c r="AE292" s="65">
        <f>tblWorkPackages[[#This Row],[Last labor date]]-tblWorkPackages[[#This Row],[First labor date]]</f>
        <v>1</v>
      </c>
      <c r="AF292" s="65">
        <f>tblWorkPackages[[#This Row],[Completion date serial]]-tblWorkPackages[[#This Row],[Last labor date]]</f>
        <v>2</v>
      </c>
      <c r="AG292" s="65">
        <f>tblWorkPackages[[#This Row],[Completion date serial]]-tblWorkPackages[[#This Row],[Request date serial]]</f>
        <v>25</v>
      </c>
      <c r="AH292" s="65">
        <f>IFERROR(INDEX(tblParts[Delay days],MATCH(tblWorkPackages[[#This Row],[Work package ID]],tblParts[Work package ID],0)),0)</f>
        <v>0</v>
      </c>
      <c r="AI292" s="51" t="str">
        <f>IFERROR(INDEX(tblDisruptions[Event type],MATCH(tblWorkPackages[[#This Row],[Work package ID]],tblDisruptions[Work package ID],0)),"None")</f>
        <v>None</v>
      </c>
      <c r="AJ292" s="51" t="str">
        <f>TEXT(tblWorkPackages[[#This Row],[Due date serial]],"yyyy-mm")</f>
        <v>2025-03</v>
      </c>
    </row>
    <row r="293" spans="1:36" ht="15" x14ac:dyDescent="0.25">
      <c r="A293" s="53" t="s">
        <v>968</v>
      </c>
      <c r="B293" s="53" t="s">
        <v>163</v>
      </c>
      <c r="C293" s="53" t="s">
        <v>257</v>
      </c>
      <c r="D293" s="53" t="s">
        <v>159</v>
      </c>
      <c r="E293" s="53" t="s">
        <v>127</v>
      </c>
      <c r="F293" s="53" t="s">
        <v>128</v>
      </c>
      <c r="G293" s="53" t="s">
        <v>129</v>
      </c>
      <c r="H293" s="53">
        <v>2</v>
      </c>
      <c r="I293" s="53" t="s">
        <v>147</v>
      </c>
      <c r="J293" s="53">
        <v>0</v>
      </c>
      <c r="K293" s="53">
        <v>0</v>
      </c>
      <c r="L293" s="53">
        <v>6.4</v>
      </c>
      <c r="M293" s="53" t="s">
        <v>221</v>
      </c>
      <c r="N293" s="53">
        <v>6.4</v>
      </c>
      <c r="O293" s="51" t="str">
        <f>TEXT(tblWorkPackages[[#This Row],[Request date serial]]-WEEKDAY(tblWorkPackages[[#This Row],[Request date serial]],3),"yyyy-mm-dd")</f>
        <v>2024-12-09</v>
      </c>
      <c r="P293" s="51">
        <f>ABS(tblWorkPackages[[#This Row],[Actual labor hours]]-tblWorkPackages[[#This Row],[Estimated labor hours]])</f>
        <v>0</v>
      </c>
      <c r="Q293" s="51">
        <f>IF(tblWorkPackages[[#This Row],[Actual labor hours]]&gt;tblWorkPackages[[#This Row],[Estimated labor hours]],1,0)</f>
        <v>0</v>
      </c>
      <c r="R293" s="51">
        <f>tblWorkPackages[[#This Row],[Actual labor hours]]-tblWorkPackages[[#This Row],[Estimated labor hours]]</f>
        <v>0</v>
      </c>
      <c r="S293" s="51" t="str">
        <f>IF(tblWorkPackages[[#This Row],[Request date serial]]&lt;ValidationStart,"Train 2024",IF(tblWorkPackages[[#This Row],[Request date serial]]&lt;HoldoutStart,"Validation H1","Holdout H2"))</f>
        <v>Train 2024</v>
      </c>
      <c r="T293" s="51" t="str">
        <f>IF(tblWorkPackages[[#This Row],[Time split]]="Train 2024","",tblWorkPackages[[#This Row],[Estimated labor hours]]+VLOOKUP(tblWorkPackages[[#This Row],[Task type]],'Forecast validation'!$A$14:$E$25,IF(tblWorkPackages[[#This Row],[Time split]]="Validation H1",4,5),FALSE()))</f>
        <v/>
      </c>
      <c r="U293" s="51" t="str">
        <f>IF(tblWorkPackages[[#This Row],[Calibrated forecast hours]]="","",ABS(tblWorkPackages[[#This Row],[Actual labor hours]]-tblWorkPackages[[#This Row],[Calibrated forecast hours]]))</f>
        <v/>
      </c>
      <c r="V293" s="51">
        <f>IF(tblWorkPackages[[#This Row],[Time split]]="Train 2024",tblWorkPackages[[#This Row],[Estimated labor hours]],tblWorkPackages[[#This Row],[Calibrated forecast hours]])</f>
        <v>6.4</v>
      </c>
      <c r="W293" s="64">
        <f>DATEVALUE(tblWorkPackages[[#This Row],[Request date]])</f>
        <v>45638.0</v>
      </c>
      <c r="X293" s="64">
        <f>DATEVALUE(tblWorkPackages[[#This Row],[Due date]])</f>
        <v>45640.0</v>
      </c>
      <c r="Y293" s="64">
        <f>DATEVALUE(tblWorkPackages[[#This Row],[Completion date]])</f>
        <v>45645.0</v>
      </c>
      <c r="Z293" s="64">
        <f>_xlfn.MINIFS(tblLaborEntries[Work date serial],tblLaborEntries[Work package ID],tblWorkPackages[[#This Row],[Work package ID]])</f>
        <v>45642.0</v>
      </c>
      <c r="AA293" s="64">
        <f>_xlfn.MAXIFS(tblLaborEntries[Work date serial],tblLaborEntries[Work package ID],tblWorkPackages[[#This Row],[Work package ID]])</f>
        <v>45642.0</v>
      </c>
      <c r="AB293" s="65">
        <f>IF(tblWorkPackages[[#This Row],[Completion date serial]]&gt;tblWorkPackages[[#This Row],[Due date serial]],1,0)</f>
        <v>1</v>
      </c>
      <c r="AC293" s="65">
        <f>MAX(0,tblWorkPackages[[#This Row],[Completion date serial]]-tblWorkPackages[[#This Row],[Due date serial]])</f>
        <v>5</v>
      </c>
      <c r="AD293" s="65">
        <f>tblWorkPackages[[#This Row],[First labor date]]-tblWorkPackages[[#This Row],[Request date serial]]</f>
        <v>4</v>
      </c>
      <c r="AE293" s="65">
        <f>tblWorkPackages[[#This Row],[Last labor date]]-tblWorkPackages[[#This Row],[First labor date]]</f>
        <v>0</v>
      </c>
      <c r="AF293" s="65">
        <f>tblWorkPackages[[#This Row],[Completion date serial]]-tblWorkPackages[[#This Row],[Last labor date]]</f>
        <v>3</v>
      </c>
      <c r="AG293" s="65">
        <f>tblWorkPackages[[#This Row],[Completion date serial]]-tblWorkPackages[[#This Row],[Request date serial]]</f>
        <v>7</v>
      </c>
      <c r="AH293" s="65">
        <f>IFERROR(INDEX(tblParts[Delay days],MATCH(tblWorkPackages[[#This Row],[Work package ID]],tblParts[Work package ID],0)),0)</f>
        <v>0</v>
      </c>
      <c r="AI293" s="51" t="str">
        <f>IFERROR(INDEX(tblDisruptions[Event type],MATCH(tblWorkPackages[[#This Row],[Work package ID]],tblDisruptions[Work package ID],0)),"None")</f>
        <v>None</v>
      </c>
      <c r="AJ293" s="51" t="str">
        <f>TEXT(tblWorkPackages[[#This Row],[Due date serial]],"yyyy-mm")</f>
        <v>2024-12</v>
      </c>
    </row>
    <row r="294" spans="1:36" ht="15" x14ac:dyDescent="0.25">
      <c r="A294" s="53" t="s">
        <v>969</v>
      </c>
      <c r="B294" s="53" t="s">
        <v>133</v>
      </c>
      <c r="C294" s="53" t="s">
        <v>970</v>
      </c>
      <c r="D294" s="53" t="s">
        <v>971</v>
      </c>
      <c r="E294" s="53" t="s">
        <v>127</v>
      </c>
      <c r="F294" s="53" t="s">
        <v>128</v>
      </c>
      <c r="G294" s="53" t="s">
        <v>129</v>
      </c>
      <c r="H294" s="53">
        <v>3</v>
      </c>
      <c r="I294" s="53" t="s">
        <v>176</v>
      </c>
      <c r="J294" s="53">
        <v>0</v>
      </c>
      <c r="K294" s="53">
        <v>1</v>
      </c>
      <c r="L294" s="53">
        <v>10.3</v>
      </c>
      <c r="M294" s="53" t="s">
        <v>822</v>
      </c>
      <c r="N294" s="53">
        <v>10</v>
      </c>
      <c r="O294" s="51" t="str">
        <f>TEXT(tblWorkPackages[[#This Row],[Request date serial]]-WEEKDAY(tblWorkPackages[[#This Row],[Request date serial]],3),"yyyy-mm-dd")</f>
        <v>2024-05-06</v>
      </c>
      <c r="P294" s="51">
        <f>ABS(tblWorkPackages[[#This Row],[Actual labor hours]]-tblWorkPackages[[#This Row],[Estimated labor hours]])</f>
        <v>0.300000000000001</v>
      </c>
      <c r="Q294" s="51">
        <f>IF(tblWorkPackages[[#This Row],[Actual labor hours]]&gt;tblWorkPackages[[#This Row],[Estimated labor hours]],1,0)</f>
        <v>0</v>
      </c>
      <c r="R294" s="51">
        <f>tblWorkPackages[[#This Row],[Actual labor hours]]-tblWorkPackages[[#This Row],[Estimated labor hours]]</f>
        <v>-0.300000000000001</v>
      </c>
      <c r="S294" s="51" t="str">
        <f>IF(tblWorkPackages[[#This Row],[Request date serial]]&lt;ValidationStart,"Train 2024",IF(tblWorkPackages[[#This Row],[Request date serial]]&lt;HoldoutStart,"Validation H1","Holdout H2"))</f>
        <v>Train 2024</v>
      </c>
      <c r="T294" s="51" t="str">
        <f>IF(tblWorkPackages[[#This Row],[Time split]]="Train 2024","",tblWorkPackages[[#This Row],[Estimated labor hours]]+VLOOKUP(tblWorkPackages[[#This Row],[Task type]],'Forecast validation'!$A$14:$E$25,IF(tblWorkPackages[[#This Row],[Time split]]="Validation H1",4,5),FALSE()))</f>
        <v/>
      </c>
      <c r="U294" s="51" t="str">
        <f>IF(tblWorkPackages[[#This Row],[Calibrated forecast hours]]="","",ABS(tblWorkPackages[[#This Row],[Actual labor hours]]-tblWorkPackages[[#This Row],[Calibrated forecast hours]]))</f>
        <v/>
      </c>
      <c r="V294" s="51">
        <f>IF(tblWorkPackages[[#This Row],[Time split]]="Train 2024",tblWorkPackages[[#This Row],[Estimated labor hours]],tblWorkPackages[[#This Row],[Calibrated forecast hours]])</f>
        <v>10.3</v>
      </c>
      <c r="W294" s="64">
        <f>DATEVALUE(tblWorkPackages[[#This Row],[Request date]])</f>
        <v>45418.0</v>
      </c>
      <c r="X294" s="64">
        <f>DATEVALUE(tblWorkPackages[[#This Row],[Due date]])</f>
        <v>45424.0</v>
      </c>
      <c r="Y294" s="64">
        <f>DATEVALUE(tblWorkPackages[[#This Row],[Completion date]])</f>
        <v>45425.0</v>
      </c>
      <c r="Z294" s="64">
        <f>_xlfn.MINIFS(tblLaborEntries[Work date serial],tblLaborEntries[Work package ID],tblWorkPackages[[#This Row],[Work package ID]])</f>
        <v>45425.0</v>
      </c>
      <c r="AA294" s="64">
        <f>_xlfn.MAXIFS(tblLaborEntries[Work date serial],tblLaborEntries[Work package ID],tblWorkPackages[[#This Row],[Work package ID]])</f>
        <v>45425.0</v>
      </c>
      <c r="AB294" s="65">
        <f>IF(tblWorkPackages[[#This Row],[Completion date serial]]&gt;tblWorkPackages[[#This Row],[Due date serial]],1,0)</f>
        <v>1</v>
      </c>
      <c r="AC294" s="65">
        <f>MAX(0,tblWorkPackages[[#This Row],[Completion date serial]]-tblWorkPackages[[#This Row],[Due date serial]])</f>
        <v>1</v>
      </c>
      <c r="AD294" s="65">
        <f>tblWorkPackages[[#This Row],[First labor date]]-tblWorkPackages[[#This Row],[Request date serial]]</f>
        <v>7</v>
      </c>
      <c r="AE294" s="65">
        <f>tblWorkPackages[[#This Row],[Last labor date]]-tblWorkPackages[[#This Row],[First labor date]]</f>
        <v>0</v>
      </c>
      <c r="AF294" s="65">
        <f>tblWorkPackages[[#This Row],[Completion date serial]]-tblWorkPackages[[#This Row],[Last labor date]]</f>
        <v>0</v>
      </c>
      <c r="AG294" s="65">
        <f>tblWorkPackages[[#This Row],[Completion date serial]]-tblWorkPackages[[#This Row],[Request date serial]]</f>
        <v>7</v>
      </c>
      <c r="AH294" s="65">
        <f>IFERROR(INDEX(tblParts[Delay days],MATCH(tblWorkPackages[[#This Row],[Work package ID]],tblParts[Work package ID],0)),0)</f>
        <v>6</v>
      </c>
      <c r="AI294" s="51" t="str">
        <f>IFERROR(INDEX(tblDisruptions[Event type],MATCH(tblWorkPackages[[#This Row],[Work package ID]],tblDisruptions[Work package ID],0)),"None")</f>
        <v>Part delay</v>
      </c>
      <c r="AJ294" s="51" t="str">
        <f>TEXT(tblWorkPackages[[#This Row],[Due date serial]],"yyyy-mm")</f>
        <v>2024-05</v>
      </c>
    </row>
    <row r="295" spans="1:36" ht="15" x14ac:dyDescent="0.25">
      <c r="A295" s="53" t="s">
        <v>972</v>
      </c>
      <c r="B295" s="53" t="s">
        <v>150</v>
      </c>
      <c r="C295" s="53" t="s">
        <v>560</v>
      </c>
      <c r="D295" s="53" t="s">
        <v>482</v>
      </c>
      <c r="E295" s="53" t="s">
        <v>127</v>
      </c>
      <c r="F295" s="53" t="s">
        <v>128</v>
      </c>
      <c r="G295" s="53" t="s">
        <v>129</v>
      </c>
      <c r="H295" s="53">
        <v>1</v>
      </c>
      <c r="I295" s="53" t="s">
        <v>130</v>
      </c>
      <c r="J295" s="53">
        <v>0</v>
      </c>
      <c r="K295" s="53">
        <v>0</v>
      </c>
      <c r="L295" s="53">
        <v>4.4000000000000004</v>
      </c>
      <c r="M295" s="53" t="s">
        <v>973</v>
      </c>
      <c r="N295" s="53">
        <v>4</v>
      </c>
      <c r="O295" s="51" t="str">
        <f>TEXT(tblWorkPackages[[#This Row],[Request date serial]]-WEEKDAY(tblWorkPackages[[#This Row],[Request date serial]],3),"yyyy-mm-dd")</f>
        <v>2025-11-03</v>
      </c>
      <c r="P295" s="51">
        <f>ABS(tblWorkPackages[[#This Row],[Actual labor hours]]-tblWorkPackages[[#This Row],[Estimated labor hours]])</f>
        <v>0.4</v>
      </c>
      <c r="Q295" s="51">
        <f>IF(tblWorkPackages[[#This Row],[Actual labor hours]]&gt;tblWorkPackages[[#This Row],[Estimated labor hours]],1,0)</f>
        <v>0</v>
      </c>
      <c r="R295" s="51">
        <f>tblWorkPackages[[#This Row],[Actual labor hours]]-tblWorkPackages[[#This Row],[Estimated labor hours]]</f>
        <v>-0.4</v>
      </c>
      <c r="S295" s="51" t="str">
        <f>IF(tblWorkPackages[[#This Row],[Request date serial]]&lt;ValidationStart,"Train 2024",IF(tblWorkPackages[[#This Row],[Request date serial]]&lt;HoldoutStart,"Validation H1","Holdout H2"))</f>
        <v>Holdout H2</v>
      </c>
      <c r="T295" s="51">
        <f>IF(tblWorkPackages[[#This Row],[Time split]]="Train 2024","",tblWorkPackages[[#This Row],[Estimated labor hours]]+VLOOKUP(tblWorkPackages[[#This Row],[Task type]],'Forecast validation'!$A$14:$E$25,IF(tblWorkPackages[[#This Row],[Time split]]="Validation H1",4,5),FALSE()))</f>
        <v>4.94341085271318</v>
      </c>
      <c r="U295" s="51">
        <f>IF(tblWorkPackages[[#This Row],[Calibrated forecast hours]]="","",ABS(tblWorkPackages[[#This Row],[Actual labor hours]]-tblWorkPackages[[#This Row],[Calibrated forecast hours]]))</f>
        <v>0.943410852713178</v>
      </c>
      <c r="V295" s="51">
        <f>IF(tblWorkPackages[[#This Row],[Time split]]="Train 2024",tblWorkPackages[[#This Row],[Estimated labor hours]],tblWorkPackages[[#This Row],[Calibrated forecast hours]])</f>
        <v>4.94341085271318</v>
      </c>
      <c r="W295" s="64">
        <f>DATEVALUE(tblWorkPackages[[#This Row],[Request date]])</f>
        <v>45970.0</v>
      </c>
      <c r="X295" s="64">
        <f>DATEVALUE(tblWorkPackages[[#This Row],[Due date]])</f>
        <v>45983.0</v>
      </c>
      <c r="Y295" s="64">
        <f>DATEVALUE(tblWorkPackages[[#This Row],[Completion date]])</f>
        <v>45985.0</v>
      </c>
      <c r="Z295" s="64">
        <f>_xlfn.MINIFS(tblLaborEntries[Work date serial],tblLaborEntries[Work package ID],tblWorkPackages[[#This Row],[Work package ID]])</f>
        <v>45982.0</v>
      </c>
      <c r="AA295" s="64">
        <f>_xlfn.MAXIFS(tblLaborEntries[Work date serial],tblLaborEntries[Work package ID],tblWorkPackages[[#This Row],[Work package ID]])</f>
        <v>45984.0</v>
      </c>
      <c r="AB295" s="65">
        <f>IF(tblWorkPackages[[#This Row],[Completion date serial]]&gt;tblWorkPackages[[#This Row],[Due date serial]],1,0)</f>
        <v>1</v>
      </c>
      <c r="AC295" s="65">
        <f>MAX(0,tblWorkPackages[[#This Row],[Completion date serial]]-tblWorkPackages[[#This Row],[Due date serial]])</f>
        <v>2</v>
      </c>
      <c r="AD295" s="65">
        <f>tblWorkPackages[[#This Row],[First labor date]]-tblWorkPackages[[#This Row],[Request date serial]]</f>
        <v>12</v>
      </c>
      <c r="AE295" s="65">
        <f>tblWorkPackages[[#This Row],[Last labor date]]-tblWorkPackages[[#This Row],[First labor date]]</f>
        <v>2</v>
      </c>
      <c r="AF295" s="65">
        <f>tblWorkPackages[[#This Row],[Completion date serial]]-tblWorkPackages[[#This Row],[Last labor date]]</f>
        <v>1</v>
      </c>
      <c r="AG295" s="65">
        <f>tblWorkPackages[[#This Row],[Completion date serial]]-tblWorkPackages[[#This Row],[Request date serial]]</f>
        <v>15</v>
      </c>
      <c r="AH295" s="65">
        <f>IFERROR(INDEX(tblParts[Delay days],MATCH(tblWorkPackages[[#This Row],[Work package ID]],tblParts[Work package ID],0)),0)</f>
        <v>0</v>
      </c>
      <c r="AI295" s="51" t="str">
        <f>IFERROR(INDEX(tblDisruptions[Event type],MATCH(tblWorkPackages[[#This Row],[Work package ID]],tblDisruptions[Work package ID],0)),"None")</f>
        <v>None</v>
      </c>
      <c r="AJ295" s="51" t="str">
        <f>TEXT(tblWorkPackages[[#This Row],[Due date serial]],"yyyy-mm")</f>
        <v>2025-11</v>
      </c>
    </row>
    <row r="296" spans="1:36" ht="15" x14ac:dyDescent="0.25">
      <c r="A296" s="53" t="s">
        <v>974</v>
      </c>
      <c r="B296" s="53" t="s">
        <v>124</v>
      </c>
      <c r="C296" s="53" t="s">
        <v>134</v>
      </c>
      <c r="D296" s="53" t="s">
        <v>886</v>
      </c>
      <c r="E296" s="53" t="s">
        <v>160</v>
      </c>
      <c r="F296" s="53" t="s">
        <v>128</v>
      </c>
      <c r="G296" s="53" t="s">
        <v>138</v>
      </c>
      <c r="H296" s="53">
        <v>3</v>
      </c>
      <c r="I296" s="53" t="s">
        <v>147</v>
      </c>
      <c r="J296" s="53">
        <v>0</v>
      </c>
      <c r="K296" s="53">
        <v>0</v>
      </c>
      <c r="L296" s="53">
        <v>5.7</v>
      </c>
      <c r="M296" s="53" t="s">
        <v>529</v>
      </c>
      <c r="N296" s="53">
        <v>5.4</v>
      </c>
      <c r="O296" s="51" t="str">
        <f>TEXT(tblWorkPackages[[#This Row],[Request date serial]]-WEEKDAY(tblWorkPackages[[#This Row],[Request date serial]],3),"yyyy-mm-dd")</f>
        <v>2025-09-01</v>
      </c>
      <c r="P296" s="51">
        <f>ABS(tblWorkPackages[[#This Row],[Actual labor hours]]-tblWorkPackages[[#This Row],[Estimated labor hours]])</f>
        <v>0.3</v>
      </c>
      <c r="Q296" s="51">
        <f>IF(tblWorkPackages[[#This Row],[Actual labor hours]]&gt;tblWorkPackages[[#This Row],[Estimated labor hours]],1,0)</f>
        <v>0</v>
      </c>
      <c r="R296" s="51">
        <f>tblWorkPackages[[#This Row],[Actual labor hours]]-tblWorkPackages[[#This Row],[Estimated labor hours]]</f>
        <v>-0.3</v>
      </c>
      <c r="S296" s="51" t="str">
        <f>IF(tblWorkPackages[[#This Row],[Request date serial]]&lt;ValidationStart,"Train 2024",IF(tblWorkPackages[[#This Row],[Request date serial]]&lt;HoldoutStart,"Validation H1","Holdout H2"))</f>
        <v>Holdout H2</v>
      </c>
      <c r="T296" s="51">
        <f>IF(tblWorkPackages[[#This Row],[Time split]]="Train 2024","",tblWorkPackages[[#This Row],[Estimated labor hours]]+VLOOKUP(tblWorkPackages[[#This Row],[Task type]],'Forecast validation'!$A$14:$E$25,IF(tblWorkPackages[[#This Row],[Time split]]="Validation H1",4,5),FALSE()))</f>
        <v>6.13739837398374</v>
      </c>
      <c r="U296" s="51">
        <f>IF(tblWorkPackages[[#This Row],[Calibrated forecast hours]]="","",ABS(tblWorkPackages[[#This Row],[Actual labor hours]]-tblWorkPackages[[#This Row],[Calibrated forecast hours]]))</f>
        <v>0.73739837398374</v>
      </c>
      <c r="V296" s="51">
        <f>IF(tblWorkPackages[[#This Row],[Time split]]="Train 2024",tblWorkPackages[[#This Row],[Estimated labor hours]],tblWorkPackages[[#This Row],[Calibrated forecast hours]])</f>
        <v>6.13739837398374</v>
      </c>
      <c r="W296" s="64">
        <f>DATEVALUE(tblWorkPackages[[#This Row],[Request date]])</f>
        <v>45905.0</v>
      </c>
      <c r="X296" s="64">
        <f>DATEVALUE(tblWorkPackages[[#This Row],[Due date]])</f>
        <v>45907.0</v>
      </c>
      <c r="Y296" s="64">
        <f>DATEVALUE(tblWorkPackages[[#This Row],[Completion date]])</f>
        <v>45911.0</v>
      </c>
      <c r="Z296" s="64">
        <f>_xlfn.MINIFS(tblLaborEntries[Work date serial],tblLaborEntries[Work package ID],tblWorkPackages[[#This Row],[Work package ID]])</f>
        <v>45908.0</v>
      </c>
      <c r="AA296" s="64">
        <f>_xlfn.MAXIFS(tblLaborEntries[Work date serial],tblLaborEntries[Work package ID],tblWorkPackages[[#This Row],[Work package ID]])</f>
        <v>45909.0</v>
      </c>
      <c r="AB296" s="65">
        <f>IF(tblWorkPackages[[#This Row],[Completion date serial]]&gt;tblWorkPackages[[#This Row],[Due date serial]],1,0)</f>
        <v>1</v>
      </c>
      <c r="AC296" s="65">
        <f>MAX(0,tblWorkPackages[[#This Row],[Completion date serial]]-tblWorkPackages[[#This Row],[Due date serial]])</f>
        <v>4</v>
      </c>
      <c r="AD296" s="65">
        <f>tblWorkPackages[[#This Row],[First labor date]]-tblWorkPackages[[#This Row],[Request date serial]]</f>
        <v>3</v>
      </c>
      <c r="AE296" s="65">
        <f>tblWorkPackages[[#This Row],[Last labor date]]-tblWorkPackages[[#This Row],[First labor date]]</f>
        <v>1</v>
      </c>
      <c r="AF296" s="65">
        <f>tblWorkPackages[[#This Row],[Completion date serial]]-tblWorkPackages[[#This Row],[Last labor date]]</f>
        <v>2</v>
      </c>
      <c r="AG296" s="65">
        <f>tblWorkPackages[[#This Row],[Completion date serial]]-tblWorkPackages[[#This Row],[Request date serial]]</f>
        <v>6</v>
      </c>
      <c r="AH296" s="65">
        <f>IFERROR(INDEX(tblParts[Delay days],MATCH(tblWorkPackages[[#This Row],[Work package ID]],tblParts[Work package ID],0)),0)</f>
        <v>0</v>
      </c>
      <c r="AI296" s="51" t="str">
        <f>IFERROR(INDEX(tblDisruptions[Event type],MATCH(tblWorkPackages[[#This Row],[Work package ID]],tblDisruptions[Work package ID],0)),"None")</f>
        <v>None</v>
      </c>
      <c r="AJ296" s="51" t="str">
        <f>TEXT(tblWorkPackages[[#This Row],[Due date serial]],"yyyy-mm")</f>
        <v>2025-09</v>
      </c>
    </row>
    <row r="297" spans="1:36" ht="15" x14ac:dyDescent="0.25">
      <c r="A297" s="53" t="s">
        <v>975</v>
      </c>
      <c r="B297" s="53" t="s">
        <v>124</v>
      </c>
      <c r="C297" s="53" t="s">
        <v>335</v>
      </c>
      <c r="D297" s="53" t="s">
        <v>334</v>
      </c>
      <c r="E297" s="53" t="s">
        <v>153</v>
      </c>
      <c r="F297" s="53" t="s">
        <v>128</v>
      </c>
      <c r="G297" s="53" t="s">
        <v>154</v>
      </c>
      <c r="H297" s="53">
        <v>1</v>
      </c>
      <c r="I297" s="53" t="s">
        <v>176</v>
      </c>
      <c r="J297" s="53">
        <v>0</v>
      </c>
      <c r="K297" s="53">
        <v>0</v>
      </c>
      <c r="L297" s="53">
        <v>5.7</v>
      </c>
      <c r="M297" s="53" t="s">
        <v>976</v>
      </c>
      <c r="N297" s="53">
        <v>5.8</v>
      </c>
      <c r="O297" s="51" t="str">
        <f>TEXT(tblWorkPackages[[#This Row],[Request date serial]]-WEEKDAY(tblWorkPackages[[#This Row],[Request date serial]],3),"yyyy-mm-dd")</f>
        <v>2025-11-17</v>
      </c>
      <c r="P297" s="51">
        <f>ABS(tblWorkPackages[[#This Row],[Actual labor hours]]-tblWorkPackages[[#This Row],[Estimated labor hours]])</f>
        <v>0.0999999999999996</v>
      </c>
      <c r="Q297" s="51">
        <f>IF(tblWorkPackages[[#This Row],[Actual labor hours]]&gt;tblWorkPackages[[#This Row],[Estimated labor hours]],1,0)</f>
        <v>1</v>
      </c>
      <c r="R297" s="51">
        <f>tblWorkPackages[[#This Row],[Actual labor hours]]-tblWorkPackages[[#This Row],[Estimated labor hours]]</f>
        <v>0.0999999999999996</v>
      </c>
      <c r="S297" s="51" t="str">
        <f>IF(tblWorkPackages[[#This Row],[Request date serial]]&lt;ValidationStart,"Train 2024",IF(tblWorkPackages[[#This Row],[Request date serial]]&lt;HoldoutStart,"Validation H1","Holdout H2"))</f>
        <v>Holdout H2</v>
      </c>
      <c r="T297" s="51">
        <f>IF(tblWorkPackages[[#This Row],[Time split]]="Train 2024","",tblWorkPackages[[#This Row],[Estimated labor hours]]+VLOOKUP(tblWorkPackages[[#This Row],[Task type]],'Forecast validation'!$A$14:$E$25,IF(tblWorkPackages[[#This Row],[Time split]]="Validation H1",4,5),FALSE()))</f>
        <v>6.30266666666667</v>
      </c>
      <c r="U297" s="51">
        <f>IF(tblWorkPackages[[#This Row],[Calibrated forecast hours]]="","",ABS(tblWorkPackages[[#This Row],[Actual labor hours]]-tblWorkPackages[[#This Row],[Calibrated forecast hours]]))</f>
        <v>0.502666666666667</v>
      </c>
      <c r="V297" s="51">
        <f>IF(tblWorkPackages[[#This Row],[Time split]]="Train 2024",tblWorkPackages[[#This Row],[Estimated labor hours]],tblWorkPackages[[#This Row],[Calibrated forecast hours]])</f>
        <v>6.30266666666667</v>
      </c>
      <c r="W297" s="64">
        <f>DATEVALUE(tblWorkPackages[[#This Row],[Request date]])</f>
        <v>45984.0</v>
      </c>
      <c r="X297" s="64">
        <f>DATEVALUE(tblWorkPackages[[#This Row],[Due date]])</f>
        <v>45990.0</v>
      </c>
      <c r="Y297" s="64">
        <f>DATEVALUE(tblWorkPackages[[#This Row],[Completion date]])</f>
        <v>46022.0</v>
      </c>
      <c r="Z297" s="64">
        <f>_xlfn.MINIFS(tblLaborEntries[Work date serial],tblLaborEntries[Work package ID],tblWorkPackages[[#This Row],[Work package ID]])</f>
        <v>46019.0</v>
      </c>
      <c r="AA297" s="64">
        <f>_xlfn.MAXIFS(tblLaborEntries[Work date serial],tblLaborEntries[Work package ID],tblWorkPackages[[#This Row],[Work package ID]])</f>
        <v>46019.0</v>
      </c>
      <c r="AB297" s="65">
        <f>IF(tblWorkPackages[[#This Row],[Completion date serial]]&gt;tblWorkPackages[[#This Row],[Due date serial]],1,0)</f>
        <v>1</v>
      </c>
      <c r="AC297" s="65">
        <f>MAX(0,tblWorkPackages[[#This Row],[Completion date serial]]-tblWorkPackages[[#This Row],[Due date serial]])</f>
        <v>32</v>
      </c>
      <c r="AD297" s="65">
        <f>tblWorkPackages[[#This Row],[First labor date]]-tblWorkPackages[[#This Row],[Request date serial]]</f>
        <v>35</v>
      </c>
      <c r="AE297" s="65">
        <f>tblWorkPackages[[#This Row],[Last labor date]]-tblWorkPackages[[#This Row],[First labor date]]</f>
        <v>0</v>
      </c>
      <c r="AF297" s="65">
        <f>tblWorkPackages[[#This Row],[Completion date serial]]-tblWorkPackages[[#This Row],[Last labor date]]</f>
        <v>3</v>
      </c>
      <c r="AG297" s="65">
        <f>tblWorkPackages[[#This Row],[Completion date serial]]-tblWorkPackages[[#This Row],[Request date serial]]</f>
        <v>38</v>
      </c>
      <c r="AH297" s="65">
        <f>IFERROR(INDEX(tblParts[Delay days],MATCH(tblWorkPackages[[#This Row],[Work package ID]],tblParts[Work package ID],0)),0)</f>
        <v>0</v>
      </c>
      <c r="AI297" s="51" t="str">
        <f>IFERROR(INDEX(tblDisruptions[Event type],MATCH(tblWorkPackages[[#This Row],[Work package ID]],tblDisruptions[Work package ID],0)),"None")</f>
        <v>None</v>
      </c>
      <c r="AJ297" s="51" t="str">
        <f>TEXT(tblWorkPackages[[#This Row],[Due date serial]],"yyyy-mm")</f>
        <v>2025-11</v>
      </c>
    </row>
    <row r="298" spans="1:36" ht="15" x14ac:dyDescent="0.25">
      <c r="A298" s="53" t="s">
        <v>977</v>
      </c>
      <c r="B298" s="53" t="s">
        <v>124</v>
      </c>
      <c r="C298" s="53" t="s">
        <v>978</v>
      </c>
      <c r="D298" s="53" t="s">
        <v>979</v>
      </c>
      <c r="E298" s="53" t="s">
        <v>181</v>
      </c>
      <c r="F298" s="53" t="s">
        <v>182</v>
      </c>
      <c r="G298" s="53" t="s">
        <v>138</v>
      </c>
      <c r="H298" s="53">
        <v>3</v>
      </c>
      <c r="I298" s="53" t="s">
        <v>176</v>
      </c>
      <c r="J298" s="53">
        <v>1</v>
      </c>
      <c r="K298" s="53">
        <v>0</v>
      </c>
      <c r="L298" s="53">
        <v>9.3000000000000007</v>
      </c>
      <c r="M298" s="53" t="s">
        <v>481</v>
      </c>
      <c r="N298" s="53">
        <v>14.8</v>
      </c>
      <c r="O298" s="51" t="str">
        <f>TEXT(tblWorkPackages[[#This Row],[Request date serial]]-WEEKDAY(tblWorkPackages[[#This Row],[Request date serial]],3),"yyyy-mm-dd")</f>
        <v>2025-10-27</v>
      </c>
      <c r="P298" s="51">
        <f>ABS(tblWorkPackages[[#This Row],[Actual labor hours]]-tblWorkPackages[[#This Row],[Estimated labor hours]])</f>
        <v>5.5</v>
      </c>
      <c r="Q298" s="51">
        <f>IF(tblWorkPackages[[#This Row],[Actual labor hours]]&gt;tblWorkPackages[[#This Row],[Estimated labor hours]],1,0)</f>
        <v>1</v>
      </c>
      <c r="R298" s="51">
        <f>tblWorkPackages[[#This Row],[Actual labor hours]]-tblWorkPackages[[#This Row],[Estimated labor hours]]</f>
        <v>5.5</v>
      </c>
      <c r="S298" s="51" t="str">
        <f>IF(tblWorkPackages[[#This Row],[Request date serial]]&lt;ValidationStart,"Train 2024",IF(tblWorkPackages[[#This Row],[Request date serial]]&lt;HoldoutStart,"Validation H1","Holdout H2"))</f>
        <v>Holdout H2</v>
      </c>
      <c r="T298" s="51">
        <f>IF(tblWorkPackages[[#This Row],[Time split]]="Train 2024","",tblWorkPackages[[#This Row],[Estimated labor hours]]+VLOOKUP(tblWorkPackages[[#This Row],[Task type]],'Forecast validation'!$A$14:$E$25,IF(tblWorkPackages[[#This Row],[Time split]]="Validation H1",4,5),FALSE()))</f>
        <v>9.89160839160839</v>
      </c>
      <c r="U298" s="51">
        <f>IF(tblWorkPackages[[#This Row],[Calibrated forecast hours]]="","",ABS(tblWorkPackages[[#This Row],[Actual labor hours]]-tblWorkPackages[[#This Row],[Calibrated forecast hours]]))</f>
        <v>4.90839160839161</v>
      </c>
      <c r="V298" s="51">
        <f>IF(tblWorkPackages[[#This Row],[Time split]]="Train 2024",tblWorkPackages[[#This Row],[Estimated labor hours]],tblWorkPackages[[#This Row],[Calibrated forecast hours]])</f>
        <v>9.89160839160839</v>
      </c>
      <c r="W298" s="64">
        <f>DATEVALUE(tblWorkPackages[[#This Row],[Request date]])</f>
        <v>45959.0</v>
      </c>
      <c r="X298" s="64">
        <f>DATEVALUE(tblWorkPackages[[#This Row],[Due date]])</f>
        <v>45965.0</v>
      </c>
      <c r="Y298" s="64">
        <f>DATEVALUE(tblWorkPackages[[#This Row],[Completion date]])</f>
        <v>45968.0</v>
      </c>
      <c r="Z298" s="64">
        <f>_xlfn.MINIFS(tblLaborEntries[Work date serial],tblLaborEntries[Work package ID],tblWorkPackages[[#This Row],[Work package ID]])</f>
        <v>45966.0</v>
      </c>
      <c r="AA298" s="64">
        <f>_xlfn.MAXIFS(tblLaborEntries[Work date serial],tblLaborEntries[Work package ID],tblWorkPackages[[#This Row],[Work package ID]])</f>
        <v>45968.0</v>
      </c>
      <c r="AB298" s="65">
        <f>IF(tblWorkPackages[[#This Row],[Completion date serial]]&gt;tblWorkPackages[[#This Row],[Due date serial]],1,0)</f>
        <v>1</v>
      </c>
      <c r="AC298" s="65">
        <f>MAX(0,tblWorkPackages[[#This Row],[Completion date serial]]-tblWorkPackages[[#This Row],[Due date serial]])</f>
        <v>3</v>
      </c>
      <c r="AD298" s="65">
        <f>tblWorkPackages[[#This Row],[First labor date]]-tblWorkPackages[[#This Row],[Request date serial]]</f>
        <v>7</v>
      </c>
      <c r="AE298" s="65">
        <f>tblWorkPackages[[#This Row],[Last labor date]]-tblWorkPackages[[#This Row],[First labor date]]</f>
        <v>2</v>
      </c>
      <c r="AF298" s="65">
        <f>tblWorkPackages[[#This Row],[Completion date serial]]-tblWorkPackages[[#This Row],[Last labor date]]</f>
        <v>0</v>
      </c>
      <c r="AG298" s="65">
        <f>tblWorkPackages[[#This Row],[Completion date serial]]-tblWorkPackages[[#This Row],[Request date serial]]</f>
        <v>9</v>
      </c>
      <c r="AH298" s="65">
        <f>IFERROR(INDEX(tblParts[Delay days],MATCH(tblWorkPackages[[#This Row],[Work package ID]],tblParts[Work package ID],0)),0)</f>
        <v>0</v>
      </c>
      <c r="AI298" s="51" t="str">
        <f>IFERROR(INDEX(tblDisruptions[Event type],MATCH(tblWorkPackages[[#This Row],[Work package ID]],tblDisruptions[Work package ID],0)),"None")</f>
        <v>None</v>
      </c>
      <c r="AJ298" s="51" t="str">
        <f>TEXT(tblWorkPackages[[#This Row],[Due date serial]],"yyyy-mm")</f>
        <v>2025-11</v>
      </c>
    </row>
    <row r="299" spans="1:36" ht="15" x14ac:dyDescent="0.25">
      <c r="A299" s="53" t="s">
        <v>980</v>
      </c>
      <c r="B299" s="53" t="s">
        <v>133</v>
      </c>
      <c r="C299" s="53" t="s">
        <v>981</v>
      </c>
      <c r="D299" s="53" t="s">
        <v>244</v>
      </c>
      <c r="E299" s="53" t="s">
        <v>272</v>
      </c>
      <c r="F299" s="53" t="s">
        <v>145</v>
      </c>
      <c r="G299" s="53" t="s">
        <v>273</v>
      </c>
      <c r="H299" s="53">
        <v>2</v>
      </c>
      <c r="I299" s="53" t="s">
        <v>130</v>
      </c>
      <c r="J299" s="53">
        <v>0</v>
      </c>
      <c r="K299" s="53">
        <v>1</v>
      </c>
      <c r="L299" s="53">
        <v>9.8000000000000007</v>
      </c>
      <c r="M299" s="53" t="s">
        <v>982</v>
      </c>
      <c r="N299" s="53">
        <v>12.2</v>
      </c>
      <c r="O299" s="51" t="str">
        <f>TEXT(tblWorkPackages[[#This Row],[Request date serial]]-WEEKDAY(tblWorkPackages[[#This Row],[Request date serial]],3),"yyyy-mm-dd")</f>
        <v>2024-11-04</v>
      </c>
      <c r="P299" s="51">
        <f>ABS(tblWorkPackages[[#This Row],[Actual labor hours]]-tblWorkPackages[[#This Row],[Estimated labor hours]])</f>
        <v>2.4</v>
      </c>
      <c r="Q299" s="51">
        <f>IF(tblWorkPackages[[#This Row],[Actual labor hours]]&gt;tblWorkPackages[[#This Row],[Estimated labor hours]],1,0)</f>
        <v>1</v>
      </c>
      <c r="R299" s="51">
        <f>tblWorkPackages[[#This Row],[Actual labor hours]]-tblWorkPackages[[#This Row],[Estimated labor hours]]</f>
        <v>2.4</v>
      </c>
      <c r="S299" s="51" t="str">
        <f>IF(tblWorkPackages[[#This Row],[Request date serial]]&lt;ValidationStart,"Train 2024",IF(tblWorkPackages[[#This Row],[Request date serial]]&lt;HoldoutStart,"Validation H1","Holdout H2"))</f>
        <v>Train 2024</v>
      </c>
      <c r="T299" s="51" t="str">
        <f>IF(tblWorkPackages[[#This Row],[Time split]]="Train 2024","",tblWorkPackages[[#This Row],[Estimated labor hours]]+VLOOKUP(tblWorkPackages[[#This Row],[Task type]],'Forecast validation'!$A$14:$E$25,IF(tblWorkPackages[[#This Row],[Time split]]="Validation H1",4,5),FALSE()))</f>
        <v/>
      </c>
      <c r="U299" s="51" t="str">
        <f>IF(tblWorkPackages[[#This Row],[Calibrated forecast hours]]="","",ABS(tblWorkPackages[[#This Row],[Actual labor hours]]-tblWorkPackages[[#This Row],[Calibrated forecast hours]]))</f>
        <v/>
      </c>
      <c r="V299" s="51">
        <f>IF(tblWorkPackages[[#This Row],[Time split]]="Train 2024",tblWorkPackages[[#This Row],[Estimated labor hours]],tblWorkPackages[[#This Row],[Calibrated forecast hours]])</f>
        <v>9.8</v>
      </c>
      <c r="W299" s="64">
        <f>DATEVALUE(tblWorkPackages[[#This Row],[Request date]])</f>
        <v>45601.0</v>
      </c>
      <c r="X299" s="64">
        <f>DATEVALUE(tblWorkPackages[[#This Row],[Due date]])</f>
        <v>45614.0</v>
      </c>
      <c r="Y299" s="64">
        <f>DATEVALUE(tblWorkPackages[[#This Row],[Completion date]])</f>
        <v>45606.0</v>
      </c>
      <c r="Z299" s="64">
        <f>_xlfn.MINIFS(tblLaborEntries[Work date serial],tblLaborEntries[Work package ID],tblWorkPackages[[#This Row],[Work package ID]])</f>
        <v>45603.0</v>
      </c>
      <c r="AA299" s="64">
        <f>_xlfn.MAXIFS(tblLaborEntries[Work date serial],tblLaborEntries[Work package ID],tblWorkPackages[[#This Row],[Work package ID]])</f>
        <v>45605.0</v>
      </c>
      <c r="AB299" s="65">
        <f>IF(tblWorkPackages[[#This Row],[Completion date serial]]&gt;tblWorkPackages[[#This Row],[Due date serial]],1,0)</f>
        <v>0</v>
      </c>
      <c r="AC299" s="65">
        <f>MAX(0,tblWorkPackages[[#This Row],[Completion date serial]]-tblWorkPackages[[#This Row],[Due date serial]])</f>
        <v>0</v>
      </c>
      <c r="AD299" s="65">
        <f>tblWorkPackages[[#This Row],[First labor date]]-tblWorkPackages[[#This Row],[Request date serial]]</f>
        <v>2</v>
      </c>
      <c r="AE299" s="65">
        <f>tblWorkPackages[[#This Row],[Last labor date]]-tblWorkPackages[[#This Row],[First labor date]]</f>
        <v>2</v>
      </c>
      <c r="AF299" s="65">
        <f>tblWorkPackages[[#This Row],[Completion date serial]]-tblWorkPackages[[#This Row],[Last labor date]]</f>
        <v>1</v>
      </c>
      <c r="AG299" s="65">
        <f>tblWorkPackages[[#This Row],[Completion date serial]]-tblWorkPackages[[#This Row],[Request date serial]]</f>
        <v>5</v>
      </c>
      <c r="AH299" s="65">
        <f>IFERROR(INDEX(tblParts[Delay days],MATCH(tblWorkPackages[[#This Row],[Work package ID]],tblParts[Work package ID],0)),0)</f>
        <v>0</v>
      </c>
      <c r="AI299" s="51" t="str">
        <f>IFERROR(INDEX(tblDisruptions[Event type],MATCH(tblWorkPackages[[#This Row],[Work package ID]],tblDisruptions[Work package ID],0)),"None")</f>
        <v>None</v>
      </c>
      <c r="AJ299" s="51" t="str">
        <f>TEXT(tblWorkPackages[[#This Row],[Due date serial]],"yyyy-mm")</f>
        <v>2024-11</v>
      </c>
    </row>
    <row r="300" spans="1:36" ht="15" x14ac:dyDescent="0.25">
      <c r="A300" s="53" t="s">
        <v>983</v>
      </c>
      <c r="B300" s="53" t="s">
        <v>287</v>
      </c>
      <c r="C300" s="53" t="s">
        <v>863</v>
      </c>
      <c r="D300" s="53" t="s">
        <v>796</v>
      </c>
      <c r="E300" s="53" t="s">
        <v>237</v>
      </c>
      <c r="F300" s="53" t="s">
        <v>182</v>
      </c>
      <c r="G300" s="53" t="s">
        <v>138</v>
      </c>
      <c r="H300" s="53">
        <v>4</v>
      </c>
      <c r="I300" s="53" t="s">
        <v>130</v>
      </c>
      <c r="J300" s="53">
        <v>0</v>
      </c>
      <c r="K300" s="53">
        <v>0</v>
      </c>
      <c r="L300" s="53">
        <v>10.4</v>
      </c>
      <c r="M300" s="53" t="s">
        <v>984</v>
      </c>
      <c r="N300" s="53">
        <v>8.5</v>
      </c>
      <c r="O300" s="51" t="str">
        <f>TEXT(tblWorkPackages[[#This Row],[Request date serial]]-WEEKDAY(tblWorkPackages[[#This Row],[Request date serial]],3),"yyyy-mm-dd")</f>
        <v>2025-06-23</v>
      </c>
      <c r="P300" s="51">
        <f>ABS(tblWorkPackages[[#This Row],[Actual labor hours]]-tblWorkPackages[[#This Row],[Estimated labor hours]])</f>
        <v>1.9</v>
      </c>
      <c r="Q300" s="51">
        <f>IF(tblWorkPackages[[#This Row],[Actual labor hours]]&gt;tblWorkPackages[[#This Row],[Estimated labor hours]],1,0)</f>
        <v>0</v>
      </c>
      <c r="R300" s="51">
        <f>tblWorkPackages[[#This Row],[Actual labor hours]]-tblWorkPackages[[#This Row],[Estimated labor hours]]</f>
        <v>-1.9</v>
      </c>
      <c r="S300" s="51" t="str">
        <f>IF(tblWorkPackages[[#This Row],[Request date serial]]&lt;ValidationStart,"Train 2024",IF(tblWorkPackages[[#This Row],[Request date serial]]&lt;HoldoutStart,"Validation H1","Holdout H2"))</f>
        <v>Validation H1</v>
      </c>
      <c r="T300" s="51">
        <f>IF(tblWorkPackages[[#This Row],[Time split]]="Train 2024","",tblWorkPackages[[#This Row],[Estimated labor hours]]+VLOOKUP(tblWorkPackages[[#This Row],[Task type]],'Forecast validation'!$A$14:$E$25,IF(tblWorkPackages[[#This Row],[Time split]]="Validation H1",4,5),FALSE()))</f>
        <v>10.9037037037037</v>
      </c>
      <c r="U300" s="51">
        <f>IF(tblWorkPackages[[#This Row],[Calibrated forecast hours]]="","",ABS(tblWorkPackages[[#This Row],[Actual labor hours]]-tblWorkPackages[[#This Row],[Calibrated forecast hours]]))</f>
        <v>2.4037037037037</v>
      </c>
      <c r="V300" s="51">
        <f>IF(tblWorkPackages[[#This Row],[Time split]]="Train 2024",tblWorkPackages[[#This Row],[Estimated labor hours]],tblWorkPackages[[#This Row],[Calibrated forecast hours]])</f>
        <v>10.9037037037037</v>
      </c>
      <c r="W300" s="64">
        <f>DATEVALUE(tblWorkPackages[[#This Row],[Request date]])</f>
        <v>45837.0</v>
      </c>
      <c r="X300" s="64">
        <f>DATEVALUE(tblWorkPackages[[#This Row],[Due date]])</f>
        <v>45850.0</v>
      </c>
      <c r="Y300" s="64">
        <f>DATEVALUE(tblWorkPackages[[#This Row],[Completion date]])</f>
        <v>45855.0</v>
      </c>
      <c r="Z300" s="64">
        <f>_xlfn.MINIFS(tblLaborEntries[Work date serial],tblLaborEntries[Work package ID],tblWorkPackages[[#This Row],[Work package ID]])</f>
        <v>45852.0</v>
      </c>
      <c r="AA300" s="64">
        <f>_xlfn.MAXIFS(tblLaborEntries[Work date serial],tblLaborEntries[Work package ID],tblWorkPackages[[#This Row],[Work package ID]])</f>
        <v>45853.0</v>
      </c>
      <c r="AB300" s="65">
        <f>IF(tblWorkPackages[[#This Row],[Completion date serial]]&gt;tblWorkPackages[[#This Row],[Due date serial]],1,0)</f>
        <v>1</v>
      </c>
      <c r="AC300" s="65">
        <f>MAX(0,tblWorkPackages[[#This Row],[Completion date serial]]-tblWorkPackages[[#This Row],[Due date serial]])</f>
        <v>5</v>
      </c>
      <c r="AD300" s="65">
        <f>tblWorkPackages[[#This Row],[First labor date]]-tblWorkPackages[[#This Row],[Request date serial]]</f>
        <v>15</v>
      </c>
      <c r="AE300" s="65">
        <f>tblWorkPackages[[#This Row],[Last labor date]]-tblWorkPackages[[#This Row],[First labor date]]</f>
        <v>1</v>
      </c>
      <c r="AF300" s="65">
        <f>tblWorkPackages[[#This Row],[Completion date serial]]-tblWorkPackages[[#This Row],[Last labor date]]</f>
        <v>2</v>
      </c>
      <c r="AG300" s="65">
        <f>tblWorkPackages[[#This Row],[Completion date serial]]-tblWorkPackages[[#This Row],[Request date serial]]</f>
        <v>18</v>
      </c>
      <c r="AH300" s="65">
        <f>IFERROR(INDEX(tblParts[Delay days],MATCH(tblWorkPackages[[#This Row],[Work package ID]],tblParts[Work package ID],0)),0)</f>
        <v>0</v>
      </c>
      <c r="AI300" s="51" t="str">
        <f>IFERROR(INDEX(tblDisruptions[Event type],MATCH(tblWorkPackages[[#This Row],[Work package ID]],tblDisruptions[Work package ID],0)),"None")</f>
        <v>None</v>
      </c>
      <c r="AJ300" s="51" t="str">
        <f>TEXT(tblWorkPackages[[#This Row],[Due date serial]],"yyyy-mm")</f>
        <v>2025-07</v>
      </c>
    </row>
    <row r="301" spans="1:36" ht="15" x14ac:dyDescent="0.25">
      <c r="A301" s="53" t="s">
        <v>985</v>
      </c>
      <c r="B301" s="53" t="s">
        <v>287</v>
      </c>
      <c r="C301" s="53" t="s">
        <v>660</v>
      </c>
      <c r="D301" s="53" t="s">
        <v>986</v>
      </c>
      <c r="E301" s="53" t="s">
        <v>200</v>
      </c>
      <c r="F301" s="53" t="s">
        <v>128</v>
      </c>
      <c r="G301" s="53" t="s">
        <v>129</v>
      </c>
      <c r="H301" s="53">
        <v>1</v>
      </c>
      <c r="I301" s="53" t="s">
        <v>130</v>
      </c>
      <c r="J301" s="53">
        <v>0</v>
      </c>
      <c r="K301" s="53">
        <v>1</v>
      </c>
      <c r="L301" s="53">
        <v>1.8</v>
      </c>
      <c r="M301" s="53" t="s">
        <v>951</v>
      </c>
      <c r="N301" s="53">
        <v>1.4</v>
      </c>
      <c r="O301" s="51" t="str">
        <f>TEXT(tblWorkPackages[[#This Row],[Request date serial]]-WEEKDAY(tblWorkPackages[[#This Row],[Request date serial]],3),"yyyy-mm-dd")</f>
        <v>2024-09-16</v>
      </c>
      <c r="P301" s="51">
        <f>ABS(tblWorkPackages[[#This Row],[Actual labor hours]]-tblWorkPackages[[#This Row],[Estimated labor hours]])</f>
        <v>0.4</v>
      </c>
      <c r="Q301" s="51">
        <f>IF(tblWorkPackages[[#This Row],[Actual labor hours]]&gt;tblWorkPackages[[#This Row],[Estimated labor hours]],1,0)</f>
        <v>0</v>
      </c>
      <c r="R301" s="51">
        <f>tblWorkPackages[[#This Row],[Actual labor hours]]-tblWorkPackages[[#This Row],[Estimated labor hours]]</f>
        <v>-0.4</v>
      </c>
      <c r="S301" s="51" t="str">
        <f>IF(tblWorkPackages[[#This Row],[Request date serial]]&lt;ValidationStart,"Train 2024",IF(tblWorkPackages[[#This Row],[Request date serial]]&lt;HoldoutStart,"Validation H1","Holdout H2"))</f>
        <v>Train 2024</v>
      </c>
      <c r="T301" s="51" t="str">
        <f>IF(tblWorkPackages[[#This Row],[Time split]]="Train 2024","",tblWorkPackages[[#This Row],[Estimated labor hours]]+VLOOKUP(tblWorkPackages[[#This Row],[Task type]],'Forecast validation'!$A$14:$E$25,IF(tblWorkPackages[[#This Row],[Time split]]="Validation H1",4,5),FALSE()))</f>
        <v/>
      </c>
      <c r="U301" s="51" t="str">
        <f>IF(tblWorkPackages[[#This Row],[Calibrated forecast hours]]="","",ABS(tblWorkPackages[[#This Row],[Actual labor hours]]-tblWorkPackages[[#This Row],[Calibrated forecast hours]]))</f>
        <v/>
      </c>
      <c r="V301" s="51">
        <f>IF(tblWorkPackages[[#This Row],[Time split]]="Train 2024",tblWorkPackages[[#This Row],[Estimated labor hours]],tblWorkPackages[[#This Row],[Calibrated forecast hours]])</f>
        <v>1.8</v>
      </c>
      <c r="W301" s="64">
        <f>DATEVALUE(tblWorkPackages[[#This Row],[Request date]])</f>
        <v>45556.0</v>
      </c>
      <c r="X301" s="64">
        <f>DATEVALUE(tblWorkPackages[[#This Row],[Due date]])</f>
        <v>45569.0</v>
      </c>
      <c r="Y301" s="64">
        <f>DATEVALUE(tblWorkPackages[[#This Row],[Completion date]])</f>
        <v>45565.0</v>
      </c>
      <c r="Z301" s="64">
        <f>_xlfn.MINIFS(tblLaborEntries[Work date serial],tblLaborEntries[Work package ID],tblWorkPackages[[#This Row],[Work package ID]])</f>
        <v>45560.0</v>
      </c>
      <c r="AA301" s="64">
        <f>_xlfn.MAXIFS(tblLaborEntries[Work date serial],tblLaborEntries[Work package ID],tblWorkPackages[[#This Row],[Work package ID]])</f>
        <v>45562.0</v>
      </c>
      <c r="AB301" s="65">
        <f>IF(tblWorkPackages[[#This Row],[Completion date serial]]&gt;tblWorkPackages[[#This Row],[Due date serial]],1,0)</f>
        <v>0</v>
      </c>
      <c r="AC301" s="65">
        <f>MAX(0,tblWorkPackages[[#This Row],[Completion date serial]]-tblWorkPackages[[#This Row],[Due date serial]])</f>
        <v>0</v>
      </c>
      <c r="AD301" s="65">
        <f>tblWorkPackages[[#This Row],[First labor date]]-tblWorkPackages[[#This Row],[Request date serial]]</f>
        <v>4</v>
      </c>
      <c r="AE301" s="65">
        <f>tblWorkPackages[[#This Row],[Last labor date]]-tblWorkPackages[[#This Row],[First labor date]]</f>
        <v>2</v>
      </c>
      <c r="AF301" s="65">
        <f>tblWorkPackages[[#This Row],[Completion date serial]]-tblWorkPackages[[#This Row],[Last labor date]]</f>
        <v>3</v>
      </c>
      <c r="AG301" s="65">
        <f>tblWorkPackages[[#This Row],[Completion date serial]]-tblWorkPackages[[#This Row],[Request date serial]]</f>
        <v>9</v>
      </c>
      <c r="AH301" s="65">
        <f>IFERROR(INDEX(tblParts[Delay days],MATCH(tblWorkPackages[[#This Row],[Work package ID]],tblParts[Work package ID],0)),0)</f>
        <v>0</v>
      </c>
      <c r="AI301" s="51" t="str">
        <f>IFERROR(INDEX(tblDisruptions[Event type],MATCH(tblWorkPackages[[#This Row],[Work package ID]],tblDisruptions[Work package ID],0)),"None")</f>
        <v>None</v>
      </c>
      <c r="AJ301" s="51" t="str">
        <f>TEXT(tblWorkPackages[[#This Row],[Due date serial]],"yyyy-mm")</f>
        <v>2024-10</v>
      </c>
    </row>
    <row r="302" spans="1:36" ht="15" x14ac:dyDescent="0.25">
      <c r="A302" s="53" t="s">
        <v>987</v>
      </c>
      <c r="B302" s="53" t="s">
        <v>235</v>
      </c>
      <c r="C302" s="53" t="s">
        <v>941</v>
      </c>
      <c r="D302" s="53" t="s">
        <v>942</v>
      </c>
      <c r="E302" s="53" t="s">
        <v>272</v>
      </c>
      <c r="F302" s="53" t="s">
        <v>145</v>
      </c>
      <c r="G302" s="53" t="s">
        <v>273</v>
      </c>
      <c r="H302" s="53">
        <v>2</v>
      </c>
      <c r="I302" s="53" t="s">
        <v>130</v>
      </c>
      <c r="J302" s="53">
        <v>0</v>
      </c>
      <c r="K302" s="53">
        <v>1</v>
      </c>
      <c r="L302" s="53">
        <v>9.9</v>
      </c>
      <c r="M302" s="53" t="s">
        <v>988</v>
      </c>
      <c r="N302" s="53">
        <v>11.7</v>
      </c>
      <c r="O302" s="51" t="str">
        <f>TEXT(tblWorkPackages[[#This Row],[Request date serial]]-WEEKDAY(tblWorkPackages[[#This Row],[Request date serial]],3),"yyyy-mm-dd")</f>
        <v>2025-09-29</v>
      </c>
      <c r="P302" s="51">
        <f>ABS(tblWorkPackages[[#This Row],[Actual labor hours]]-tblWorkPackages[[#This Row],[Estimated labor hours]])</f>
        <v>1.8</v>
      </c>
      <c r="Q302" s="51">
        <f>IF(tblWorkPackages[[#This Row],[Actual labor hours]]&gt;tblWorkPackages[[#This Row],[Estimated labor hours]],1,0)</f>
        <v>1</v>
      </c>
      <c r="R302" s="51">
        <f>tblWorkPackages[[#This Row],[Actual labor hours]]-tblWorkPackages[[#This Row],[Estimated labor hours]]</f>
        <v>1.8</v>
      </c>
      <c r="S302" s="51" t="str">
        <f>IF(tblWorkPackages[[#This Row],[Request date serial]]&lt;ValidationStart,"Train 2024",IF(tblWorkPackages[[#This Row],[Request date serial]]&lt;HoldoutStart,"Validation H1","Holdout H2"))</f>
        <v>Holdout H2</v>
      </c>
      <c r="T302" s="51">
        <f>IF(tblWorkPackages[[#This Row],[Time split]]="Train 2024","",tblWorkPackages[[#This Row],[Estimated labor hours]]+VLOOKUP(tblWorkPackages[[#This Row],[Task type]],'Forecast validation'!$A$14:$E$25,IF(tblWorkPackages[[#This Row],[Time split]]="Validation H1",4,5),FALSE()))</f>
        <v>10.88515625</v>
      </c>
      <c r="U302" s="51">
        <f>IF(tblWorkPackages[[#This Row],[Calibrated forecast hours]]="","",ABS(tblWorkPackages[[#This Row],[Actual labor hours]]-tblWorkPackages[[#This Row],[Calibrated forecast hours]]))</f>
        <v>0.81484375</v>
      </c>
      <c r="V302" s="51">
        <f>IF(tblWorkPackages[[#This Row],[Time split]]="Train 2024",tblWorkPackages[[#This Row],[Estimated labor hours]],tblWorkPackages[[#This Row],[Calibrated forecast hours]])</f>
        <v>10.88515625</v>
      </c>
      <c r="W302" s="64">
        <f>DATEVALUE(tblWorkPackages[[#This Row],[Request date]])</f>
        <v>45933.0</v>
      </c>
      <c r="X302" s="64">
        <f>DATEVALUE(tblWorkPackages[[#This Row],[Due date]])</f>
        <v>45946.0</v>
      </c>
      <c r="Y302" s="64">
        <f>DATEVALUE(tblWorkPackages[[#This Row],[Completion date]])</f>
        <v>45934.0</v>
      </c>
      <c r="Z302" s="64">
        <f>_xlfn.MINIFS(tblLaborEntries[Work date serial],tblLaborEntries[Work package ID],tblWorkPackages[[#This Row],[Work package ID]])</f>
        <v>45934.0</v>
      </c>
      <c r="AA302" s="64">
        <f>_xlfn.MAXIFS(tblLaborEntries[Work date serial],tblLaborEntries[Work package ID],tblWorkPackages[[#This Row],[Work package ID]])</f>
        <v>45934.0</v>
      </c>
      <c r="AB302" s="65">
        <f>IF(tblWorkPackages[[#This Row],[Completion date serial]]&gt;tblWorkPackages[[#This Row],[Due date serial]],1,0)</f>
        <v>0</v>
      </c>
      <c r="AC302" s="65">
        <f>MAX(0,tblWorkPackages[[#This Row],[Completion date serial]]-tblWorkPackages[[#This Row],[Due date serial]])</f>
        <v>0</v>
      </c>
      <c r="AD302" s="65">
        <f>tblWorkPackages[[#This Row],[First labor date]]-tblWorkPackages[[#This Row],[Request date serial]]</f>
        <v>1</v>
      </c>
      <c r="AE302" s="65">
        <f>tblWorkPackages[[#This Row],[Last labor date]]-tblWorkPackages[[#This Row],[First labor date]]</f>
        <v>0</v>
      </c>
      <c r="AF302" s="65">
        <f>tblWorkPackages[[#This Row],[Completion date serial]]-tblWorkPackages[[#This Row],[Last labor date]]</f>
        <v>0</v>
      </c>
      <c r="AG302" s="65">
        <f>tblWorkPackages[[#This Row],[Completion date serial]]-tblWorkPackages[[#This Row],[Request date serial]]</f>
        <v>1</v>
      </c>
      <c r="AH302" s="65">
        <f>IFERROR(INDEX(tblParts[Delay days],MATCH(tblWorkPackages[[#This Row],[Work package ID]],tblParts[Work package ID],0)),0)</f>
        <v>0</v>
      </c>
      <c r="AI302" s="51" t="str">
        <f>IFERROR(INDEX(tblDisruptions[Event type],MATCH(tblWorkPackages[[#This Row],[Work package ID]],tblDisruptions[Work package ID],0)),"None")</f>
        <v>Equipment unavailable</v>
      </c>
      <c r="AJ302" s="51" t="str">
        <f>TEXT(tblWorkPackages[[#This Row],[Due date serial]],"yyyy-mm")</f>
        <v>2025-10</v>
      </c>
    </row>
    <row r="303" spans="1:36" ht="15" x14ac:dyDescent="0.25">
      <c r="A303" s="53" t="s">
        <v>989</v>
      </c>
      <c r="B303" s="53" t="s">
        <v>287</v>
      </c>
      <c r="C303" s="53" t="s">
        <v>988</v>
      </c>
      <c r="D303" s="53" t="s">
        <v>990</v>
      </c>
      <c r="E303" s="53" t="s">
        <v>181</v>
      </c>
      <c r="F303" s="53" t="s">
        <v>182</v>
      </c>
      <c r="G303" s="53" t="s">
        <v>138</v>
      </c>
      <c r="H303" s="53">
        <v>4</v>
      </c>
      <c r="I303" s="53" t="s">
        <v>130</v>
      </c>
      <c r="J303" s="53">
        <v>0</v>
      </c>
      <c r="K303" s="53">
        <v>0</v>
      </c>
      <c r="L303" s="53">
        <v>12.6</v>
      </c>
      <c r="M303" s="53" t="s">
        <v>991</v>
      </c>
      <c r="N303" s="53">
        <v>11.4</v>
      </c>
      <c r="O303" s="51" t="str">
        <f>TEXT(tblWorkPackages[[#This Row],[Request date serial]]-WEEKDAY(tblWorkPackages[[#This Row],[Request date serial]],3),"yyyy-mm-dd")</f>
        <v>2025-09-29</v>
      </c>
      <c r="P303" s="51">
        <f>ABS(tblWorkPackages[[#This Row],[Actual labor hours]]-tblWorkPackages[[#This Row],[Estimated labor hours]])</f>
        <v>1.2</v>
      </c>
      <c r="Q303" s="51">
        <f>IF(tblWorkPackages[[#This Row],[Actual labor hours]]&gt;tblWorkPackages[[#This Row],[Estimated labor hours]],1,0)</f>
        <v>0</v>
      </c>
      <c r="R303" s="51">
        <f>tblWorkPackages[[#This Row],[Actual labor hours]]-tblWorkPackages[[#This Row],[Estimated labor hours]]</f>
        <v>-1.2</v>
      </c>
      <c r="S303" s="51" t="str">
        <f>IF(tblWorkPackages[[#This Row],[Request date serial]]&lt;ValidationStart,"Train 2024",IF(tblWorkPackages[[#This Row],[Request date serial]]&lt;HoldoutStart,"Validation H1","Holdout H2"))</f>
        <v>Holdout H2</v>
      </c>
      <c r="T303" s="51">
        <f>IF(tblWorkPackages[[#This Row],[Time split]]="Train 2024","",tblWorkPackages[[#This Row],[Estimated labor hours]]+VLOOKUP(tblWorkPackages[[#This Row],[Task type]],'Forecast validation'!$A$14:$E$25,IF(tblWorkPackages[[#This Row],[Time split]]="Validation H1",4,5),FALSE()))</f>
        <v>13.1916083916084</v>
      </c>
      <c r="U303" s="51">
        <f>IF(tblWorkPackages[[#This Row],[Calibrated forecast hours]]="","",ABS(tblWorkPackages[[#This Row],[Actual labor hours]]-tblWorkPackages[[#This Row],[Calibrated forecast hours]]))</f>
        <v>1.79160839160839</v>
      </c>
      <c r="V303" s="51">
        <f>IF(tblWorkPackages[[#This Row],[Time split]]="Train 2024",tblWorkPackages[[#This Row],[Estimated labor hours]],tblWorkPackages[[#This Row],[Calibrated forecast hours]])</f>
        <v>13.1916083916084</v>
      </c>
      <c r="W303" s="64">
        <f>DATEVALUE(tblWorkPackages[[#This Row],[Request date]])</f>
        <v>45934.0</v>
      </c>
      <c r="X303" s="64">
        <f>DATEVALUE(tblWorkPackages[[#This Row],[Due date]])</f>
        <v>45947.0</v>
      </c>
      <c r="Y303" s="64">
        <f>DATEVALUE(tblWorkPackages[[#This Row],[Completion date]])</f>
        <v>45945.0</v>
      </c>
      <c r="Z303" s="64">
        <f>_xlfn.MINIFS(tblLaborEntries[Work date serial],tblLaborEntries[Work package ID],tblWorkPackages[[#This Row],[Work package ID]])</f>
        <v>45944.0</v>
      </c>
      <c r="AA303" s="64">
        <f>_xlfn.MAXIFS(tblLaborEntries[Work date serial],tblLaborEntries[Work package ID],tblWorkPackages[[#This Row],[Work package ID]])</f>
        <v>45944.0</v>
      </c>
      <c r="AB303" s="65">
        <f>IF(tblWorkPackages[[#This Row],[Completion date serial]]&gt;tblWorkPackages[[#This Row],[Due date serial]],1,0)</f>
        <v>0</v>
      </c>
      <c r="AC303" s="65">
        <f>MAX(0,tblWorkPackages[[#This Row],[Completion date serial]]-tblWorkPackages[[#This Row],[Due date serial]])</f>
        <v>0</v>
      </c>
      <c r="AD303" s="65">
        <f>tblWorkPackages[[#This Row],[First labor date]]-tblWorkPackages[[#This Row],[Request date serial]]</f>
        <v>10</v>
      </c>
      <c r="AE303" s="65">
        <f>tblWorkPackages[[#This Row],[Last labor date]]-tblWorkPackages[[#This Row],[First labor date]]</f>
        <v>0</v>
      </c>
      <c r="AF303" s="65">
        <f>tblWorkPackages[[#This Row],[Completion date serial]]-tblWorkPackages[[#This Row],[Last labor date]]</f>
        <v>1</v>
      </c>
      <c r="AG303" s="65">
        <f>tblWorkPackages[[#This Row],[Completion date serial]]-tblWorkPackages[[#This Row],[Request date serial]]</f>
        <v>11</v>
      </c>
      <c r="AH303" s="65">
        <f>IFERROR(INDEX(tblParts[Delay days],MATCH(tblWorkPackages[[#This Row],[Work package ID]],tblParts[Work package ID],0)),0)</f>
        <v>0</v>
      </c>
      <c r="AI303" s="51" t="str">
        <f>IFERROR(INDEX(tblDisruptions[Event type],MATCH(tblWorkPackages[[#This Row],[Work package ID]],tblDisruptions[Work package ID],0)),"None")</f>
        <v>None</v>
      </c>
      <c r="AJ303" s="51" t="str">
        <f>TEXT(tblWorkPackages[[#This Row],[Due date serial]],"yyyy-mm")</f>
        <v>2025-10</v>
      </c>
    </row>
    <row r="304" spans="1:36" ht="15" x14ac:dyDescent="0.25">
      <c r="A304" s="53" t="s">
        <v>992</v>
      </c>
      <c r="B304" s="53" t="s">
        <v>168</v>
      </c>
      <c r="C304" s="53" t="s">
        <v>445</v>
      </c>
      <c r="D304" s="53" t="s">
        <v>270</v>
      </c>
      <c r="E304" s="53" t="s">
        <v>127</v>
      </c>
      <c r="F304" s="53" t="s">
        <v>128</v>
      </c>
      <c r="G304" s="53" t="s">
        <v>129</v>
      </c>
      <c r="H304" s="53">
        <v>1</v>
      </c>
      <c r="I304" s="53" t="s">
        <v>130</v>
      </c>
      <c r="J304" s="53">
        <v>0</v>
      </c>
      <c r="K304" s="53">
        <v>0</v>
      </c>
      <c r="L304" s="53">
        <v>5.3</v>
      </c>
      <c r="M304" s="53" t="s">
        <v>993</v>
      </c>
      <c r="N304" s="53">
        <v>5.6</v>
      </c>
      <c r="O304" s="51" t="str">
        <f>TEXT(tblWorkPackages[[#This Row],[Request date serial]]-WEEKDAY(tblWorkPackages[[#This Row],[Request date serial]],3),"yyyy-mm-dd")</f>
        <v>2025-03-17</v>
      </c>
      <c r="P304" s="51">
        <f>ABS(tblWorkPackages[[#This Row],[Actual labor hours]]-tblWorkPackages[[#This Row],[Estimated labor hours]])</f>
        <v>0.3</v>
      </c>
      <c r="Q304" s="51">
        <f>IF(tblWorkPackages[[#This Row],[Actual labor hours]]&gt;tblWorkPackages[[#This Row],[Estimated labor hours]],1,0)</f>
        <v>1</v>
      </c>
      <c r="R304" s="51">
        <f>tblWorkPackages[[#This Row],[Actual labor hours]]-tblWorkPackages[[#This Row],[Estimated labor hours]]</f>
        <v>0.3</v>
      </c>
      <c r="S304" s="51" t="str">
        <f>IF(tblWorkPackages[[#This Row],[Request date serial]]&lt;ValidationStart,"Train 2024",IF(tblWorkPackages[[#This Row],[Request date serial]]&lt;HoldoutStart,"Validation H1","Holdout H2"))</f>
        <v>Validation H1</v>
      </c>
      <c r="T304" s="51">
        <f>IF(tblWorkPackages[[#This Row],[Time split]]="Train 2024","",tblWorkPackages[[#This Row],[Estimated labor hours]]+VLOOKUP(tblWorkPackages[[#This Row],[Task type]],'Forecast validation'!$A$14:$E$25,IF(tblWorkPackages[[#This Row],[Time split]]="Validation H1",4,5),FALSE()))</f>
        <v>5.77564102564103</v>
      </c>
      <c r="U304" s="51">
        <f>IF(tblWorkPackages[[#This Row],[Calibrated forecast hours]]="","",ABS(tblWorkPackages[[#This Row],[Actual labor hours]]-tblWorkPackages[[#This Row],[Calibrated forecast hours]]))</f>
        <v>0.175641025641026</v>
      </c>
      <c r="V304" s="51">
        <f>IF(tblWorkPackages[[#This Row],[Time split]]="Train 2024",tblWorkPackages[[#This Row],[Estimated labor hours]],tblWorkPackages[[#This Row],[Calibrated forecast hours]])</f>
        <v>5.77564102564103</v>
      </c>
      <c r="W304" s="64">
        <f>DATEVALUE(tblWorkPackages[[#This Row],[Request date]])</f>
        <v>45735.0</v>
      </c>
      <c r="X304" s="64">
        <f>DATEVALUE(tblWorkPackages[[#This Row],[Due date]])</f>
        <v>45748.0</v>
      </c>
      <c r="Y304" s="64">
        <f>DATEVALUE(tblWorkPackages[[#This Row],[Completion date]])</f>
        <v>45742.0</v>
      </c>
      <c r="Z304" s="64">
        <f>_xlfn.MINIFS(tblLaborEntries[Work date serial],tblLaborEntries[Work package ID],tblWorkPackages[[#This Row],[Work package ID]])</f>
        <v>45738.0</v>
      </c>
      <c r="AA304" s="64">
        <f>_xlfn.MAXIFS(tblLaborEntries[Work date serial],tblLaborEntries[Work package ID],tblWorkPackages[[#This Row],[Work package ID]])</f>
        <v>45740.0</v>
      </c>
      <c r="AB304" s="65">
        <f>IF(tblWorkPackages[[#This Row],[Completion date serial]]&gt;tblWorkPackages[[#This Row],[Due date serial]],1,0)</f>
        <v>0</v>
      </c>
      <c r="AC304" s="65">
        <f>MAX(0,tblWorkPackages[[#This Row],[Completion date serial]]-tblWorkPackages[[#This Row],[Due date serial]])</f>
        <v>0</v>
      </c>
      <c r="AD304" s="65">
        <f>tblWorkPackages[[#This Row],[First labor date]]-tblWorkPackages[[#This Row],[Request date serial]]</f>
        <v>3</v>
      </c>
      <c r="AE304" s="65">
        <f>tblWorkPackages[[#This Row],[Last labor date]]-tblWorkPackages[[#This Row],[First labor date]]</f>
        <v>2</v>
      </c>
      <c r="AF304" s="65">
        <f>tblWorkPackages[[#This Row],[Completion date serial]]-tblWorkPackages[[#This Row],[Last labor date]]</f>
        <v>2</v>
      </c>
      <c r="AG304" s="65">
        <f>tblWorkPackages[[#This Row],[Completion date serial]]-tblWorkPackages[[#This Row],[Request date serial]]</f>
        <v>7</v>
      </c>
      <c r="AH304" s="65">
        <f>IFERROR(INDEX(tblParts[Delay days],MATCH(tblWorkPackages[[#This Row],[Work package ID]],tblParts[Work package ID],0)),0)</f>
        <v>0</v>
      </c>
      <c r="AI304" s="51" t="str">
        <f>IFERROR(INDEX(tblDisruptions[Event type],MATCH(tblWorkPackages[[#This Row],[Work package ID]],tblDisruptions[Work package ID],0)),"None")</f>
        <v>None</v>
      </c>
      <c r="AJ304" s="51" t="str">
        <f>TEXT(tblWorkPackages[[#This Row],[Due date serial]],"yyyy-mm")</f>
        <v>2025-04</v>
      </c>
    </row>
    <row r="305" spans="1:36" ht="15" x14ac:dyDescent="0.25">
      <c r="A305" s="53" t="s">
        <v>994</v>
      </c>
      <c r="B305" s="53" t="s">
        <v>150</v>
      </c>
      <c r="C305" s="53" t="s">
        <v>321</v>
      </c>
      <c r="D305" s="53" t="s">
        <v>920</v>
      </c>
      <c r="E305" s="53" t="s">
        <v>153</v>
      </c>
      <c r="F305" s="53" t="s">
        <v>128</v>
      </c>
      <c r="G305" s="53" t="s">
        <v>154</v>
      </c>
      <c r="H305" s="53">
        <v>1</v>
      </c>
      <c r="I305" s="53" t="s">
        <v>130</v>
      </c>
      <c r="J305" s="53">
        <v>1</v>
      </c>
      <c r="K305" s="53">
        <v>0</v>
      </c>
      <c r="L305" s="53">
        <v>7.4</v>
      </c>
      <c r="M305" s="53" t="s">
        <v>995</v>
      </c>
      <c r="N305" s="53">
        <v>7.2</v>
      </c>
      <c r="O305" s="51" t="str">
        <f>TEXT(tblWorkPackages[[#This Row],[Request date serial]]-WEEKDAY(tblWorkPackages[[#This Row],[Request date serial]],3),"yyyy-mm-dd")</f>
        <v>2024-04-01</v>
      </c>
      <c r="P305" s="51">
        <f>ABS(tblWorkPackages[[#This Row],[Actual labor hours]]-tblWorkPackages[[#This Row],[Estimated labor hours]])</f>
        <v>0.2</v>
      </c>
      <c r="Q305" s="51">
        <f>IF(tblWorkPackages[[#This Row],[Actual labor hours]]&gt;tblWorkPackages[[#This Row],[Estimated labor hours]],1,0)</f>
        <v>0</v>
      </c>
      <c r="R305" s="51">
        <f>tblWorkPackages[[#This Row],[Actual labor hours]]-tblWorkPackages[[#This Row],[Estimated labor hours]]</f>
        <v>-0.2</v>
      </c>
      <c r="S305" s="51" t="str">
        <f>IF(tblWorkPackages[[#This Row],[Request date serial]]&lt;ValidationStart,"Train 2024",IF(tblWorkPackages[[#This Row],[Request date serial]]&lt;HoldoutStart,"Validation H1","Holdout H2"))</f>
        <v>Train 2024</v>
      </c>
      <c r="T305" s="51" t="str">
        <f>IF(tblWorkPackages[[#This Row],[Time split]]="Train 2024","",tblWorkPackages[[#This Row],[Estimated labor hours]]+VLOOKUP(tblWorkPackages[[#This Row],[Task type]],'Forecast validation'!$A$14:$E$25,IF(tblWorkPackages[[#This Row],[Time split]]="Validation H1",4,5),FALSE()))</f>
        <v/>
      </c>
      <c r="U305" s="51" t="str">
        <f>IF(tblWorkPackages[[#This Row],[Calibrated forecast hours]]="","",ABS(tblWorkPackages[[#This Row],[Actual labor hours]]-tblWorkPackages[[#This Row],[Calibrated forecast hours]]))</f>
        <v/>
      </c>
      <c r="V305" s="51">
        <f>IF(tblWorkPackages[[#This Row],[Time split]]="Train 2024",tblWorkPackages[[#This Row],[Estimated labor hours]],tblWorkPackages[[#This Row],[Calibrated forecast hours]])</f>
        <v>7.4</v>
      </c>
      <c r="W305" s="64">
        <f>DATEVALUE(tblWorkPackages[[#This Row],[Request date]])</f>
        <v>45388.0</v>
      </c>
      <c r="X305" s="64">
        <f>DATEVALUE(tblWorkPackages[[#This Row],[Due date]])</f>
        <v>45401.0</v>
      </c>
      <c r="Y305" s="64">
        <f>DATEVALUE(tblWorkPackages[[#This Row],[Completion date]])</f>
        <v>45419.0</v>
      </c>
      <c r="Z305" s="64">
        <f>_xlfn.MINIFS(tblLaborEntries[Work date serial],tblLaborEntries[Work package ID],tblWorkPackages[[#This Row],[Work package ID]])</f>
        <v>45415.0</v>
      </c>
      <c r="AA305" s="64">
        <f>_xlfn.MAXIFS(tblLaborEntries[Work date serial],tblLaborEntries[Work package ID],tblWorkPackages[[#This Row],[Work package ID]])</f>
        <v>45416.0</v>
      </c>
      <c r="AB305" s="65">
        <f>IF(tblWorkPackages[[#This Row],[Completion date serial]]&gt;tblWorkPackages[[#This Row],[Due date serial]],1,0)</f>
        <v>1</v>
      </c>
      <c r="AC305" s="65">
        <f>MAX(0,tblWorkPackages[[#This Row],[Completion date serial]]-tblWorkPackages[[#This Row],[Due date serial]])</f>
        <v>18</v>
      </c>
      <c r="AD305" s="65">
        <f>tblWorkPackages[[#This Row],[First labor date]]-tblWorkPackages[[#This Row],[Request date serial]]</f>
        <v>27</v>
      </c>
      <c r="AE305" s="65">
        <f>tblWorkPackages[[#This Row],[Last labor date]]-tblWorkPackages[[#This Row],[First labor date]]</f>
        <v>1</v>
      </c>
      <c r="AF305" s="65">
        <f>tblWorkPackages[[#This Row],[Completion date serial]]-tblWorkPackages[[#This Row],[Last labor date]]</f>
        <v>3</v>
      </c>
      <c r="AG305" s="65">
        <f>tblWorkPackages[[#This Row],[Completion date serial]]-tblWorkPackages[[#This Row],[Request date serial]]</f>
        <v>31</v>
      </c>
      <c r="AH305" s="65">
        <f>IFERROR(INDEX(tblParts[Delay days],MATCH(tblWorkPackages[[#This Row],[Work package ID]],tblParts[Work package ID],0)),0)</f>
        <v>0</v>
      </c>
      <c r="AI305" s="51" t="str">
        <f>IFERROR(INDEX(tblDisruptions[Event type],MATCH(tblWorkPackages[[#This Row],[Work package ID]],tblDisruptions[Work package ID],0)),"None")</f>
        <v>None</v>
      </c>
      <c r="AJ305" s="51" t="str">
        <f>TEXT(tblWorkPackages[[#This Row],[Due date serial]],"yyyy-mm")</f>
        <v>2024-04</v>
      </c>
    </row>
    <row r="306" spans="1:36" ht="15" x14ac:dyDescent="0.25">
      <c r="A306" s="53" t="s">
        <v>996</v>
      </c>
      <c r="B306" s="53" t="s">
        <v>173</v>
      </c>
      <c r="C306" s="53" t="s">
        <v>139</v>
      </c>
      <c r="D306" s="53" t="s">
        <v>624</v>
      </c>
      <c r="E306" s="53" t="s">
        <v>144</v>
      </c>
      <c r="F306" s="53" t="s">
        <v>145</v>
      </c>
      <c r="G306" s="53" t="s">
        <v>146</v>
      </c>
      <c r="H306" s="53">
        <v>1</v>
      </c>
      <c r="I306" s="53" t="s">
        <v>130</v>
      </c>
      <c r="J306" s="53">
        <v>1</v>
      </c>
      <c r="K306" s="53">
        <v>1</v>
      </c>
      <c r="L306" s="53">
        <v>5.9</v>
      </c>
      <c r="M306" s="53" t="s">
        <v>903</v>
      </c>
      <c r="N306" s="53">
        <v>8.5</v>
      </c>
      <c r="O306" s="51" t="str">
        <f>TEXT(tblWorkPackages[[#This Row],[Request date serial]]-WEEKDAY(tblWorkPackages[[#This Row],[Request date serial]],3),"yyyy-mm-dd")</f>
        <v>2025-09-08</v>
      </c>
      <c r="P306" s="51">
        <f>ABS(tblWorkPackages[[#This Row],[Actual labor hours]]-tblWorkPackages[[#This Row],[Estimated labor hours]])</f>
        <v>2.6</v>
      </c>
      <c r="Q306" s="51">
        <f>IF(tblWorkPackages[[#This Row],[Actual labor hours]]&gt;tblWorkPackages[[#This Row],[Estimated labor hours]],1,0)</f>
        <v>1</v>
      </c>
      <c r="R306" s="51">
        <f>tblWorkPackages[[#This Row],[Actual labor hours]]-tblWorkPackages[[#This Row],[Estimated labor hours]]</f>
        <v>2.6</v>
      </c>
      <c r="S306" s="51" t="str">
        <f>IF(tblWorkPackages[[#This Row],[Request date serial]]&lt;ValidationStart,"Train 2024",IF(tblWorkPackages[[#This Row],[Request date serial]]&lt;HoldoutStart,"Validation H1","Holdout H2"))</f>
        <v>Holdout H2</v>
      </c>
      <c r="T306" s="51">
        <f>IF(tblWorkPackages[[#This Row],[Time split]]="Train 2024","",tblWorkPackages[[#This Row],[Estimated labor hours]]+VLOOKUP(tblWorkPackages[[#This Row],[Task type]],'Forecast validation'!$A$14:$E$25,IF(tblWorkPackages[[#This Row],[Time split]]="Validation H1",4,5),FALSE()))</f>
        <v>6.87354838709678</v>
      </c>
      <c r="U306" s="51">
        <f>IF(tblWorkPackages[[#This Row],[Calibrated forecast hours]]="","",ABS(tblWorkPackages[[#This Row],[Actual labor hours]]-tblWorkPackages[[#This Row],[Calibrated forecast hours]]))</f>
        <v>1.62645161290323</v>
      </c>
      <c r="V306" s="51">
        <f>IF(tblWorkPackages[[#This Row],[Time split]]="Train 2024",tblWorkPackages[[#This Row],[Estimated labor hours]],tblWorkPackages[[#This Row],[Calibrated forecast hours]])</f>
        <v>6.87354838709678</v>
      </c>
      <c r="W306" s="64">
        <f>DATEVALUE(tblWorkPackages[[#This Row],[Request date]])</f>
        <v>45908.0</v>
      </c>
      <c r="X306" s="64">
        <f>DATEVALUE(tblWorkPackages[[#This Row],[Due date]])</f>
        <v>45921.0</v>
      </c>
      <c r="Y306" s="64">
        <f>DATEVALUE(tblWorkPackages[[#This Row],[Completion date]])</f>
        <v>45914.0</v>
      </c>
      <c r="Z306" s="64">
        <f>_xlfn.MINIFS(tblLaborEntries[Work date serial],tblLaborEntries[Work package ID],tblWorkPackages[[#This Row],[Work package ID]])</f>
        <v>45913.0</v>
      </c>
      <c r="AA306" s="64">
        <f>_xlfn.MAXIFS(tblLaborEntries[Work date serial],tblLaborEntries[Work package ID],tblWorkPackages[[#This Row],[Work package ID]])</f>
        <v>45914.0</v>
      </c>
      <c r="AB306" s="65">
        <f>IF(tblWorkPackages[[#This Row],[Completion date serial]]&gt;tblWorkPackages[[#This Row],[Due date serial]],1,0)</f>
        <v>0</v>
      </c>
      <c r="AC306" s="65">
        <f>MAX(0,tblWorkPackages[[#This Row],[Completion date serial]]-tblWorkPackages[[#This Row],[Due date serial]])</f>
        <v>0</v>
      </c>
      <c r="AD306" s="65">
        <f>tblWorkPackages[[#This Row],[First labor date]]-tblWorkPackages[[#This Row],[Request date serial]]</f>
        <v>5</v>
      </c>
      <c r="AE306" s="65">
        <f>tblWorkPackages[[#This Row],[Last labor date]]-tblWorkPackages[[#This Row],[First labor date]]</f>
        <v>1</v>
      </c>
      <c r="AF306" s="65">
        <f>tblWorkPackages[[#This Row],[Completion date serial]]-tblWorkPackages[[#This Row],[Last labor date]]</f>
        <v>0</v>
      </c>
      <c r="AG306" s="65">
        <f>tblWorkPackages[[#This Row],[Completion date serial]]-tblWorkPackages[[#This Row],[Request date serial]]</f>
        <v>6</v>
      </c>
      <c r="AH306" s="65">
        <f>IFERROR(INDEX(tblParts[Delay days],MATCH(tblWorkPackages[[#This Row],[Work package ID]],tblParts[Work package ID],0)),0)</f>
        <v>0</v>
      </c>
      <c r="AI306" s="51" t="str">
        <f>IFERROR(INDEX(tblDisruptions[Event type],MATCH(tblWorkPackages[[#This Row],[Work package ID]],tblDisruptions[Work package ID],0)),"None")</f>
        <v>None</v>
      </c>
      <c r="AJ306" s="51" t="str">
        <f>TEXT(tblWorkPackages[[#This Row],[Due date serial]],"yyyy-mm")</f>
        <v>2025-09</v>
      </c>
    </row>
    <row r="307" spans="1:36" ht="15" x14ac:dyDescent="0.25">
      <c r="A307" s="53" t="s">
        <v>997</v>
      </c>
      <c r="B307" s="53" t="s">
        <v>230</v>
      </c>
      <c r="C307" s="53" t="s">
        <v>568</v>
      </c>
      <c r="D307" s="53" t="s">
        <v>424</v>
      </c>
      <c r="E307" s="53" t="s">
        <v>242</v>
      </c>
      <c r="F307" s="53" t="s">
        <v>243</v>
      </c>
      <c r="G307" s="53" t="s">
        <v>129</v>
      </c>
      <c r="H307" s="53">
        <v>2</v>
      </c>
      <c r="I307" s="53" t="s">
        <v>176</v>
      </c>
      <c r="J307" s="53">
        <v>0</v>
      </c>
      <c r="K307" s="53">
        <v>0</v>
      </c>
      <c r="L307" s="53">
        <v>9.6</v>
      </c>
      <c r="M307" s="53" t="s">
        <v>907</v>
      </c>
      <c r="N307" s="53">
        <v>9.4</v>
      </c>
      <c r="O307" s="51" t="str">
        <f>TEXT(tblWorkPackages[[#This Row],[Request date serial]]-WEEKDAY(tblWorkPackages[[#This Row],[Request date serial]],3),"yyyy-mm-dd")</f>
        <v>2025-06-02</v>
      </c>
      <c r="P307" s="51">
        <f>ABS(tblWorkPackages[[#This Row],[Actual labor hours]]-tblWorkPackages[[#This Row],[Estimated labor hours]])</f>
        <v>0.199999999999999</v>
      </c>
      <c r="Q307" s="51">
        <f>IF(tblWorkPackages[[#This Row],[Actual labor hours]]&gt;tblWorkPackages[[#This Row],[Estimated labor hours]],1,0)</f>
        <v>0</v>
      </c>
      <c r="R307" s="51">
        <f>tblWorkPackages[[#This Row],[Actual labor hours]]-tblWorkPackages[[#This Row],[Estimated labor hours]]</f>
        <v>-0.199999999999999</v>
      </c>
      <c r="S307" s="51" t="str">
        <f>IF(tblWorkPackages[[#This Row],[Request date serial]]&lt;ValidationStart,"Train 2024",IF(tblWorkPackages[[#This Row],[Request date serial]]&lt;HoldoutStart,"Validation H1","Holdout H2"))</f>
        <v>Validation H1</v>
      </c>
      <c r="T307" s="51">
        <f>IF(tblWorkPackages[[#This Row],[Time split]]="Train 2024","",tblWorkPackages[[#This Row],[Estimated labor hours]]+VLOOKUP(tblWorkPackages[[#This Row],[Task type]],'Forecast validation'!$A$14:$E$25,IF(tblWorkPackages[[#This Row],[Time split]]="Validation H1",4,5),FALSE()))</f>
        <v>10.1561224489796</v>
      </c>
      <c r="U307" s="51">
        <f>IF(tblWorkPackages[[#This Row],[Calibrated forecast hours]]="","",ABS(tblWorkPackages[[#This Row],[Actual labor hours]]-tblWorkPackages[[#This Row],[Calibrated forecast hours]]))</f>
        <v>0.756122448979591</v>
      </c>
      <c r="V307" s="51">
        <f>IF(tblWorkPackages[[#This Row],[Time split]]="Train 2024",tblWorkPackages[[#This Row],[Estimated labor hours]],tblWorkPackages[[#This Row],[Calibrated forecast hours]])</f>
        <v>10.1561224489796</v>
      </c>
      <c r="W307" s="64">
        <f>DATEVALUE(tblWorkPackages[[#This Row],[Request date]])</f>
        <v>45813.0</v>
      </c>
      <c r="X307" s="64">
        <f>DATEVALUE(tblWorkPackages[[#This Row],[Due date]])</f>
        <v>45819.0</v>
      </c>
      <c r="Y307" s="64">
        <f>DATEVALUE(tblWorkPackages[[#This Row],[Completion date]])</f>
        <v>45816.0</v>
      </c>
      <c r="Z307" s="64">
        <f>_xlfn.MINIFS(tblLaborEntries[Work date serial],tblLaborEntries[Work package ID],tblWorkPackages[[#This Row],[Work package ID]])</f>
        <v>45814.0</v>
      </c>
      <c r="AA307" s="64">
        <f>_xlfn.MAXIFS(tblLaborEntries[Work date serial],tblLaborEntries[Work package ID],tblWorkPackages[[#This Row],[Work package ID]])</f>
        <v>45815.0</v>
      </c>
      <c r="AB307" s="65">
        <f>IF(tblWorkPackages[[#This Row],[Completion date serial]]&gt;tblWorkPackages[[#This Row],[Due date serial]],1,0)</f>
        <v>0</v>
      </c>
      <c r="AC307" s="65">
        <f>MAX(0,tblWorkPackages[[#This Row],[Completion date serial]]-tblWorkPackages[[#This Row],[Due date serial]])</f>
        <v>0</v>
      </c>
      <c r="AD307" s="65">
        <f>tblWorkPackages[[#This Row],[First labor date]]-tblWorkPackages[[#This Row],[Request date serial]]</f>
        <v>1</v>
      </c>
      <c r="AE307" s="65">
        <f>tblWorkPackages[[#This Row],[Last labor date]]-tblWorkPackages[[#This Row],[First labor date]]</f>
        <v>1</v>
      </c>
      <c r="AF307" s="65">
        <f>tblWorkPackages[[#This Row],[Completion date serial]]-tblWorkPackages[[#This Row],[Last labor date]]</f>
        <v>1</v>
      </c>
      <c r="AG307" s="65">
        <f>tblWorkPackages[[#This Row],[Completion date serial]]-tblWorkPackages[[#This Row],[Request date serial]]</f>
        <v>3</v>
      </c>
      <c r="AH307" s="65">
        <f>IFERROR(INDEX(tblParts[Delay days],MATCH(tblWorkPackages[[#This Row],[Work package ID]],tblParts[Work package ID],0)),0)</f>
        <v>0</v>
      </c>
      <c r="AI307" s="51" t="str">
        <f>IFERROR(INDEX(tblDisruptions[Event type],MATCH(tblWorkPackages[[#This Row],[Work package ID]],tblDisruptions[Work package ID],0)),"None")</f>
        <v>None</v>
      </c>
      <c r="AJ307" s="51" t="str">
        <f>TEXT(tblWorkPackages[[#This Row],[Due date serial]],"yyyy-mm")</f>
        <v>2025-06</v>
      </c>
    </row>
    <row r="308" spans="1:36" ht="15" x14ac:dyDescent="0.25">
      <c r="A308" s="53" t="s">
        <v>998</v>
      </c>
      <c r="B308" s="53" t="s">
        <v>168</v>
      </c>
      <c r="C308" s="53" t="s">
        <v>131</v>
      </c>
      <c r="D308" s="53" t="s">
        <v>740</v>
      </c>
      <c r="E308" s="53" t="s">
        <v>209</v>
      </c>
      <c r="F308" s="53" t="s">
        <v>145</v>
      </c>
      <c r="G308" s="53" t="s">
        <v>210</v>
      </c>
      <c r="H308" s="53">
        <v>3</v>
      </c>
      <c r="I308" s="53" t="s">
        <v>176</v>
      </c>
      <c r="J308" s="53">
        <v>0</v>
      </c>
      <c r="K308" s="53">
        <v>0</v>
      </c>
      <c r="L308" s="53">
        <v>32.200000000000003</v>
      </c>
      <c r="M308" s="53" t="s">
        <v>618</v>
      </c>
      <c r="N308" s="53">
        <v>33.9</v>
      </c>
      <c r="O308" s="51" t="str">
        <f>TEXT(tblWorkPackages[[#This Row],[Request date serial]]-WEEKDAY(tblWorkPackages[[#This Row],[Request date serial]],3),"yyyy-mm-dd")</f>
        <v>2025-05-12</v>
      </c>
      <c r="P308" s="51">
        <f>ABS(tblWorkPackages[[#This Row],[Actual labor hours]]-tblWorkPackages[[#This Row],[Estimated labor hours]])</f>
        <v>1.7</v>
      </c>
      <c r="Q308" s="51">
        <f>IF(tblWorkPackages[[#This Row],[Actual labor hours]]&gt;tblWorkPackages[[#This Row],[Estimated labor hours]],1,0)</f>
        <v>1</v>
      </c>
      <c r="R308" s="51">
        <f>tblWorkPackages[[#This Row],[Actual labor hours]]-tblWorkPackages[[#This Row],[Estimated labor hours]]</f>
        <v>1.7</v>
      </c>
      <c r="S308" s="51" t="str">
        <f>IF(tblWorkPackages[[#This Row],[Request date serial]]&lt;ValidationStart,"Train 2024",IF(tblWorkPackages[[#This Row],[Request date serial]]&lt;HoldoutStart,"Validation H1","Holdout H2"))</f>
        <v>Validation H1</v>
      </c>
      <c r="T308" s="51">
        <f>IF(tblWorkPackages[[#This Row],[Time split]]="Train 2024","",tblWorkPackages[[#This Row],[Estimated labor hours]]+VLOOKUP(tblWorkPackages[[#This Row],[Task type]],'Forecast validation'!$A$14:$E$25,IF(tblWorkPackages[[#This Row],[Time split]]="Validation H1",4,5),FALSE()))</f>
        <v>33.3029850746269</v>
      </c>
      <c r="U308" s="51">
        <f>IF(tblWorkPackages[[#This Row],[Calibrated forecast hours]]="","",ABS(tblWorkPackages[[#This Row],[Actual labor hours]]-tblWorkPackages[[#This Row],[Calibrated forecast hours]]))</f>
        <v>0.597014925373131</v>
      </c>
      <c r="V308" s="51">
        <f>IF(tblWorkPackages[[#This Row],[Time split]]="Train 2024",tblWorkPackages[[#This Row],[Estimated labor hours]],tblWorkPackages[[#This Row],[Calibrated forecast hours]])</f>
        <v>33.3029850746269</v>
      </c>
      <c r="W308" s="64">
        <f>DATEVALUE(tblWorkPackages[[#This Row],[Request date]])</f>
        <v>45791.0</v>
      </c>
      <c r="X308" s="64">
        <f>DATEVALUE(tblWorkPackages[[#This Row],[Due date]])</f>
        <v>45797.0</v>
      </c>
      <c r="Y308" s="64">
        <f>DATEVALUE(tblWorkPackages[[#This Row],[Completion date]])</f>
        <v>45806.0</v>
      </c>
      <c r="Z308" s="64">
        <f>_xlfn.MINIFS(tblLaborEntries[Work date serial],tblLaborEntries[Work package ID],tblWorkPackages[[#This Row],[Work package ID]])</f>
        <v>45804.0</v>
      </c>
      <c r="AA308" s="64">
        <f>_xlfn.MAXIFS(tblLaborEntries[Work date serial],tblLaborEntries[Work package ID],tblWorkPackages[[#This Row],[Work package ID]])</f>
        <v>45804.0</v>
      </c>
      <c r="AB308" s="65">
        <f>IF(tblWorkPackages[[#This Row],[Completion date serial]]&gt;tblWorkPackages[[#This Row],[Due date serial]],1,0)</f>
        <v>1</v>
      </c>
      <c r="AC308" s="65">
        <f>MAX(0,tblWorkPackages[[#This Row],[Completion date serial]]-tblWorkPackages[[#This Row],[Due date serial]])</f>
        <v>9</v>
      </c>
      <c r="AD308" s="65">
        <f>tblWorkPackages[[#This Row],[First labor date]]-tblWorkPackages[[#This Row],[Request date serial]]</f>
        <v>13</v>
      </c>
      <c r="AE308" s="65">
        <f>tblWorkPackages[[#This Row],[Last labor date]]-tblWorkPackages[[#This Row],[First labor date]]</f>
        <v>0</v>
      </c>
      <c r="AF308" s="65">
        <f>tblWorkPackages[[#This Row],[Completion date serial]]-tblWorkPackages[[#This Row],[Last labor date]]</f>
        <v>2</v>
      </c>
      <c r="AG308" s="65">
        <f>tblWorkPackages[[#This Row],[Completion date serial]]-tblWorkPackages[[#This Row],[Request date serial]]</f>
        <v>15</v>
      </c>
      <c r="AH308" s="65">
        <f>IFERROR(INDEX(tblParts[Delay days],MATCH(tblWorkPackages[[#This Row],[Work package ID]],tblParts[Work package ID],0)),0)</f>
        <v>0</v>
      </c>
      <c r="AI308" s="51" t="str">
        <f>IFERROR(INDEX(tblDisruptions[Event type],MATCH(tblWorkPackages[[#This Row],[Work package ID]],tblDisruptions[Work package ID],0)),"None")</f>
        <v>None</v>
      </c>
      <c r="AJ308" s="51" t="str">
        <f>TEXT(tblWorkPackages[[#This Row],[Due date serial]],"yyyy-mm")</f>
        <v>2025-05</v>
      </c>
    </row>
    <row r="309" spans="1:36" ht="15" x14ac:dyDescent="0.25">
      <c r="A309" s="53" t="s">
        <v>999</v>
      </c>
      <c r="B309" s="53" t="s">
        <v>124</v>
      </c>
      <c r="C309" s="53" t="s">
        <v>720</v>
      </c>
      <c r="D309" s="53" t="s">
        <v>1000</v>
      </c>
      <c r="E309" s="53" t="s">
        <v>181</v>
      </c>
      <c r="F309" s="53" t="s">
        <v>182</v>
      </c>
      <c r="G309" s="53" t="s">
        <v>138</v>
      </c>
      <c r="H309" s="53">
        <v>1</v>
      </c>
      <c r="I309" s="53" t="s">
        <v>130</v>
      </c>
      <c r="J309" s="53">
        <v>0</v>
      </c>
      <c r="K309" s="53">
        <v>0</v>
      </c>
      <c r="L309" s="53">
        <v>5.7</v>
      </c>
      <c r="M309" s="53" t="s">
        <v>1001</v>
      </c>
      <c r="N309" s="53">
        <v>5.7</v>
      </c>
      <c r="O309" s="51" t="str">
        <f>TEXT(tblWorkPackages[[#This Row],[Request date serial]]-WEEKDAY(tblWorkPackages[[#This Row],[Request date serial]],3),"yyyy-mm-dd")</f>
        <v>2024-03-04</v>
      </c>
      <c r="P309" s="51">
        <f>ABS(tblWorkPackages[[#This Row],[Actual labor hours]]-tblWorkPackages[[#This Row],[Estimated labor hours]])</f>
        <v>0</v>
      </c>
      <c r="Q309" s="51">
        <f>IF(tblWorkPackages[[#This Row],[Actual labor hours]]&gt;tblWorkPackages[[#This Row],[Estimated labor hours]],1,0)</f>
        <v>0</v>
      </c>
      <c r="R309" s="51">
        <f>tblWorkPackages[[#This Row],[Actual labor hours]]-tblWorkPackages[[#This Row],[Estimated labor hours]]</f>
        <v>0</v>
      </c>
      <c r="S309" s="51" t="str">
        <f>IF(tblWorkPackages[[#This Row],[Request date serial]]&lt;ValidationStart,"Train 2024",IF(tblWorkPackages[[#This Row],[Request date serial]]&lt;HoldoutStart,"Validation H1","Holdout H2"))</f>
        <v>Train 2024</v>
      </c>
      <c r="T309" s="51" t="str">
        <f>IF(tblWorkPackages[[#This Row],[Time split]]="Train 2024","",tblWorkPackages[[#This Row],[Estimated labor hours]]+VLOOKUP(tblWorkPackages[[#This Row],[Task type]],'Forecast validation'!$A$14:$E$25,IF(tblWorkPackages[[#This Row],[Time split]]="Validation H1",4,5),FALSE()))</f>
        <v/>
      </c>
      <c r="U309" s="51" t="str">
        <f>IF(tblWorkPackages[[#This Row],[Calibrated forecast hours]]="","",ABS(tblWorkPackages[[#This Row],[Actual labor hours]]-tblWorkPackages[[#This Row],[Calibrated forecast hours]]))</f>
        <v/>
      </c>
      <c r="V309" s="51">
        <f>IF(tblWorkPackages[[#This Row],[Time split]]="Train 2024",tblWorkPackages[[#This Row],[Estimated labor hours]],tblWorkPackages[[#This Row],[Calibrated forecast hours]])</f>
        <v>5.7</v>
      </c>
      <c r="W309" s="64">
        <f>DATEVALUE(tblWorkPackages[[#This Row],[Request date]])</f>
        <v>45359.0</v>
      </c>
      <c r="X309" s="64">
        <f>DATEVALUE(tblWorkPackages[[#This Row],[Due date]])</f>
        <v>45372.0</v>
      </c>
      <c r="Y309" s="64">
        <f>DATEVALUE(tblWorkPackages[[#This Row],[Completion date]])</f>
        <v>45365.0</v>
      </c>
      <c r="Z309" s="64">
        <f>_xlfn.MINIFS(tblLaborEntries[Work date serial],tblLaborEntries[Work package ID],tblWorkPackages[[#This Row],[Work package ID]])</f>
        <v>45362.0</v>
      </c>
      <c r="AA309" s="64">
        <f>_xlfn.MAXIFS(tblLaborEntries[Work date serial],tblLaborEntries[Work package ID],tblWorkPackages[[#This Row],[Work package ID]])</f>
        <v>45362.0</v>
      </c>
      <c r="AB309" s="65">
        <f>IF(tblWorkPackages[[#This Row],[Completion date serial]]&gt;tblWorkPackages[[#This Row],[Due date serial]],1,0)</f>
        <v>0</v>
      </c>
      <c r="AC309" s="65">
        <f>MAX(0,tblWorkPackages[[#This Row],[Completion date serial]]-tblWorkPackages[[#This Row],[Due date serial]])</f>
        <v>0</v>
      </c>
      <c r="AD309" s="65">
        <f>tblWorkPackages[[#This Row],[First labor date]]-tblWorkPackages[[#This Row],[Request date serial]]</f>
        <v>3</v>
      </c>
      <c r="AE309" s="65">
        <f>tblWorkPackages[[#This Row],[Last labor date]]-tblWorkPackages[[#This Row],[First labor date]]</f>
        <v>0</v>
      </c>
      <c r="AF309" s="65">
        <f>tblWorkPackages[[#This Row],[Completion date serial]]-tblWorkPackages[[#This Row],[Last labor date]]</f>
        <v>3</v>
      </c>
      <c r="AG309" s="65">
        <f>tblWorkPackages[[#This Row],[Completion date serial]]-tblWorkPackages[[#This Row],[Request date serial]]</f>
        <v>6</v>
      </c>
      <c r="AH309" s="65">
        <f>IFERROR(INDEX(tblParts[Delay days],MATCH(tblWorkPackages[[#This Row],[Work package ID]],tblParts[Work package ID],0)),0)</f>
        <v>0</v>
      </c>
      <c r="AI309" s="51" t="str">
        <f>IFERROR(INDEX(tblDisruptions[Event type],MATCH(tblWorkPackages[[#This Row],[Work package ID]],tblDisruptions[Work package ID],0)),"None")</f>
        <v>None</v>
      </c>
      <c r="AJ309" s="51" t="str">
        <f>TEXT(tblWorkPackages[[#This Row],[Due date serial]],"yyyy-mm")</f>
        <v>2024-03</v>
      </c>
    </row>
    <row r="310" spans="1:36" ht="15" x14ac:dyDescent="0.25">
      <c r="A310" s="53" t="s">
        <v>1002</v>
      </c>
      <c r="B310" s="53" t="s">
        <v>173</v>
      </c>
      <c r="C310" s="53" t="s">
        <v>206</v>
      </c>
      <c r="D310" s="53" t="s">
        <v>890</v>
      </c>
      <c r="E310" s="53" t="s">
        <v>272</v>
      </c>
      <c r="F310" s="53" t="s">
        <v>145</v>
      </c>
      <c r="G310" s="53" t="s">
        <v>273</v>
      </c>
      <c r="H310" s="53">
        <v>2</v>
      </c>
      <c r="I310" s="53" t="s">
        <v>176</v>
      </c>
      <c r="J310" s="53">
        <v>0</v>
      </c>
      <c r="K310" s="53">
        <v>1</v>
      </c>
      <c r="L310" s="53">
        <v>9.8000000000000007</v>
      </c>
      <c r="M310" s="53" t="s">
        <v>233</v>
      </c>
      <c r="N310" s="53">
        <v>11.7</v>
      </c>
      <c r="O310" s="51" t="str">
        <f>TEXT(tblWorkPackages[[#This Row],[Request date serial]]-WEEKDAY(tblWorkPackages[[#This Row],[Request date serial]],3),"yyyy-mm-dd")</f>
        <v>2024-11-11</v>
      </c>
      <c r="P310" s="51">
        <f>ABS(tblWorkPackages[[#This Row],[Actual labor hours]]-tblWorkPackages[[#This Row],[Estimated labor hours]])</f>
        <v>1.9</v>
      </c>
      <c r="Q310" s="51">
        <f>IF(tblWorkPackages[[#This Row],[Actual labor hours]]&gt;tblWorkPackages[[#This Row],[Estimated labor hours]],1,0)</f>
        <v>1</v>
      </c>
      <c r="R310" s="51">
        <f>tblWorkPackages[[#This Row],[Actual labor hours]]-tblWorkPackages[[#This Row],[Estimated labor hours]]</f>
        <v>1.9</v>
      </c>
      <c r="S310" s="51" t="str">
        <f>IF(tblWorkPackages[[#This Row],[Request date serial]]&lt;ValidationStart,"Train 2024",IF(tblWorkPackages[[#This Row],[Request date serial]]&lt;HoldoutStart,"Validation H1","Holdout H2"))</f>
        <v>Train 2024</v>
      </c>
      <c r="T310" s="51" t="str">
        <f>IF(tblWorkPackages[[#This Row],[Time split]]="Train 2024","",tblWorkPackages[[#This Row],[Estimated labor hours]]+VLOOKUP(tblWorkPackages[[#This Row],[Task type]],'Forecast validation'!$A$14:$E$25,IF(tblWorkPackages[[#This Row],[Time split]]="Validation H1",4,5),FALSE()))</f>
        <v/>
      </c>
      <c r="U310" s="51" t="str">
        <f>IF(tblWorkPackages[[#This Row],[Calibrated forecast hours]]="","",ABS(tblWorkPackages[[#This Row],[Actual labor hours]]-tblWorkPackages[[#This Row],[Calibrated forecast hours]]))</f>
        <v/>
      </c>
      <c r="V310" s="51">
        <f>IF(tblWorkPackages[[#This Row],[Time split]]="Train 2024",tblWorkPackages[[#This Row],[Estimated labor hours]],tblWorkPackages[[#This Row],[Calibrated forecast hours]])</f>
        <v>9.8</v>
      </c>
      <c r="W310" s="64">
        <f>DATEVALUE(tblWorkPackages[[#This Row],[Request date]])</f>
        <v>45607.0</v>
      </c>
      <c r="X310" s="64">
        <f>DATEVALUE(tblWorkPackages[[#This Row],[Due date]])</f>
        <v>45613.0</v>
      </c>
      <c r="Y310" s="64">
        <f>DATEVALUE(tblWorkPackages[[#This Row],[Completion date]])</f>
        <v>45661.0</v>
      </c>
      <c r="Z310" s="64">
        <f>_xlfn.MINIFS(tblLaborEntries[Work date serial],tblLaborEntries[Work package ID],tblWorkPackages[[#This Row],[Work package ID]])</f>
        <v>45660.0</v>
      </c>
      <c r="AA310" s="64">
        <f>_xlfn.MAXIFS(tblLaborEntries[Work date serial],tblLaborEntries[Work package ID],tblWorkPackages[[#This Row],[Work package ID]])</f>
        <v>45661.0</v>
      </c>
      <c r="AB310" s="65">
        <f>IF(tblWorkPackages[[#This Row],[Completion date serial]]&gt;tblWorkPackages[[#This Row],[Due date serial]],1,0)</f>
        <v>1</v>
      </c>
      <c r="AC310" s="65">
        <f>MAX(0,tblWorkPackages[[#This Row],[Completion date serial]]-tblWorkPackages[[#This Row],[Due date serial]])</f>
        <v>48</v>
      </c>
      <c r="AD310" s="65">
        <f>tblWorkPackages[[#This Row],[First labor date]]-tblWorkPackages[[#This Row],[Request date serial]]</f>
        <v>53</v>
      </c>
      <c r="AE310" s="65">
        <f>tblWorkPackages[[#This Row],[Last labor date]]-tblWorkPackages[[#This Row],[First labor date]]</f>
        <v>1</v>
      </c>
      <c r="AF310" s="65">
        <f>tblWorkPackages[[#This Row],[Completion date serial]]-tblWorkPackages[[#This Row],[Last labor date]]</f>
        <v>0</v>
      </c>
      <c r="AG310" s="65">
        <f>tblWorkPackages[[#This Row],[Completion date serial]]-tblWorkPackages[[#This Row],[Request date serial]]</f>
        <v>54</v>
      </c>
      <c r="AH310" s="65">
        <f>IFERROR(INDEX(tblParts[Delay days],MATCH(tblWorkPackages[[#This Row],[Work package ID]],tblParts[Work package ID],0)),0)</f>
        <v>5</v>
      </c>
      <c r="AI310" s="51" t="str">
        <f>IFERROR(INDEX(tblDisruptions[Event type],MATCH(tblWorkPackages[[#This Row],[Work package ID]],tblDisruptions[Work package ID],0)),"None")</f>
        <v>Part delay</v>
      </c>
      <c r="AJ310" s="51" t="str">
        <f>TEXT(tblWorkPackages[[#This Row],[Due date serial]],"yyyy-mm")</f>
        <v>2024-11</v>
      </c>
    </row>
    <row r="311" spans="1:36" ht="15" x14ac:dyDescent="0.25">
      <c r="A311" s="53" t="s">
        <v>1003</v>
      </c>
      <c r="B311" s="53" t="s">
        <v>124</v>
      </c>
      <c r="C311" s="53" t="s">
        <v>808</v>
      </c>
      <c r="D311" s="53" t="s">
        <v>1004</v>
      </c>
      <c r="E311" s="53" t="s">
        <v>272</v>
      </c>
      <c r="F311" s="53" t="s">
        <v>145</v>
      </c>
      <c r="G311" s="53" t="s">
        <v>273</v>
      </c>
      <c r="H311" s="53">
        <v>3</v>
      </c>
      <c r="I311" s="53" t="s">
        <v>176</v>
      </c>
      <c r="J311" s="53">
        <v>0</v>
      </c>
      <c r="K311" s="53">
        <v>0</v>
      </c>
      <c r="L311" s="53">
        <v>17.600000000000001</v>
      </c>
      <c r="M311" s="53" t="s">
        <v>517</v>
      </c>
      <c r="N311" s="53">
        <v>22.1</v>
      </c>
      <c r="O311" s="51" t="str">
        <f>TEXT(tblWorkPackages[[#This Row],[Request date serial]]-WEEKDAY(tblWorkPackages[[#This Row],[Request date serial]],3),"yyyy-mm-dd")</f>
        <v>2025-04-28</v>
      </c>
      <c r="P311" s="51">
        <f>ABS(tblWorkPackages[[#This Row],[Actual labor hours]]-tblWorkPackages[[#This Row],[Estimated labor hours]])</f>
        <v>4.5</v>
      </c>
      <c r="Q311" s="51">
        <f>IF(tblWorkPackages[[#This Row],[Actual labor hours]]&gt;tblWorkPackages[[#This Row],[Estimated labor hours]],1,0)</f>
        <v>1</v>
      </c>
      <c r="R311" s="51">
        <f>tblWorkPackages[[#This Row],[Actual labor hours]]-tblWorkPackages[[#This Row],[Estimated labor hours]]</f>
        <v>4.5</v>
      </c>
      <c r="S311" s="51" t="str">
        <f>IF(tblWorkPackages[[#This Row],[Request date serial]]&lt;ValidationStart,"Train 2024",IF(tblWorkPackages[[#This Row],[Request date serial]]&lt;HoldoutStart,"Validation H1","Holdout H2"))</f>
        <v>Validation H1</v>
      </c>
      <c r="T311" s="51">
        <f>IF(tblWorkPackages[[#This Row],[Time split]]="Train 2024","",tblWorkPackages[[#This Row],[Estimated labor hours]]+VLOOKUP(tblWorkPackages[[#This Row],[Task type]],'Forecast validation'!$A$14:$E$25,IF(tblWorkPackages[[#This Row],[Time split]]="Validation H1",4,5),FALSE()))</f>
        <v>18.6320512820513</v>
      </c>
      <c r="U311" s="51">
        <f>IF(tblWorkPackages[[#This Row],[Calibrated forecast hours]]="","",ABS(tblWorkPackages[[#This Row],[Actual labor hours]]-tblWorkPackages[[#This Row],[Calibrated forecast hours]]))</f>
        <v>3.46794871794872</v>
      </c>
      <c r="V311" s="51">
        <f>IF(tblWorkPackages[[#This Row],[Time split]]="Train 2024",tblWorkPackages[[#This Row],[Estimated labor hours]],tblWorkPackages[[#This Row],[Calibrated forecast hours]])</f>
        <v>18.6320512820513</v>
      </c>
      <c r="W311" s="64">
        <f>DATEVALUE(tblWorkPackages[[#This Row],[Request date]])</f>
        <v>45779.0</v>
      </c>
      <c r="X311" s="64">
        <f>DATEVALUE(tblWorkPackages[[#This Row],[Due date]])</f>
        <v>45785.0</v>
      </c>
      <c r="Y311" s="64">
        <f>DATEVALUE(tblWorkPackages[[#This Row],[Completion date]])</f>
        <v>45788.0</v>
      </c>
      <c r="Z311" s="64">
        <f>_xlfn.MINIFS(tblLaborEntries[Work date serial],tblLaborEntries[Work package ID],tblWorkPackages[[#This Row],[Work package ID]])</f>
        <v>45787.0</v>
      </c>
      <c r="AA311" s="64">
        <f>_xlfn.MAXIFS(tblLaborEntries[Work date serial],tblLaborEntries[Work package ID],tblWorkPackages[[#This Row],[Work package ID]])</f>
        <v>45787.0</v>
      </c>
      <c r="AB311" s="65">
        <f>IF(tblWorkPackages[[#This Row],[Completion date serial]]&gt;tblWorkPackages[[#This Row],[Due date serial]],1,0)</f>
        <v>1</v>
      </c>
      <c r="AC311" s="65">
        <f>MAX(0,tblWorkPackages[[#This Row],[Completion date serial]]-tblWorkPackages[[#This Row],[Due date serial]])</f>
        <v>3</v>
      </c>
      <c r="AD311" s="65">
        <f>tblWorkPackages[[#This Row],[First labor date]]-tblWorkPackages[[#This Row],[Request date serial]]</f>
        <v>8</v>
      </c>
      <c r="AE311" s="65">
        <f>tblWorkPackages[[#This Row],[Last labor date]]-tblWorkPackages[[#This Row],[First labor date]]</f>
        <v>0</v>
      </c>
      <c r="AF311" s="65">
        <f>tblWorkPackages[[#This Row],[Completion date serial]]-tblWorkPackages[[#This Row],[Last labor date]]</f>
        <v>1</v>
      </c>
      <c r="AG311" s="65">
        <f>tblWorkPackages[[#This Row],[Completion date serial]]-tblWorkPackages[[#This Row],[Request date serial]]</f>
        <v>9</v>
      </c>
      <c r="AH311" s="65">
        <f>IFERROR(INDEX(tblParts[Delay days],MATCH(tblWorkPackages[[#This Row],[Work package ID]],tblParts[Work package ID],0)),0)</f>
        <v>0</v>
      </c>
      <c r="AI311" s="51" t="str">
        <f>IFERROR(INDEX(tblDisruptions[Event type],MATCH(tblWorkPackages[[#This Row],[Work package ID]],tblDisruptions[Work package ID],0)),"None")</f>
        <v>None</v>
      </c>
      <c r="AJ311" s="51" t="str">
        <f>TEXT(tblWorkPackages[[#This Row],[Due date serial]],"yyyy-mm")</f>
        <v>2025-05</v>
      </c>
    </row>
    <row r="312" spans="1:36" ht="15" x14ac:dyDescent="0.25">
      <c r="A312" s="53" t="s">
        <v>1005</v>
      </c>
      <c r="B312" s="53" t="s">
        <v>150</v>
      </c>
      <c r="C312" s="53" t="s">
        <v>898</v>
      </c>
      <c r="D312" s="53" t="s">
        <v>405</v>
      </c>
      <c r="E312" s="53" t="s">
        <v>209</v>
      </c>
      <c r="F312" s="53" t="s">
        <v>145</v>
      </c>
      <c r="G312" s="53" t="s">
        <v>210</v>
      </c>
      <c r="H312" s="53">
        <v>2</v>
      </c>
      <c r="I312" s="53" t="s">
        <v>130</v>
      </c>
      <c r="J312" s="53">
        <v>0</v>
      </c>
      <c r="K312" s="53">
        <v>0</v>
      </c>
      <c r="L312" s="53">
        <v>24.4</v>
      </c>
      <c r="M312" s="53" t="s">
        <v>971</v>
      </c>
      <c r="N312" s="53">
        <v>27.4</v>
      </c>
      <c r="O312" s="51" t="str">
        <f>TEXT(tblWorkPackages[[#This Row],[Request date serial]]-WEEKDAY(tblWorkPackages[[#This Row],[Request date serial]],3),"yyyy-mm-dd")</f>
        <v>2024-05-06</v>
      </c>
      <c r="P312" s="51">
        <f>ABS(tblWorkPackages[[#This Row],[Actual labor hours]]-tblWorkPackages[[#This Row],[Estimated labor hours]])</f>
        <v>3</v>
      </c>
      <c r="Q312" s="51">
        <f>IF(tblWorkPackages[[#This Row],[Actual labor hours]]&gt;tblWorkPackages[[#This Row],[Estimated labor hours]],1,0)</f>
        <v>1</v>
      </c>
      <c r="R312" s="51">
        <f>tblWorkPackages[[#This Row],[Actual labor hours]]-tblWorkPackages[[#This Row],[Estimated labor hours]]</f>
        <v>3</v>
      </c>
      <c r="S312" s="51" t="str">
        <f>IF(tblWorkPackages[[#This Row],[Request date serial]]&lt;ValidationStart,"Train 2024",IF(tblWorkPackages[[#This Row],[Request date serial]]&lt;HoldoutStart,"Validation H1","Holdout H2"))</f>
        <v>Train 2024</v>
      </c>
      <c r="T312" s="51" t="str">
        <f>IF(tblWorkPackages[[#This Row],[Time split]]="Train 2024","",tblWorkPackages[[#This Row],[Estimated labor hours]]+VLOOKUP(tblWorkPackages[[#This Row],[Task type]],'Forecast validation'!$A$14:$E$25,IF(tblWorkPackages[[#This Row],[Time split]]="Validation H1",4,5),FALSE()))</f>
        <v/>
      </c>
      <c r="U312" s="51" t="str">
        <f>IF(tblWorkPackages[[#This Row],[Calibrated forecast hours]]="","",ABS(tblWorkPackages[[#This Row],[Actual labor hours]]-tblWorkPackages[[#This Row],[Calibrated forecast hours]]))</f>
        <v/>
      </c>
      <c r="V312" s="51">
        <f>IF(tblWorkPackages[[#This Row],[Time split]]="Train 2024",tblWorkPackages[[#This Row],[Estimated labor hours]],tblWorkPackages[[#This Row],[Calibrated forecast hours]])</f>
        <v>24.4</v>
      </c>
      <c r="W312" s="64">
        <f>DATEVALUE(tblWorkPackages[[#This Row],[Request date]])</f>
        <v>45420.0</v>
      </c>
      <c r="X312" s="64">
        <f>DATEVALUE(tblWorkPackages[[#This Row],[Due date]])</f>
        <v>45433.0</v>
      </c>
      <c r="Y312" s="64">
        <f>DATEVALUE(tblWorkPackages[[#This Row],[Completion date]])</f>
        <v>45424.0</v>
      </c>
      <c r="Z312" s="64">
        <f>_xlfn.MINIFS(tblLaborEntries[Work date serial],tblLaborEntries[Work package ID],tblWorkPackages[[#This Row],[Work package ID]])</f>
        <v>45422.0</v>
      </c>
      <c r="AA312" s="64">
        <f>_xlfn.MAXIFS(tblLaborEntries[Work date serial],tblLaborEntries[Work package ID],tblWorkPackages[[#This Row],[Work package ID]])</f>
        <v>45422.0</v>
      </c>
      <c r="AB312" s="65">
        <f>IF(tblWorkPackages[[#This Row],[Completion date serial]]&gt;tblWorkPackages[[#This Row],[Due date serial]],1,0)</f>
        <v>0</v>
      </c>
      <c r="AC312" s="65">
        <f>MAX(0,tblWorkPackages[[#This Row],[Completion date serial]]-tblWorkPackages[[#This Row],[Due date serial]])</f>
        <v>0</v>
      </c>
      <c r="AD312" s="65">
        <f>tblWorkPackages[[#This Row],[First labor date]]-tblWorkPackages[[#This Row],[Request date serial]]</f>
        <v>2</v>
      </c>
      <c r="AE312" s="65">
        <f>tblWorkPackages[[#This Row],[Last labor date]]-tblWorkPackages[[#This Row],[First labor date]]</f>
        <v>0</v>
      </c>
      <c r="AF312" s="65">
        <f>tblWorkPackages[[#This Row],[Completion date serial]]-tblWorkPackages[[#This Row],[Last labor date]]</f>
        <v>2</v>
      </c>
      <c r="AG312" s="65">
        <f>tblWorkPackages[[#This Row],[Completion date serial]]-tblWorkPackages[[#This Row],[Request date serial]]</f>
        <v>4</v>
      </c>
      <c r="AH312" s="65">
        <f>IFERROR(INDEX(tblParts[Delay days],MATCH(tblWorkPackages[[#This Row],[Work package ID]],tblParts[Work package ID],0)),0)</f>
        <v>0</v>
      </c>
      <c r="AI312" s="51" t="str">
        <f>IFERROR(INDEX(tblDisruptions[Event type],MATCH(tblWorkPackages[[#This Row],[Work package ID]],tblDisruptions[Work package ID],0)),"None")</f>
        <v>None</v>
      </c>
      <c r="AJ312" s="51" t="str">
        <f>TEXT(tblWorkPackages[[#This Row],[Due date serial]],"yyyy-mm")</f>
        <v>2024-05</v>
      </c>
    </row>
    <row r="313" spans="1:36" ht="15" x14ac:dyDescent="0.25">
      <c r="A313" s="53" t="s">
        <v>1006</v>
      </c>
      <c r="B313" s="53" t="s">
        <v>185</v>
      </c>
      <c r="C313" s="53" t="s">
        <v>689</v>
      </c>
      <c r="D313" s="53" t="s">
        <v>1007</v>
      </c>
      <c r="E313" s="53" t="s">
        <v>242</v>
      </c>
      <c r="F313" s="53" t="s">
        <v>243</v>
      </c>
      <c r="G313" s="53" t="s">
        <v>129</v>
      </c>
      <c r="H313" s="53">
        <v>4</v>
      </c>
      <c r="I313" s="53" t="s">
        <v>176</v>
      </c>
      <c r="J313" s="53">
        <v>0</v>
      </c>
      <c r="K313" s="53">
        <v>1</v>
      </c>
      <c r="L313" s="53">
        <v>18.600000000000001</v>
      </c>
      <c r="M313" s="53" t="s">
        <v>1008</v>
      </c>
      <c r="N313" s="53">
        <v>19.100000000000001</v>
      </c>
      <c r="O313" s="51" t="str">
        <f>TEXT(tblWorkPackages[[#This Row],[Request date serial]]-WEEKDAY(tblWorkPackages[[#This Row],[Request date serial]],3),"yyyy-mm-dd")</f>
        <v>2024-04-01</v>
      </c>
      <c r="P313" s="51">
        <f>ABS(tblWorkPackages[[#This Row],[Actual labor hours]]-tblWorkPackages[[#This Row],[Estimated labor hours]])</f>
        <v>0.5</v>
      </c>
      <c r="Q313" s="51">
        <f>IF(tblWorkPackages[[#This Row],[Actual labor hours]]&gt;tblWorkPackages[[#This Row],[Estimated labor hours]],1,0)</f>
        <v>1</v>
      </c>
      <c r="R313" s="51">
        <f>tblWorkPackages[[#This Row],[Actual labor hours]]-tblWorkPackages[[#This Row],[Estimated labor hours]]</f>
        <v>0.5</v>
      </c>
      <c r="S313" s="51" t="str">
        <f>IF(tblWorkPackages[[#This Row],[Request date serial]]&lt;ValidationStart,"Train 2024",IF(tblWorkPackages[[#This Row],[Request date serial]]&lt;HoldoutStart,"Validation H1","Holdout H2"))</f>
        <v>Train 2024</v>
      </c>
      <c r="T313" s="51" t="str">
        <f>IF(tblWorkPackages[[#This Row],[Time split]]="Train 2024","",tblWorkPackages[[#This Row],[Estimated labor hours]]+VLOOKUP(tblWorkPackages[[#This Row],[Task type]],'Forecast validation'!$A$14:$E$25,IF(tblWorkPackages[[#This Row],[Time split]]="Validation H1",4,5),FALSE()))</f>
        <v/>
      </c>
      <c r="U313" s="51" t="str">
        <f>IF(tblWorkPackages[[#This Row],[Calibrated forecast hours]]="","",ABS(tblWorkPackages[[#This Row],[Actual labor hours]]-tblWorkPackages[[#This Row],[Calibrated forecast hours]]))</f>
        <v/>
      </c>
      <c r="V313" s="51">
        <f>IF(tblWorkPackages[[#This Row],[Time split]]="Train 2024",tblWorkPackages[[#This Row],[Estimated labor hours]],tblWorkPackages[[#This Row],[Calibrated forecast hours]])</f>
        <v>18.6</v>
      </c>
      <c r="W313" s="64">
        <f>DATEVALUE(tblWorkPackages[[#This Row],[Request date]])</f>
        <v>45385.0</v>
      </c>
      <c r="X313" s="64">
        <f>DATEVALUE(tblWorkPackages[[#This Row],[Due date]])</f>
        <v>45391.0</v>
      </c>
      <c r="Y313" s="64">
        <f>DATEVALUE(tblWorkPackages[[#This Row],[Completion date]])</f>
        <v>45409.0</v>
      </c>
      <c r="Z313" s="64">
        <f>_xlfn.MINIFS(tblLaborEntries[Work date serial],tblLaborEntries[Work package ID],tblWorkPackages[[#This Row],[Work package ID]])</f>
        <v>45404.0</v>
      </c>
      <c r="AA313" s="64">
        <f>_xlfn.MAXIFS(tblLaborEntries[Work date serial],tblLaborEntries[Work package ID],tblWorkPackages[[#This Row],[Work package ID]])</f>
        <v>45406.0</v>
      </c>
      <c r="AB313" s="65">
        <f>IF(tblWorkPackages[[#This Row],[Completion date serial]]&gt;tblWorkPackages[[#This Row],[Due date serial]],1,0)</f>
        <v>1</v>
      </c>
      <c r="AC313" s="65">
        <f>MAX(0,tblWorkPackages[[#This Row],[Completion date serial]]-tblWorkPackages[[#This Row],[Due date serial]])</f>
        <v>18</v>
      </c>
      <c r="AD313" s="65">
        <f>tblWorkPackages[[#This Row],[First labor date]]-tblWorkPackages[[#This Row],[Request date serial]]</f>
        <v>19</v>
      </c>
      <c r="AE313" s="65">
        <f>tblWorkPackages[[#This Row],[Last labor date]]-tblWorkPackages[[#This Row],[First labor date]]</f>
        <v>2</v>
      </c>
      <c r="AF313" s="65">
        <f>tblWorkPackages[[#This Row],[Completion date serial]]-tblWorkPackages[[#This Row],[Last labor date]]</f>
        <v>3</v>
      </c>
      <c r="AG313" s="65">
        <f>tblWorkPackages[[#This Row],[Completion date serial]]-tblWorkPackages[[#This Row],[Request date serial]]</f>
        <v>24</v>
      </c>
      <c r="AH313" s="65">
        <f>IFERROR(INDEX(tblParts[Delay days],MATCH(tblWorkPackages[[#This Row],[Work package ID]],tblParts[Work package ID],0)),0)</f>
        <v>0</v>
      </c>
      <c r="AI313" s="51" t="str">
        <f>IFERROR(INDEX(tblDisruptions[Event type],MATCH(tblWorkPackages[[#This Row],[Work package ID]],tblDisruptions[Work package ID],0)),"None")</f>
        <v>None</v>
      </c>
      <c r="AJ313" s="51" t="str">
        <f>TEXT(tblWorkPackages[[#This Row],[Due date serial]],"yyyy-mm")</f>
        <v>2024-04</v>
      </c>
    </row>
    <row r="314" spans="1:36" ht="15" x14ac:dyDescent="0.25">
      <c r="A314" s="53" t="s">
        <v>1009</v>
      </c>
      <c r="B314" s="53" t="s">
        <v>185</v>
      </c>
      <c r="C314" s="53" t="s">
        <v>631</v>
      </c>
      <c r="D314" s="53" t="s">
        <v>299</v>
      </c>
      <c r="E314" s="53" t="s">
        <v>136</v>
      </c>
      <c r="F314" s="53" t="s">
        <v>137</v>
      </c>
      <c r="G314" s="53" t="s">
        <v>138</v>
      </c>
      <c r="H314" s="53">
        <v>4</v>
      </c>
      <c r="I314" s="53" t="s">
        <v>130</v>
      </c>
      <c r="J314" s="53">
        <v>1</v>
      </c>
      <c r="K314" s="53">
        <v>1</v>
      </c>
      <c r="L314" s="53">
        <v>30.6</v>
      </c>
      <c r="M314" s="53" t="s">
        <v>427</v>
      </c>
      <c r="N314" s="53">
        <v>39.799999999999997</v>
      </c>
      <c r="O314" s="51" t="str">
        <f>TEXT(tblWorkPackages[[#This Row],[Request date serial]]-WEEKDAY(tblWorkPackages[[#This Row],[Request date serial]],3),"yyyy-mm-dd")</f>
        <v>2024-03-25</v>
      </c>
      <c r="P314" s="51">
        <f>ABS(tblWorkPackages[[#This Row],[Actual labor hours]]-tblWorkPackages[[#This Row],[Estimated labor hours]])</f>
        <v>9.2</v>
      </c>
      <c r="Q314" s="51">
        <f>IF(tblWorkPackages[[#This Row],[Actual labor hours]]&gt;tblWorkPackages[[#This Row],[Estimated labor hours]],1,0)</f>
        <v>1</v>
      </c>
      <c r="R314" s="51">
        <f>tblWorkPackages[[#This Row],[Actual labor hours]]-tblWorkPackages[[#This Row],[Estimated labor hours]]</f>
        <v>9.2</v>
      </c>
      <c r="S314" s="51" t="str">
        <f>IF(tblWorkPackages[[#This Row],[Request date serial]]&lt;ValidationStart,"Train 2024",IF(tblWorkPackages[[#This Row],[Request date serial]]&lt;HoldoutStart,"Validation H1","Holdout H2"))</f>
        <v>Train 2024</v>
      </c>
      <c r="T314" s="51" t="str">
        <f>IF(tblWorkPackages[[#This Row],[Time split]]="Train 2024","",tblWorkPackages[[#This Row],[Estimated labor hours]]+VLOOKUP(tblWorkPackages[[#This Row],[Task type]],'Forecast validation'!$A$14:$E$25,IF(tblWorkPackages[[#This Row],[Time split]]="Validation H1",4,5),FALSE()))</f>
        <v/>
      </c>
      <c r="U314" s="51" t="str">
        <f>IF(tblWorkPackages[[#This Row],[Calibrated forecast hours]]="","",ABS(tblWorkPackages[[#This Row],[Actual labor hours]]-tblWorkPackages[[#This Row],[Calibrated forecast hours]]))</f>
        <v/>
      </c>
      <c r="V314" s="51">
        <f>IF(tblWorkPackages[[#This Row],[Time split]]="Train 2024",tblWorkPackages[[#This Row],[Estimated labor hours]],tblWorkPackages[[#This Row],[Calibrated forecast hours]])</f>
        <v>30.6</v>
      </c>
      <c r="W314" s="64">
        <f>DATEVALUE(tblWorkPackages[[#This Row],[Request date]])</f>
        <v>45382.0</v>
      </c>
      <c r="X314" s="64">
        <f>DATEVALUE(tblWorkPackages[[#This Row],[Due date]])</f>
        <v>45395.0</v>
      </c>
      <c r="Y314" s="64">
        <f>DATEVALUE(tblWorkPackages[[#This Row],[Completion date]])</f>
        <v>45396.0</v>
      </c>
      <c r="Z314" s="64">
        <f>_xlfn.MINIFS(tblLaborEntries[Work date serial],tblLaborEntries[Work package ID],tblWorkPackages[[#This Row],[Work package ID]])</f>
        <v>45395.0</v>
      </c>
      <c r="AA314" s="64">
        <f>_xlfn.MAXIFS(tblLaborEntries[Work date serial],tblLaborEntries[Work package ID],tblWorkPackages[[#This Row],[Work package ID]])</f>
        <v>45396.0</v>
      </c>
      <c r="AB314" s="65">
        <f>IF(tblWorkPackages[[#This Row],[Completion date serial]]&gt;tblWorkPackages[[#This Row],[Due date serial]],1,0)</f>
        <v>1</v>
      </c>
      <c r="AC314" s="65">
        <f>MAX(0,tblWorkPackages[[#This Row],[Completion date serial]]-tblWorkPackages[[#This Row],[Due date serial]])</f>
        <v>1</v>
      </c>
      <c r="AD314" s="65">
        <f>tblWorkPackages[[#This Row],[First labor date]]-tblWorkPackages[[#This Row],[Request date serial]]</f>
        <v>13</v>
      </c>
      <c r="AE314" s="65">
        <f>tblWorkPackages[[#This Row],[Last labor date]]-tblWorkPackages[[#This Row],[First labor date]]</f>
        <v>1</v>
      </c>
      <c r="AF314" s="65">
        <f>tblWorkPackages[[#This Row],[Completion date serial]]-tblWorkPackages[[#This Row],[Last labor date]]</f>
        <v>0</v>
      </c>
      <c r="AG314" s="65">
        <f>tblWorkPackages[[#This Row],[Completion date serial]]-tblWorkPackages[[#This Row],[Request date serial]]</f>
        <v>14</v>
      </c>
      <c r="AH314" s="65">
        <f>IFERROR(INDEX(tblParts[Delay days],MATCH(tblWorkPackages[[#This Row],[Work package ID]],tblParts[Work package ID],0)),0)</f>
        <v>9</v>
      </c>
      <c r="AI314" s="51" t="str">
        <f>IFERROR(INDEX(tblDisruptions[Event type],MATCH(tblWorkPackages[[#This Row],[Work package ID]],tblDisruptions[Work package ID],0)),"None")</f>
        <v>Part delay</v>
      </c>
      <c r="AJ314" s="51" t="str">
        <f>TEXT(tblWorkPackages[[#This Row],[Due date serial]],"yyyy-mm")</f>
        <v>2024-04</v>
      </c>
    </row>
    <row r="315" spans="1:36" ht="15" x14ac:dyDescent="0.25">
      <c r="A315" s="53" t="s">
        <v>1010</v>
      </c>
      <c r="B315" s="53" t="s">
        <v>168</v>
      </c>
      <c r="C315" s="53" t="s">
        <v>577</v>
      </c>
      <c r="D315" s="53" t="s">
        <v>549</v>
      </c>
      <c r="E315" s="53" t="s">
        <v>144</v>
      </c>
      <c r="F315" s="53" t="s">
        <v>145</v>
      </c>
      <c r="G315" s="53" t="s">
        <v>146</v>
      </c>
      <c r="H315" s="53">
        <v>3</v>
      </c>
      <c r="I315" s="53" t="s">
        <v>176</v>
      </c>
      <c r="J315" s="53">
        <v>0</v>
      </c>
      <c r="K315" s="53">
        <v>0</v>
      </c>
      <c r="L315" s="53">
        <v>15.5</v>
      </c>
      <c r="M315" s="53" t="s">
        <v>853</v>
      </c>
      <c r="N315" s="53">
        <v>15</v>
      </c>
      <c r="O315" s="51" t="str">
        <f>TEXT(tblWorkPackages[[#This Row],[Request date serial]]-WEEKDAY(tblWorkPackages[[#This Row],[Request date serial]],3),"yyyy-mm-dd")</f>
        <v>2024-06-17</v>
      </c>
      <c r="P315" s="51">
        <f>ABS(tblWorkPackages[[#This Row],[Actual labor hours]]-tblWorkPackages[[#This Row],[Estimated labor hours]])</f>
        <v>0.5</v>
      </c>
      <c r="Q315" s="51">
        <f>IF(tblWorkPackages[[#This Row],[Actual labor hours]]&gt;tblWorkPackages[[#This Row],[Estimated labor hours]],1,0)</f>
        <v>0</v>
      </c>
      <c r="R315" s="51">
        <f>tblWorkPackages[[#This Row],[Actual labor hours]]-tblWorkPackages[[#This Row],[Estimated labor hours]]</f>
        <v>-0.5</v>
      </c>
      <c r="S315" s="51" t="str">
        <f>IF(tblWorkPackages[[#This Row],[Request date serial]]&lt;ValidationStart,"Train 2024",IF(tblWorkPackages[[#This Row],[Request date serial]]&lt;HoldoutStart,"Validation H1","Holdout H2"))</f>
        <v>Train 2024</v>
      </c>
      <c r="T315" s="51" t="str">
        <f>IF(tblWorkPackages[[#This Row],[Time split]]="Train 2024","",tblWorkPackages[[#This Row],[Estimated labor hours]]+VLOOKUP(tblWorkPackages[[#This Row],[Task type]],'Forecast validation'!$A$14:$E$25,IF(tblWorkPackages[[#This Row],[Time split]]="Validation H1",4,5),FALSE()))</f>
        <v/>
      </c>
      <c r="U315" s="51" t="str">
        <f>IF(tblWorkPackages[[#This Row],[Calibrated forecast hours]]="","",ABS(tblWorkPackages[[#This Row],[Actual labor hours]]-tblWorkPackages[[#This Row],[Calibrated forecast hours]]))</f>
        <v/>
      </c>
      <c r="V315" s="51">
        <f>IF(tblWorkPackages[[#This Row],[Time split]]="Train 2024",tblWorkPackages[[#This Row],[Estimated labor hours]],tblWorkPackages[[#This Row],[Calibrated forecast hours]])</f>
        <v>15.5</v>
      </c>
      <c r="W315" s="64">
        <f>DATEVALUE(tblWorkPackages[[#This Row],[Request date]])</f>
        <v>45463.0</v>
      </c>
      <c r="X315" s="64">
        <f>DATEVALUE(tblWorkPackages[[#This Row],[Due date]])</f>
        <v>45469.0</v>
      </c>
      <c r="Y315" s="64">
        <f>DATEVALUE(tblWorkPackages[[#This Row],[Completion date]])</f>
        <v>45466.0</v>
      </c>
      <c r="Z315" s="64">
        <f>_xlfn.MINIFS(tblLaborEntries[Work date serial],tblLaborEntries[Work package ID],tblWorkPackages[[#This Row],[Work package ID]])</f>
        <v>45464.0</v>
      </c>
      <c r="AA315" s="64">
        <f>_xlfn.MAXIFS(tblLaborEntries[Work date serial],tblLaborEntries[Work package ID],tblWorkPackages[[#This Row],[Work package ID]])</f>
        <v>45465.0</v>
      </c>
      <c r="AB315" s="65">
        <f>IF(tblWorkPackages[[#This Row],[Completion date serial]]&gt;tblWorkPackages[[#This Row],[Due date serial]],1,0)</f>
        <v>0</v>
      </c>
      <c r="AC315" s="65">
        <f>MAX(0,tblWorkPackages[[#This Row],[Completion date serial]]-tblWorkPackages[[#This Row],[Due date serial]])</f>
        <v>0</v>
      </c>
      <c r="AD315" s="65">
        <f>tblWorkPackages[[#This Row],[First labor date]]-tblWorkPackages[[#This Row],[Request date serial]]</f>
        <v>1</v>
      </c>
      <c r="AE315" s="65">
        <f>tblWorkPackages[[#This Row],[Last labor date]]-tblWorkPackages[[#This Row],[First labor date]]</f>
        <v>1</v>
      </c>
      <c r="AF315" s="65">
        <f>tblWorkPackages[[#This Row],[Completion date serial]]-tblWorkPackages[[#This Row],[Last labor date]]</f>
        <v>1</v>
      </c>
      <c r="AG315" s="65">
        <f>tblWorkPackages[[#This Row],[Completion date serial]]-tblWorkPackages[[#This Row],[Request date serial]]</f>
        <v>3</v>
      </c>
      <c r="AH315" s="65">
        <f>IFERROR(INDEX(tblParts[Delay days],MATCH(tblWorkPackages[[#This Row],[Work package ID]],tblParts[Work package ID],0)),0)</f>
        <v>0</v>
      </c>
      <c r="AI315" s="51" t="str">
        <f>IFERROR(INDEX(tblDisruptions[Event type],MATCH(tblWorkPackages[[#This Row],[Work package ID]],tblDisruptions[Work package ID],0)),"None")</f>
        <v>None</v>
      </c>
      <c r="AJ315" s="51" t="str">
        <f>TEXT(tblWorkPackages[[#This Row],[Due date serial]],"yyyy-mm")</f>
        <v>2024-06</v>
      </c>
    </row>
    <row r="316" spans="1:36" ht="15" x14ac:dyDescent="0.25">
      <c r="A316" s="53" t="s">
        <v>1011</v>
      </c>
      <c r="B316" s="53" t="s">
        <v>185</v>
      </c>
      <c r="C316" s="53" t="s">
        <v>177</v>
      </c>
      <c r="D316" s="53" t="s">
        <v>1012</v>
      </c>
      <c r="E316" s="53" t="s">
        <v>127</v>
      </c>
      <c r="F316" s="53" t="s">
        <v>128</v>
      </c>
      <c r="G316" s="53" t="s">
        <v>129</v>
      </c>
      <c r="H316" s="53">
        <v>2</v>
      </c>
      <c r="I316" s="53" t="s">
        <v>147</v>
      </c>
      <c r="J316" s="53">
        <v>0</v>
      </c>
      <c r="K316" s="53">
        <v>0</v>
      </c>
      <c r="L316" s="53">
        <v>7.1</v>
      </c>
      <c r="M316" s="53" t="s">
        <v>313</v>
      </c>
      <c r="N316" s="53">
        <v>8.6999999999999993</v>
      </c>
      <c r="O316" s="51" t="str">
        <f>TEXT(tblWorkPackages[[#This Row],[Request date serial]]-WEEKDAY(tblWorkPackages[[#This Row],[Request date serial]],3),"yyyy-mm-dd")</f>
        <v>2025-08-11</v>
      </c>
      <c r="P316" s="51">
        <f>ABS(tblWorkPackages[[#This Row],[Actual labor hours]]-tblWorkPackages[[#This Row],[Estimated labor hours]])</f>
        <v>1.6</v>
      </c>
      <c r="Q316" s="51">
        <f>IF(tblWorkPackages[[#This Row],[Actual labor hours]]&gt;tblWorkPackages[[#This Row],[Estimated labor hours]],1,0)</f>
        <v>1</v>
      </c>
      <c r="R316" s="51">
        <f>tblWorkPackages[[#This Row],[Actual labor hours]]-tblWorkPackages[[#This Row],[Estimated labor hours]]</f>
        <v>1.6</v>
      </c>
      <c r="S316" s="51" t="str">
        <f>IF(tblWorkPackages[[#This Row],[Request date serial]]&lt;ValidationStart,"Train 2024",IF(tblWorkPackages[[#This Row],[Request date serial]]&lt;HoldoutStart,"Validation H1","Holdout H2"))</f>
        <v>Holdout H2</v>
      </c>
      <c r="T316" s="51">
        <f>IF(tblWorkPackages[[#This Row],[Time split]]="Train 2024","",tblWorkPackages[[#This Row],[Estimated labor hours]]+VLOOKUP(tblWorkPackages[[#This Row],[Task type]],'Forecast validation'!$A$14:$E$25,IF(tblWorkPackages[[#This Row],[Time split]]="Validation H1",4,5),FALSE()))</f>
        <v>7.64341085271318</v>
      </c>
      <c r="U316" s="51">
        <f>IF(tblWorkPackages[[#This Row],[Calibrated forecast hours]]="","",ABS(tblWorkPackages[[#This Row],[Actual labor hours]]-tblWorkPackages[[#This Row],[Calibrated forecast hours]]))</f>
        <v>1.05658914728682</v>
      </c>
      <c r="V316" s="51">
        <f>IF(tblWorkPackages[[#This Row],[Time split]]="Train 2024",tblWorkPackages[[#This Row],[Estimated labor hours]],tblWorkPackages[[#This Row],[Calibrated forecast hours]])</f>
        <v>7.64341085271318</v>
      </c>
      <c r="W316" s="64">
        <f>DATEVALUE(tblWorkPackages[[#This Row],[Request date]])</f>
        <v>45886.0</v>
      </c>
      <c r="X316" s="64">
        <f>DATEVALUE(tblWorkPackages[[#This Row],[Due date]])</f>
        <v>45888.0</v>
      </c>
      <c r="Y316" s="64">
        <f>DATEVALUE(tblWorkPackages[[#This Row],[Completion date]])</f>
        <v>45899.0</v>
      </c>
      <c r="Z316" s="64">
        <f>_xlfn.MINIFS(tblLaborEntries[Work date serial],tblLaborEntries[Work package ID],tblWorkPackages[[#This Row],[Work package ID]])</f>
        <v>45897.0</v>
      </c>
      <c r="AA316" s="64">
        <f>_xlfn.MAXIFS(tblLaborEntries[Work date serial],tblLaborEntries[Work package ID],tblWorkPackages[[#This Row],[Work package ID]])</f>
        <v>45897.0</v>
      </c>
      <c r="AB316" s="65">
        <f>IF(tblWorkPackages[[#This Row],[Completion date serial]]&gt;tblWorkPackages[[#This Row],[Due date serial]],1,0)</f>
        <v>1</v>
      </c>
      <c r="AC316" s="65">
        <f>MAX(0,tblWorkPackages[[#This Row],[Completion date serial]]-tblWorkPackages[[#This Row],[Due date serial]])</f>
        <v>11</v>
      </c>
      <c r="AD316" s="65">
        <f>tblWorkPackages[[#This Row],[First labor date]]-tblWorkPackages[[#This Row],[Request date serial]]</f>
        <v>11</v>
      </c>
      <c r="AE316" s="65">
        <f>tblWorkPackages[[#This Row],[Last labor date]]-tblWorkPackages[[#This Row],[First labor date]]</f>
        <v>0</v>
      </c>
      <c r="AF316" s="65">
        <f>tblWorkPackages[[#This Row],[Completion date serial]]-tblWorkPackages[[#This Row],[Last labor date]]</f>
        <v>2</v>
      </c>
      <c r="AG316" s="65">
        <f>tblWorkPackages[[#This Row],[Completion date serial]]-tblWorkPackages[[#This Row],[Request date serial]]</f>
        <v>13</v>
      </c>
      <c r="AH316" s="65">
        <f>IFERROR(INDEX(tblParts[Delay days],MATCH(tblWorkPackages[[#This Row],[Work package ID]],tblParts[Work package ID],0)),0)</f>
        <v>0</v>
      </c>
      <c r="AI316" s="51" t="str">
        <f>IFERROR(INDEX(tblDisruptions[Event type],MATCH(tblWorkPackages[[#This Row],[Work package ID]],tblDisruptions[Work package ID],0)),"None")</f>
        <v>Equipment unavailable</v>
      </c>
      <c r="AJ316" s="51" t="str">
        <f>TEXT(tblWorkPackages[[#This Row],[Due date serial]],"yyyy-mm")</f>
        <v>2025-08</v>
      </c>
    </row>
    <row r="317" spans="1:36" ht="15" x14ac:dyDescent="0.25">
      <c r="A317" s="53" t="s">
        <v>1013</v>
      </c>
      <c r="B317" s="53" t="s">
        <v>168</v>
      </c>
      <c r="C317" s="53" t="s">
        <v>856</v>
      </c>
      <c r="D317" s="53" t="s">
        <v>1014</v>
      </c>
      <c r="E317" s="53" t="s">
        <v>223</v>
      </c>
      <c r="F317" s="53" t="s">
        <v>182</v>
      </c>
      <c r="G317" s="53" t="s">
        <v>154</v>
      </c>
      <c r="H317" s="53">
        <v>1</v>
      </c>
      <c r="I317" s="53" t="s">
        <v>130</v>
      </c>
      <c r="J317" s="53">
        <v>0</v>
      </c>
      <c r="K317" s="53">
        <v>0</v>
      </c>
      <c r="L317" s="53">
        <v>7.8</v>
      </c>
      <c r="M317" s="53" t="s">
        <v>579</v>
      </c>
      <c r="N317" s="53">
        <v>6</v>
      </c>
      <c r="O317" s="51" t="str">
        <f>TEXT(tblWorkPackages[[#This Row],[Request date serial]]-WEEKDAY(tblWorkPackages[[#This Row],[Request date serial]],3),"yyyy-mm-dd")</f>
        <v>2025-12-22</v>
      </c>
      <c r="P317" s="51">
        <f>ABS(tblWorkPackages[[#This Row],[Actual labor hours]]-tblWorkPackages[[#This Row],[Estimated labor hours]])</f>
        <v>1.8</v>
      </c>
      <c r="Q317" s="51">
        <f>IF(tblWorkPackages[[#This Row],[Actual labor hours]]&gt;tblWorkPackages[[#This Row],[Estimated labor hours]],1,0)</f>
        <v>0</v>
      </c>
      <c r="R317" s="51">
        <f>tblWorkPackages[[#This Row],[Actual labor hours]]-tblWorkPackages[[#This Row],[Estimated labor hours]]</f>
        <v>-1.8</v>
      </c>
      <c r="S317" s="51" t="str">
        <f>IF(tblWorkPackages[[#This Row],[Request date serial]]&lt;ValidationStart,"Train 2024",IF(tblWorkPackages[[#This Row],[Request date serial]]&lt;HoldoutStart,"Validation H1","Holdout H2"))</f>
        <v>Holdout H2</v>
      </c>
      <c r="T317" s="51">
        <f>IF(tblWorkPackages[[#This Row],[Time split]]="Train 2024","",tblWorkPackages[[#This Row],[Estimated labor hours]]+VLOOKUP(tblWorkPackages[[#This Row],[Task type]],'Forecast validation'!$A$14:$E$25,IF(tblWorkPackages[[#This Row],[Time split]]="Validation H1",4,5),FALSE()))</f>
        <v>8.72465753424658</v>
      </c>
      <c r="U317" s="51">
        <f>IF(tblWorkPackages[[#This Row],[Calibrated forecast hours]]="","",ABS(tblWorkPackages[[#This Row],[Actual labor hours]]-tblWorkPackages[[#This Row],[Calibrated forecast hours]]))</f>
        <v>2.72465753424657</v>
      </c>
      <c r="V317" s="51">
        <f>IF(tblWorkPackages[[#This Row],[Time split]]="Train 2024",tblWorkPackages[[#This Row],[Estimated labor hours]],tblWorkPackages[[#This Row],[Calibrated forecast hours]])</f>
        <v>8.72465753424658</v>
      </c>
      <c r="W317" s="64">
        <f>DATEVALUE(tblWorkPackages[[#This Row],[Request date]])</f>
        <v>46014.0</v>
      </c>
      <c r="X317" s="64">
        <f>DATEVALUE(tblWorkPackages[[#This Row],[Due date]])</f>
        <v>46027.0</v>
      </c>
      <c r="Y317" s="64">
        <f>DATEVALUE(tblWorkPackages[[#This Row],[Completion date]])</f>
        <v>46021.0</v>
      </c>
      <c r="Z317" s="64">
        <f>_xlfn.MINIFS(tblLaborEntries[Work date serial],tblLaborEntries[Work package ID],tblWorkPackages[[#This Row],[Work package ID]])</f>
        <v>46017.0</v>
      </c>
      <c r="AA317" s="64">
        <f>_xlfn.MAXIFS(tblLaborEntries[Work date serial],tblLaborEntries[Work package ID],tblWorkPackages[[#This Row],[Work package ID]])</f>
        <v>46018.0</v>
      </c>
      <c r="AB317" s="65">
        <f>IF(tblWorkPackages[[#This Row],[Completion date serial]]&gt;tblWorkPackages[[#This Row],[Due date serial]],1,0)</f>
        <v>0</v>
      </c>
      <c r="AC317" s="65">
        <f>MAX(0,tblWorkPackages[[#This Row],[Completion date serial]]-tblWorkPackages[[#This Row],[Due date serial]])</f>
        <v>0</v>
      </c>
      <c r="AD317" s="65">
        <f>tblWorkPackages[[#This Row],[First labor date]]-tblWorkPackages[[#This Row],[Request date serial]]</f>
        <v>3</v>
      </c>
      <c r="AE317" s="65">
        <f>tblWorkPackages[[#This Row],[Last labor date]]-tblWorkPackages[[#This Row],[First labor date]]</f>
        <v>1</v>
      </c>
      <c r="AF317" s="65">
        <f>tblWorkPackages[[#This Row],[Completion date serial]]-tblWorkPackages[[#This Row],[Last labor date]]</f>
        <v>3</v>
      </c>
      <c r="AG317" s="65">
        <f>tblWorkPackages[[#This Row],[Completion date serial]]-tblWorkPackages[[#This Row],[Request date serial]]</f>
        <v>7</v>
      </c>
      <c r="AH317" s="65">
        <f>IFERROR(INDEX(tblParts[Delay days],MATCH(tblWorkPackages[[#This Row],[Work package ID]],tblParts[Work package ID],0)),0)</f>
        <v>0</v>
      </c>
      <c r="AI317" s="51" t="str">
        <f>IFERROR(INDEX(tblDisruptions[Event type],MATCH(tblWorkPackages[[#This Row],[Work package ID]],tblDisruptions[Work package ID],0)),"None")</f>
        <v>None</v>
      </c>
      <c r="AJ317" s="51" t="str">
        <f>TEXT(tblWorkPackages[[#This Row],[Due date serial]],"yyyy-mm")</f>
        <v>2026-01</v>
      </c>
    </row>
    <row r="318" spans="1:36" ht="15" x14ac:dyDescent="0.25">
      <c r="A318" s="53" t="s">
        <v>1015</v>
      </c>
      <c r="B318" s="53" t="s">
        <v>141</v>
      </c>
      <c r="C318" s="53" t="s">
        <v>637</v>
      </c>
      <c r="D318" s="53" t="s">
        <v>1016</v>
      </c>
      <c r="E318" s="53" t="s">
        <v>160</v>
      </c>
      <c r="F318" s="53" t="s">
        <v>128</v>
      </c>
      <c r="G318" s="53" t="s">
        <v>138</v>
      </c>
      <c r="H318" s="53">
        <v>2</v>
      </c>
      <c r="I318" s="53" t="s">
        <v>130</v>
      </c>
      <c r="J318" s="53">
        <v>0</v>
      </c>
      <c r="K318" s="53">
        <v>1</v>
      </c>
      <c r="L318" s="53">
        <v>4</v>
      </c>
      <c r="M318" s="53" t="s">
        <v>1017</v>
      </c>
      <c r="N318" s="53">
        <v>5.9</v>
      </c>
      <c r="O318" s="51" t="str">
        <f>TEXT(tblWorkPackages[[#This Row],[Request date serial]]-WEEKDAY(tblWorkPackages[[#This Row],[Request date serial]],3),"yyyy-mm-dd")</f>
        <v>2025-10-06</v>
      </c>
      <c r="P318" s="51">
        <f>ABS(tblWorkPackages[[#This Row],[Actual labor hours]]-tblWorkPackages[[#This Row],[Estimated labor hours]])</f>
        <v>1.9</v>
      </c>
      <c r="Q318" s="51">
        <f>IF(tblWorkPackages[[#This Row],[Actual labor hours]]&gt;tblWorkPackages[[#This Row],[Estimated labor hours]],1,0)</f>
        <v>1</v>
      </c>
      <c r="R318" s="51">
        <f>tblWorkPackages[[#This Row],[Actual labor hours]]-tblWorkPackages[[#This Row],[Estimated labor hours]]</f>
        <v>1.9</v>
      </c>
      <c r="S318" s="51" t="str">
        <f>IF(tblWorkPackages[[#This Row],[Request date serial]]&lt;ValidationStart,"Train 2024",IF(tblWorkPackages[[#This Row],[Request date serial]]&lt;HoldoutStart,"Validation H1","Holdout H2"))</f>
        <v>Holdout H2</v>
      </c>
      <c r="T318" s="51">
        <f>IF(tblWorkPackages[[#This Row],[Time split]]="Train 2024","",tblWorkPackages[[#This Row],[Estimated labor hours]]+VLOOKUP(tblWorkPackages[[#This Row],[Task type]],'Forecast validation'!$A$14:$E$25,IF(tblWorkPackages[[#This Row],[Time split]]="Validation H1",4,5),FALSE()))</f>
        <v>4.43739837398374</v>
      </c>
      <c r="U318" s="51">
        <f>IF(tblWorkPackages[[#This Row],[Calibrated forecast hours]]="","",ABS(tblWorkPackages[[#This Row],[Actual labor hours]]-tblWorkPackages[[#This Row],[Calibrated forecast hours]]))</f>
        <v>1.46260162601626</v>
      </c>
      <c r="V318" s="51">
        <f>IF(tblWorkPackages[[#This Row],[Time split]]="Train 2024",tblWorkPackages[[#This Row],[Estimated labor hours]],tblWorkPackages[[#This Row],[Calibrated forecast hours]])</f>
        <v>4.43739837398374</v>
      </c>
      <c r="W318" s="64">
        <f>DATEVALUE(tblWorkPackages[[#This Row],[Request date]])</f>
        <v>45939.0</v>
      </c>
      <c r="X318" s="64">
        <f>DATEVALUE(tblWorkPackages[[#This Row],[Due date]])</f>
        <v>45952.0</v>
      </c>
      <c r="Y318" s="64">
        <f>DATEVALUE(tblWorkPackages[[#This Row],[Completion date]])</f>
        <v>45972.0</v>
      </c>
      <c r="Z318" s="64">
        <f>_xlfn.MINIFS(tblLaborEntries[Work date serial],tblLaborEntries[Work package ID],tblWorkPackages[[#This Row],[Work package ID]])</f>
        <v>45971.0</v>
      </c>
      <c r="AA318" s="64">
        <f>_xlfn.MAXIFS(tblLaborEntries[Work date serial],tblLaborEntries[Work package ID],tblWorkPackages[[#This Row],[Work package ID]])</f>
        <v>45972.0</v>
      </c>
      <c r="AB318" s="65">
        <f>IF(tblWorkPackages[[#This Row],[Completion date serial]]&gt;tblWorkPackages[[#This Row],[Due date serial]],1,0)</f>
        <v>1</v>
      </c>
      <c r="AC318" s="65">
        <f>MAX(0,tblWorkPackages[[#This Row],[Completion date serial]]-tblWorkPackages[[#This Row],[Due date serial]])</f>
        <v>20</v>
      </c>
      <c r="AD318" s="65">
        <f>tblWorkPackages[[#This Row],[First labor date]]-tblWorkPackages[[#This Row],[Request date serial]]</f>
        <v>32</v>
      </c>
      <c r="AE318" s="65">
        <f>tblWorkPackages[[#This Row],[Last labor date]]-tblWorkPackages[[#This Row],[First labor date]]</f>
        <v>1</v>
      </c>
      <c r="AF318" s="65">
        <f>tblWorkPackages[[#This Row],[Completion date serial]]-tblWorkPackages[[#This Row],[Last labor date]]</f>
        <v>0</v>
      </c>
      <c r="AG318" s="65">
        <f>tblWorkPackages[[#This Row],[Completion date serial]]-tblWorkPackages[[#This Row],[Request date serial]]</f>
        <v>33</v>
      </c>
      <c r="AH318" s="65">
        <f>IFERROR(INDEX(tblParts[Delay days],MATCH(tblWorkPackages[[#This Row],[Work package ID]],tblParts[Work package ID],0)),0)</f>
        <v>0</v>
      </c>
      <c r="AI318" s="51" t="str">
        <f>IFERROR(INDEX(tblDisruptions[Event type],MATCH(tblWorkPackages[[#This Row],[Work package ID]],tblDisruptions[Work package ID],0)),"None")</f>
        <v>Scope change</v>
      </c>
      <c r="AJ318" s="51" t="str">
        <f>TEXT(tblWorkPackages[[#This Row],[Due date serial]],"yyyy-mm")</f>
        <v>2025-10</v>
      </c>
    </row>
    <row r="319" spans="1:36" ht="15" x14ac:dyDescent="0.25">
      <c r="A319" s="53" t="s">
        <v>1018</v>
      </c>
      <c r="B319" s="53" t="s">
        <v>141</v>
      </c>
      <c r="C319" s="53" t="s">
        <v>342</v>
      </c>
      <c r="D319" s="53" t="s">
        <v>1019</v>
      </c>
      <c r="E319" s="53" t="s">
        <v>181</v>
      </c>
      <c r="F319" s="53" t="s">
        <v>182</v>
      </c>
      <c r="G319" s="53" t="s">
        <v>138</v>
      </c>
      <c r="H319" s="53">
        <v>1</v>
      </c>
      <c r="I319" s="53" t="s">
        <v>130</v>
      </c>
      <c r="J319" s="53">
        <v>0</v>
      </c>
      <c r="K319" s="53">
        <v>0</v>
      </c>
      <c r="L319" s="53">
        <v>4.7</v>
      </c>
      <c r="M319" s="53" t="s">
        <v>843</v>
      </c>
      <c r="N319" s="53">
        <v>3.8</v>
      </c>
      <c r="O319" s="51" t="str">
        <f>TEXT(tblWorkPackages[[#This Row],[Request date serial]]-WEEKDAY(tblWorkPackages[[#This Row],[Request date serial]],3),"yyyy-mm-dd")</f>
        <v>2025-07-28</v>
      </c>
      <c r="P319" s="51">
        <f>ABS(tblWorkPackages[[#This Row],[Actual labor hours]]-tblWorkPackages[[#This Row],[Estimated labor hours]])</f>
        <v>0.9</v>
      </c>
      <c r="Q319" s="51">
        <f>IF(tblWorkPackages[[#This Row],[Actual labor hours]]&gt;tblWorkPackages[[#This Row],[Estimated labor hours]],1,0)</f>
        <v>0</v>
      </c>
      <c r="R319" s="51">
        <f>tblWorkPackages[[#This Row],[Actual labor hours]]-tblWorkPackages[[#This Row],[Estimated labor hours]]</f>
        <v>-0.9</v>
      </c>
      <c r="S319" s="51" t="str">
        <f>IF(tblWorkPackages[[#This Row],[Request date serial]]&lt;ValidationStart,"Train 2024",IF(tblWorkPackages[[#This Row],[Request date serial]]&lt;HoldoutStart,"Validation H1","Holdout H2"))</f>
        <v>Holdout H2</v>
      </c>
      <c r="T319" s="51">
        <f>IF(tblWorkPackages[[#This Row],[Time split]]="Train 2024","",tblWorkPackages[[#This Row],[Estimated labor hours]]+VLOOKUP(tblWorkPackages[[#This Row],[Task type]],'Forecast validation'!$A$14:$E$25,IF(tblWorkPackages[[#This Row],[Time split]]="Validation H1",4,5),FALSE()))</f>
        <v>5.29160839160839</v>
      </c>
      <c r="U319" s="51">
        <f>IF(tblWorkPackages[[#This Row],[Calibrated forecast hours]]="","",ABS(tblWorkPackages[[#This Row],[Actual labor hours]]-tblWorkPackages[[#This Row],[Calibrated forecast hours]]))</f>
        <v>1.49160839160839</v>
      </c>
      <c r="V319" s="51">
        <f>IF(tblWorkPackages[[#This Row],[Time split]]="Train 2024",tblWorkPackages[[#This Row],[Estimated labor hours]],tblWorkPackages[[#This Row],[Calibrated forecast hours]])</f>
        <v>5.29160839160839</v>
      </c>
      <c r="W319" s="64">
        <f>DATEVALUE(tblWorkPackages[[#This Row],[Request date]])</f>
        <v>45871.0</v>
      </c>
      <c r="X319" s="64">
        <f>DATEVALUE(tblWorkPackages[[#This Row],[Due date]])</f>
        <v>45884.0</v>
      </c>
      <c r="Y319" s="64">
        <f>DATEVALUE(tblWorkPackages[[#This Row],[Completion date]])</f>
        <v>45878.0</v>
      </c>
      <c r="Z319" s="64">
        <f>_xlfn.MINIFS(tblLaborEntries[Work date serial],tblLaborEntries[Work package ID],tblWorkPackages[[#This Row],[Work package ID]])</f>
        <v>45877.0</v>
      </c>
      <c r="AA319" s="64">
        <f>_xlfn.MAXIFS(tblLaborEntries[Work date serial],tblLaborEntries[Work package ID],tblWorkPackages[[#This Row],[Work package ID]])</f>
        <v>45877.0</v>
      </c>
      <c r="AB319" s="65">
        <f>IF(tblWorkPackages[[#This Row],[Completion date serial]]&gt;tblWorkPackages[[#This Row],[Due date serial]],1,0)</f>
        <v>0</v>
      </c>
      <c r="AC319" s="65">
        <f>MAX(0,tblWorkPackages[[#This Row],[Completion date serial]]-tblWorkPackages[[#This Row],[Due date serial]])</f>
        <v>0</v>
      </c>
      <c r="AD319" s="65">
        <f>tblWorkPackages[[#This Row],[First labor date]]-tblWorkPackages[[#This Row],[Request date serial]]</f>
        <v>6</v>
      </c>
      <c r="AE319" s="65">
        <f>tblWorkPackages[[#This Row],[Last labor date]]-tblWorkPackages[[#This Row],[First labor date]]</f>
        <v>0</v>
      </c>
      <c r="AF319" s="65">
        <f>tblWorkPackages[[#This Row],[Completion date serial]]-tblWorkPackages[[#This Row],[Last labor date]]</f>
        <v>1</v>
      </c>
      <c r="AG319" s="65">
        <f>tblWorkPackages[[#This Row],[Completion date serial]]-tblWorkPackages[[#This Row],[Request date serial]]</f>
        <v>7</v>
      </c>
      <c r="AH319" s="65">
        <f>IFERROR(INDEX(tblParts[Delay days],MATCH(tblWorkPackages[[#This Row],[Work package ID]],tblParts[Work package ID],0)),0)</f>
        <v>0</v>
      </c>
      <c r="AI319" s="51" t="str">
        <f>IFERROR(INDEX(tblDisruptions[Event type],MATCH(tblWorkPackages[[#This Row],[Work package ID]],tblDisruptions[Work package ID],0)),"None")</f>
        <v>None</v>
      </c>
      <c r="AJ319" s="51" t="str">
        <f>TEXT(tblWorkPackages[[#This Row],[Due date serial]],"yyyy-mm")</f>
        <v>2025-08</v>
      </c>
    </row>
    <row r="320" spans="1:36" ht="15" x14ac:dyDescent="0.25">
      <c r="A320" s="53" t="s">
        <v>1020</v>
      </c>
      <c r="B320" s="53" t="s">
        <v>150</v>
      </c>
      <c r="C320" s="53" t="s">
        <v>412</v>
      </c>
      <c r="D320" s="53" t="s">
        <v>827</v>
      </c>
      <c r="E320" s="53" t="s">
        <v>272</v>
      </c>
      <c r="F320" s="53" t="s">
        <v>145</v>
      </c>
      <c r="G320" s="53" t="s">
        <v>273</v>
      </c>
      <c r="H320" s="53">
        <v>1</v>
      </c>
      <c r="I320" s="53" t="s">
        <v>176</v>
      </c>
      <c r="J320" s="53">
        <v>0</v>
      </c>
      <c r="K320" s="53">
        <v>0</v>
      </c>
      <c r="L320" s="53">
        <v>8.4</v>
      </c>
      <c r="M320" s="53" t="s">
        <v>413</v>
      </c>
      <c r="N320" s="53">
        <v>10.199999999999999</v>
      </c>
      <c r="O320" s="51" t="str">
        <f>TEXT(tblWorkPackages[[#This Row],[Request date serial]]-WEEKDAY(tblWorkPackages[[#This Row],[Request date serial]],3),"yyyy-mm-dd")</f>
        <v>2025-02-24</v>
      </c>
      <c r="P320" s="51">
        <f>ABS(tblWorkPackages[[#This Row],[Actual labor hours]]-tblWorkPackages[[#This Row],[Estimated labor hours]])</f>
        <v>1.8</v>
      </c>
      <c r="Q320" s="51">
        <f>IF(tblWorkPackages[[#This Row],[Actual labor hours]]&gt;tblWorkPackages[[#This Row],[Estimated labor hours]],1,0)</f>
        <v>1</v>
      </c>
      <c r="R320" s="51">
        <f>tblWorkPackages[[#This Row],[Actual labor hours]]-tblWorkPackages[[#This Row],[Estimated labor hours]]</f>
        <v>1.8</v>
      </c>
      <c r="S320" s="51" t="str">
        <f>IF(tblWorkPackages[[#This Row],[Request date serial]]&lt;ValidationStart,"Train 2024",IF(tblWorkPackages[[#This Row],[Request date serial]]&lt;HoldoutStart,"Validation H1","Holdout H2"))</f>
        <v>Validation H1</v>
      </c>
      <c r="T320" s="51">
        <f>IF(tblWorkPackages[[#This Row],[Time split]]="Train 2024","",tblWorkPackages[[#This Row],[Estimated labor hours]]+VLOOKUP(tblWorkPackages[[#This Row],[Task type]],'Forecast validation'!$A$14:$E$25,IF(tblWorkPackages[[#This Row],[Time split]]="Validation H1",4,5),FALSE()))</f>
        <v>9.43205128205128</v>
      </c>
      <c r="U320" s="51">
        <f>IF(tblWorkPackages[[#This Row],[Calibrated forecast hours]]="","",ABS(tblWorkPackages[[#This Row],[Actual labor hours]]-tblWorkPackages[[#This Row],[Calibrated forecast hours]]))</f>
        <v>0.767948717948716</v>
      </c>
      <c r="V320" s="51">
        <f>IF(tblWorkPackages[[#This Row],[Time split]]="Train 2024",tblWorkPackages[[#This Row],[Estimated labor hours]],tblWorkPackages[[#This Row],[Calibrated forecast hours]])</f>
        <v>9.43205128205128</v>
      </c>
      <c r="W320" s="64">
        <f>DATEVALUE(tblWorkPackages[[#This Row],[Request date]])</f>
        <v>45712.0</v>
      </c>
      <c r="X320" s="64">
        <f>DATEVALUE(tblWorkPackages[[#This Row],[Due date]])</f>
        <v>45718.0</v>
      </c>
      <c r="Y320" s="64">
        <f>DATEVALUE(tblWorkPackages[[#This Row],[Completion date]])</f>
        <v>45717.0</v>
      </c>
      <c r="Z320" s="64">
        <f>_xlfn.MINIFS(tblLaborEntries[Work date serial],tblLaborEntries[Work package ID],tblWorkPackages[[#This Row],[Work package ID]])</f>
        <v>45714.0</v>
      </c>
      <c r="AA320" s="64">
        <f>_xlfn.MAXIFS(tblLaborEntries[Work date serial],tblLaborEntries[Work package ID],tblWorkPackages[[#This Row],[Work package ID]])</f>
        <v>45715.0</v>
      </c>
      <c r="AB320" s="65">
        <f>IF(tblWorkPackages[[#This Row],[Completion date serial]]&gt;tblWorkPackages[[#This Row],[Due date serial]],1,0)</f>
        <v>0</v>
      </c>
      <c r="AC320" s="65">
        <f>MAX(0,tblWorkPackages[[#This Row],[Completion date serial]]-tblWorkPackages[[#This Row],[Due date serial]])</f>
        <v>0</v>
      </c>
      <c r="AD320" s="65">
        <f>tblWorkPackages[[#This Row],[First labor date]]-tblWorkPackages[[#This Row],[Request date serial]]</f>
        <v>2</v>
      </c>
      <c r="AE320" s="65">
        <f>tblWorkPackages[[#This Row],[Last labor date]]-tblWorkPackages[[#This Row],[First labor date]]</f>
        <v>1</v>
      </c>
      <c r="AF320" s="65">
        <f>tblWorkPackages[[#This Row],[Completion date serial]]-tblWorkPackages[[#This Row],[Last labor date]]</f>
        <v>2</v>
      </c>
      <c r="AG320" s="65">
        <f>tblWorkPackages[[#This Row],[Completion date serial]]-tblWorkPackages[[#This Row],[Request date serial]]</f>
        <v>5</v>
      </c>
      <c r="AH320" s="65">
        <f>IFERROR(INDEX(tblParts[Delay days],MATCH(tblWorkPackages[[#This Row],[Work package ID]],tblParts[Work package ID],0)),0)</f>
        <v>0</v>
      </c>
      <c r="AI320" s="51" t="str">
        <f>IFERROR(INDEX(tblDisruptions[Event type],MATCH(tblWorkPackages[[#This Row],[Work package ID]],tblDisruptions[Work package ID],0)),"None")</f>
        <v>None</v>
      </c>
      <c r="AJ320" s="51" t="str">
        <f>TEXT(tblWorkPackages[[#This Row],[Due date serial]],"yyyy-mm")</f>
        <v>2025-03</v>
      </c>
    </row>
    <row r="321" spans="1:36" ht="15" x14ac:dyDescent="0.25">
      <c r="A321" s="53" t="s">
        <v>1021</v>
      </c>
      <c r="B321" s="53" t="s">
        <v>133</v>
      </c>
      <c r="C321" s="53" t="s">
        <v>194</v>
      </c>
      <c r="D321" s="53" t="s">
        <v>195</v>
      </c>
      <c r="E321" s="53" t="s">
        <v>272</v>
      </c>
      <c r="F321" s="53" t="s">
        <v>145</v>
      </c>
      <c r="G321" s="53" t="s">
        <v>273</v>
      </c>
      <c r="H321" s="53">
        <v>1</v>
      </c>
      <c r="I321" s="53" t="s">
        <v>176</v>
      </c>
      <c r="J321" s="53">
        <v>0</v>
      </c>
      <c r="K321" s="53">
        <v>1</v>
      </c>
      <c r="L321" s="53">
        <v>6.3</v>
      </c>
      <c r="M321" s="53" t="s">
        <v>594</v>
      </c>
      <c r="N321" s="53">
        <v>4.9000000000000004</v>
      </c>
      <c r="O321" s="51" t="str">
        <f>TEXT(tblWorkPackages[[#This Row],[Request date serial]]-WEEKDAY(tblWorkPackages[[#This Row],[Request date serial]],3),"yyyy-mm-dd")</f>
        <v>2024-10-07</v>
      </c>
      <c r="P321" s="51">
        <f>ABS(tblWorkPackages[[#This Row],[Actual labor hours]]-tblWorkPackages[[#This Row],[Estimated labor hours]])</f>
        <v>1.4</v>
      </c>
      <c r="Q321" s="51">
        <f>IF(tblWorkPackages[[#This Row],[Actual labor hours]]&gt;tblWorkPackages[[#This Row],[Estimated labor hours]],1,0)</f>
        <v>0</v>
      </c>
      <c r="R321" s="51">
        <f>tblWorkPackages[[#This Row],[Actual labor hours]]-tblWorkPackages[[#This Row],[Estimated labor hours]]</f>
        <v>-1.4</v>
      </c>
      <c r="S321" s="51" t="str">
        <f>IF(tblWorkPackages[[#This Row],[Request date serial]]&lt;ValidationStart,"Train 2024",IF(tblWorkPackages[[#This Row],[Request date serial]]&lt;HoldoutStart,"Validation H1","Holdout H2"))</f>
        <v>Train 2024</v>
      </c>
      <c r="T321" s="51" t="str">
        <f>IF(tblWorkPackages[[#This Row],[Time split]]="Train 2024","",tblWorkPackages[[#This Row],[Estimated labor hours]]+VLOOKUP(tblWorkPackages[[#This Row],[Task type]],'Forecast validation'!$A$14:$E$25,IF(tblWorkPackages[[#This Row],[Time split]]="Validation H1",4,5),FALSE()))</f>
        <v/>
      </c>
      <c r="U321" s="51" t="str">
        <f>IF(tblWorkPackages[[#This Row],[Calibrated forecast hours]]="","",ABS(tblWorkPackages[[#This Row],[Actual labor hours]]-tblWorkPackages[[#This Row],[Calibrated forecast hours]]))</f>
        <v/>
      </c>
      <c r="V321" s="51">
        <f>IF(tblWorkPackages[[#This Row],[Time split]]="Train 2024",tblWorkPackages[[#This Row],[Estimated labor hours]],tblWorkPackages[[#This Row],[Calibrated forecast hours]])</f>
        <v>6.3</v>
      </c>
      <c r="W321" s="64">
        <f>DATEVALUE(tblWorkPackages[[#This Row],[Request date]])</f>
        <v>45574.0</v>
      </c>
      <c r="X321" s="64">
        <f>DATEVALUE(tblWorkPackages[[#This Row],[Due date]])</f>
        <v>45580.0</v>
      </c>
      <c r="Y321" s="64">
        <f>DATEVALUE(tblWorkPackages[[#This Row],[Completion date]])</f>
        <v>45593.0</v>
      </c>
      <c r="Z321" s="64">
        <f>_xlfn.MINIFS(tblLaborEntries[Work date serial],tblLaborEntries[Work package ID],tblWorkPackages[[#This Row],[Work package ID]])</f>
        <v>45588.0</v>
      </c>
      <c r="AA321" s="64">
        <f>_xlfn.MAXIFS(tblLaborEntries[Work date serial],tblLaborEntries[Work package ID],tblWorkPackages[[#This Row],[Work package ID]])</f>
        <v>45590.0</v>
      </c>
      <c r="AB321" s="65">
        <f>IF(tblWorkPackages[[#This Row],[Completion date serial]]&gt;tblWorkPackages[[#This Row],[Due date serial]],1,0)</f>
        <v>1</v>
      </c>
      <c r="AC321" s="65">
        <f>MAX(0,tblWorkPackages[[#This Row],[Completion date serial]]-tblWorkPackages[[#This Row],[Due date serial]])</f>
        <v>13</v>
      </c>
      <c r="AD321" s="65">
        <f>tblWorkPackages[[#This Row],[First labor date]]-tblWorkPackages[[#This Row],[Request date serial]]</f>
        <v>14</v>
      </c>
      <c r="AE321" s="65">
        <f>tblWorkPackages[[#This Row],[Last labor date]]-tblWorkPackages[[#This Row],[First labor date]]</f>
        <v>2</v>
      </c>
      <c r="AF321" s="65">
        <f>tblWorkPackages[[#This Row],[Completion date serial]]-tblWorkPackages[[#This Row],[Last labor date]]</f>
        <v>3</v>
      </c>
      <c r="AG321" s="65">
        <f>tblWorkPackages[[#This Row],[Completion date serial]]-tblWorkPackages[[#This Row],[Request date serial]]</f>
        <v>19</v>
      </c>
      <c r="AH321" s="65">
        <f>IFERROR(INDEX(tblParts[Delay days],MATCH(tblWorkPackages[[#This Row],[Work package ID]],tblParts[Work package ID],0)),0)</f>
        <v>0</v>
      </c>
      <c r="AI321" s="51" t="str">
        <f>IFERROR(INDEX(tblDisruptions[Event type],MATCH(tblWorkPackages[[#This Row],[Work package ID]],tblDisruptions[Work package ID],0)),"None")</f>
        <v>None</v>
      </c>
      <c r="AJ321" s="51" t="str">
        <f>TEXT(tblWorkPackages[[#This Row],[Due date serial]],"yyyy-mm")</f>
        <v>2024-10</v>
      </c>
    </row>
    <row r="322" spans="1:36" ht="15" x14ac:dyDescent="0.25">
      <c r="A322" s="53" t="s">
        <v>1022</v>
      </c>
      <c r="B322" s="53" t="s">
        <v>235</v>
      </c>
      <c r="C322" s="53" t="s">
        <v>1023</v>
      </c>
      <c r="D322" s="53" t="s">
        <v>1024</v>
      </c>
      <c r="E322" s="53" t="s">
        <v>127</v>
      </c>
      <c r="F322" s="53" t="s">
        <v>128</v>
      </c>
      <c r="G322" s="53" t="s">
        <v>129</v>
      </c>
      <c r="H322" s="53">
        <v>1</v>
      </c>
      <c r="I322" s="53" t="s">
        <v>130</v>
      </c>
      <c r="J322" s="53">
        <v>0</v>
      </c>
      <c r="K322" s="53">
        <v>0</v>
      </c>
      <c r="L322" s="53">
        <v>4.7</v>
      </c>
      <c r="M322" s="53" t="s">
        <v>524</v>
      </c>
      <c r="N322" s="53">
        <v>5.8</v>
      </c>
      <c r="O322" s="51" t="str">
        <f>TEXT(tblWorkPackages[[#This Row],[Request date serial]]-WEEKDAY(tblWorkPackages[[#This Row],[Request date serial]],3),"yyyy-mm-dd")</f>
        <v>2024-07-01</v>
      </c>
      <c r="P322" s="51">
        <f>ABS(tblWorkPackages[[#This Row],[Actual labor hours]]-tblWorkPackages[[#This Row],[Estimated labor hours]])</f>
        <v>1.1</v>
      </c>
      <c r="Q322" s="51">
        <f>IF(tblWorkPackages[[#This Row],[Actual labor hours]]&gt;tblWorkPackages[[#This Row],[Estimated labor hours]],1,0)</f>
        <v>1</v>
      </c>
      <c r="R322" s="51">
        <f>tblWorkPackages[[#This Row],[Actual labor hours]]-tblWorkPackages[[#This Row],[Estimated labor hours]]</f>
        <v>1.1</v>
      </c>
      <c r="S322" s="51" t="str">
        <f>IF(tblWorkPackages[[#This Row],[Request date serial]]&lt;ValidationStart,"Train 2024",IF(tblWorkPackages[[#This Row],[Request date serial]]&lt;HoldoutStart,"Validation H1","Holdout H2"))</f>
        <v>Train 2024</v>
      </c>
      <c r="T322" s="51" t="str">
        <f>IF(tblWorkPackages[[#This Row],[Time split]]="Train 2024","",tblWorkPackages[[#This Row],[Estimated labor hours]]+VLOOKUP(tblWorkPackages[[#This Row],[Task type]],'Forecast validation'!$A$14:$E$25,IF(tblWorkPackages[[#This Row],[Time split]]="Validation H1",4,5),FALSE()))</f>
        <v/>
      </c>
      <c r="U322" s="51" t="str">
        <f>IF(tblWorkPackages[[#This Row],[Calibrated forecast hours]]="","",ABS(tblWorkPackages[[#This Row],[Actual labor hours]]-tblWorkPackages[[#This Row],[Calibrated forecast hours]]))</f>
        <v/>
      </c>
      <c r="V322" s="51">
        <f>IF(tblWorkPackages[[#This Row],[Time split]]="Train 2024",tblWorkPackages[[#This Row],[Estimated labor hours]],tblWorkPackages[[#This Row],[Calibrated forecast hours]])</f>
        <v>4.7</v>
      </c>
      <c r="W322" s="64">
        <f>DATEVALUE(tblWorkPackages[[#This Row],[Request date]])</f>
        <v>45478.0</v>
      </c>
      <c r="X322" s="64">
        <f>DATEVALUE(tblWorkPackages[[#This Row],[Due date]])</f>
        <v>45491.0</v>
      </c>
      <c r="Y322" s="64">
        <f>DATEVALUE(tblWorkPackages[[#This Row],[Completion date]])</f>
        <v>45483.0</v>
      </c>
      <c r="Z322" s="64">
        <f>_xlfn.MINIFS(tblLaborEntries[Work date serial],tblLaborEntries[Work package ID],tblWorkPackages[[#This Row],[Work package ID]])</f>
        <v>45482.0</v>
      </c>
      <c r="AA322" s="64">
        <f>_xlfn.MAXIFS(tblLaborEntries[Work date serial],tblLaborEntries[Work package ID],tblWorkPackages[[#This Row],[Work package ID]])</f>
        <v>45483.0</v>
      </c>
      <c r="AB322" s="65">
        <f>IF(tblWorkPackages[[#This Row],[Completion date serial]]&gt;tblWorkPackages[[#This Row],[Due date serial]],1,0)</f>
        <v>0</v>
      </c>
      <c r="AC322" s="65">
        <f>MAX(0,tblWorkPackages[[#This Row],[Completion date serial]]-tblWorkPackages[[#This Row],[Due date serial]])</f>
        <v>0</v>
      </c>
      <c r="AD322" s="65">
        <f>tblWorkPackages[[#This Row],[First labor date]]-tblWorkPackages[[#This Row],[Request date serial]]</f>
        <v>4</v>
      </c>
      <c r="AE322" s="65">
        <f>tblWorkPackages[[#This Row],[Last labor date]]-tblWorkPackages[[#This Row],[First labor date]]</f>
        <v>1</v>
      </c>
      <c r="AF322" s="65">
        <f>tblWorkPackages[[#This Row],[Completion date serial]]-tblWorkPackages[[#This Row],[Last labor date]]</f>
        <v>0</v>
      </c>
      <c r="AG322" s="65">
        <f>tblWorkPackages[[#This Row],[Completion date serial]]-tblWorkPackages[[#This Row],[Request date serial]]</f>
        <v>5</v>
      </c>
      <c r="AH322" s="65">
        <f>IFERROR(INDEX(tblParts[Delay days],MATCH(tblWorkPackages[[#This Row],[Work package ID]],tblParts[Work package ID],0)),0)</f>
        <v>0</v>
      </c>
      <c r="AI322" s="51" t="str">
        <f>IFERROR(INDEX(tblDisruptions[Event type],MATCH(tblWorkPackages[[#This Row],[Work package ID]],tblDisruptions[Work package ID],0)),"None")</f>
        <v>None</v>
      </c>
      <c r="AJ322" s="51" t="str">
        <f>TEXT(tblWorkPackages[[#This Row],[Due date serial]],"yyyy-mm")</f>
        <v>2024-07</v>
      </c>
    </row>
    <row r="323" spans="1:36" ht="15" x14ac:dyDescent="0.25">
      <c r="A323" s="53" t="s">
        <v>1025</v>
      </c>
      <c r="B323" s="53" t="s">
        <v>133</v>
      </c>
      <c r="C323" s="53" t="s">
        <v>347</v>
      </c>
      <c r="D323" s="53" t="s">
        <v>1026</v>
      </c>
      <c r="E323" s="53" t="s">
        <v>136</v>
      </c>
      <c r="F323" s="53" t="s">
        <v>137</v>
      </c>
      <c r="G323" s="53" t="s">
        <v>138</v>
      </c>
      <c r="H323" s="53">
        <v>3</v>
      </c>
      <c r="I323" s="53" t="s">
        <v>130</v>
      </c>
      <c r="J323" s="53">
        <v>0</v>
      </c>
      <c r="K323" s="53">
        <v>1</v>
      </c>
      <c r="L323" s="53">
        <v>20.6</v>
      </c>
      <c r="M323" s="53" t="s">
        <v>320</v>
      </c>
      <c r="N323" s="53">
        <v>16.5</v>
      </c>
      <c r="O323" s="51" t="str">
        <f>TEXT(tblWorkPackages[[#This Row],[Request date serial]]-WEEKDAY(tblWorkPackages[[#This Row],[Request date serial]],3),"yyyy-mm-dd")</f>
        <v>2024-03-04</v>
      </c>
      <c r="P323" s="51">
        <f>ABS(tblWorkPackages[[#This Row],[Actual labor hours]]-tblWorkPackages[[#This Row],[Estimated labor hours]])</f>
        <v>4.1</v>
      </c>
      <c r="Q323" s="51">
        <f>IF(tblWorkPackages[[#This Row],[Actual labor hours]]&gt;tblWorkPackages[[#This Row],[Estimated labor hours]],1,0)</f>
        <v>0</v>
      </c>
      <c r="R323" s="51">
        <f>tblWorkPackages[[#This Row],[Actual labor hours]]-tblWorkPackages[[#This Row],[Estimated labor hours]]</f>
        <v>-4.1</v>
      </c>
      <c r="S323" s="51" t="str">
        <f>IF(tblWorkPackages[[#This Row],[Request date serial]]&lt;ValidationStart,"Train 2024",IF(tblWorkPackages[[#This Row],[Request date serial]]&lt;HoldoutStart,"Validation H1","Holdout H2"))</f>
        <v>Train 2024</v>
      </c>
      <c r="T323" s="51" t="str">
        <f>IF(tblWorkPackages[[#This Row],[Time split]]="Train 2024","",tblWorkPackages[[#This Row],[Estimated labor hours]]+VLOOKUP(tblWorkPackages[[#This Row],[Task type]],'Forecast validation'!$A$14:$E$25,IF(tblWorkPackages[[#This Row],[Time split]]="Validation H1",4,5),FALSE()))</f>
        <v/>
      </c>
      <c r="U323" s="51" t="str">
        <f>IF(tblWorkPackages[[#This Row],[Calibrated forecast hours]]="","",ABS(tblWorkPackages[[#This Row],[Actual labor hours]]-tblWorkPackages[[#This Row],[Calibrated forecast hours]]))</f>
        <v/>
      </c>
      <c r="V323" s="51">
        <f>IF(tblWorkPackages[[#This Row],[Time split]]="Train 2024",tblWorkPackages[[#This Row],[Estimated labor hours]],tblWorkPackages[[#This Row],[Calibrated forecast hours]])</f>
        <v>20.6</v>
      </c>
      <c r="W323" s="64">
        <f>DATEVALUE(tblWorkPackages[[#This Row],[Request date]])</f>
        <v>45358.0</v>
      </c>
      <c r="X323" s="64">
        <f>DATEVALUE(tblWorkPackages[[#This Row],[Due date]])</f>
        <v>45371.0</v>
      </c>
      <c r="Y323" s="64">
        <f>DATEVALUE(tblWorkPackages[[#This Row],[Completion date]])</f>
        <v>45360.0</v>
      </c>
      <c r="Z323" s="64">
        <f>_xlfn.MINIFS(tblLaborEntries[Work date serial],tblLaborEntries[Work package ID],tblWorkPackages[[#This Row],[Work package ID]])</f>
        <v>45359.0</v>
      </c>
      <c r="AA323" s="64">
        <f>_xlfn.MAXIFS(tblLaborEntries[Work date serial],tblLaborEntries[Work package ID],tblWorkPackages[[#This Row],[Work package ID]])</f>
        <v>45359.0</v>
      </c>
      <c r="AB323" s="65">
        <f>IF(tblWorkPackages[[#This Row],[Completion date serial]]&gt;tblWorkPackages[[#This Row],[Due date serial]],1,0)</f>
        <v>0</v>
      </c>
      <c r="AC323" s="65">
        <f>MAX(0,tblWorkPackages[[#This Row],[Completion date serial]]-tblWorkPackages[[#This Row],[Due date serial]])</f>
        <v>0</v>
      </c>
      <c r="AD323" s="65">
        <f>tblWorkPackages[[#This Row],[First labor date]]-tblWorkPackages[[#This Row],[Request date serial]]</f>
        <v>1</v>
      </c>
      <c r="AE323" s="65">
        <f>tblWorkPackages[[#This Row],[Last labor date]]-tblWorkPackages[[#This Row],[First labor date]]</f>
        <v>0</v>
      </c>
      <c r="AF323" s="65">
        <f>tblWorkPackages[[#This Row],[Completion date serial]]-tblWorkPackages[[#This Row],[Last labor date]]</f>
        <v>1</v>
      </c>
      <c r="AG323" s="65">
        <f>tblWorkPackages[[#This Row],[Completion date serial]]-tblWorkPackages[[#This Row],[Request date serial]]</f>
        <v>2</v>
      </c>
      <c r="AH323" s="65">
        <f>IFERROR(INDEX(tblParts[Delay days],MATCH(tblWorkPackages[[#This Row],[Work package ID]],tblParts[Work package ID],0)),0)</f>
        <v>0</v>
      </c>
      <c r="AI323" s="51" t="str">
        <f>IFERROR(INDEX(tblDisruptions[Event type],MATCH(tblWorkPackages[[#This Row],[Work package ID]],tblDisruptions[Work package ID],0)),"None")</f>
        <v>None</v>
      </c>
      <c r="AJ323" s="51" t="str">
        <f>TEXT(tblWorkPackages[[#This Row],[Due date serial]],"yyyy-mm")</f>
        <v>2024-03</v>
      </c>
    </row>
    <row r="324" spans="1:36" ht="15" x14ac:dyDescent="0.25">
      <c r="A324" s="53" t="s">
        <v>1027</v>
      </c>
      <c r="B324" s="53" t="s">
        <v>173</v>
      </c>
      <c r="C324" s="53" t="s">
        <v>481</v>
      </c>
      <c r="D324" s="53" t="s">
        <v>1028</v>
      </c>
      <c r="E324" s="53" t="s">
        <v>127</v>
      </c>
      <c r="F324" s="53" t="s">
        <v>128</v>
      </c>
      <c r="G324" s="53" t="s">
        <v>129</v>
      </c>
      <c r="H324" s="53">
        <v>2</v>
      </c>
      <c r="I324" s="53" t="s">
        <v>130</v>
      </c>
      <c r="J324" s="53">
        <v>0</v>
      </c>
      <c r="K324" s="53">
        <v>0</v>
      </c>
      <c r="L324" s="53">
        <v>6.1</v>
      </c>
      <c r="M324" s="53" t="s">
        <v>1028</v>
      </c>
      <c r="N324" s="53">
        <v>8.4</v>
      </c>
      <c r="O324" s="51" t="str">
        <f>TEXT(tblWorkPackages[[#This Row],[Request date serial]]-WEEKDAY(tblWorkPackages[[#This Row],[Request date serial]],3),"yyyy-mm-dd")</f>
        <v>2025-11-03</v>
      </c>
      <c r="P324" s="51">
        <f>ABS(tblWorkPackages[[#This Row],[Actual labor hours]]-tblWorkPackages[[#This Row],[Estimated labor hours]])</f>
        <v>2.3</v>
      </c>
      <c r="Q324" s="51">
        <f>IF(tblWorkPackages[[#This Row],[Actual labor hours]]&gt;tblWorkPackages[[#This Row],[Estimated labor hours]],1,0)</f>
        <v>1</v>
      </c>
      <c r="R324" s="51">
        <f>tblWorkPackages[[#This Row],[Actual labor hours]]-tblWorkPackages[[#This Row],[Estimated labor hours]]</f>
        <v>2.3</v>
      </c>
      <c r="S324" s="51" t="str">
        <f>IF(tblWorkPackages[[#This Row],[Request date serial]]&lt;ValidationStart,"Train 2024",IF(tblWorkPackages[[#This Row],[Request date serial]]&lt;HoldoutStart,"Validation H1","Holdout H2"))</f>
        <v>Holdout H2</v>
      </c>
      <c r="T324" s="51">
        <f>IF(tblWorkPackages[[#This Row],[Time split]]="Train 2024","",tblWorkPackages[[#This Row],[Estimated labor hours]]+VLOOKUP(tblWorkPackages[[#This Row],[Task type]],'Forecast validation'!$A$14:$E$25,IF(tblWorkPackages[[#This Row],[Time split]]="Validation H1",4,5),FALSE()))</f>
        <v>6.64341085271318</v>
      </c>
      <c r="U324" s="51">
        <f>IF(tblWorkPackages[[#This Row],[Calibrated forecast hours]]="","",ABS(tblWorkPackages[[#This Row],[Actual labor hours]]-tblWorkPackages[[#This Row],[Calibrated forecast hours]]))</f>
        <v>1.75658914728682</v>
      </c>
      <c r="V324" s="51">
        <f>IF(tblWorkPackages[[#This Row],[Time split]]="Train 2024",tblWorkPackages[[#This Row],[Estimated labor hours]],tblWorkPackages[[#This Row],[Calibrated forecast hours]])</f>
        <v>6.64341085271318</v>
      </c>
      <c r="W324" s="64">
        <f>DATEVALUE(tblWorkPackages[[#This Row],[Request date]])</f>
        <v>45968.0</v>
      </c>
      <c r="X324" s="64">
        <f>DATEVALUE(tblWorkPackages[[#This Row],[Due date]])</f>
        <v>45981.0</v>
      </c>
      <c r="Y324" s="64">
        <f>DATEVALUE(tblWorkPackages[[#This Row],[Completion date]])</f>
        <v>45981.0</v>
      </c>
      <c r="Z324" s="64">
        <f>_xlfn.MINIFS(tblLaborEntries[Work date serial],tblLaborEntries[Work package ID],tblWorkPackages[[#This Row],[Work package ID]])</f>
        <v>45977.0</v>
      </c>
      <c r="AA324" s="64">
        <f>_xlfn.MAXIFS(tblLaborEntries[Work date serial],tblLaborEntries[Work package ID],tblWorkPackages[[#This Row],[Work package ID]])</f>
        <v>45979.0</v>
      </c>
      <c r="AB324" s="65">
        <f>IF(tblWorkPackages[[#This Row],[Completion date serial]]&gt;tblWorkPackages[[#This Row],[Due date serial]],1,0)</f>
        <v>0</v>
      </c>
      <c r="AC324" s="65">
        <f>MAX(0,tblWorkPackages[[#This Row],[Completion date serial]]-tblWorkPackages[[#This Row],[Due date serial]])</f>
        <v>0</v>
      </c>
      <c r="AD324" s="65">
        <f>tblWorkPackages[[#This Row],[First labor date]]-tblWorkPackages[[#This Row],[Request date serial]]</f>
        <v>9</v>
      </c>
      <c r="AE324" s="65">
        <f>tblWorkPackages[[#This Row],[Last labor date]]-tblWorkPackages[[#This Row],[First labor date]]</f>
        <v>2</v>
      </c>
      <c r="AF324" s="65">
        <f>tblWorkPackages[[#This Row],[Completion date serial]]-tblWorkPackages[[#This Row],[Last labor date]]</f>
        <v>2</v>
      </c>
      <c r="AG324" s="65">
        <f>tblWorkPackages[[#This Row],[Completion date serial]]-tblWorkPackages[[#This Row],[Request date serial]]</f>
        <v>13</v>
      </c>
      <c r="AH324" s="65">
        <f>IFERROR(INDEX(tblParts[Delay days],MATCH(tblWorkPackages[[#This Row],[Work package ID]],tblParts[Work package ID],0)),0)</f>
        <v>0</v>
      </c>
      <c r="AI324" s="51" t="str">
        <f>IFERROR(INDEX(tblDisruptions[Event type],MATCH(tblWorkPackages[[#This Row],[Work package ID]],tblDisruptions[Work package ID],0)),"None")</f>
        <v>Repeat inspection</v>
      </c>
      <c r="AJ324" s="51" t="str">
        <f>TEXT(tblWorkPackages[[#This Row],[Due date serial]],"yyyy-mm")</f>
        <v>2025-11</v>
      </c>
    </row>
    <row r="325" spans="1:36" ht="15" x14ac:dyDescent="0.25">
      <c r="A325" s="53" t="s">
        <v>1029</v>
      </c>
      <c r="B325" s="53" t="s">
        <v>230</v>
      </c>
      <c r="C325" s="53" t="s">
        <v>1030</v>
      </c>
      <c r="D325" s="53" t="s">
        <v>226</v>
      </c>
      <c r="E325" s="53" t="s">
        <v>200</v>
      </c>
      <c r="F325" s="53" t="s">
        <v>128</v>
      </c>
      <c r="G325" s="53" t="s">
        <v>129</v>
      </c>
      <c r="H325" s="53">
        <v>4</v>
      </c>
      <c r="I325" s="53" t="s">
        <v>130</v>
      </c>
      <c r="J325" s="53">
        <v>1</v>
      </c>
      <c r="K325" s="53">
        <v>1</v>
      </c>
      <c r="L325" s="53">
        <v>5.9</v>
      </c>
      <c r="M325" s="53" t="s">
        <v>796</v>
      </c>
      <c r="N325" s="53">
        <v>9.6</v>
      </c>
      <c r="O325" s="51" t="str">
        <f>TEXT(tblWorkPackages[[#This Row],[Request date serial]]-WEEKDAY(tblWorkPackages[[#This Row],[Request date serial]],3),"yyyy-mm-dd")</f>
        <v>2025-06-30</v>
      </c>
      <c r="P325" s="51">
        <f>ABS(tblWorkPackages[[#This Row],[Actual labor hours]]-tblWorkPackages[[#This Row],[Estimated labor hours]])</f>
        <v>3.7</v>
      </c>
      <c r="Q325" s="51">
        <f>IF(tblWorkPackages[[#This Row],[Actual labor hours]]&gt;tblWorkPackages[[#This Row],[Estimated labor hours]],1,0)</f>
        <v>1</v>
      </c>
      <c r="R325" s="51">
        <f>tblWorkPackages[[#This Row],[Actual labor hours]]-tblWorkPackages[[#This Row],[Estimated labor hours]]</f>
        <v>3.7</v>
      </c>
      <c r="S325" s="51" t="str">
        <f>IF(tblWorkPackages[[#This Row],[Request date serial]]&lt;ValidationStart,"Train 2024",IF(tblWorkPackages[[#This Row],[Request date serial]]&lt;HoldoutStart,"Validation H1","Holdout H2"))</f>
        <v>Holdout H2</v>
      </c>
      <c r="T325" s="51">
        <f>IF(tblWorkPackages[[#This Row],[Time split]]="Train 2024","",tblWorkPackages[[#This Row],[Estimated labor hours]]+VLOOKUP(tblWorkPackages[[#This Row],[Task type]],'Forecast validation'!$A$14:$E$25,IF(tblWorkPackages[[#This Row],[Time split]]="Validation H1",4,5),FALSE()))</f>
        <v>6.22893081761006</v>
      </c>
      <c r="U325" s="51">
        <f>IF(tblWorkPackages[[#This Row],[Calibrated forecast hours]]="","",ABS(tblWorkPackages[[#This Row],[Actual labor hours]]-tblWorkPackages[[#This Row],[Calibrated forecast hours]]))</f>
        <v>3.37106918238994</v>
      </c>
      <c r="V325" s="51">
        <f>IF(tblWorkPackages[[#This Row],[Time split]]="Train 2024",tblWorkPackages[[#This Row],[Estimated labor hours]],tblWorkPackages[[#This Row],[Calibrated forecast hours]])</f>
        <v>6.22893081761006</v>
      </c>
      <c r="W325" s="64">
        <f>DATEVALUE(tblWorkPackages[[#This Row],[Request date]])</f>
        <v>45844.0</v>
      </c>
      <c r="X325" s="64">
        <f>DATEVALUE(tblWorkPackages[[#This Row],[Due date]])</f>
        <v>45857.0</v>
      </c>
      <c r="Y325" s="64">
        <f>DATEVALUE(tblWorkPackages[[#This Row],[Completion date]])</f>
        <v>45850.0</v>
      </c>
      <c r="Z325" s="64">
        <f>_xlfn.MINIFS(tblLaborEntries[Work date serial],tblLaborEntries[Work package ID],tblWorkPackages[[#This Row],[Work package ID]])</f>
        <v>45846.0</v>
      </c>
      <c r="AA325" s="64">
        <f>_xlfn.MAXIFS(tblLaborEntries[Work date serial],tblLaborEntries[Work package ID],tblWorkPackages[[#This Row],[Work package ID]])</f>
        <v>45847.0</v>
      </c>
      <c r="AB325" s="65">
        <f>IF(tblWorkPackages[[#This Row],[Completion date serial]]&gt;tblWorkPackages[[#This Row],[Due date serial]],1,0)</f>
        <v>0</v>
      </c>
      <c r="AC325" s="65">
        <f>MAX(0,tblWorkPackages[[#This Row],[Completion date serial]]-tblWorkPackages[[#This Row],[Due date serial]])</f>
        <v>0</v>
      </c>
      <c r="AD325" s="65">
        <f>tblWorkPackages[[#This Row],[First labor date]]-tblWorkPackages[[#This Row],[Request date serial]]</f>
        <v>2</v>
      </c>
      <c r="AE325" s="65">
        <f>tblWorkPackages[[#This Row],[Last labor date]]-tblWorkPackages[[#This Row],[First labor date]]</f>
        <v>1</v>
      </c>
      <c r="AF325" s="65">
        <f>tblWorkPackages[[#This Row],[Completion date serial]]-tblWorkPackages[[#This Row],[Last labor date]]</f>
        <v>3</v>
      </c>
      <c r="AG325" s="65">
        <f>tblWorkPackages[[#This Row],[Completion date serial]]-tblWorkPackages[[#This Row],[Request date serial]]</f>
        <v>6</v>
      </c>
      <c r="AH325" s="65">
        <f>IFERROR(INDEX(tblParts[Delay days],MATCH(tblWorkPackages[[#This Row],[Work package ID]],tblParts[Work package ID],0)),0)</f>
        <v>0</v>
      </c>
      <c r="AI325" s="51" t="str">
        <f>IFERROR(INDEX(tblDisruptions[Event type],MATCH(tblWorkPackages[[#This Row],[Work package ID]],tblDisruptions[Work package ID],0)),"None")</f>
        <v>Repeat inspection</v>
      </c>
      <c r="AJ325" s="51" t="str">
        <f>TEXT(tblWorkPackages[[#This Row],[Due date serial]],"yyyy-mm")</f>
        <v>2025-07</v>
      </c>
    </row>
    <row r="326" spans="1:36" ht="15" x14ac:dyDescent="0.25">
      <c r="A326" s="53" t="s">
        <v>1031</v>
      </c>
      <c r="B326" s="53" t="s">
        <v>124</v>
      </c>
      <c r="C326" s="53" t="s">
        <v>552</v>
      </c>
      <c r="D326" s="53" t="s">
        <v>553</v>
      </c>
      <c r="E326" s="53" t="s">
        <v>200</v>
      </c>
      <c r="F326" s="53" t="s">
        <v>128</v>
      </c>
      <c r="G326" s="53" t="s">
        <v>129</v>
      </c>
      <c r="H326" s="53">
        <v>2</v>
      </c>
      <c r="I326" s="53" t="s">
        <v>130</v>
      </c>
      <c r="J326" s="53">
        <v>0</v>
      </c>
      <c r="K326" s="53">
        <v>0</v>
      </c>
      <c r="L326" s="53">
        <v>3.1</v>
      </c>
      <c r="M326" s="53" t="s">
        <v>263</v>
      </c>
      <c r="N326" s="53">
        <v>3.5</v>
      </c>
      <c r="O326" s="51" t="str">
        <f>TEXT(tblWorkPackages[[#This Row],[Request date serial]]-WEEKDAY(tblWorkPackages[[#This Row],[Request date serial]],3),"yyyy-mm-dd")</f>
        <v>2024-07-22</v>
      </c>
      <c r="P326" s="51">
        <f>ABS(tblWorkPackages[[#This Row],[Actual labor hours]]-tblWorkPackages[[#This Row],[Estimated labor hours]])</f>
        <v>0.4</v>
      </c>
      <c r="Q326" s="51">
        <f>IF(tblWorkPackages[[#This Row],[Actual labor hours]]&gt;tblWorkPackages[[#This Row],[Estimated labor hours]],1,0)</f>
        <v>1</v>
      </c>
      <c r="R326" s="51">
        <f>tblWorkPackages[[#This Row],[Actual labor hours]]-tblWorkPackages[[#This Row],[Estimated labor hours]]</f>
        <v>0.4</v>
      </c>
      <c r="S326" s="51" t="str">
        <f>IF(tblWorkPackages[[#This Row],[Request date serial]]&lt;ValidationStart,"Train 2024",IF(tblWorkPackages[[#This Row],[Request date serial]]&lt;HoldoutStart,"Validation H1","Holdout H2"))</f>
        <v>Train 2024</v>
      </c>
      <c r="T326" s="51" t="str">
        <f>IF(tblWorkPackages[[#This Row],[Time split]]="Train 2024","",tblWorkPackages[[#This Row],[Estimated labor hours]]+VLOOKUP(tblWorkPackages[[#This Row],[Task type]],'Forecast validation'!$A$14:$E$25,IF(tblWorkPackages[[#This Row],[Time split]]="Validation H1",4,5),FALSE()))</f>
        <v/>
      </c>
      <c r="U326" s="51" t="str">
        <f>IF(tblWorkPackages[[#This Row],[Calibrated forecast hours]]="","",ABS(tblWorkPackages[[#This Row],[Actual labor hours]]-tblWorkPackages[[#This Row],[Calibrated forecast hours]]))</f>
        <v/>
      </c>
      <c r="V326" s="51">
        <f>IF(tblWorkPackages[[#This Row],[Time split]]="Train 2024",tblWorkPackages[[#This Row],[Estimated labor hours]],tblWorkPackages[[#This Row],[Calibrated forecast hours]])</f>
        <v>3.1</v>
      </c>
      <c r="W326" s="64">
        <f>DATEVALUE(tblWorkPackages[[#This Row],[Request date]])</f>
        <v>45498.0</v>
      </c>
      <c r="X326" s="64">
        <f>DATEVALUE(tblWorkPackages[[#This Row],[Due date]])</f>
        <v>45511.0</v>
      </c>
      <c r="Y326" s="64">
        <f>DATEVALUE(tblWorkPackages[[#This Row],[Completion date]])</f>
        <v>45522.0</v>
      </c>
      <c r="Z326" s="64">
        <f>_xlfn.MINIFS(tblLaborEntries[Work date serial],tblLaborEntries[Work package ID],tblWorkPackages[[#This Row],[Work package ID]])</f>
        <v>45522.0</v>
      </c>
      <c r="AA326" s="64">
        <f>_xlfn.MAXIFS(tblLaborEntries[Work date serial],tblLaborEntries[Work package ID],tblWorkPackages[[#This Row],[Work package ID]])</f>
        <v>45522.0</v>
      </c>
      <c r="AB326" s="65">
        <f>IF(tblWorkPackages[[#This Row],[Completion date serial]]&gt;tblWorkPackages[[#This Row],[Due date serial]],1,0)</f>
        <v>1</v>
      </c>
      <c r="AC326" s="65">
        <f>MAX(0,tblWorkPackages[[#This Row],[Completion date serial]]-tblWorkPackages[[#This Row],[Due date serial]])</f>
        <v>11</v>
      </c>
      <c r="AD326" s="65">
        <f>tblWorkPackages[[#This Row],[First labor date]]-tblWorkPackages[[#This Row],[Request date serial]]</f>
        <v>24</v>
      </c>
      <c r="AE326" s="65">
        <f>tblWorkPackages[[#This Row],[Last labor date]]-tblWorkPackages[[#This Row],[First labor date]]</f>
        <v>0</v>
      </c>
      <c r="AF326" s="65">
        <f>tblWorkPackages[[#This Row],[Completion date serial]]-tblWorkPackages[[#This Row],[Last labor date]]</f>
        <v>0</v>
      </c>
      <c r="AG326" s="65">
        <f>tblWorkPackages[[#This Row],[Completion date serial]]-tblWorkPackages[[#This Row],[Request date serial]]</f>
        <v>24</v>
      </c>
      <c r="AH326" s="65">
        <f>IFERROR(INDEX(tblParts[Delay days],MATCH(tblWorkPackages[[#This Row],[Work package ID]],tblParts[Work package ID],0)),0)</f>
        <v>0</v>
      </c>
      <c r="AI326" s="51" t="str">
        <f>IFERROR(INDEX(tblDisruptions[Event type],MATCH(tblWorkPackages[[#This Row],[Work package ID]],tblDisruptions[Work package ID],0)),"None")</f>
        <v>None</v>
      </c>
      <c r="AJ326" s="51" t="str">
        <f>TEXT(tblWorkPackages[[#This Row],[Due date serial]],"yyyy-mm")</f>
        <v>2024-08</v>
      </c>
    </row>
    <row r="327" spans="1:36" ht="15" x14ac:dyDescent="0.25">
      <c r="A327" s="53" t="s">
        <v>1032</v>
      </c>
      <c r="B327" s="53" t="s">
        <v>157</v>
      </c>
      <c r="C327" s="53" t="s">
        <v>1033</v>
      </c>
      <c r="D327" s="53" t="s">
        <v>563</v>
      </c>
      <c r="E327" s="53" t="s">
        <v>144</v>
      </c>
      <c r="F327" s="53" t="s">
        <v>145</v>
      </c>
      <c r="G327" s="53" t="s">
        <v>146</v>
      </c>
      <c r="H327" s="53">
        <v>1</v>
      </c>
      <c r="I327" s="53" t="s">
        <v>147</v>
      </c>
      <c r="J327" s="53">
        <v>1</v>
      </c>
      <c r="K327" s="53">
        <v>0</v>
      </c>
      <c r="L327" s="53">
        <v>6.8</v>
      </c>
      <c r="M327" s="53" t="s">
        <v>865</v>
      </c>
      <c r="N327" s="53">
        <v>6.9</v>
      </c>
      <c r="O327" s="51" t="str">
        <f>TEXT(tblWorkPackages[[#This Row],[Request date serial]]-WEEKDAY(tblWorkPackages[[#This Row],[Request date serial]],3),"yyyy-mm-dd")</f>
        <v>2024-05-27</v>
      </c>
      <c r="P327" s="51">
        <f>ABS(tblWorkPackages[[#This Row],[Actual labor hours]]-tblWorkPackages[[#This Row],[Estimated labor hours]])</f>
        <v>0.100000000000001</v>
      </c>
      <c r="Q327" s="51">
        <f>IF(tblWorkPackages[[#This Row],[Actual labor hours]]&gt;tblWorkPackages[[#This Row],[Estimated labor hours]],1,0)</f>
        <v>1</v>
      </c>
      <c r="R327" s="51">
        <f>tblWorkPackages[[#This Row],[Actual labor hours]]-tblWorkPackages[[#This Row],[Estimated labor hours]]</f>
        <v>0.100000000000001</v>
      </c>
      <c r="S327" s="51" t="str">
        <f>IF(tblWorkPackages[[#This Row],[Request date serial]]&lt;ValidationStart,"Train 2024",IF(tblWorkPackages[[#This Row],[Request date serial]]&lt;HoldoutStart,"Validation H1","Holdout H2"))</f>
        <v>Train 2024</v>
      </c>
      <c r="T327" s="51" t="str">
        <f>IF(tblWorkPackages[[#This Row],[Time split]]="Train 2024","",tblWorkPackages[[#This Row],[Estimated labor hours]]+VLOOKUP(tblWorkPackages[[#This Row],[Task type]],'Forecast validation'!$A$14:$E$25,IF(tblWorkPackages[[#This Row],[Time split]]="Validation H1",4,5),FALSE()))</f>
        <v/>
      </c>
      <c r="U327" s="51" t="str">
        <f>IF(tblWorkPackages[[#This Row],[Calibrated forecast hours]]="","",ABS(tblWorkPackages[[#This Row],[Actual labor hours]]-tblWorkPackages[[#This Row],[Calibrated forecast hours]]))</f>
        <v/>
      </c>
      <c r="V327" s="51">
        <f>IF(tblWorkPackages[[#This Row],[Time split]]="Train 2024",tblWorkPackages[[#This Row],[Estimated labor hours]],tblWorkPackages[[#This Row],[Calibrated forecast hours]])</f>
        <v>6.8</v>
      </c>
      <c r="W327" s="64">
        <f>DATEVALUE(tblWorkPackages[[#This Row],[Request date]])</f>
        <v>45445.0</v>
      </c>
      <c r="X327" s="64">
        <f>DATEVALUE(tblWorkPackages[[#This Row],[Due date]])</f>
        <v>45447.0</v>
      </c>
      <c r="Y327" s="64">
        <f>DATEVALUE(tblWorkPackages[[#This Row],[Completion date]])</f>
        <v>45451.0</v>
      </c>
      <c r="Z327" s="64">
        <f>_xlfn.MINIFS(tblLaborEntries[Work date serial],tblLaborEntries[Work package ID],tblWorkPackages[[#This Row],[Work package ID]])</f>
        <v>45449.0</v>
      </c>
      <c r="AA327" s="64">
        <f>_xlfn.MAXIFS(tblLaborEntries[Work date serial],tblLaborEntries[Work package ID],tblWorkPackages[[#This Row],[Work package ID]])</f>
        <v>45450.0</v>
      </c>
      <c r="AB327" s="65">
        <f>IF(tblWorkPackages[[#This Row],[Completion date serial]]&gt;tblWorkPackages[[#This Row],[Due date serial]],1,0)</f>
        <v>1</v>
      </c>
      <c r="AC327" s="65">
        <f>MAX(0,tblWorkPackages[[#This Row],[Completion date serial]]-tblWorkPackages[[#This Row],[Due date serial]])</f>
        <v>4</v>
      </c>
      <c r="AD327" s="65">
        <f>tblWorkPackages[[#This Row],[First labor date]]-tblWorkPackages[[#This Row],[Request date serial]]</f>
        <v>4</v>
      </c>
      <c r="AE327" s="65">
        <f>tblWorkPackages[[#This Row],[Last labor date]]-tblWorkPackages[[#This Row],[First labor date]]</f>
        <v>1</v>
      </c>
      <c r="AF327" s="65">
        <f>tblWorkPackages[[#This Row],[Completion date serial]]-tblWorkPackages[[#This Row],[Last labor date]]</f>
        <v>1</v>
      </c>
      <c r="AG327" s="65">
        <f>tblWorkPackages[[#This Row],[Completion date serial]]-tblWorkPackages[[#This Row],[Request date serial]]</f>
        <v>6</v>
      </c>
      <c r="AH327" s="65">
        <f>IFERROR(INDEX(tblParts[Delay days],MATCH(tblWorkPackages[[#This Row],[Work package ID]],tblParts[Work package ID],0)),0)</f>
        <v>0</v>
      </c>
      <c r="AI327" s="51" t="str">
        <f>IFERROR(INDEX(tblDisruptions[Event type],MATCH(tblWorkPackages[[#This Row],[Work package ID]],tblDisruptions[Work package ID],0)),"None")</f>
        <v>None</v>
      </c>
      <c r="AJ327" s="51" t="str">
        <f>TEXT(tblWorkPackages[[#This Row],[Due date serial]],"yyyy-mm")</f>
        <v>2024-06</v>
      </c>
    </row>
    <row r="328" spans="1:36" ht="15" x14ac:dyDescent="0.25">
      <c r="A328" s="53" t="s">
        <v>1034</v>
      </c>
      <c r="B328" s="53" t="s">
        <v>163</v>
      </c>
      <c r="C328" s="53" t="s">
        <v>1035</v>
      </c>
      <c r="D328" s="53" t="s">
        <v>1036</v>
      </c>
      <c r="E328" s="53" t="s">
        <v>223</v>
      </c>
      <c r="F328" s="53" t="s">
        <v>182</v>
      </c>
      <c r="G328" s="53" t="s">
        <v>154</v>
      </c>
      <c r="H328" s="53">
        <v>3</v>
      </c>
      <c r="I328" s="53" t="s">
        <v>176</v>
      </c>
      <c r="J328" s="53">
        <v>0</v>
      </c>
      <c r="K328" s="53">
        <v>0</v>
      </c>
      <c r="L328" s="53">
        <v>17.100000000000001</v>
      </c>
      <c r="M328" s="53" t="s">
        <v>907</v>
      </c>
      <c r="N328" s="53">
        <v>20.5</v>
      </c>
      <c r="O328" s="51" t="str">
        <f>TEXT(tblWorkPackages[[#This Row],[Request date serial]]-WEEKDAY(tblWorkPackages[[#This Row],[Request date serial]],3),"yyyy-mm-dd")</f>
        <v>2025-06-02</v>
      </c>
      <c r="P328" s="51">
        <f>ABS(tblWorkPackages[[#This Row],[Actual labor hours]]-tblWorkPackages[[#This Row],[Estimated labor hours]])</f>
        <v>3.4</v>
      </c>
      <c r="Q328" s="51">
        <f>IF(tblWorkPackages[[#This Row],[Actual labor hours]]&gt;tblWorkPackages[[#This Row],[Estimated labor hours]],1,0)</f>
        <v>1</v>
      </c>
      <c r="R328" s="51">
        <f>tblWorkPackages[[#This Row],[Actual labor hours]]-tblWorkPackages[[#This Row],[Estimated labor hours]]</f>
        <v>3.4</v>
      </c>
      <c r="S328" s="51" t="str">
        <f>IF(tblWorkPackages[[#This Row],[Request date serial]]&lt;ValidationStart,"Train 2024",IF(tblWorkPackages[[#This Row],[Request date serial]]&lt;HoldoutStart,"Validation H1","Holdout H2"))</f>
        <v>Validation H1</v>
      </c>
      <c r="T328" s="51">
        <f>IF(tblWorkPackages[[#This Row],[Time split]]="Train 2024","",tblWorkPackages[[#This Row],[Estimated labor hours]]+VLOOKUP(tblWorkPackages[[#This Row],[Task type]],'Forecast validation'!$A$14:$E$25,IF(tblWorkPackages[[#This Row],[Time split]]="Validation H1",4,5),FALSE()))</f>
        <v>17.9824175824176</v>
      </c>
      <c r="U328" s="51">
        <f>IF(tblWorkPackages[[#This Row],[Calibrated forecast hours]]="","",ABS(tblWorkPackages[[#This Row],[Actual labor hours]]-tblWorkPackages[[#This Row],[Calibrated forecast hours]]))</f>
        <v>2.51758241758242</v>
      </c>
      <c r="V328" s="51">
        <f>IF(tblWorkPackages[[#This Row],[Time split]]="Train 2024",tblWorkPackages[[#This Row],[Estimated labor hours]],tblWorkPackages[[#This Row],[Calibrated forecast hours]])</f>
        <v>17.9824175824176</v>
      </c>
      <c r="W328" s="64">
        <f>DATEVALUE(tblWorkPackages[[#This Row],[Request date]])</f>
        <v>45811.0</v>
      </c>
      <c r="X328" s="64">
        <f>DATEVALUE(tblWorkPackages[[#This Row],[Due date]])</f>
        <v>45817.0</v>
      </c>
      <c r="Y328" s="64">
        <f>DATEVALUE(tblWorkPackages[[#This Row],[Completion date]])</f>
        <v>45816.0</v>
      </c>
      <c r="Z328" s="64">
        <f>_xlfn.MINIFS(tblLaborEntries[Work date serial],tblLaborEntries[Work package ID],tblWorkPackages[[#This Row],[Work package ID]])</f>
        <v>45812.0</v>
      </c>
      <c r="AA328" s="64">
        <f>_xlfn.MAXIFS(tblLaborEntries[Work date serial],tblLaborEntries[Work package ID],tblWorkPackages[[#This Row],[Work package ID]])</f>
        <v>45814.0</v>
      </c>
      <c r="AB328" s="65">
        <f>IF(tblWorkPackages[[#This Row],[Completion date serial]]&gt;tblWorkPackages[[#This Row],[Due date serial]],1,0)</f>
        <v>0</v>
      </c>
      <c r="AC328" s="65">
        <f>MAX(0,tblWorkPackages[[#This Row],[Completion date serial]]-tblWorkPackages[[#This Row],[Due date serial]])</f>
        <v>0</v>
      </c>
      <c r="AD328" s="65">
        <f>tblWorkPackages[[#This Row],[First labor date]]-tblWorkPackages[[#This Row],[Request date serial]]</f>
        <v>1</v>
      </c>
      <c r="AE328" s="65">
        <f>tblWorkPackages[[#This Row],[Last labor date]]-tblWorkPackages[[#This Row],[First labor date]]</f>
        <v>2</v>
      </c>
      <c r="AF328" s="65">
        <f>tblWorkPackages[[#This Row],[Completion date serial]]-tblWorkPackages[[#This Row],[Last labor date]]</f>
        <v>2</v>
      </c>
      <c r="AG328" s="65">
        <f>tblWorkPackages[[#This Row],[Completion date serial]]-tblWorkPackages[[#This Row],[Request date serial]]</f>
        <v>5</v>
      </c>
      <c r="AH328" s="65">
        <f>IFERROR(INDEX(tblParts[Delay days],MATCH(tblWorkPackages[[#This Row],[Work package ID]],tblParts[Work package ID],0)),0)</f>
        <v>0</v>
      </c>
      <c r="AI328" s="51" t="str">
        <f>IFERROR(INDEX(tblDisruptions[Event type],MATCH(tblWorkPackages[[#This Row],[Work package ID]],tblDisruptions[Work package ID],0)),"None")</f>
        <v>None</v>
      </c>
      <c r="AJ328" s="51" t="str">
        <f>TEXT(tblWorkPackages[[#This Row],[Due date serial]],"yyyy-mm")</f>
        <v>2025-06</v>
      </c>
    </row>
    <row r="329" spans="1:36" ht="15" x14ac:dyDescent="0.25">
      <c r="A329" s="53" t="s">
        <v>1037</v>
      </c>
      <c r="B329" s="53" t="s">
        <v>150</v>
      </c>
      <c r="C329" s="53" t="s">
        <v>241</v>
      </c>
      <c r="D329" s="53" t="s">
        <v>1038</v>
      </c>
      <c r="E329" s="53" t="s">
        <v>127</v>
      </c>
      <c r="F329" s="53" t="s">
        <v>128</v>
      </c>
      <c r="G329" s="53" t="s">
        <v>129</v>
      </c>
      <c r="H329" s="53">
        <v>2</v>
      </c>
      <c r="I329" s="53" t="s">
        <v>176</v>
      </c>
      <c r="J329" s="53">
        <v>0</v>
      </c>
      <c r="K329" s="53">
        <v>0</v>
      </c>
      <c r="L329" s="53">
        <v>6.7</v>
      </c>
      <c r="M329" s="53" t="s">
        <v>256</v>
      </c>
      <c r="N329" s="53">
        <v>7.5</v>
      </c>
      <c r="O329" s="51" t="str">
        <f>TEXT(tblWorkPackages[[#This Row],[Request date serial]]-WEEKDAY(tblWorkPackages[[#This Row],[Request date serial]],3),"yyyy-mm-dd")</f>
        <v>2024-11-18</v>
      </c>
      <c r="P329" s="51">
        <f>ABS(tblWorkPackages[[#This Row],[Actual labor hours]]-tblWorkPackages[[#This Row],[Estimated labor hours]])</f>
        <v>0.8</v>
      </c>
      <c r="Q329" s="51">
        <f>IF(tblWorkPackages[[#This Row],[Actual labor hours]]&gt;tblWorkPackages[[#This Row],[Estimated labor hours]],1,0)</f>
        <v>1</v>
      </c>
      <c r="R329" s="51">
        <f>tblWorkPackages[[#This Row],[Actual labor hours]]-tblWorkPackages[[#This Row],[Estimated labor hours]]</f>
        <v>0.8</v>
      </c>
      <c r="S329" s="51" t="str">
        <f>IF(tblWorkPackages[[#This Row],[Request date serial]]&lt;ValidationStart,"Train 2024",IF(tblWorkPackages[[#This Row],[Request date serial]]&lt;HoldoutStart,"Validation H1","Holdout H2"))</f>
        <v>Train 2024</v>
      </c>
      <c r="T329" s="51" t="str">
        <f>IF(tblWorkPackages[[#This Row],[Time split]]="Train 2024","",tblWorkPackages[[#This Row],[Estimated labor hours]]+VLOOKUP(tblWorkPackages[[#This Row],[Task type]],'Forecast validation'!$A$14:$E$25,IF(tblWorkPackages[[#This Row],[Time split]]="Validation H1",4,5),FALSE()))</f>
        <v/>
      </c>
      <c r="U329" s="51" t="str">
        <f>IF(tblWorkPackages[[#This Row],[Calibrated forecast hours]]="","",ABS(tblWorkPackages[[#This Row],[Actual labor hours]]-tblWorkPackages[[#This Row],[Calibrated forecast hours]]))</f>
        <v/>
      </c>
      <c r="V329" s="51">
        <f>IF(tblWorkPackages[[#This Row],[Time split]]="Train 2024",tblWorkPackages[[#This Row],[Estimated labor hours]],tblWorkPackages[[#This Row],[Calibrated forecast hours]])</f>
        <v>6.7</v>
      </c>
      <c r="W329" s="64">
        <f>DATEVALUE(tblWorkPackages[[#This Row],[Request date]])</f>
        <v>45617.0</v>
      </c>
      <c r="X329" s="64">
        <f>DATEVALUE(tblWorkPackages[[#This Row],[Due date]])</f>
        <v>45623.0</v>
      </c>
      <c r="Y329" s="64">
        <f>DATEVALUE(tblWorkPackages[[#This Row],[Completion date]])</f>
        <v>45634.0</v>
      </c>
      <c r="Z329" s="64">
        <f>_xlfn.MINIFS(tblLaborEntries[Work date serial],tblLaborEntries[Work package ID],tblWorkPackages[[#This Row],[Work package ID]])</f>
        <v>45629.0</v>
      </c>
      <c r="AA329" s="64">
        <f>_xlfn.MAXIFS(tblLaborEntries[Work date serial],tblLaborEntries[Work package ID],tblWorkPackages[[#This Row],[Work package ID]])</f>
        <v>45631.0</v>
      </c>
      <c r="AB329" s="65">
        <f>IF(tblWorkPackages[[#This Row],[Completion date serial]]&gt;tblWorkPackages[[#This Row],[Due date serial]],1,0)</f>
        <v>1</v>
      </c>
      <c r="AC329" s="65">
        <f>MAX(0,tblWorkPackages[[#This Row],[Completion date serial]]-tblWorkPackages[[#This Row],[Due date serial]])</f>
        <v>11</v>
      </c>
      <c r="AD329" s="65">
        <f>tblWorkPackages[[#This Row],[First labor date]]-tblWorkPackages[[#This Row],[Request date serial]]</f>
        <v>12</v>
      </c>
      <c r="AE329" s="65">
        <f>tblWorkPackages[[#This Row],[Last labor date]]-tblWorkPackages[[#This Row],[First labor date]]</f>
        <v>2</v>
      </c>
      <c r="AF329" s="65">
        <f>tblWorkPackages[[#This Row],[Completion date serial]]-tblWorkPackages[[#This Row],[Last labor date]]</f>
        <v>3</v>
      </c>
      <c r="AG329" s="65">
        <f>tblWorkPackages[[#This Row],[Completion date serial]]-tblWorkPackages[[#This Row],[Request date serial]]</f>
        <v>17</v>
      </c>
      <c r="AH329" s="65">
        <f>IFERROR(INDEX(tblParts[Delay days],MATCH(tblWorkPackages[[#This Row],[Work package ID]],tblParts[Work package ID],0)),0)</f>
        <v>0</v>
      </c>
      <c r="AI329" s="51" t="str">
        <f>IFERROR(INDEX(tblDisruptions[Event type],MATCH(tblWorkPackages[[#This Row],[Work package ID]],tblDisruptions[Work package ID],0)),"None")</f>
        <v>None</v>
      </c>
      <c r="AJ329" s="51" t="str">
        <f>TEXT(tblWorkPackages[[#This Row],[Due date serial]],"yyyy-mm")</f>
        <v>2024-11</v>
      </c>
    </row>
    <row r="330" spans="1:36" ht="15" x14ac:dyDescent="0.25">
      <c r="A330" s="53" t="s">
        <v>1039</v>
      </c>
      <c r="B330" s="53" t="s">
        <v>141</v>
      </c>
      <c r="C330" s="53" t="s">
        <v>668</v>
      </c>
      <c r="D330" s="53" t="s">
        <v>689</v>
      </c>
      <c r="E330" s="53" t="s">
        <v>242</v>
      </c>
      <c r="F330" s="53" t="s">
        <v>243</v>
      </c>
      <c r="G330" s="53" t="s">
        <v>129</v>
      </c>
      <c r="H330" s="53">
        <v>4</v>
      </c>
      <c r="I330" s="53" t="s">
        <v>176</v>
      </c>
      <c r="J330" s="53">
        <v>0</v>
      </c>
      <c r="K330" s="53">
        <v>1</v>
      </c>
      <c r="L330" s="53">
        <v>17.2</v>
      </c>
      <c r="M330" s="53" t="s">
        <v>609</v>
      </c>
      <c r="N330" s="53">
        <v>19</v>
      </c>
      <c r="O330" s="51" t="str">
        <f>TEXT(tblWorkPackages[[#This Row],[Request date serial]]-WEEKDAY(tblWorkPackages[[#This Row],[Request date serial]],3),"yyyy-mm-dd")</f>
        <v>2024-03-25</v>
      </c>
      <c r="P330" s="51">
        <f>ABS(tblWorkPackages[[#This Row],[Actual labor hours]]-tblWorkPackages[[#This Row],[Estimated labor hours]])</f>
        <v>1.8</v>
      </c>
      <c r="Q330" s="51">
        <f>IF(tblWorkPackages[[#This Row],[Actual labor hours]]&gt;tblWorkPackages[[#This Row],[Estimated labor hours]],1,0)</f>
        <v>1</v>
      </c>
      <c r="R330" s="51">
        <f>tblWorkPackages[[#This Row],[Actual labor hours]]-tblWorkPackages[[#This Row],[Estimated labor hours]]</f>
        <v>1.8</v>
      </c>
      <c r="S330" s="51" t="str">
        <f>IF(tblWorkPackages[[#This Row],[Request date serial]]&lt;ValidationStart,"Train 2024",IF(tblWorkPackages[[#This Row],[Request date serial]]&lt;HoldoutStart,"Validation H1","Holdout H2"))</f>
        <v>Train 2024</v>
      </c>
      <c r="T330" s="51" t="str">
        <f>IF(tblWorkPackages[[#This Row],[Time split]]="Train 2024","",tblWorkPackages[[#This Row],[Estimated labor hours]]+VLOOKUP(tblWorkPackages[[#This Row],[Task type]],'Forecast validation'!$A$14:$E$25,IF(tblWorkPackages[[#This Row],[Time split]]="Validation H1",4,5),FALSE()))</f>
        <v/>
      </c>
      <c r="U330" s="51" t="str">
        <f>IF(tblWorkPackages[[#This Row],[Calibrated forecast hours]]="","",ABS(tblWorkPackages[[#This Row],[Actual labor hours]]-tblWorkPackages[[#This Row],[Calibrated forecast hours]]))</f>
        <v/>
      </c>
      <c r="V330" s="51">
        <f>IF(tblWorkPackages[[#This Row],[Time split]]="Train 2024",tblWorkPackages[[#This Row],[Estimated labor hours]],tblWorkPackages[[#This Row],[Calibrated forecast hours]])</f>
        <v>17.2</v>
      </c>
      <c r="W330" s="64">
        <f>DATEVALUE(tblWorkPackages[[#This Row],[Request date]])</f>
        <v>45379.0</v>
      </c>
      <c r="X330" s="64">
        <f>DATEVALUE(tblWorkPackages[[#This Row],[Due date]])</f>
        <v>45385.0</v>
      </c>
      <c r="Y330" s="64">
        <f>DATEVALUE(tblWorkPackages[[#This Row],[Completion date]])</f>
        <v>45384.0</v>
      </c>
      <c r="Z330" s="64">
        <f>_xlfn.MINIFS(tblLaborEntries[Work date serial],tblLaborEntries[Work package ID],tblWorkPackages[[#This Row],[Work package ID]])</f>
        <v>45382.0</v>
      </c>
      <c r="AA330" s="64">
        <f>_xlfn.MAXIFS(tblLaborEntries[Work date serial],tblLaborEntries[Work package ID],tblWorkPackages[[#This Row],[Work package ID]])</f>
        <v>45384.0</v>
      </c>
      <c r="AB330" s="65">
        <f>IF(tblWorkPackages[[#This Row],[Completion date serial]]&gt;tblWorkPackages[[#This Row],[Due date serial]],1,0)</f>
        <v>0</v>
      </c>
      <c r="AC330" s="65">
        <f>MAX(0,tblWorkPackages[[#This Row],[Completion date serial]]-tblWorkPackages[[#This Row],[Due date serial]])</f>
        <v>0</v>
      </c>
      <c r="AD330" s="65">
        <f>tblWorkPackages[[#This Row],[First labor date]]-tblWorkPackages[[#This Row],[Request date serial]]</f>
        <v>3</v>
      </c>
      <c r="AE330" s="65">
        <f>tblWorkPackages[[#This Row],[Last labor date]]-tblWorkPackages[[#This Row],[First labor date]]</f>
        <v>2</v>
      </c>
      <c r="AF330" s="65">
        <f>tblWorkPackages[[#This Row],[Completion date serial]]-tblWorkPackages[[#This Row],[Last labor date]]</f>
        <v>0</v>
      </c>
      <c r="AG330" s="65">
        <f>tblWorkPackages[[#This Row],[Completion date serial]]-tblWorkPackages[[#This Row],[Request date serial]]</f>
        <v>5</v>
      </c>
      <c r="AH330" s="65">
        <f>IFERROR(INDEX(tblParts[Delay days],MATCH(tblWorkPackages[[#This Row],[Work package ID]],tblParts[Work package ID],0)),0)</f>
        <v>0</v>
      </c>
      <c r="AI330" s="51" t="str">
        <f>IFERROR(INDEX(tblDisruptions[Event type],MATCH(tblWorkPackages[[#This Row],[Work package ID]],tblDisruptions[Work package ID],0)),"None")</f>
        <v>None</v>
      </c>
      <c r="AJ330" s="51" t="str">
        <f>TEXT(tblWorkPackages[[#This Row],[Due date serial]],"yyyy-mm")</f>
        <v>2024-04</v>
      </c>
    </row>
    <row r="331" spans="1:36" ht="15" x14ac:dyDescent="0.25">
      <c r="A331" s="53" t="s">
        <v>1040</v>
      </c>
      <c r="B331" s="53" t="s">
        <v>150</v>
      </c>
      <c r="C331" s="53" t="s">
        <v>1041</v>
      </c>
      <c r="D331" s="53" t="s">
        <v>1042</v>
      </c>
      <c r="E331" s="53" t="s">
        <v>209</v>
      </c>
      <c r="F331" s="53" t="s">
        <v>145</v>
      </c>
      <c r="G331" s="53" t="s">
        <v>210</v>
      </c>
      <c r="H331" s="53">
        <v>2</v>
      </c>
      <c r="I331" s="53" t="s">
        <v>176</v>
      </c>
      <c r="J331" s="53">
        <v>1</v>
      </c>
      <c r="K331" s="53">
        <v>1</v>
      </c>
      <c r="L331" s="53">
        <v>20.7</v>
      </c>
      <c r="M331" s="53" t="s">
        <v>402</v>
      </c>
      <c r="N331" s="53">
        <v>28.6</v>
      </c>
      <c r="O331" s="51" t="str">
        <f>TEXT(tblWorkPackages[[#This Row],[Request date serial]]-WEEKDAY(tblWorkPackages[[#This Row],[Request date serial]],3),"yyyy-mm-dd")</f>
        <v>2024-08-05</v>
      </c>
      <c r="P331" s="51">
        <f>ABS(tblWorkPackages[[#This Row],[Actual labor hours]]-tblWorkPackages[[#This Row],[Estimated labor hours]])</f>
        <v>7.9</v>
      </c>
      <c r="Q331" s="51">
        <f>IF(tblWorkPackages[[#This Row],[Actual labor hours]]&gt;tblWorkPackages[[#This Row],[Estimated labor hours]],1,0)</f>
        <v>1</v>
      </c>
      <c r="R331" s="51">
        <f>tblWorkPackages[[#This Row],[Actual labor hours]]-tblWorkPackages[[#This Row],[Estimated labor hours]]</f>
        <v>7.9</v>
      </c>
      <c r="S331" s="51" t="str">
        <f>IF(tblWorkPackages[[#This Row],[Request date serial]]&lt;ValidationStart,"Train 2024",IF(tblWorkPackages[[#This Row],[Request date serial]]&lt;HoldoutStart,"Validation H1","Holdout H2"))</f>
        <v>Train 2024</v>
      </c>
      <c r="T331" s="51" t="str">
        <f>IF(tblWorkPackages[[#This Row],[Time split]]="Train 2024","",tblWorkPackages[[#This Row],[Estimated labor hours]]+VLOOKUP(tblWorkPackages[[#This Row],[Task type]],'Forecast validation'!$A$14:$E$25,IF(tblWorkPackages[[#This Row],[Time split]]="Validation H1",4,5),FALSE()))</f>
        <v/>
      </c>
      <c r="U331" s="51" t="str">
        <f>IF(tblWorkPackages[[#This Row],[Calibrated forecast hours]]="","",ABS(tblWorkPackages[[#This Row],[Actual labor hours]]-tblWorkPackages[[#This Row],[Calibrated forecast hours]]))</f>
        <v/>
      </c>
      <c r="V331" s="51">
        <f>IF(tblWorkPackages[[#This Row],[Time split]]="Train 2024",tblWorkPackages[[#This Row],[Estimated labor hours]],tblWorkPackages[[#This Row],[Calibrated forecast hours]])</f>
        <v>20.7</v>
      </c>
      <c r="W331" s="64">
        <f>DATEVALUE(tblWorkPackages[[#This Row],[Request date]])</f>
        <v>45512.0</v>
      </c>
      <c r="X331" s="64">
        <f>DATEVALUE(tblWorkPackages[[#This Row],[Due date]])</f>
        <v>45518.0</v>
      </c>
      <c r="Y331" s="64">
        <f>DATEVALUE(tblWorkPackages[[#This Row],[Completion date]])</f>
        <v>45561.0</v>
      </c>
      <c r="Z331" s="64">
        <f>_xlfn.MINIFS(tblLaborEntries[Work date serial],tblLaborEntries[Work package ID],tblWorkPackages[[#This Row],[Work package ID]])</f>
        <v>45559.0</v>
      </c>
      <c r="AA331" s="64">
        <f>_xlfn.MAXIFS(tblLaborEntries[Work date serial],tblLaborEntries[Work package ID],tblWorkPackages[[#This Row],[Work package ID]])</f>
        <v>45560.0</v>
      </c>
      <c r="AB331" s="65">
        <f>IF(tblWorkPackages[[#This Row],[Completion date serial]]&gt;tblWorkPackages[[#This Row],[Due date serial]],1,0)</f>
        <v>1</v>
      </c>
      <c r="AC331" s="65">
        <f>MAX(0,tblWorkPackages[[#This Row],[Completion date serial]]-tblWorkPackages[[#This Row],[Due date serial]])</f>
        <v>43</v>
      </c>
      <c r="AD331" s="65">
        <f>tblWorkPackages[[#This Row],[First labor date]]-tblWorkPackages[[#This Row],[Request date serial]]</f>
        <v>47</v>
      </c>
      <c r="AE331" s="65">
        <f>tblWorkPackages[[#This Row],[Last labor date]]-tblWorkPackages[[#This Row],[First labor date]]</f>
        <v>1</v>
      </c>
      <c r="AF331" s="65">
        <f>tblWorkPackages[[#This Row],[Completion date serial]]-tblWorkPackages[[#This Row],[Last labor date]]</f>
        <v>1</v>
      </c>
      <c r="AG331" s="65">
        <f>tblWorkPackages[[#This Row],[Completion date serial]]-tblWorkPackages[[#This Row],[Request date serial]]</f>
        <v>49</v>
      </c>
      <c r="AH331" s="65">
        <f>IFERROR(INDEX(tblParts[Delay days],MATCH(tblWorkPackages[[#This Row],[Work package ID]],tblParts[Work package ID],0)),0)</f>
        <v>10</v>
      </c>
      <c r="AI331" s="51" t="str">
        <f>IFERROR(INDEX(tblDisruptions[Event type],MATCH(tblWorkPackages[[#This Row],[Work package ID]],tblDisruptions[Work package ID],0)),"None")</f>
        <v>Part delay</v>
      </c>
      <c r="AJ331" s="51" t="str">
        <f>TEXT(tblWorkPackages[[#This Row],[Due date serial]],"yyyy-mm")</f>
        <v>2024-08</v>
      </c>
    </row>
    <row r="332" spans="1:36" ht="15" x14ac:dyDescent="0.25">
      <c r="A332" s="53" t="s">
        <v>1043</v>
      </c>
      <c r="B332" s="53" t="s">
        <v>150</v>
      </c>
      <c r="C332" s="53" t="s">
        <v>1035</v>
      </c>
      <c r="D332" s="53" t="s">
        <v>1036</v>
      </c>
      <c r="E332" s="53" t="s">
        <v>144</v>
      </c>
      <c r="F332" s="53" t="s">
        <v>145</v>
      </c>
      <c r="G332" s="53" t="s">
        <v>146</v>
      </c>
      <c r="H332" s="53">
        <v>4</v>
      </c>
      <c r="I332" s="53" t="s">
        <v>176</v>
      </c>
      <c r="J332" s="53">
        <v>0</v>
      </c>
      <c r="K332" s="53">
        <v>1</v>
      </c>
      <c r="L332" s="53">
        <v>21.5</v>
      </c>
      <c r="M332" s="53" t="s">
        <v>1044</v>
      </c>
      <c r="N332" s="53">
        <v>23.3</v>
      </c>
      <c r="O332" s="51" t="str">
        <f>TEXT(tblWorkPackages[[#This Row],[Request date serial]]-WEEKDAY(tblWorkPackages[[#This Row],[Request date serial]],3),"yyyy-mm-dd")</f>
        <v>2025-06-02</v>
      </c>
      <c r="P332" s="51">
        <f>ABS(tblWorkPackages[[#This Row],[Actual labor hours]]-tblWorkPackages[[#This Row],[Estimated labor hours]])</f>
        <v>1.8</v>
      </c>
      <c r="Q332" s="51">
        <f>IF(tblWorkPackages[[#This Row],[Actual labor hours]]&gt;tblWorkPackages[[#This Row],[Estimated labor hours]],1,0)</f>
        <v>1</v>
      </c>
      <c r="R332" s="51">
        <f>tblWorkPackages[[#This Row],[Actual labor hours]]-tblWorkPackages[[#This Row],[Estimated labor hours]]</f>
        <v>1.8</v>
      </c>
      <c r="S332" s="51" t="str">
        <f>IF(tblWorkPackages[[#This Row],[Request date serial]]&lt;ValidationStart,"Train 2024",IF(tblWorkPackages[[#This Row],[Request date serial]]&lt;HoldoutStart,"Validation H1","Holdout H2"))</f>
        <v>Validation H1</v>
      </c>
      <c r="T332" s="51">
        <f>IF(tblWorkPackages[[#This Row],[Time split]]="Train 2024","",tblWorkPackages[[#This Row],[Estimated labor hours]]+VLOOKUP(tblWorkPackages[[#This Row],[Task type]],'Forecast validation'!$A$14:$E$25,IF(tblWorkPackages[[#This Row],[Time split]]="Validation H1",4,5),FALSE()))</f>
        <v>22.2547368421053</v>
      </c>
      <c r="U332" s="51">
        <f>IF(tblWorkPackages[[#This Row],[Calibrated forecast hours]]="","",ABS(tblWorkPackages[[#This Row],[Actual labor hours]]-tblWorkPackages[[#This Row],[Calibrated forecast hours]]))</f>
        <v>1.04526315789474</v>
      </c>
      <c r="V332" s="51">
        <f>IF(tblWorkPackages[[#This Row],[Time split]]="Train 2024",tblWorkPackages[[#This Row],[Estimated labor hours]],tblWorkPackages[[#This Row],[Calibrated forecast hours]])</f>
        <v>22.2547368421053</v>
      </c>
      <c r="W332" s="64">
        <f>DATEVALUE(tblWorkPackages[[#This Row],[Request date]])</f>
        <v>45811.0</v>
      </c>
      <c r="X332" s="64">
        <f>DATEVALUE(tblWorkPackages[[#This Row],[Due date]])</f>
        <v>45817.0</v>
      </c>
      <c r="Y332" s="64">
        <f>DATEVALUE(tblWorkPackages[[#This Row],[Completion date]])</f>
        <v>45822.0</v>
      </c>
      <c r="Z332" s="64">
        <f>_xlfn.MINIFS(tblLaborEntries[Work date serial],tblLaborEntries[Work package ID],tblWorkPackages[[#This Row],[Work package ID]])</f>
        <v>45818.0</v>
      </c>
      <c r="AA332" s="64">
        <f>_xlfn.MAXIFS(tblLaborEntries[Work date serial],tblLaborEntries[Work package ID],tblWorkPackages[[#This Row],[Work package ID]])</f>
        <v>45820.0</v>
      </c>
      <c r="AB332" s="65">
        <f>IF(tblWorkPackages[[#This Row],[Completion date serial]]&gt;tblWorkPackages[[#This Row],[Due date serial]],1,0)</f>
        <v>1</v>
      </c>
      <c r="AC332" s="65">
        <f>MAX(0,tblWorkPackages[[#This Row],[Completion date serial]]-tblWorkPackages[[#This Row],[Due date serial]])</f>
        <v>5</v>
      </c>
      <c r="AD332" s="65">
        <f>tblWorkPackages[[#This Row],[First labor date]]-tblWorkPackages[[#This Row],[Request date serial]]</f>
        <v>7</v>
      </c>
      <c r="AE332" s="65">
        <f>tblWorkPackages[[#This Row],[Last labor date]]-tblWorkPackages[[#This Row],[First labor date]]</f>
        <v>2</v>
      </c>
      <c r="AF332" s="65">
        <f>tblWorkPackages[[#This Row],[Completion date serial]]-tblWorkPackages[[#This Row],[Last labor date]]</f>
        <v>2</v>
      </c>
      <c r="AG332" s="65">
        <f>tblWorkPackages[[#This Row],[Completion date serial]]-tblWorkPackages[[#This Row],[Request date serial]]</f>
        <v>11</v>
      </c>
      <c r="AH332" s="65">
        <f>IFERROR(INDEX(tblParts[Delay days],MATCH(tblWorkPackages[[#This Row],[Work package ID]],tblParts[Work package ID],0)),0)</f>
        <v>0</v>
      </c>
      <c r="AI332" s="51" t="str">
        <f>IFERROR(INDEX(tblDisruptions[Event type],MATCH(tblWorkPackages[[#This Row],[Work package ID]],tblDisruptions[Work package ID],0)),"None")</f>
        <v>None</v>
      </c>
      <c r="AJ332" s="51" t="str">
        <f>TEXT(tblWorkPackages[[#This Row],[Due date serial]],"yyyy-mm")</f>
        <v>2025-06</v>
      </c>
    </row>
    <row r="333" spans="1:36" ht="15" x14ac:dyDescent="0.25">
      <c r="A333" s="53" t="s">
        <v>1045</v>
      </c>
      <c r="B333" s="53" t="s">
        <v>173</v>
      </c>
      <c r="C333" s="53" t="s">
        <v>244</v>
      </c>
      <c r="D333" s="53" t="s">
        <v>158</v>
      </c>
      <c r="E333" s="53" t="s">
        <v>160</v>
      </c>
      <c r="F333" s="53" t="s">
        <v>128</v>
      </c>
      <c r="G333" s="53" t="s">
        <v>138</v>
      </c>
      <c r="H333" s="53">
        <v>2</v>
      </c>
      <c r="I333" s="53" t="s">
        <v>130</v>
      </c>
      <c r="J333" s="53">
        <v>0</v>
      </c>
      <c r="K333" s="53">
        <v>0</v>
      </c>
      <c r="L333" s="53">
        <v>3.9</v>
      </c>
      <c r="M333" s="53" t="s">
        <v>824</v>
      </c>
      <c r="N333" s="53">
        <v>3.8</v>
      </c>
      <c r="O333" s="51" t="str">
        <f>TEXT(tblWorkPackages[[#This Row],[Request date serial]]-WEEKDAY(tblWorkPackages[[#This Row],[Request date serial]],3),"yyyy-mm-dd")</f>
        <v>2024-11-18</v>
      </c>
      <c r="P333" s="51">
        <f>ABS(tblWorkPackages[[#This Row],[Actual labor hours]]-tblWorkPackages[[#This Row],[Estimated labor hours]])</f>
        <v>0.1</v>
      </c>
      <c r="Q333" s="51">
        <f>IF(tblWorkPackages[[#This Row],[Actual labor hours]]&gt;tblWorkPackages[[#This Row],[Estimated labor hours]],1,0)</f>
        <v>0</v>
      </c>
      <c r="R333" s="51">
        <f>tblWorkPackages[[#This Row],[Actual labor hours]]-tblWorkPackages[[#This Row],[Estimated labor hours]]</f>
        <v>-0.1</v>
      </c>
      <c r="S333" s="51" t="str">
        <f>IF(tblWorkPackages[[#This Row],[Request date serial]]&lt;ValidationStart,"Train 2024",IF(tblWorkPackages[[#This Row],[Request date serial]]&lt;HoldoutStart,"Validation H1","Holdout H2"))</f>
        <v>Train 2024</v>
      </c>
      <c r="T333" s="51" t="str">
        <f>IF(tblWorkPackages[[#This Row],[Time split]]="Train 2024","",tblWorkPackages[[#This Row],[Estimated labor hours]]+VLOOKUP(tblWorkPackages[[#This Row],[Task type]],'Forecast validation'!$A$14:$E$25,IF(tblWorkPackages[[#This Row],[Time split]]="Validation H1",4,5),FALSE()))</f>
        <v/>
      </c>
      <c r="U333" s="51" t="str">
        <f>IF(tblWorkPackages[[#This Row],[Calibrated forecast hours]]="","",ABS(tblWorkPackages[[#This Row],[Actual labor hours]]-tblWorkPackages[[#This Row],[Calibrated forecast hours]]))</f>
        <v/>
      </c>
      <c r="V333" s="51">
        <f>IF(tblWorkPackages[[#This Row],[Time split]]="Train 2024",tblWorkPackages[[#This Row],[Estimated labor hours]],tblWorkPackages[[#This Row],[Calibrated forecast hours]])</f>
        <v>3.9</v>
      </c>
      <c r="W333" s="64">
        <f>DATEVALUE(tblWorkPackages[[#This Row],[Request date]])</f>
        <v>45614.0</v>
      </c>
      <c r="X333" s="64">
        <f>DATEVALUE(tblWorkPackages[[#This Row],[Due date]])</f>
        <v>45627.0</v>
      </c>
      <c r="Y333" s="64">
        <f>DATEVALUE(tblWorkPackages[[#This Row],[Completion date]])</f>
        <v>45620.0</v>
      </c>
      <c r="Z333" s="64">
        <f>_xlfn.MINIFS(tblLaborEntries[Work date serial],tblLaborEntries[Work package ID],tblWorkPackages[[#This Row],[Work package ID]])</f>
        <v>45616.0</v>
      </c>
      <c r="AA333" s="64">
        <f>_xlfn.MAXIFS(tblLaborEntries[Work date serial],tblLaborEntries[Work package ID],tblWorkPackages[[#This Row],[Work package ID]])</f>
        <v>45617.0</v>
      </c>
      <c r="AB333" s="65">
        <f>IF(tblWorkPackages[[#This Row],[Completion date serial]]&gt;tblWorkPackages[[#This Row],[Due date serial]],1,0)</f>
        <v>0</v>
      </c>
      <c r="AC333" s="65">
        <f>MAX(0,tblWorkPackages[[#This Row],[Completion date serial]]-tblWorkPackages[[#This Row],[Due date serial]])</f>
        <v>0</v>
      </c>
      <c r="AD333" s="65">
        <f>tblWorkPackages[[#This Row],[First labor date]]-tblWorkPackages[[#This Row],[Request date serial]]</f>
        <v>2</v>
      </c>
      <c r="AE333" s="65">
        <f>tblWorkPackages[[#This Row],[Last labor date]]-tblWorkPackages[[#This Row],[First labor date]]</f>
        <v>1</v>
      </c>
      <c r="AF333" s="65">
        <f>tblWorkPackages[[#This Row],[Completion date serial]]-tblWorkPackages[[#This Row],[Last labor date]]</f>
        <v>3</v>
      </c>
      <c r="AG333" s="65">
        <f>tblWorkPackages[[#This Row],[Completion date serial]]-tblWorkPackages[[#This Row],[Request date serial]]</f>
        <v>6</v>
      </c>
      <c r="AH333" s="65">
        <f>IFERROR(INDEX(tblParts[Delay days],MATCH(tblWorkPackages[[#This Row],[Work package ID]],tblParts[Work package ID],0)),0)</f>
        <v>0</v>
      </c>
      <c r="AI333" s="51" t="str">
        <f>IFERROR(INDEX(tblDisruptions[Event type],MATCH(tblWorkPackages[[#This Row],[Work package ID]],tblDisruptions[Work package ID],0)),"None")</f>
        <v>None</v>
      </c>
      <c r="AJ333" s="51" t="str">
        <f>TEXT(tblWorkPackages[[#This Row],[Due date serial]],"yyyy-mm")</f>
        <v>2024-12</v>
      </c>
    </row>
    <row r="334" spans="1:36" ht="15" x14ac:dyDescent="0.25">
      <c r="A334" s="53" t="s">
        <v>1046</v>
      </c>
      <c r="B334" s="53" t="s">
        <v>150</v>
      </c>
      <c r="C334" s="53" t="s">
        <v>449</v>
      </c>
      <c r="D334" s="53" t="s">
        <v>362</v>
      </c>
      <c r="E334" s="53" t="s">
        <v>127</v>
      </c>
      <c r="F334" s="53" t="s">
        <v>128</v>
      </c>
      <c r="G334" s="53" t="s">
        <v>129</v>
      </c>
      <c r="H334" s="53">
        <v>4</v>
      </c>
      <c r="I334" s="53" t="s">
        <v>130</v>
      </c>
      <c r="J334" s="53">
        <v>1</v>
      </c>
      <c r="K334" s="53">
        <v>0</v>
      </c>
      <c r="L334" s="53">
        <v>13.9</v>
      </c>
      <c r="M334" s="53" t="s">
        <v>390</v>
      </c>
      <c r="N334" s="53">
        <v>18.100000000000001</v>
      </c>
      <c r="O334" s="51" t="str">
        <f>TEXT(tblWorkPackages[[#This Row],[Request date serial]]-WEEKDAY(tblWorkPackages[[#This Row],[Request date serial]],3),"yyyy-mm-dd")</f>
        <v>2024-07-08</v>
      </c>
      <c r="P334" s="51">
        <f>ABS(tblWorkPackages[[#This Row],[Actual labor hours]]-tblWorkPackages[[#This Row],[Estimated labor hours]])</f>
        <v>4.2</v>
      </c>
      <c r="Q334" s="51">
        <f>IF(tblWorkPackages[[#This Row],[Actual labor hours]]&gt;tblWorkPackages[[#This Row],[Estimated labor hours]],1,0)</f>
        <v>1</v>
      </c>
      <c r="R334" s="51">
        <f>tblWorkPackages[[#This Row],[Actual labor hours]]-tblWorkPackages[[#This Row],[Estimated labor hours]]</f>
        <v>4.2</v>
      </c>
      <c r="S334" s="51" t="str">
        <f>IF(tblWorkPackages[[#This Row],[Request date serial]]&lt;ValidationStart,"Train 2024",IF(tblWorkPackages[[#This Row],[Request date serial]]&lt;HoldoutStart,"Validation H1","Holdout H2"))</f>
        <v>Train 2024</v>
      </c>
      <c r="T334" s="51" t="str">
        <f>IF(tblWorkPackages[[#This Row],[Time split]]="Train 2024","",tblWorkPackages[[#This Row],[Estimated labor hours]]+VLOOKUP(tblWorkPackages[[#This Row],[Task type]],'Forecast validation'!$A$14:$E$25,IF(tblWorkPackages[[#This Row],[Time split]]="Validation H1",4,5),FALSE()))</f>
        <v/>
      </c>
      <c r="U334" s="51" t="str">
        <f>IF(tblWorkPackages[[#This Row],[Calibrated forecast hours]]="","",ABS(tblWorkPackages[[#This Row],[Actual labor hours]]-tblWorkPackages[[#This Row],[Calibrated forecast hours]]))</f>
        <v/>
      </c>
      <c r="V334" s="51">
        <f>IF(tblWorkPackages[[#This Row],[Time split]]="Train 2024",tblWorkPackages[[#This Row],[Estimated labor hours]],tblWorkPackages[[#This Row],[Calibrated forecast hours]])</f>
        <v>13.9</v>
      </c>
      <c r="W334" s="64">
        <f>DATEVALUE(tblWorkPackages[[#This Row],[Request date]])</f>
        <v>45481.0</v>
      </c>
      <c r="X334" s="64">
        <f>DATEVALUE(tblWorkPackages[[#This Row],[Due date]])</f>
        <v>45494.0</v>
      </c>
      <c r="Y334" s="64">
        <f>DATEVALUE(tblWorkPackages[[#This Row],[Completion date]])</f>
        <v>45497.0</v>
      </c>
      <c r="Z334" s="64">
        <f>_xlfn.MINIFS(tblLaborEntries[Work date serial],tblLaborEntries[Work package ID],tblWorkPackages[[#This Row],[Work package ID]])</f>
        <v>45497.0</v>
      </c>
      <c r="AA334" s="64">
        <f>_xlfn.MAXIFS(tblLaborEntries[Work date serial],tblLaborEntries[Work package ID],tblWorkPackages[[#This Row],[Work package ID]])</f>
        <v>45497.0</v>
      </c>
      <c r="AB334" s="65">
        <f>IF(tblWorkPackages[[#This Row],[Completion date serial]]&gt;tblWorkPackages[[#This Row],[Due date serial]],1,0)</f>
        <v>1</v>
      </c>
      <c r="AC334" s="65">
        <f>MAX(0,tblWorkPackages[[#This Row],[Completion date serial]]-tblWorkPackages[[#This Row],[Due date serial]])</f>
        <v>3</v>
      </c>
      <c r="AD334" s="65">
        <f>tblWorkPackages[[#This Row],[First labor date]]-tblWorkPackages[[#This Row],[Request date serial]]</f>
        <v>16</v>
      </c>
      <c r="AE334" s="65">
        <f>tblWorkPackages[[#This Row],[Last labor date]]-tblWorkPackages[[#This Row],[First labor date]]</f>
        <v>0</v>
      </c>
      <c r="AF334" s="65">
        <f>tblWorkPackages[[#This Row],[Completion date serial]]-tblWorkPackages[[#This Row],[Last labor date]]</f>
        <v>0</v>
      </c>
      <c r="AG334" s="65">
        <f>tblWorkPackages[[#This Row],[Completion date serial]]-tblWorkPackages[[#This Row],[Request date serial]]</f>
        <v>16</v>
      </c>
      <c r="AH334" s="65">
        <f>IFERROR(INDEX(tblParts[Delay days],MATCH(tblWorkPackages[[#This Row],[Work package ID]],tblParts[Work package ID],0)),0)</f>
        <v>0</v>
      </c>
      <c r="AI334" s="51" t="str">
        <f>IFERROR(INDEX(tblDisruptions[Event type],MATCH(tblWorkPackages[[#This Row],[Work package ID]],tblDisruptions[Work package ID],0)),"None")</f>
        <v>None</v>
      </c>
      <c r="AJ334" s="51" t="str">
        <f>TEXT(tblWorkPackages[[#This Row],[Due date serial]],"yyyy-mm")</f>
        <v>2024-07</v>
      </c>
    </row>
    <row r="335" spans="1:36" ht="15" x14ac:dyDescent="0.25">
      <c r="A335" s="53" t="s">
        <v>1047</v>
      </c>
      <c r="B335" s="53" t="s">
        <v>230</v>
      </c>
      <c r="C335" s="53" t="s">
        <v>849</v>
      </c>
      <c r="D335" s="53" t="s">
        <v>357</v>
      </c>
      <c r="E335" s="53" t="s">
        <v>153</v>
      </c>
      <c r="F335" s="53" t="s">
        <v>128</v>
      </c>
      <c r="G335" s="53" t="s">
        <v>154</v>
      </c>
      <c r="H335" s="53">
        <v>2</v>
      </c>
      <c r="I335" s="53" t="s">
        <v>176</v>
      </c>
      <c r="J335" s="53">
        <v>0</v>
      </c>
      <c r="K335" s="53">
        <v>1</v>
      </c>
      <c r="L335" s="53">
        <v>9.4</v>
      </c>
      <c r="M335" s="53" t="s">
        <v>1048</v>
      </c>
      <c r="N335" s="53">
        <v>11.4</v>
      </c>
      <c r="O335" s="51" t="str">
        <f>TEXT(tblWorkPackages[[#This Row],[Request date serial]]-WEEKDAY(tblWorkPackages[[#This Row],[Request date serial]],3),"yyyy-mm-dd")</f>
        <v>2025-12-22</v>
      </c>
      <c r="P335" s="51">
        <f>ABS(tblWorkPackages[[#This Row],[Actual labor hours]]-tblWorkPackages[[#This Row],[Estimated labor hours]])</f>
        <v>2</v>
      </c>
      <c r="Q335" s="51">
        <f>IF(tblWorkPackages[[#This Row],[Actual labor hours]]&gt;tblWorkPackages[[#This Row],[Estimated labor hours]],1,0)</f>
        <v>1</v>
      </c>
      <c r="R335" s="51">
        <f>tblWorkPackages[[#This Row],[Actual labor hours]]-tblWorkPackages[[#This Row],[Estimated labor hours]]</f>
        <v>2</v>
      </c>
      <c r="S335" s="51" t="str">
        <f>IF(tblWorkPackages[[#This Row],[Request date serial]]&lt;ValidationStart,"Train 2024",IF(tblWorkPackages[[#This Row],[Request date serial]]&lt;HoldoutStart,"Validation H1","Holdout H2"))</f>
        <v>Holdout H2</v>
      </c>
      <c r="T335" s="51">
        <f>IF(tblWorkPackages[[#This Row],[Time split]]="Train 2024","",tblWorkPackages[[#This Row],[Estimated labor hours]]+VLOOKUP(tblWorkPackages[[#This Row],[Task type]],'Forecast validation'!$A$14:$E$25,IF(tblWorkPackages[[#This Row],[Time split]]="Validation H1",4,5),FALSE()))</f>
        <v>10.0026666666667</v>
      </c>
      <c r="U335" s="51">
        <f>IF(tblWorkPackages[[#This Row],[Calibrated forecast hours]]="","",ABS(tblWorkPackages[[#This Row],[Actual labor hours]]-tblWorkPackages[[#This Row],[Calibrated forecast hours]]))</f>
        <v>1.39733333333333</v>
      </c>
      <c r="V335" s="51">
        <f>IF(tblWorkPackages[[#This Row],[Time split]]="Train 2024",tblWorkPackages[[#This Row],[Estimated labor hours]],tblWorkPackages[[#This Row],[Calibrated forecast hours]])</f>
        <v>10.0026666666667</v>
      </c>
      <c r="W335" s="64">
        <f>DATEVALUE(tblWorkPackages[[#This Row],[Request date]])</f>
        <v>46019.0</v>
      </c>
      <c r="X335" s="64">
        <f>DATEVALUE(tblWorkPackages[[#This Row],[Due date]])</f>
        <v>46025.0</v>
      </c>
      <c r="Y335" s="64">
        <f>DATEVALUE(tblWorkPackages[[#This Row],[Completion date]])</f>
        <v>46024.0</v>
      </c>
      <c r="Z335" s="64">
        <f>_xlfn.MINIFS(tblLaborEntries[Work date serial],tblLaborEntries[Work package ID],tblWorkPackages[[#This Row],[Work package ID]])</f>
        <v>46023.0</v>
      </c>
      <c r="AA335" s="64">
        <f>_xlfn.MAXIFS(tblLaborEntries[Work date serial],tblLaborEntries[Work package ID],tblWorkPackages[[#This Row],[Work package ID]])</f>
        <v>46023.0</v>
      </c>
      <c r="AB335" s="65">
        <f>IF(tblWorkPackages[[#This Row],[Completion date serial]]&gt;tblWorkPackages[[#This Row],[Due date serial]],1,0)</f>
        <v>0</v>
      </c>
      <c r="AC335" s="65">
        <f>MAX(0,tblWorkPackages[[#This Row],[Completion date serial]]-tblWorkPackages[[#This Row],[Due date serial]])</f>
        <v>0</v>
      </c>
      <c r="AD335" s="65">
        <f>tblWorkPackages[[#This Row],[First labor date]]-tblWorkPackages[[#This Row],[Request date serial]]</f>
        <v>4</v>
      </c>
      <c r="AE335" s="65">
        <f>tblWorkPackages[[#This Row],[Last labor date]]-tblWorkPackages[[#This Row],[First labor date]]</f>
        <v>0</v>
      </c>
      <c r="AF335" s="65">
        <f>tblWorkPackages[[#This Row],[Completion date serial]]-tblWorkPackages[[#This Row],[Last labor date]]</f>
        <v>1</v>
      </c>
      <c r="AG335" s="65">
        <f>tblWorkPackages[[#This Row],[Completion date serial]]-tblWorkPackages[[#This Row],[Request date serial]]</f>
        <v>5</v>
      </c>
      <c r="AH335" s="65">
        <f>IFERROR(INDEX(tblParts[Delay days],MATCH(tblWorkPackages[[#This Row],[Work package ID]],tblParts[Work package ID],0)),0)</f>
        <v>0</v>
      </c>
      <c r="AI335" s="51" t="str">
        <f>IFERROR(INDEX(tblDisruptions[Event type],MATCH(tblWorkPackages[[#This Row],[Work package ID]],tblDisruptions[Work package ID],0)),"None")</f>
        <v>None</v>
      </c>
      <c r="AJ335" s="51" t="str">
        <f>TEXT(tblWorkPackages[[#This Row],[Due date serial]],"yyyy-mm")</f>
        <v>2026-01</v>
      </c>
    </row>
    <row r="336" spans="1:36" ht="15" x14ac:dyDescent="0.25">
      <c r="A336" s="53" t="s">
        <v>1049</v>
      </c>
      <c r="B336" s="53" t="s">
        <v>235</v>
      </c>
      <c r="C336" s="53" t="s">
        <v>851</v>
      </c>
      <c r="D336" s="53" t="s">
        <v>531</v>
      </c>
      <c r="E336" s="53" t="s">
        <v>127</v>
      </c>
      <c r="F336" s="53" t="s">
        <v>128</v>
      </c>
      <c r="G336" s="53" t="s">
        <v>129</v>
      </c>
      <c r="H336" s="53">
        <v>3</v>
      </c>
      <c r="I336" s="53" t="s">
        <v>130</v>
      </c>
      <c r="J336" s="53">
        <v>0</v>
      </c>
      <c r="K336" s="53">
        <v>0</v>
      </c>
      <c r="L336" s="53">
        <v>9.6</v>
      </c>
      <c r="M336" s="53" t="s">
        <v>323</v>
      </c>
      <c r="N336" s="53">
        <v>9.1</v>
      </c>
      <c r="O336" s="51" t="str">
        <f>TEXT(tblWorkPackages[[#This Row],[Request date serial]]-WEEKDAY(tblWorkPackages[[#This Row],[Request date serial]],3),"yyyy-mm-dd")</f>
        <v>2025-06-30</v>
      </c>
      <c r="P336" s="51">
        <f>ABS(tblWorkPackages[[#This Row],[Actual labor hours]]-tblWorkPackages[[#This Row],[Estimated labor hours]])</f>
        <v>0.5</v>
      </c>
      <c r="Q336" s="51">
        <f>IF(tblWorkPackages[[#This Row],[Actual labor hours]]&gt;tblWorkPackages[[#This Row],[Estimated labor hours]],1,0)</f>
        <v>0</v>
      </c>
      <c r="R336" s="51">
        <f>tblWorkPackages[[#This Row],[Actual labor hours]]-tblWorkPackages[[#This Row],[Estimated labor hours]]</f>
        <v>-0.5</v>
      </c>
      <c r="S336" s="51" t="str">
        <f>IF(tblWorkPackages[[#This Row],[Request date serial]]&lt;ValidationStart,"Train 2024",IF(tblWorkPackages[[#This Row],[Request date serial]]&lt;HoldoutStart,"Validation H1","Holdout H2"))</f>
        <v>Holdout H2</v>
      </c>
      <c r="T336" s="51">
        <f>IF(tblWorkPackages[[#This Row],[Time split]]="Train 2024","",tblWorkPackages[[#This Row],[Estimated labor hours]]+VLOOKUP(tblWorkPackages[[#This Row],[Task type]],'Forecast validation'!$A$14:$E$25,IF(tblWorkPackages[[#This Row],[Time split]]="Validation H1",4,5),FALSE()))</f>
        <v>10.1434108527132</v>
      </c>
      <c r="U336" s="51">
        <f>IF(tblWorkPackages[[#This Row],[Calibrated forecast hours]]="","",ABS(tblWorkPackages[[#This Row],[Actual labor hours]]-tblWorkPackages[[#This Row],[Calibrated forecast hours]]))</f>
        <v>1.04341085271318</v>
      </c>
      <c r="V336" s="51">
        <f>IF(tblWorkPackages[[#This Row],[Time split]]="Train 2024",tblWorkPackages[[#This Row],[Estimated labor hours]],tblWorkPackages[[#This Row],[Calibrated forecast hours]])</f>
        <v>10.1434108527132</v>
      </c>
      <c r="W336" s="64">
        <f>DATEVALUE(tblWorkPackages[[#This Row],[Request date]])</f>
        <v>45841.0</v>
      </c>
      <c r="X336" s="64">
        <f>DATEVALUE(tblWorkPackages[[#This Row],[Due date]])</f>
        <v>45854.0</v>
      </c>
      <c r="Y336" s="64">
        <f>DATEVALUE(tblWorkPackages[[#This Row],[Completion date]])</f>
        <v>45845.0</v>
      </c>
      <c r="Z336" s="64">
        <f>_xlfn.MINIFS(tblLaborEntries[Work date serial],tblLaborEntries[Work package ID],tblWorkPackages[[#This Row],[Work package ID]])</f>
        <v>45842.0</v>
      </c>
      <c r="AA336" s="64">
        <f>_xlfn.MAXIFS(tblLaborEntries[Work date serial],tblLaborEntries[Work package ID],tblWorkPackages[[#This Row],[Work package ID]])</f>
        <v>45843.0</v>
      </c>
      <c r="AB336" s="65">
        <f>IF(tblWorkPackages[[#This Row],[Completion date serial]]&gt;tblWorkPackages[[#This Row],[Due date serial]],1,0)</f>
        <v>0</v>
      </c>
      <c r="AC336" s="65">
        <f>MAX(0,tblWorkPackages[[#This Row],[Completion date serial]]-tblWorkPackages[[#This Row],[Due date serial]])</f>
        <v>0</v>
      </c>
      <c r="AD336" s="65">
        <f>tblWorkPackages[[#This Row],[First labor date]]-tblWorkPackages[[#This Row],[Request date serial]]</f>
        <v>1</v>
      </c>
      <c r="AE336" s="65">
        <f>tblWorkPackages[[#This Row],[Last labor date]]-tblWorkPackages[[#This Row],[First labor date]]</f>
        <v>1</v>
      </c>
      <c r="AF336" s="65">
        <f>tblWorkPackages[[#This Row],[Completion date serial]]-tblWorkPackages[[#This Row],[Last labor date]]</f>
        <v>2</v>
      </c>
      <c r="AG336" s="65">
        <f>tblWorkPackages[[#This Row],[Completion date serial]]-tblWorkPackages[[#This Row],[Request date serial]]</f>
        <v>4</v>
      </c>
      <c r="AH336" s="65">
        <f>IFERROR(INDEX(tblParts[Delay days],MATCH(tblWorkPackages[[#This Row],[Work package ID]],tblParts[Work package ID],0)),0)</f>
        <v>0</v>
      </c>
      <c r="AI336" s="51" t="str">
        <f>IFERROR(INDEX(tblDisruptions[Event type],MATCH(tblWorkPackages[[#This Row],[Work package ID]],tblDisruptions[Work package ID],0)),"None")</f>
        <v>None</v>
      </c>
      <c r="AJ336" s="51" t="str">
        <f>TEXT(tblWorkPackages[[#This Row],[Due date serial]],"yyyy-mm")</f>
        <v>2025-07</v>
      </c>
    </row>
    <row r="337" spans="1:36" ht="15" x14ac:dyDescent="0.25">
      <c r="A337" s="53" t="s">
        <v>1050</v>
      </c>
      <c r="B337" s="53" t="s">
        <v>287</v>
      </c>
      <c r="C337" s="53" t="s">
        <v>1051</v>
      </c>
      <c r="D337" s="53" t="s">
        <v>748</v>
      </c>
      <c r="E337" s="53" t="s">
        <v>144</v>
      </c>
      <c r="F337" s="53" t="s">
        <v>145</v>
      </c>
      <c r="G337" s="53" t="s">
        <v>146</v>
      </c>
      <c r="H337" s="53">
        <v>1</v>
      </c>
      <c r="I337" s="53" t="s">
        <v>130</v>
      </c>
      <c r="J337" s="53">
        <v>0</v>
      </c>
      <c r="K337" s="53">
        <v>1</v>
      </c>
      <c r="L337" s="53">
        <v>7.5</v>
      </c>
      <c r="M337" s="53" t="s">
        <v>489</v>
      </c>
      <c r="N337" s="53">
        <v>8.3000000000000007</v>
      </c>
      <c r="O337" s="51" t="str">
        <f>TEXT(tblWorkPackages[[#This Row],[Request date serial]]-WEEKDAY(tblWorkPackages[[#This Row],[Request date serial]],3),"yyyy-mm-dd")</f>
        <v>2024-01-29</v>
      </c>
      <c r="P337" s="51">
        <f>ABS(tblWorkPackages[[#This Row],[Actual labor hours]]-tblWorkPackages[[#This Row],[Estimated labor hours]])</f>
        <v>0.800000000000001</v>
      </c>
      <c r="Q337" s="51">
        <f>IF(tblWorkPackages[[#This Row],[Actual labor hours]]&gt;tblWorkPackages[[#This Row],[Estimated labor hours]],1,0)</f>
        <v>1</v>
      </c>
      <c r="R337" s="51">
        <f>tblWorkPackages[[#This Row],[Actual labor hours]]-tblWorkPackages[[#This Row],[Estimated labor hours]]</f>
        <v>0.800000000000001</v>
      </c>
      <c r="S337" s="51" t="str">
        <f>IF(tblWorkPackages[[#This Row],[Request date serial]]&lt;ValidationStart,"Train 2024",IF(tblWorkPackages[[#This Row],[Request date serial]]&lt;HoldoutStart,"Validation H1","Holdout H2"))</f>
        <v>Train 2024</v>
      </c>
      <c r="T337" s="51" t="str">
        <f>IF(tblWorkPackages[[#This Row],[Time split]]="Train 2024","",tblWorkPackages[[#This Row],[Estimated labor hours]]+VLOOKUP(tblWorkPackages[[#This Row],[Task type]],'Forecast validation'!$A$14:$E$25,IF(tblWorkPackages[[#This Row],[Time split]]="Validation H1",4,5),FALSE()))</f>
        <v/>
      </c>
      <c r="U337" s="51" t="str">
        <f>IF(tblWorkPackages[[#This Row],[Calibrated forecast hours]]="","",ABS(tblWorkPackages[[#This Row],[Actual labor hours]]-tblWorkPackages[[#This Row],[Calibrated forecast hours]]))</f>
        <v/>
      </c>
      <c r="V337" s="51">
        <f>IF(tblWorkPackages[[#This Row],[Time split]]="Train 2024",tblWorkPackages[[#This Row],[Estimated labor hours]],tblWorkPackages[[#This Row],[Calibrated forecast hours]])</f>
        <v>7.5</v>
      </c>
      <c r="W337" s="64">
        <f>DATEVALUE(tblWorkPackages[[#This Row],[Request date]])</f>
        <v>45326.0</v>
      </c>
      <c r="X337" s="64">
        <f>DATEVALUE(tblWorkPackages[[#This Row],[Due date]])</f>
        <v>45339.0</v>
      </c>
      <c r="Y337" s="64">
        <f>DATEVALUE(tblWorkPackages[[#This Row],[Completion date]])</f>
        <v>45341.0</v>
      </c>
      <c r="Z337" s="64">
        <f>_xlfn.MINIFS(tblLaborEntries[Work date serial],tblLaborEntries[Work package ID],tblWorkPackages[[#This Row],[Work package ID]])</f>
        <v>45336.0</v>
      </c>
      <c r="AA337" s="64">
        <f>_xlfn.MAXIFS(tblLaborEntries[Work date serial],tblLaborEntries[Work package ID],tblWorkPackages[[#This Row],[Work package ID]])</f>
        <v>45338.0</v>
      </c>
      <c r="AB337" s="65">
        <f>IF(tblWorkPackages[[#This Row],[Completion date serial]]&gt;tblWorkPackages[[#This Row],[Due date serial]],1,0)</f>
        <v>1</v>
      </c>
      <c r="AC337" s="65">
        <f>MAX(0,tblWorkPackages[[#This Row],[Completion date serial]]-tblWorkPackages[[#This Row],[Due date serial]])</f>
        <v>2</v>
      </c>
      <c r="AD337" s="65">
        <f>tblWorkPackages[[#This Row],[First labor date]]-tblWorkPackages[[#This Row],[Request date serial]]</f>
        <v>10</v>
      </c>
      <c r="AE337" s="65">
        <f>tblWorkPackages[[#This Row],[Last labor date]]-tblWorkPackages[[#This Row],[First labor date]]</f>
        <v>2</v>
      </c>
      <c r="AF337" s="65">
        <f>tblWorkPackages[[#This Row],[Completion date serial]]-tblWorkPackages[[#This Row],[Last labor date]]</f>
        <v>3</v>
      </c>
      <c r="AG337" s="65">
        <f>tblWorkPackages[[#This Row],[Completion date serial]]-tblWorkPackages[[#This Row],[Request date serial]]</f>
        <v>15</v>
      </c>
      <c r="AH337" s="65">
        <f>IFERROR(INDEX(tblParts[Delay days],MATCH(tblWorkPackages[[#This Row],[Work package ID]],tblParts[Work package ID],0)),0)</f>
        <v>0</v>
      </c>
      <c r="AI337" s="51" t="str">
        <f>IFERROR(INDEX(tblDisruptions[Event type],MATCH(tblWorkPackages[[#This Row],[Work package ID]],tblDisruptions[Work package ID],0)),"None")</f>
        <v>None</v>
      </c>
      <c r="AJ337" s="51" t="str">
        <f>TEXT(tblWorkPackages[[#This Row],[Due date serial]],"yyyy-mm")</f>
        <v>2024-02</v>
      </c>
    </row>
    <row r="338" spans="1:36" ht="15" x14ac:dyDescent="0.25">
      <c r="A338" s="53" t="s">
        <v>1052</v>
      </c>
      <c r="B338" s="53" t="s">
        <v>250</v>
      </c>
      <c r="C338" s="53" t="s">
        <v>1053</v>
      </c>
      <c r="D338" s="53" t="s">
        <v>347</v>
      </c>
      <c r="E338" s="53" t="s">
        <v>209</v>
      </c>
      <c r="F338" s="53" t="s">
        <v>145</v>
      </c>
      <c r="G338" s="53" t="s">
        <v>210</v>
      </c>
      <c r="H338" s="53">
        <v>2</v>
      </c>
      <c r="I338" s="53" t="s">
        <v>130</v>
      </c>
      <c r="J338" s="53">
        <v>0</v>
      </c>
      <c r="K338" s="53">
        <v>1</v>
      </c>
      <c r="L338" s="53">
        <v>22</v>
      </c>
      <c r="M338" s="53" t="s">
        <v>148</v>
      </c>
      <c r="N338" s="53">
        <v>23</v>
      </c>
      <c r="O338" s="51" t="str">
        <f>TEXT(tblWorkPackages[[#This Row],[Request date serial]]-WEEKDAY(tblWorkPackages[[#This Row],[Request date serial]],3),"yyyy-mm-dd")</f>
        <v>2024-02-19</v>
      </c>
      <c r="P338" s="51">
        <f>ABS(tblWorkPackages[[#This Row],[Actual labor hours]]-tblWorkPackages[[#This Row],[Estimated labor hours]])</f>
        <v>1</v>
      </c>
      <c r="Q338" s="51">
        <f>IF(tblWorkPackages[[#This Row],[Actual labor hours]]&gt;tblWorkPackages[[#This Row],[Estimated labor hours]],1,0)</f>
        <v>1</v>
      </c>
      <c r="R338" s="51">
        <f>tblWorkPackages[[#This Row],[Actual labor hours]]-tblWorkPackages[[#This Row],[Estimated labor hours]]</f>
        <v>1</v>
      </c>
      <c r="S338" s="51" t="str">
        <f>IF(tblWorkPackages[[#This Row],[Request date serial]]&lt;ValidationStart,"Train 2024",IF(tblWorkPackages[[#This Row],[Request date serial]]&lt;HoldoutStart,"Validation H1","Holdout H2"))</f>
        <v>Train 2024</v>
      </c>
      <c r="T338" s="51" t="str">
        <f>IF(tblWorkPackages[[#This Row],[Time split]]="Train 2024","",tblWorkPackages[[#This Row],[Estimated labor hours]]+VLOOKUP(tblWorkPackages[[#This Row],[Task type]],'Forecast validation'!$A$14:$E$25,IF(tblWorkPackages[[#This Row],[Time split]]="Validation H1",4,5),FALSE()))</f>
        <v/>
      </c>
      <c r="U338" s="51" t="str">
        <f>IF(tblWorkPackages[[#This Row],[Calibrated forecast hours]]="","",ABS(tblWorkPackages[[#This Row],[Actual labor hours]]-tblWorkPackages[[#This Row],[Calibrated forecast hours]]))</f>
        <v/>
      </c>
      <c r="V338" s="51">
        <f>IF(tblWorkPackages[[#This Row],[Time split]]="Train 2024",tblWorkPackages[[#This Row],[Estimated labor hours]],tblWorkPackages[[#This Row],[Calibrated forecast hours]])</f>
        <v>22</v>
      </c>
      <c r="W338" s="64">
        <f>DATEVALUE(tblWorkPackages[[#This Row],[Request date]])</f>
        <v>45345.0</v>
      </c>
      <c r="X338" s="64">
        <f>DATEVALUE(tblWorkPackages[[#This Row],[Due date]])</f>
        <v>45358.0</v>
      </c>
      <c r="Y338" s="64">
        <f>DATEVALUE(tblWorkPackages[[#This Row],[Completion date]])</f>
        <v>45348.0</v>
      </c>
      <c r="Z338" s="64">
        <f>_xlfn.MINIFS(tblLaborEntries[Work date serial],tblLaborEntries[Work package ID],tblWorkPackages[[#This Row],[Work package ID]])</f>
        <v>45348.0</v>
      </c>
      <c r="AA338" s="64">
        <f>_xlfn.MAXIFS(tblLaborEntries[Work date serial],tblLaborEntries[Work package ID],tblWorkPackages[[#This Row],[Work package ID]])</f>
        <v>45348.0</v>
      </c>
      <c r="AB338" s="65">
        <f>IF(tblWorkPackages[[#This Row],[Completion date serial]]&gt;tblWorkPackages[[#This Row],[Due date serial]],1,0)</f>
        <v>0</v>
      </c>
      <c r="AC338" s="65">
        <f>MAX(0,tblWorkPackages[[#This Row],[Completion date serial]]-tblWorkPackages[[#This Row],[Due date serial]])</f>
        <v>0</v>
      </c>
      <c r="AD338" s="65">
        <f>tblWorkPackages[[#This Row],[First labor date]]-tblWorkPackages[[#This Row],[Request date serial]]</f>
        <v>3</v>
      </c>
      <c r="AE338" s="65">
        <f>tblWorkPackages[[#This Row],[Last labor date]]-tblWorkPackages[[#This Row],[First labor date]]</f>
        <v>0</v>
      </c>
      <c r="AF338" s="65">
        <f>tblWorkPackages[[#This Row],[Completion date serial]]-tblWorkPackages[[#This Row],[Last labor date]]</f>
        <v>0</v>
      </c>
      <c r="AG338" s="65">
        <f>tblWorkPackages[[#This Row],[Completion date serial]]-tblWorkPackages[[#This Row],[Request date serial]]</f>
        <v>3</v>
      </c>
      <c r="AH338" s="65">
        <f>IFERROR(INDEX(tblParts[Delay days],MATCH(tblWorkPackages[[#This Row],[Work package ID]],tblParts[Work package ID],0)),0)</f>
        <v>0</v>
      </c>
      <c r="AI338" s="51" t="str">
        <f>IFERROR(INDEX(tblDisruptions[Event type],MATCH(tblWorkPackages[[#This Row],[Work package ID]],tblDisruptions[Work package ID],0)),"None")</f>
        <v>None</v>
      </c>
      <c r="AJ338" s="51" t="str">
        <f>TEXT(tblWorkPackages[[#This Row],[Due date serial]],"yyyy-mm")</f>
        <v>2024-03</v>
      </c>
    </row>
    <row r="339" spans="1:36" ht="15" x14ac:dyDescent="0.25">
      <c r="A339" s="53" t="s">
        <v>1054</v>
      </c>
      <c r="B339" s="53" t="s">
        <v>133</v>
      </c>
      <c r="C339" s="53" t="s">
        <v>1035</v>
      </c>
      <c r="D339" s="53" t="s">
        <v>1036</v>
      </c>
      <c r="E339" s="53" t="s">
        <v>144</v>
      </c>
      <c r="F339" s="53" t="s">
        <v>145</v>
      </c>
      <c r="G339" s="53" t="s">
        <v>146</v>
      </c>
      <c r="H339" s="53">
        <v>3</v>
      </c>
      <c r="I339" s="53" t="s">
        <v>176</v>
      </c>
      <c r="J339" s="53">
        <v>0</v>
      </c>
      <c r="K339" s="53">
        <v>1</v>
      </c>
      <c r="L339" s="53">
        <v>14.5</v>
      </c>
      <c r="M339" s="53" t="s">
        <v>627</v>
      </c>
      <c r="N339" s="53">
        <v>15.1</v>
      </c>
      <c r="O339" s="51" t="str">
        <f>TEXT(tblWorkPackages[[#This Row],[Request date serial]]-WEEKDAY(tblWorkPackages[[#This Row],[Request date serial]],3),"yyyy-mm-dd")</f>
        <v>2025-06-02</v>
      </c>
      <c r="P339" s="51">
        <f>ABS(tblWorkPackages[[#This Row],[Actual labor hours]]-tblWorkPackages[[#This Row],[Estimated labor hours]])</f>
        <v>0.6</v>
      </c>
      <c r="Q339" s="51">
        <f>IF(tblWorkPackages[[#This Row],[Actual labor hours]]&gt;tblWorkPackages[[#This Row],[Estimated labor hours]],1,0)</f>
        <v>1</v>
      </c>
      <c r="R339" s="51">
        <f>tblWorkPackages[[#This Row],[Actual labor hours]]-tblWorkPackages[[#This Row],[Estimated labor hours]]</f>
        <v>0.6</v>
      </c>
      <c r="S339" s="51" t="str">
        <f>IF(tblWorkPackages[[#This Row],[Request date serial]]&lt;ValidationStart,"Train 2024",IF(tblWorkPackages[[#This Row],[Request date serial]]&lt;HoldoutStart,"Validation H1","Holdout H2"))</f>
        <v>Validation H1</v>
      </c>
      <c r="T339" s="51">
        <f>IF(tblWorkPackages[[#This Row],[Time split]]="Train 2024","",tblWorkPackages[[#This Row],[Estimated labor hours]]+VLOOKUP(tblWorkPackages[[#This Row],[Task type]],'Forecast validation'!$A$14:$E$25,IF(tblWorkPackages[[#This Row],[Time split]]="Validation H1",4,5),FALSE()))</f>
        <v>15.2547368421053</v>
      </c>
      <c r="U339" s="51">
        <f>IF(tblWorkPackages[[#This Row],[Calibrated forecast hours]]="","",ABS(tblWorkPackages[[#This Row],[Actual labor hours]]-tblWorkPackages[[#This Row],[Calibrated forecast hours]]))</f>
        <v>0.154736842105264</v>
      </c>
      <c r="V339" s="51">
        <f>IF(tblWorkPackages[[#This Row],[Time split]]="Train 2024",tblWorkPackages[[#This Row],[Estimated labor hours]],tblWorkPackages[[#This Row],[Calibrated forecast hours]])</f>
        <v>15.2547368421053</v>
      </c>
      <c r="W339" s="64">
        <f>DATEVALUE(tblWorkPackages[[#This Row],[Request date]])</f>
        <v>45811.0</v>
      </c>
      <c r="X339" s="64">
        <f>DATEVALUE(tblWorkPackages[[#This Row],[Due date]])</f>
        <v>45817.0</v>
      </c>
      <c r="Y339" s="64">
        <f>DATEVALUE(tblWorkPackages[[#This Row],[Completion date]])</f>
        <v>45843.0</v>
      </c>
      <c r="Z339" s="64">
        <f>_xlfn.MINIFS(tblLaborEntries[Work date serial],tblLaborEntries[Work package ID],tblWorkPackages[[#This Row],[Work package ID]])</f>
        <v>45840.0</v>
      </c>
      <c r="AA339" s="64">
        <f>_xlfn.MAXIFS(tblLaborEntries[Work date serial],tblLaborEntries[Work package ID],tblWorkPackages[[#This Row],[Work package ID]])</f>
        <v>45842.0</v>
      </c>
      <c r="AB339" s="65">
        <f>IF(tblWorkPackages[[#This Row],[Completion date serial]]&gt;tblWorkPackages[[#This Row],[Due date serial]],1,0)</f>
        <v>1</v>
      </c>
      <c r="AC339" s="65">
        <f>MAX(0,tblWorkPackages[[#This Row],[Completion date serial]]-tblWorkPackages[[#This Row],[Due date serial]])</f>
        <v>26</v>
      </c>
      <c r="AD339" s="65">
        <f>tblWorkPackages[[#This Row],[First labor date]]-tblWorkPackages[[#This Row],[Request date serial]]</f>
        <v>29</v>
      </c>
      <c r="AE339" s="65">
        <f>tblWorkPackages[[#This Row],[Last labor date]]-tblWorkPackages[[#This Row],[First labor date]]</f>
        <v>2</v>
      </c>
      <c r="AF339" s="65">
        <f>tblWorkPackages[[#This Row],[Completion date serial]]-tblWorkPackages[[#This Row],[Last labor date]]</f>
        <v>1</v>
      </c>
      <c r="AG339" s="65">
        <f>tblWorkPackages[[#This Row],[Completion date serial]]-tblWorkPackages[[#This Row],[Request date serial]]</f>
        <v>32</v>
      </c>
      <c r="AH339" s="65">
        <f>IFERROR(INDEX(tblParts[Delay days],MATCH(tblWorkPackages[[#This Row],[Work package ID]],tblParts[Work package ID],0)),0)</f>
        <v>0</v>
      </c>
      <c r="AI339" s="51" t="str">
        <f>IFERROR(INDEX(tblDisruptions[Event type],MATCH(tblWorkPackages[[#This Row],[Work package ID]],tblDisruptions[Work package ID],0)),"None")</f>
        <v>None</v>
      </c>
      <c r="AJ339" s="51" t="str">
        <f>TEXT(tblWorkPackages[[#This Row],[Due date serial]],"yyyy-mm")</f>
        <v>2025-06</v>
      </c>
    </row>
    <row r="340" spans="1:36" ht="15" x14ac:dyDescent="0.25">
      <c r="A340" s="53" t="s">
        <v>1055</v>
      </c>
      <c r="B340" s="53" t="s">
        <v>141</v>
      </c>
      <c r="C340" s="53" t="s">
        <v>134</v>
      </c>
      <c r="D340" s="53" t="s">
        <v>135</v>
      </c>
      <c r="E340" s="53" t="s">
        <v>127</v>
      </c>
      <c r="F340" s="53" t="s">
        <v>128</v>
      </c>
      <c r="G340" s="53" t="s">
        <v>129</v>
      </c>
      <c r="H340" s="53">
        <v>1</v>
      </c>
      <c r="I340" s="53" t="s">
        <v>130</v>
      </c>
      <c r="J340" s="53">
        <v>0</v>
      </c>
      <c r="K340" s="53">
        <v>0</v>
      </c>
      <c r="L340" s="53">
        <v>4.2</v>
      </c>
      <c r="M340" s="53" t="s">
        <v>1056</v>
      </c>
      <c r="N340" s="53">
        <v>5</v>
      </c>
      <c r="O340" s="51" t="str">
        <f>TEXT(tblWorkPackages[[#This Row],[Request date serial]]-WEEKDAY(tblWorkPackages[[#This Row],[Request date serial]],3),"yyyy-mm-dd")</f>
        <v>2025-09-01</v>
      </c>
      <c r="P340" s="51">
        <f>ABS(tblWorkPackages[[#This Row],[Actual labor hours]]-tblWorkPackages[[#This Row],[Estimated labor hours]])</f>
        <v>0.8</v>
      </c>
      <c r="Q340" s="51">
        <f>IF(tblWorkPackages[[#This Row],[Actual labor hours]]&gt;tblWorkPackages[[#This Row],[Estimated labor hours]],1,0)</f>
        <v>1</v>
      </c>
      <c r="R340" s="51">
        <f>tblWorkPackages[[#This Row],[Actual labor hours]]-tblWorkPackages[[#This Row],[Estimated labor hours]]</f>
        <v>0.8</v>
      </c>
      <c r="S340" s="51" t="str">
        <f>IF(tblWorkPackages[[#This Row],[Request date serial]]&lt;ValidationStart,"Train 2024",IF(tblWorkPackages[[#This Row],[Request date serial]]&lt;HoldoutStart,"Validation H1","Holdout H2"))</f>
        <v>Holdout H2</v>
      </c>
      <c r="T340" s="51">
        <f>IF(tblWorkPackages[[#This Row],[Time split]]="Train 2024","",tblWorkPackages[[#This Row],[Estimated labor hours]]+VLOOKUP(tblWorkPackages[[#This Row],[Task type]],'Forecast validation'!$A$14:$E$25,IF(tblWorkPackages[[#This Row],[Time split]]="Validation H1",4,5),FALSE()))</f>
        <v>4.74341085271318</v>
      </c>
      <c r="U340" s="51">
        <f>IF(tblWorkPackages[[#This Row],[Calibrated forecast hours]]="","",ABS(tblWorkPackages[[#This Row],[Actual labor hours]]-tblWorkPackages[[#This Row],[Calibrated forecast hours]]))</f>
        <v>0.256589147286822</v>
      </c>
      <c r="V340" s="51">
        <f>IF(tblWorkPackages[[#This Row],[Time split]]="Train 2024",tblWorkPackages[[#This Row],[Estimated labor hours]],tblWorkPackages[[#This Row],[Calibrated forecast hours]])</f>
        <v>4.74341085271318</v>
      </c>
      <c r="W340" s="64">
        <f>DATEVALUE(tblWorkPackages[[#This Row],[Request date]])</f>
        <v>45905.0</v>
      </c>
      <c r="X340" s="64">
        <f>DATEVALUE(tblWorkPackages[[#This Row],[Due date]])</f>
        <v>45918.0</v>
      </c>
      <c r="Y340" s="64">
        <f>DATEVALUE(tblWorkPackages[[#This Row],[Completion date]])</f>
        <v>45913.0</v>
      </c>
      <c r="Z340" s="64">
        <f>_xlfn.MINIFS(tblLaborEntries[Work date serial],tblLaborEntries[Work package ID],tblWorkPackages[[#This Row],[Work package ID]])</f>
        <v>45910.0</v>
      </c>
      <c r="AA340" s="64">
        <f>_xlfn.MAXIFS(tblLaborEntries[Work date serial],tblLaborEntries[Work package ID],tblWorkPackages[[#This Row],[Work package ID]])</f>
        <v>45911.0</v>
      </c>
      <c r="AB340" s="65">
        <f>IF(tblWorkPackages[[#This Row],[Completion date serial]]&gt;tblWorkPackages[[#This Row],[Due date serial]],1,0)</f>
        <v>0</v>
      </c>
      <c r="AC340" s="65">
        <f>MAX(0,tblWorkPackages[[#This Row],[Completion date serial]]-tblWorkPackages[[#This Row],[Due date serial]])</f>
        <v>0</v>
      </c>
      <c r="AD340" s="65">
        <f>tblWorkPackages[[#This Row],[First labor date]]-tblWorkPackages[[#This Row],[Request date serial]]</f>
        <v>5</v>
      </c>
      <c r="AE340" s="65">
        <f>tblWorkPackages[[#This Row],[Last labor date]]-tblWorkPackages[[#This Row],[First labor date]]</f>
        <v>1</v>
      </c>
      <c r="AF340" s="65">
        <f>tblWorkPackages[[#This Row],[Completion date serial]]-tblWorkPackages[[#This Row],[Last labor date]]</f>
        <v>2</v>
      </c>
      <c r="AG340" s="65">
        <f>tblWorkPackages[[#This Row],[Completion date serial]]-tblWorkPackages[[#This Row],[Request date serial]]</f>
        <v>8</v>
      </c>
      <c r="AH340" s="65">
        <f>IFERROR(INDEX(tblParts[Delay days],MATCH(tblWorkPackages[[#This Row],[Work package ID]],tblParts[Work package ID],0)),0)</f>
        <v>0</v>
      </c>
      <c r="AI340" s="51" t="str">
        <f>IFERROR(INDEX(tblDisruptions[Event type],MATCH(tblWorkPackages[[#This Row],[Work package ID]],tblDisruptions[Work package ID],0)),"None")</f>
        <v>None</v>
      </c>
      <c r="AJ340" s="51" t="str">
        <f>TEXT(tblWorkPackages[[#This Row],[Due date serial]],"yyyy-mm")</f>
        <v>2025-09</v>
      </c>
    </row>
    <row r="341" spans="1:36" ht="15" x14ac:dyDescent="0.25">
      <c r="A341" s="53" t="s">
        <v>1057</v>
      </c>
      <c r="B341" s="53" t="s">
        <v>124</v>
      </c>
      <c r="C341" s="53" t="s">
        <v>1058</v>
      </c>
      <c r="D341" s="53" t="s">
        <v>260</v>
      </c>
      <c r="E341" s="53" t="s">
        <v>272</v>
      </c>
      <c r="F341" s="53" t="s">
        <v>145</v>
      </c>
      <c r="G341" s="53" t="s">
        <v>273</v>
      </c>
      <c r="H341" s="53">
        <v>2</v>
      </c>
      <c r="I341" s="53" t="s">
        <v>176</v>
      </c>
      <c r="J341" s="53">
        <v>1</v>
      </c>
      <c r="K341" s="53">
        <v>0</v>
      </c>
      <c r="L341" s="53">
        <v>11.7</v>
      </c>
      <c r="M341" s="53" t="s">
        <v>260</v>
      </c>
      <c r="N341" s="53">
        <v>18.5</v>
      </c>
      <c r="O341" s="51" t="str">
        <f>TEXT(tblWorkPackages[[#This Row],[Request date serial]]-WEEKDAY(tblWorkPackages[[#This Row],[Request date serial]],3),"yyyy-mm-dd")</f>
        <v>2025-01-20</v>
      </c>
      <c r="P341" s="51">
        <f>ABS(tblWorkPackages[[#This Row],[Actual labor hours]]-tblWorkPackages[[#This Row],[Estimated labor hours]])</f>
        <v>6.8</v>
      </c>
      <c r="Q341" s="51">
        <f>IF(tblWorkPackages[[#This Row],[Actual labor hours]]&gt;tblWorkPackages[[#This Row],[Estimated labor hours]],1,0)</f>
        <v>1</v>
      </c>
      <c r="R341" s="51">
        <f>tblWorkPackages[[#This Row],[Actual labor hours]]-tblWorkPackages[[#This Row],[Estimated labor hours]]</f>
        <v>6.8</v>
      </c>
      <c r="S341" s="51" t="str">
        <f>IF(tblWorkPackages[[#This Row],[Request date serial]]&lt;ValidationStart,"Train 2024",IF(tblWorkPackages[[#This Row],[Request date serial]]&lt;HoldoutStart,"Validation H1","Holdout H2"))</f>
        <v>Validation H1</v>
      </c>
      <c r="T341" s="51">
        <f>IF(tblWorkPackages[[#This Row],[Time split]]="Train 2024","",tblWorkPackages[[#This Row],[Estimated labor hours]]+VLOOKUP(tblWorkPackages[[#This Row],[Task type]],'Forecast validation'!$A$14:$E$25,IF(tblWorkPackages[[#This Row],[Time split]]="Validation H1",4,5),FALSE()))</f>
        <v>12.7320512820513</v>
      </c>
      <c r="U341" s="51">
        <f>IF(tblWorkPackages[[#This Row],[Calibrated forecast hours]]="","",ABS(tblWorkPackages[[#This Row],[Actual labor hours]]-tblWorkPackages[[#This Row],[Calibrated forecast hours]]))</f>
        <v>5.76794871794872</v>
      </c>
      <c r="V341" s="51">
        <f>IF(tblWorkPackages[[#This Row],[Time split]]="Train 2024",tblWorkPackages[[#This Row],[Estimated labor hours]],tblWorkPackages[[#This Row],[Calibrated forecast hours]])</f>
        <v>12.7320512820513</v>
      </c>
      <c r="W341" s="64">
        <f>DATEVALUE(tblWorkPackages[[#This Row],[Request date]])</f>
        <v>45680.0</v>
      </c>
      <c r="X341" s="64">
        <f>DATEVALUE(tblWorkPackages[[#This Row],[Due date]])</f>
        <v>45686.0</v>
      </c>
      <c r="Y341" s="64">
        <f>DATEVALUE(tblWorkPackages[[#This Row],[Completion date]])</f>
        <v>45686.0</v>
      </c>
      <c r="Z341" s="64">
        <f>_xlfn.MINIFS(tblLaborEntries[Work date serial],tblLaborEntries[Work package ID],tblWorkPackages[[#This Row],[Work package ID]])</f>
        <v>45682.0</v>
      </c>
      <c r="AA341" s="64">
        <f>_xlfn.MAXIFS(tblLaborEntries[Work date serial],tblLaborEntries[Work package ID],tblWorkPackages[[#This Row],[Work package ID]])</f>
        <v>45683.0</v>
      </c>
      <c r="AB341" s="65">
        <f>IF(tblWorkPackages[[#This Row],[Completion date serial]]&gt;tblWorkPackages[[#This Row],[Due date serial]],1,0)</f>
        <v>0</v>
      </c>
      <c r="AC341" s="65">
        <f>MAX(0,tblWorkPackages[[#This Row],[Completion date serial]]-tblWorkPackages[[#This Row],[Due date serial]])</f>
        <v>0</v>
      </c>
      <c r="AD341" s="65">
        <f>tblWorkPackages[[#This Row],[First labor date]]-tblWorkPackages[[#This Row],[Request date serial]]</f>
        <v>2</v>
      </c>
      <c r="AE341" s="65">
        <f>tblWorkPackages[[#This Row],[Last labor date]]-tblWorkPackages[[#This Row],[First labor date]]</f>
        <v>1</v>
      </c>
      <c r="AF341" s="65">
        <f>tblWorkPackages[[#This Row],[Completion date serial]]-tblWorkPackages[[#This Row],[Last labor date]]</f>
        <v>3</v>
      </c>
      <c r="AG341" s="65">
        <f>tblWorkPackages[[#This Row],[Completion date serial]]-tblWorkPackages[[#This Row],[Request date serial]]</f>
        <v>6</v>
      </c>
      <c r="AH341" s="65">
        <f>IFERROR(INDEX(tblParts[Delay days],MATCH(tblWorkPackages[[#This Row],[Work package ID]],tblParts[Work package ID],0)),0)</f>
        <v>0</v>
      </c>
      <c r="AI341" s="51" t="str">
        <f>IFERROR(INDEX(tblDisruptions[Event type],MATCH(tblWorkPackages[[#This Row],[Work package ID]],tblDisruptions[Work package ID],0)),"None")</f>
        <v>None</v>
      </c>
      <c r="AJ341" s="51" t="str">
        <f>TEXT(tblWorkPackages[[#This Row],[Due date serial]],"yyyy-mm")</f>
        <v>2025-01</v>
      </c>
    </row>
    <row r="342" spans="1:36" ht="15" x14ac:dyDescent="0.25">
      <c r="A342" s="53" t="s">
        <v>1059</v>
      </c>
      <c r="B342" s="53" t="s">
        <v>250</v>
      </c>
      <c r="C342" s="53" t="s">
        <v>909</v>
      </c>
      <c r="D342" s="53" t="s">
        <v>778</v>
      </c>
      <c r="E342" s="53" t="s">
        <v>272</v>
      </c>
      <c r="F342" s="53" t="s">
        <v>145</v>
      </c>
      <c r="G342" s="53" t="s">
        <v>273</v>
      </c>
      <c r="H342" s="53">
        <v>4</v>
      </c>
      <c r="I342" s="53" t="s">
        <v>176</v>
      </c>
      <c r="J342" s="53">
        <v>0</v>
      </c>
      <c r="K342" s="53">
        <v>1</v>
      </c>
      <c r="L342" s="53">
        <v>19.600000000000001</v>
      </c>
      <c r="M342" s="53" t="s">
        <v>646</v>
      </c>
      <c r="N342" s="53">
        <v>28</v>
      </c>
      <c r="O342" s="51" t="str">
        <f>TEXT(tblWorkPackages[[#This Row],[Request date serial]]-WEEKDAY(tblWorkPackages[[#This Row],[Request date serial]],3),"yyyy-mm-dd")</f>
        <v>2025-12-08</v>
      </c>
      <c r="P342" s="51">
        <f>ABS(tblWorkPackages[[#This Row],[Actual labor hours]]-tblWorkPackages[[#This Row],[Estimated labor hours]])</f>
        <v>8.4</v>
      </c>
      <c r="Q342" s="51">
        <f>IF(tblWorkPackages[[#This Row],[Actual labor hours]]&gt;tblWorkPackages[[#This Row],[Estimated labor hours]],1,0)</f>
        <v>1</v>
      </c>
      <c r="R342" s="51">
        <f>tblWorkPackages[[#This Row],[Actual labor hours]]-tblWorkPackages[[#This Row],[Estimated labor hours]]</f>
        <v>8.4</v>
      </c>
      <c r="S342" s="51" t="str">
        <f>IF(tblWorkPackages[[#This Row],[Request date serial]]&lt;ValidationStart,"Train 2024",IF(tblWorkPackages[[#This Row],[Request date serial]]&lt;HoldoutStart,"Validation H1","Holdout H2"))</f>
        <v>Holdout H2</v>
      </c>
      <c r="T342" s="51">
        <f>IF(tblWorkPackages[[#This Row],[Time split]]="Train 2024","",tblWorkPackages[[#This Row],[Estimated labor hours]]+VLOOKUP(tblWorkPackages[[#This Row],[Task type]],'Forecast validation'!$A$14:$E$25,IF(tblWorkPackages[[#This Row],[Time split]]="Validation H1",4,5),FALSE()))</f>
        <v>20.58515625</v>
      </c>
      <c r="U342" s="51">
        <f>IF(tblWorkPackages[[#This Row],[Calibrated forecast hours]]="","",ABS(tblWorkPackages[[#This Row],[Actual labor hours]]-tblWorkPackages[[#This Row],[Calibrated forecast hours]]))</f>
        <v>7.41484375</v>
      </c>
      <c r="V342" s="51">
        <f>IF(tblWorkPackages[[#This Row],[Time split]]="Train 2024",tblWorkPackages[[#This Row],[Estimated labor hours]],tblWorkPackages[[#This Row],[Calibrated forecast hours]])</f>
        <v>20.58515625</v>
      </c>
      <c r="W342" s="64">
        <f>DATEVALUE(tblWorkPackages[[#This Row],[Request date]])</f>
        <v>45999.0</v>
      </c>
      <c r="X342" s="64">
        <f>DATEVALUE(tblWorkPackages[[#This Row],[Due date]])</f>
        <v>46005.0</v>
      </c>
      <c r="Y342" s="64">
        <f>DATEVALUE(tblWorkPackages[[#This Row],[Completion date]])</f>
        <v>46015.0</v>
      </c>
      <c r="Z342" s="64">
        <f>_xlfn.MINIFS(tblLaborEntries[Work date serial],tblLaborEntries[Work package ID],tblWorkPackages[[#This Row],[Work package ID]])</f>
        <v>46013.0</v>
      </c>
      <c r="AA342" s="64">
        <f>_xlfn.MAXIFS(tblLaborEntries[Work date serial],tblLaborEntries[Work package ID],tblWorkPackages[[#This Row],[Work package ID]])</f>
        <v>46015.0</v>
      </c>
      <c r="AB342" s="65">
        <f>IF(tblWorkPackages[[#This Row],[Completion date serial]]&gt;tblWorkPackages[[#This Row],[Due date serial]],1,0)</f>
        <v>1</v>
      </c>
      <c r="AC342" s="65">
        <f>MAX(0,tblWorkPackages[[#This Row],[Completion date serial]]-tblWorkPackages[[#This Row],[Due date serial]])</f>
        <v>10</v>
      </c>
      <c r="AD342" s="65">
        <f>tblWorkPackages[[#This Row],[First labor date]]-tblWorkPackages[[#This Row],[Request date serial]]</f>
        <v>14</v>
      </c>
      <c r="AE342" s="65">
        <f>tblWorkPackages[[#This Row],[Last labor date]]-tblWorkPackages[[#This Row],[First labor date]]</f>
        <v>2</v>
      </c>
      <c r="AF342" s="65">
        <f>tblWorkPackages[[#This Row],[Completion date serial]]-tblWorkPackages[[#This Row],[Last labor date]]</f>
        <v>0</v>
      </c>
      <c r="AG342" s="65">
        <f>tblWorkPackages[[#This Row],[Completion date serial]]-tblWorkPackages[[#This Row],[Request date serial]]</f>
        <v>16</v>
      </c>
      <c r="AH342" s="65">
        <f>IFERROR(INDEX(tblParts[Delay days],MATCH(tblWorkPackages[[#This Row],[Work package ID]],tblParts[Work package ID],0)),0)</f>
        <v>0</v>
      </c>
      <c r="AI342" s="51" t="str">
        <f>IFERROR(INDEX(tblDisruptions[Event type],MATCH(tblWorkPackages[[#This Row],[Work package ID]],tblDisruptions[Work package ID],0)),"None")</f>
        <v>Technician absence</v>
      </c>
      <c r="AJ342" s="51" t="str">
        <f>TEXT(tblWorkPackages[[#This Row],[Due date serial]],"yyyy-mm")</f>
        <v>2025-12</v>
      </c>
    </row>
    <row r="343" spans="1:36" ht="15" x14ac:dyDescent="0.25">
      <c r="A343" s="53" t="s">
        <v>1060</v>
      </c>
      <c r="B343" s="53" t="s">
        <v>230</v>
      </c>
      <c r="C343" s="53" t="s">
        <v>780</v>
      </c>
      <c r="D343" s="53" t="s">
        <v>646</v>
      </c>
      <c r="E343" s="53" t="s">
        <v>209</v>
      </c>
      <c r="F343" s="53" t="s">
        <v>145</v>
      </c>
      <c r="G343" s="53" t="s">
        <v>210</v>
      </c>
      <c r="H343" s="53">
        <v>1</v>
      </c>
      <c r="I343" s="53" t="s">
        <v>176</v>
      </c>
      <c r="J343" s="53">
        <v>0</v>
      </c>
      <c r="K343" s="53">
        <v>0</v>
      </c>
      <c r="L343" s="53">
        <v>13.7</v>
      </c>
      <c r="M343" s="53" t="s">
        <v>856</v>
      </c>
      <c r="N343" s="53">
        <v>13.6</v>
      </c>
      <c r="O343" s="51" t="str">
        <f>TEXT(tblWorkPackages[[#This Row],[Request date serial]]-WEEKDAY(tblWorkPackages[[#This Row],[Request date serial]],3),"yyyy-mm-dd")</f>
        <v>2025-12-15</v>
      </c>
      <c r="P343" s="51">
        <f>ABS(tblWorkPackages[[#This Row],[Actual labor hours]]-tblWorkPackages[[#This Row],[Estimated labor hours]])</f>
        <v>0.0999999999999996</v>
      </c>
      <c r="Q343" s="51">
        <f>IF(tblWorkPackages[[#This Row],[Actual labor hours]]&gt;tblWorkPackages[[#This Row],[Estimated labor hours]],1,0)</f>
        <v>0</v>
      </c>
      <c r="R343" s="51">
        <f>tblWorkPackages[[#This Row],[Actual labor hours]]-tblWorkPackages[[#This Row],[Estimated labor hours]]</f>
        <v>-0.0999999999999996</v>
      </c>
      <c r="S343" s="51" t="str">
        <f>IF(tblWorkPackages[[#This Row],[Request date serial]]&lt;ValidationStart,"Train 2024",IF(tblWorkPackages[[#This Row],[Request date serial]]&lt;HoldoutStart,"Validation H1","Holdout H2"))</f>
        <v>Holdout H2</v>
      </c>
      <c r="T343" s="51">
        <f>IF(tblWorkPackages[[#This Row],[Time split]]="Train 2024","",tblWorkPackages[[#This Row],[Estimated labor hours]]+VLOOKUP(tblWorkPackages[[#This Row],[Task type]],'Forecast validation'!$A$14:$E$25,IF(tblWorkPackages[[#This Row],[Time split]]="Validation H1",4,5),FALSE()))</f>
        <v>15.495652173913</v>
      </c>
      <c r="U343" s="51">
        <f>IF(tblWorkPackages[[#This Row],[Calibrated forecast hours]]="","",ABS(tblWorkPackages[[#This Row],[Actual labor hours]]-tblWorkPackages[[#This Row],[Calibrated forecast hours]]))</f>
        <v>1.89565217391304</v>
      </c>
      <c r="V343" s="51">
        <f>IF(tblWorkPackages[[#This Row],[Time split]]="Train 2024",tblWorkPackages[[#This Row],[Estimated labor hours]],tblWorkPackages[[#This Row],[Calibrated forecast hours]])</f>
        <v>15.495652173913</v>
      </c>
      <c r="W343" s="64">
        <f>DATEVALUE(tblWorkPackages[[#This Row],[Request date]])</f>
        <v>46009.0</v>
      </c>
      <c r="X343" s="64">
        <f>DATEVALUE(tblWorkPackages[[#This Row],[Due date]])</f>
        <v>46015.0</v>
      </c>
      <c r="Y343" s="64">
        <f>DATEVALUE(tblWorkPackages[[#This Row],[Completion date]])</f>
        <v>46014.0</v>
      </c>
      <c r="Z343" s="64">
        <f>_xlfn.MINIFS(tblLaborEntries[Work date serial],tblLaborEntries[Work package ID],tblWorkPackages[[#This Row],[Work package ID]])</f>
        <v>46012.0</v>
      </c>
      <c r="AA343" s="64">
        <f>_xlfn.MAXIFS(tblLaborEntries[Work date serial],tblLaborEntries[Work package ID],tblWorkPackages[[#This Row],[Work package ID]])</f>
        <v>46013.0</v>
      </c>
      <c r="AB343" s="65">
        <f>IF(tblWorkPackages[[#This Row],[Completion date serial]]&gt;tblWorkPackages[[#This Row],[Due date serial]],1,0)</f>
        <v>0</v>
      </c>
      <c r="AC343" s="65">
        <f>MAX(0,tblWorkPackages[[#This Row],[Completion date serial]]-tblWorkPackages[[#This Row],[Due date serial]])</f>
        <v>0</v>
      </c>
      <c r="AD343" s="65">
        <f>tblWorkPackages[[#This Row],[First labor date]]-tblWorkPackages[[#This Row],[Request date serial]]</f>
        <v>3</v>
      </c>
      <c r="AE343" s="65">
        <f>tblWorkPackages[[#This Row],[Last labor date]]-tblWorkPackages[[#This Row],[First labor date]]</f>
        <v>1</v>
      </c>
      <c r="AF343" s="65">
        <f>tblWorkPackages[[#This Row],[Completion date serial]]-tblWorkPackages[[#This Row],[Last labor date]]</f>
        <v>1</v>
      </c>
      <c r="AG343" s="65">
        <f>tblWorkPackages[[#This Row],[Completion date serial]]-tblWorkPackages[[#This Row],[Request date serial]]</f>
        <v>5</v>
      </c>
      <c r="AH343" s="65">
        <f>IFERROR(INDEX(tblParts[Delay days],MATCH(tblWorkPackages[[#This Row],[Work package ID]],tblParts[Work package ID],0)),0)</f>
        <v>0</v>
      </c>
      <c r="AI343" s="51" t="str">
        <f>IFERROR(INDEX(tblDisruptions[Event type],MATCH(tblWorkPackages[[#This Row],[Work package ID]],tblDisruptions[Work package ID],0)),"None")</f>
        <v>None</v>
      </c>
      <c r="AJ343" s="51" t="str">
        <f>TEXT(tblWorkPackages[[#This Row],[Due date serial]],"yyyy-mm")</f>
        <v>2025-12</v>
      </c>
    </row>
    <row r="344" spans="1:36" ht="15" x14ac:dyDescent="0.25">
      <c r="A344" s="53" t="s">
        <v>1061</v>
      </c>
      <c r="B344" s="53" t="s">
        <v>235</v>
      </c>
      <c r="C344" s="53" t="s">
        <v>457</v>
      </c>
      <c r="D344" s="53" t="s">
        <v>1062</v>
      </c>
      <c r="E344" s="53" t="s">
        <v>136</v>
      </c>
      <c r="F344" s="53" t="s">
        <v>137</v>
      </c>
      <c r="G344" s="53" t="s">
        <v>138</v>
      </c>
      <c r="H344" s="53">
        <v>3</v>
      </c>
      <c r="I344" s="53" t="s">
        <v>130</v>
      </c>
      <c r="J344" s="53">
        <v>0</v>
      </c>
      <c r="K344" s="53">
        <v>0</v>
      </c>
      <c r="L344" s="53">
        <v>19.3</v>
      </c>
      <c r="M344" s="53" t="s">
        <v>1063</v>
      </c>
      <c r="N344" s="53">
        <v>20.100000000000001</v>
      </c>
      <c r="O344" s="51" t="str">
        <f>TEXT(tblWorkPackages[[#This Row],[Request date serial]]-WEEKDAY(tblWorkPackages[[#This Row],[Request date serial]],3),"yyyy-mm-dd")</f>
        <v>2025-01-06</v>
      </c>
      <c r="P344" s="51">
        <f>ABS(tblWorkPackages[[#This Row],[Actual labor hours]]-tblWorkPackages[[#This Row],[Estimated labor hours]])</f>
        <v>0.800000000000001</v>
      </c>
      <c r="Q344" s="51">
        <f>IF(tblWorkPackages[[#This Row],[Actual labor hours]]&gt;tblWorkPackages[[#This Row],[Estimated labor hours]],1,0)</f>
        <v>1</v>
      </c>
      <c r="R344" s="51">
        <f>tblWorkPackages[[#This Row],[Actual labor hours]]-tblWorkPackages[[#This Row],[Estimated labor hours]]</f>
        <v>0.800000000000001</v>
      </c>
      <c r="S344" s="51" t="str">
        <f>IF(tblWorkPackages[[#This Row],[Request date serial]]&lt;ValidationStart,"Train 2024",IF(tblWorkPackages[[#This Row],[Request date serial]]&lt;HoldoutStart,"Validation H1","Holdout H2"))</f>
        <v>Validation H1</v>
      </c>
      <c r="T344" s="51">
        <f>IF(tblWorkPackages[[#This Row],[Time split]]="Train 2024","",tblWorkPackages[[#This Row],[Estimated labor hours]]+VLOOKUP(tblWorkPackages[[#This Row],[Task type]],'Forecast validation'!$A$14:$E$25,IF(tblWorkPackages[[#This Row],[Time split]]="Validation H1",4,5),FALSE()))</f>
        <v>20.1765306122449</v>
      </c>
      <c r="U344" s="51">
        <f>IF(tblWorkPackages[[#This Row],[Calibrated forecast hours]]="","",ABS(tblWorkPackages[[#This Row],[Actual labor hours]]-tblWorkPackages[[#This Row],[Calibrated forecast hours]]))</f>
        <v>0.0765306122448983</v>
      </c>
      <c r="V344" s="51">
        <f>IF(tblWorkPackages[[#This Row],[Time split]]="Train 2024",tblWorkPackages[[#This Row],[Estimated labor hours]],tblWorkPackages[[#This Row],[Calibrated forecast hours]])</f>
        <v>20.1765306122449</v>
      </c>
      <c r="W344" s="64">
        <f>DATEVALUE(tblWorkPackages[[#This Row],[Request date]])</f>
        <v>45669.0</v>
      </c>
      <c r="X344" s="64">
        <f>DATEVALUE(tblWorkPackages[[#This Row],[Due date]])</f>
        <v>45682.0</v>
      </c>
      <c r="Y344" s="64">
        <f>DATEVALUE(tblWorkPackages[[#This Row],[Completion date]])</f>
        <v>45727.0</v>
      </c>
      <c r="Z344" s="64">
        <f>_xlfn.MINIFS(tblLaborEntries[Work date serial],tblLaborEntries[Work package ID],tblWorkPackages[[#This Row],[Work package ID]])</f>
        <v>45723.0</v>
      </c>
      <c r="AA344" s="64">
        <f>_xlfn.MAXIFS(tblLaborEntries[Work date serial],tblLaborEntries[Work package ID],tblWorkPackages[[#This Row],[Work package ID]])</f>
        <v>45725.0</v>
      </c>
      <c r="AB344" s="65">
        <f>IF(tblWorkPackages[[#This Row],[Completion date serial]]&gt;tblWorkPackages[[#This Row],[Due date serial]],1,0)</f>
        <v>1</v>
      </c>
      <c r="AC344" s="65">
        <f>MAX(0,tblWorkPackages[[#This Row],[Completion date serial]]-tblWorkPackages[[#This Row],[Due date serial]])</f>
        <v>45</v>
      </c>
      <c r="AD344" s="65">
        <f>tblWorkPackages[[#This Row],[First labor date]]-tblWorkPackages[[#This Row],[Request date serial]]</f>
        <v>54</v>
      </c>
      <c r="AE344" s="65">
        <f>tblWorkPackages[[#This Row],[Last labor date]]-tblWorkPackages[[#This Row],[First labor date]]</f>
        <v>2</v>
      </c>
      <c r="AF344" s="65">
        <f>tblWorkPackages[[#This Row],[Completion date serial]]-tblWorkPackages[[#This Row],[Last labor date]]</f>
        <v>2</v>
      </c>
      <c r="AG344" s="65">
        <f>tblWorkPackages[[#This Row],[Completion date serial]]-tblWorkPackages[[#This Row],[Request date serial]]</f>
        <v>58</v>
      </c>
      <c r="AH344" s="65">
        <f>IFERROR(INDEX(tblParts[Delay days],MATCH(tblWorkPackages[[#This Row],[Work package ID]],tblParts[Work package ID],0)),0)</f>
        <v>0</v>
      </c>
      <c r="AI344" s="51" t="str">
        <f>IFERROR(INDEX(tblDisruptions[Event type],MATCH(tblWorkPackages[[#This Row],[Work package ID]],tblDisruptions[Work package ID],0)),"None")</f>
        <v>None</v>
      </c>
      <c r="AJ344" s="51" t="str">
        <f>TEXT(tblWorkPackages[[#This Row],[Due date serial]],"yyyy-mm")</f>
        <v>2025-01</v>
      </c>
    </row>
    <row r="345" spans="1:36" ht="15" x14ac:dyDescent="0.25">
      <c r="A345" s="53" t="s">
        <v>1064</v>
      </c>
      <c r="B345" s="53" t="s">
        <v>235</v>
      </c>
      <c r="C345" s="53" t="s">
        <v>879</v>
      </c>
      <c r="D345" s="53" t="s">
        <v>675</v>
      </c>
      <c r="E345" s="53" t="s">
        <v>223</v>
      </c>
      <c r="F345" s="53" t="s">
        <v>182</v>
      </c>
      <c r="G345" s="53" t="s">
        <v>154</v>
      </c>
      <c r="H345" s="53">
        <v>1</v>
      </c>
      <c r="I345" s="53" t="s">
        <v>130</v>
      </c>
      <c r="J345" s="53">
        <v>0</v>
      </c>
      <c r="K345" s="53">
        <v>0</v>
      </c>
      <c r="L345" s="53">
        <v>9</v>
      </c>
      <c r="M345" s="53" t="s">
        <v>690</v>
      </c>
      <c r="N345" s="53">
        <v>11.1</v>
      </c>
      <c r="O345" s="51" t="str">
        <f>TEXT(tblWorkPackages[[#This Row],[Request date serial]]-WEEKDAY(tblWorkPackages[[#This Row],[Request date serial]],3),"yyyy-mm-dd")</f>
        <v>2024-04-01</v>
      </c>
      <c r="P345" s="51">
        <f>ABS(tblWorkPackages[[#This Row],[Actual labor hours]]-tblWorkPackages[[#This Row],[Estimated labor hours]])</f>
        <v>2.1</v>
      </c>
      <c r="Q345" s="51">
        <f>IF(tblWorkPackages[[#This Row],[Actual labor hours]]&gt;tblWorkPackages[[#This Row],[Estimated labor hours]],1,0)</f>
        <v>1</v>
      </c>
      <c r="R345" s="51">
        <f>tblWorkPackages[[#This Row],[Actual labor hours]]-tblWorkPackages[[#This Row],[Estimated labor hours]]</f>
        <v>2.1</v>
      </c>
      <c r="S345" s="51" t="str">
        <f>IF(tblWorkPackages[[#This Row],[Request date serial]]&lt;ValidationStart,"Train 2024",IF(tblWorkPackages[[#This Row],[Request date serial]]&lt;HoldoutStart,"Validation H1","Holdout H2"))</f>
        <v>Train 2024</v>
      </c>
      <c r="T345" s="51" t="str">
        <f>IF(tblWorkPackages[[#This Row],[Time split]]="Train 2024","",tblWorkPackages[[#This Row],[Estimated labor hours]]+VLOOKUP(tblWorkPackages[[#This Row],[Task type]],'Forecast validation'!$A$14:$E$25,IF(tblWorkPackages[[#This Row],[Time split]]="Validation H1",4,5),FALSE()))</f>
        <v/>
      </c>
      <c r="U345" s="51" t="str">
        <f>IF(tblWorkPackages[[#This Row],[Calibrated forecast hours]]="","",ABS(tblWorkPackages[[#This Row],[Actual labor hours]]-tblWorkPackages[[#This Row],[Calibrated forecast hours]]))</f>
        <v/>
      </c>
      <c r="V345" s="51">
        <f>IF(tblWorkPackages[[#This Row],[Time split]]="Train 2024",tblWorkPackages[[#This Row],[Estimated labor hours]],tblWorkPackages[[#This Row],[Calibrated forecast hours]])</f>
        <v>9</v>
      </c>
      <c r="W345" s="64">
        <f>DATEVALUE(tblWorkPackages[[#This Row],[Request date]])</f>
        <v>45386.0</v>
      </c>
      <c r="X345" s="64">
        <f>DATEVALUE(tblWorkPackages[[#This Row],[Due date]])</f>
        <v>45399.0</v>
      </c>
      <c r="Y345" s="64">
        <f>DATEVALUE(tblWorkPackages[[#This Row],[Completion date]])</f>
        <v>45398.0</v>
      </c>
      <c r="Z345" s="64">
        <f>_xlfn.MINIFS(tblLaborEntries[Work date serial],tblLaborEntries[Work package ID],tblWorkPackages[[#This Row],[Work package ID]])</f>
        <v>45394.0</v>
      </c>
      <c r="AA345" s="64">
        <f>_xlfn.MAXIFS(tblLaborEntries[Work date serial],tblLaborEntries[Work package ID],tblWorkPackages[[#This Row],[Work package ID]])</f>
        <v>45395.0</v>
      </c>
      <c r="AB345" s="65">
        <f>IF(tblWorkPackages[[#This Row],[Completion date serial]]&gt;tblWorkPackages[[#This Row],[Due date serial]],1,0)</f>
        <v>0</v>
      </c>
      <c r="AC345" s="65">
        <f>MAX(0,tblWorkPackages[[#This Row],[Completion date serial]]-tblWorkPackages[[#This Row],[Due date serial]])</f>
        <v>0</v>
      </c>
      <c r="AD345" s="65">
        <f>tblWorkPackages[[#This Row],[First labor date]]-tblWorkPackages[[#This Row],[Request date serial]]</f>
        <v>8</v>
      </c>
      <c r="AE345" s="65">
        <f>tblWorkPackages[[#This Row],[Last labor date]]-tblWorkPackages[[#This Row],[First labor date]]</f>
        <v>1</v>
      </c>
      <c r="AF345" s="65">
        <f>tblWorkPackages[[#This Row],[Completion date serial]]-tblWorkPackages[[#This Row],[Last labor date]]</f>
        <v>3</v>
      </c>
      <c r="AG345" s="65">
        <f>tblWorkPackages[[#This Row],[Completion date serial]]-tblWorkPackages[[#This Row],[Request date serial]]</f>
        <v>12</v>
      </c>
      <c r="AH345" s="65">
        <f>IFERROR(INDEX(tblParts[Delay days],MATCH(tblWorkPackages[[#This Row],[Work package ID]],tblParts[Work package ID],0)),0)</f>
        <v>0</v>
      </c>
      <c r="AI345" s="51" t="str">
        <f>IFERROR(INDEX(tblDisruptions[Event type],MATCH(tblWorkPackages[[#This Row],[Work package ID]],tblDisruptions[Work package ID],0)),"None")</f>
        <v>None</v>
      </c>
      <c r="AJ345" s="51" t="str">
        <f>TEXT(tblWorkPackages[[#This Row],[Due date serial]],"yyyy-mm")</f>
        <v>2024-04</v>
      </c>
    </row>
    <row r="346" spans="1:36" ht="15" x14ac:dyDescent="0.25">
      <c r="A346" s="53" t="s">
        <v>1065</v>
      </c>
      <c r="B346" s="53" t="s">
        <v>287</v>
      </c>
      <c r="C346" s="53" t="s">
        <v>196</v>
      </c>
      <c r="D346" s="53" t="s">
        <v>736</v>
      </c>
      <c r="E346" s="53" t="s">
        <v>136</v>
      </c>
      <c r="F346" s="53" t="s">
        <v>137</v>
      </c>
      <c r="G346" s="53" t="s">
        <v>138</v>
      </c>
      <c r="H346" s="53">
        <v>4</v>
      </c>
      <c r="I346" s="53" t="s">
        <v>130</v>
      </c>
      <c r="J346" s="53">
        <v>1</v>
      </c>
      <c r="K346" s="53">
        <v>0</v>
      </c>
      <c r="L346" s="53">
        <v>23.6</v>
      </c>
      <c r="M346" s="53" t="s">
        <v>169</v>
      </c>
      <c r="N346" s="53">
        <v>29.8</v>
      </c>
      <c r="O346" s="51" t="str">
        <f>TEXT(tblWorkPackages[[#This Row],[Request date serial]]-WEEKDAY(tblWorkPackages[[#This Row],[Request date serial]],3),"yyyy-mm-dd")</f>
        <v>2024-10-14</v>
      </c>
      <c r="P346" s="51">
        <f>ABS(tblWorkPackages[[#This Row],[Actual labor hours]]-tblWorkPackages[[#This Row],[Estimated labor hours]])</f>
        <v>6.2</v>
      </c>
      <c r="Q346" s="51">
        <f>IF(tblWorkPackages[[#This Row],[Actual labor hours]]&gt;tblWorkPackages[[#This Row],[Estimated labor hours]],1,0)</f>
        <v>1</v>
      </c>
      <c r="R346" s="51">
        <f>tblWorkPackages[[#This Row],[Actual labor hours]]-tblWorkPackages[[#This Row],[Estimated labor hours]]</f>
        <v>6.2</v>
      </c>
      <c r="S346" s="51" t="str">
        <f>IF(tblWorkPackages[[#This Row],[Request date serial]]&lt;ValidationStart,"Train 2024",IF(tblWorkPackages[[#This Row],[Request date serial]]&lt;HoldoutStart,"Validation H1","Holdout H2"))</f>
        <v>Train 2024</v>
      </c>
      <c r="T346" s="51" t="str">
        <f>IF(tblWorkPackages[[#This Row],[Time split]]="Train 2024","",tblWorkPackages[[#This Row],[Estimated labor hours]]+VLOOKUP(tblWorkPackages[[#This Row],[Task type]],'Forecast validation'!$A$14:$E$25,IF(tblWorkPackages[[#This Row],[Time split]]="Validation H1",4,5),FALSE()))</f>
        <v/>
      </c>
      <c r="U346" s="51" t="str">
        <f>IF(tblWorkPackages[[#This Row],[Calibrated forecast hours]]="","",ABS(tblWorkPackages[[#This Row],[Actual labor hours]]-tblWorkPackages[[#This Row],[Calibrated forecast hours]]))</f>
        <v/>
      </c>
      <c r="V346" s="51">
        <f>IF(tblWorkPackages[[#This Row],[Time split]]="Train 2024",tblWorkPackages[[#This Row],[Estimated labor hours]],tblWorkPackages[[#This Row],[Calibrated forecast hours]])</f>
        <v>23.6</v>
      </c>
      <c r="W346" s="64">
        <f>DATEVALUE(tblWorkPackages[[#This Row],[Request date]])</f>
        <v>45582.0</v>
      </c>
      <c r="X346" s="64">
        <f>DATEVALUE(tblWorkPackages[[#This Row],[Due date]])</f>
        <v>45595.0</v>
      </c>
      <c r="Y346" s="64">
        <f>DATEVALUE(tblWorkPackages[[#This Row],[Completion date]])</f>
        <v>45585.0</v>
      </c>
      <c r="Z346" s="64">
        <f>_xlfn.MINIFS(tblLaborEntries[Work date serial],tblLaborEntries[Work package ID],tblWorkPackages[[#This Row],[Work package ID]])</f>
        <v>45584.0</v>
      </c>
      <c r="AA346" s="64">
        <f>_xlfn.MAXIFS(tblLaborEntries[Work date serial],tblLaborEntries[Work package ID],tblWorkPackages[[#This Row],[Work package ID]])</f>
        <v>45585.0</v>
      </c>
      <c r="AB346" s="65">
        <f>IF(tblWorkPackages[[#This Row],[Completion date serial]]&gt;tblWorkPackages[[#This Row],[Due date serial]],1,0)</f>
        <v>0</v>
      </c>
      <c r="AC346" s="65">
        <f>MAX(0,tblWorkPackages[[#This Row],[Completion date serial]]-tblWorkPackages[[#This Row],[Due date serial]])</f>
        <v>0</v>
      </c>
      <c r="AD346" s="65">
        <f>tblWorkPackages[[#This Row],[First labor date]]-tblWorkPackages[[#This Row],[Request date serial]]</f>
        <v>2</v>
      </c>
      <c r="AE346" s="65">
        <f>tblWorkPackages[[#This Row],[Last labor date]]-tblWorkPackages[[#This Row],[First labor date]]</f>
        <v>1</v>
      </c>
      <c r="AF346" s="65">
        <f>tblWorkPackages[[#This Row],[Completion date serial]]-tblWorkPackages[[#This Row],[Last labor date]]</f>
        <v>0</v>
      </c>
      <c r="AG346" s="65">
        <f>tblWorkPackages[[#This Row],[Completion date serial]]-tblWorkPackages[[#This Row],[Request date serial]]</f>
        <v>3</v>
      </c>
      <c r="AH346" s="65">
        <f>IFERROR(INDEX(tblParts[Delay days],MATCH(tblWorkPackages[[#This Row],[Work package ID]],tblParts[Work package ID],0)),0)</f>
        <v>0</v>
      </c>
      <c r="AI346" s="51" t="str">
        <f>IFERROR(INDEX(tblDisruptions[Event type],MATCH(tblWorkPackages[[#This Row],[Work package ID]],tblDisruptions[Work package ID],0)),"None")</f>
        <v>None</v>
      </c>
      <c r="AJ346" s="51" t="str">
        <f>TEXT(tblWorkPackages[[#This Row],[Due date serial]],"yyyy-mm")</f>
        <v>2024-10</v>
      </c>
    </row>
    <row r="347" spans="1:36" ht="15" x14ac:dyDescent="0.25">
      <c r="A347" s="53" t="s">
        <v>1066</v>
      </c>
      <c r="B347" s="53" t="s">
        <v>230</v>
      </c>
      <c r="C347" s="53" t="s">
        <v>1067</v>
      </c>
      <c r="D347" s="53" t="s">
        <v>1068</v>
      </c>
      <c r="E347" s="53" t="s">
        <v>181</v>
      </c>
      <c r="F347" s="53" t="s">
        <v>182</v>
      </c>
      <c r="G347" s="53" t="s">
        <v>138</v>
      </c>
      <c r="H347" s="53">
        <v>4</v>
      </c>
      <c r="I347" s="53" t="s">
        <v>130</v>
      </c>
      <c r="J347" s="53">
        <v>0</v>
      </c>
      <c r="K347" s="53">
        <v>0</v>
      </c>
      <c r="L347" s="53">
        <v>16.3</v>
      </c>
      <c r="M347" s="53" t="s">
        <v>613</v>
      </c>
      <c r="N347" s="53">
        <v>13.4</v>
      </c>
      <c r="O347" s="51" t="str">
        <f>TEXT(tblWorkPackages[[#This Row],[Request date serial]]-WEEKDAY(tblWorkPackages[[#This Row],[Request date serial]],3),"yyyy-mm-dd")</f>
        <v>2024-03-04</v>
      </c>
      <c r="P347" s="51">
        <f>ABS(tblWorkPackages[[#This Row],[Actual labor hours]]-tblWorkPackages[[#This Row],[Estimated labor hours]])</f>
        <v>2.9</v>
      </c>
      <c r="Q347" s="51">
        <f>IF(tblWorkPackages[[#This Row],[Actual labor hours]]&gt;tblWorkPackages[[#This Row],[Estimated labor hours]],1,0)</f>
        <v>0</v>
      </c>
      <c r="R347" s="51">
        <f>tblWorkPackages[[#This Row],[Actual labor hours]]-tblWorkPackages[[#This Row],[Estimated labor hours]]</f>
        <v>-2.9</v>
      </c>
      <c r="S347" s="51" t="str">
        <f>IF(tblWorkPackages[[#This Row],[Request date serial]]&lt;ValidationStart,"Train 2024",IF(tblWorkPackages[[#This Row],[Request date serial]]&lt;HoldoutStart,"Validation H1","Holdout H2"))</f>
        <v>Train 2024</v>
      </c>
      <c r="T347" s="51" t="str">
        <f>IF(tblWorkPackages[[#This Row],[Time split]]="Train 2024","",tblWorkPackages[[#This Row],[Estimated labor hours]]+VLOOKUP(tblWorkPackages[[#This Row],[Task type]],'Forecast validation'!$A$14:$E$25,IF(tblWorkPackages[[#This Row],[Time split]]="Validation H1",4,5),FALSE()))</f>
        <v/>
      </c>
      <c r="U347" s="51" t="str">
        <f>IF(tblWorkPackages[[#This Row],[Calibrated forecast hours]]="","",ABS(tblWorkPackages[[#This Row],[Actual labor hours]]-tblWorkPackages[[#This Row],[Calibrated forecast hours]]))</f>
        <v/>
      </c>
      <c r="V347" s="51">
        <f>IF(tblWorkPackages[[#This Row],[Time split]]="Train 2024",tblWorkPackages[[#This Row],[Estimated labor hours]],tblWorkPackages[[#This Row],[Calibrated forecast hours]])</f>
        <v>16.3</v>
      </c>
      <c r="W347" s="64">
        <f>DATEVALUE(tblWorkPackages[[#This Row],[Request date]])</f>
        <v>45357.0</v>
      </c>
      <c r="X347" s="64">
        <f>DATEVALUE(tblWorkPackages[[#This Row],[Due date]])</f>
        <v>45370.0</v>
      </c>
      <c r="Y347" s="64">
        <f>DATEVALUE(tblWorkPackages[[#This Row],[Completion date]])</f>
        <v>45380.0</v>
      </c>
      <c r="Z347" s="64">
        <f>_xlfn.MINIFS(tblLaborEntries[Work date serial],tblLaborEntries[Work package ID],tblWorkPackages[[#This Row],[Work package ID]])</f>
        <v>45378.0</v>
      </c>
      <c r="AA347" s="64">
        <f>_xlfn.MAXIFS(tblLaborEntries[Work date serial],tblLaborEntries[Work package ID],tblWorkPackages[[#This Row],[Work package ID]])</f>
        <v>45379.0</v>
      </c>
      <c r="AB347" s="65">
        <f>IF(tblWorkPackages[[#This Row],[Completion date serial]]&gt;tblWorkPackages[[#This Row],[Due date serial]],1,0)</f>
        <v>1</v>
      </c>
      <c r="AC347" s="65">
        <f>MAX(0,tblWorkPackages[[#This Row],[Completion date serial]]-tblWorkPackages[[#This Row],[Due date serial]])</f>
        <v>10</v>
      </c>
      <c r="AD347" s="65">
        <f>tblWorkPackages[[#This Row],[First labor date]]-tblWorkPackages[[#This Row],[Request date serial]]</f>
        <v>21</v>
      </c>
      <c r="AE347" s="65">
        <f>tblWorkPackages[[#This Row],[Last labor date]]-tblWorkPackages[[#This Row],[First labor date]]</f>
        <v>1</v>
      </c>
      <c r="AF347" s="65">
        <f>tblWorkPackages[[#This Row],[Completion date serial]]-tblWorkPackages[[#This Row],[Last labor date]]</f>
        <v>1</v>
      </c>
      <c r="AG347" s="65">
        <f>tblWorkPackages[[#This Row],[Completion date serial]]-tblWorkPackages[[#This Row],[Request date serial]]</f>
        <v>23</v>
      </c>
      <c r="AH347" s="65">
        <f>IFERROR(INDEX(tblParts[Delay days],MATCH(tblWorkPackages[[#This Row],[Work package ID]],tblParts[Work package ID],0)),0)</f>
        <v>0</v>
      </c>
      <c r="AI347" s="51" t="str">
        <f>IFERROR(INDEX(tblDisruptions[Event type],MATCH(tblWorkPackages[[#This Row],[Work package ID]],tblDisruptions[Work package ID],0)),"None")</f>
        <v>None</v>
      </c>
      <c r="AJ347" s="51" t="str">
        <f>TEXT(tblWorkPackages[[#This Row],[Due date serial]],"yyyy-mm")</f>
        <v>2024-03</v>
      </c>
    </row>
    <row r="348" spans="1:36" ht="15" x14ac:dyDescent="0.25">
      <c r="A348" s="53" t="s">
        <v>1069</v>
      </c>
      <c r="B348" s="53" t="s">
        <v>163</v>
      </c>
      <c r="C348" s="53" t="s">
        <v>916</v>
      </c>
      <c r="D348" s="53" t="s">
        <v>364</v>
      </c>
      <c r="E348" s="53" t="s">
        <v>223</v>
      </c>
      <c r="F348" s="53" t="s">
        <v>182</v>
      </c>
      <c r="G348" s="53" t="s">
        <v>154</v>
      </c>
      <c r="H348" s="53">
        <v>2</v>
      </c>
      <c r="I348" s="53" t="s">
        <v>130</v>
      </c>
      <c r="J348" s="53">
        <v>0</v>
      </c>
      <c r="K348" s="53">
        <v>0</v>
      </c>
      <c r="L348" s="53">
        <v>13.3</v>
      </c>
      <c r="M348" s="53" t="s">
        <v>1004</v>
      </c>
      <c r="N348" s="53">
        <v>11.4</v>
      </c>
      <c r="O348" s="51" t="str">
        <f>TEXT(tblWorkPackages[[#This Row],[Request date serial]]-WEEKDAY(tblWorkPackages[[#This Row],[Request date serial]],3),"yyyy-mm-dd")</f>
        <v>2025-04-28</v>
      </c>
      <c r="P348" s="51">
        <f>ABS(tblWorkPackages[[#This Row],[Actual labor hours]]-tblWorkPackages[[#This Row],[Estimated labor hours]])</f>
        <v>1.9</v>
      </c>
      <c r="Q348" s="51">
        <f>IF(tblWorkPackages[[#This Row],[Actual labor hours]]&gt;tblWorkPackages[[#This Row],[Estimated labor hours]],1,0)</f>
        <v>0</v>
      </c>
      <c r="R348" s="51">
        <f>tblWorkPackages[[#This Row],[Actual labor hours]]-tblWorkPackages[[#This Row],[Estimated labor hours]]</f>
        <v>-1.9</v>
      </c>
      <c r="S348" s="51" t="str">
        <f>IF(tblWorkPackages[[#This Row],[Request date serial]]&lt;ValidationStart,"Train 2024",IF(tblWorkPackages[[#This Row],[Request date serial]]&lt;HoldoutStart,"Validation H1","Holdout H2"))</f>
        <v>Validation H1</v>
      </c>
      <c r="T348" s="51">
        <f>IF(tblWorkPackages[[#This Row],[Time split]]="Train 2024","",tblWorkPackages[[#This Row],[Estimated labor hours]]+VLOOKUP(tblWorkPackages[[#This Row],[Task type]],'Forecast validation'!$A$14:$E$25,IF(tblWorkPackages[[#This Row],[Time split]]="Validation H1",4,5),FALSE()))</f>
        <v>14.1824175824176</v>
      </c>
      <c r="U348" s="51">
        <f>IF(tblWorkPackages[[#This Row],[Calibrated forecast hours]]="","",ABS(tblWorkPackages[[#This Row],[Actual labor hours]]-tblWorkPackages[[#This Row],[Calibrated forecast hours]]))</f>
        <v>2.78241758241758</v>
      </c>
      <c r="V348" s="51">
        <f>IF(tblWorkPackages[[#This Row],[Time split]]="Train 2024",tblWorkPackages[[#This Row],[Estimated labor hours]],tblWorkPackages[[#This Row],[Calibrated forecast hours]])</f>
        <v>14.1824175824176</v>
      </c>
      <c r="W348" s="64">
        <f>DATEVALUE(tblWorkPackages[[#This Row],[Request date]])</f>
        <v>45777.0</v>
      </c>
      <c r="X348" s="64">
        <f>DATEVALUE(tblWorkPackages[[#This Row],[Due date]])</f>
        <v>45790.0</v>
      </c>
      <c r="Y348" s="64">
        <f>DATEVALUE(tblWorkPackages[[#This Row],[Completion date]])</f>
        <v>45785.0</v>
      </c>
      <c r="Z348" s="64">
        <f>_xlfn.MINIFS(tblLaborEntries[Work date serial],tblLaborEntries[Work package ID],tblWorkPackages[[#This Row],[Work package ID]])</f>
        <v>45781.0</v>
      </c>
      <c r="AA348" s="64">
        <f>_xlfn.MAXIFS(tblLaborEntries[Work date serial],tblLaborEntries[Work package ID],tblWorkPackages[[#This Row],[Work package ID]])</f>
        <v>45783.0</v>
      </c>
      <c r="AB348" s="65">
        <f>IF(tblWorkPackages[[#This Row],[Completion date serial]]&gt;tblWorkPackages[[#This Row],[Due date serial]],1,0)</f>
        <v>0</v>
      </c>
      <c r="AC348" s="65">
        <f>MAX(0,tblWorkPackages[[#This Row],[Completion date serial]]-tblWorkPackages[[#This Row],[Due date serial]])</f>
        <v>0</v>
      </c>
      <c r="AD348" s="65">
        <f>tblWorkPackages[[#This Row],[First labor date]]-tblWorkPackages[[#This Row],[Request date serial]]</f>
        <v>4</v>
      </c>
      <c r="AE348" s="65">
        <f>tblWorkPackages[[#This Row],[Last labor date]]-tblWorkPackages[[#This Row],[First labor date]]</f>
        <v>2</v>
      </c>
      <c r="AF348" s="65">
        <f>tblWorkPackages[[#This Row],[Completion date serial]]-tblWorkPackages[[#This Row],[Last labor date]]</f>
        <v>2</v>
      </c>
      <c r="AG348" s="65">
        <f>tblWorkPackages[[#This Row],[Completion date serial]]-tblWorkPackages[[#This Row],[Request date serial]]</f>
        <v>8</v>
      </c>
      <c r="AH348" s="65">
        <f>IFERROR(INDEX(tblParts[Delay days],MATCH(tblWorkPackages[[#This Row],[Work package ID]],tblParts[Work package ID],0)),0)</f>
        <v>0</v>
      </c>
      <c r="AI348" s="51" t="str">
        <f>IFERROR(INDEX(tblDisruptions[Event type],MATCH(tblWorkPackages[[#This Row],[Work package ID]],tblDisruptions[Work package ID],0)),"None")</f>
        <v>None</v>
      </c>
      <c r="AJ348" s="51" t="str">
        <f>TEXT(tblWorkPackages[[#This Row],[Due date serial]],"yyyy-mm")</f>
        <v>2025-05</v>
      </c>
    </row>
    <row r="349" spans="1:36" ht="15" x14ac:dyDescent="0.25">
      <c r="A349" s="53" t="s">
        <v>1070</v>
      </c>
      <c r="B349" s="53" t="s">
        <v>168</v>
      </c>
      <c r="C349" s="53" t="s">
        <v>347</v>
      </c>
      <c r="D349" s="53" t="s">
        <v>246</v>
      </c>
      <c r="E349" s="53" t="s">
        <v>153</v>
      </c>
      <c r="F349" s="53" t="s">
        <v>128</v>
      </c>
      <c r="G349" s="53" t="s">
        <v>154</v>
      </c>
      <c r="H349" s="53">
        <v>4</v>
      </c>
      <c r="I349" s="53" t="s">
        <v>176</v>
      </c>
      <c r="J349" s="53">
        <v>0</v>
      </c>
      <c r="K349" s="53">
        <v>1</v>
      </c>
      <c r="L349" s="53">
        <v>19.8</v>
      </c>
      <c r="M349" s="53" t="s">
        <v>701</v>
      </c>
      <c r="N349" s="53">
        <v>19.7</v>
      </c>
      <c r="O349" s="51" t="str">
        <f>TEXT(tblWorkPackages[[#This Row],[Request date serial]]-WEEKDAY(tblWorkPackages[[#This Row],[Request date serial]],3),"yyyy-mm-dd")</f>
        <v>2024-03-04</v>
      </c>
      <c r="P349" s="51">
        <f>ABS(tblWorkPackages[[#This Row],[Actual labor hours]]-tblWorkPackages[[#This Row],[Estimated labor hours]])</f>
        <v>0.100000000000001</v>
      </c>
      <c r="Q349" s="51">
        <f>IF(tblWorkPackages[[#This Row],[Actual labor hours]]&gt;tblWorkPackages[[#This Row],[Estimated labor hours]],1,0)</f>
        <v>0</v>
      </c>
      <c r="R349" s="51">
        <f>tblWorkPackages[[#This Row],[Actual labor hours]]-tblWorkPackages[[#This Row],[Estimated labor hours]]</f>
        <v>-0.100000000000001</v>
      </c>
      <c r="S349" s="51" t="str">
        <f>IF(tblWorkPackages[[#This Row],[Request date serial]]&lt;ValidationStart,"Train 2024",IF(tblWorkPackages[[#This Row],[Request date serial]]&lt;HoldoutStart,"Validation H1","Holdout H2"))</f>
        <v>Train 2024</v>
      </c>
      <c r="T349" s="51" t="str">
        <f>IF(tblWorkPackages[[#This Row],[Time split]]="Train 2024","",tblWorkPackages[[#This Row],[Estimated labor hours]]+VLOOKUP(tblWorkPackages[[#This Row],[Task type]],'Forecast validation'!$A$14:$E$25,IF(tblWorkPackages[[#This Row],[Time split]]="Validation H1",4,5),FALSE()))</f>
        <v/>
      </c>
      <c r="U349" s="51" t="str">
        <f>IF(tblWorkPackages[[#This Row],[Calibrated forecast hours]]="","",ABS(tblWorkPackages[[#This Row],[Actual labor hours]]-tblWorkPackages[[#This Row],[Calibrated forecast hours]]))</f>
        <v/>
      </c>
      <c r="V349" s="51">
        <f>IF(tblWorkPackages[[#This Row],[Time split]]="Train 2024",tblWorkPackages[[#This Row],[Estimated labor hours]],tblWorkPackages[[#This Row],[Calibrated forecast hours]])</f>
        <v>19.8</v>
      </c>
      <c r="W349" s="64">
        <f>DATEVALUE(tblWorkPackages[[#This Row],[Request date]])</f>
        <v>45358.0</v>
      </c>
      <c r="X349" s="64">
        <f>DATEVALUE(tblWorkPackages[[#This Row],[Due date]])</f>
        <v>45364.0</v>
      </c>
      <c r="Y349" s="64">
        <f>DATEVALUE(tblWorkPackages[[#This Row],[Completion date]])</f>
        <v>45362.0</v>
      </c>
      <c r="Z349" s="64">
        <f>_xlfn.MINIFS(tblLaborEntries[Work date serial],tblLaborEntries[Work package ID],tblWorkPackages[[#This Row],[Work package ID]])</f>
        <v>45359.0</v>
      </c>
      <c r="AA349" s="64">
        <f>_xlfn.MAXIFS(tblLaborEntries[Work date serial],tblLaborEntries[Work package ID],tblWorkPackages[[#This Row],[Work package ID]])</f>
        <v>45359.0</v>
      </c>
      <c r="AB349" s="65">
        <f>IF(tblWorkPackages[[#This Row],[Completion date serial]]&gt;tblWorkPackages[[#This Row],[Due date serial]],1,0)</f>
        <v>0</v>
      </c>
      <c r="AC349" s="65">
        <f>MAX(0,tblWorkPackages[[#This Row],[Completion date serial]]-tblWorkPackages[[#This Row],[Due date serial]])</f>
        <v>0</v>
      </c>
      <c r="AD349" s="65">
        <f>tblWorkPackages[[#This Row],[First labor date]]-tblWorkPackages[[#This Row],[Request date serial]]</f>
        <v>1</v>
      </c>
      <c r="AE349" s="65">
        <f>tblWorkPackages[[#This Row],[Last labor date]]-tblWorkPackages[[#This Row],[First labor date]]</f>
        <v>0</v>
      </c>
      <c r="AF349" s="65">
        <f>tblWorkPackages[[#This Row],[Completion date serial]]-tblWorkPackages[[#This Row],[Last labor date]]</f>
        <v>3</v>
      </c>
      <c r="AG349" s="65">
        <f>tblWorkPackages[[#This Row],[Completion date serial]]-tblWorkPackages[[#This Row],[Request date serial]]</f>
        <v>4</v>
      </c>
      <c r="AH349" s="65">
        <f>IFERROR(INDEX(tblParts[Delay days],MATCH(tblWorkPackages[[#This Row],[Work package ID]],tblParts[Work package ID],0)),0)</f>
        <v>0</v>
      </c>
      <c r="AI349" s="51" t="str">
        <f>IFERROR(INDEX(tblDisruptions[Event type],MATCH(tblWorkPackages[[#This Row],[Work package ID]],tblDisruptions[Work package ID],0)),"None")</f>
        <v>None</v>
      </c>
      <c r="AJ349" s="51" t="str">
        <f>TEXT(tblWorkPackages[[#This Row],[Due date serial]],"yyyy-mm")</f>
        <v>2024-03</v>
      </c>
    </row>
    <row r="350" spans="1:36" ht="15" x14ac:dyDescent="0.25">
      <c r="A350" s="53" t="s">
        <v>1071</v>
      </c>
      <c r="B350" s="53" t="s">
        <v>133</v>
      </c>
      <c r="C350" s="53" t="s">
        <v>1072</v>
      </c>
      <c r="D350" s="53" t="s">
        <v>818</v>
      </c>
      <c r="E350" s="53" t="s">
        <v>127</v>
      </c>
      <c r="F350" s="53" t="s">
        <v>128</v>
      </c>
      <c r="G350" s="53" t="s">
        <v>129</v>
      </c>
      <c r="H350" s="53">
        <v>4</v>
      </c>
      <c r="I350" s="53" t="s">
        <v>130</v>
      </c>
      <c r="J350" s="53">
        <v>0</v>
      </c>
      <c r="K350" s="53">
        <v>0</v>
      </c>
      <c r="L350" s="53">
        <v>11.8</v>
      </c>
      <c r="M350" s="53" t="s">
        <v>1073</v>
      </c>
      <c r="N350" s="53">
        <v>10.9</v>
      </c>
      <c r="O350" s="51" t="str">
        <f>TEXT(tblWorkPackages[[#This Row],[Request date serial]]-WEEKDAY(tblWorkPackages[[#This Row],[Request date serial]],3),"yyyy-mm-dd")</f>
        <v>2024-12-02</v>
      </c>
      <c r="P350" s="51">
        <f>ABS(tblWorkPackages[[#This Row],[Actual labor hours]]-tblWorkPackages[[#This Row],[Estimated labor hours]])</f>
        <v>0.9</v>
      </c>
      <c r="Q350" s="51">
        <f>IF(tblWorkPackages[[#This Row],[Actual labor hours]]&gt;tblWorkPackages[[#This Row],[Estimated labor hours]],1,0)</f>
        <v>0</v>
      </c>
      <c r="R350" s="51">
        <f>tblWorkPackages[[#This Row],[Actual labor hours]]-tblWorkPackages[[#This Row],[Estimated labor hours]]</f>
        <v>-0.9</v>
      </c>
      <c r="S350" s="51" t="str">
        <f>IF(tblWorkPackages[[#This Row],[Request date serial]]&lt;ValidationStart,"Train 2024",IF(tblWorkPackages[[#This Row],[Request date serial]]&lt;HoldoutStart,"Validation H1","Holdout H2"))</f>
        <v>Train 2024</v>
      </c>
      <c r="T350" s="51" t="str">
        <f>IF(tblWorkPackages[[#This Row],[Time split]]="Train 2024","",tblWorkPackages[[#This Row],[Estimated labor hours]]+VLOOKUP(tblWorkPackages[[#This Row],[Task type]],'Forecast validation'!$A$14:$E$25,IF(tblWorkPackages[[#This Row],[Time split]]="Validation H1",4,5),FALSE()))</f>
        <v/>
      </c>
      <c r="U350" s="51" t="str">
        <f>IF(tblWorkPackages[[#This Row],[Calibrated forecast hours]]="","",ABS(tblWorkPackages[[#This Row],[Actual labor hours]]-tblWorkPackages[[#This Row],[Calibrated forecast hours]]))</f>
        <v/>
      </c>
      <c r="V350" s="51">
        <f>IF(tblWorkPackages[[#This Row],[Time split]]="Train 2024",tblWorkPackages[[#This Row],[Estimated labor hours]],tblWorkPackages[[#This Row],[Calibrated forecast hours]])</f>
        <v>11.8</v>
      </c>
      <c r="W350" s="64">
        <f>DATEVALUE(tblWorkPackages[[#This Row],[Request date]])</f>
        <v>45630.0</v>
      </c>
      <c r="X350" s="64">
        <f>DATEVALUE(tblWorkPackages[[#This Row],[Due date]])</f>
        <v>45643.0</v>
      </c>
      <c r="Y350" s="64">
        <f>DATEVALUE(tblWorkPackages[[#This Row],[Completion date]])</f>
        <v>45642.0</v>
      </c>
      <c r="Z350" s="64">
        <f>_xlfn.MINIFS(tblLaborEntries[Work date serial],tblLaborEntries[Work package ID],tblWorkPackages[[#This Row],[Work package ID]])</f>
        <v>45642.0</v>
      </c>
      <c r="AA350" s="64">
        <f>_xlfn.MAXIFS(tblLaborEntries[Work date serial],tblLaborEntries[Work package ID],tblWorkPackages[[#This Row],[Work package ID]])</f>
        <v>45642.0</v>
      </c>
      <c r="AB350" s="65">
        <f>IF(tblWorkPackages[[#This Row],[Completion date serial]]&gt;tblWorkPackages[[#This Row],[Due date serial]],1,0)</f>
        <v>0</v>
      </c>
      <c r="AC350" s="65">
        <f>MAX(0,tblWorkPackages[[#This Row],[Completion date serial]]-tblWorkPackages[[#This Row],[Due date serial]])</f>
        <v>0</v>
      </c>
      <c r="AD350" s="65">
        <f>tblWorkPackages[[#This Row],[First labor date]]-tblWorkPackages[[#This Row],[Request date serial]]</f>
        <v>12</v>
      </c>
      <c r="AE350" s="65">
        <f>tblWorkPackages[[#This Row],[Last labor date]]-tblWorkPackages[[#This Row],[First labor date]]</f>
        <v>0</v>
      </c>
      <c r="AF350" s="65">
        <f>tblWorkPackages[[#This Row],[Completion date serial]]-tblWorkPackages[[#This Row],[Last labor date]]</f>
        <v>0</v>
      </c>
      <c r="AG350" s="65">
        <f>tblWorkPackages[[#This Row],[Completion date serial]]-tblWorkPackages[[#This Row],[Request date serial]]</f>
        <v>12</v>
      </c>
      <c r="AH350" s="65">
        <f>IFERROR(INDEX(tblParts[Delay days],MATCH(tblWorkPackages[[#This Row],[Work package ID]],tblParts[Work package ID],0)),0)</f>
        <v>0</v>
      </c>
      <c r="AI350" s="51" t="str">
        <f>IFERROR(INDEX(tblDisruptions[Event type],MATCH(tblWorkPackages[[#This Row],[Work package ID]],tblDisruptions[Work package ID],0)),"None")</f>
        <v>None</v>
      </c>
      <c r="AJ350" s="51" t="str">
        <f>TEXT(tblWorkPackages[[#This Row],[Due date serial]],"yyyy-mm")</f>
        <v>2024-12</v>
      </c>
    </row>
    <row r="351" spans="1:36" ht="15" x14ac:dyDescent="0.25">
      <c r="A351" s="53" t="s">
        <v>1074</v>
      </c>
      <c r="B351" s="53" t="s">
        <v>157</v>
      </c>
      <c r="C351" s="53" t="s">
        <v>468</v>
      </c>
      <c r="D351" s="53" t="s">
        <v>517</v>
      </c>
      <c r="E351" s="53" t="s">
        <v>209</v>
      </c>
      <c r="F351" s="53" t="s">
        <v>145</v>
      </c>
      <c r="G351" s="53" t="s">
        <v>210</v>
      </c>
      <c r="H351" s="53">
        <v>3</v>
      </c>
      <c r="I351" s="53" t="s">
        <v>130</v>
      </c>
      <c r="J351" s="53">
        <v>0</v>
      </c>
      <c r="K351" s="53">
        <v>1</v>
      </c>
      <c r="L351" s="53">
        <v>29.6</v>
      </c>
      <c r="M351" s="53" t="s">
        <v>125</v>
      </c>
      <c r="N351" s="53">
        <v>24.5</v>
      </c>
      <c r="O351" s="51" t="str">
        <f>TEXT(tblWorkPackages[[#This Row],[Request date serial]]-WEEKDAY(tblWorkPackages[[#This Row],[Request date serial]],3),"yyyy-mm-dd")</f>
        <v>2025-04-28</v>
      </c>
      <c r="P351" s="51">
        <f>ABS(tblWorkPackages[[#This Row],[Actual labor hours]]-tblWorkPackages[[#This Row],[Estimated labor hours]])</f>
        <v>5.1</v>
      </c>
      <c r="Q351" s="51">
        <f>IF(tblWorkPackages[[#This Row],[Actual labor hours]]&gt;tblWorkPackages[[#This Row],[Estimated labor hours]],1,0)</f>
        <v>0</v>
      </c>
      <c r="R351" s="51">
        <f>tblWorkPackages[[#This Row],[Actual labor hours]]-tblWorkPackages[[#This Row],[Estimated labor hours]]</f>
        <v>-5.1</v>
      </c>
      <c r="S351" s="51" t="str">
        <f>IF(tblWorkPackages[[#This Row],[Request date serial]]&lt;ValidationStart,"Train 2024",IF(tblWorkPackages[[#This Row],[Request date serial]]&lt;HoldoutStart,"Validation H1","Holdout H2"))</f>
        <v>Validation H1</v>
      </c>
      <c r="T351" s="51">
        <f>IF(tblWorkPackages[[#This Row],[Time split]]="Train 2024","",tblWorkPackages[[#This Row],[Estimated labor hours]]+VLOOKUP(tblWorkPackages[[#This Row],[Task type]],'Forecast validation'!$A$14:$E$25,IF(tblWorkPackages[[#This Row],[Time split]]="Validation H1",4,5),FALSE()))</f>
        <v>30.7029850746269</v>
      </c>
      <c r="U351" s="51">
        <f>IF(tblWorkPackages[[#This Row],[Calibrated forecast hours]]="","",ABS(tblWorkPackages[[#This Row],[Actual labor hours]]-tblWorkPackages[[#This Row],[Calibrated forecast hours]]))</f>
        <v>6.20298507462687</v>
      </c>
      <c r="V351" s="51">
        <f>IF(tblWorkPackages[[#This Row],[Time split]]="Train 2024",tblWorkPackages[[#This Row],[Estimated labor hours]],tblWorkPackages[[#This Row],[Calibrated forecast hours]])</f>
        <v>30.7029850746269</v>
      </c>
      <c r="W351" s="64">
        <f>DATEVALUE(tblWorkPackages[[#This Row],[Request date]])</f>
        <v>45775.0</v>
      </c>
      <c r="X351" s="64">
        <f>DATEVALUE(tblWorkPackages[[#This Row],[Due date]])</f>
        <v>45788.0</v>
      </c>
      <c r="Y351" s="64">
        <f>DATEVALUE(tblWorkPackages[[#This Row],[Completion date]])</f>
        <v>45780.0</v>
      </c>
      <c r="Z351" s="64">
        <f>_xlfn.MINIFS(tblLaborEntries[Work date serial],tblLaborEntries[Work package ID],tblWorkPackages[[#This Row],[Work package ID]])</f>
        <v>45778.0</v>
      </c>
      <c r="AA351" s="64">
        <f>_xlfn.MAXIFS(tblLaborEntries[Work date serial],tblLaborEntries[Work package ID],tblWorkPackages[[#This Row],[Work package ID]])</f>
        <v>45779.0</v>
      </c>
      <c r="AB351" s="65">
        <f>IF(tblWorkPackages[[#This Row],[Completion date serial]]&gt;tblWorkPackages[[#This Row],[Due date serial]],1,0)</f>
        <v>0</v>
      </c>
      <c r="AC351" s="65">
        <f>MAX(0,tblWorkPackages[[#This Row],[Completion date serial]]-tblWorkPackages[[#This Row],[Due date serial]])</f>
        <v>0</v>
      </c>
      <c r="AD351" s="65">
        <f>tblWorkPackages[[#This Row],[First labor date]]-tblWorkPackages[[#This Row],[Request date serial]]</f>
        <v>3</v>
      </c>
      <c r="AE351" s="65">
        <f>tblWorkPackages[[#This Row],[Last labor date]]-tblWorkPackages[[#This Row],[First labor date]]</f>
        <v>1</v>
      </c>
      <c r="AF351" s="65">
        <f>tblWorkPackages[[#This Row],[Completion date serial]]-tblWorkPackages[[#This Row],[Last labor date]]</f>
        <v>1</v>
      </c>
      <c r="AG351" s="65">
        <f>tblWorkPackages[[#This Row],[Completion date serial]]-tblWorkPackages[[#This Row],[Request date serial]]</f>
        <v>5</v>
      </c>
      <c r="AH351" s="65">
        <f>IFERROR(INDEX(tblParts[Delay days],MATCH(tblWorkPackages[[#This Row],[Work package ID]],tblParts[Work package ID],0)),0)</f>
        <v>0</v>
      </c>
      <c r="AI351" s="51" t="str">
        <f>IFERROR(INDEX(tblDisruptions[Event type],MATCH(tblWorkPackages[[#This Row],[Work package ID]],tblDisruptions[Work package ID],0)),"None")</f>
        <v>None</v>
      </c>
      <c r="AJ351" s="51" t="str">
        <f>TEXT(tblWorkPackages[[#This Row],[Due date serial]],"yyyy-mm")</f>
        <v>2025-05</v>
      </c>
    </row>
    <row r="352" spans="1:36" ht="15" x14ac:dyDescent="0.25">
      <c r="A352" s="53" t="s">
        <v>1075</v>
      </c>
      <c r="B352" s="53" t="s">
        <v>173</v>
      </c>
      <c r="C352" s="53" t="s">
        <v>807</v>
      </c>
      <c r="D352" s="53" t="s">
        <v>808</v>
      </c>
      <c r="E352" s="53" t="s">
        <v>242</v>
      </c>
      <c r="F352" s="53" t="s">
        <v>243</v>
      </c>
      <c r="G352" s="53" t="s">
        <v>129</v>
      </c>
      <c r="H352" s="53">
        <v>2</v>
      </c>
      <c r="I352" s="53" t="s">
        <v>130</v>
      </c>
      <c r="J352" s="53">
        <v>0</v>
      </c>
      <c r="K352" s="53">
        <v>1</v>
      </c>
      <c r="L352" s="53">
        <v>9.1999999999999993</v>
      </c>
      <c r="M352" s="53" t="s">
        <v>1076</v>
      </c>
      <c r="N352" s="53">
        <v>9.8000000000000007</v>
      </c>
      <c r="O352" s="51" t="str">
        <f>TEXT(tblWorkPackages[[#This Row],[Request date serial]]-WEEKDAY(tblWorkPackages[[#This Row],[Request date serial]],3),"yyyy-mm-dd")</f>
        <v>2025-04-14</v>
      </c>
      <c r="P352" s="51">
        <f>ABS(tblWorkPackages[[#This Row],[Actual labor hours]]-tblWorkPackages[[#This Row],[Estimated labor hours]])</f>
        <v>0.600000000000001</v>
      </c>
      <c r="Q352" s="51">
        <f>IF(tblWorkPackages[[#This Row],[Actual labor hours]]&gt;tblWorkPackages[[#This Row],[Estimated labor hours]],1,0)</f>
        <v>1</v>
      </c>
      <c r="R352" s="51">
        <f>tblWorkPackages[[#This Row],[Actual labor hours]]-tblWorkPackages[[#This Row],[Estimated labor hours]]</f>
        <v>0.600000000000001</v>
      </c>
      <c r="S352" s="51" t="str">
        <f>IF(tblWorkPackages[[#This Row],[Request date serial]]&lt;ValidationStart,"Train 2024",IF(tblWorkPackages[[#This Row],[Request date serial]]&lt;HoldoutStart,"Validation H1","Holdout H2"))</f>
        <v>Validation H1</v>
      </c>
      <c r="T352" s="51">
        <f>IF(tblWorkPackages[[#This Row],[Time split]]="Train 2024","",tblWorkPackages[[#This Row],[Estimated labor hours]]+VLOOKUP(tblWorkPackages[[#This Row],[Task type]],'Forecast validation'!$A$14:$E$25,IF(tblWorkPackages[[#This Row],[Time split]]="Validation H1",4,5),FALSE()))</f>
        <v>9.75612244897959</v>
      </c>
      <c r="U352" s="51">
        <f>IF(tblWorkPackages[[#This Row],[Calibrated forecast hours]]="","",ABS(tblWorkPackages[[#This Row],[Actual labor hours]]-tblWorkPackages[[#This Row],[Calibrated forecast hours]]))</f>
        <v>0.0438775510204099</v>
      </c>
      <c r="V352" s="51">
        <f>IF(tblWorkPackages[[#This Row],[Time split]]="Train 2024",tblWorkPackages[[#This Row],[Estimated labor hours]],tblWorkPackages[[#This Row],[Calibrated forecast hours]])</f>
        <v>9.75612244897959</v>
      </c>
      <c r="W352" s="64">
        <f>DATEVALUE(tblWorkPackages[[#This Row],[Request date]])</f>
        <v>45766.0</v>
      </c>
      <c r="X352" s="64">
        <f>DATEVALUE(tblWorkPackages[[#This Row],[Due date]])</f>
        <v>45779.0</v>
      </c>
      <c r="Y352" s="64">
        <f>DATEVALUE(tblWorkPackages[[#This Row],[Completion date]])</f>
        <v>45804.0</v>
      </c>
      <c r="Z352" s="64">
        <f>_xlfn.MINIFS(tblLaborEntries[Work date serial],tblLaborEntries[Work package ID],tblWorkPackages[[#This Row],[Work package ID]])</f>
        <v>45800.0</v>
      </c>
      <c r="AA352" s="64">
        <f>_xlfn.MAXIFS(tblLaborEntries[Work date serial],tblLaborEntries[Work package ID],tblWorkPackages[[#This Row],[Work package ID]])</f>
        <v>45802.0</v>
      </c>
      <c r="AB352" s="65">
        <f>IF(tblWorkPackages[[#This Row],[Completion date serial]]&gt;tblWorkPackages[[#This Row],[Due date serial]],1,0)</f>
        <v>1</v>
      </c>
      <c r="AC352" s="65">
        <f>MAX(0,tblWorkPackages[[#This Row],[Completion date serial]]-tblWorkPackages[[#This Row],[Due date serial]])</f>
        <v>25</v>
      </c>
      <c r="AD352" s="65">
        <f>tblWorkPackages[[#This Row],[First labor date]]-tblWorkPackages[[#This Row],[Request date serial]]</f>
        <v>34</v>
      </c>
      <c r="AE352" s="65">
        <f>tblWorkPackages[[#This Row],[Last labor date]]-tblWorkPackages[[#This Row],[First labor date]]</f>
        <v>2</v>
      </c>
      <c r="AF352" s="65">
        <f>tblWorkPackages[[#This Row],[Completion date serial]]-tblWorkPackages[[#This Row],[Last labor date]]</f>
        <v>2</v>
      </c>
      <c r="AG352" s="65">
        <f>tblWorkPackages[[#This Row],[Completion date serial]]-tblWorkPackages[[#This Row],[Request date serial]]</f>
        <v>38</v>
      </c>
      <c r="AH352" s="65">
        <f>IFERROR(INDEX(tblParts[Delay days],MATCH(tblWorkPackages[[#This Row],[Work package ID]],tblParts[Work package ID],0)),0)</f>
        <v>0</v>
      </c>
      <c r="AI352" s="51" t="str">
        <f>IFERROR(INDEX(tblDisruptions[Event type],MATCH(tblWorkPackages[[#This Row],[Work package ID]],tblDisruptions[Work package ID],0)),"None")</f>
        <v>None</v>
      </c>
      <c r="AJ352" s="51" t="str">
        <f>TEXT(tblWorkPackages[[#This Row],[Due date serial]],"yyyy-mm")</f>
        <v>2025-05</v>
      </c>
    </row>
    <row r="353" spans="1:36" ht="15" x14ac:dyDescent="0.25">
      <c r="A353" s="53" t="s">
        <v>1077</v>
      </c>
      <c r="B353" s="53" t="s">
        <v>185</v>
      </c>
      <c r="C353" s="53" t="s">
        <v>583</v>
      </c>
      <c r="D353" s="53" t="s">
        <v>1078</v>
      </c>
      <c r="E353" s="53" t="s">
        <v>144</v>
      </c>
      <c r="F353" s="53" t="s">
        <v>145</v>
      </c>
      <c r="G353" s="53" t="s">
        <v>146</v>
      </c>
      <c r="H353" s="53">
        <v>4</v>
      </c>
      <c r="I353" s="53" t="s">
        <v>130</v>
      </c>
      <c r="J353" s="53">
        <v>0</v>
      </c>
      <c r="K353" s="53">
        <v>0</v>
      </c>
      <c r="L353" s="53">
        <v>19.100000000000001</v>
      </c>
      <c r="M353" s="53" t="s">
        <v>492</v>
      </c>
      <c r="N353" s="53">
        <v>21.8</v>
      </c>
      <c r="O353" s="51" t="str">
        <f>TEXT(tblWorkPackages[[#This Row],[Request date serial]]-WEEKDAY(tblWorkPackages[[#This Row],[Request date serial]],3),"yyyy-mm-dd")</f>
        <v>2025-08-11</v>
      </c>
      <c r="P353" s="51">
        <f>ABS(tblWorkPackages[[#This Row],[Actual labor hours]]-tblWorkPackages[[#This Row],[Estimated labor hours]])</f>
        <v>2.7</v>
      </c>
      <c r="Q353" s="51">
        <f>IF(tblWorkPackages[[#This Row],[Actual labor hours]]&gt;tblWorkPackages[[#This Row],[Estimated labor hours]],1,0)</f>
        <v>1</v>
      </c>
      <c r="R353" s="51">
        <f>tblWorkPackages[[#This Row],[Actual labor hours]]-tblWorkPackages[[#This Row],[Estimated labor hours]]</f>
        <v>2.7</v>
      </c>
      <c r="S353" s="51" t="str">
        <f>IF(tblWorkPackages[[#This Row],[Request date serial]]&lt;ValidationStart,"Train 2024",IF(tblWorkPackages[[#This Row],[Request date serial]]&lt;HoldoutStart,"Validation H1","Holdout H2"))</f>
        <v>Holdout H2</v>
      </c>
      <c r="T353" s="51">
        <f>IF(tblWorkPackages[[#This Row],[Time split]]="Train 2024","",tblWorkPackages[[#This Row],[Estimated labor hours]]+VLOOKUP(tblWorkPackages[[#This Row],[Task type]],'Forecast validation'!$A$14:$E$25,IF(tblWorkPackages[[#This Row],[Time split]]="Validation H1",4,5),FALSE()))</f>
        <v>20.0735483870968</v>
      </c>
      <c r="U353" s="51">
        <f>IF(tblWorkPackages[[#This Row],[Calibrated forecast hours]]="","",ABS(tblWorkPackages[[#This Row],[Actual labor hours]]-tblWorkPackages[[#This Row],[Calibrated forecast hours]]))</f>
        <v>1.72645161290323</v>
      </c>
      <c r="V353" s="51">
        <f>IF(tblWorkPackages[[#This Row],[Time split]]="Train 2024",tblWorkPackages[[#This Row],[Estimated labor hours]],tblWorkPackages[[#This Row],[Calibrated forecast hours]])</f>
        <v>20.0735483870968</v>
      </c>
      <c r="W353" s="64">
        <f>DATEVALUE(tblWorkPackages[[#This Row],[Request date]])</f>
        <v>45885.0</v>
      </c>
      <c r="X353" s="64">
        <f>DATEVALUE(tblWorkPackages[[#This Row],[Due date]])</f>
        <v>45898.0</v>
      </c>
      <c r="Y353" s="64">
        <f>DATEVALUE(tblWorkPackages[[#This Row],[Completion date]])</f>
        <v>45894.0</v>
      </c>
      <c r="Z353" s="64">
        <f>_xlfn.MINIFS(tblLaborEntries[Work date serial],tblLaborEntries[Work package ID],tblWorkPackages[[#This Row],[Work package ID]])</f>
        <v>45891.0</v>
      </c>
      <c r="AA353" s="64">
        <f>_xlfn.MAXIFS(tblLaborEntries[Work date serial],tblLaborEntries[Work package ID],tblWorkPackages[[#This Row],[Work package ID]])</f>
        <v>45891.0</v>
      </c>
      <c r="AB353" s="65">
        <f>IF(tblWorkPackages[[#This Row],[Completion date serial]]&gt;tblWorkPackages[[#This Row],[Due date serial]],1,0)</f>
        <v>0</v>
      </c>
      <c r="AC353" s="65">
        <f>MAX(0,tblWorkPackages[[#This Row],[Completion date serial]]-tblWorkPackages[[#This Row],[Due date serial]])</f>
        <v>0</v>
      </c>
      <c r="AD353" s="65">
        <f>tblWorkPackages[[#This Row],[First labor date]]-tblWorkPackages[[#This Row],[Request date serial]]</f>
        <v>6</v>
      </c>
      <c r="AE353" s="65">
        <f>tblWorkPackages[[#This Row],[Last labor date]]-tblWorkPackages[[#This Row],[First labor date]]</f>
        <v>0</v>
      </c>
      <c r="AF353" s="65">
        <f>tblWorkPackages[[#This Row],[Completion date serial]]-tblWorkPackages[[#This Row],[Last labor date]]</f>
        <v>3</v>
      </c>
      <c r="AG353" s="65">
        <f>tblWorkPackages[[#This Row],[Completion date serial]]-tblWorkPackages[[#This Row],[Request date serial]]</f>
        <v>9</v>
      </c>
      <c r="AH353" s="65">
        <f>IFERROR(INDEX(tblParts[Delay days],MATCH(tblWorkPackages[[#This Row],[Work package ID]],tblParts[Work package ID],0)),0)</f>
        <v>0</v>
      </c>
      <c r="AI353" s="51" t="str">
        <f>IFERROR(INDEX(tblDisruptions[Event type],MATCH(tblWorkPackages[[#This Row],[Work package ID]],tblDisruptions[Work package ID],0)),"None")</f>
        <v>None</v>
      </c>
      <c r="AJ353" s="51" t="str">
        <f>TEXT(tblWorkPackages[[#This Row],[Due date serial]],"yyyy-mm")</f>
        <v>2025-08</v>
      </c>
    </row>
    <row r="354" spans="1:36" ht="15" x14ac:dyDescent="0.25">
      <c r="A354" s="53" t="s">
        <v>1079</v>
      </c>
      <c r="B354" s="53" t="s">
        <v>163</v>
      </c>
      <c r="C354" s="53" t="s">
        <v>248</v>
      </c>
      <c r="D354" s="53" t="s">
        <v>774</v>
      </c>
      <c r="E354" s="53" t="s">
        <v>223</v>
      </c>
      <c r="F354" s="53" t="s">
        <v>182</v>
      </c>
      <c r="G354" s="53" t="s">
        <v>154</v>
      </c>
      <c r="H354" s="53">
        <v>1</v>
      </c>
      <c r="I354" s="53" t="s">
        <v>130</v>
      </c>
      <c r="J354" s="53">
        <v>0</v>
      </c>
      <c r="K354" s="53">
        <v>0</v>
      </c>
      <c r="L354" s="53">
        <v>8.6</v>
      </c>
      <c r="M354" s="53" t="s">
        <v>1000</v>
      </c>
      <c r="N354" s="53">
        <v>7.8</v>
      </c>
      <c r="O354" s="51" t="str">
        <f>TEXT(tblWorkPackages[[#This Row],[Request date serial]]-WEEKDAY(tblWorkPackages[[#This Row],[Request date serial]],3),"yyyy-mm-dd")</f>
        <v>2024-03-11</v>
      </c>
      <c r="P354" s="51">
        <f>ABS(tblWorkPackages[[#This Row],[Actual labor hours]]-tblWorkPackages[[#This Row],[Estimated labor hours]])</f>
        <v>0.8</v>
      </c>
      <c r="Q354" s="51">
        <f>IF(tblWorkPackages[[#This Row],[Actual labor hours]]&gt;tblWorkPackages[[#This Row],[Estimated labor hours]],1,0)</f>
        <v>0</v>
      </c>
      <c r="R354" s="51">
        <f>tblWorkPackages[[#This Row],[Actual labor hours]]-tblWorkPackages[[#This Row],[Estimated labor hours]]</f>
        <v>-0.8</v>
      </c>
      <c r="S354" s="51" t="str">
        <f>IF(tblWorkPackages[[#This Row],[Request date serial]]&lt;ValidationStart,"Train 2024",IF(tblWorkPackages[[#This Row],[Request date serial]]&lt;HoldoutStart,"Validation H1","Holdout H2"))</f>
        <v>Train 2024</v>
      </c>
      <c r="T354" s="51" t="str">
        <f>IF(tblWorkPackages[[#This Row],[Time split]]="Train 2024","",tblWorkPackages[[#This Row],[Estimated labor hours]]+VLOOKUP(tblWorkPackages[[#This Row],[Task type]],'Forecast validation'!$A$14:$E$25,IF(tblWorkPackages[[#This Row],[Time split]]="Validation H1",4,5),FALSE()))</f>
        <v/>
      </c>
      <c r="U354" s="51" t="str">
        <f>IF(tblWorkPackages[[#This Row],[Calibrated forecast hours]]="","",ABS(tblWorkPackages[[#This Row],[Actual labor hours]]-tblWorkPackages[[#This Row],[Calibrated forecast hours]]))</f>
        <v/>
      </c>
      <c r="V354" s="51">
        <f>IF(tblWorkPackages[[#This Row],[Time split]]="Train 2024",tblWorkPackages[[#This Row],[Estimated labor hours]],tblWorkPackages[[#This Row],[Calibrated forecast hours]])</f>
        <v>8.6</v>
      </c>
      <c r="W354" s="64">
        <f>DATEVALUE(tblWorkPackages[[#This Row],[Request date]])</f>
        <v>45368.0</v>
      </c>
      <c r="X354" s="64">
        <f>DATEVALUE(tblWorkPackages[[#This Row],[Due date]])</f>
        <v>45381.0</v>
      </c>
      <c r="Y354" s="64">
        <f>DATEVALUE(tblWorkPackages[[#This Row],[Completion date]])</f>
        <v>45372.0</v>
      </c>
      <c r="Z354" s="64">
        <f>_xlfn.MINIFS(tblLaborEntries[Work date serial],tblLaborEntries[Work package ID],tblWorkPackages[[#This Row],[Work package ID]])</f>
        <v>45370.0</v>
      </c>
      <c r="AA354" s="64">
        <f>_xlfn.MAXIFS(tblLaborEntries[Work date serial],tblLaborEntries[Work package ID],tblWorkPackages[[#This Row],[Work package ID]])</f>
        <v>45372.0</v>
      </c>
      <c r="AB354" s="65">
        <f>IF(tblWorkPackages[[#This Row],[Completion date serial]]&gt;tblWorkPackages[[#This Row],[Due date serial]],1,0)</f>
        <v>0</v>
      </c>
      <c r="AC354" s="65">
        <f>MAX(0,tblWorkPackages[[#This Row],[Completion date serial]]-tblWorkPackages[[#This Row],[Due date serial]])</f>
        <v>0</v>
      </c>
      <c r="AD354" s="65">
        <f>tblWorkPackages[[#This Row],[First labor date]]-tblWorkPackages[[#This Row],[Request date serial]]</f>
        <v>2</v>
      </c>
      <c r="AE354" s="65">
        <f>tblWorkPackages[[#This Row],[Last labor date]]-tblWorkPackages[[#This Row],[First labor date]]</f>
        <v>2</v>
      </c>
      <c r="AF354" s="65">
        <f>tblWorkPackages[[#This Row],[Completion date serial]]-tblWorkPackages[[#This Row],[Last labor date]]</f>
        <v>0</v>
      </c>
      <c r="AG354" s="65">
        <f>tblWorkPackages[[#This Row],[Completion date serial]]-tblWorkPackages[[#This Row],[Request date serial]]</f>
        <v>4</v>
      </c>
      <c r="AH354" s="65">
        <f>IFERROR(INDEX(tblParts[Delay days],MATCH(tblWorkPackages[[#This Row],[Work package ID]],tblParts[Work package ID],0)),0)</f>
        <v>0</v>
      </c>
      <c r="AI354" s="51" t="str">
        <f>IFERROR(INDEX(tblDisruptions[Event type],MATCH(tblWorkPackages[[#This Row],[Work package ID]],tblDisruptions[Work package ID],0)),"None")</f>
        <v>None</v>
      </c>
      <c r="AJ354" s="51" t="str">
        <f>TEXT(tblWorkPackages[[#This Row],[Due date serial]],"yyyy-mm")</f>
        <v>2024-03</v>
      </c>
    </row>
    <row r="355" spans="1:36" ht="15" x14ac:dyDescent="0.25">
      <c r="A355" s="53" t="s">
        <v>1080</v>
      </c>
      <c r="B355" s="53" t="s">
        <v>230</v>
      </c>
      <c r="C355" s="53" t="s">
        <v>467</v>
      </c>
      <c r="D355" s="53" t="s">
        <v>967</v>
      </c>
      <c r="E355" s="53" t="s">
        <v>223</v>
      </c>
      <c r="F355" s="53" t="s">
        <v>182</v>
      </c>
      <c r="G355" s="53" t="s">
        <v>154</v>
      </c>
      <c r="H355" s="53">
        <v>3</v>
      </c>
      <c r="I355" s="53" t="s">
        <v>176</v>
      </c>
      <c r="J355" s="53">
        <v>0</v>
      </c>
      <c r="K355" s="53">
        <v>1</v>
      </c>
      <c r="L355" s="53">
        <v>19.899999999999999</v>
      </c>
      <c r="M355" s="53" t="s">
        <v>1081</v>
      </c>
      <c r="N355" s="53">
        <v>19.100000000000001</v>
      </c>
      <c r="O355" s="51" t="str">
        <f>TEXT(tblWorkPackages[[#This Row],[Request date serial]]-WEEKDAY(tblWorkPackages[[#This Row],[Request date serial]],3),"yyyy-mm-dd")</f>
        <v>2025-03-31</v>
      </c>
      <c r="P355" s="51">
        <f>ABS(tblWorkPackages[[#This Row],[Actual labor hours]]-tblWorkPackages[[#This Row],[Estimated labor hours]])</f>
        <v>0.799999999999997</v>
      </c>
      <c r="Q355" s="51">
        <f>IF(tblWorkPackages[[#This Row],[Actual labor hours]]&gt;tblWorkPackages[[#This Row],[Estimated labor hours]],1,0)</f>
        <v>0</v>
      </c>
      <c r="R355" s="51">
        <f>tblWorkPackages[[#This Row],[Actual labor hours]]-tblWorkPackages[[#This Row],[Estimated labor hours]]</f>
        <v>-0.799999999999997</v>
      </c>
      <c r="S355" s="51" t="str">
        <f>IF(tblWorkPackages[[#This Row],[Request date serial]]&lt;ValidationStart,"Train 2024",IF(tblWorkPackages[[#This Row],[Request date serial]]&lt;HoldoutStart,"Validation H1","Holdout H2"))</f>
        <v>Validation H1</v>
      </c>
      <c r="T355" s="51">
        <f>IF(tblWorkPackages[[#This Row],[Time split]]="Train 2024","",tblWorkPackages[[#This Row],[Estimated labor hours]]+VLOOKUP(tblWorkPackages[[#This Row],[Task type]],'Forecast validation'!$A$14:$E$25,IF(tblWorkPackages[[#This Row],[Time split]]="Validation H1",4,5),FALSE()))</f>
        <v>20.7824175824176</v>
      </c>
      <c r="U355" s="51">
        <f>IF(tblWorkPackages[[#This Row],[Calibrated forecast hours]]="","",ABS(tblWorkPackages[[#This Row],[Actual labor hours]]-tblWorkPackages[[#This Row],[Calibrated forecast hours]]))</f>
        <v>1.68241758241758</v>
      </c>
      <c r="V355" s="51">
        <f>IF(tblWorkPackages[[#This Row],[Time split]]="Train 2024",tblWorkPackages[[#This Row],[Estimated labor hours]],tblWorkPackages[[#This Row],[Calibrated forecast hours]])</f>
        <v>20.7824175824176</v>
      </c>
      <c r="W355" s="64">
        <f>DATEVALUE(tblWorkPackages[[#This Row],[Request date]])</f>
        <v>45752.0</v>
      </c>
      <c r="X355" s="64">
        <f>DATEVALUE(tblWorkPackages[[#This Row],[Due date]])</f>
        <v>45758.0</v>
      </c>
      <c r="Y355" s="64">
        <f>DATEVALUE(tblWorkPackages[[#This Row],[Completion date]])</f>
        <v>45769.0</v>
      </c>
      <c r="Z355" s="64">
        <f>_xlfn.MINIFS(tblLaborEntries[Work date serial],tblLaborEntries[Work package ID],tblWorkPackages[[#This Row],[Work package ID]])</f>
        <v>45767.0</v>
      </c>
      <c r="AA355" s="64">
        <f>_xlfn.MAXIFS(tblLaborEntries[Work date serial],tblLaborEntries[Work package ID],tblWorkPackages[[#This Row],[Work package ID]])</f>
        <v>45768.0</v>
      </c>
      <c r="AB355" s="65">
        <f>IF(tblWorkPackages[[#This Row],[Completion date serial]]&gt;tblWorkPackages[[#This Row],[Due date serial]],1,0)</f>
        <v>1</v>
      </c>
      <c r="AC355" s="65">
        <f>MAX(0,tblWorkPackages[[#This Row],[Completion date serial]]-tblWorkPackages[[#This Row],[Due date serial]])</f>
        <v>11</v>
      </c>
      <c r="AD355" s="65">
        <f>tblWorkPackages[[#This Row],[First labor date]]-tblWorkPackages[[#This Row],[Request date serial]]</f>
        <v>15</v>
      </c>
      <c r="AE355" s="65">
        <f>tblWorkPackages[[#This Row],[Last labor date]]-tblWorkPackages[[#This Row],[First labor date]]</f>
        <v>1</v>
      </c>
      <c r="AF355" s="65">
        <f>tblWorkPackages[[#This Row],[Completion date serial]]-tblWorkPackages[[#This Row],[Last labor date]]</f>
        <v>1</v>
      </c>
      <c r="AG355" s="65">
        <f>tblWorkPackages[[#This Row],[Completion date serial]]-tblWorkPackages[[#This Row],[Request date serial]]</f>
        <v>17</v>
      </c>
      <c r="AH355" s="65">
        <f>IFERROR(INDEX(tblParts[Delay days],MATCH(tblWorkPackages[[#This Row],[Work package ID]],tblParts[Work package ID],0)),0)</f>
        <v>0</v>
      </c>
      <c r="AI355" s="51" t="str">
        <f>IFERROR(INDEX(tblDisruptions[Event type],MATCH(tblWorkPackages[[#This Row],[Work package ID]],tblDisruptions[Work package ID],0)),"None")</f>
        <v>None</v>
      </c>
      <c r="AJ355" s="51" t="str">
        <f>TEXT(tblWorkPackages[[#This Row],[Due date serial]],"yyyy-mm")</f>
        <v>2025-04</v>
      </c>
    </row>
    <row r="356" spans="1:36" ht="15" x14ac:dyDescent="0.25">
      <c r="A356" s="53" t="s">
        <v>1082</v>
      </c>
      <c r="B356" s="53" t="s">
        <v>133</v>
      </c>
      <c r="C356" s="53" t="s">
        <v>642</v>
      </c>
      <c r="D356" s="53" t="s">
        <v>362</v>
      </c>
      <c r="E356" s="53" t="s">
        <v>242</v>
      </c>
      <c r="F356" s="53" t="s">
        <v>243</v>
      </c>
      <c r="G356" s="53" t="s">
        <v>129</v>
      </c>
      <c r="H356" s="53">
        <v>3</v>
      </c>
      <c r="I356" s="53" t="s">
        <v>176</v>
      </c>
      <c r="J356" s="53">
        <v>0</v>
      </c>
      <c r="K356" s="53">
        <v>0</v>
      </c>
      <c r="L356" s="53">
        <v>11.2</v>
      </c>
      <c r="M356" s="53" t="s">
        <v>621</v>
      </c>
      <c r="N356" s="53">
        <v>13.5</v>
      </c>
      <c r="O356" s="51" t="str">
        <f>TEXT(tblWorkPackages[[#This Row],[Request date serial]]-WEEKDAY(tblWorkPackages[[#This Row],[Request date serial]],3),"yyyy-mm-dd")</f>
        <v>2024-07-15</v>
      </c>
      <c r="P356" s="51">
        <f>ABS(tblWorkPackages[[#This Row],[Actual labor hours]]-tblWorkPackages[[#This Row],[Estimated labor hours]])</f>
        <v>2.3</v>
      </c>
      <c r="Q356" s="51">
        <f>IF(tblWorkPackages[[#This Row],[Actual labor hours]]&gt;tblWorkPackages[[#This Row],[Estimated labor hours]],1,0)</f>
        <v>1</v>
      </c>
      <c r="R356" s="51">
        <f>tblWorkPackages[[#This Row],[Actual labor hours]]-tblWorkPackages[[#This Row],[Estimated labor hours]]</f>
        <v>2.3</v>
      </c>
      <c r="S356" s="51" t="str">
        <f>IF(tblWorkPackages[[#This Row],[Request date serial]]&lt;ValidationStart,"Train 2024",IF(tblWorkPackages[[#This Row],[Request date serial]]&lt;HoldoutStart,"Validation H1","Holdout H2"))</f>
        <v>Train 2024</v>
      </c>
      <c r="T356" s="51" t="str">
        <f>IF(tblWorkPackages[[#This Row],[Time split]]="Train 2024","",tblWorkPackages[[#This Row],[Estimated labor hours]]+VLOOKUP(tblWorkPackages[[#This Row],[Task type]],'Forecast validation'!$A$14:$E$25,IF(tblWorkPackages[[#This Row],[Time split]]="Validation H1",4,5),FALSE()))</f>
        <v/>
      </c>
      <c r="U356" s="51" t="str">
        <f>IF(tblWorkPackages[[#This Row],[Calibrated forecast hours]]="","",ABS(tblWorkPackages[[#This Row],[Actual labor hours]]-tblWorkPackages[[#This Row],[Calibrated forecast hours]]))</f>
        <v/>
      </c>
      <c r="V356" s="51">
        <f>IF(tblWorkPackages[[#This Row],[Time split]]="Train 2024",tblWorkPackages[[#This Row],[Estimated labor hours]],tblWorkPackages[[#This Row],[Calibrated forecast hours]])</f>
        <v>11.2</v>
      </c>
      <c r="W356" s="64">
        <f>DATEVALUE(tblWorkPackages[[#This Row],[Request date]])</f>
        <v>45488.0</v>
      </c>
      <c r="X356" s="64">
        <f>DATEVALUE(tblWorkPackages[[#This Row],[Due date]])</f>
        <v>45494.0</v>
      </c>
      <c r="Y356" s="64">
        <f>DATEVALUE(tblWorkPackages[[#This Row],[Completion date]])</f>
        <v>45496.0</v>
      </c>
      <c r="Z356" s="64">
        <f>_xlfn.MINIFS(tblLaborEntries[Work date serial],tblLaborEntries[Work package ID],tblWorkPackages[[#This Row],[Work package ID]])</f>
        <v>45492.0</v>
      </c>
      <c r="AA356" s="64">
        <f>_xlfn.MAXIFS(tblLaborEntries[Work date serial],tblLaborEntries[Work package ID],tblWorkPackages[[#This Row],[Work package ID]])</f>
        <v>45494.0</v>
      </c>
      <c r="AB356" s="65">
        <f>IF(tblWorkPackages[[#This Row],[Completion date serial]]&gt;tblWorkPackages[[#This Row],[Due date serial]],1,0)</f>
        <v>1</v>
      </c>
      <c r="AC356" s="65">
        <f>MAX(0,tblWorkPackages[[#This Row],[Completion date serial]]-tblWorkPackages[[#This Row],[Due date serial]])</f>
        <v>2</v>
      </c>
      <c r="AD356" s="65">
        <f>tblWorkPackages[[#This Row],[First labor date]]-tblWorkPackages[[#This Row],[Request date serial]]</f>
        <v>4</v>
      </c>
      <c r="AE356" s="65">
        <f>tblWorkPackages[[#This Row],[Last labor date]]-tblWorkPackages[[#This Row],[First labor date]]</f>
        <v>2</v>
      </c>
      <c r="AF356" s="65">
        <f>tblWorkPackages[[#This Row],[Completion date serial]]-tblWorkPackages[[#This Row],[Last labor date]]</f>
        <v>2</v>
      </c>
      <c r="AG356" s="65">
        <f>tblWorkPackages[[#This Row],[Completion date serial]]-tblWorkPackages[[#This Row],[Request date serial]]</f>
        <v>8</v>
      </c>
      <c r="AH356" s="65">
        <f>IFERROR(INDEX(tblParts[Delay days],MATCH(tblWorkPackages[[#This Row],[Work package ID]],tblParts[Work package ID],0)),0)</f>
        <v>0</v>
      </c>
      <c r="AI356" s="51" t="str">
        <f>IFERROR(INDEX(tblDisruptions[Event type],MATCH(tblWorkPackages[[#This Row],[Work package ID]],tblDisruptions[Work package ID],0)),"None")</f>
        <v>None</v>
      </c>
      <c r="AJ356" s="51" t="str">
        <f>TEXT(tblWorkPackages[[#This Row],[Due date serial]],"yyyy-mm")</f>
        <v>2024-07</v>
      </c>
    </row>
    <row r="357" spans="1:36" ht="15" x14ac:dyDescent="0.25">
      <c r="A357" s="53" t="s">
        <v>1083</v>
      </c>
      <c r="B357" s="53" t="s">
        <v>203</v>
      </c>
      <c r="C357" s="53" t="s">
        <v>1084</v>
      </c>
      <c r="D357" s="53" t="s">
        <v>1085</v>
      </c>
      <c r="E357" s="53" t="s">
        <v>237</v>
      </c>
      <c r="F357" s="53" t="s">
        <v>182</v>
      </c>
      <c r="G357" s="53" t="s">
        <v>138</v>
      </c>
      <c r="H357" s="53">
        <v>4</v>
      </c>
      <c r="I357" s="53" t="s">
        <v>176</v>
      </c>
      <c r="J357" s="53">
        <v>0</v>
      </c>
      <c r="K357" s="53">
        <v>0</v>
      </c>
      <c r="L357" s="53">
        <v>9.4</v>
      </c>
      <c r="M357" s="53" t="s">
        <v>963</v>
      </c>
      <c r="N357" s="53">
        <v>11</v>
      </c>
      <c r="O357" s="51" t="str">
        <f>TEXT(tblWorkPackages[[#This Row],[Request date serial]]-WEEKDAY(tblWorkPackages[[#This Row],[Request date serial]],3),"yyyy-mm-dd")</f>
        <v>2025-02-03</v>
      </c>
      <c r="P357" s="51">
        <f>ABS(tblWorkPackages[[#This Row],[Actual labor hours]]-tblWorkPackages[[#This Row],[Estimated labor hours]])</f>
        <v>1.6</v>
      </c>
      <c r="Q357" s="51">
        <f>IF(tblWorkPackages[[#This Row],[Actual labor hours]]&gt;tblWorkPackages[[#This Row],[Estimated labor hours]],1,0)</f>
        <v>1</v>
      </c>
      <c r="R357" s="51">
        <f>tblWorkPackages[[#This Row],[Actual labor hours]]-tblWorkPackages[[#This Row],[Estimated labor hours]]</f>
        <v>1.6</v>
      </c>
      <c r="S357" s="51" t="str">
        <f>IF(tblWorkPackages[[#This Row],[Request date serial]]&lt;ValidationStart,"Train 2024",IF(tblWorkPackages[[#This Row],[Request date serial]]&lt;HoldoutStart,"Validation H1","Holdout H2"))</f>
        <v>Validation H1</v>
      </c>
      <c r="T357" s="51">
        <f>IF(tblWorkPackages[[#This Row],[Time split]]="Train 2024","",tblWorkPackages[[#This Row],[Estimated labor hours]]+VLOOKUP(tblWorkPackages[[#This Row],[Task type]],'Forecast validation'!$A$14:$E$25,IF(tblWorkPackages[[#This Row],[Time split]]="Validation H1",4,5),FALSE()))</f>
        <v>9.9037037037037</v>
      </c>
      <c r="U357" s="51">
        <f>IF(tblWorkPackages[[#This Row],[Calibrated forecast hours]]="","",ABS(tblWorkPackages[[#This Row],[Actual labor hours]]-tblWorkPackages[[#This Row],[Calibrated forecast hours]]))</f>
        <v>1.0962962962963</v>
      </c>
      <c r="V357" s="51">
        <f>IF(tblWorkPackages[[#This Row],[Time split]]="Train 2024",tblWorkPackages[[#This Row],[Estimated labor hours]],tblWorkPackages[[#This Row],[Calibrated forecast hours]])</f>
        <v>9.9037037037037</v>
      </c>
      <c r="W357" s="64">
        <f>DATEVALUE(tblWorkPackages[[#This Row],[Request date]])</f>
        <v>45695.0</v>
      </c>
      <c r="X357" s="64">
        <f>DATEVALUE(tblWorkPackages[[#This Row],[Due date]])</f>
        <v>45701.0</v>
      </c>
      <c r="Y357" s="64">
        <f>DATEVALUE(tblWorkPackages[[#This Row],[Completion date]])</f>
        <v>45700.0</v>
      </c>
      <c r="Z357" s="64">
        <f>_xlfn.MINIFS(tblLaborEntries[Work date serial],tblLaborEntries[Work package ID],tblWorkPackages[[#This Row],[Work package ID]])</f>
        <v>45696.0</v>
      </c>
      <c r="AA357" s="64">
        <f>_xlfn.MAXIFS(tblLaborEntries[Work date serial],tblLaborEntries[Work package ID],tblWorkPackages[[#This Row],[Work package ID]])</f>
        <v>45697.0</v>
      </c>
      <c r="AB357" s="65">
        <f>IF(tblWorkPackages[[#This Row],[Completion date serial]]&gt;tblWorkPackages[[#This Row],[Due date serial]],1,0)</f>
        <v>0</v>
      </c>
      <c r="AC357" s="65">
        <f>MAX(0,tblWorkPackages[[#This Row],[Completion date serial]]-tblWorkPackages[[#This Row],[Due date serial]])</f>
        <v>0</v>
      </c>
      <c r="AD357" s="65">
        <f>tblWorkPackages[[#This Row],[First labor date]]-tblWorkPackages[[#This Row],[Request date serial]]</f>
        <v>1</v>
      </c>
      <c r="AE357" s="65">
        <f>tblWorkPackages[[#This Row],[Last labor date]]-tblWorkPackages[[#This Row],[First labor date]]</f>
        <v>1</v>
      </c>
      <c r="AF357" s="65">
        <f>tblWorkPackages[[#This Row],[Completion date serial]]-tblWorkPackages[[#This Row],[Last labor date]]</f>
        <v>3</v>
      </c>
      <c r="AG357" s="65">
        <f>tblWorkPackages[[#This Row],[Completion date serial]]-tblWorkPackages[[#This Row],[Request date serial]]</f>
        <v>5</v>
      </c>
      <c r="AH357" s="65">
        <f>IFERROR(INDEX(tblParts[Delay days],MATCH(tblWorkPackages[[#This Row],[Work package ID]],tblParts[Work package ID],0)),0)</f>
        <v>0</v>
      </c>
      <c r="AI357" s="51" t="str">
        <f>IFERROR(INDEX(tblDisruptions[Event type],MATCH(tblWorkPackages[[#This Row],[Work package ID]],tblDisruptions[Work package ID],0)),"None")</f>
        <v>None</v>
      </c>
      <c r="AJ357" s="51" t="str">
        <f>TEXT(tblWorkPackages[[#This Row],[Due date serial]],"yyyy-mm")</f>
        <v>2025-02</v>
      </c>
    </row>
    <row r="358" spans="1:36" ht="15" x14ac:dyDescent="0.25">
      <c r="A358" s="53" t="s">
        <v>1086</v>
      </c>
      <c r="B358" s="53" t="s">
        <v>235</v>
      </c>
      <c r="C358" s="53" t="s">
        <v>1004</v>
      </c>
      <c r="D358" s="53" t="s">
        <v>1087</v>
      </c>
      <c r="E358" s="53" t="s">
        <v>181</v>
      </c>
      <c r="F358" s="53" t="s">
        <v>182</v>
      </c>
      <c r="G358" s="53" t="s">
        <v>138</v>
      </c>
      <c r="H358" s="53">
        <v>3</v>
      </c>
      <c r="I358" s="53" t="s">
        <v>147</v>
      </c>
      <c r="J358" s="53">
        <v>0</v>
      </c>
      <c r="K358" s="53">
        <v>0</v>
      </c>
      <c r="L358" s="53">
        <v>11.3</v>
      </c>
      <c r="M358" s="53" t="s">
        <v>751</v>
      </c>
      <c r="N358" s="53">
        <v>8.9</v>
      </c>
      <c r="O358" s="51" t="str">
        <f>TEXT(tblWorkPackages[[#This Row],[Request date serial]]-WEEKDAY(tblWorkPackages[[#This Row],[Request date serial]],3),"yyyy-mm-dd")</f>
        <v>2025-05-05</v>
      </c>
      <c r="P358" s="51">
        <f>ABS(tblWorkPackages[[#This Row],[Actual labor hours]]-tblWorkPackages[[#This Row],[Estimated labor hours]])</f>
        <v>2.4</v>
      </c>
      <c r="Q358" s="51">
        <f>IF(tblWorkPackages[[#This Row],[Actual labor hours]]&gt;tblWorkPackages[[#This Row],[Estimated labor hours]],1,0)</f>
        <v>0</v>
      </c>
      <c r="R358" s="51">
        <f>tblWorkPackages[[#This Row],[Actual labor hours]]-tblWorkPackages[[#This Row],[Estimated labor hours]]</f>
        <v>-2.4</v>
      </c>
      <c r="S358" s="51" t="str">
        <f>IF(tblWorkPackages[[#This Row],[Request date serial]]&lt;ValidationStart,"Train 2024",IF(tblWorkPackages[[#This Row],[Request date serial]]&lt;HoldoutStart,"Validation H1","Holdout H2"))</f>
        <v>Validation H1</v>
      </c>
      <c r="T358" s="51">
        <f>IF(tblWorkPackages[[#This Row],[Time split]]="Train 2024","",tblWorkPackages[[#This Row],[Estimated labor hours]]+VLOOKUP(tblWorkPackages[[#This Row],[Task type]],'Forecast validation'!$A$14:$E$25,IF(tblWorkPackages[[#This Row],[Time split]]="Validation H1",4,5),FALSE()))</f>
        <v>11.8840909090909</v>
      </c>
      <c r="U358" s="51">
        <f>IF(tblWorkPackages[[#This Row],[Calibrated forecast hours]]="","",ABS(tblWorkPackages[[#This Row],[Actual labor hours]]-tblWorkPackages[[#This Row],[Calibrated forecast hours]]))</f>
        <v>2.98409090909091</v>
      </c>
      <c r="V358" s="51">
        <f>IF(tblWorkPackages[[#This Row],[Time split]]="Train 2024",tblWorkPackages[[#This Row],[Estimated labor hours]],tblWorkPackages[[#This Row],[Calibrated forecast hours]])</f>
        <v>11.8840909090909</v>
      </c>
      <c r="W358" s="64">
        <f>DATEVALUE(tblWorkPackages[[#This Row],[Request date]])</f>
        <v>45785.0</v>
      </c>
      <c r="X358" s="64">
        <f>DATEVALUE(tblWorkPackages[[#This Row],[Due date]])</f>
        <v>45787.0</v>
      </c>
      <c r="Y358" s="64">
        <f>DATEVALUE(tblWorkPackages[[#This Row],[Completion date]])</f>
        <v>45795.0</v>
      </c>
      <c r="Z358" s="64">
        <f>_xlfn.MINIFS(tblLaborEntries[Work date serial],tblLaborEntries[Work package ID],tblWorkPackages[[#This Row],[Work package ID]])</f>
        <v>45795.0</v>
      </c>
      <c r="AA358" s="64">
        <f>_xlfn.MAXIFS(tblLaborEntries[Work date serial],tblLaborEntries[Work package ID],tblWorkPackages[[#This Row],[Work package ID]])</f>
        <v>45795.0</v>
      </c>
      <c r="AB358" s="65">
        <f>IF(tblWorkPackages[[#This Row],[Completion date serial]]&gt;tblWorkPackages[[#This Row],[Due date serial]],1,0)</f>
        <v>1</v>
      </c>
      <c r="AC358" s="65">
        <f>MAX(0,tblWorkPackages[[#This Row],[Completion date serial]]-tblWorkPackages[[#This Row],[Due date serial]])</f>
        <v>8</v>
      </c>
      <c r="AD358" s="65">
        <f>tblWorkPackages[[#This Row],[First labor date]]-tblWorkPackages[[#This Row],[Request date serial]]</f>
        <v>10</v>
      </c>
      <c r="AE358" s="65">
        <f>tblWorkPackages[[#This Row],[Last labor date]]-tblWorkPackages[[#This Row],[First labor date]]</f>
        <v>0</v>
      </c>
      <c r="AF358" s="65">
        <f>tblWorkPackages[[#This Row],[Completion date serial]]-tblWorkPackages[[#This Row],[Last labor date]]</f>
        <v>0</v>
      </c>
      <c r="AG358" s="65">
        <f>tblWorkPackages[[#This Row],[Completion date serial]]-tblWorkPackages[[#This Row],[Request date serial]]</f>
        <v>10</v>
      </c>
      <c r="AH358" s="65">
        <f>IFERROR(INDEX(tblParts[Delay days],MATCH(tblWorkPackages[[#This Row],[Work package ID]],tblParts[Work package ID],0)),0)</f>
        <v>0</v>
      </c>
      <c r="AI358" s="51" t="str">
        <f>IFERROR(INDEX(tblDisruptions[Event type],MATCH(tblWorkPackages[[#This Row],[Work package ID]],tblDisruptions[Work package ID],0)),"None")</f>
        <v>None</v>
      </c>
      <c r="AJ358" s="51" t="str">
        <f>TEXT(tblWorkPackages[[#This Row],[Due date serial]],"yyyy-mm")</f>
        <v>2025-05</v>
      </c>
    </row>
    <row r="359" spans="1:36" ht="15" x14ac:dyDescent="0.25">
      <c r="A359" s="53" t="s">
        <v>1088</v>
      </c>
      <c r="B359" s="53" t="s">
        <v>235</v>
      </c>
      <c r="C359" s="53" t="s">
        <v>854</v>
      </c>
      <c r="D359" s="53" t="s">
        <v>1089</v>
      </c>
      <c r="E359" s="53" t="s">
        <v>200</v>
      </c>
      <c r="F359" s="53" t="s">
        <v>128</v>
      </c>
      <c r="G359" s="53" t="s">
        <v>129</v>
      </c>
      <c r="H359" s="53">
        <v>3</v>
      </c>
      <c r="I359" s="53" t="s">
        <v>130</v>
      </c>
      <c r="J359" s="53">
        <v>0</v>
      </c>
      <c r="K359" s="53">
        <v>1</v>
      </c>
      <c r="L359" s="53">
        <v>4.0999999999999996</v>
      </c>
      <c r="M359" s="53" t="s">
        <v>621</v>
      </c>
      <c r="N359" s="53">
        <v>4.5999999999999996</v>
      </c>
      <c r="O359" s="51" t="str">
        <f>TEXT(tblWorkPackages[[#This Row],[Request date serial]]-WEEKDAY(tblWorkPackages[[#This Row],[Request date serial]],3),"yyyy-mm-dd")</f>
        <v>2024-07-15</v>
      </c>
      <c r="P359" s="51">
        <f>ABS(tblWorkPackages[[#This Row],[Actual labor hours]]-tblWorkPackages[[#This Row],[Estimated labor hours]])</f>
        <v>0.5</v>
      </c>
      <c r="Q359" s="51">
        <f>IF(tblWorkPackages[[#This Row],[Actual labor hours]]&gt;tblWorkPackages[[#This Row],[Estimated labor hours]],1,0)</f>
        <v>1</v>
      </c>
      <c r="R359" s="51">
        <f>tblWorkPackages[[#This Row],[Actual labor hours]]-tblWorkPackages[[#This Row],[Estimated labor hours]]</f>
        <v>0.5</v>
      </c>
      <c r="S359" s="51" t="str">
        <f>IF(tblWorkPackages[[#This Row],[Request date serial]]&lt;ValidationStart,"Train 2024",IF(tblWorkPackages[[#This Row],[Request date serial]]&lt;HoldoutStart,"Validation H1","Holdout H2"))</f>
        <v>Train 2024</v>
      </c>
      <c r="T359" s="51" t="str">
        <f>IF(tblWorkPackages[[#This Row],[Time split]]="Train 2024","",tblWorkPackages[[#This Row],[Estimated labor hours]]+VLOOKUP(tblWorkPackages[[#This Row],[Task type]],'Forecast validation'!$A$14:$E$25,IF(tblWorkPackages[[#This Row],[Time split]]="Validation H1",4,5),FALSE()))</f>
        <v/>
      </c>
      <c r="U359" s="51" t="str">
        <f>IF(tblWorkPackages[[#This Row],[Calibrated forecast hours]]="","",ABS(tblWorkPackages[[#This Row],[Actual labor hours]]-tblWorkPackages[[#This Row],[Calibrated forecast hours]]))</f>
        <v/>
      </c>
      <c r="V359" s="51">
        <f>IF(tblWorkPackages[[#This Row],[Time split]]="Train 2024",tblWorkPackages[[#This Row],[Estimated labor hours]],tblWorkPackages[[#This Row],[Calibrated forecast hours]])</f>
        <v>4.1</v>
      </c>
      <c r="W359" s="64">
        <f>DATEVALUE(tblWorkPackages[[#This Row],[Request date]])</f>
        <v>45492.0</v>
      </c>
      <c r="X359" s="64">
        <f>DATEVALUE(tblWorkPackages[[#This Row],[Due date]])</f>
        <v>45505.0</v>
      </c>
      <c r="Y359" s="64">
        <f>DATEVALUE(tblWorkPackages[[#This Row],[Completion date]])</f>
        <v>45496.0</v>
      </c>
      <c r="Z359" s="64">
        <f>_xlfn.MINIFS(tblLaborEntries[Work date serial],tblLaborEntries[Work package ID],tblWorkPackages[[#This Row],[Work package ID]])</f>
        <v>45495.0</v>
      </c>
      <c r="AA359" s="64">
        <f>_xlfn.MAXIFS(tblLaborEntries[Work date serial],tblLaborEntries[Work package ID],tblWorkPackages[[#This Row],[Work package ID]])</f>
        <v>45495.0</v>
      </c>
      <c r="AB359" s="65">
        <f>IF(tblWorkPackages[[#This Row],[Completion date serial]]&gt;tblWorkPackages[[#This Row],[Due date serial]],1,0)</f>
        <v>0</v>
      </c>
      <c r="AC359" s="65">
        <f>MAX(0,tblWorkPackages[[#This Row],[Completion date serial]]-tblWorkPackages[[#This Row],[Due date serial]])</f>
        <v>0</v>
      </c>
      <c r="AD359" s="65">
        <f>tblWorkPackages[[#This Row],[First labor date]]-tblWorkPackages[[#This Row],[Request date serial]]</f>
        <v>3</v>
      </c>
      <c r="AE359" s="65">
        <f>tblWorkPackages[[#This Row],[Last labor date]]-tblWorkPackages[[#This Row],[First labor date]]</f>
        <v>0</v>
      </c>
      <c r="AF359" s="65">
        <f>tblWorkPackages[[#This Row],[Completion date serial]]-tblWorkPackages[[#This Row],[Last labor date]]</f>
        <v>1</v>
      </c>
      <c r="AG359" s="65">
        <f>tblWorkPackages[[#This Row],[Completion date serial]]-tblWorkPackages[[#This Row],[Request date serial]]</f>
        <v>4</v>
      </c>
      <c r="AH359" s="65">
        <f>IFERROR(INDEX(tblParts[Delay days],MATCH(tblWorkPackages[[#This Row],[Work package ID]],tblParts[Work package ID],0)),0)</f>
        <v>0</v>
      </c>
      <c r="AI359" s="51" t="str">
        <f>IFERROR(INDEX(tblDisruptions[Event type],MATCH(tblWorkPackages[[#This Row],[Work package ID]],tblDisruptions[Work package ID],0)),"None")</f>
        <v>None</v>
      </c>
      <c r="AJ359" s="51" t="str">
        <f>TEXT(tblWorkPackages[[#This Row],[Due date serial]],"yyyy-mm")</f>
        <v>2024-08</v>
      </c>
    </row>
    <row r="360" spans="1:36" ht="15" x14ac:dyDescent="0.25">
      <c r="A360" s="53" t="s">
        <v>1090</v>
      </c>
      <c r="B360" s="53" t="s">
        <v>250</v>
      </c>
      <c r="C360" s="53" t="s">
        <v>477</v>
      </c>
      <c r="D360" s="53" t="s">
        <v>1085</v>
      </c>
      <c r="E360" s="53" t="s">
        <v>237</v>
      </c>
      <c r="F360" s="53" t="s">
        <v>182</v>
      </c>
      <c r="G360" s="53" t="s">
        <v>138</v>
      </c>
      <c r="H360" s="53">
        <v>3</v>
      </c>
      <c r="I360" s="53" t="s">
        <v>147</v>
      </c>
      <c r="J360" s="53">
        <v>0</v>
      </c>
      <c r="K360" s="53">
        <v>0</v>
      </c>
      <c r="L360" s="53">
        <v>7.5</v>
      </c>
      <c r="M360" s="53" t="s">
        <v>858</v>
      </c>
      <c r="N360" s="53">
        <v>7.1</v>
      </c>
      <c r="O360" s="51" t="str">
        <f>TEXT(tblWorkPackages[[#This Row],[Request date serial]]-WEEKDAY(tblWorkPackages[[#This Row],[Request date serial]],3),"yyyy-mm-dd")</f>
        <v>2025-02-10</v>
      </c>
      <c r="P360" s="51">
        <f>ABS(tblWorkPackages[[#This Row],[Actual labor hours]]-tblWorkPackages[[#This Row],[Estimated labor hours]])</f>
        <v>0.4</v>
      </c>
      <c r="Q360" s="51">
        <f>IF(tblWorkPackages[[#This Row],[Actual labor hours]]&gt;tblWorkPackages[[#This Row],[Estimated labor hours]],1,0)</f>
        <v>0</v>
      </c>
      <c r="R360" s="51">
        <f>tblWorkPackages[[#This Row],[Actual labor hours]]-tblWorkPackages[[#This Row],[Estimated labor hours]]</f>
        <v>-0.4</v>
      </c>
      <c r="S360" s="51" t="str">
        <f>IF(tblWorkPackages[[#This Row],[Request date serial]]&lt;ValidationStart,"Train 2024",IF(tblWorkPackages[[#This Row],[Request date serial]]&lt;HoldoutStart,"Validation H1","Holdout H2"))</f>
        <v>Validation H1</v>
      </c>
      <c r="T360" s="51">
        <f>IF(tblWorkPackages[[#This Row],[Time split]]="Train 2024","",tblWorkPackages[[#This Row],[Estimated labor hours]]+VLOOKUP(tblWorkPackages[[#This Row],[Task type]],'Forecast validation'!$A$14:$E$25,IF(tblWorkPackages[[#This Row],[Time split]]="Validation H1",4,5),FALSE()))</f>
        <v>8.0037037037037</v>
      </c>
      <c r="U360" s="51">
        <f>IF(tblWorkPackages[[#This Row],[Calibrated forecast hours]]="","",ABS(tblWorkPackages[[#This Row],[Actual labor hours]]-tblWorkPackages[[#This Row],[Calibrated forecast hours]]))</f>
        <v>0.903703703703704</v>
      </c>
      <c r="V360" s="51">
        <f>IF(tblWorkPackages[[#This Row],[Time split]]="Train 2024",tblWorkPackages[[#This Row],[Estimated labor hours]],tblWorkPackages[[#This Row],[Calibrated forecast hours]])</f>
        <v>8.0037037037037</v>
      </c>
      <c r="W360" s="64">
        <f>DATEVALUE(tblWorkPackages[[#This Row],[Request date]])</f>
        <v>45699.0</v>
      </c>
      <c r="X360" s="64">
        <f>DATEVALUE(tblWorkPackages[[#This Row],[Due date]])</f>
        <v>45701.0</v>
      </c>
      <c r="Y360" s="64">
        <f>DATEVALUE(tblWorkPackages[[#This Row],[Completion date]])</f>
        <v>45729.0</v>
      </c>
      <c r="Z360" s="64">
        <f>_xlfn.MINIFS(tblLaborEntries[Work date serial],tblLaborEntries[Work package ID],tblWorkPackages[[#This Row],[Work package ID]])</f>
        <v>45725.0</v>
      </c>
      <c r="AA360" s="64">
        <f>_xlfn.MAXIFS(tblLaborEntries[Work date serial],tblLaborEntries[Work package ID],tblWorkPackages[[#This Row],[Work package ID]])</f>
        <v>45727.0</v>
      </c>
      <c r="AB360" s="65">
        <f>IF(tblWorkPackages[[#This Row],[Completion date serial]]&gt;tblWorkPackages[[#This Row],[Due date serial]],1,0)</f>
        <v>1</v>
      </c>
      <c r="AC360" s="65">
        <f>MAX(0,tblWorkPackages[[#This Row],[Completion date serial]]-tblWorkPackages[[#This Row],[Due date serial]])</f>
        <v>28</v>
      </c>
      <c r="AD360" s="65">
        <f>tblWorkPackages[[#This Row],[First labor date]]-tblWorkPackages[[#This Row],[Request date serial]]</f>
        <v>26</v>
      </c>
      <c r="AE360" s="65">
        <f>tblWorkPackages[[#This Row],[Last labor date]]-tblWorkPackages[[#This Row],[First labor date]]</f>
        <v>2</v>
      </c>
      <c r="AF360" s="65">
        <f>tblWorkPackages[[#This Row],[Completion date serial]]-tblWorkPackages[[#This Row],[Last labor date]]</f>
        <v>2</v>
      </c>
      <c r="AG360" s="65">
        <f>tblWorkPackages[[#This Row],[Completion date serial]]-tblWorkPackages[[#This Row],[Request date serial]]</f>
        <v>30</v>
      </c>
      <c r="AH360" s="65">
        <f>IFERROR(INDEX(tblParts[Delay days],MATCH(tblWorkPackages[[#This Row],[Work package ID]],tblParts[Work package ID],0)),0)</f>
        <v>0</v>
      </c>
      <c r="AI360" s="51" t="str">
        <f>IFERROR(INDEX(tblDisruptions[Event type],MATCH(tblWorkPackages[[#This Row],[Work package ID]],tblDisruptions[Work package ID],0)),"None")</f>
        <v>None</v>
      </c>
      <c r="AJ360" s="51" t="str">
        <f>TEXT(tblWorkPackages[[#This Row],[Due date serial]],"yyyy-mm")</f>
        <v>2025-02</v>
      </c>
    </row>
    <row r="361" spans="1:36" ht="15" x14ac:dyDescent="0.25">
      <c r="A361" s="53" t="s">
        <v>1091</v>
      </c>
      <c r="B361" s="53" t="s">
        <v>250</v>
      </c>
      <c r="C361" s="53" t="s">
        <v>419</v>
      </c>
      <c r="D361" s="53" t="s">
        <v>1092</v>
      </c>
      <c r="E361" s="53" t="s">
        <v>237</v>
      </c>
      <c r="F361" s="53" t="s">
        <v>182</v>
      </c>
      <c r="G361" s="53" t="s">
        <v>138</v>
      </c>
      <c r="H361" s="53">
        <v>1</v>
      </c>
      <c r="I361" s="53" t="s">
        <v>147</v>
      </c>
      <c r="J361" s="53">
        <v>0</v>
      </c>
      <c r="K361" s="53">
        <v>1</v>
      </c>
      <c r="L361" s="53">
        <v>3.6</v>
      </c>
      <c r="M361" s="53" t="s">
        <v>867</v>
      </c>
      <c r="N361" s="53">
        <v>2.8</v>
      </c>
      <c r="O361" s="51" t="str">
        <f>TEXT(tblWorkPackages[[#This Row],[Request date serial]]-WEEKDAY(tblWorkPackages[[#This Row],[Request date serial]],3),"yyyy-mm-dd")</f>
        <v>2024-06-10</v>
      </c>
      <c r="P361" s="51">
        <f>ABS(tblWorkPackages[[#This Row],[Actual labor hours]]-tblWorkPackages[[#This Row],[Estimated labor hours]])</f>
        <v>0.8</v>
      </c>
      <c r="Q361" s="51">
        <f>IF(tblWorkPackages[[#This Row],[Actual labor hours]]&gt;tblWorkPackages[[#This Row],[Estimated labor hours]],1,0)</f>
        <v>0</v>
      </c>
      <c r="R361" s="51">
        <f>tblWorkPackages[[#This Row],[Actual labor hours]]-tblWorkPackages[[#This Row],[Estimated labor hours]]</f>
        <v>-0.8</v>
      </c>
      <c r="S361" s="51" t="str">
        <f>IF(tblWorkPackages[[#This Row],[Request date serial]]&lt;ValidationStart,"Train 2024",IF(tblWorkPackages[[#This Row],[Request date serial]]&lt;HoldoutStart,"Validation H1","Holdout H2"))</f>
        <v>Train 2024</v>
      </c>
      <c r="T361" s="51" t="str">
        <f>IF(tblWorkPackages[[#This Row],[Time split]]="Train 2024","",tblWorkPackages[[#This Row],[Estimated labor hours]]+VLOOKUP(tblWorkPackages[[#This Row],[Task type]],'Forecast validation'!$A$14:$E$25,IF(tblWorkPackages[[#This Row],[Time split]]="Validation H1",4,5),FALSE()))</f>
        <v/>
      </c>
      <c r="U361" s="51" t="str">
        <f>IF(tblWorkPackages[[#This Row],[Calibrated forecast hours]]="","",ABS(tblWorkPackages[[#This Row],[Actual labor hours]]-tblWorkPackages[[#This Row],[Calibrated forecast hours]]))</f>
        <v/>
      </c>
      <c r="V361" s="51">
        <f>IF(tblWorkPackages[[#This Row],[Time split]]="Train 2024",tblWorkPackages[[#This Row],[Estimated labor hours]],tblWorkPackages[[#This Row],[Calibrated forecast hours]])</f>
        <v>3.6</v>
      </c>
      <c r="W361" s="64">
        <f>DATEVALUE(tblWorkPackages[[#This Row],[Request date]])</f>
        <v>45457.0</v>
      </c>
      <c r="X361" s="64">
        <f>DATEVALUE(tblWorkPackages[[#This Row],[Due date]])</f>
        <v>45459.0</v>
      </c>
      <c r="Y361" s="64">
        <f>DATEVALUE(tblWorkPackages[[#This Row],[Completion date]])</f>
        <v>45465.0</v>
      </c>
      <c r="Z361" s="64">
        <f>_xlfn.MINIFS(tblLaborEntries[Work date serial],tblLaborEntries[Work package ID],tblWorkPackages[[#This Row],[Work package ID]])</f>
        <v>45461.0</v>
      </c>
      <c r="AA361" s="64">
        <f>_xlfn.MAXIFS(tblLaborEntries[Work date serial],tblLaborEntries[Work package ID],tblWorkPackages[[#This Row],[Work package ID]])</f>
        <v>45462.0</v>
      </c>
      <c r="AB361" s="65">
        <f>IF(tblWorkPackages[[#This Row],[Completion date serial]]&gt;tblWorkPackages[[#This Row],[Due date serial]],1,0)</f>
        <v>1</v>
      </c>
      <c r="AC361" s="65">
        <f>MAX(0,tblWorkPackages[[#This Row],[Completion date serial]]-tblWorkPackages[[#This Row],[Due date serial]])</f>
        <v>6</v>
      </c>
      <c r="AD361" s="65">
        <f>tblWorkPackages[[#This Row],[First labor date]]-tblWorkPackages[[#This Row],[Request date serial]]</f>
        <v>4</v>
      </c>
      <c r="AE361" s="65">
        <f>tblWorkPackages[[#This Row],[Last labor date]]-tblWorkPackages[[#This Row],[First labor date]]</f>
        <v>1</v>
      </c>
      <c r="AF361" s="65">
        <f>tblWorkPackages[[#This Row],[Completion date serial]]-tblWorkPackages[[#This Row],[Last labor date]]</f>
        <v>3</v>
      </c>
      <c r="AG361" s="65">
        <f>tblWorkPackages[[#This Row],[Completion date serial]]-tblWorkPackages[[#This Row],[Request date serial]]</f>
        <v>8</v>
      </c>
      <c r="AH361" s="65">
        <f>IFERROR(INDEX(tblParts[Delay days],MATCH(tblWorkPackages[[#This Row],[Work package ID]],tblParts[Work package ID],0)),0)</f>
        <v>0</v>
      </c>
      <c r="AI361" s="51" t="str">
        <f>IFERROR(INDEX(tblDisruptions[Event type],MATCH(tblWorkPackages[[#This Row],[Work package ID]],tblDisruptions[Work package ID],0)),"None")</f>
        <v>None</v>
      </c>
      <c r="AJ361" s="51" t="str">
        <f>TEXT(tblWorkPackages[[#This Row],[Due date serial]],"yyyy-mm")</f>
        <v>2024-06</v>
      </c>
    </row>
    <row r="362" spans="1:36" ht="15" x14ac:dyDescent="0.25">
      <c r="A362" s="53" t="s">
        <v>1093</v>
      </c>
      <c r="B362" s="53" t="s">
        <v>157</v>
      </c>
      <c r="C362" s="53" t="s">
        <v>528</v>
      </c>
      <c r="D362" s="53" t="s">
        <v>462</v>
      </c>
      <c r="E362" s="53" t="s">
        <v>160</v>
      </c>
      <c r="F362" s="53" t="s">
        <v>128</v>
      </c>
      <c r="G362" s="53" t="s">
        <v>138</v>
      </c>
      <c r="H362" s="53">
        <v>3</v>
      </c>
      <c r="I362" s="53" t="s">
        <v>130</v>
      </c>
      <c r="J362" s="53">
        <v>0</v>
      </c>
      <c r="K362" s="53">
        <v>0</v>
      </c>
      <c r="L362" s="53">
        <v>5.2</v>
      </c>
      <c r="M362" s="53" t="s">
        <v>285</v>
      </c>
      <c r="N362" s="53">
        <v>4.8</v>
      </c>
      <c r="O362" s="51" t="str">
        <f>TEXT(tblWorkPackages[[#This Row],[Request date serial]]-WEEKDAY(tblWorkPackages[[#This Row],[Request date serial]],3),"yyyy-mm-dd")</f>
        <v>2025-09-08</v>
      </c>
      <c r="P362" s="51">
        <f>ABS(tblWorkPackages[[#This Row],[Actual labor hours]]-tblWorkPackages[[#This Row],[Estimated labor hours]])</f>
        <v>0.4</v>
      </c>
      <c r="Q362" s="51">
        <f>IF(tblWorkPackages[[#This Row],[Actual labor hours]]&gt;tblWorkPackages[[#This Row],[Estimated labor hours]],1,0)</f>
        <v>0</v>
      </c>
      <c r="R362" s="51">
        <f>tblWorkPackages[[#This Row],[Actual labor hours]]-tblWorkPackages[[#This Row],[Estimated labor hours]]</f>
        <v>-0.4</v>
      </c>
      <c r="S362" s="51" t="str">
        <f>IF(tblWorkPackages[[#This Row],[Request date serial]]&lt;ValidationStart,"Train 2024",IF(tblWorkPackages[[#This Row],[Request date serial]]&lt;HoldoutStart,"Validation H1","Holdout H2"))</f>
        <v>Holdout H2</v>
      </c>
      <c r="T362" s="51">
        <f>IF(tblWorkPackages[[#This Row],[Time split]]="Train 2024","",tblWorkPackages[[#This Row],[Estimated labor hours]]+VLOOKUP(tblWorkPackages[[#This Row],[Task type]],'Forecast validation'!$A$14:$E$25,IF(tblWorkPackages[[#This Row],[Time split]]="Validation H1",4,5),FALSE()))</f>
        <v>5.63739837398374</v>
      </c>
      <c r="U362" s="51">
        <f>IF(tblWorkPackages[[#This Row],[Calibrated forecast hours]]="","",ABS(tblWorkPackages[[#This Row],[Actual labor hours]]-tblWorkPackages[[#This Row],[Calibrated forecast hours]]))</f>
        <v>0.83739837398374</v>
      </c>
      <c r="V362" s="51">
        <f>IF(tblWorkPackages[[#This Row],[Time split]]="Train 2024",tblWorkPackages[[#This Row],[Estimated labor hours]],tblWorkPackages[[#This Row],[Calibrated forecast hours]])</f>
        <v>5.63739837398374</v>
      </c>
      <c r="W362" s="64">
        <f>DATEVALUE(tblWorkPackages[[#This Row],[Request date]])</f>
        <v>45912.0</v>
      </c>
      <c r="X362" s="64">
        <f>DATEVALUE(tblWorkPackages[[#This Row],[Due date]])</f>
        <v>45925.0</v>
      </c>
      <c r="Y362" s="64">
        <f>DATEVALUE(tblWorkPackages[[#This Row],[Completion date]])</f>
        <v>45915.0</v>
      </c>
      <c r="Z362" s="64">
        <f>_xlfn.MINIFS(tblLaborEntries[Work date serial],tblLaborEntries[Work package ID],tblWorkPackages[[#This Row],[Work package ID]])</f>
        <v>45913.0</v>
      </c>
      <c r="AA362" s="64">
        <f>_xlfn.MAXIFS(tblLaborEntries[Work date serial],tblLaborEntries[Work package ID],tblWorkPackages[[#This Row],[Work package ID]])</f>
        <v>45915.0</v>
      </c>
      <c r="AB362" s="65">
        <f>IF(tblWorkPackages[[#This Row],[Completion date serial]]&gt;tblWorkPackages[[#This Row],[Due date serial]],1,0)</f>
        <v>0</v>
      </c>
      <c r="AC362" s="65">
        <f>MAX(0,tblWorkPackages[[#This Row],[Completion date serial]]-tblWorkPackages[[#This Row],[Due date serial]])</f>
        <v>0</v>
      </c>
      <c r="AD362" s="65">
        <f>tblWorkPackages[[#This Row],[First labor date]]-tblWorkPackages[[#This Row],[Request date serial]]</f>
        <v>1</v>
      </c>
      <c r="AE362" s="65">
        <f>tblWorkPackages[[#This Row],[Last labor date]]-tblWorkPackages[[#This Row],[First labor date]]</f>
        <v>2</v>
      </c>
      <c r="AF362" s="65">
        <f>tblWorkPackages[[#This Row],[Completion date serial]]-tblWorkPackages[[#This Row],[Last labor date]]</f>
        <v>0</v>
      </c>
      <c r="AG362" s="65">
        <f>tblWorkPackages[[#This Row],[Completion date serial]]-tblWorkPackages[[#This Row],[Request date serial]]</f>
        <v>3</v>
      </c>
      <c r="AH362" s="65">
        <f>IFERROR(INDEX(tblParts[Delay days],MATCH(tblWorkPackages[[#This Row],[Work package ID]],tblParts[Work package ID],0)),0)</f>
        <v>0</v>
      </c>
      <c r="AI362" s="51" t="str">
        <f>IFERROR(INDEX(tblDisruptions[Event type],MATCH(tblWorkPackages[[#This Row],[Work package ID]],tblDisruptions[Work package ID],0)),"None")</f>
        <v>None</v>
      </c>
      <c r="AJ362" s="51" t="str">
        <f>TEXT(tblWorkPackages[[#This Row],[Due date serial]],"yyyy-mm")</f>
        <v>2025-09</v>
      </c>
    </row>
    <row r="363" spans="1:36" ht="15" x14ac:dyDescent="0.25">
      <c r="A363" s="53" t="s">
        <v>1094</v>
      </c>
      <c r="B363" s="53" t="s">
        <v>203</v>
      </c>
      <c r="C363" s="53" t="s">
        <v>442</v>
      </c>
      <c r="D363" s="53" t="s">
        <v>802</v>
      </c>
      <c r="E363" s="53" t="s">
        <v>237</v>
      </c>
      <c r="F363" s="53" t="s">
        <v>182</v>
      </c>
      <c r="G363" s="53" t="s">
        <v>138</v>
      </c>
      <c r="H363" s="53">
        <v>4</v>
      </c>
      <c r="I363" s="53" t="s">
        <v>130</v>
      </c>
      <c r="J363" s="53">
        <v>0</v>
      </c>
      <c r="K363" s="53">
        <v>0</v>
      </c>
      <c r="L363" s="53">
        <v>9.4</v>
      </c>
      <c r="M363" s="53" t="s">
        <v>1095</v>
      </c>
      <c r="N363" s="53">
        <v>10.6</v>
      </c>
      <c r="O363" s="51" t="str">
        <f>TEXT(tblWorkPackages[[#This Row],[Request date serial]]-WEEKDAY(tblWorkPackages[[#This Row],[Request date serial]],3),"yyyy-mm-dd")</f>
        <v>2024-02-05</v>
      </c>
      <c r="P363" s="51">
        <f>ABS(tblWorkPackages[[#This Row],[Actual labor hours]]-tblWorkPackages[[#This Row],[Estimated labor hours]])</f>
        <v>1.2</v>
      </c>
      <c r="Q363" s="51">
        <f>IF(tblWorkPackages[[#This Row],[Actual labor hours]]&gt;tblWorkPackages[[#This Row],[Estimated labor hours]],1,0)</f>
        <v>1</v>
      </c>
      <c r="R363" s="51">
        <f>tblWorkPackages[[#This Row],[Actual labor hours]]-tblWorkPackages[[#This Row],[Estimated labor hours]]</f>
        <v>1.2</v>
      </c>
      <c r="S363" s="51" t="str">
        <f>IF(tblWorkPackages[[#This Row],[Request date serial]]&lt;ValidationStart,"Train 2024",IF(tblWorkPackages[[#This Row],[Request date serial]]&lt;HoldoutStart,"Validation H1","Holdout H2"))</f>
        <v>Train 2024</v>
      </c>
      <c r="T363" s="51" t="str">
        <f>IF(tblWorkPackages[[#This Row],[Time split]]="Train 2024","",tblWorkPackages[[#This Row],[Estimated labor hours]]+VLOOKUP(tblWorkPackages[[#This Row],[Task type]],'Forecast validation'!$A$14:$E$25,IF(tblWorkPackages[[#This Row],[Time split]]="Validation H1",4,5),FALSE()))</f>
        <v/>
      </c>
      <c r="U363" s="51" t="str">
        <f>IF(tblWorkPackages[[#This Row],[Calibrated forecast hours]]="","",ABS(tblWorkPackages[[#This Row],[Actual labor hours]]-tblWorkPackages[[#This Row],[Calibrated forecast hours]]))</f>
        <v/>
      </c>
      <c r="V363" s="51">
        <f>IF(tblWorkPackages[[#This Row],[Time split]]="Train 2024",tblWorkPackages[[#This Row],[Estimated labor hours]],tblWorkPackages[[#This Row],[Calibrated forecast hours]])</f>
        <v>9.4</v>
      </c>
      <c r="W363" s="64">
        <f>DATEVALUE(tblWorkPackages[[#This Row],[Request date]])</f>
        <v>45330.0</v>
      </c>
      <c r="X363" s="64">
        <f>DATEVALUE(tblWorkPackages[[#This Row],[Due date]])</f>
        <v>45343.0</v>
      </c>
      <c r="Y363" s="64">
        <f>DATEVALUE(tblWorkPackages[[#This Row],[Completion date]])</f>
        <v>45344.0</v>
      </c>
      <c r="Z363" s="64">
        <f>_xlfn.MINIFS(tblLaborEntries[Work date serial],tblLaborEntries[Work package ID],tblWorkPackages[[#This Row],[Work package ID]])</f>
        <v>45343.0</v>
      </c>
      <c r="AA363" s="64">
        <f>_xlfn.MAXIFS(tblLaborEntries[Work date serial],tblLaborEntries[Work package ID],tblWorkPackages[[#This Row],[Work package ID]])</f>
        <v>45343.0</v>
      </c>
      <c r="AB363" s="65">
        <f>IF(tblWorkPackages[[#This Row],[Completion date serial]]&gt;tblWorkPackages[[#This Row],[Due date serial]],1,0)</f>
        <v>1</v>
      </c>
      <c r="AC363" s="65">
        <f>MAX(0,tblWorkPackages[[#This Row],[Completion date serial]]-tblWorkPackages[[#This Row],[Due date serial]])</f>
        <v>1</v>
      </c>
      <c r="AD363" s="65">
        <f>tblWorkPackages[[#This Row],[First labor date]]-tblWorkPackages[[#This Row],[Request date serial]]</f>
        <v>13</v>
      </c>
      <c r="AE363" s="65">
        <f>tblWorkPackages[[#This Row],[Last labor date]]-tblWorkPackages[[#This Row],[First labor date]]</f>
        <v>0</v>
      </c>
      <c r="AF363" s="65">
        <f>tblWorkPackages[[#This Row],[Completion date serial]]-tblWorkPackages[[#This Row],[Last labor date]]</f>
        <v>1</v>
      </c>
      <c r="AG363" s="65">
        <f>tblWorkPackages[[#This Row],[Completion date serial]]-tblWorkPackages[[#This Row],[Request date serial]]</f>
        <v>14</v>
      </c>
      <c r="AH363" s="65">
        <f>IFERROR(INDEX(tblParts[Delay days],MATCH(tblWorkPackages[[#This Row],[Work package ID]],tblParts[Work package ID],0)),0)</f>
        <v>0</v>
      </c>
      <c r="AI363" s="51" t="str">
        <f>IFERROR(INDEX(tblDisruptions[Event type],MATCH(tblWorkPackages[[#This Row],[Work package ID]],tblDisruptions[Work package ID],0)),"None")</f>
        <v>None</v>
      </c>
      <c r="AJ363" s="51" t="str">
        <f>TEXT(tblWorkPackages[[#This Row],[Due date serial]],"yyyy-mm")</f>
        <v>2024-02</v>
      </c>
    </row>
    <row r="364" spans="1:36" ht="15" x14ac:dyDescent="0.25">
      <c r="A364" s="53" t="s">
        <v>1096</v>
      </c>
      <c r="B364" s="53" t="s">
        <v>124</v>
      </c>
      <c r="C364" s="53" t="s">
        <v>276</v>
      </c>
      <c r="D364" s="53" t="s">
        <v>171</v>
      </c>
      <c r="E364" s="53" t="s">
        <v>136</v>
      </c>
      <c r="F364" s="53" t="s">
        <v>137</v>
      </c>
      <c r="G364" s="53" t="s">
        <v>138</v>
      </c>
      <c r="H364" s="53">
        <v>1</v>
      </c>
      <c r="I364" s="53" t="s">
        <v>176</v>
      </c>
      <c r="J364" s="53">
        <v>0</v>
      </c>
      <c r="K364" s="53">
        <v>1</v>
      </c>
      <c r="L364" s="53">
        <v>8.5</v>
      </c>
      <c r="M364" s="53" t="s">
        <v>534</v>
      </c>
      <c r="N364" s="53">
        <v>6.6</v>
      </c>
      <c r="O364" s="51" t="str">
        <f>TEXT(tblWorkPackages[[#This Row],[Request date serial]]-WEEKDAY(tblWorkPackages[[#This Row],[Request date serial]],3),"yyyy-mm-dd")</f>
        <v>2024-10-14</v>
      </c>
      <c r="P364" s="51">
        <f>ABS(tblWorkPackages[[#This Row],[Actual labor hours]]-tblWorkPackages[[#This Row],[Estimated labor hours]])</f>
        <v>1.9</v>
      </c>
      <c r="Q364" s="51">
        <f>IF(tblWorkPackages[[#This Row],[Actual labor hours]]&gt;tblWorkPackages[[#This Row],[Estimated labor hours]],1,0)</f>
        <v>0</v>
      </c>
      <c r="R364" s="51">
        <f>tblWorkPackages[[#This Row],[Actual labor hours]]-tblWorkPackages[[#This Row],[Estimated labor hours]]</f>
        <v>-1.9</v>
      </c>
      <c r="S364" s="51" t="str">
        <f>IF(tblWorkPackages[[#This Row],[Request date serial]]&lt;ValidationStart,"Train 2024",IF(tblWorkPackages[[#This Row],[Request date serial]]&lt;HoldoutStart,"Validation H1","Holdout H2"))</f>
        <v>Train 2024</v>
      </c>
      <c r="T364" s="51" t="str">
        <f>IF(tblWorkPackages[[#This Row],[Time split]]="Train 2024","",tblWorkPackages[[#This Row],[Estimated labor hours]]+VLOOKUP(tblWorkPackages[[#This Row],[Task type]],'Forecast validation'!$A$14:$E$25,IF(tblWorkPackages[[#This Row],[Time split]]="Validation H1",4,5),FALSE()))</f>
        <v/>
      </c>
      <c r="U364" s="51" t="str">
        <f>IF(tblWorkPackages[[#This Row],[Calibrated forecast hours]]="","",ABS(tblWorkPackages[[#This Row],[Actual labor hours]]-tblWorkPackages[[#This Row],[Calibrated forecast hours]]))</f>
        <v/>
      </c>
      <c r="V364" s="51">
        <f>IF(tblWorkPackages[[#This Row],[Time split]]="Train 2024",tblWorkPackages[[#This Row],[Estimated labor hours]],tblWorkPackages[[#This Row],[Calibrated forecast hours]])</f>
        <v>8.5</v>
      </c>
      <c r="W364" s="64">
        <f>DATEVALUE(tblWorkPackages[[#This Row],[Request date]])</f>
        <v>45584.0</v>
      </c>
      <c r="X364" s="64">
        <f>DATEVALUE(tblWorkPackages[[#This Row],[Due date]])</f>
        <v>45590.0</v>
      </c>
      <c r="Y364" s="64">
        <f>DATEVALUE(tblWorkPackages[[#This Row],[Completion date]])</f>
        <v>45591.0</v>
      </c>
      <c r="Z364" s="64">
        <f>_xlfn.MINIFS(tblLaborEntries[Work date serial],tblLaborEntries[Work package ID],tblWorkPackages[[#This Row],[Work package ID]])</f>
        <v>45587.0</v>
      </c>
      <c r="AA364" s="64">
        <f>_xlfn.MAXIFS(tblLaborEntries[Work date serial],tblLaborEntries[Work package ID],tblWorkPackages[[#This Row],[Work package ID]])</f>
        <v>45589.0</v>
      </c>
      <c r="AB364" s="65">
        <f>IF(tblWorkPackages[[#This Row],[Completion date serial]]&gt;tblWorkPackages[[#This Row],[Due date serial]],1,0)</f>
        <v>1</v>
      </c>
      <c r="AC364" s="65">
        <f>MAX(0,tblWorkPackages[[#This Row],[Completion date serial]]-tblWorkPackages[[#This Row],[Due date serial]])</f>
        <v>1</v>
      </c>
      <c r="AD364" s="65">
        <f>tblWorkPackages[[#This Row],[First labor date]]-tblWorkPackages[[#This Row],[Request date serial]]</f>
        <v>3</v>
      </c>
      <c r="AE364" s="65">
        <f>tblWorkPackages[[#This Row],[Last labor date]]-tblWorkPackages[[#This Row],[First labor date]]</f>
        <v>2</v>
      </c>
      <c r="AF364" s="65">
        <f>tblWorkPackages[[#This Row],[Completion date serial]]-tblWorkPackages[[#This Row],[Last labor date]]</f>
        <v>2</v>
      </c>
      <c r="AG364" s="65">
        <f>tblWorkPackages[[#This Row],[Completion date serial]]-tblWorkPackages[[#This Row],[Request date serial]]</f>
        <v>7</v>
      </c>
      <c r="AH364" s="65">
        <f>IFERROR(INDEX(tblParts[Delay days],MATCH(tblWorkPackages[[#This Row],[Work package ID]],tblParts[Work package ID],0)),0)</f>
        <v>0</v>
      </c>
      <c r="AI364" s="51" t="str">
        <f>IFERROR(INDEX(tblDisruptions[Event type],MATCH(tblWorkPackages[[#This Row],[Work package ID]],tblDisruptions[Work package ID],0)),"None")</f>
        <v>None</v>
      </c>
      <c r="AJ364" s="51" t="str">
        <f>TEXT(tblWorkPackages[[#This Row],[Due date serial]],"yyyy-mm")</f>
        <v>2024-10</v>
      </c>
    </row>
    <row r="365" spans="1:36" ht="15" x14ac:dyDescent="0.25">
      <c r="A365" s="53" t="s">
        <v>1097</v>
      </c>
      <c r="B365" s="53" t="s">
        <v>133</v>
      </c>
      <c r="C365" s="53" t="s">
        <v>880</v>
      </c>
      <c r="D365" s="53" t="s">
        <v>317</v>
      </c>
      <c r="E365" s="53" t="s">
        <v>136</v>
      </c>
      <c r="F365" s="53" t="s">
        <v>137</v>
      </c>
      <c r="G365" s="53" t="s">
        <v>138</v>
      </c>
      <c r="H365" s="53">
        <v>3</v>
      </c>
      <c r="I365" s="53" t="s">
        <v>147</v>
      </c>
      <c r="J365" s="53">
        <v>0</v>
      </c>
      <c r="K365" s="53">
        <v>0</v>
      </c>
      <c r="L365" s="53">
        <v>20.9</v>
      </c>
      <c r="M365" s="53" t="s">
        <v>407</v>
      </c>
      <c r="N365" s="53">
        <v>16.5</v>
      </c>
      <c r="O365" s="51" t="str">
        <f>TEXT(tblWorkPackages[[#This Row],[Request date serial]]-WEEKDAY(tblWorkPackages[[#This Row],[Request date serial]],3),"yyyy-mm-dd")</f>
        <v>2024-04-08</v>
      </c>
      <c r="P365" s="51">
        <f>ABS(tblWorkPackages[[#This Row],[Actual labor hours]]-tblWorkPackages[[#This Row],[Estimated labor hours]])</f>
        <v>4.4</v>
      </c>
      <c r="Q365" s="51">
        <f>IF(tblWorkPackages[[#This Row],[Actual labor hours]]&gt;tblWorkPackages[[#This Row],[Estimated labor hours]],1,0)</f>
        <v>0</v>
      </c>
      <c r="R365" s="51">
        <f>tblWorkPackages[[#This Row],[Actual labor hours]]-tblWorkPackages[[#This Row],[Estimated labor hours]]</f>
        <v>-4.4</v>
      </c>
      <c r="S365" s="51" t="str">
        <f>IF(tblWorkPackages[[#This Row],[Request date serial]]&lt;ValidationStart,"Train 2024",IF(tblWorkPackages[[#This Row],[Request date serial]]&lt;HoldoutStart,"Validation H1","Holdout H2"))</f>
        <v>Train 2024</v>
      </c>
      <c r="T365" s="51" t="str">
        <f>IF(tblWorkPackages[[#This Row],[Time split]]="Train 2024","",tblWorkPackages[[#This Row],[Estimated labor hours]]+VLOOKUP(tblWorkPackages[[#This Row],[Task type]],'Forecast validation'!$A$14:$E$25,IF(tblWorkPackages[[#This Row],[Time split]]="Validation H1",4,5),FALSE()))</f>
        <v/>
      </c>
      <c r="U365" s="51" t="str">
        <f>IF(tblWorkPackages[[#This Row],[Calibrated forecast hours]]="","",ABS(tblWorkPackages[[#This Row],[Actual labor hours]]-tblWorkPackages[[#This Row],[Calibrated forecast hours]]))</f>
        <v/>
      </c>
      <c r="V365" s="51">
        <f>IF(tblWorkPackages[[#This Row],[Time split]]="Train 2024",tblWorkPackages[[#This Row],[Estimated labor hours]],tblWorkPackages[[#This Row],[Calibrated forecast hours]])</f>
        <v>20.9</v>
      </c>
      <c r="W365" s="64">
        <f>DATEVALUE(tblWorkPackages[[#This Row],[Request date]])</f>
        <v>45392.0</v>
      </c>
      <c r="X365" s="64">
        <f>DATEVALUE(tblWorkPackages[[#This Row],[Due date]])</f>
        <v>45394.0</v>
      </c>
      <c r="Y365" s="64">
        <f>DATEVALUE(tblWorkPackages[[#This Row],[Completion date]])</f>
        <v>45441.0</v>
      </c>
      <c r="Z365" s="64">
        <f>_xlfn.MINIFS(tblLaborEntries[Work date serial],tblLaborEntries[Work package ID],tblWorkPackages[[#This Row],[Work package ID]])</f>
        <v>45436.0</v>
      </c>
      <c r="AA365" s="64">
        <f>_xlfn.MAXIFS(tblLaborEntries[Work date serial],tblLaborEntries[Work package ID],tblWorkPackages[[#This Row],[Work package ID]])</f>
        <v>45438.0</v>
      </c>
      <c r="AB365" s="65">
        <f>IF(tblWorkPackages[[#This Row],[Completion date serial]]&gt;tblWorkPackages[[#This Row],[Due date serial]],1,0)</f>
        <v>1</v>
      </c>
      <c r="AC365" s="65">
        <f>MAX(0,tblWorkPackages[[#This Row],[Completion date serial]]-tblWorkPackages[[#This Row],[Due date serial]])</f>
        <v>47</v>
      </c>
      <c r="AD365" s="65">
        <f>tblWorkPackages[[#This Row],[First labor date]]-tblWorkPackages[[#This Row],[Request date serial]]</f>
        <v>44</v>
      </c>
      <c r="AE365" s="65">
        <f>tblWorkPackages[[#This Row],[Last labor date]]-tblWorkPackages[[#This Row],[First labor date]]</f>
        <v>2</v>
      </c>
      <c r="AF365" s="65">
        <f>tblWorkPackages[[#This Row],[Completion date serial]]-tblWorkPackages[[#This Row],[Last labor date]]</f>
        <v>3</v>
      </c>
      <c r="AG365" s="65">
        <f>tblWorkPackages[[#This Row],[Completion date serial]]-tblWorkPackages[[#This Row],[Request date serial]]</f>
        <v>49</v>
      </c>
      <c r="AH365" s="65">
        <f>IFERROR(INDEX(tblParts[Delay days],MATCH(tblWorkPackages[[#This Row],[Work package ID]],tblParts[Work package ID],0)),0)</f>
        <v>0</v>
      </c>
      <c r="AI365" s="51" t="str">
        <f>IFERROR(INDEX(tblDisruptions[Event type],MATCH(tblWorkPackages[[#This Row],[Work package ID]],tblDisruptions[Work package ID],0)),"None")</f>
        <v>None</v>
      </c>
      <c r="AJ365" s="51" t="str">
        <f>TEXT(tblWorkPackages[[#This Row],[Due date serial]],"yyyy-mm")</f>
        <v>2024-04</v>
      </c>
    </row>
    <row r="366" spans="1:36" ht="15" x14ac:dyDescent="0.25">
      <c r="A366" s="53" t="s">
        <v>1098</v>
      </c>
      <c r="B366" s="53" t="s">
        <v>235</v>
      </c>
      <c r="C366" s="53" t="s">
        <v>231</v>
      </c>
      <c r="D366" s="53" t="s">
        <v>232</v>
      </c>
      <c r="E366" s="53" t="s">
        <v>144</v>
      </c>
      <c r="F366" s="53" t="s">
        <v>145</v>
      </c>
      <c r="G366" s="53" t="s">
        <v>146</v>
      </c>
      <c r="H366" s="53">
        <v>2</v>
      </c>
      <c r="I366" s="53" t="s">
        <v>130</v>
      </c>
      <c r="J366" s="53">
        <v>0</v>
      </c>
      <c r="K366" s="53">
        <v>1</v>
      </c>
      <c r="L366" s="53">
        <v>9.6999999999999993</v>
      </c>
      <c r="M366" s="53" t="s">
        <v>679</v>
      </c>
      <c r="N366" s="53">
        <v>10.1</v>
      </c>
      <c r="O366" s="51" t="str">
        <f>TEXT(tblWorkPackages[[#This Row],[Request date serial]]-WEEKDAY(tblWorkPackages[[#This Row],[Request date serial]],3),"yyyy-mm-dd")</f>
        <v>2024-12-23</v>
      </c>
      <c r="P366" s="51">
        <f>ABS(tblWorkPackages[[#This Row],[Actual labor hours]]-tblWorkPackages[[#This Row],[Estimated labor hours]])</f>
        <v>0.4</v>
      </c>
      <c r="Q366" s="51">
        <f>IF(tblWorkPackages[[#This Row],[Actual labor hours]]&gt;tblWorkPackages[[#This Row],[Estimated labor hours]],1,0)</f>
        <v>1</v>
      </c>
      <c r="R366" s="51">
        <f>tblWorkPackages[[#This Row],[Actual labor hours]]-tblWorkPackages[[#This Row],[Estimated labor hours]]</f>
        <v>0.4</v>
      </c>
      <c r="S366" s="51" t="str">
        <f>IF(tblWorkPackages[[#This Row],[Request date serial]]&lt;ValidationStart,"Train 2024",IF(tblWorkPackages[[#This Row],[Request date serial]]&lt;HoldoutStart,"Validation H1","Holdout H2"))</f>
        <v>Train 2024</v>
      </c>
      <c r="T366" s="51" t="str">
        <f>IF(tblWorkPackages[[#This Row],[Time split]]="Train 2024","",tblWorkPackages[[#This Row],[Estimated labor hours]]+VLOOKUP(tblWorkPackages[[#This Row],[Task type]],'Forecast validation'!$A$14:$E$25,IF(tblWorkPackages[[#This Row],[Time split]]="Validation H1",4,5),FALSE()))</f>
        <v/>
      </c>
      <c r="U366" s="51" t="str">
        <f>IF(tblWorkPackages[[#This Row],[Calibrated forecast hours]]="","",ABS(tblWorkPackages[[#This Row],[Actual labor hours]]-tblWorkPackages[[#This Row],[Calibrated forecast hours]]))</f>
        <v/>
      </c>
      <c r="V366" s="51">
        <f>IF(tblWorkPackages[[#This Row],[Time split]]="Train 2024",tblWorkPackages[[#This Row],[Estimated labor hours]],tblWorkPackages[[#This Row],[Calibrated forecast hours]])</f>
        <v>9.7</v>
      </c>
      <c r="W366" s="64">
        <f>DATEVALUE(tblWorkPackages[[#This Row],[Request date]])</f>
        <v>45655.0</v>
      </c>
      <c r="X366" s="64">
        <f>DATEVALUE(tblWorkPackages[[#This Row],[Due date]])</f>
        <v>45668.0</v>
      </c>
      <c r="Y366" s="64">
        <f>DATEVALUE(tblWorkPackages[[#This Row],[Completion date]])</f>
        <v>45663.0</v>
      </c>
      <c r="Z366" s="64">
        <f>_xlfn.MINIFS(tblLaborEntries[Work date serial],tblLaborEntries[Work package ID],tblWorkPackages[[#This Row],[Work package ID]])</f>
        <v>45663.0</v>
      </c>
      <c r="AA366" s="64">
        <f>_xlfn.MAXIFS(tblLaborEntries[Work date serial],tblLaborEntries[Work package ID],tblWorkPackages[[#This Row],[Work package ID]])</f>
        <v>45663.0</v>
      </c>
      <c r="AB366" s="65">
        <f>IF(tblWorkPackages[[#This Row],[Completion date serial]]&gt;tblWorkPackages[[#This Row],[Due date serial]],1,0)</f>
        <v>0</v>
      </c>
      <c r="AC366" s="65">
        <f>MAX(0,tblWorkPackages[[#This Row],[Completion date serial]]-tblWorkPackages[[#This Row],[Due date serial]])</f>
        <v>0</v>
      </c>
      <c r="AD366" s="65">
        <f>tblWorkPackages[[#This Row],[First labor date]]-tblWorkPackages[[#This Row],[Request date serial]]</f>
        <v>8</v>
      </c>
      <c r="AE366" s="65">
        <f>tblWorkPackages[[#This Row],[Last labor date]]-tblWorkPackages[[#This Row],[First labor date]]</f>
        <v>0</v>
      </c>
      <c r="AF366" s="65">
        <f>tblWorkPackages[[#This Row],[Completion date serial]]-tblWorkPackages[[#This Row],[Last labor date]]</f>
        <v>0</v>
      </c>
      <c r="AG366" s="65">
        <f>tblWorkPackages[[#This Row],[Completion date serial]]-tblWorkPackages[[#This Row],[Request date serial]]</f>
        <v>8</v>
      </c>
      <c r="AH366" s="65">
        <f>IFERROR(INDEX(tblParts[Delay days],MATCH(tblWorkPackages[[#This Row],[Work package ID]],tblParts[Work package ID],0)),0)</f>
        <v>0</v>
      </c>
      <c r="AI366" s="51" t="str">
        <f>IFERROR(INDEX(tblDisruptions[Event type],MATCH(tblWorkPackages[[#This Row],[Work package ID]],tblDisruptions[Work package ID],0)),"None")</f>
        <v>Repeat inspection</v>
      </c>
      <c r="AJ366" s="51" t="str">
        <f>TEXT(tblWorkPackages[[#This Row],[Due date serial]],"yyyy-mm")</f>
        <v>2025-01</v>
      </c>
    </row>
    <row r="367" spans="1:36" ht="15" x14ac:dyDescent="0.25">
      <c r="A367" s="53" t="s">
        <v>1099</v>
      </c>
      <c r="B367" s="53" t="s">
        <v>133</v>
      </c>
      <c r="C367" s="53" t="s">
        <v>963</v>
      </c>
      <c r="D367" s="53" t="s">
        <v>187</v>
      </c>
      <c r="E367" s="53" t="s">
        <v>242</v>
      </c>
      <c r="F367" s="53" t="s">
        <v>243</v>
      </c>
      <c r="G367" s="53" t="s">
        <v>129</v>
      </c>
      <c r="H367" s="53">
        <v>3</v>
      </c>
      <c r="I367" s="53" t="s">
        <v>130</v>
      </c>
      <c r="J367" s="53">
        <v>0</v>
      </c>
      <c r="K367" s="53">
        <v>0</v>
      </c>
      <c r="L367" s="53">
        <v>11.8</v>
      </c>
      <c r="M367" s="53" t="s">
        <v>1100</v>
      </c>
      <c r="N367" s="53">
        <v>10.6</v>
      </c>
      <c r="O367" s="51" t="str">
        <f>TEXT(tblWorkPackages[[#This Row],[Request date serial]]-WEEKDAY(tblWorkPackages[[#This Row],[Request date serial]],3),"yyyy-mm-dd")</f>
        <v>2025-02-10</v>
      </c>
      <c r="P367" s="51">
        <f>ABS(tblWorkPackages[[#This Row],[Actual labor hours]]-tblWorkPackages[[#This Row],[Estimated labor hours]])</f>
        <v>1.2</v>
      </c>
      <c r="Q367" s="51">
        <f>IF(tblWorkPackages[[#This Row],[Actual labor hours]]&gt;tblWorkPackages[[#This Row],[Estimated labor hours]],1,0)</f>
        <v>0</v>
      </c>
      <c r="R367" s="51">
        <f>tblWorkPackages[[#This Row],[Actual labor hours]]-tblWorkPackages[[#This Row],[Estimated labor hours]]</f>
        <v>-1.2</v>
      </c>
      <c r="S367" s="51" t="str">
        <f>IF(tblWorkPackages[[#This Row],[Request date serial]]&lt;ValidationStart,"Train 2024",IF(tblWorkPackages[[#This Row],[Request date serial]]&lt;HoldoutStart,"Validation H1","Holdout H2"))</f>
        <v>Validation H1</v>
      </c>
      <c r="T367" s="51">
        <f>IF(tblWorkPackages[[#This Row],[Time split]]="Train 2024","",tblWorkPackages[[#This Row],[Estimated labor hours]]+VLOOKUP(tblWorkPackages[[#This Row],[Task type]],'Forecast validation'!$A$14:$E$25,IF(tblWorkPackages[[#This Row],[Time split]]="Validation H1",4,5),FALSE()))</f>
        <v>12.3561224489796</v>
      </c>
      <c r="U367" s="51">
        <f>IF(tblWorkPackages[[#This Row],[Calibrated forecast hours]]="","",ABS(tblWorkPackages[[#This Row],[Actual labor hours]]-tblWorkPackages[[#This Row],[Calibrated forecast hours]]))</f>
        <v>1.75612244897959</v>
      </c>
      <c r="V367" s="51">
        <f>IF(tblWorkPackages[[#This Row],[Time split]]="Train 2024",tblWorkPackages[[#This Row],[Estimated labor hours]],tblWorkPackages[[#This Row],[Calibrated forecast hours]])</f>
        <v>12.3561224489796</v>
      </c>
      <c r="W367" s="64">
        <f>DATEVALUE(tblWorkPackages[[#This Row],[Request date]])</f>
        <v>45700.0</v>
      </c>
      <c r="X367" s="64">
        <f>DATEVALUE(tblWorkPackages[[#This Row],[Due date]])</f>
        <v>45713.0</v>
      </c>
      <c r="Y367" s="64">
        <f>DATEVALUE(tblWorkPackages[[#This Row],[Completion date]])</f>
        <v>45705.0</v>
      </c>
      <c r="Z367" s="64">
        <f>_xlfn.MINIFS(tblLaborEntries[Work date serial],tblLaborEntries[Work package ID],tblWorkPackages[[#This Row],[Work package ID]])</f>
        <v>45702.0</v>
      </c>
      <c r="AA367" s="64">
        <f>_xlfn.MAXIFS(tblLaborEntries[Work date serial],tblLaborEntries[Work package ID],tblWorkPackages[[#This Row],[Work package ID]])</f>
        <v>45704.0</v>
      </c>
      <c r="AB367" s="65">
        <f>IF(tblWorkPackages[[#This Row],[Completion date serial]]&gt;tblWorkPackages[[#This Row],[Due date serial]],1,0)</f>
        <v>0</v>
      </c>
      <c r="AC367" s="65">
        <f>MAX(0,tblWorkPackages[[#This Row],[Completion date serial]]-tblWorkPackages[[#This Row],[Due date serial]])</f>
        <v>0</v>
      </c>
      <c r="AD367" s="65">
        <f>tblWorkPackages[[#This Row],[First labor date]]-tblWorkPackages[[#This Row],[Request date serial]]</f>
        <v>2</v>
      </c>
      <c r="AE367" s="65">
        <f>tblWorkPackages[[#This Row],[Last labor date]]-tblWorkPackages[[#This Row],[First labor date]]</f>
        <v>2</v>
      </c>
      <c r="AF367" s="65">
        <f>tblWorkPackages[[#This Row],[Completion date serial]]-tblWorkPackages[[#This Row],[Last labor date]]</f>
        <v>1</v>
      </c>
      <c r="AG367" s="65">
        <f>tblWorkPackages[[#This Row],[Completion date serial]]-tblWorkPackages[[#This Row],[Request date serial]]</f>
        <v>5</v>
      </c>
      <c r="AH367" s="65">
        <f>IFERROR(INDEX(tblParts[Delay days],MATCH(tblWorkPackages[[#This Row],[Work package ID]],tblParts[Work package ID],0)),0)</f>
        <v>0</v>
      </c>
      <c r="AI367" s="51" t="str">
        <f>IFERROR(INDEX(tblDisruptions[Event type],MATCH(tblWorkPackages[[#This Row],[Work package ID]],tblDisruptions[Work package ID],0)),"None")</f>
        <v>None</v>
      </c>
      <c r="AJ367" s="51" t="str">
        <f>TEXT(tblWorkPackages[[#This Row],[Due date serial]],"yyyy-mm")</f>
        <v>2025-02</v>
      </c>
    </row>
    <row r="368" spans="1:36" ht="15" x14ac:dyDescent="0.25">
      <c r="A368" s="53" t="s">
        <v>1101</v>
      </c>
      <c r="B368" s="53" t="s">
        <v>235</v>
      </c>
      <c r="C368" s="53" t="s">
        <v>1087</v>
      </c>
      <c r="D368" s="53" t="s">
        <v>567</v>
      </c>
      <c r="E368" s="53" t="s">
        <v>200</v>
      </c>
      <c r="F368" s="53" t="s">
        <v>128</v>
      </c>
      <c r="G368" s="53" t="s">
        <v>129</v>
      </c>
      <c r="H368" s="53">
        <v>2</v>
      </c>
      <c r="I368" s="53" t="s">
        <v>130</v>
      </c>
      <c r="J368" s="53">
        <v>0</v>
      </c>
      <c r="K368" s="53">
        <v>0</v>
      </c>
      <c r="L368" s="53">
        <v>3.3</v>
      </c>
      <c r="M368" s="53" t="s">
        <v>569</v>
      </c>
      <c r="N368" s="53">
        <v>3.9</v>
      </c>
      <c r="O368" s="51" t="str">
        <f>TEXT(tblWorkPackages[[#This Row],[Request date serial]]-WEEKDAY(tblWorkPackages[[#This Row],[Request date serial]],3),"yyyy-mm-dd")</f>
        <v>2025-05-05</v>
      </c>
      <c r="P368" s="51">
        <f>ABS(tblWorkPackages[[#This Row],[Actual labor hours]]-tblWorkPackages[[#This Row],[Estimated labor hours]])</f>
        <v>0.6</v>
      </c>
      <c r="Q368" s="51">
        <f>IF(tblWorkPackages[[#This Row],[Actual labor hours]]&gt;tblWorkPackages[[#This Row],[Estimated labor hours]],1,0)</f>
        <v>1</v>
      </c>
      <c r="R368" s="51">
        <f>tblWorkPackages[[#This Row],[Actual labor hours]]-tblWorkPackages[[#This Row],[Estimated labor hours]]</f>
        <v>0.6</v>
      </c>
      <c r="S368" s="51" t="str">
        <f>IF(tblWorkPackages[[#This Row],[Request date serial]]&lt;ValidationStart,"Train 2024",IF(tblWorkPackages[[#This Row],[Request date serial]]&lt;HoldoutStart,"Validation H1","Holdout H2"))</f>
        <v>Validation H1</v>
      </c>
      <c r="T368" s="51">
        <f>IF(tblWorkPackages[[#This Row],[Time split]]="Train 2024","",tblWorkPackages[[#This Row],[Estimated labor hours]]+VLOOKUP(tblWorkPackages[[#This Row],[Task type]],'Forecast validation'!$A$14:$E$25,IF(tblWorkPackages[[#This Row],[Time split]]="Validation H1",4,5),FALSE()))</f>
        <v>3.63069306930693</v>
      </c>
      <c r="U368" s="51">
        <f>IF(tblWorkPackages[[#This Row],[Calibrated forecast hours]]="","",ABS(tblWorkPackages[[#This Row],[Actual labor hours]]-tblWorkPackages[[#This Row],[Calibrated forecast hours]]))</f>
        <v>0.26930693069307</v>
      </c>
      <c r="V368" s="51">
        <f>IF(tblWorkPackages[[#This Row],[Time split]]="Train 2024",tblWorkPackages[[#This Row],[Estimated labor hours]],tblWorkPackages[[#This Row],[Calibrated forecast hours]])</f>
        <v>3.63069306930693</v>
      </c>
      <c r="W368" s="64">
        <f>DATEVALUE(tblWorkPackages[[#This Row],[Request date]])</f>
        <v>45787.0</v>
      </c>
      <c r="X368" s="64">
        <f>DATEVALUE(tblWorkPackages[[#This Row],[Due date]])</f>
        <v>45800.0</v>
      </c>
      <c r="Y368" s="64">
        <f>DATEVALUE(tblWorkPackages[[#This Row],[Completion date]])</f>
        <v>45807.0</v>
      </c>
      <c r="Z368" s="64">
        <f>_xlfn.MINIFS(tblLaborEntries[Work date serial],tblLaborEntries[Work package ID],tblWorkPackages[[#This Row],[Work package ID]])</f>
        <v>45805.0</v>
      </c>
      <c r="AA368" s="64">
        <f>_xlfn.MAXIFS(tblLaborEntries[Work date serial],tblLaborEntries[Work package ID],tblWorkPackages[[#This Row],[Work package ID]])</f>
        <v>45805.0</v>
      </c>
      <c r="AB368" s="65">
        <f>IF(tblWorkPackages[[#This Row],[Completion date serial]]&gt;tblWorkPackages[[#This Row],[Due date serial]],1,0)</f>
        <v>1</v>
      </c>
      <c r="AC368" s="65">
        <f>MAX(0,tblWorkPackages[[#This Row],[Completion date serial]]-tblWorkPackages[[#This Row],[Due date serial]])</f>
        <v>7</v>
      </c>
      <c r="AD368" s="65">
        <f>tblWorkPackages[[#This Row],[First labor date]]-tblWorkPackages[[#This Row],[Request date serial]]</f>
        <v>18</v>
      </c>
      <c r="AE368" s="65">
        <f>tblWorkPackages[[#This Row],[Last labor date]]-tblWorkPackages[[#This Row],[First labor date]]</f>
        <v>0</v>
      </c>
      <c r="AF368" s="65">
        <f>tblWorkPackages[[#This Row],[Completion date serial]]-tblWorkPackages[[#This Row],[Last labor date]]</f>
        <v>2</v>
      </c>
      <c r="AG368" s="65">
        <f>tblWorkPackages[[#This Row],[Completion date serial]]-tblWorkPackages[[#This Row],[Request date serial]]</f>
        <v>20</v>
      </c>
      <c r="AH368" s="65">
        <f>IFERROR(INDEX(tblParts[Delay days],MATCH(tblWorkPackages[[#This Row],[Work package ID]],tblParts[Work package ID],0)),0)</f>
        <v>0</v>
      </c>
      <c r="AI368" s="51" t="str">
        <f>IFERROR(INDEX(tblDisruptions[Event type],MATCH(tblWorkPackages[[#This Row],[Work package ID]],tblDisruptions[Work package ID],0)),"None")</f>
        <v>None</v>
      </c>
      <c r="AJ368" s="51" t="str">
        <f>TEXT(tblWorkPackages[[#This Row],[Due date serial]],"yyyy-mm")</f>
        <v>2025-05</v>
      </c>
    </row>
    <row r="369" spans="1:36" ht="15" x14ac:dyDescent="0.25">
      <c r="A369" s="53" t="s">
        <v>1102</v>
      </c>
      <c r="B369" s="53" t="s">
        <v>133</v>
      </c>
      <c r="C369" s="53" t="s">
        <v>421</v>
      </c>
      <c r="D369" s="53" t="s">
        <v>422</v>
      </c>
      <c r="E369" s="53" t="s">
        <v>237</v>
      </c>
      <c r="F369" s="53" t="s">
        <v>182</v>
      </c>
      <c r="G369" s="53" t="s">
        <v>138</v>
      </c>
      <c r="H369" s="53">
        <v>4</v>
      </c>
      <c r="I369" s="53" t="s">
        <v>130</v>
      </c>
      <c r="J369" s="53">
        <v>0</v>
      </c>
      <c r="K369" s="53">
        <v>0</v>
      </c>
      <c r="L369" s="53">
        <v>8.1</v>
      </c>
      <c r="M369" s="53" t="s">
        <v>1103</v>
      </c>
      <c r="N369" s="53">
        <v>9.9</v>
      </c>
      <c r="O369" s="51" t="str">
        <f>TEXT(tblWorkPackages[[#This Row],[Request date serial]]-WEEKDAY(tblWorkPackages[[#This Row],[Request date serial]],3),"yyyy-mm-dd")</f>
        <v>2025-10-27</v>
      </c>
      <c r="P369" s="51">
        <f>ABS(tblWorkPackages[[#This Row],[Actual labor hours]]-tblWorkPackages[[#This Row],[Estimated labor hours]])</f>
        <v>1.8</v>
      </c>
      <c r="Q369" s="51">
        <f>IF(tblWorkPackages[[#This Row],[Actual labor hours]]&gt;tblWorkPackages[[#This Row],[Estimated labor hours]],1,0)</f>
        <v>1</v>
      </c>
      <c r="R369" s="51">
        <f>tblWorkPackages[[#This Row],[Actual labor hours]]-tblWorkPackages[[#This Row],[Estimated labor hours]]</f>
        <v>1.8</v>
      </c>
      <c r="S369" s="51" t="str">
        <f>IF(tblWorkPackages[[#This Row],[Request date serial]]&lt;ValidationStart,"Train 2024",IF(tblWorkPackages[[#This Row],[Request date serial]]&lt;HoldoutStart,"Validation H1","Holdout H2"))</f>
        <v>Holdout H2</v>
      </c>
      <c r="T369" s="51">
        <f>IF(tblWorkPackages[[#This Row],[Time split]]="Train 2024","",tblWorkPackages[[#This Row],[Estimated labor hours]]+VLOOKUP(tblWorkPackages[[#This Row],[Task type]],'Forecast validation'!$A$14:$E$25,IF(tblWorkPackages[[#This Row],[Time split]]="Validation H1",4,5),FALSE()))</f>
        <v>8.553125</v>
      </c>
      <c r="U369" s="51">
        <f>IF(tblWorkPackages[[#This Row],[Calibrated forecast hours]]="","",ABS(tblWorkPackages[[#This Row],[Actual labor hours]]-tblWorkPackages[[#This Row],[Calibrated forecast hours]]))</f>
        <v>1.346875</v>
      </c>
      <c r="V369" s="51">
        <f>IF(tblWorkPackages[[#This Row],[Time split]]="Train 2024",tblWorkPackages[[#This Row],[Estimated labor hours]],tblWorkPackages[[#This Row],[Calibrated forecast hours]])</f>
        <v>8.553125</v>
      </c>
      <c r="W369" s="64">
        <f>DATEVALUE(tblWorkPackages[[#This Row],[Request date]])</f>
        <v>45960.0</v>
      </c>
      <c r="X369" s="64">
        <f>DATEVALUE(tblWorkPackages[[#This Row],[Due date]])</f>
        <v>45973.0</v>
      </c>
      <c r="Y369" s="64">
        <f>DATEVALUE(tblWorkPackages[[#This Row],[Completion date]])</f>
        <v>45969.0</v>
      </c>
      <c r="Z369" s="64">
        <f>_xlfn.MINIFS(tblLaborEntries[Work date serial],tblLaborEntries[Work package ID],tblWorkPackages[[#This Row],[Work package ID]])</f>
        <v>45964.0</v>
      </c>
      <c r="AA369" s="64">
        <f>_xlfn.MAXIFS(tblLaborEntries[Work date serial],tblLaborEntries[Work package ID],tblWorkPackages[[#This Row],[Work package ID]])</f>
        <v>45966.0</v>
      </c>
      <c r="AB369" s="65">
        <f>IF(tblWorkPackages[[#This Row],[Completion date serial]]&gt;tblWorkPackages[[#This Row],[Due date serial]],1,0)</f>
        <v>0</v>
      </c>
      <c r="AC369" s="65">
        <f>MAX(0,tblWorkPackages[[#This Row],[Completion date serial]]-tblWorkPackages[[#This Row],[Due date serial]])</f>
        <v>0</v>
      </c>
      <c r="AD369" s="65">
        <f>tblWorkPackages[[#This Row],[First labor date]]-tblWorkPackages[[#This Row],[Request date serial]]</f>
        <v>4</v>
      </c>
      <c r="AE369" s="65">
        <f>tblWorkPackages[[#This Row],[Last labor date]]-tblWorkPackages[[#This Row],[First labor date]]</f>
        <v>2</v>
      </c>
      <c r="AF369" s="65">
        <f>tblWorkPackages[[#This Row],[Completion date serial]]-tblWorkPackages[[#This Row],[Last labor date]]</f>
        <v>3</v>
      </c>
      <c r="AG369" s="65">
        <f>tblWorkPackages[[#This Row],[Completion date serial]]-tblWorkPackages[[#This Row],[Request date serial]]</f>
        <v>9</v>
      </c>
      <c r="AH369" s="65">
        <f>IFERROR(INDEX(tblParts[Delay days],MATCH(tblWorkPackages[[#This Row],[Work package ID]],tblParts[Work package ID],0)),0)</f>
        <v>0</v>
      </c>
      <c r="AI369" s="51" t="str">
        <f>IFERROR(INDEX(tblDisruptions[Event type],MATCH(tblWorkPackages[[#This Row],[Work package ID]],tblDisruptions[Work package ID],0)),"None")</f>
        <v>Technician absence</v>
      </c>
      <c r="AJ369" s="51" t="str">
        <f>TEXT(tblWorkPackages[[#This Row],[Due date serial]],"yyyy-mm")</f>
        <v>2025-11</v>
      </c>
    </row>
    <row r="370" spans="1:36" ht="15" x14ac:dyDescent="0.25">
      <c r="A370" s="53" t="s">
        <v>1104</v>
      </c>
      <c r="B370" s="53" t="s">
        <v>287</v>
      </c>
      <c r="C370" s="53" t="s">
        <v>303</v>
      </c>
      <c r="D370" s="53" t="s">
        <v>449</v>
      </c>
      <c r="E370" s="53" t="s">
        <v>272</v>
      </c>
      <c r="F370" s="53" t="s">
        <v>145</v>
      </c>
      <c r="G370" s="53" t="s">
        <v>273</v>
      </c>
      <c r="H370" s="53">
        <v>4</v>
      </c>
      <c r="I370" s="53" t="s">
        <v>130</v>
      </c>
      <c r="J370" s="53">
        <v>0</v>
      </c>
      <c r="K370" s="53">
        <v>0</v>
      </c>
      <c r="L370" s="53">
        <v>22.8</v>
      </c>
      <c r="M370" s="53" t="s">
        <v>549</v>
      </c>
      <c r="N370" s="53">
        <v>24.6</v>
      </c>
      <c r="O370" s="51" t="str">
        <f>TEXT(tblWorkPackages[[#This Row],[Request date serial]]-WEEKDAY(tblWorkPackages[[#This Row],[Request date serial]],3),"yyyy-mm-dd")</f>
        <v>2024-06-24</v>
      </c>
      <c r="P370" s="51">
        <f>ABS(tblWorkPackages[[#This Row],[Actual labor hours]]-tblWorkPackages[[#This Row],[Estimated labor hours]])</f>
        <v>1.8</v>
      </c>
      <c r="Q370" s="51">
        <f>IF(tblWorkPackages[[#This Row],[Actual labor hours]]&gt;tblWorkPackages[[#This Row],[Estimated labor hours]],1,0)</f>
        <v>1</v>
      </c>
      <c r="R370" s="51">
        <f>tblWorkPackages[[#This Row],[Actual labor hours]]-tblWorkPackages[[#This Row],[Estimated labor hours]]</f>
        <v>1.8</v>
      </c>
      <c r="S370" s="51" t="str">
        <f>IF(tblWorkPackages[[#This Row],[Request date serial]]&lt;ValidationStart,"Train 2024",IF(tblWorkPackages[[#This Row],[Request date serial]]&lt;HoldoutStart,"Validation H1","Holdout H2"))</f>
        <v>Train 2024</v>
      </c>
      <c r="T370" s="51" t="str">
        <f>IF(tblWorkPackages[[#This Row],[Time split]]="Train 2024","",tblWorkPackages[[#This Row],[Estimated labor hours]]+VLOOKUP(tblWorkPackages[[#This Row],[Task type]],'Forecast validation'!$A$14:$E$25,IF(tblWorkPackages[[#This Row],[Time split]]="Validation H1",4,5),FALSE()))</f>
        <v/>
      </c>
      <c r="U370" s="51" t="str">
        <f>IF(tblWorkPackages[[#This Row],[Calibrated forecast hours]]="","",ABS(tblWorkPackages[[#This Row],[Actual labor hours]]-tblWorkPackages[[#This Row],[Calibrated forecast hours]]))</f>
        <v/>
      </c>
      <c r="V370" s="51">
        <f>IF(tblWorkPackages[[#This Row],[Time split]]="Train 2024",tblWorkPackages[[#This Row],[Estimated labor hours]],tblWorkPackages[[#This Row],[Calibrated forecast hours]])</f>
        <v>22.8</v>
      </c>
      <c r="W370" s="64">
        <f>DATEVALUE(tblWorkPackages[[#This Row],[Request date]])</f>
        <v>45468.0</v>
      </c>
      <c r="X370" s="64">
        <f>DATEVALUE(tblWorkPackages[[#This Row],[Due date]])</f>
        <v>45481.0</v>
      </c>
      <c r="Y370" s="64">
        <f>DATEVALUE(tblWorkPackages[[#This Row],[Completion date]])</f>
        <v>45469.0</v>
      </c>
      <c r="Z370" s="64">
        <f>_xlfn.MINIFS(tblLaborEntries[Work date serial],tblLaborEntries[Work package ID],tblWorkPackages[[#This Row],[Work package ID]])</f>
        <v>45469.0</v>
      </c>
      <c r="AA370" s="64">
        <f>_xlfn.MAXIFS(tblLaborEntries[Work date serial],tblLaborEntries[Work package ID],tblWorkPackages[[#This Row],[Work package ID]])</f>
        <v>45469.0</v>
      </c>
      <c r="AB370" s="65">
        <f>IF(tblWorkPackages[[#This Row],[Completion date serial]]&gt;tblWorkPackages[[#This Row],[Due date serial]],1,0)</f>
        <v>0</v>
      </c>
      <c r="AC370" s="65">
        <f>MAX(0,tblWorkPackages[[#This Row],[Completion date serial]]-tblWorkPackages[[#This Row],[Due date serial]])</f>
        <v>0</v>
      </c>
      <c r="AD370" s="65">
        <f>tblWorkPackages[[#This Row],[First labor date]]-tblWorkPackages[[#This Row],[Request date serial]]</f>
        <v>1</v>
      </c>
      <c r="AE370" s="65">
        <f>tblWorkPackages[[#This Row],[Last labor date]]-tblWorkPackages[[#This Row],[First labor date]]</f>
        <v>0</v>
      </c>
      <c r="AF370" s="65">
        <f>tblWorkPackages[[#This Row],[Completion date serial]]-tblWorkPackages[[#This Row],[Last labor date]]</f>
        <v>0</v>
      </c>
      <c r="AG370" s="65">
        <f>tblWorkPackages[[#This Row],[Completion date serial]]-tblWorkPackages[[#This Row],[Request date serial]]</f>
        <v>1</v>
      </c>
      <c r="AH370" s="65">
        <f>IFERROR(INDEX(tblParts[Delay days],MATCH(tblWorkPackages[[#This Row],[Work package ID]],tblParts[Work package ID],0)),0)</f>
        <v>0</v>
      </c>
      <c r="AI370" s="51" t="str">
        <f>IFERROR(INDEX(tblDisruptions[Event type],MATCH(tblWorkPackages[[#This Row],[Work package ID]],tblDisruptions[Work package ID],0)),"None")</f>
        <v>None</v>
      </c>
      <c r="AJ370" s="51" t="str">
        <f>TEXT(tblWorkPackages[[#This Row],[Due date serial]],"yyyy-mm")</f>
        <v>2024-07</v>
      </c>
    </row>
    <row r="371" spans="1:36" ht="15" x14ac:dyDescent="0.25">
      <c r="A371" s="53" t="s">
        <v>1105</v>
      </c>
      <c r="B371" s="53" t="s">
        <v>203</v>
      </c>
      <c r="C371" s="53" t="s">
        <v>492</v>
      </c>
      <c r="D371" s="53" t="s">
        <v>886</v>
      </c>
      <c r="E371" s="53" t="s">
        <v>242</v>
      </c>
      <c r="F371" s="53" t="s">
        <v>243</v>
      </c>
      <c r="G371" s="53" t="s">
        <v>129</v>
      </c>
      <c r="H371" s="53">
        <v>2</v>
      </c>
      <c r="I371" s="53" t="s">
        <v>130</v>
      </c>
      <c r="J371" s="53">
        <v>0</v>
      </c>
      <c r="K371" s="53">
        <v>0</v>
      </c>
      <c r="L371" s="53">
        <v>7.4</v>
      </c>
      <c r="M371" s="53" t="s">
        <v>139</v>
      </c>
      <c r="N371" s="53">
        <v>5.7</v>
      </c>
      <c r="O371" s="51" t="str">
        <f>TEXT(tblWorkPackages[[#This Row],[Request date serial]]-WEEKDAY(tblWorkPackages[[#This Row],[Request date serial]],3),"yyyy-mm-dd")</f>
        <v>2025-08-25</v>
      </c>
      <c r="P371" s="51">
        <f>ABS(tblWorkPackages[[#This Row],[Actual labor hours]]-tblWorkPackages[[#This Row],[Estimated labor hours]])</f>
        <v>1.7</v>
      </c>
      <c r="Q371" s="51">
        <f>IF(tblWorkPackages[[#This Row],[Actual labor hours]]&gt;tblWorkPackages[[#This Row],[Estimated labor hours]],1,0)</f>
        <v>0</v>
      </c>
      <c r="R371" s="51">
        <f>tblWorkPackages[[#This Row],[Actual labor hours]]-tblWorkPackages[[#This Row],[Estimated labor hours]]</f>
        <v>-1.7</v>
      </c>
      <c r="S371" s="51" t="str">
        <f>IF(tblWorkPackages[[#This Row],[Request date serial]]&lt;ValidationStart,"Train 2024",IF(tblWorkPackages[[#This Row],[Request date serial]]&lt;HoldoutStart,"Validation H1","Holdout H2"))</f>
        <v>Holdout H2</v>
      </c>
      <c r="T371" s="51">
        <f>IF(tblWorkPackages[[#This Row],[Time split]]="Train 2024","",tblWorkPackages[[#This Row],[Estimated labor hours]]+VLOOKUP(tblWorkPackages[[#This Row],[Task type]],'Forecast validation'!$A$14:$E$25,IF(tblWorkPackages[[#This Row],[Time split]]="Validation H1",4,5),FALSE()))</f>
        <v>8.22545454545455</v>
      </c>
      <c r="U371" s="51">
        <f>IF(tblWorkPackages[[#This Row],[Calibrated forecast hours]]="","",ABS(tblWorkPackages[[#This Row],[Actual labor hours]]-tblWorkPackages[[#This Row],[Calibrated forecast hours]]))</f>
        <v>2.52545454545455</v>
      </c>
      <c r="V371" s="51">
        <f>IF(tblWorkPackages[[#This Row],[Time split]]="Train 2024",tblWorkPackages[[#This Row],[Estimated labor hours]],tblWorkPackages[[#This Row],[Calibrated forecast hours]])</f>
        <v>8.22545454545455</v>
      </c>
      <c r="W371" s="64">
        <f>DATEVALUE(tblWorkPackages[[#This Row],[Request date]])</f>
        <v>45894.0</v>
      </c>
      <c r="X371" s="64">
        <f>DATEVALUE(tblWorkPackages[[#This Row],[Due date]])</f>
        <v>45907.0</v>
      </c>
      <c r="Y371" s="64">
        <f>DATEVALUE(tblWorkPackages[[#This Row],[Completion date]])</f>
        <v>45908.0</v>
      </c>
      <c r="Z371" s="64">
        <f>_xlfn.MINIFS(tblLaborEntries[Work date serial],tblLaborEntries[Work package ID],tblWorkPackages[[#This Row],[Work package ID]])</f>
        <v>45905.0</v>
      </c>
      <c r="AA371" s="64">
        <f>_xlfn.MAXIFS(tblLaborEntries[Work date serial],tblLaborEntries[Work package ID],tblWorkPackages[[#This Row],[Work package ID]])</f>
        <v>45907.0</v>
      </c>
      <c r="AB371" s="65">
        <f>IF(tblWorkPackages[[#This Row],[Completion date serial]]&gt;tblWorkPackages[[#This Row],[Due date serial]],1,0)</f>
        <v>1</v>
      </c>
      <c r="AC371" s="65">
        <f>MAX(0,tblWorkPackages[[#This Row],[Completion date serial]]-tblWorkPackages[[#This Row],[Due date serial]])</f>
        <v>1</v>
      </c>
      <c r="AD371" s="65">
        <f>tblWorkPackages[[#This Row],[First labor date]]-tblWorkPackages[[#This Row],[Request date serial]]</f>
        <v>11</v>
      </c>
      <c r="AE371" s="65">
        <f>tblWorkPackages[[#This Row],[Last labor date]]-tblWorkPackages[[#This Row],[First labor date]]</f>
        <v>2</v>
      </c>
      <c r="AF371" s="65">
        <f>tblWorkPackages[[#This Row],[Completion date serial]]-tblWorkPackages[[#This Row],[Last labor date]]</f>
        <v>1</v>
      </c>
      <c r="AG371" s="65">
        <f>tblWorkPackages[[#This Row],[Completion date serial]]-tblWorkPackages[[#This Row],[Request date serial]]</f>
        <v>14</v>
      </c>
      <c r="AH371" s="65">
        <f>IFERROR(INDEX(tblParts[Delay days],MATCH(tblWorkPackages[[#This Row],[Work package ID]],tblParts[Work package ID],0)),0)</f>
        <v>0</v>
      </c>
      <c r="AI371" s="51" t="str">
        <f>IFERROR(INDEX(tblDisruptions[Event type],MATCH(tblWorkPackages[[#This Row],[Work package ID]],tblDisruptions[Work package ID],0)),"None")</f>
        <v>None</v>
      </c>
      <c r="AJ371" s="51" t="str">
        <f>TEXT(tblWorkPackages[[#This Row],[Due date serial]],"yyyy-mm")</f>
        <v>2025-09</v>
      </c>
    </row>
    <row r="372" spans="1:36" ht="15" x14ac:dyDescent="0.25">
      <c r="A372" s="53" t="s">
        <v>1106</v>
      </c>
      <c r="B372" s="53" t="s">
        <v>141</v>
      </c>
      <c r="C372" s="53" t="s">
        <v>633</v>
      </c>
      <c r="D372" s="53" t="s">
        <v>1107</v>
      </c>
      <c r="E372" s="53" t="s">
        <v>144</v>
      </c>
      <c r="F372" s="53" t="s">
        <v>145</v>
      </c>
      <c r="G372" s="53" t="s">
        <v>146</v>
      </c>
      <c r="H372" s="53">
        <v>4</v>
      </c>
      <c r="I372" s="53" t="s">
        <v>130</v>
      </c>
      <c r="J372" s="53">
        <v>0</v>
      </c>
      <c r="K372" s="53">
        <v>0</v>
      </c>
      <c r="L372" s="53">
        <v>21</v>
      </c>
      <c r="M372" s="53" t="s">
        <v>1108</v>
      </c>
      <c r="N372" s="53">
        <v>19.2</v>
      </c>
      <c r="O372" s="51" t="str">
        <f>TEXT(tblWorkPackages[[#This Row],[Request date serial]]-WEEKDAY(tblWorkPackages[[#This Row],[Request date serial]],3),"yyyy-mm-dd")</f>
        <v>2024-05-13</v>
      </c>
      <c r="P372" s="51">
        <f>ABS(tblWorkPackages[[#This Row],[Actual labor hours]]-tblWorkPackages[[#This Row],[Estimated labor hours]])</f>
        <v>1.8</v>
      </c>
      <c r="Q372" s="51">
        <f>IF(tblWorkPackages[[#This Row],[Actual labor hours]]&gt;tblWorkPackages[[#This Row],[Estimated labor hours]],1,0)</f>
        <v>0</v>
      </c>
      <c r="R372" s="51">
        <f>tblWorkPackages[[#This Row],[Actual labor hours]]-tblWorkPackages[[#This Row],[Estimated labor hours]]</f>
        <v>-1.8</v>
      </c>
      <c r="S372" s="51" t="str">
        <f>IF(tblWorkPackages[[#This Row],[Request date serial]]&lt;ValidationStart,"Train 2024",IF(tblWorkPackages[[#This Row],[Request date serial]]&lt;HoldoutStart,"Validation H1","Holdout H2"))</f>
        <v>Train 2024</v>
      </c>
      <c r="T372" s="51" t="str">
        <f>IF(tblWorkPackages[[#This Row],[Time split]]="Train 2024","",tblWorkPackages[[#This Row],[Estimated labor hours]]+VLOOKUP(tblWorkPackages[[#This Row],[Task type]],'Forecast validation'!$A$14:$E$25,IF(tblWorkPackages[[#This Row],[Time split]]="Validation H1",4,5),FALSE()))</f>
        <v/>
      </c>
      <c r="U372" s="51" t="str">
        <f>IF(tblWorkPackages[[#This Row],[Calibrated forecast hours]]="","",ABS(tblWorkPackages[[#This Row],[Actual labor hours]]-tblWorkPackages[[#This Row],[Calibrated forecast hours]]))</f>
        <v/>
      </c>
      <c r="V372" s="51">
        <f>IF(tblWorkPackages[[#This Row],[Time split]]="Train 2024",tblWorkPackages[[#This Row],[Estimated labor hours]],tblWorkPackages[[#This Row],[Calibrated forecast hours]])</f>
        <v>21</v>
      </c>
      <c r="W372" s="64">
        <f>DATEVALUE(tblWorkPackages[[#This Row],[Request date]])</f>
        <v>45431.0</v>
      </c>
      <c r="X372" s="64">
        <f>DATEVALUE(tblWorkPackages[[#This Row],[Due date]])</f>
        <v>45444.0</v>
      </c>
      <c r="Y372" s="64">
        <f>DATEVALUE(tblWorkPackages[[#This Row],[Completion date]])</f>
        <v>45437.0</v>
      </c>
      <c r="Z372" s="64">
        <f>_xlfn.MINIFS(tblLaborEntries[Work date serial],tblLaborEntries[Work package ID],tblWorkPackages[[#This Row],[Work package ID]])</f>
        <v>45434.0</v>
      </c>
      <c r="AA372" s="64">
        <f>_xlfn.MAXIFS(tblLaborEntries[Work date serial],tblLaborEntries[Work package ID],tblWorkPackages[[#This Row],[Work package ID]])</f>
        <v>45435.0</v>
      </c>
      <c r="AB372" s="65">
        <f>IF(tblWorkPackages[[#This Row],[Completion date serial]]&gt;tblWorkPackages[[#This Row],[Due date serial]],1,0)</f>
        <v>0</v>
      </c>
      <c r="AC372" s="65">
        <f>MAX(0,tblWorkPackages[[#This Row],[Completion date serial]]-tblWorkPackages[[#This Row],[Due date serial]])</f>
        <v>0</v>
      </c>
      <c r="AD372" s="65">
        <f>tblWorkPackages[[#This Row],[First labor date]]-tblWorkPackages[[#This Row],[Request date serial]]</f>
        <v>3</v>
      </c>
      <c r="AE372" s="65">
        <f>tblWorkPackages[[#This Row],[Last labor date]]-tblWorkPackages[[#This Row],[First labor date]]</f>
        <v>1</v>
      </c>
      <c r="AF372" s="65">
        <f>tblWorkPackages[[#This Row],[Completion date serial]]-tblWorkPackages[[#This Row],[Last labor date]]</f>
        <v>2</v>
      </c>
      <c r="AG372" s="65">
        <f>tblWorkPackages[[#This Row],[Completion date serial]]-tblWorkPackages[[#This Row],[Request date serial]]</f>
        <v>6</v>
      </c>
      <c r="AH372" s="65">
        <f>IFERROR(INDEX(tblParts[Delay days],MATCH(tblWorkPackages[[#This Row],[Work package ID]],tblParts[Work package ID],0)),0)</f>
        <v>0</v>
      </c>
      <c r="AI372" s="51" t="str">
        <f>IFERROR(INDEX(tblDisruptions[Event type],MATCH(tblWorkPackages[[#This Row],[Work package ID]],tblDisruptions[Work package ID],0)),"None")</f>
        <v>None</v>
      </c>
      <c r="AJ372" s="51" t="str">
        <f>TEXT(tblWorkPackages[[#This Row],[Due date serial]],"yyyy-mm")</f>
        <v>2024-06</v>
      </c>
    </row>
    <row r="373" spans="1:36" ht="15" x14ac:dyDescent="0.25">
      <c r="A373" s="53" t="s">
        <v>1109</v>
      </c>
      <c r="B373" s="53" t="s">
        <v>124</v>
      </c>
      <c r="C373" s="53" t="s">
        <v>409</v>
      </c>
      <c r="D373" s="53" t="s">
        <v>1004</v>
      </c>
      <c r="E373" s="53" t="s">
        <v>242</v>
      </c>
      <c r="F373" s="53" t="s">
        <v>243</v>
      </c>
      <c r="G373" s="53" t="s">
        <v>129</v>
      </c>
      <c r="H373" s="53">
        <v>4</v>
      </c>
      <c r="I373" s="53" t="s">
        <v>130</v>
      </c>
      <c r="J373" s="53">
        <v>0</v>
      </c>
      <c r="K373" s="53">
        <v>0</v>
      </c>
      <c r="L373" s="53">
        <v>18</v>
      </c>
      <c r="M373" s="53" t="s">
        <v>569</v>
      </c>
      <c r="N373" s="53">
        <v>22.2</v>
      </c>
      <c r="O373" s="51" t="str">
        <f>TEXT(tblWorkPackages[[#This Row],[Request date serial]]-WEEKDAY(tblWorkPackages[[#This Row],[Request date serial]],3),"yyyy-mm-dd")</f>
        <v>2025-04-21</v>
      </c>
      <c r="P373" s="51">
        <f>ABS(tblWorkPackages[[#This Row],[Actual labor hours]]-tblWorkPackages[[#This Row],[Estimated labor hours]])</f>
        <v>4.2</v>
      </c>
      <c r="Q373" s="51">
        <f>IF(tblWorkPackages[[#This Row],[Actual labor hours]]&gt;tblWorkPackages[[#This Row],[Estimated labor hours]],1,0)</f>
        <v>1</v>
      </c>
      <c r="R373" s="51">
        <f>tblWorkPackages[[#This Row],[Actual labor hours]]-tblWorkPackages[[#This Row],[Estimated labor hours]]</f>
        <v>4.2</v>
      </c>
      <c r="S373" s="51" t="str">
        <f>IF(tblWorkPackages[[#This Row],[Request date serial]]&lt;ValidationStart,"Train 2024",IF(tblWorkPackages[[#This Row],[Request date serial]]&lt;HoldoutStart,"Validation H1","Holdout H2"))</f>
        <v>Validation H1</v>
      </c>
      <c r="T373" s="51">
        <f>IF(tblWorkPackages[[#This Row],[Time split]]="Train 2024","",tblWorkPackages[[#This Row],[Estimated labor hours]]+VLOOKUP(tblWorkPackages[[#This Row],[Task type]],'Forecast validation'!$A$14:$E$25,IF(tblWorkPackages[[#This Row],[Time split]]="Validation H1",4,5),FALSE()))</f>
        <v>18.5561224489796</v>
      </c>
      <c r="U373" s="51">
        <f>IF(tblWorkPackages[[#This Row],[Calibrated forecast hours]]="","",ABS(tblWorkPackages[[#This Row],[Actual labor hours]]-tblWorkPackages[[#This Row],[Calibrated forecast hours]]))</f>
        <v>3.64387755102041</v>
      </c>
      <c r="V373" s="51">
        <f>IF(tblWorkPackages[[#This Row],[Time split]]="Train 2024",tblWorkPackages[[#This Row],[Estimated labor hours]],tblWorkPackages[[#This Row],[Calibrated forecast hours]])</f>
        <v>18.5561224489796</v>
      </c>
      <c r="W373" s="64">
        <f>DATEVALUE(tblWorkPackages[[#This Row],[Request date]])</f>
        <v>45772.0</v>
      </c>
      <c r="X373" s="64">
        <f>DATEVALUE(tblWorkPackages[[#This Row],[Due date]])</f>
        <v>45785.0</v>
      </c>
      <c r="Y373" s="64">
        <f>DATEVALUE(tblWorkPackages[[#This Row],[Completion date]])</f>
        <v>45807.0</v>
      </c>
      <c r="Z373" s="64">
        <f>_xlfn.MINIFS(tblLaborEntries[Work date serial],tblLaborEntries[Work package ID],tblWorkPackages[[#This Row],[Work package ID]])</f>
        <v>45803.0</v>
      </c>
      <c r="AA373" s="64">
        <f>_xlfn.MAXIFS(tblLaborEntries[Work date serial],tblLaborEntries[Work package ID],tblWorkPackages[[#This Row],[Work package ID]])</f>
        <v>45804.0</v>
      </c>
      <c r="AB373" s="65">
        <f>IF(tblWorkPackages[[#This Row],[Completion date serial]]&gt;tblWorkPackages[[#This Row],[Due date serial]],1,0)</f>
        <v>1</v>
      </c>
      <c r="AC373" s="65">
        <f>MAX(0,tblWorkPackages[[#This Row],[Completion date serial]]-tblWorkPackages[[#This Row],[Due date serial]])</f>
        <v>22</v>
      </c>
      <c r="AD373" s="65">
        <f>tblWorkPackages[[#This Row],[First labor date]]-tblWorkPackages[[#This Row],[Request date serial]]</f>
        <v>31</v>
      </c>
      <c r="AE373" s="65">
        <f>tblWorkPackages[[#This Row],[Last labor date]]-tblWorkPackages[[#This Row],[First labor date]]</f>
        <v>1</v>
      </c>
      <c r="AF373" s="65">
        <f>tblWorkPackages[[#This Row],[Completion date serial]]-tblWorkPackages[[#This Row],[Last labor date]]</f>
        <v>3</v>
      </c>
      <c r="AG373" s="65">
        <f>tblWorkPackages[[#This Row],[Completion date serial]]-tblWorkPackages[[#This Row],[Request date serial]]</f>
        <v>35</v>
      </c>
      <c r="AH373" s="65">
        <f>IFERROR(INDEX(tblParts[Delay days],MATCH(tblWorkPackages[[#This Row],[Work package ID]],tblParts[Work package ID],0)),0)</f>
        <v>0</v>
      </c>
      <c r="AI373" s="51" t="str">
        <f>IFERROR(INDEX(tblDisruptions[Event type],MATCH(tblWorkPackages[[#This Row],[Work package ID]],tblDisruptions[Work package ID],0)),"None")</f>
        <v>None</v>
      </c>
      <c r="AJ373" s="51" t="str">
        <f>TEXT(tblWorkPackages[[#This Row],[Due date serial]],"yyyy-mm")</f>
        <v>2025-05</v>
      </c>
    </row>
    <row r="374" spans="1:36" ht="15" x14ac:dyDescent="0.25">
      <c r="A374" s="53" t="s">
        <v>1110</v>
      </c>
      <c r="B374" s="53" t="s">
        <v>203</v>
      </c>
      <c r="C374" s="53" t="s">
        <v>481</v>
      </c>
      <c r="D374" s="53" t="s">
        <v>560</v>
      </c>
      <c r="E374" s="53" t="s">
        <v>136</v>
      </c>
      <c r="F374" s="53" t="s">
        <v>137</v>
      </c>
      <c r="G374" s="53" t="s">
        <v>138</v>
      </c>
      <c r="H374" s="53">
        <v>1</v>
      </c>
      <c r="I374" s="53" t="s">
        <v>147</v>
      </c>
      <c r="J374" s="53">
        <v>0</v>
      </c>
      <c r="K374" s="53">
        <v>1</v>
      </c>
      <c r="L374" s="53">
        <v>7.8</v>
      </c>
      <c r="M374" s="53" t="s">
        <v>422</v>
      </c>
      <c r="N374" s="53">
        <v>10.7</v>
      </c>
      <c r="O374" s="51" t="str">
        <f>TEXT(tblWorkPackages[[#This Row],[Request date serial]]-WEEKDAY(tblWorkPackages[[#This Row],[Request date serial]],3),"yyyy-mm-dd")</f>
        <v>2025-11-03</v>
      </c>
      <c r="P374" s="51">
        <f>ABS(tblWorkPackages[[#This Row],[Actual labor hours]]-tblWorkPackages[[#This Row],[Estimated labor hours]])</f>
        <v>2.9</v>
      </c>
      <c r="Q374" s="51">
        <f>IF(tblWorkPackages[[#This Row],[Actual labor hours]]&gt;tblWorkPackages[[#This Row],[Estimated labor hours]],1,0)</f>
        <v>1</v>
      </c>
      <c r="R374" s="51">
        <f>tblWorkPackages[[#This Row],[Actual labor hours]]-tblWorkPackages[[#This Row],[Estimated labor hours]]</f>
        <v>2.9</v>
      </c>
      <c r="S374" s="51" t="str">
        <f>IF(tblWorkPackages[[#This Row],[Request date serial]]&lt;ValidationStart,"Train 2024",IF(tblWorkPackages[[#This Row],[Request date serial]]&lt;HoldoutStart,"Validation H1","Holdout H2"))</f>
        <v>Holdout H2</v>
      </c>
      <c r="T374" s="51">
        <f>IF(tblWorkPackages[[#This Row],[Time split]]="Train 2024","",tblWorkPackages[[#This Row],[Estimated labor hours]]+VLOOKUP(tblWorkPackages[[#This Row],[Task type]],'Forecast validation'!$A$14:$E$25,IF(tblWorkPackages[[#This Row],[Time split]]="Validation H1",4,5),FALSE()))</f>
        <v>8.72075471698113</v>
      </c>
      <c r="U374" s="51">
        <f>IF(tblWorkPackages[[#This Row],[Calibrated forecast hours]]="","",ABS(tblWorkPackages[[#This Row],[Actual labor hours]]-tblWorkPackages[[#This Row],[Calibrated forecast hours]]))</f>
        <v>1.97924528301887</v>
      </c>
      <c r="V374" s="51">
        <f>IF(tblWorkPackages[[#This Row],[Time split]]="Train 2024",tblWorkPackages[[#This Row],[Estimated labor hours]],tblWorkPackages[[#This Row],[Calibrated forecast hours]])</f>
        <v>8.72075471698113</v>
      </c>
      <c r="W374" s="64">
        <f>DATEVALUE(tblWorkPackages[[#This Row],[Request date]])</f>
        <v>45968.0</v>
      </c>
      <c r="X374" s="64">
        <f>DATEVALUE(tblWorkPackages[[#This Row],[Due date]])</f>
        <v>45970.0</v>
      </c>
      <c r="Y374" s="64">
        <f>DATEVALUE(tblWorkPackages[[#This Row],[Completion date]])</f>
        <v>45973.0</v>
      </c>
      <c r="Z374" s="64">
        <f>_xlfn.MINIFS(tblLaborEntries[Work date serial],tblLaborEntries[Work package ID],tblWorkPackages[[#This Row],[Work package ID]])</f>
        <v>45973.0</v>
      </c>
      <c r="AA374" s="64">
        <f>_xlfn.MAXIFS(tblLaborEntries[Work date serial],tblLaborEntries[Work package ID],tblWorkPackages[[#This Row],[Work package ID]])</f>
        <v>45973.0</v>
      </c>
      <c r="AB374" s="65">
        <f>IF(tblWorkPackages[[#This Row],[Completion date serial]]&gt;tblWorkPackages[[#This Row],[Due date serial]],1,0)</f>
        <v>1</v>
      </c>
      <c r="AC374" s="65">
        <f>MAX(0,tblWorkPackages[[#This Row],[Completion date serial]]-tblWorkPackages[[#This Row],[Due date serial]])</f>
        <v>3</v>
      </c>
      <c r="AD374" s="65">
        <f>tblWorkPackages[[#This Row],[First labor date]]-tblWorkPackages[[#This Row],[Request date serial]]</f>
        <v>5</v>
      </c>
      <c r="AE374" s="65">
        <f>tblWorkPackages[[#This Row],[Last labor date]]-tblWorkPackages[[#This Row],[First labor date]]</f>
        <v>0</v>
      </c>
      <c r="AF374" s="65">
        <f>tblWorkPackages[[#This Row],[Completion date serial]]-tblWorkPackages[[#This Row],[Last labor date]]</f>
        <v>0</v>
      </c>
      <c r="AG374" s="65">
        <f>tblWorkPackages[[#This Row],[Completion date serial]]-tblWorkPackages[[#This Row],[Request date serial]]</f>
        <v>5</v>
      </c>
      <c r="AH374" s="65">
        <f>IFERROR(INDEX(tblParts[Delay days],MATCH(tblWorkPackages[[#This Row],[Work package ID]],tblParts[Work package ID],0)),0)</f>
        <v>0</v>
      </c>
      <c r="AI374" s="51" t="str">
        <f>IFERROR(INDEX(tblDisruptions[Event type],MATCH(tblWorkPackages[[#This Row],[Work package ID]],tblDisruptions[Work package ID],0)),"None")</f>
        <v>Technician absence</v>
      </c>
      <c r="AJ374" s="51" t="str">
        <f>TEXT(tblWorkPackages[[#This Row],[Due date serial]],"yyyy-mm")</f>
        <v>2025-11</v>
      </c>
    </row>
    <row r="375" spans="1:36" ht="15" x14ac:dyDescent="0.25">
      <c r="A375" s="53" t="s">
        <v>1111</v>
      </c>
      <c r="B375" s="53" t="s">
        <v>203</v>
      </c>
      <c r="C375" s="53" t="s">
        <v>741</v>
      </c>
      <c r="D375" s="53" t="s">
        <v>425</v>
      </c>
      <c r="E375" s="53" t="s">
        <v>127</v>
      </c>
      <c r="F375" s="53" t="s">
        <v>128</v>
      </c>
      <c r="G375" s="53" t="s">
        <v>129</v>
      </c>
      <c r="H375" s="53">
        <v>4</v>
      </c>
      <c r="I375" s="53" t="s">
        <v>176</v>
      </c>
      <c r="J375" s="53">
        <v>0</v>
      </c>
      <c r="K375" s="53">
        <v>1</v>
      </c>
      <c r="L375" s="53">
        <v>12.9</v>
      </c>
      <c r="M375" s="53" t="s">
        <v>424</v>
      </c>
      <c r="N375" s="53">
        <v>13.2</v>
      </c>
      <c r="O375" s="51" t="str">
        <f>TEXT(tblWorkPackages[[#This Row],[Request date serial]]-WEEKDAY(tblWorkPackages[[#This Row],[Request date serial]],3),"yyyy-mm-dd")</f>
        <v>2025-06-02</v>
      </c>
      <c r="P375" s="51">
        <f>ABS(tblWorkPackages[[#This Row],[Actual labor hours]]-tblWorkPackages[[#This Row],[Estimated labor hours]])</f>
        <v>0.299999999999999</v>
      </c>
      <c r="Q375" s="51">
        <f>IF(tblWorkPackages[[#This Row],[Actual labor hours]]&gt;tblWorkPackages[[#This Row],[Estimated labor hours]],1,0)</f>
        <v>1</v>
      </c>
      <c r="R375" s="51">
        <f>tblWorkPackages[[#This Row],[Actual labor hours]]-tblWorkPackages[[#This Row],[Estimated labor hours]]</f>
        <v>0.299999999999999</v>
      </c>
      <c r="S375" s="51" t="str">
        <f>IF(tblWorkPackages[[#This Row],[Request date serial]]&lt;ValidationStart,"Train 2024",IF(tblWorkPackages[[#This Row],[Request date serial]]&lt;HoldoutStart,"Validation H1","Holdout H2"))</f>
        <v>Validation H1</v>
      </c>
      <c r="T375" s="51">
        <f>IF(tblWorkPackages[[#This Row],[Time split]]="Train 2024","",tblWorkPackages[[#This Row],[Estimated labor hours]]+VLOOKUP(tblWorkPackages[[#This Row],[Task type]],'Forecast validation'!$A$14:$E$25,IF(tblWorkPackages[[#This Row],[Time split]]="Validation H1",4,5),FALSE()))</f>
        <v>13.375641025641</v>
      </c>
      <c r="U375" s="51">
        <f>IF(tblWorkPackages[[#This Row],[Calibrated forecast hours]]="","",ABS(tblWorkPackages[[#This Row],[Actual labor hours]]-tblWorkPackages[[#This Row],[Calibrated forecast hours]]))</f>
        <v>0.175641025641026</v>
      </c>
      <c r="V375" s="51">
        <f>IF(tblWorkPackages[[#This Row],[Time split]]="Train 2024",tblWorkPackages[[#This Row],[Estimated labor hours]],tblWorkPackages[[#This Row],[Calibrated forecast hours]])</f>
        <v>13.375641025641</v>
      </c>
      <c r="W375" s="64">
        <f>DATEVALUE(tblWorkPackages[[#This Row],[Request date]])</f>
        <v>45814.0</v>
      </c>
      <c r="X375" s="64">
        <f>DATEVALUE(tblWorkPackages[[#This Row],[Due date]])</f>
        <v>45820.0</v>
      </c>
      <c r="Y375" s="64">
        <f>DATEVALUE(tblWorkPackages[[#This Row],[Completion date]])</f>
        <v>45819.0</v>
      </c>
      <c r="Z375" s="64">
        <f>_xlfn.MINIFS(tblLaborEntries[Work date serial],tblLaborEntries[Work package ID],tblWorkPackages[[#This Row],[Work package ID]])</f>
        <v>45816.0</v>
      </c>
      <c r="AA375" s="64">
        <f>_xlfn.MAXIFS(tblLaborEntries[Work date serial],tblLaborEntries[Work package ID],tblWorkPackages[[#This Row],[Work package ID]])</f>
        <v>45818.0</v>
      </c>
      <c r="AB375" s="65">
        <f>IF(tblWorkPackages[[#This Row],[Completion date serial]]&gt;tblWorkPackages[[#This Row],[Due date serial]],1,0)</f>
        <v>0</v>
      </c>
      <c r="AC375" s="65">
        <f>MAX(0,tblWorkPackages[[#This Row],[Completion date serial]]-tblWorkPackages[[#This Row],[Due date serial]])</f>
        <v>0</v>
      </c>
      <c r="AD375" s="65">
        <f>tblWorkPackages[[#This Row],[First labor date]]-tblWorkPackages[[#This Row],[Request date serial]]</f>
        <v>2</v>
      </c>
      <c r="AE375" s="65">
        <f>tblWorkPackages[[#This Row],[Last labor date]]-tblWorkPackages[[#This Row],[First labor date]]</f>
        <v>2</v>
      </c>
      <c r="AF375" s="65">
        <f>tblWorkPackages[[#This Row],[Completion date serial]]-tblWorkPackages[[#This Row],[Last labor date]]</f>
        <v>1</v>
      </c>
      <c r="AG375" s="65">
        <f>tblWorkPackages[[#This Row],[Completion date serial]]-tblWorkPackages[[#This Row],[Request date serial]]</f>
        <v>5</v>
      </c>
      <c r="AH375" s="65">
        <f>IFERROR(INDEX(tblParts[Delay days],MATCH(tblWorkPackages[[#This Row],[Work package ID]],tblParts[Work package ID],0)),0)</f>
        <v>0</v>
      </c>
      <c r="AI375" s="51" t="str">
        <f>IFERROR(INDEX(tblDisruptions[Event type],MATCH(tblWorkPackages[[#This Row],[Work package ID]],tblDisruptions[Work package ID],0)),"None")</f>
        <v>None</v>
      </c>
      <c r="AJ375" s="51" t="str">
        <f>TEXT(tblWorkPackages[[#This Row],[Due date serial]],"yyyy-mm")</f>
        <v>2025-06</v>
      </c>
    </row>
    <row r="376" spans="1:36" ht="15" x14ac:dyDescent="0.25">
      <c r="A376" s="53" t="s">
        <v>1112</v>
      </c>
      <c r="B376" s="53" t="s">
        <v>287</v>
      </c>
      <c r="C376" s="53" t="s">
        <v>963</v>
      </c>
      <c r="D376" s="53" t="s">
        <v>187</v>
      </c>
      <c r="E376" s="53" t="s">
        <v>153</v>
      </c>
      <c r="F376" s="53" t="s">
        <v>128</v>
      </c>
      <c r="G376" s="53" t="s">
        <v>154</v>
      </c>
      <c r="H376" s="53">
        <v>4</v>
      </c>
      <c r="I376" s="53" t="s">
        <v>130</v>
      </c>
      <c r="J376" s="53">
        <v>0</v>
      </c>
      <c r="K376" s="53">
        <v>0</v>
      </c>
      <c r="L376" s="53">
        <v>19</v>
      </c>
      <c r="M376" s="53" t="s">
        <v>827</v>
      </c>
      <c r="N376" s="53">
        <v>23.4</v>
      </c>
      <c r="O376" s="51" t="str">
        <f>TEXT(tblWorkPackages[[#This Row],[Request date serial]]-WEEKDAY(tblWorkPackages[[#This Row],[Request date serial]],3),"yyyy-mm-dd")</f>
        <v>2025-02-10</v>
      </c>
      <c r="P376" s="51">
        <f>ABS(tblWorkPackages[[#This Row],[Actual labor hours]]-tblWorkPackages[[#This Row],[Estimated labor hours]])</f>
        <v>4.4</v>
      </c>
      <c r="Q376" s="51">
        <f>IF(tblWorkPackages[[#This Row],[Actual labor hours]]&gt;tblWorkPackages[[#This Row],[Estimated labor hours]],1,0)</f>
        <v>1</v>
      </c>
      <c r="R376" s="51">
        <f>tblWorkPackages[[#This Row],[Actual labor hours]]-tblWorkPackages[[#This Row],[Estimated labor hours]]</f>
        <v>4.4</v>
      </c>
      <c r="S376" s="51" t="str">
        <f>IF(tblWorkPackages[[#This Row],[Request date serial]]&lt;ValidationStart,"Train 2024",IF(tblWorkPackages[[#This Row],[Request date serial]]&lt;HoldoutStart,"Validation H1","Holdout H2"))</f>
        <v>Validation H1</v>
      </c>
      <c r="T376" s="51">
        <f>IF(tblWorkPackages[[#This Row],[Time split]]="Train 2024","",tblWorkPackages[[#This Row],[Estimated labor hours]]+VLOOKUP(tblWorkPackages[[#This Row],[Task type]],'Forecast validation'!$A$14:$E$25,IF(tblWorkPackages[[#This Row],[Time split]]="Validation H1",4,5),FALSE()))</f>
        <v>19.5462264150943</v>
      </c>
      <c r="U376" s="51">
        <f>IF(tblWorkPackages[[#This Row],[Calibrated forecast hours]]="","",ABS(tblWorkPackages[[#This Row],[Actual labor hours]]-tblWorkPackages[[#This Row],[Calibrated forecast hours]]))</f>
        <v>3.85377358490566</v>
      </c>
      <c r="V376" s="51">
        <f>IF(tblWorkPackages[[#This Row],[Time split]]="Train 2024",tblWorkPackages[[#This Row],[Estimated labor hours]],tblWorkPackages[[#This Row],[Calibrated forecast hours]])</f>
        <v>19.5462264150943</v>
      </c>
      <c r="W376" s="64">
        <f>DATEVALUE(tblWorkPackages[[#This Row],[Request date]])</f>
        <v>45700.0</v>
      </c>
      <c r="X376" s="64">
        <f>DATEVALUE(tblWorkPackages[[#This Row],[Due date]])</f>
        <v>45713.0</v>
      </c>
      <c r="Y376" s="64">
        <f>DATEVALUE(tblWorkPackages[[#This Row],[Completion date]])</f>
        <v>45718.0</v>
      </c>
      <c r="Z376" s="64">
        <f>_xlfn.MINIFS(tblLaborEntries[Work date serial],tblLaborEntries[Work package ID],tblWorkPackages[[#This Row],[Work package ID]])</f>
        <v>45714.0</v>
      </c>
      <c r="AA376" s="64">
        <f>_xlfn.MAXIFS(tblLaborEntries[Work date serial],tblLaborEntries[Work package ID],tblWorkPackages[[#This Row],[Work package ID]])</f>
        <v>45716.0</v>
      </c>
      <c r="AB376" s="65">
        <f>IF(tblWorkPackages[[#This Row],[Completion date serial]]&gt;tblWorkPackages[[#This Row],[Due date serial]],1,0)</f>
        <v>1</v>
      </c>
      <c r="AC376" s="65">
        <f>MAX(0,tblWorkPackages[[#This Row],[Completion date serial]]-tblWorkPackages[[#This Row],[Due date serial]])</f>
        <v>5</v>
      </c>
      <c r="AD376" s="65">
        <f>tblWorkPackages[[#This Row],[First labor date]]-tblWorkPackages[[#This Row],[Request date serial]]</f>
        <v>14</v>
      </c>
      <c r="AE376" s="65">
        <f>tblWorkPackages[[#This Row],[Last labor date]]-tblWorkPackages[[#This Row],[First labor date]]</f>
        <v>2</v>
      </c>
      <c r="AF376" s="65">
        <f>tblWorkPackages[[#This Row],[Completion date serial]]-tblWorkPackages[[#This Row],[Last labor date]]</f>
        <v>2</v>
      </c>
      <c r="AG376" s="65">
        <f>tblWorkPackages[[#This Row],[Completion date serial]]-tblWorkPackages[[#This Row],[Request date serial]]</f>
        <v>18</v>
      </c>
      <c r="AH376" s="65">
        <f>IFERROR(INDEX(tblParts[Delay days],MATCH(tblWorkPackages[[#This Row],[Work package ID]],tblParts[Work package ID],0)),0)</f>
        <v>0</v>
      </c>
      <c r="AI376" s="51" t="str">
        <f>IFERROR(INDEX(tblDisruptions[Event type],MATCH(tblWorkPackages[[#This Row],[Work package ID]],tblDisruptions[Work package ID],0)),"None")</f>
        <v>None</v>
      </c>
      <c r="AJ376" s="51" t="str">
        <f>TEXT(tblWorkPackages[[#This Row],[Due date serial]],"yyyy-mm")</f>
        <v>2025-02</v>
      </c>
    </row>
    <row r="377" spans="1:36" ht="15" x14ac:dyDescent="0.25">
      <c r="A377" s="53" t="s">
        <v>1113</v>
      </c>
      <c r="B377" s="53" t="s">
        <v>163</v>
      </c>
      <c r="C377" s="53" t="s">
        <v>576</v>
      </c>
      <c r="D377" s="53" t="s">
        <v>451</v>
      </c>
      <c r="E377" s="53" t="s">
        <v>136</v>
      </c>
      <c r="F377" s="53" t="s">
        <v>137</v>
      </c>
      <c r="G377" s="53" t="s">
        <v>138</v>
      </c>
      <c r="H377" s="53">
        <v>2</v>
      </c>
      <c r="I377" s="53" t="s">
        <v>130</v>
      </c>
      <c r="J377" s="53">
        <v>0</v>
      </c>
      <c r="K377" s="53">
        <v>0</v>
      </c>
      <c r="L377" s="53">
        <v>14.5</v>
      </c>
      <c r="M377" s="53" t="s">
        <v>1023</v>
      </c>
      <c r="N377" s="53">
        <v>11.2</v>
      </c>
      <c r="O377" s="51" t="str">
        <f>TEXT(tblWorkPackages[[#This Row],[Request date serial]]-WEEKDAY(tblWorkPackages[[#This Row],[Request date serial]],3),"yyyy-mm-dd")</f>
        <v>2024-06-24</v>
      </c>
      <c r="P377" s="51">
        <f>ABS(tblWorkPackages[[#This Row],[Actual labor hours]]-tblWorkPackages[[#This Row],[Estimated labor hours]])</f>
        <v>3.3</v>
      </c>
      <c r="Q377" s="51">
        <f>IF(tblWorkPackages[[#This Row],[Actual labor hours]]&gt;tblWorkPackages[[#This Row],[Estimated labor hours]],1,0)</f>
        <v>0</v>
      </c>
      <c r="R377" s="51">
        <f>tblWorkPackages[[#This Row],[Actual labor hours]]-tblWorkPackages[[#This Row],[Estimated labor hours]]</f>
        <v>-3.3</v>
      </c>
      <c r="S377" s="51" t="str">
        <f>IF(tblWorkPackages[[#This Row],[Request date serial]]&lt;ValidationStart,"Train 2024",IF(tblWorkPackages[[#This Row],[Request date serial]]&lt;HoldoutStart,"Validation H1","Holdout H2"))</f>
        <v>Train 2024</v>
      </c>
      <c r="T377" s="51" t="str">
        <f>IF(tblWorkPackages[[#This Row],[Time split]]="Train 2024","",tblWorkPackages[[#This Row],[Estimated labor hours]]+VLOOKUP(tblWorkPackages[[#This Row],[Task type]],'Forecast validation'!$A$14:$E$25,IF(tblWorkPackages[[#This Row],[Time split]]="Validation H1",4,5),FALSE()))</f>
        <v/>
      </c>
      <c r="U377" s="51" t="str">
        <f>IF(tblWorkPackages[[#This Row],[Calibrated forecast hours]]="","",ABS(tblWorkPackages[[#This Row],[Actual labor hours]]-tblWorkPackages[[#This Row],[Calibrated forecast hours]]))</f>
        <v/>
      </c>
      <c r="V377" s="51">
        <f>IF(tblWorkPackages[[#This Row],[Time split]]="Train 2024",tblWorkPackages[[#This Row],[Estimated labor hours]],tblWorkPackages[[#This Row],[Calibrated forecast hours]])</f>
        <v>14.5</v>
      </c>
      <c r="W377" s="64">
        <f>DATEVALUE(tblWorkPackages[[#This Row],[Request date]])</f>
        <v>45471.0</v>
      </c>
      <c r="X377" s="64">
        <f>DATEVALUE(tblWorkPackages[[#This Row],[Due date]])</f>
        <v>45484.0</v>
      </c>
      <c r="Y377" s="64">
        <f>DATEVALUE(tblWorkPackages[[#This Row],[Completion date]])</f>
        <v>45478.0</v>
      </c>
      <c r="Z377" s="64">
        <f>_xlfn.MINIFS(tblLaborEntries[Work date serial],tblLaborEntries[Work package ID],tblWorkPackages[[#This Row],[Work package ID]])</f>
        <v>45475.0</v>
      </c>
      <c r="AA377" s="64">
        <f>_xlfn.MAXIFS(tblLaborEntries[Work date serial],tblLaborEntries[Work package ID],tblWorkPackages[[#This Row],[Work package ID]])</f>
        <v>45475.0</v>
      </c>
      <c r="AB377" s="65">
        <f>IF(tblWorkPackages[[#This Row],[Completion date serial]]&gt;tblWorkPackages[[#This Row],[Due date serial]],1,0)</f>
        <v>0</v>
      </c>
      <c r="AC377" s="65">
        <f>MAX(0,tblWorkPackages[[#This Row],[Completion date serial]]-tblWorkPackages[[#This Row],[Due date serial]])</f>
        <v>0</v>
      </c>
      <c r="AD377" s="65">
        <f>tblWorkPackages[[#This Row],[First labor date]]-tblWorkPackages[[#This Row],[Request date serial]]</f>
        <v>4</v>
      </c>
      <c r="AE377" s="65">
        <f>tblWorkPackages[[#This Row],[Last labor date]]-tblWorkPackages[[#This Row],[First labor date]]</f>
        <v>0</v>
      </c>
      <c r="AF377" s="65">
        <f>tblWorkPackages[[#This Row],[Completion date serial]]-tblWorkPackages[[#This Row],[Last labor date]]</f>
        <v>3</v>
      </c>
      <c r="AG377" s="65">
        <f>tblWorkPackages[[#This Row],[Completion date serial]]-tblWorkPackages[[#This Row],[Request date serial]]</f>
        <v>7</v>
      </c>
      <c r="AH377" s="65">
        <f>IFERROR(INDEX(tblParts[Delay days],MATCH(tblWorkPackages[[#This Row],[Work package ID]],tblParts[Work package ID],0)),0)</f>
        <v>0</v>
      </c>
      <c r="AI377" s="51" t="str">
        <f>IFERROR(INDEX(tblDisruptions[Event type],MATCH(tblWorkPackages[[#This Row],[Work package ID]],tblDisruptions[Work package ID],0)),"None")</f>
        <v>None</v>
      </c>
      <c r="AJ377" s="51" t="str">
        <f>TEXT(tblWorkPackages[[#This Row],[Due date serial]],"yyyy-mm")</f>
        <v>2024-07</v>
      </c>
    </row>
    <row r="378" spans="1:36" ht="15" x14ac:dyDescent="0.25">
      <c r="A378" s="53" t="s">
        <v>1114</v>
      </c>
      <c r="B378" s="53" t="s">
        <v>168</v>
      </c>
      <c r="C378" s="53" t="s">
        <v>920</v>
      </c>
      <c r="D378" s="53" t="s">
        <v>1115</v>
      </c>
      <c r="E378" s="53" t="s">
        <v>209</v>
      </c>
      <c r="F378" s="53" t="s">
        <v>145</v>
      </c>
      <c r="G378" s="53" t="s">
        <v>210</v>
      </c>
      <c r="H378" s="53">
        <v>4</v>
      </c>
      <c r="I378" s="53" t="s">
        <v>130</v>
      </c>
      <c r="J378" s="53">
        <v>0</v>
      </c>
      <c r="K378" s="53">
        <v>1</v>
      </c>
      <c r="L378" s="53">
        <v>44.1</v>
      </c>
      <c r="M378" s="53" t="s">
        <v>577</v>
      </c>
      <c r="N378" s="53">
        <v>34</v>
      </c>
      <c r="O378" s="51" t="str">
        <f>TEXT(tblWorkPackages[[#This Row],[Request date serial]]-WEEKDAY(tblWorkPackages[[#This Row],[Request date serial]],3),"yyyy-mm-dd")</f>
        <v>2024-04-15</v>
      </c>
      <c r="P378" s="51">
        <f>ABS(tblWorkPackages[[#This Row],[Actual labor hours]]-tblWorkPackages[[#This Row],[Estimated labor hours]])</f>
        <v>10.1</v>
      </c>
      <c r="Q378" s="51">
        <f>IF(tblWorkPackages[[#This Row],[Actual labor hours]]&gt;tblWorkPackages[[#This Row],[Estimated labor hours]],1,0)</f>
        <v>0</v>
      </c>
      <c r="R378" s="51">
        <f>tblWorkPackages[[#This Row],[Actual labor hours]]-tblWorkPackages[[#This Row],[Estimated labor hours]]</f>
        <v>-10.1</v>
      </c>
      <c r="S378" s="51" t="str">
        <f>IF(tblWorkPackages[[#This Row],[Request date serial]]&lt;ValidationStart,"Train 2024",IF(tblWorkPackages[[#This Row],[Request date serial]]&lt;HoldoutStart,"Validation H1","Holdout H2"))</f>
        <v>Train 2024</v>
      </c>
      <c r="T378" s="51" t="str">
        <f>IF(tblWorkPackages[[#This Row],[Time split]]="Train 2024","",tblWorkPackages[[#This Row],[Estimated labor hours]]+VLOOKUP(tblWorkPackages[[#This Row],[Task type]],'Forecast validation'!$A$14:$E$25,IF(tblWorkPackages[[#This Row],[Time split]]="Validation H1",4,5),FALSE()))</f>
        <v/>
      </c>
      <c r="U378" s="51" t="str">
        <f>IF(tblWorkPackages[[#This Row],[Calibrated forecast hours]]="","",ABS(tblWorkPackages[[#This Row],[Actual labor hours]]-tblWorkPackages[[#This Row],[Calibrated forecast hours]]))</f>
        <v/>
      </c>
      <c r="V378" s="51">
        <f>IF(tblWorkPackages[[#This Row],[Time split]]="Train 2024",tblWorkPackages[[#This Row],[Estimated labor hours]],tblWorkPackages[[#This Row],[Calibrated forecast hours]])</f>
        <v>44.1</v>
      </c>
      <c r="W378" s="64">
        <f>DATEVALUE(tblWorkPackages[[#This Row],[Request date]])</f>
        <v>45401.0</v>
      </c>
      <c r="X378" s="64">
        <f>DATEVALUE(tblWorkPackages[[#This Row],[Due date]])</f>
        <v>45414.0</v>
      </c>
      <c r="Y378" s="64">
        <f>DATEVALUE(tblWorkPackages[[#This Row],[Completion date]])</f>
        <v>45463.0</v>
      </c>
      <c r="Z378" s="64">
        <f>_xlfn.MINIFS(tblLaborEntries[Work date serial],tblLaborEntries[Work package ID],tblWorkPackages[[#This Row],[Work package ID]])</f>
        <v>45462.0</v>
      </c>
      <c r="AA378" s="64">
        <f>_xlfn.MAXIFS(tblLaborEntries[Work date serial],tblLaborEntries[Work package ID],tblWorkPackages[[#This Row],[Work package ID]])</f>
        <v>45463.0</v>
      </c>
      <c r="AB378" s="65">
        <f>IF(tblWorkPackages[[#This Row],[Completion date serial]]&gt;tblWorkPackages[[#This Row],[Due date serial]],1,0)</f>
        <v>1</v>
      </c>
      <c r="AC378" s="65">
        <f>MAX(0,tblWorkPackages[[#This Row],[Completion date serial]]-tblWorkPackages[[#This Row],[Due date serial]])</f>
        <v>49</v>
      </c>
      <c r="AD378" s="65">
        <f>tblWorkPackages[[#This Row],[First labor date]]-tblWorkPackages[[#This Row],[Request date serial]]</f>
        <v>61</v>
      </c>
      <c r="AE378" s="65">
        <f>tblWorkPackages[[#This Row],[Last labor date]]-tblWorkPackages[[#This Row],[First labor date]]</f>
        <v>1</v>
      </c>
      <c r="AF378" s="65">
        <f>tblWorkPackages[[#This Row],[Completion date serial]]-tblWorkPackages[[#This Row],[Last labor date]]</f>
        <v>0</v>
      </c>
      <c r="AG378" s="65">
        <f>tblWorkPackages[[#This Row],[Completion date serial]]-tblWorkPackages[[#This Row],[Request date serial]]</f>
        <v>62</v>
      </c>
      <c r="AH378" s="65">
        <f>IFERROR(INDEX(tblParts[Delay days],MATCH(tblWorkPackages[[#This Row],[Work package ID]],tblParts[Work package ID],0)),0)</f>
        <v>0</v>
      </c>
      <c r="AI378" s="51" t="str">
        <f>IFERROR(INDEX(tblDisruptions[Event type],MATCH(tblWorkPackages[[#This Row],[Work package ID]],tblDisruptions[Work package ID],0)),"None")</f>
        <v>None</v>
      </c>
      <c r="AJ378" s="51" t="str">
        <f>TEXT(tblWorkPackages[[#This Row],[Due date serial]],"yyyy-mm")</f>
        <v>2024-05</v>
      </c>
    </row>
    <row r="379" spans="1:36" ht="15" x14ac:dyDescent="0.25">
      <c r="A379" s="53" t="s">
        <v>1116</v>
      </c>
      <c r="B379" s="53" t="s">
        <v>163</v>
      </c>
      <c r="C379" s="53" t="s">
        <v>267</v>
      </c>
      <c r="D379" s="53" t="s">
        <v>817</v>
      </c>
      <c r="E379" s="53" t="s">
        <v>127</v>
      </c>
      <c r="F379" s="53" t="s">
        <v>128</v>
      </c>
      <c r="G379" s="53" t="s">
        <v>129</v>
      </c>
      <c r="H379" s="53">
        <v>4</v>
      </c>
      <c r="I379" s="53" t="s">
        <v>176</v>
      </c>
      <c r="J379" s="53">
        <v>0</v>
      </c>
      <c r="K379" s="53">
        <v>1</v>
      </c>
      <c r="L379" s="53">
        <v>11.8</v>
      </c>
      <c r="M379" s="53" t="s">
        <v>1073</v>
      </c>
      <c r="N379" s="53">
        <v>12.1</v>
      </c>
      <c r="O379" s="51" t="str">
        <f>TEXT(tblWorkPackages[[#This Row],[Request date serial]]-WEEKDAY(tblWorkPackages[[#This Row],[Request date serial]],3),"yyyy-mm-dd")</f>
        <v>2024-12-02</v>
      </c>
      <c r="P379" s="51">
        <f>ABS(tblWorkPackages[[#This Row],[Actual labor hours]]-tblWorkPackages[[#This Row],[Estimated labor hours]])</f>
        <v>0.299999999999999</v>
      </c>
      <c r="Q379" s="51">
        <f>IF(tblWorkPackages[[#This Row],[Actual labor hours]]&gt;tblWorkPackages[[#This Row],[Estimated labor hours]],1,0)</f>
        <v>1</v>
      </c>
      <c r="R379" s="51">
        <f>tblWorkPackages[[#This Row],[Actual labor hours]]-tblWorkPackages[[#This Row],[Estimated labor hours]]</f>
        <v>0.299999999999999</v>
      </c>
      <c r="S379" s="51" t="str">
        <f>IF(tblWorkPackages[[#This Row],[Request date serial]]&lt;ValidationStart,"Train 2024",IF(tblWorkPackages[[#This Row],[Request date serial]]&lt;HoldoutStart,"Validation H1","Holdout H2"))</f>
        <v>Train 2024</v>
      </c>
      <c r="T379" s="51" t="str">
        <f>IF(tblWorkPackages[[#This Row],[Time split]]="Train 2024","",tblWorkPackages[[#This Row],[Estimated labor hours]]+VLOOKUP(tblWorkPackages[[#This Row],[Task type]],'Forecast validation'!$A$14:$E$25,IF(tblWorkPackages[[#This Row],[Time split]]="Validation H1",4,5),FALSE()))</f>
        <v/>
      </c>
      <c r="U379" s="51" t="str">
        <f>IF(tblWorkPackages[[#This Row],[Calibrated forecast hours]]="","",ABS(tblWorkPackages[[#This Row],[Actual labor hours]]-tblWorkPackages[[#This Row],[Calibrated forecast hours]]))</f>
        <v/>
      </c>
      <c r="V379" s="51">
        <f>IF(tblWorkPackages[[#This Row],[Time split]]="Train 2024",tblWorkPackages[[#This Row],[Estimated labor hours]],tblWorkPackages[[#This Row],[Calibrated forecast hours]])</f>
        <v>11.8</v>
      </c>
      <c r="W379" s="64">
        <f>DATEVALUE(tblWorkPackages[[#This Row],[Request date]])</f>
        <v>45631.0</v>
      </c>
      <c r="X379" s="64">
        <f>DATEVALUE(tblWorkPackages[[#This Row],[Due date]])</f>
        <v>45637.0</v>
      </c>
      <c r="Y379" s="64">
        <f>DATEVALUE(tblWorkPackages[[#This Row],[Completion date]])</f>
        <v>45642.0</v>
      </c>
      <c r="Z379" s="64">
        <f>_xlfn.MINIFS(tblLaborEntries[Work date serial],tblLaborEntries[Work package ID],tblWorkPackages[[#This Row],[Work package ID]])</f>
        <v>45640.0</v>
      </c>
      <c r="AA379" s="64">
        <f>_xlfn.MAXIFS(tblLaborEntries[Work date serial],tblLaborEntries[Work package ID],tblWorkPackages[[#This Row],[Work package ID]])</f>
        <v>45641.0</v>
      </c>
      <c r="AB379" s="65">
        <f>IF(tblWorkPackages[[#This Row],[Completion date serial]]&gt;tblWorkPackages[[#This Row],[Due date serial]],1,0)</f>
        <v>1</v>
      </c>
      <c r="AC379" s="65">
        <f>MAX(0,tblWorkPackages[[#This Row],[Completion date serial]]-tblWorkPackages[[#This Row],[Due date serial]])</f>
        <v>5</v>
      </c>
      <c r="AD379" s="65">
        <f>tblWorkPackages[[#This Row],[First labor date]]-tblWorkPackages[[#This Row],[Request date serial]]</f>
        <v>9</v>
      </c>
      <c r="AE379" s="65">
        <f>tblWorkPackages[[#This Row],[Last labor date]]-tblWorkPackages[[#This Row],[First labor date]]</f>
        <v>1</v>
      </c>
      <c r="AF379" s="65">
        <f>tblWorkPackages[[#This Row],[Completion date serial]]-tblWorkPackages[[#This Row],[Last labor date]]</f>
        <v>1</v>
      </c>
      <c r="AG379" s="65">
        <f>tblWorkPackages[[#This Row],[Completion date serial]]-tblWorkPackages[[#This Row],[Request date serial]]</f>
        <v>11</v>
      </c>
      <c r="AH379" s="65">
        <f>IFERROR(INDEX(tblParts[Delay days],MATCH(tblWorkPackages[[#This Row],[Work package ID]],tblParts[Work package ID],0)),0)</f>
        <v>0</v>
      </c>
      <c r="AI379" s="51" t="str">
        <f>IFERROR(INDEX(tblDisruptions[Event type],MATCH(tblWorkPackages[[#This Row],[Work package ID]],tblDisruptions[Work package ID],0)),"None")</f>
        <v>None</v>
      </c>
      <c r="AJ379" s="51" t="str">
        <f>TEXT(tblWorkPackages[[#This Row],[Due date serial]],"yyyy-mm")</f>
        <v>2024-12</v>
      </c>
    </row>
    <row r="380" spans="1:36" ht="15" x14ac:dyDescent="0.25">
      <c r="A380" s="53" t="s">
        <v>1117</v>
      </c>
      <c r="B380" s="53" t="s">
        <v>230</v>
      </c>
      <c r="C380" s="53" t="s">
        <v>1118</v>
      </c>
      <c r="D380" s="53" t="s">
        <v>673</v>
      </c>
      <c r="E380" s="53" t="s">
        <v>223</v>
      </c>
      <c r="F380" s="53" t="s">
        <v>182</v>
      </c>
      <c r="G380" s="53" t="s">
        <v>154</v>
      </c>
      <c r="H380" s="53">
        <v>4</v>
      </c>
      <c r="I380" s="53" t="s">
        <v>176</v>
      </c>
      <c r="J380" s="53">
        <v>0</v>
      </c>
      <c r="K380" s="53">
        <v>0</v>
      </c>
      <c r="L380" s="53">
        <v>25.4</v>
      </c>
      <c r="M380" s="53" t="s">
        <v>673</v>
      </c>
      <c r="N380" s="53">
        <v>27.8</v>
      </c>
      <c r="O380" s="51" t="str">
        <f>TEXT(tblWorkPackages[[#This Row],[Request date serial]]-WEEKDAY(tblWorkPackages[[#This Row],[Request date serial]],3),"yyyy-mm-dd")</f>
        <v>2025-06-16</v>
      </c>
      <c r="P380" s="51">
        <f>ABS(tblWorkPackages[[#This Row],[Actual labor hours]]-tblWorkPackages[[#This Row],[Estimated labor hours]])</f>
        <v>2.4</v>
      </c>
      <c r="Q380" s="51">
        <f>IF(tblWorkPackages[[#This Row],[Actual labor hours]]&gt;tblWorkPackages[[#This Row],[Estimated labor hours]],1,0)</f>
        <v>1</v>
      </c>
      <c r="R380" s="51">
        <f>tblWorkPackages[[#This Row],[Actual labor hours]]-tblWorkPackages[[#This Row],[Estimated labor hours]]</f>
        <v>2.4</v>
      </c>
      <c r="S380" s="51" t="str">
        <f>IF(tblWorkPackages[[#This Row],[Request date serial]]&lt;ValidationStart,"Train 2024",IF(tblWorkPackages[[#This Row],[Request date serial]]&lt;HoldoutStart,"Validation H1","Holdout H2"))</f>
        <v>Validation H1</v>
      </c>
      <c r="T380" s="51">
        <f>IF(tblWorkPackages[[#This Row],[Time split]]="Train 2024","",tblWorkPackages[[#This Row],[Estimated labor hours]]+VLOOKUP(tblWorkPackages[[#This Row],[Task type]],'Forecast validation'!$A$14:$E$25,IF(tblWorkPackages[[#This Row],[Time split]]="Validation H1",4,5),FALSE()))</f>
        <v>26.2824175824176</v>
      </c>
      <c r="U380" s="51">
        <f>IF(tblWorkPackages[[#This Row],[Calibrated forecast hours]]="","",ABS(tblWorkPackages[[#This Row],[Actual labor hours]]-tblWorkPackages[[#This Row],[Calibrated forecast hours]]))</f>
        <v>1.51758241758242</v>
      </c>
      <c r="V380" s="51">
        <f>IF(tblWorkPackages[[#This Row],[Time split]]="Train 2024",tblWorkPackages[[#This Row],[Estimated labor hours]],tblWorkPackages[[#This Row],[Calibrated forecast hours]])</f>
        <v>26.2824175824176</v>
      </c>
      <c r="W380" s="64">
        <f>DATEVALUE(tblWorkPackages[[#This Row],[Request date]])</f>
        <v>45824.0</v>
      </c>
      <c r="X380" s="64">
        <f>DATEVALUE(tblWorkPackages[[#This Row],[Due date]])</f>
        <v>45830.0</v>
      </c>
      <c r="Y380" s="64">
        <f>DATEVALUE(tblWorkPackages[[#This Row],[Completion date]])</f>
        <v>45830.0</v>
      </c>
      <c r="Z380" s="64">
        <f>_xlfn.MINIFS(tblLaborEntries[Work date serial],tblLaborEntries[Work package ID],tblWorkPackages[[#This Row],[Work package ID]])</f>
        <v>45826.0</v>
      </c>
      <c r="AA380" s="64">
        <f>_xlfn.MAXIFS(tblLaborEntries[Work date serial],tblLaborEntries[Work package ID],tblWorkPackages[[#This Row],[Work package ID]])</f>
        <v>45828.0</v>
      </c>
      <c r="AB380" s="65">
        <f>IF(tblWorkPackages[[#This Row],[Completion date serial]]&gt;tblWorkPackages[[#This Row],[Due date serial]],1,0)</f>
        <v>0</v>
      </c>
      <c r="AC380" s="65">
        <f>MAX(0,tblWorkPackages[[#This Row],[Completion date serial]]-tblWorkPackages[[#This Row],[Due date serial]])</f>
        <v>0</v>
      </c>
      <c r="AD380" s="65">
        <f>tblWorkPackages[[#This Row],[First labor date]]-tblWorkPackages[[#This Row],[Request date serial]]</f>
        <v>2</v>
      </c>
      <c r="AE380" s="65">
        <f>tblWorkPackages[[#This Row],[Last labor date]]-tblWorkPackages[[#This Row],[First labor date]]</f>
        <v>2</v>
      </c>
      <c r="AF380" s="65">
        <f>tblWorkPackages[[#This Row],[Completion date serial]]-tblWorkPackages[[#This Row],[Last labor date]]</f>
        <v>2</v>
      </c>
      <c r="AG380" s="65">
        <f>tblWorkPackages[[#This Row],[Completion date serial]]-tblWorkPackages[[#This Row],[Request date serial]]</f>
        <v>6</v>
      </c>
      <c r="AH380" s="65">
        <f>IFERROR(INDEX(tblParts[Delay days],MATCH(tblWorkPackages[[#This Row],[Work package ID]],tblParts[Work package ID],0)),0)</f>
        <v>0</v>
      </c>
      <c r="AI380" s="51" t="str">
        <f>IFERROR(INDEX(tblDisruptions[Event type],MATCH(tblWorkPackages[[#This Row],[Work package ID]],tblDisruptions[Work package ID],0)),"None")</f>
        <v>None</v>
      </c>
      <c r="AJ380" s="51" t="str">
        <f>TEXT(tblWorkPackages[[#This Row],[Due date serial]],"yyyy-mm")</f>
        <v>2025-06</v>
      </c>
    </row>
    <row r="381" spans="1:36" ht="15" x14ac:dyDescent="0.25">
      <c r="A381" s="53" t="s">
        <v>1119</v>
      </c>
      <c r="B381" s="53" t="s">
        <v>203</v>
      </c>
      <c r="C381" s="53" t="s">
        <v>867</v>
      </c>
      <c r="D381" s="53" t="s">
        <v>1023</v>
      </c>
      <c r="E381" s="53" t="s">
        <v>209</v>
      </c>
      <c r="F381" s="53" t="s">
        <v>145</v>
      </c>
      <c r="G381" s="53" t="s">
        <v>210</v>
      </c>
      <c r="H381" s="53">
        <v>2</v>
      </c>
      <c r="I381" s="53" t="s">
        <v>130</v>
      </c>
      <c r="J381" s="53">
        <v>0</v>
      </c>
      <c r="K381" s="53">
        <v>1</v>
      </c>
      <c r="L381" s="53">
        <v>20.5</v>
      </c>
      <c r="M381" s="53" t="s">
        <v>1024</v>
      </c>
      <c r="N381" s="53">
        <v>25.8</v>
      </c>
      <c r="O381" s="51" t="str">
        <f>TEXT(tblWorkPackages[[#This Row],[Request date serial]]-WEEKDAY(tblWorkPackages[[#This Row],[Request date serial]],3),"yyyy-mm-dd")</f>
        <v>2024-06-17</v>
      </c>
      <c r="P381" s="51">
        <f>ABS(tblWorkPackages[[#This Row],[Actual labor hours]]-tblWorkPackages[[#This Row],[Estimated labor hours]])</f>
        <v>5.3</v>
      </c>
      <c r="Q381" s="51">
        <f>IF(tblWorkPackages[[#This Row],[Actual labor hours]]&gt;tblWorkPackages[[#This Row],[Estimated labor hours]],1,0)</f>
        <v>1</v>
      </c>
      <c r="R381" s="51">
        <f>tblWorkPackages[[#This Row],[Actual labor hours]]-tblWorkPackages[[#This Row],[Estimated labor hours]]</f>
        <v>5.3</v>
      </c>
      <c r="S381" s="51" t="str">
        <f>IF(tblWorkPackages[[#This Row],[Request date serial]]&lt;ValidationStart,"Train 2024",IF(tblWorkPackages[[#This Row],[Request date serial]]&lt;HoldoutStart,"Validation H1","Holdout H2"))</f>
        <v>Train 2024</v>
      </c>
      <c r="T381" s="51" t="str">
        <f>IF(tblWorkPackages[[#This Row],[Time split]]="Train 2024","",tblWorkPackages[[#This Row],[Estimated labor hours]]+VLOOKUP(tblWorkPackages[[#This Row],[Task type]],'Forecast validation'!$A$14:$E$25,IF(tblWorkPackages[[#This Row],[Time split]]="Validation H1",4,5),FALSE()))</f>
        <v/>
      </c>
      <c r="U381" s="51" t="str">
        <f>IF(tblWorkPackages[[#This Row],[Calibrated forecast hours]]="","",ABS(tblWorkPackages[[#This Row],[Actual labor hours]]-tblWorkPackages[[#This Row],[Calibrated forecast hours]]))</f>
        <v/>
      </c>
      <c r="V381" s="51">
        <f>IF(tblWorkPackages[[#This Row],[Time split]]="Train 2024",tblWorkPackages[[#This Row],[Estimated labor hours]],tblWorkPackages[[#This Row],[Calibrated forecast hours]])</f>
        <v>20.5</v>
      </c>
      <c r="W381" s="64">
        <f>DATEVALUE(tblWorkPackages[[#This Row],[Request date]])</f>
        <v>45465.0</v>
      </c>
      <c r="X381" s="64">
        <f>DATEVALUE(tblWorkPackages[[#This Row],[Due date]])</f>
        <v>45478.0</v>
      </c>
      <c r="Y381" s="64">
        <f>DATEVALUE(tblWorkPackages[[#This Row],[Completion date]])</f>
        <v>45491.0</v>
      </c>
      <c r="Z381" s="64">
        <f>_xlfn.MINIFS(tblLaborEntries[Work date serial],tblLaborEntries[Work package ID],tblWorkPackages[[#This Row],[Work package ID]])</f>
        <v>45487.0</v>
      </c>
      <c r="AA381" s="64">
        <f>_xlfn.MAXIFS(tblLaborEntries[Work date serial],tblLaborEntries[Work package ID],tblWorkPackages[[#This Row],[Work package ID]])</f>
        <v>45488.0</v>
      </c>
      <c r="AB381" s="65">
        <f>IF(tblWorkPackages[[#This Row],[Completion date serial]]&gt;tblWorkPackages[[#This Row],[Due date serial]],1,0)</f>
        <v>1</v>
      </c>
      <c r="AC381" s="65">
        <f>MAX(0,tblWorkPackages[[#This Row],[Completion date serial]]-tblWorkPackages[[#This Row],[Due date serial]])</f>
        <v>13</v>
      </c>
      <c r="AD381" s="65">
        <f>tblWorkPackages[[#This Row],[First labor date]]-tblWorkPackages[[#This Row],[Request date serial]]</f>
        <v>22</v>
      </c>
      <c r="AE381" s="65">
        <f>tblWorkPackages[[#This Row],[Last labor date]]-tblWorkPackages[[#This Row],[First labor date]]</f>
        <v>1</v>
      </c>
      <c r="AF381" s="65">
        <f>tblWorkPackages[[#This Row],[Completion date serial]]-tblWorkPackages[[#This Row],[Last labor date]]</f>
        <v>3</v>
      </c>
      <c r="AG381" s="65">
        <f>tblWorkPackages[[#This Row],[Completion date serial]]-tblWorkPackages[[#This Row],[Request date serial]]</f>
        <v>26</v>
      </c>
      <c r="AH381" s="65">
        <f>IFERROR(INDEX(tblParts[Delay days],MATCH(tblWorkPackages[[#This Row],[Work package ID]],tblParts[Work package ID],0)),0)</f>
        <v>0</v>
      </c>
      <c r="AI381" s="51" t="str">
        <f>IFERROR(INDEX(tblDisruptions[Event type],MATCH(tblWorkPackages[[#This Row],[Work package ID]],tblDisruptions[Work package ID],0)),"None")</f>
        <v>None</v>
      </c>
      <c r="AJ381" s="51" t="str">
        <f>TEXT(tblWorkPackages[[#This Row],[Due date serial]],"yyyy-mm")</f>
        <v>2024-07</v>
      </c>
    </row>
    <row r="382" spans="1:36" ht="15" x14ac:dyDescent="0.25">
      <c r="A382" s="53" t="s">
        <v>1120</v>
      </c>
      <c r="B382" s="53" t="s">
        <v>203</v>
      </c>
      <c r="C382" s="53" t="s">
        <v>652</v>
      </c>
      <c r="D382" s="53" t="s">
        <v>780</v>
      </c>
      <c r="E382" s="53" t="s">
        <v>242</v>
      </c>
      <c r="F382" s="53" t="s">
        <v>243</v>
      </c>
      <c r="G382" s="53" t="s">
        <v>129</v>
      </c>
      <c r="H382" s="53">
        <v>4</v>
      </c>
      <c r="I382" s="53" t="s">
        <v>176</v>
      </c>
      <c r="J382" s="53">
        <v>0</v>
      </c>
      <c r="K382" s="53">
        <v>0</v>
      </c>
      <c r="L382" s="53">
        <v>13.7</v>
      </c>
      <c r="M382" s="53" t="s">
        <v>764</v>
      </c>
      <c r="N382" s="53">
        <v>16.600000000000001</v>
      </c>
      <c r="O382" s="51" t="str">
        <f>TEXT(tblWorkPackages[[#This Row],[Request date serial]]-WEEKDAY(tblWorkPackages[[#This Row],[Request date serial]],3),"yyyy-mm-dd")</f>
        <v>2025-12-08</v>
      </c>
      <c r="P382" s="51">
        <f>ABS(tblWorkPackages[[#This Row],[Actual labor hours]]-tblWorkPackages[[#This Row],[Estimated labor hours]])</f>
        <v>2.9</v>
      </c>
      <c r="Q382" s="51">
        <f>IF(tblWorkPackages[[#This Row],[Actual labor hours]]&gt;tblWorkPackages[[#This Row],[Estimated labor hours]],1,0)</f>
        <v>1</v>
      </c>
      <c r="R382" s="51">
        <f>tblWorkPackages[[#This Row],[Actual labor hours]]-tblWorkPackages[[#This Row],[Estimated labor hours]]</f>
        <v>2.9</v>
      </c>
      <c r="S382" s="51" t="str">
        <f>IF(tblWorkPackages[[#This Row],[Request date serial]]&lt;ValidationStart,"Train 2024",IF(tblWorkPackages[[#This Row],[Request date serial]]&lt;HoldoutStart,"Validation H1","Holdout H2"))</f>
        <v>Holdout H2</v>
      </c>
      <c r="T382" s="51">
        <f>IF(tblWorkPackages[[#This Row],[Time split]]="Train 2024","",tblWorkPackages[[#This Row],[Estimated labor hours]]+VLOOKUP(tblWorkPackages[[#This Row],[Task type]],'Forecast validation'!$A$14:$E$25,IF(tblWorkPackages[[#This Row],[Time split]]="Validation H1",4,5),FALSE()))</f>
        <v>14.5254545454545</v>
      </c>
      <c r="U382" s="51">
        <f>IF(tblWorkPackages[[#This Row],[Calibrated forecast hours]]="","",ABS(tblWorkPackages[[#This Row],[Actual labor hours]]-tblWorkPackages[[#This Row],[Calibrated forecast hours]]))</f>
        <v>2.07454545454546</v>
      </c>
      <c r="V382" s="51">
        <f>IF(tblWorkPackages[[#This Row],[Time split]]="Train 2024",tblWorkPackages[[#This Row],[Estimated labor hours]],tblWorkPackages[[#This Row],[Calibrated forecast hours]])</f>
        <v>14.5254545454545</v>
      </c>
      <c r="W382" s="64">
        <f>DATEVALUE(tblWorkPackages[[#This Row],[Request date]])</f>
        <v>46003.0</v>
      </c>
      <c r="X382" s="64">
        <f>DATEVALUE(tblWorkPackages[[#This Row],[Due date]])</f>
        <v>46009.0</v>
      </c>
      <c r="Y382" s="64">
        <f>DATEVALUE(tblWorkPackages[[#This Row],[Completion date]])</f>
        <v>46007.0</v>
      </c>
      <c r="Z382" s="64">
        <f>_xlfn.MINIFS(tblLaborEntries[Work date serial],tblLaborEntries[Work package ID],tblWorkPackages[[#This Row],[Work package ID]])</f>
        <v>46007.0</v>
      </c>
      <c r="AA382" s="64">
        <f>_xlfn.MAXIFS(tblLaborEntries[Work date serial],tblLaborEntries[Work package ID],tblWorkPackages[[#This Row],[Work package ID]])</f>
        <v>46007.0</v>
      </c>
      <c r="AB382" s="65">
        <f>IF(tblWorkPackages[[#This Row],[Completion date serial]]&gt;tblWorkPackages[[#This Row],[Due date serial]],1,0)</f>
        <v>0</v>
      </c>
      <c r="AC382" s="65">
        <f>MAX(0,tblWorkPackages[[#This Row],[Completion date serial]]-tblWorkPackages[[#This Row],[Due date serial]])</f>
        <v>0</v>
      </c>
      <c r="AD382" s="65">
        <f>tblWorkPackages[[#This Row],[First labor date]]-tblWorkPackages[[#This Row],[Request date serial]]</f>
        <v>4</v>
      </c>
      <c r="AE382" s="65">
        <f>tblWorkPackages[[#This Row],[Last labor date]]-tblWorkPackages[[#This Row],[First labor date]]</f>
        <v>0</v>
      </c>
      <c r="AF382" s="65">
        <f>tblWorkPackages[[#This Row],[Completion date serial]]-tblWorkPackages[[#This Row],[Last labor date]]</f>
        <v>0</v>
      </c>
      <c r="AG382" s="65">
        <f>tblWorkPackages[[#This Row],[Completion date serial]]-tblWorkPackages[[#This Row],[Request date serial]]</f>
        <v>4</v>
      </c>
      <c r="AH382" s="65">
        <f>IFERROR(INDEX(tblParts[Delay days],MATCH(tblWorkPackages[[#This Row],[Work package ID]],tblParts[Work package ID],0)),0)</f>
        <v>0</v>
      </c>
      <c r="AI382" s="51" t="str">
        <f>IFERROR(INDEX(tblDisruptions[Event type],MATCH(tblWorkPackages[[#This Row],[Work package ID]],tblDisruptions[Work package ID],0)),"None")</f>
        <v>None</v>
      </c>
      <c r="AJ382" s="51" t="str">
        <f>TEXT(tblWorkPackages[[#This Row],[Due date serial]],"yyyy-mm")</f>
        <v>2025-12</v>
      </c>
    </row>
    <row r="383" spans="1:36" ht="15" x14ac:dyDescent="0.25">
      <c r="A383" s="53" t="s">
        <v>1121</v>
      </c>
      <c r="B383" s="53" t="s">
        <v>173</v>
      </c>
      <c r="C383" s="53" t="s">
        <v>521</v>
      </c>
      <c r="D383" s="53" t="s">
        <v>790</v>
      </c>
      <c r="E383" s="53" t="s">
        <v>237</v>
      </c>
      <c r="F383" s="53" t="s">
        <v>182</v>
      </c>
      <c r="G383" s="53" t="s">
        <v>138</v>
      </c>
      <c r="H383" s="53">
        <v>1</v>
      </c>
      <c r="I383" s="53" t="s">
        <v>130</v>
      </c>
      <c r="J383" s="53">
        <v>0</v>
      </c>
      <c r="K383" s="53">
        <v>0</v>
      </c>
      <c r="L383" s="53">
        <v>3</v>
      </c>
      <c r="M383" s="53" t="s">
        <v>886</v>
      </c>
      <c r="N383" s="53">
        <v>2.4</v>
      </c>
      <c r="O383" s="51" t="str">
        <f>TEXT(tblWorkPackages[[#This Row],[Request date serial]]-WEEKDAY(tblWorkPackages[[#This Row],[Request date serial]],3),"yyyy-mm-dd")</f>
        <v>2025-09-01</v>
      </c>
      <c r="P383" s="51">
        <f>ABS(tblWorkPackages[[#This Row],[Actual labor hours]]-tblWorkPackages[[#This Row],[Estimated labor hours]])</f>
        <v>0.6</v>
      </c>
      <c r="Q383" s="51">
        <f>IF(tblWorkPackages[[#This Row],[Actual labor hours]]&gt;tblWorkPackages[[#This Row],[Estimated labor hours]],1,0)</f>
        <v>0</v>
      </c>
      <c r="R383" s="51">
        <f>tblWorkPackages[[#This Row],[Actual labor hours]]-tblWorkPackages[[#This Row],[Estimated labor hours]]</f>
        <v>-0.6</v>
      </c>
      <c r="S383" s="51" t="str">
        <f>IF(tblWorkPackages[[#This Row],[Request date serial]]&lt;ValidationStart,"Train 2024",IF(tblWorkPackages[[#This Row],[Request date serial]]&lt;HoldoutStart,"Validation H1","Holdout H2"))</f>
        <v>Holdout H2</v>
      </c>
      <c r="T383" s="51">
        <f>IF(tblWorkPackages[[#This Row],[Time split]]="Train 2024","",tblWorkPackages[[#This Row],[Estimated labor hours]]+VLOOKUP(tblWorkPackages[[#This Row],[Task type]],'Forecast validation'!$A$14:$E$25,IF(tblWorkPackages[[#This Row],[Time split]]="Validation H1",4,5),FALSE()))</f>
        <v>3.453125</v>
      </c>
      <c r="U383" s="51">
        <f>IF(tblWorkPackages[[#This Row],[Calibrated forecast hours]]="","",ABS(tblWorkPackages[[#This Row],[Actual labor hours]]-tblWorkPackages[[#This Row],[Calibrated forecast hours]]))</f>
        <v>1.053125</v>
      </c>
      <c r="V383" s="51">
        <f>IF(tblWorkPackages[[#This Row],[Time split]]="Train 2024",tblWorkPackages[[#This Row],[Estimated labor hours]],tblWorkPackages[[#This Row],[Calibrated forecast hours]])</f>
        <v>3.453125</v>
      </c>
      <c r="W383" s="64">
        <f>DATEVALUE(tblWorkPackages[[#This Row],[Request date]])</f>
        <v>45903.0</v>
      </c>
      <c r="X383" s="64">
        <f>DATEVALUE(tblWorkPackages[[#This Row],[Due date]])</f>
        <v>45916.0</v>
      </c>
      <c r="Y383" s="64">
        <f>DATEVALUE(tblWorkPackages[[#This Row],[Completion date]])</f>
        <v>45907.0</v>
      </c>
      <c r="Z383" s="64">
        <f>_xlfn.MINIFS(tblLaborEntries[Work date serial],tblLaborEntries[Work package ID],tblWorkPackages[[#This Row],[Work package ID]])</f>
        <v>45904.0</v>
      </c>
      <c r="AA383" s="64">
        <f>_xlfn.MAXIFS(tblLaborEntries[Work date serial],tblLaborEntries[Work package ID],tblWorkPackages[[#This Row],[Work package ID]])</f>
        <v>45906.0</v>
      </c>
      <c r="AB383" s="65">
        <f>IF(tblWorkPackages[[#This Row],[Completion date serial]]&gt;tblWorkPackages[[#This Row],[Due date serial]],1,0)</f>
        <v>0</v>
      </c>
      <c r="AC383" s="65">
        <f>MAX(0,tblWorkPackages[[#This Row],[Completion date serial]]-tblWorkPackages[[#This Row],[Due date serial]])</f>
        <v>0</v>
      </c>
      <c r="AD383" s="65">
        <f>tblWorkPackages[[#This Row],[First labor date]]-tblWorkPackages[[#This Row],[Request date serial]]</f>
        <v>1</v>
      </c>
      <c r="AE383" s="65">
        <f>tblWorkPackages[[#This Row],[Last labor date]]-tblWorkPackages[[#This Row],[First labor date]]</f>
        <v>2</v>
      </c>
      <c r="AF383" s="65">
        <f>tblWorkPackages[[#This Row],[Completion date serial]]-tblWorkPackages[[#This Row],[Last labor date]]</f>
        <v>1</v>
      </c>
      <c r="AG383" s="65">
        <f>tblWorkPackages[[#This Row],[Completion date serial]]-tblWorkPackages[[#This Row],[Request date serial]]</f>
        <v>4</v>
      </c>
      <c r="AH383" s="65">
        <f>IFERROR(INDEX(tblParts[Delay days],MATCH(tblWorkPackages[[#This Row],[Work package ID]],tblParts[Work package ID],0)),0)</f>
        <v>0</v>
      </c>
      <c r="AI383" s="51" t="str">
        <f>IFERROR(INDEX(tblDisruptions[Event type],MATCH(tblWorkPackages[[#This Row],[Work package ID]],tblDisruptions[Work package ID],0)),"None")</f>
        <v>None</v>
      </c>
      <c r="AJ383" s="51" t="str">
        <f>TEXT(tblWorkPackages[[#This Row],[Due date serial]],"yyyy-mm")</f>
        <v>2025-09</v>
      </c>
    </row>
    <row r="384" spans="1:36" ht="15" x14ac:dyDescent="0.25">
      <c r="A384" s="53" t="s">
        <v>1122</v>
      </c>
      <c r="B384" s="53" t="s">
        <v>150</v>
      </c>
      <c r="C384" s="53" t="s">
        <v>655</v>
      </c>
      <c r="D384" s="53" t="s">
        <v>631</v>
      </c>
      <c r="E384" s="53" t="s">
        <v>209</v>
      </c>
      <c r="F384" s="53" t="s">
        <v>145</v>
      </c>
      <c r="G384" s="53" t="s">
        <v>210</v>
      </c>
      <c r="H384" s="53">
        <v>2</v>
      </c>
      <c r="I384" s="53" t="s">
        <v>130</v>
      </c>
      <c r="J384" s="53">
        <v>0</v>
      </c>
      <c r="K384" s="53">
        <v>1</v>
      </c>
      <c r="L384" s="53">
        <v>24.4</v>
      </c>
      <c r="M384" s="53" t="s">
        <v>689</v>
      </c>
      <c r="N384" s="53">
        <v>26.3</v>
      </c>
      <c r="O384" s="51" t="str">
        <f>TEXT(tblWorkPackages[[#This Row],[Request date serial]]-WEEKDAY(tblWorkPackages[[#This Row],[Request date serial]],3),"yyyy-mm-dd")</f>
        <v>2024-03-18</v>
      </c>
      <c r="P384" s="51">
        <f>ABS(tblWorkPackages[[#This Row],[Actual labor hours]]-tblWorkPackages[[#This Row],[Estimated labor hours]])</f>
        <v>1.9</v>
      </c>
      <c r="Q384" s="51">
        <f>IF(tblWorkPackages[[#This Row],[Actual labor hours]]&gt;tblWorkPackages[[#This Row],[Estimated labor hours]],1,0)</f>
        <v>1</v>
      </c>
      <c r="R384" s="51">
        <f>tblWorkPackages[[#This Row],[Actual labor hours]]-tblWorkPackages[[#This Row],[Estimated labor hours]]</f>
        <v>1.9</v>
      </c>
      <c r="S384" s="51" t="str">
        <f>IF(tblWorkPackages[[#This Row],[Request date serial]]&lt;ValidationStart,"Train 2024",IF(tblWorkPackages[[#This Row],[Request date serial]]&lt;HoldoutStart,"Validation H1","Holdout H2"))</f>
        <v>Train 2024</v>
      </c>
      <c r="T384" s="51" t="str">
        <f>IF(tblWorkPackages[[#This Row],[Time split]]="Train 2024","",tblWorkPackages[[#This Row],[Estimated labor hours]]+VLOOKUP(tblWorkPackages[[#This Row],[Task type]],'Forecast validation'!$A$14:$E$25,IF(tblWorkPackages[[#This Row],[Time split]]="Validation H1",4,5),FALSE()))</f>
        <v/>
      </c>
      <c r="U384" s="51" t="str">
        <f>IF(tblWorkPackages[[#This Row],[Calibrated forecast hours]]="","",ABS(tblWorkPackages[[#This Row],[Actual labor hours]]-tblWorkPackages[[#This Row],[Calibrated forecast hours]]))</f>
        <v/>
      </c>
      <c r="V384" s="51">
        <f>IF(tblWorkPackages[[#This Row],[Time split]]="Train 2024",tblWorkPackages[[#This Row],[Estimated labor hours]],tblWorkPackages[[#This Row],[Calibrated forecast hours]])</f>
        <v>24.4</v>
      </c>
      <c r="W384" s="64">
        <f>DATEVALUE(tblWorkPackages[[#This Row],[Request date]])</f>
        <v>45369.0</v>
      </c>
      <c r="X384" s="64">
        <f>DATEVALUE(tblWorkPackages[[#This Row],[Due date]])</f>
        <v>45382.0</v>
      </c>
      <c r="Y384" s="64">
        <f>DATEVALUE(tblWorkPackages[[#This Row],[Completion date]])</f>
        <v>45385.0</v>
      </c>
      <c r="Z384" s="64">
        <f>_xlfn.MINIFS(tblLaborEntries[Work date serial],tblLaborEntries[Work package ID],tblWorkPackages[[#This Row],[Work package ID]])</f>
        <v>45381.0</v>
      </c>
      <c r="AA384" s="64">
        <f>_xlfn.MAXIFS(tblLaborEntries[Work date serial],tblLaborEntries[Work package ID],tblWorkPackages[[#This Row],[Work package ID]])</f>
        <v>45383.0</v>
      </c>
      <c r="AB384" s="65">
        <f>IF(tblWorkPackages[[#This Row],[Completion date serial]]&gt;tblWorkPackages[[#This Row],[Due date serial]],1,0)</f>
        <v>1</v>
      </c>
      <c r="AC384" s="65">
        <f>MAX(0,tblWorkPackages[[#This Row],[Completion date serial]]-tblWorkPackages[[#This Row],[Due date serial]])</f>
        <v>3</v>
      </c>
      <c r="AD384" s="65">
        <f>tblWorkPackages[[#This Row],[First labor date]]-tblWorkPackages[[#This Row],[Request date serial]]</f>
        <v>12</v>
      </c>
      <c r="AE384" s="65">
        <f>tblWorkPackages[[#This Row],[Last labor date]]-tblWorkPackages[[#This Row],[First labor date]]</f>
        <v>2</v>
      </c>
      <c r="AF384" s="65">
        <f>tblWorkPackages[[#This Row],[Completion date serial]]-tblWorkPackages[[#This Row],[Last labor date]]</f>
        <v>2</v>
      </c>
      <c r="AG384" s="65">
        <f>tblWorkPackages[[#This Row],[Completion date serial]]-tblWorkPackages[[#This Row],[Request date serial]]</f>
        <v>16</v>
      </c>
      <c r="AH384" s="65">
        <f>IFERROR(INDEX(tblParts[Delay days],MATCH(tblWorkPackages[[#This Row],[Work package ID]],tblParts[Work package ID],0)),0)</f>
        <v>0</v>
      </c>
      <c r="AI384" s="51" t="str">
        <f>IFERROR(INDEX(tblDisruptions[Event type],MATCH(tblWorkPackages[[#This Row],[Work package ID]],tblDisruptions[Work package ID],0)),"None")</f>
        <v>None</v>
      </c>
      <c r="AJ384" s="51" t="str">
        <f>TEXT(tblWorkPackages[[#This Row],[Due date serial]],"yyyy-mm")</f>
        <v>2024-03</v>
      </c>
    </row>
    <row r="385" spans="1:36" ht="15" x14ac:dyDescent="0.25">
      <c r="A385" s="53" t="s">
        <v>1123</v>
      </c>
      <c r="B385" s="53" t="s">
        <v>124</v>
      </c>
      <c r="C385" s="53" t="s">
        <v>1124</v>
      </c>
      <c r="D385" s="53" t="s">
        <v>1125</v>
      </c>
      <c r="E385" s="53" t="s">
        <v>144</v>
      </c>
      <c r="F385" s="53" t="s">
        <v>145</v>
      </c>
      <c r="G385" s="53" t="s">
        <v>146</v>
      </c>
      <c r="H385" s="53">
        <v>1</v>
      </c>
      <c r="I385" s="53" t="s">
        <v>130</v>
      </c>
      <c r="J385" s="53">
        <v>0</v>
      </c>
      <c r="K385" s="53">
        <v>0</v>
      </c>
      <c r="L385" s="53">
        <v>7.8</v>
      </c>
      <c r="M385" s="53" t="s">
        <v>1126</v>
      </c>
      <c r="N385" s="53">
        <v>7.8</v>
      </c>
      <c r="O385" s="51" t="str">
        <f>TEXT(tblWorkPackages[[#This Row],[Request date serial]]-WEEKDAY(tblWorkPackages[[#This Row],[Request date serial]],3),"yyyy-mm-dd")</f>
        <v>2024-05-13</v>
      </c>
      <c r="P385" s="51">
        <f>ABS(tblWorkPackages[[#This Row],[Actual labor hours]]-tblWorkPackages[[#This Row],[Estimated labor hours]])</f>
        <v>0</v>
      </c>
      <c r="Q385" s="51">
        <f>IF(tblWorkPackages[[#This Row],[Actual labor hours]]&gt;tblWorkPackages[[#This Row],[Estimated labor hours]],1,0)</f>
        <v>0</v>
      </c>
      <c r="R385" s="51">
        <f>tblWorkPackages[[#This Row],[Actual labor hours]]-tblWorkPackages[[#This Row],[Estimated labor hours]]</f>
        <v>0</v>
      </c>
      <c r="S385" s="51" t="str">
        <f>IF(tblWorkPackages[[#This Row],[Request date serial]]&lt;ValidationStart,"Train 2024",IF(tblWorkPackages[[#This Row],[Request date serial]]&lt;HoldoutStart,"Validation H1","Holdout H2"))</f>
        <v>Train 2024</v>
      </c>
      <c r="T385" s="51" t="str">
        <f>IF(tblWorkPackages[[#This Row],[Time split]]="Train 2024","",tblWorkPackages[[#This Row],[Estimated labor hours]]+VLOOKUP(tblWorkPackages[[#This Row],[Task type]],'Forecast validation'!$A$14:$E$25,IF(tblWorkPackages[[#This Row],[Time split]]="Validation H1",4,5),FALSE()))</f>
        <v/>
      </c>
      <c r="U385" s="51" t="str">
        <f>IF(tblWorkPackages[[#This Row],[Calibrated forecast hours]]="","",ABS(tblWorkPackages[[#This Row],[Actual labor hours]]-tblWorkPackages[[#This Row],[Calibrated forecast hours]]))</f>
        <v/>
      </c>
      <c r="V385" s="51">
        <f>IF(tblWorkPackages[[#This Row],[Time split]]="Train 2024",tblWorkPackages[[#This Row],[Estimated labor hours]],tblWorkPackages[[#This Row],[Calibrated forecast hours]])</f>
        <v>7.8</v>
      </c>
      <c r="W385" s="64">
        <f>DATEVALUE(tblWorkPackages[[#This Row],[Request date]])</f>
        <v>45427.0</v>
      </c>
      <c r="X385" s="64">
        <f>DATEVALUE(tblWorkPackages[[#This Row],[Due date]])</f>
        <v>45440.0</v>
      </c>
      <c r="Y385" s="64">
        <f>DATEVALUE(tblWorkPackages[[#This Row],[Completion date]])</f>
        <v>45435.0</v>
      </c>
      <c r="Z385" s="64">
        <f>_xlfn.MINIFS(tblLaborEntries[Work date serial],tblLaborEntries[Work package ID],tblWorkPackages[[#This Row],[Work package ID]])</f>
        <v>45430.0</v>
      </c>
      <c r="AA385" s="64">
        <f>_xlfn.MAXIFS(tblLaborEntries[Work date serial],tblLaborEntries[Work package ID],tblWorkPackages[[#This Row],[Work package ID]])</f>
        <v>45432.0</v>
      </c>
      <c r="AB385" s="65">
        <f>IF(tblWorkPackages[[#This Row],[Completion date serial]]&gt;tblWorkPackages[[#This Row],[Due date serial]],1,0)</f>
        <v>0</v>
      </c>
      <c r="AC385" s="65">
        <f>MAX(0,tblWorkPackages[[#This Row],[Completion date serial]]-tblWorkPackages[[#This Row],[Due date serial]])</f>
        <v>0</v>
      </c>
      <c r="AD385" s="65">
        <f>tblWorkPackages[[#This Row],[First labor date]]-tblWorkPackages[[#This Row],[Request date serial]]</f>
        <v>3</v>
      </c>
      <c r="AE385" s="65">
        <f>tblWorkPackages[[#This Row],[Last labor date]]-tblWorkPackages[[#This Row],[First labor date]]</f>
        <v>2</v>
      </c>
      <c r="AF385" s="65">
        <f>tblWorkPackages[[#This Row],[Completion date serial]]-tblWorkPackages[[#This Row],[Last labor date]]</f>
        <v>3</v>
      </c>
      <c r="AG385" s="65">
        <f>tblWorkPackages[[#This Row],[Completion date serial]]-tblWorkPackages[[#This Row],[Request date serial]]</f>
        <v>8</v>
      </c>
      <c r="AH385" s="65">
        <f>IFERROR(INDEX(tblParts[Delay days],MATCH(tblWorkPackages[[#This Row],[Work package ID]],tblParts[Work package ID],0)),0)</f>
        <v>0</v>
      </c>
      <c r="AI385" s="51" t="str">
        <f>IFERROR(INDEX(tblDisruptions[Event type],MATCH(tblWorkPackages[[#This Row],[Work package ID]],tblDisruptions[Work package ID],0)),"None")</f>
        <v>None</v>
      </c>
      <c r="AJ385" s="51" t="str">
        <f>TEXT(tblWorkPackages[[#This Row],[Due date serial]],"yyyy-mm")</f>
        <v>2024-05</v>
      </c>
    </row>
    <row r="386" spans="1:36" ht="15" x14ac:dyDescent="0.25">
      <c r="A386" s="53" t="s">
        <v>1127</v>
      </c>
      <c r="B386" s="53" t="s">
        <v>287</v>
      </c>
      <c r="C386" s="53" t="s">
        <v>1128</v>
      </c>
      <c r="D386" s="53" t="s">
        <v>221</v>
      </c>
      <c r="E386" s="53" t="s">
        <v>209</v>
      </c>
      <c r="F386" s="53" t="s">
        <v>145</v>
      </c>
      <c r="G386" s="53" t="s">
        <v>210</v>
      </c>
      <c r="H386" s="53">
        <v>4</v>
      </c>
      <c r="I386" s="53" t="s">
        <v>176</v>
      </c>
      <c r="J386" s="53">
        <v>0</v>
      </c>
      <c r="K386" s="53">
        <v>0</v>
      </c>
      <c r="L386" s="53">
        <v>37</v>
      </c>
      <c r="M386" s="53" t="s">
        <v>485</v>
      </c>
      <c r="N386" s="53">
        <v>40.5</v>
      </c>
      <c r="O386" s="51" t="str">
        <f>TEXT(tblWorkPackages[[#This Row],[Request date serial]]-WEEKDAY(tblWorkPackages[[#This Row],[Request date serial]],3),"yyyy-mm-dd")</f>
        <v>2024-12-09</v>
      </c>
      <c r="P386" s="51">
        <f>ABS(tblWorkPackages[[#This Row],[Actual labor hours]]-tblWorkPackages[[#This Row],[Estimated labor hours]])</f>
        <v>3.5</v>
      </c>
      <c r="Q386" s="51">
        <f>IF(tblWorkPackages[[#This Row],[Actual labor hours]]&gt;tblWorkPackages[[#This Row],[Estimated labor hours]],1,0)</f>
        <v>1</v>
      </c>
      <c r="R386" s="51">
        <f>tblWorkPackages[[#This Row],[Actual labor hours]]-tblWorkPackages[[#This Row],[Estimated labor hours]]</f>
        <v>3.5</v>
      </c>
      <c r="S386" s="51" t="str">
        <f>IF(tblWorkPackages[[#This Row],[Request date serial]]&lt;ValidationStart,"Train 2024",IF(tblWorkPackages[[#This Row],[Request date serial]]&lt;HoldoutStart,"Validation H1","Holdout H2"))</f>
        <v>Train 2024</v>
      </c>
      <c r="T386" s="51" t="str">
        <f>IF(tblWorkPackages[[#This Row],[Time split]]="Train 2024","",tblWorkPackages[[#This Row],[Estimated labor hours]]+VLOOKUP(tblWorkPackages[[#This Row],[Task type]],'Forecast validation'!$A$14:$E$25,IF(tblWorkPackages[[#This Row],[Time split]]="Validation H1",4,5),FALSE()))</f>
        <v/>
      </c>
      <c r="U386" s="51" t="str">
        <f>IF(tblWorkPackages[[#This Row],[Calibrated forecast hours]]="","",ABS(tblWorkPackages[[#This Row],[Actual labor hours]]-tblWorkPackages[[#This Row],[Calibrated forecast hours]]))</f>
        <v/>
      </c>
      <c r="V386" s="51">
        <f>IF(tblWorkPackages[[#This Row],[Time split]]="Train 2024",tblWorkPackages[[#This Row],[Estimated labor hours]],tblWorkPackages[[#This Row],[Calibrated forecast hours]])</f>
        <v>37</v>
      </c>
      <c r="W386" s="64">
        <f>DATEVALUE(tblWorkPackages[[#This Row],[Request date]])</f>
        <v>45639.0</v>
      </c>
      <c r="X386" s="64">
        <f>DATEVALUE(tblWorkPackages[[#This Row],[Due date]])</f>
        <v>45645.0</v>
      </c>
      <c r="Y386" s="64">
        <f>DATEVALUE(tblWorkPackages[[#This Row],[Completion date]])</f>
        <v>45675.0</v>
      </c>
      <c r="Z386" s="64">
        <f>_xlfn.MINIFS(tblLaborEntries[Work date serial],tblLaborEntries[Work package ID],tblWorkPackages[[#This Row],[Work package ID]])</f>
        <v>45674.0</v>
      </c>
      <c r="AA386" s="64">
        <f>_xlfn.MAXIFS(tblLaborEntries[Work date serial],tblLaborEntries[Work package ID],tblWorkPackages[[#This Row],[Work package ID]])</f>
        <v>45675.0</v>
      </c>
      <c r="AB386" s="65">
        <f>IF(tblWorkPackages[[#This Row],[Completion date serial]]&gt;tblWorkPackages[[#This Row],[Due date serial]],1,0)</f>
        <v>1</v>
      </c>
      <c r="AC386" s="65">
        <f>MAX(0,tblWorkPackages[[#This Row],[Completion date serial]]-tblWorkPackages[[#This Row],[Due date serial]])</f>
        <v>30</v>
      </c>
      <c r="AD386" s="65">
        <f>tblWorkPackages[[#This Row],[First labor date]]-tblWorkPackages[[#This Row],[Request date serial]]</f>
        <v>35</v>
      </c>
      <c r="AE386" s="65">
        <f>tblWorkPackages[[#This Row],[Last labor date]]-tblWorkPackages[[#This Row],[First labor date]]</f>
        <v>1</v>
      </c>
      <c r="AF386" s="65">
        <f>tblWorkPackages[[#This Row],[Completion date serial]]-tblWorkPackages[[#This Row],[Last labor date]]</f>
        <v>0</v>
      </c>
      <c r="AG386" s="65">
        <f>tblWorkPackages[[#This Row],[Completion date serial]]-tblWorkPackages[[#This Row],[Request date serial]]</f>
        <v>36</v>
      </c>
      <c r="AH386" s="65">
        <f>IFERROR(INDEX(tblParts[Delay days],MATCH(tblWorkPackages[[#This Row],[Work package ID]],tblParts[Work package ID],0)),0)</f>
        <v>0</v>
      </c>
      <c r="AI386" s="51" t="str">
        <f>IFERROR(INDEX(tblDisruptions[Event type],MATCH(tblWorkPackages[[#This Row],[Work package ID]],tblDisruptions[Work package ID],0)),"None")</f>
        <v>None</v>
      </c>
      <c r="AJ386" s="51" t="str">
        <f>TEXT(tblWorkPackages[[#This Row],[Due date serial]],"yyyy-mm")</f>
        <v>2024-12</v>
      </c>
    </row>
    <row r="387" spans="1:36" ht="15" x14ac:dyDescent="0.25">
      <c r="A387" s="53" t="s">
        <v>1129</v>
      </c>
      <c r="B387" s="53" t="s">
        <v>173</v>
      </c>
      <c r="C387" s="53" t="s">
        <v>464</v>
      </c>
      <c r="D387" s="53" t="s">
        <v>1130</v>
      </c>
      <c r="E387" s="53" t="s">
        <v>127</v>
      </c>
      <c r="F387" s="53" t="s">
        <v>128</v>
      </c>
      <c r="G387" s="53" t="s">
        <v>129</v>
      </c>
      <c r="H387" s="53">
        <v>2</v>
      </c>
      <c r="I387" s="53" t="s">
        <v>176</v>
      </c>
      <c r="J387" s="53">
        <v>0</v>
      </c>
      <c r="K387" s="53">
        <v>0</v>
      </c>
      <c r="L387" s="53">
        <v>6.1</v>
      </c>
      <c r="M387" s="53" t="s">
        <v>495</v>
      </c>
      <c r="N387" s="53">
        <v>7.7</v>
      </c>
      <c r="O387" s="51" t="str">
        <f>TEXT(tblWorkPackages[[#This Row],[Request date serial]]-WEEKDAY(tblWorkPackages[[#This Row],[Request date serial]],3),"yyyy-mm-dd")</f>
        <v>2025-09-29</v>
      </c>
      <c r="P387" s="51">
        <f>ABS(tblWorkPackages[[#This Row],[Actual labor hours]]-tblWorkPackages[[#This Row],[Estimated labor hours]])</f>
        <v>1.6</v>
      </c>
      <c r="Q387" s="51">
        <f>IF(tblWorkPackages[[#This Row],[Actual labor hours]]&gt;tblWorkPackages[[#This Row],[Estimated labor hours]],1,0)</f>
        <v>1</v>
      </c>
      <c r="R387" s="51">
        <f>tblWorkPackages[[#This Row],[Actual labor hours]]-tblWorkPackages[[#This Row],[Estimated labor hours]]</f>
        <v>1.6</v>
      </c>
      <c r="S387" s="51" t="str">
        <f>IF(tblWorkPackages[[#This Row],[Request date serial]]&lt;ValidationStart,"Train 2024",IF(tblWorkPackages[[#This Row],[Request date serial]]&lt;HoldoutStart,"Validation H1","Holdout H2"))</f>
        <v>Holdout H2</v>
      </c>
      <c r="T387" s="51">
        <f>IF(tblWorkPackages[[#This Row],[Time split]]="Train 2024","",tblWorkPackages[[#This Row],[Estimated labor hours]]+VLOOKUP(tblWorkPackages[[#This Row],[Task type]],'Forecast validation'!$A$14:$E$25,IF(tblWorkPackages[[#This Row],[Time split]]="Validation H1",4,5),FALSE()))</f>
        <v>6.64341085271318</v>
      </c>
      <c r="U387" s="51">
        <f>IF(tblWorkPackages[[#This Row],[Calibrated forecast hours]]="","",ABS(tblWorkPackages[[#This Row],[Actual labor hours]]-tblWorkPackages[[#This Row],[Calibrated forecast hours]]))</f>
        <v>1.05658914728682</v>
      </c>
      <c r="V387" s="51">
        <f>IF(tblWorkPackages[[#This Row],[Time split]]="Train 2024",tblWorkPackages[[#This Row],[Estimated labor hours]],tblWorkPackages[[#This Row],[Calibrated forecast hours]])</f>
        <v>6.64341085271318</v>
      </c>
      <c r="W387" s="64">
        <f>DATEVALUE(tblWorkPackages[[#This Row],[Request date]])</f>
        <v>45929.0</v>
      </c>
      <c r="X387" s="64">
        <f>DATEVALUE(tblWorkPackages[[#This Row],[Due date]])</f>
        <v>45935.0</v>
      </c>
      <c r="Y387" s="64">
        <f>DATEVALUE(tblWorkPackages[[#This Row],[Completion date]])</f>
        <v>45938.0</v>
      </c>
      <c r="Z387" s="64">
        <f>_xlfn.MINIFS(tblLaborEntries[Work date serial],tblLaborEntries[Work package ID],tblWorkPackages[[#This Row],[Work package ID]])</f>
        <v>45936.0</v>
      </c>
      <c r="AA387" s="64">
        <f>_xlfn.MAXIFS(tblLaborEntries[Work date serial],tblLaborEntries[Work package ID],tblWorkPackages[[#This Row],[Work package ID]])</f>
        <v>45937.0</v>
      </c>
      <c r="AB387" s="65">
        <f>IF(tblWorkPackages[[#This Row],[Completion date serial]]&gt;tblWorkPackages[[#This Row],[Due date serial]],1,0)</f>
        <v>1</v>
      </c>
      <c r="AC387" s="65">
        <f>MAX(0,tblWorkPackages[[#This Row],[Completion date serial]]-tblWorkPackages[[#This Row],[Due date serial]])</f>
        <v>3</v>
      </c>
      <c r="AD387" s="65">
        <f>tblWorkPackages[[#This Row],[First labor date]]-tblWorkPackages[[#This Row],[Request date serial]]</f>
        <v>7</v>
      </c>
      <c r="AE387" s="65">
        <f>tblWorkPackages[[#This Row],[Last labor date]]-tblWorkPackages[[#This Row],[First labor date]]</f>
        <v>1</v>
      </c>
      <c r="AF387" s="65">
        <f>tblWorkPackages[[#This Row],[Completion date serial]]-tblWorkPackages[[#This Row],[Last labor date]]</f>
        <v>1</v>
      </c>
      <c r="AG387" s="65">
        <f>tblWorkPackages[[#This Row],[Completion date serial]]-tblWorkPackages[[#This Row],[Request date serial]]</f>
        <v>9</v>
      </c>
      <c r="AH387" s="65">
        <f>IFERROR(INDEX(tblParts[Delay days],MATCH(tblWorkPackages[[#This Row],[Work package ID]],tblParts[Work package ID],0)),0)</f>
        <v>0</v>
      </c>
      <c r="AI387" s="51" t="str">
        <f>IFERROR(INDEX(tblDisruptions[Event type],MATCH(tblWorkPackages[[#This Row],[Work package ID]],tblDisruptions[Work package ID],0)),"None")</f>
        <v>None</v>
      </c>
      <c r="AJ387" s="51" t="str">
        <f>TEXT(tblWorkPackages[[#This Row],[Due date serial]],"yyyy-mm")</f>
        <v>2025-10</v>
      </c>
    </row>
    <row r="388" spans="1:36" ht="15" x14ac:dyDescent="0.25">
      <c r="A388" s="53" t="s">
        <v>1131</v>
      </c>
      <c r="B388" s="53" t="s">
        <v>141</v>
      </c>
      <c r="C388" s="53" t="s">
        <v>520</v>
      </c>
      <c r="D388" s="53" t="s">
        <v>191</v>
      </c>
      <c r="E388" s="53" t="s">
        <v>200</v>
      </c>
      <c r="F388" s="53" t="s">
        <v>128</v>
      </c>
      <c r="G388" s="53" t="s">
        <v>129</v>
      </c>
      <c r="H388" s="53">
        <v>1</v>
      </c>
      <c r="I388" s="53" t="s">
        <v>176</v>
      </c>
      <c r="J388" s="53">
        <v>0</v>
      </c>
      <c r="K388" s="53">
        <v>0</v>
      </c>
      <c r="L388" s="53">
        <v>1.9</v>
      </c>
      <c r="M388" s="53" t="s">
        <v>191</v>
      </c>
      <c r="N388" s="53">
        <v>2.2999999999999998</v>
      </c>
      <c r="O388" s="51" t="str">
        <f>TEXT(tblWorkPackages[[#This Row],[Request date serial]]-WEEKDAY(tblWorkPackages[[#This Row],[Request date serial]],3),"yyyy-mm-dd")</f>
        <v>2025-08-18</v>
      </c>
      <c r="P388" s="51">
        <f>ABS(tblWorkPackages[[#This Row],[Actual labor hours]]-tblWorkPackages[[#This Row],[Estimated labor hours]])</f>
        <v>0.4</v>
      </c>
      <c r="Q388" s="51">
        <f>IF(tblWorkPackages[[#This Row],[Actual labor hours]]&gt;tblWorkPackages[[#This Row],[Estimated labor hours]],1,0)</f>
        <v>1</v>
      </c>
      <c r="R388" s="51">
        <f>tblWorkPackages[[#This Row],[Actual labor hours]]-tblWorkPackages[[#This Row],[Estimated labor hours]]</f>
        <v>0.4</v>
      </c>
      <c r="S388" s="51" t="str">
        <f>IF(tblWorkPackages[[#This Row],[Request date serial]]&lt;ValidationStart,"Train 2024",IF(tblWorkPackages[[#This Row],[Request date serial]]&lt;HoldoutStart,"Validation H1","Holdout H2"))</f>
        <v>Holdout H2</v>
      </c>
      <c r="T388" s="51">
        <f>IF(tblWorkPackages[[#This Row],[Time split]]="Train 2024","",tblWorkPackages[[#This Row],[Estimated labor hours]]+VLOOKUP(tblWorkPackages[[#This Row],[Task type]],'Forecast validation'!$A$14:$E$25,IF(tblWorkPackages[[#This Row],[Time split]]="Validation H1",4,5),FALSE()))</f>
        <v>2.22893081761006</v>
      </c>
      <c r="U388" s="51">
        <f>IF(tblWorkPackages[[#This Row],[Calibrated forecast hours]]="","",ABS(tblWorkPackages[[#This Row],[Actual labor hours]]-tblWorkPackages[[#This Row],[Calibrated forecast hours]]))</f>
        <v>0.071069182389937</v>
      </c>
      <c r="V388" s="51">
        <f>IF(tblWorkPackages[[#This Row],[Time split]]="Train 2024",tblWorkPackages[[#This Row],[Estimated labor hours]],tblWorkPackages[[#This Row],[Calibrated forecast hours]])</f>
        <v>2.22893081761006</v>
      </c>
      <c r="W388" s="64">
        <f>DATEVALUE(tblWorkPackages[[#This Row],[Request date]])</f>
        <v>45890.0</v>
      </c>
      <c r="X388" s="64">
        <f>DATEVALUE(tblWorkPackages[[#This Row],[Due date]])</f>
        <v>45896.0</v>
      </c>
      <c r="Y388" s="64">
        <f>DATEVALUE(tblWorkPackages[[#This Row],[Completion date]])</f>
        <v>45896.0</v>
      </c>
      <c r="Z388" s="64">
        <f>_xlfn.MINIFS(tblLaborEntries[Work date serial],tblLaborEntries[Work package ID],tblWorkPackages[[#This Row],[Work package ID]])</f>
        <v>45892.0</v>
      </c>
      <c r="AA388" s="64">
        <f>_xlfn.MAXIFS(tblLaborEntries[Work date serial],tblLaborEntries[Work package ID],tblWorkPackages[[#This Row],[Work package ID]])</f>
        <v>45894.0</v>
      </c>
      <c r="AB388" s="65">
        <f>IF(tblWorkPackages[[#This Row],[Completion date serial]]&gt;tblWorkPackages[[#This Row],[Due date serial]],1,0)</f>
        <v>0</v>
      </c>
      <c r="AC388" s="65">
        <f>MAX(0,tblWorkPackages[[#This Row],[Completion date serial]]-tblWorkPackages[[#This Row],[Due date serial]])</f>
        <v>0</v>
      </c>
      <c r="AD388" s="65">
        <f>tblWorkPackages[[#This Row],[First labor date]]-tblWorkPackages[[#This Row],[Request date serial]]</f>
        <v>2</v>
      </c>
      <c r="AE388" s="65">
        <f>tblWorkPackages[[#This Row],[Last labor date]]-tblWorkPackages[[#This Row],[First labor date]]</f>
        <v>2</v>
      </c>
      <c r="AF388" s="65">
        <f>tblWorkPackages[[#This Row],[Completion date serial]]-tblWorkPackages[[#This Row],[Last labor date]]</f>
        <v>2</v>
      </c>
      <c r="AG388" s="65">
        <f>tblWorkPackages[[#This Row],[Completion date serial]]-tblWorkPackages[[#This Row],[Request date serial]]</f>
        <v>6</v>
      </c>
      <c r="AH388" s="65">
        <f>IFERROR(INDEX(tblParts[Delay days],MATCH(tblWorkPackages[[#This Row],[Work package ID]],tblParts[Work package ID],0)),0)</f>
        <v>0</v>
      </c>
      <c r="AI388" s="51" t="str">
        <f>IFERROR(INDEX(tblDisruptions[Event type],MATCH(tblWorkPackages[[#This Row],[Work package ID]],tblDisruptions[Work package ID],0)),"None")</f>
        <v>None</v>
      </c>
      <c r="AJ388" s="51" t="str">
        <f>TEXT(tblWorkPackages[[#This Row],[Due date serial]],"yyyy-mm")</f>
        <v>2025-08</v>
      </c>
    </row>
    <row r="389" spans="1:36" ht="15" x14ac:dyDescent="0.25">
      <c r="A389" s="53" t="s">
        <v>1132</v>
      </c>
      <c r="B389" s="53" t="s">
        <v>141</v>
      </c>
      <c r="C389" s="53" t="s">
        <v>1133</v>
      </c>
      <c r="D389" s="53" t="s">
        <v>832</v>
      </c>
      <c r="E389" s="53" t="s">
        <v>144</v>
      </c>
      <c r="F389" s="53" t="s">
        <v>145</v>
      </c>
      <c r="G389" s="53" t="s">
        <v>146</v>
      </c>
      <c r="H389" s="53">
        <v>4</v>
      </c>
      <c r="I389" s="53" t="s">
        <v>176</v>
      </c>
      <c r="J389" s="53">
        <v>0</v>
      </c>
      <c r="K389" s="53">
        <v>1</v>
      </c>
      <c r="L389" s="53">
        <v>16.8</v>
      </c>
      <c r="M389" s="53" t="s">
        <v>833</v>
      </c>
      <c r="N389" s="53">
        <v>20.6</v>
      </c>
      <c r="O389" s="51" t="str">
        <f>TEXT(tblWorkPackages[[#This Row],[Request date serial]]-WEEKDAY(tblWorkPackages[[#This Row],[Request date serial]],3),"yyyy-mm-dd")</f>
        <v>2025-10-27</v>
      </c>
      <c r="P389" s="51">
        <f>ABS(tblWorkPackages[[#This Row],[Actual labor hours]]-tblWorkPackages[[#This Row],[Estimated labor hours]])</f>
        <v>3.8</v>
      </c>
      <c r="Q389" s="51">
        <f>IF(tblWorkPackages[[#This Row],[Actual labor hours]]&gt;tblWorkPackages[[#This Row],[Estimated labor hours]],1,0)</f>
        <v>1</v>
      </c>
      <c r="R389" s="51">
        <f>tblWorkPackages[[#This Row],[Actual labor hours]]-tblWorkPackages[[#This Row],[Estimated labor hours]]</f>
        <v>3.8</v>
      </c>
      <c r="S389" s="51" t="str">
        <f>IF(tblWorkPackages[[#This Row],[Request date serial]]&lt;ValidationStart,"Train 2024",IF(tblWorkPackages[[#This Row],[Request date serial]]&lt;HoldoutStart,"Validation H1","Holdout H2"))</f>
        <v>Holdout H2</v>
      </c>
      <c r="T389" s="51">
        <f>IF(tblWorkPackages[[#This Row],[Time split]]="Train 2024","",tblWorkPackages[[#This Row],[Estimated labor hours]]+VLOOKUP(tblWorkPackages[[#This Row],[Task type]],'Forecast validation'!$A$14:$E$25,IF(tblWorkPackages[[#This Row],[Time split]]="Validation H1",4,5),FALSE()))</f>
        <v>17.7735483870968</v>
      </c>
      <c r="U389" s="51">
        <f>IF(tblWorkPackages[[#This Row],[Calibrated forecast hours]]="","",ABS(tblWorkPackages[[#This Row],[Actual labor hours]]-tblWorkPackages[[#This Row],[Calibrated forecast hours]]))</f>
        <v>2.82645161290323</v>
      </c>
      <c r="V389" s="51">
        <f>IF(tblWorkPackages[[#This Row],[Time split]]="Train 2024",tblWorkPackages[[#This Row],[Estimated labor hours]],tblWorkPackages[[#This Row],[Calibrated forecast hours]])</f>
        <v>17.7735483870968</v>
      </c>
      <c r="W389" s="64">
        <f>DATEVALUE(tblWorkPackages[[#This Row],[Request date]])</f>
        <v>45957.0</v>
      </c>
      <c r="X389" s="64">
        <f>DATEVALUE(tblWorkPackages[[#This Row],[Due date]])</f>
        <v>45963.0</v>
      </c>
      <c r="Y389" s="64">
        <f>DATEVALUE(tblWorkPackages[[#This Row],[Completion date]])</f>
        <v>45976.0</v>
      </c>
      <c r="Z389" s="64">
        <f>_xlfn.MINIFS(tblLaborEntries[Work date serial],tblLaborEntries[Work package ID],tblWorkPackages[[#This Row],[Work package ID]])</f>
        <v>45972.0</v>
      </c>
      <c r="AA389" s="64">
        <f>_xlfn.MAXIFS(tblLaborEntries[Work date serial],tblLaborEntries[Work package ID],tblWorkPackages[[#This Row],[Work package ID]])</f>
        <v>45973.0</v>
      </c>
      <c r="AB389" s="65">
        <f>IF(tblWorkPackages[[#This Row],[Completion date serial]]&gt;tblWorkPackages[[#This Row],[Due date serial]],1,0)</f>
        <v>1</v>
      </c>
      <c r="AC389" s="65">
        <f>MAX(0,tblWorkPackages[[#This Row],[Completion date serial]]-tblWorkPackages[[#This Row],[Due date serial]])</f>
        <v>13</v>
      </c>
      <c r="AD389" s="65">
        <f>tblWorkPackages[[#This Row],[First labor date]]-tblWorkPackages[[#This Row],[Request date serial]]</f>
        <v>15</v>
      </c>
      <c r="AE389" s="65">
        <f>tblWorkPackages[[#This Row],[Last labor date]]-tblWorkPackages[[#This Row],[First labor date]]</f>
        <v>1</v>
      </c>
      <c r="AF389" s="65">
        <f>tblWorkPackages[[#This Row],[Completion date serial]]-tblWorkPackages[[#This Row],[Last labor date]]</f>
        <v>3</v>
      </c>
      <c r="AG389" s="65">
        <f>tblWorkPackages[[#This Row],[Completion date serial]]-tblWorkPackages[[#This Row],[Request date serial]]</f>
        <v>19</v>
      </c>
      <c r="AH389" s="65">
        <f>IFERROR(INDEX(tblParts[Delay days],MATCH(tblWorkPackages[[#This Row],[Work package ID]],tblParts[Work package ID],0)),0)</f>
        <v>0</v>
      </c>
      <c r="AI389" s="51" t="str">
        <f>IFERROR(INDEX(tblDisruptions[Event type],MATCH(tblWorkPackages[[#This Row],[Work package ID]],tblDisruptions[Work package ID],0)),"None")</f>
        <v>None</v>
      </c>
      <c r="AJ389" s="51" t="str">
        <f>TEXT(tblWorkPackages[[#This Row],[Due date serial]],"yyyy-mm")</f>
        <v>2025-11</v>
      </c>
    </row>
    <row r="390" spans="1:36" ht="15" x14ac:dyDescent="0.25">
      <c r="A390" s="53" t="s">
        <v>1134</v>
      </c>
      <c r="B390" s="53" t="s">
        <v>250</v>
      </c>
      <c r="C390" s="53" t="s">
        <v>894</v>
      </c>
      <c r="D390" s="53" t="s">
        <v>1135</v>
      </c>
      <c r="E390" s="53" t="s">
        <v>242</v>
      </c>
      <c r="F390" s="53" t="s">
        <v>243</v>
      </c>
      <c r="G390" s="53" t="s">
        <v>129</v>
      </c>
      <c r="H390" s="53">
        <v>3</v>
      </c>
      <c r="I390" s="53" t="s">
        <v>130</v>
      </c>
      <c r="J390" s="53">
        <v>0</v>
      </c>
      <c r="K390" s="53">
        <v>1</v>
      </c>
      <c r="L390" s="53">
        <v>10.4</v>
      </c>
      <c r="M390" s="53" t="s">
        <v>1136</v>
      </c>
      <c r="N390" s="53">
        <v>11.9</v>
      </c>
      <c r="O390" s="51" t="str">
        <f>TEXT(tblWorkPackages[[#This Row],[Request date serial]]-WEEKDAY(tblWorkPackages[[#This Row],[Request date serial]],3),"yyyy-mm-dd")</f>
        <v>2024-09-09</v>
      </c>
      <c r="P390" s="51">
        <f>ABS(tblWorkPackages[[#This Row],[Actual labor hours]]-tblWorkPackages[[#This Row],[Estimated labor hours]])</f>
        <v>1.5</v>
      </c>
      <c r="Q390" s="51">
        <f>IF(tblWorkPackages[[#This Row],[Actual labor hours]]&gt;tblWorkPackages[[#This Row],[Estimated labor hours]],1,0)</f>
        <v>1</v>
      </c>
      <c r="R390" s="51">
        <f>tblWorkPackages[[#This Row],[Actual labor hours]]-tblWorkPackages[[#This Row],[Estimated labor hours]]</f>
        <v>1.5</v>
      </c>
      <c r="S390" s="51" t="str">
        <f>IF(tblWorkPackages[[#This Row],[Request date serial]]&lt;ValidationStart,"Train 2024",IF(tblWorkPackages[[#This Row],[Request date serial]]&lt;HoldoutStart,"Validation H1","Holdout H2"))</f>
        <v>Train 2024</v>
      </c>
      <c r="T390" s="51" t="str">
        <f>IF(tblWorkPackages[[#This Row],[Time split]]="Train 2024","",tblWorkPackages[[#This Row],[Estimated labor hours]]+VLOOKUP(tblWorkPackages[[#This Row],[Task type]],'Forecast validation'!$A$14:$E$25,IF(tblWorkPackages[[#This Row],[Time split]]="Validation H1",4,5),FALSE()))</f>
        <v/>
      </c>
      <c r="U390" s="51" t="str">
        <f>IF(tblWorkPackages[[#This Row],[Calibrated forecast hours]]="","",ABS(tblWorkPackages[[#This Row],[Actual labor hours]]-tblWorkPackages[[#This Row],[Calibrated forecast hours]]))</f>
        <v/>
      </c>
      <c r="V390" s="51">
        <f>IF(tblWorkPackages[[#This Row],[Time split]]="Train 2024",tblWorkPackages[[#This Row],[Estimated labor hours]],tblWorkPackages[[#This Row],[Calibrated forecast hours]])</f>
        <v>10.4</v>
      </c>
      <c r="W390" s="64">
        <f>DATEVALUE(tblWorkPackages[[#This Row],[Request date]])</f>
        <v>45547.0</v>
      </c>
      <c r="X390" s="64">
        <f>DATEVALUE(tblWorkPackages[[#This Row],[Due date]])</f>
        <v>45560.0</v>
      </c>
      <c r="Y390" s="64">
        <f>DATEVALUE(tblWorkPackages[[#This Row],[Completion date]])</f>
        <v>45552.0</v>
      </c>
      <c r="Z390" s="64">
        <f>_xlfn.MINIFS(tblLaborEntries[Work date serial],tblLaborEntries[Work package ID],tblWorkPackages[[#This Row],[Work package ID]])</f>
        <v>45551.0</v>
      </c>
      <c r="AA390" s="64">
        <f>_xlfn.MAXIFS(tblLaborEntries[Work date serial],tblLaborEntries[Work package ID],tblWorkPackages[[#This Row],[Work package ID]])</f>
        <v>45552.0</v>
      </c>
      <c r="AB390" s="65">
        <f>IF(tblWorkPackages[[#This Row],[Completion date serial]]&gt;tblWorkPackages[[#This Row],[Due date serial]],1,0)</f>
        <v>0</v>
      </c>
      <c r="AC390" s="65">
        <f>MAX(0,tblWorkPackages[[#This Row],[Completion date serial]]-tblWorkPackages[[#This Row],[Due date serial]])</f>
        <v>0</v>
      </c>
      <c r="AD390" s="65">
        <f>tblWorkPackages[[#This Row],[First labor date]]-tblWorkPackages[[#This Row],[Request date serial]]</f>
        <v>4</v>
      </c>
      <c r="AE390" s="65">
        <f>tblWorkPackages[[#This Row],[Last labor date]]-tblWorkPackages[[#This Row],[First labor date]]</f>
        <v>1</v>
      </c>
      <c r="AF390" s="65">
        <f>tblWorkPackages[[#This Row],[Completion date serial]]-tblWorkPackages[[#This Row],[Last labor date]]</f>
        <v>0</v>
      </c>
      <c r="AG390" s="65">
        <f>tblWorkPackages[[#This Row],[Completion date serial]]-tblWorkPackages[[#This Row],[Request date serial]]</f>
        <v>5</v>
      </c>
      <c r="AH390" s="65">
        <f>IFERROR(INDEX(tblParts[Delay days],MATCH(tblWorkPackages[[#This Row],[Work package ID]],tblParts[Work package ID],0)),0)</f>
        <v>0</v>
      </c>
      <c r="AI390" s="51" t="str">
        <f>IFERROR(INDEX(tblDisruptions[Event type],MATCH(tblWorkPackages[[#This Row],[Work package ID]],tblDisruptions[Work package ID],0)),"None")</f>
        <v>None</v>
      </c>
      <c r="AJ390" s="51" t="str">
        <f>TEXT(tblWorkPackages[[#This Row],[Due date serial]],"yyyy-mm")</f>
        <v>2024-09</v>
      </c>
    </row>
    <row r="391" spans="1:36" ht="15" x14ac:dyDescent="0.25">
      <c r="A391" s="53" t="s">
        <v>1137</v>
      </c>
      <c r="B391" s="53" t="s">
        <v>168</v>
      </c>
      <c r="C391" s="53" t="s">
        <v>1089</v>
      </c>
      <c r="D391" s="53" t="s">
        <v>1042</v>
      </c>
      <c r="E391" s="53" t="s">
        <v>200</v>
      </c>
      <c r="F391" s="53" t="s">
        <v>128</v>
      </c>
      <c r="G391" s="53" t="s">
        <v>129</v>
      </c>
      <c r="H391" s="53">
        <v>1</v>
      </c>
      <c r="I391" s="53" t="s">
        <v>130</v>
      </c>
      <c r="J391" s="53">
        <v>0</v>
      </c>
      <c r="K391" s="53">
        <v>0</v>
      </c>
      <c r="L391" s="53">
        <v>1.9</v>
      </c>
      <c r="M391" s="53" t="s">
        <v>1138</v>
      </c>
      <c r="N391" s="53">
        <v>1.9</v>
      </c>
      <c r="O391" s="51" t="str">
        <f>TEXT(tblWorkPackages[[#This Row],[Request date serial]]-WEEKDAY(tblWorkPackages[[#This Row],[Request date serial]],3),"yyyy-mm-dd")</f>
        <v>2024-07-29</v>
      </c>
      <c r="P391" s="51">
        <f>ABS(tblWorkPackages[[#This Row],[Actual labor hours]]-tblWorkPackages[[#This Row],[Estimated labor hours]])</f>
        <v>0</v>
      </c>
      <c r="Q391" s="51">
        <f>IF(tblWorkPackages[[#This Row],[Actual labor hours]]&gt;tblWorkPackages[[#This Row],[Estimated labor hours]],1,0)</f>
        <v>0</v>
      </c>
      <c r="R391" s="51">
        <f>tblWorkPackages[[#This Row],[Actual labor hours]]-tblWorkPackages[[#This Row],[Estimated labor hours]]</f>
        <v>0</v>
      </c>
      <c r="S391" s="51" t="str">
        <f>IF(tblWorkPackages[[#This Row],[Request date serial]]&lt;ValidationStart,"Train 2024",IF(tblWorkPackages[[#This Row],[Request date serial]]&lt;HoldoutStart,"Validation H1","Holdout H2"))</f>
        <v>Train 2024</v>
      </c>
      <c r="T391" s="51" t="str">
        <f>IF(tblWorkPackages[[#This Row],[Time split]]="Train 2024","",tblWorkPackages[[#This Row],[Estimated labor hours]]+VLOOKUP(tblWorkPackages[[#This Row],[Task type]],'Forecast validation'!$A$14:$E$25,IF(tblWorkPackages[[#This Row],[Time split]]="Validation H1",4,5),FALSE()))</f>
        <v/>
      </c>
      <c r="U391" s="51" t="str">
        <f>IF(tblWorkPackages[[#This Row],[Calibrated forecast hours]]="","",ABS(tblWorkPackages[[#This Row],[Actual labor hours]]-tblWorkPackages[[#This Row],[Calibrated forecast hours]]))</f>
        <v/>
      </c>
      <c r="V391" s="51">
        <f>IF(tblWorkPackages[[#This Row],[Time split]]="Train 2024",tblWorkPackages[[#This Row],[Estimated labor hours]],tblWorkPackages[[#This Row],[Calibrated forecast hours]])</f>
        <v>1.9</v>
      </c>
      <c r="W391" s="64">
        <f>DATEVALUE(tblWorkPackages[[#This Row],[Request date]])</f>
        <v>45505.0</v>
      </c>
      <c r="X391" s="64">
        <f>DATEVALUE(tblWorkPackages[[#This Row],[Due date]])</f>
        <v>45518.0</v>
      </c>
      <c r="Y391" s="64">
        <f>DATEVALUE(tblWorkPackages[[#This Row],[Completion date]])</f>
        <v>45509.0</v>
      </c>
      <c r="Z391" s="64">
        <f>_xlfn.MINIFS(tblLaborEntries[Work date serial],tblLaborEntries[Work package ID],tblWorkPackages[[#This Row],[Work package ID]])</f>
        <v>45506.0</v>
      </c>
      <c r="AA391" s="64">
        <f>_xlfn.MAXIFS(tblLaborEntries[Work date serial],tblLaborEntries[Work package ID],tblWorkPackages[[#This Row],[Work package ID]])</f>
        <v>45508.0</v>
      </c>
      <c r="AB391" s="65">
        <f>IF(tblWorkPackages[[#This Row],[Completion date serial]]&gt;tblWorkPackages[[#This Row],[Due date serial]],1,0)</f>
        <v>0</v>
      </c>
      <c r="AC391" s="65">
        <f>MAX(0,tblWorkPackages[[#This Row],[Completion date serial]]-tblWorkPackages[[#This Row],[Due date serial]])</f>
        <v>0</v>
      </c>
      <c r="AD391" s="65">
        <f>tblWorkPackages[[#This Row],[First labor date]]-tblWorkPackages[[#This Row],[Request date serial]]</f>
        <v>1</v>
      </c>
      <c r="AE391" s="65">
        <f>tblWorkPackages[[#This Row],[Last labor date]]-tblWorkPackages[[#This Row],[First labor date]]</f>
        <v>2</v>
      </c>
      <c r="AF391" s="65">
        <f>tblWorkPackages[[#This Row],[Completion date serial]]-tblWorkPackages[[#This Row],[Last labor date]]</f>
        <v>1</v>
      </c>
      <c r="AG391" s="65">
        <f>tblWorkPackages[[#This Row],[Completion date serial]]-tblWorkPackages[[#This Row],[Request date serial]]</f>
        <v>4</v>
      </c>
      <c r="AH391" s="65">
        <f>IFERROR(INDEX(tblParts[Delay days],MATCH(tblWorkPackages[[#This Row],[Work package ID]],tblParts[Work package ID],0)),0)</f>
        <v>0</v>
      </c>
      <c r="AI391" s="51" t="str">
        <f>IFERROR(INDEX(tblDisruptions[Event type],MATCH(tblWorkPackages[[#This Row],[Work package ID]],tblDisruptions[Work package ID],0)),"None")</f>
        <v>None</v>
      </c>
      <c r="AJ391" s="51" t="str">
        <f>TEXT(tblWorkPackages[[#This Row],[Due date serial]],"yyyy-mm")</f>
        <v>2024-08</v>
      </c>
    </row>
    <row r="392" spans="1:36" ht="15" x14ac:dyDescent="0.25">
      <c r="A392" s="53" t="s">
        <v>1139</v>
      </c>
      <c r="B392" s="53" t="s">
        <v>157</v>
      </c>
      <c r="C392" s="53" t="s">
        <v>350</v>
      </c>
      <c r="D392" s="53" t="s">
        <v>215</v>
      </c>
      <c r="E392" s="53" t="s">
        <v>127</v>
      </c>
      <c r="F392" s="53" t="s">
        <v>128</v>
      </c>
      <c r="G392" s="53" t="s">
        <v>129</v>
      </c>
      <c r="H392" s="53">
        <v>3</v>
      </c>
      <c r="I392" s="53" t="s">
        <v>130</v>
      </c>
      <c r="J392" s="53">
        <v>0</v>
      </c>
      <c r="K392" s="53">
        <v>0</v>
      </c>
      <c r="L392" s="53">
        <v>9.5</v>
      </c>
      <c r="M392" s="53" t="s">
        <v>805</v>
      </c>
      <c r="N392" s="53">
        <v>7.7</v>
      </c>
      <c r="O392" s="51" t="str">
        <f>TEXT(tblWorkPackages[[#This Row],[Request date serial]]-WEEKDAY(tblWorkPackages[[#This Row],[Request date serial]],3),"yyyy-mm-dd")</f>
        <v>2024-01-29</v>
      </c>
      <c r="P392" s="51">
        <f>ABS(tblWorkPackages[[#This Row],[Actual labor hours]]-tblWorkPackages[[#This Row],[Estimated labor hours]])</f>
        <v>1.8</v>
      </c>
      <c r="Q392" s="51">
        <f>IF(tblWorkPackages[[#This Row],[Actual labor hours]]&gt;tblWorkPackages[[#This Row],[Estimated labor hours]],1,0)</f>
        <v>0</v>
      </c>
      <c r="R392" s="51">
        <f>tblWorkPackages[[#This Row],[Actual labor hours]]-tblWorkPackages[[#This Row],[Estimated labor hours]]</f>
        <v>-1.8</v>
      </c>
      <c r="S392" s="51" t="str">
        <f>IF(tblWorkPackages[[#This Row],[Request date serial]]&lt;ValidationStart,"Train 2024",IF(tblWorkPackages[[#This Row],[Request date serial]]&lt;HoldoutStart,"Validation H1","Holdout H2"))</f>
        <v>Train 2024</v>
      </c>
      <c r="T392" s="51" t="str">
        <f>IF(tblWorkPackages[[#This Row],[Time split]]="Train 2024","",tblWorkPackages[[#This Row],[Estimated labor hours]]+VLOOKUP(tblWorkPackages[[#This Row],[Task type]],'Forecast validation'!$A$14:$E$25,IF(tblWorkPackages[[#This Row],[Time split]]="Validation H1",4,5),FALSE()))</f>
        <v/>
      </c>
      <c r="U392" s="51" t="str">
        <f>IF(tblWorkPackages[[#This Row],[Calibrated forecast hours]]="","",ABS(tblWorkPackages[[#This Row],[Actual labor hours]]-tblWorkPackages[[#This Row],[Calibrated forecast hours]]))</f>
        <v/>
      </c>
      <c r="V392" s="51">
        <f>IF(tblWorkPackages[[#This Row],[Time split]]="Train 2024",tblWorkPackages[[#This Row],[Estimated labor hours]],tblWorkPackages[[#This Row],[Calibrated forecast hours]])</f>
        <v>9.5</v>
      </c>
      <c r="W392" s="64">
        <f>DATEVALUE(tblWorkPackages[[#This Row],[Request date]])</f>
        <v>45323.0</v>
      </c>
      <c r="X392" s="64">
        <f>DATEVALUE(tblWorkPackages[[#This Row],[Due date]])</f>
        <v>45336.0</v>
      </c>
      <c r="Y392" s="64">
        <f>DATEVALUE(tblWorkPackages[[#This Row],[Completion date]])</f>
        <v>45335.0</v>
      </c>
      <c r="Z392" s="64">
        <f>_xlfn.MINIFS(tblLaborEntries[Work date serial],tblLaborEntries[Work package ID],tblWorkPackages[[#This Row],[Work package ID]])</f>
        <v>45333.0</v>
      </c>
      <c r="AA392" s="64">
        <f>_xlfn.MAXIFS(tblLaborEntries[Work date serial],tblLaborEntries[Work package ID],tblWorkPackages[[#This Row],[Work package ID]])</f>
        <v>45333.0</v>
      </c>
      <c r="AB392" s="65">
        <f>IF(tblWorkPackages[[#This Row],[Completion date serial]]&gt;tblWorkPackages[[#This Row],[Due date serial]],1,0)</f>
        <v>0</v>
      </c>
      <c r="AC392" s="65">
        <f>MAX(0,tblWorkPackages[[#This Row],[Completion date serial]]-tblWorkPackages[[#This Row],[Due date serial]])</f>
        <v>0</v>
      </c>
      <c r="AD392" s="65">
        <f>tblWorkPackages[[#This Row],[First labor date]]-tblWorkPackages[[#This Row],[Request date serial]]</f>
        <v>10</v>
      </c>
      <c r="AE392" s="65">
        <f>tblWorkPackages[[#This Row],[Last labor date]]-tblWorkPackages[[#This Row],[First labor date]]</f>
        <v>0</v>
      </c>
      <c r="AF392" s="65">
        <f>tblWorkPackages[[#This Row],[Completion date serial]]-tblWorkPackages[[#This Row],[Last labor date]]</f>
        <v>2</v>
      </c>
      <c r="AG392" s="65">
        <f>tblWorkPackages[[#This Row],[Completion date serial]]-tblWorkPackages[[#This Row],[Request date serial]]</f>
        <v>12</v>
      </c>
      <c r="AH392" s="65">
        <f>IFERROR(INDEX(tblParts[Delay days],MATCH(tblWorkPackages[[#This Row],[Work package ID]],tblParts[Work package ID],0)),0)</f>
        <v>0</v>
      </c>
      <c r="AI392" s="51" t="str">
        <f>IFERROR(INDEX(tblDisruptions[Event type],MATCH(tblWorkPackages[[#This Row],[Work package ID]],tblDisruptions[Work package ID],0)),"None")</f>
        <v>None</v>
      </c>
      <c r="AJ392" s="51" t="str">
        <f>TEXT(tblWorkPackages[[#This Row],[Due date serial]],"yyyy-mm")</f>
        <v>2024-02</v>
      </c>
    </row>
    <row r="393" spans="1:36" ht="15" x14ac:dyDescent="0.25">
      <c r="A393" s="53" t="s">
        <v>1140</v>
      </c>
      <c r="B393" s="53" t="s">
        <v>157</v>
      </c>
      <c r="C393" s="53" t="s">
        <v>675</v>
      </c>
      <c r="D393" s="53" t="s">
        <v>1141</v>
      </c>
      <c r="E393" s="53" t="s">
        <v>153</v>
      </c>
      <c r="F393" s="53" t="s">
        <v>128</v>
      </c>
      <c r="G393" s="53" t="s">
        <v>154</v>
      </c>
      <c r="H393" s="53">
        <v>3</v>
      </c>
      <c r="I393" s="53" t="s">
        <v>130</v>
      </c>
      <c r="J393" s="53">
        <v>0</v>
      </c>
      <c r="K393" s="53">
        <v>1</v>
      </c>
      <c r="L393" s="53">
        <v>13.4</v>
      </c>
      <c r="M393" s="53" t="s">
        <v>337</v>
      </c>
      <c r="N393" s="53">
        <v>12.3</v>
      </c>
      <c r="O393" s="51" t="str">
        <f>TEXT(tblWorkPackages[[#This Row],[Request date serial]]-WEEKDAY(tblWorkPackages[[#This Row],[Request date serial]],3),"yyyy-mm-dd")</f>
        <v>2024-04-15</v>
      </c>
      <c r="P393" s="51">
        <f>ABS(tblWorkPackages[[#This Row],[Actual labor hours]]-tblWorkPackages[[#This Row],[Estimated labor hours]])</f>
        <v>1.1</v>
      </c>
      <c r="Q393" s="51">
        <f>IF(tblWorkPackages[[#This Row],[Actual labor hours]]&gt;tblWorkPackages[[#This Row],[Estimated labor hours]],1,0)</f>
        <v>0</v>
      </c>
      <c r="R393" s="51">
        <f>tblWorkPackages[[#This Row],[Actual labor hours]]-tblWorkPackages[[#This Row],[Estimated labor hours]]</f>
        <v>-1.1</v>
      </c>
      <c r="S393" s="51" t="str">
        <f>IF(tblWorkPackages[[#This Row],[Request date serial]]&lt;ValidationStart,"Train 2024",IF(tblWorkPackages[[#This Row],[Request date serial]]&lt;HoldoutStart,"Validation H1","Holdout H2"))</f>
        <v>Train 2024</v>
      </c>
      <c r="T393" s="51" t="str">
        <f>IF(tblWorkPackages[[#This Row],[Time split]]="Train 2024","",tblWorkPackages[[#This Row],[Estimated labor hours]]+VLOOKUP(tblWorkPackages[[#This Row],[Task type]],'Forecast validation'!$A$14:$E$25,IF(tblWorkPackages[[#This Row],[Time split]]="Validation H1",4,5),FALSE()))</f>
        <v/>
      </c>
      <c r="U393" s="51" t="str">
        <f>IF(tblWorkPackages[[#This Row],[Calibrated forecast hours]]="","",ABS(tblWorkPackages[[#This Row],[Actual labor hours]]-tblWorkPackages[[#This Row],[Calibrated forecast hours]]))</f>
        <v/>
      </c>
      <c r="V393" s="51">
        <f>IF(tblWorkPackages[[#This Row],[Time split]]="Train 2024",tblWorkPackages[[#This Row],[Estimated labor hours]],tblWorkPackages[[#This Row],[Calibrated forecast hours]])</f>
        <v>13.4</v>
      </c>
      <c r="W393" s="64">
        <f>DATEVALUE(tblWorkPackages[[#This Row],[Request date]])</f>
        <v>45399.0</v>
      </c>
      <c r="X393" s="64">
        <f>DATEVALUE(tblWorkPackages[[#This Row],[Due date]])</f>
        <v>45412.0</v>
      </c>
      <c r="Y393" s="64">
        <f>DATEVALUE(tblWorkPackages[[#This Row],[Completion date]])</f>
        <v>45411.0</v>
      </c>
      <c r="Z393" s="64">
        <f>_xlfn.MINIFS(tblLaborEntries[Work date serial],tblLaborEntries[Work package ID],tblWorkPackages[[#This Row],[Work package ID]])</f>
        <v>45406.0</v>
      </c>
      <c r="AA393" s="64">
        <f>_xlfn.MAXIFS(tblLaborEntries[Work date serial],tblLaborEntries[Work package ID],tblWorkPackages[[#This Row],[Work package ID]])</f>
        <v>45408.0</v>
      </c>
      <c r="AB393" s="65">
        <f>IF(tblWorkPackages[[#This Row],[Completion date serial]]&gt;tblWorkPackages[[#This Row],[Due date serial]],1,0)</f>
        <v>0</v>
      </c>
      <c r="AC393" s="65">
        <f>MAX(0,tblWorkPackages[[#This Row],[Completion date serial]]-tblWorkPackages[[#This Row],[Due date serial]])</f>
        <v>0</v>
      </c>
      <c r="AD393" s="65">
        <f>tblWorkPackages[[#This Row],[First labor date]]-tblWorkPackages[[#This Row],[Request date serial]]</f>
        <v>7</v>
      </c>
      <c r="AE393" s="65">
        <f>tblWorkPackages[[#This Row],[Last labor date]]-tblWorkPackages[[#This Row],[First labor date]]</f>
        <v>2</v>
      </c>
      <c r="AF393" s="65">
        <f>tblWorkPackages[[#This Row],[Completion date serial]]-tblWorkPackages[[#This Row],[Last labor date]]</f>
        <v>3</v>
      </c>
      <c r="AG393" s="65">
        <f>tblWorkPackages[[#This Row],[Completion date serial]]-tblWorkPackages[[#This Row],[Request date serial]]</f>
        <v>12</v>
      </c>
      <c r="AH393" s="65">
        <f>IFERROR(INDEX(tblParts[Delay days],MATCH(tblWorkPackages[[#This Row],[Work package ID]],tblParts[Work package ID],0)),0)</f>
        <v>4</v>
      </c>
      <c r="AI393" s="51" t="str">
        <f>IFERROR(INDEX(tblDisruptions[Event type],MATCH(tblWorkPackages[[#This Row],[Work package ID]],tblDisruptions[Work package ID],0)),"None")</f>
        <v>Part delay</v>
      </c>
      <c r="AJ393" s="51" t="str">
        <f>TEXT(tblWorkPackages[[#This Row],[Due date serial]],"yyyy-mm")</f>
        <v>2024-04</v>
      </c>
    </row>
    <row r="394" spans="1:36" ht="15" x14ac:dyDescent="0.25">
      <c r="A394" s="53" t="s">
        <v>1142</v>
      </c>
      <c r="B394" s="53" t="s">
        <v>133</v>
      </c>
      <c r="C394" s="53" t="s">
        <v>761</v>
      </c>
      <c r="D394" s="53" t="s">
        <v>929</v>
      </c>
      <c r="E394" s="53" t="s">
        <v>209</v>
      </c>
      <c r="F394" s="53" t="s">
        <v>145</v>
      </c>
      <c r="G394" s="53" t="s">
        <v>210</v>
      </c>
      <c r="H394" s="53">
        <v>4</v>
      </c>
      <c r="I394" s="53" t="s">
        <v>130</v>
      </c>
      <c r="J394" s="53">
        <v>0</v>
      </c>
      <c r="K394" s="53">
        <v>1</v>
      </c>
      <c r="L394" s="53">
        <v>39.1</v>
      </c>
      <c r="M394" s="53" t="s">
        <v>620</v>
      </c>
      <c r="N394" s="53">
        <v>38</v>
      </c>
      <c r="O394" s="51" t="str">
        <f>TEXT(tblWorkPackages[[#This Row],[Request date serial]]-WEEKDAY(tblWorkPackages[[#This Row],[Request date serial]],3),"yyyy-mm-dd")</f>
        <v>2024-06-17</v>
      </c>
      <c r="P394" s="51">
        <f>ABS(tblWorkPackages[[#This Row],[Actual labor hours]]-tblWorkPackages[[#This Row],[Estimated labor hours]])</f>
        <v>1.1</v>
      </c>
      <c r="Q394" s="51">
        <f>IF(tblWorkPackages[[#This Row],[Actual labor hours]]&gt;tblWorkPackages[[#This Row],[Estimated labor hours]],1,0)</f>
        <v>0</v>
      </c>
      <c r="R394" s="51">
        <f>tblWorkPackages[[#This Row],[Actual labor hours]]-tblWorkPackages[[#This Row],[Estimated labor hours]]</f>
        <v>-1.1</v>
      </c>
      <c r="S394" s="51" t="str">
        <f>IF(tblWorkPackages[[#This Row],[Request date serial]]&lt;ValidationStart,"Train 2024",IF(tblWorkPackages[[#This Row],[Request date serial]]&lt;HoldoutStart,"Validation H1","Holdout H2"))</f>
        <v>Train 2024</v>
      </c>
      <c r="T394" s="51" t="str">
        <f>IF(tblWorkPackages[[#This Row],[Time split]]="Train 2024","",tblWorkPackages[[#This Row],[Estimated labor hours]]+VLOOKUP(tblWorkPackages[[#This Row],[Task type]],'Forecast validation'!$A$14:$E$25,IF(tblWorkPackages[[#This Row],[Time split]]="Validation H1",4,5),FALSE()))</f>
        <v/>
      </c>
      <c r="U394" s="51" t="str">
        <f>IF(tblWorkPackages[[#This Row],[Calibrated forecast hours]]="","",ABS(tblWorkPackages[[#This Row],[Actual labor hours]]-tblWorkPackages[[#This Row],[Calibrated forecast hours]]))</f>
        <v/>
      </c>
      <c r="V394" s="51">
        <f>IF(tblWorkPackages[[#This Row],[Time split]]="Train 2024",tblWorkPackages[[#This Row],[Estimated labor hours]],tblWorkPackages[[#This Row],[Calibrated forecast hours]])</f>
        <v>39.1</v>
      </c>
      <c r="W394" s="64">
        <f>DATEVALUE(tblWorkPackages[[#This Row],[Request date]])</f>
        <v>45460.0</v>
      </c>
      <c r="X394" s="64">
        <f>DATEVALUE(tblWorkPackages[[#This Row],[Due date]])</f>
        <v>45473.0</v>
      </c>
      <c r="Y394" s="64">
        <f>DATEVALUE(tblWorkPackages[[#This Row],[Completion date]])</f>
        <v>45490.0</v>
      </c>
      <c r="Z394" s="64">
        <f>_xlfn.MINIFS(tblLaborEntries[Work date serial],tblLaborEntries[Work package ID],tblWorkPackages[[#This Row],[Work package ID]])</f>
        <v>45488.0</v>
      </c>
      <c r="AA394" s="64">
        <f>_xlfn.MAXIFS(tblLaborEntries[Work date serial],tblLaborEntries[Work package ID],tblWorkPackages[[#This Row],[Work package ID]])</f>
        <v>45490.0</v>
      </c>
      <c r="AB394" s="65">
        <f>IF(tblWorkPackages[[#This Row],[Completion date serial]]&gt;tblWorkPackages[[#This Row],[Due date serial]],1,0)</f>
        <v>1</v>
      </c>
      <c r="AC394" s="65">
        <f>MAX(0,tblWorkPackages[[#This Row],[Completion date serial]]-tblWorkPackages[[#This Row],[Due date serial]])</f>
        <v>17</v>
      </c>
      <c r="AD394" s="65">
        <f>tblWorkPackages[[#This Row],[First labor date]]-tblWorkPackages[[#This Row],[Request date serial]]</f>
        <v>28</v>
      </c>
      <c r="AE394" s="65">
        <f>tblWorkPackages[[#This Row],[Last labor date]]-tblWorkPackages[[#This Row],[First labor date]]</f>
        <v>2</v>
      </c>
      <c r="AF394" s="65">
        <f>tblWorkPackages[[#This Row],[Completion date serial]]-tblWorkPackages[[#This Row],[Last labor date]]</f>
        <v>0</v>
      </c>
      <c r="AG394" s="65">
        <f>tblWorkPackages[[#This Row],[Completion date serial]]-tblWorkPackages[[#This Row],[Request date serial]]</f>
        <v>30</v>
      </c>
      <c r="AH394" s="65">
        <f>IFERROR(INDEX(tblParts[Delay days],MATCH(tblWorkPackages[[#This Row],[Work package ID]],tblParts[Work package ID],0)),0)</f>
        <v>0</v>
      </c>
      <c r="AI394" s="51" t="str">
        <f>IFERROR(INDEX(tblDisruptions[Event type],MATCH(tblWorkPackages[[#This Row],[Work package ID]],tblDisruptions[Work package ID],0)),"None")</f>
        <v>None</v>
      </c>
      <c r="AJ394" s="51" t="str">
        <f>TEXT(tblWorkPackages[[#This Row],[Due date serial]],"yyyy-mm")</f>
        <v>2024-06</v>
      </c>
    </row>
    <row r="395" spans="1:36" ht="15" x14ac:dyDescent="0.25">
      <c r="A395" s="53" t="s">
        <v>1143</v>
      </c>
      <c r="B395" s="53" t="s">
        <v>173</v>
      </c>
      <c r="C395" s="53" t="s">
        <v>524</v>
      </c>
      <c r="D395" s="53" t="s">
        <v>621</v>
      </c>
      <c r="E395" s="53" t="s">
        <v>223</v>
      </c>
      <c r="F395" s="53" t="s">
        <v>182</v>
      </c>
      <c r="G395" s="53" t="s">
        <v>154</v>
      </c>
      <c r="H395" s="53">
        <v>2</v>
      </c>
      <c r="I395" s="53" t="s">
        <v>130</v>
      </c>
      <c r="J395" s="53">
        <v>0</v>
      </c>
      <c r="K395" s="53">
        <v>0</v>
      </c>
      <c r="L395" s="53">
        <v>11.8</v>
      </c>
      <c r="M395" s="53" t="s">
        <v>620</v>
      </c>
      <c r="N395" s="53">
        <v>9.6999999999999993</v>
      </c>
      <c r="O395" s="51" t="str">
        <f>TEXT(tblWorkPackages[[#This Row],[Request date serial]]-WEEKDAY(tblWorkPackages[[#This Row],[Request date serial]],3),"yyyy-mm-dd")</f>
        <v>2024-07-08</v>
      </c>
      <c r="P395" s="51">
        <f>ABS(tblWorkPackages[[#This Row],[Actual labor hours]]-tblWorkPackages[[#This Row],[Estimated labor hours]])</f>
        <v>2.1</v>
      </c>
      <c r="Q395" s="51">
        <f>IF(tblWorkPackages[[#This Row],[Actual labor hours]]&gt;tblWorkPackages[[#This Row],[Estimated labor hours]],1,0)</f>
        <v>0</v>
      </c>
      <c r="R395" s="51">
        <f>tblWorkPackages[[#This Row],[Actual labor hours]]-tblWorkPackages[[#This Row],[Estimated labor hours]]</f>
        <v>-2.1</v>
      </c>
      <c r="S395" s="51" t="str">
        <f>IF(tblWorkPackages[[#This Row],[Request date serial]]&lt;ValidationStart,"Train 2024",IF(tblWorkPackages[[#This Row],[Request date serial]]&lt;HoldoutStart,"Validation H1","Holdout H2"))</f>
        <v>Train 2024</v>
      </c>
      <c r="T395" s="51" t="str">
        <f>IF(tblWorkPackages[[#This Row],[Time split]]="Train 2024","",tblWorkPackages[[#This Row],[Estimated labor hours]]+VLOOKUP(tblWorkPackages[[#This Row],[Task type]],'Forecast validation'!$A$14:$E$25,IF(tblWorkPackages[[#This Row],[Time split]]="Validation H1",4,5),FALSE()))</f>
        <v/>
      </c>
      <c r="U395" s="51" t="str">
        <f>IF(tblWorkPackages[[#This Row],[Calibrated forecast hours]]="","",ABS(tblWorkPackages[[#This Row],[Actual labor hours]]-tblWorkPackages[[#This Row],[Calibrated forecast hours]]))</f>
        <v/>
      </c>
      <c r="V395" s="51">
        <f>IF(tblWorkPackages[[#This Row],[Time split]]="Train 2024",tblWorkPackages[[#This Row],[Estimated labor hours]],tblWorkPackages[[#This Row],[Calibrated forecast hours]])</f>
        <v>11.8</v>
      </c>
      <c r="W395" s="64">
        <f>DATEVALUE(tblWorkPackages[[#This Row],[Request date]])</f>
        <v>45483.0</v>
      </c>
      <c r="X395" s="64">
        <f>DATEVALUE(tblWorkPackages[[#This Row],[Due date]])</f>
        <v>45496.0</v>
      </c>
      <c r="Y395" s="64">
        <f>DATEVALUE(tblWorkPackages[[#This Row],[Completion date]])</f>
        <v>45490.0</v>
      </c>
      <c r="Z395" s="64">
        <f>_xlfn.MINIFS(tblLaborEntries[Work date serial],tblLaborEntries[Work package ID],tblWorkPackages[[#This Row],[Work package ID]])</f>
        <v>45488.0</v>
      </c>
      <c r="AA395" s="64">
        <f>_xlfn.MAXIFS(tblLaborEntries[Work date serial],tblLaborEntries[Work package ID],tblWorkPackages[[#This Row],[Work package ID]])</f>
        <v>45489.0</v>
      </c>
      <c r="AB395" s="65">
        <f>IF(tblWorkPackages[[#This Row],[Completion date serial]]&gt;tblWorkPackages[[#This Row],[Due date serial]],1,0)</f>
        <v>0</v>
      </c>
      <c r="AC395" s="65">
        <f>MAX(0,tblWorkPackages[[#This Row],[Completion date serial]]-tblWorkPackages[[#This Row],[Due date serial]])</f>
        <v>0</v>
      </c>
      <c r="AD395" s="65">
        <f>tblWorkPackages[[#This Row],[First labor date]]-tblWorkPackages[[#This Row],[Request date serial]]</f>
        <v>5</v>
      </c>
      <c r="AE395" s="65">
        <f>tblWorkPackages[[#This Row],[Last labor date]]-tblWorkPackages[[#This Row],[First labor date]]</f>
        <v>1</v>
      </c>
      <c r="AF395" s="65">
        <f>tblWorkPackages[[#This Row],[Completion date serial]]-tblWorkPackages[[#This Row],[Last labor date]]</f>
        <v>1</v>
      </c>
      <c r="AG395" s="65">
        <f>tblWorkPackages[[#This Row],[Completion date serial]]-tblWorkPackages[[#This Row],[Request date serial]]</f>
        <v>7</v>
      </c>
      <c r="AH395" s="65">
        <f>IFERROR(INDEX(tblParts[Delay days],MATCH(tblWorkPackages[[#This Row],[Work package ID]],tblParts[Work package ID],0)),0)</f>
        <v>0</v>
      </c>
      <c r="AI395" s="51" t="str">
        <f>IFERROR(INDEX(tblDisruptions[Event type],MATCH(tblWorkPackages[[#This Row],[Work package ID]],tblDisruptions[Work package ID],0)),"None")</f>
        <v>None</v>
      </c>
      <c r="AJ395" s="51" t="str">
        <f>TEXT(tblWorkPackages[[#This Row],[Due date serial]],"yyyy-mm")</f>
        <v>2024-07</v>
      </c>
    </row>
    <row r="396" spans="1:36" ht="15" x14ac:dyDescent="0.25">
      <c r="A396" s="53" t="s">
        <v>1144</v>
      </c>
      <c r="B396" s="53" t="s">
        <v>203</v>
      </c>
      <c r="C396" s="53" t="s">
        <v>686</v>
      </c>
      <c r="D396" s="53" t="s">
        <v>590</v>
      </c>
      <c r="E396" s="53" t="s">
        <v>144</v>
      </c>
      <c r="F396" s="53" t="s">
        <v>145</v>
      </c>
      <c r="G396" s="53" t="s">
        <v>146</v>
      </c>
      <c r="H396" s="53">
        <v>4</v>
      </c>
      <c r="I396" s="53" t="s">
        <v>147</v>
      </c>
      <c r="J396" s="53">
        <v>0</v>
      </c>
      <c r="K396" s="53">
        <v>1</v>
      </c>
      <c r="L396" s="53">
        <v>19.7</v>
      </c>
      <c r="M396" s="53" t="s">
        <v>270</v>
      </c>
      <c r="N396" s="53">
        <v>24.7</v>
      </c>
      <c r="O396" s="51" t="str">
        <f>TEXT(tblWorkPackages[[#This Row],[Request date serial]]-WEEKDAY(tblWorkPackages[[#This Row],[Request date serial]],3),"yyyy-mm-dd")</f>
        <v>2025-03-24</v>
      </c>
      <c r="P396" s="51">
        <f>ABS(tblWorkPackages[[#This Row],[Actual labor hours]]-tblWorkPackages[[#This Row],[Estimated labor hours]])</f>
        <v>5</v>
      </c>
      <c r="Q396" s="51">
        <f>IF(tblWorkPackages[[#This Row],[Actual labor hours]]&gt;tblWorkPackages[[#This Row],[Estimated labor hours]],1,0)</f>
        <v>1</v>
      </c>
      <c r="R396" s="51">
        <f>tblWorkPackages[[#This Row],[Actual labor hours]]-tblWorkPackages[[#This Row],[Estimated labor hours]]</f>
        <v>5</v>
      </c>
      <c r="S396" s="51" t="str">
        <f>IF(tblWorkPackages[[#This Row],[Request date serial]]&lt;ValidationStart,"Train 2024",IF(tblWorkPackages[[#This Row],[Request date serial]]&lt;HoldoutStart,"Validation H1","Holdout H2"))</f>
        <v>Validation H1</v>
      </c>
      <c r="T396" s="51">
        <f>IF(tblWorkPackages[[#This Row],[Time split]]="Train 2024","",tblWorkPackages[[#This Row],[Estimated labor hours]]+VLOOKUP(tblWorkPackages[[#This Row],[Task type]],'Forecast validation'!$A$14:$E$25,IF(tblWorkPackages[[#This Row],[Time split]]="Validation H1",4,5),FALSE()))</f>
        <v>20.4547368421053</v>
      </c>
      <c r="U396" s="51">
        <f>IF(tblWorkPackages[[#This Row],[Calibrated forecast hours]]="","",ABS(tblWorkPackages[[#This Row],[Actual labor hours]]-tblWorkPackages[[#This Row],[Calibrated forecast hours]]))</f>
        <v>4.24526315789474</v>
      </c>
      <c r="V396" s="51">
        <f>IF(tblWorkPackages[[#This Row],[Time split]]="Train 2024",tblWorkPackages[[#This Row],[Estimated labor hours]],tblWorkPackages[[#This Row],[Calibrated forecast hours]])</f>
        <v>20.4547368421053</v>
      </c>
      <c r="W396" s="64">
        <f>DATEVALUE(tblWorkPackages[[#This Row],[Request date]])</f>
        <v>45743.0</v>
      </c>
      <c r="X396" s="64">
        <f>DATEVALUE(tblWorkPackages[[#This Row],[Due date]])</f>
        <v>45745.0</v>
      </c>
      <c r="Y396" s="64">
        <f>DATEVALUE(tblWorkPackages[[#This Row],[Completion date]])</f>
        <v>45748.0</v>
      </c>
      <c r="Z396" s="64">
        <f>_xlfn.MINIFS(tblLaborEntries[Work date serial],tblLaborEntries[Work package ID],tblWorkPackages[[#This Row],[Work package ID]])</f>
        <v>45744.0</v>
      </c>
      <c r="AA396" s="64">
        <f>_xlfn.MAXIFS(tblLaborEntries[Work date serial],tblLaborEntries[Work package ID],tblWorkPackages[[#This Row],[Work package ID]])</f>
        <v>45746.0</v>
      </c>
      <c r="AB396" s="65">
        <f>IF(tblWorkPackages[[#This Row],[Completion date serial]]&gt;tblWorkPackages[[#This Row],[Due date serial]],1,0)</f>
        <v>1</v>
      </c>
      <c r="AC396" s="65">
        <f>MAX(0,tblWorkPackages[[#This Row],[Completion date serial]]-tblWorkPackages[[#This Row],[Due date serial]])</f>
        <v>3</v>
      </c>
      <c r="AD396" s="65">
        <f>tblWorkPackages[[#This Row],[First labor date]]-tblWorkPackages[[#This Row],[Request date serial]]</f>
        <v>1</v>
      </c>
      <c r="AE396" s="65">
        <f>tblWorkPackages[[#This Row],[Last labor date]]-tblWorkPackages[[#This Row],[First labor date]]</f>
        <v>2</v>
      </c>
      <c r="AF396" s="65">
        <f>tblWorkPackages[[#This Row],[Completion date serial]]-tblWorkPackages[[#This Row],[Last labor date]]</f>
        <v>2</v>
      </c>
      <c r="AG396" s="65">
        <f>tblWorkPackages[[#This Row],[Completion date serial]]-tblWorkPackages[[#This Row],[Request date serial]]</f>
        <v>5</v>
      </c>
      <c r="AH396" s="65">
        <f>IFERROR(INDEX(tblParts[Delay days],MATCH(tblWorkPackages[[#This Row],[Work package ID]],tblParts[Work package ID],0)),0)</f>
        <v>0</v>
      </c>
      <c r="AI396" s="51" t="str">
        <f>IFERROR(INDEX(tblDisruptions[Event type],MATCH(tblWorkPackages[[#This Row],[Work package ID]],tblDisruptions[Work package ID],0)),"None")</f>
        <v>None</v>
      </c>
      <c r="AJ396" s="51" t="str">
        <f>TEXT(tblWorkPackages[[#This Row],[Due date serial]],"yyyy-mm")</f>
        <v>2025-03</v>
      </c>
    </row>
    <row r="397" spans="1:36" ht="15" x14ac:dyDescent="0.25">
      <c r="A397" s="53" t="s">
        <v>1145</v>
      </c>
      <c r="B397" s="53" t="s">
        <v>250</v>
      </c>
      <c r="C397" s="53" t="s">
        <v>442</v>
      </c>
      <c r="D397" s="53" t="s">
        <v>490</v>
      </c>
      <c r="E397" s="53" t="s">
        <v>144</v>
      </c>
      <c r="F397" s="53" t="s">
        <v>145</v>
      </c>
      <c r="G397" s="53" t="s">
        <v>146</v>
      </c>
      <c r="H397" s="53">
        <v>3</v>
      </c>
      <c r="I397" s="53" t="s">
        <v>147</v>
      </c>
      <c r="J397" s="53">
        <v>0</v>
      </c>
      <c r="K397" s="53">
        <v>1</v>
      </c>
      <c r="L397" s="53">
        <v>15</v>
      </c>
      <c r="M397" s="53" t="s">
        <v>839</v>
      </c>
      <c r="N397" s="53">
        <v>16</v>
      </c>
      <c r="O397" s="51" t="str">
        <f>TEXT(tblWorkPackages[[#This Row],[Request date serial]]-WEEKDAY(tblWorkPackages[[#This Row],[Request date serial]],3),"yyyy-mm-dd")</f>
        <v>2024-02-05</v>
      </c>
      <c r="P397" s="51">
        <f>ABS(tblWorkPackages[[#This Row],[Actual labor hours]]-tblWorkPackages[[#This Row],[Estimated labor hours]])</f>
        <v>1</v>
      </c>
      <c r="Q397" s="51">
        <f>IF(tblWorkPackages[[#This Row],[Actual labor hours]]&gt;tblWorkPackages[[#This Row],[Estimated labor hours]],1,0)</f>
        <v>1</v>
      </c>
      <c r="R397" s="51">
        <f>tblWorkPackages[[#This Row],[Actual labor hours]]-tblWorkPackages[[#This Row],[Estimated labor hours]]</f>
        <v>1</v>
      </c>
      <c r="S397" s="51" t="str">
        <f>IF(tblWorkPackages[[#This Row],[Request date serial]]&lt;ValidationStart,"Train 2024",IF(tblWorkPackages[[#This Row],[Request date serial]]&lt;HoldoutStart,"Validation H1","Holdout H2"))</f>
        <v>Train 2024</v>
      </c>
      <c r="T397" s="51" t="str">
        <f>IF(tblWorkPackages[[#This Row],[Time split]]="Train 2024","",tblWorkPackages[[#This Row],[Estimated labor hours]]+VLOOKUP(tblWorkPackages[[#This Row],[Task type]],'Forecast validation'!$A$14:$E$25,IF(tblWorkPackages[[#This Row],[Time split]]="Validation H1",4,5),FALSE()))</f>
        <v/>
      </c>
      <c r="U397" s="51" t="str">
        <f>IF(tblWorkPackages[[#This Row],[Calibrated forecast hours]]="","",ABS(tblWorkPackages[[#This Row],[Actual labor hours]]-tblWorkPackages[[#This Row],[Calibrated forecast hours]]))</f>
        <v/>
      </c>
      <c r="V397" s="51">
        <f>IF(tblWorkPackages[[#This Row],[Time split]]="Train 2024",tblWorkPackages[[#This Row],[Estimated labor hours]],tblWorkPackages[[#This Row],[Calibrated forecast hours]])</f>
        <v>15</v>
      </c>
      <c r="W397" s="64">
        <f>DATEVALUE(tblWorkPackages[[#This Row],[Request date]])</f>
        <v>45330.0</v>
      </c>
      <c r="X397" s="64">
        <f>DATEVALUE(tblWorkPackages[[#This Row],[Due date]])</f>
        <v>45332.0</v>
      </c>
      <c r="Y397" s="64">
        <f>DATEVALUE(tblWorkPackages[[#This Row],[Completion date]])</f>
        <v>45346.0</v>
      </c>
      <c r="Z397" s="64">
        <f>_xlfn.MINIFS(tblLaborEntries[Work date serial],tblLaborEntries[Work package ID],tblWorkPackages[[#This Row],[Work package ID]])</f>
        <v>45343.0</v>
      </c>
      <c r="AA397" s="64">
        <f>_xlfn.MAXIFS(tblLaborEntries[Work date serial],tblLaborEntries[Work package ID],tblWorkPackages[[#This Row],[Work package ID]])</f>
        <v>45343.0</v>
      </c>
      <c r="AB397" s="65">
        <f>IF(tblWorkPackages[[#This Row],[Completion date serial]]&gt;tblWorkPackages[[#This Row],[Due date serial]],1,0)</f>
        <v>1</v>
      </c>
      <c r="AC397" s="65">
        <f>MAX(0,tblWorkPackages[[#This Row],[Completion date serial]]-tblWorkPackages[[#This Row],[Due date serial]])</f>
        <v>14</v>
      </c>
      <c r="AD397" s="65">
        <f>tblWorkPackages[[#This Row],[First labor date]]-tblWorkPackages[[#This Row],[Request date serial]]</f>
        <v>13</v>
      </c>
      <c r="AE397" s="65">
        <f>tblWorkPackages[[#This Row],[Last labor date]]-tblWorkPackages[[#This Row],[First labor date]]</f>
        <v>0</v>
      </c>
      <c r="AF397" s="65">
        <f>tblWorkPackages[[#This Row],[Completion date serial]]-tblWorkPackages[[#This Row],[Last labor date]]</f>
        <v>3</v>
      </c>
      <c r="AG397" s="65">
        <f>tblWorkPackages[[#This Row],[Completion date serial]]-tblWorkPackages[[#This Row],[Request date serial]]</f>
        <v>16</v>
      </c>
      <c r="AH397" s="65">
        <f>IFERROR(INDEX(tblParts[Delay days],MATCH(tblWorkPackages[[#This Row],[Work package ID]],tblParts[Work package ID],0)),0)</f>
        <v>0</v>
      </c>
      <c r="AI397" s="51" t="str">
        <f>IFERROR(INDEX(tblDisruptions[Event type],MATCH(tblWorkPackages[[#This Row],[Work package ID]],tblDisruptions[Work package ID],0)),"None")</f>
        <v>None</v>
      </c>
      <c r="AJ397" s="51" t="str">
        <f>TEXT(tblWorkPackages[[#This Row],[Due date serial]],"yyyy-mm")</f>
        <v>2024-02</v>
      </c>
    </row>
    <row r="398" spans="1:36" ht="15" x14ac:dyDescent="0.25">
      <c r="A398" s="53" t="s">
        <v>1146</v>
      </c>
      <c r="B398" s="53" t="s">
        <v>230</v>
      </c>
      <c r="C398" s="53" t="s">
        <v>759</v>
      </c>
      <c r="D398" s="53" t="s">
        <v>630</v>
      </c>
      <c r="E398" s="53" t="s">
        <v>160</v>
      </c>
      <c r="F398" s="53" t="s">
        <v>128</v>
      </c>
      <c r="G398" s="53" t="s">
        <v>138</v>
      </c>
      <c r="H398" s="53">
        <v>4</v>
      </c>
      <c r="I398" s="53" t="s">
        <v>130</v>
      </c>
      <c r="J398" s="53">
        <v>0</v>
      </c>
      <c r="K398" s="53">
        <v>0</v>
      </c>
      <c r="L398" s="53">
        <v>9.8000000000000007</v>
      </c>
      <c r="M398" s="53" t="s">
        <v>663</v>
      </c>
      <c r="N398" s="53">
        <v>12.2</v>
      </c>
      <c r="O398" s="51" t="str">
        <f>TEXT(tblWorkPackages[[#This Row],[Request date serial]]-WEEKDAY(tblWorkPackages[[#This Row],[Request date serial]],3),"yyyy-mm-dd")</f>
        <v>2024-03-11</v>
      </c>
      <c r="P398" s="51">
        <f>ABS(tblWorkPackages[[#This Row],[Actual labor hours]]-tblWorkPackages[[#This Row],[Estimated labor hours]])</f>
        <v>2.4</v>
      </c>
      <c r="Q398" s="51">
        <f>IF(tblWorkPackages[[#This Row],[Actual labor hours]]&gt;tblWorkPackages[[#This Row],[Estimated labor hours]],1,0)</f>
        <v>1</v>
      </c>
      <c r="R398" s="51">
        <f>tblWorkPackages[[#This Row],[Actual labor hours]]-tblWorkPackages[[#This Row],[Estimated labor hours]]</f>
        <v>2.4</v>
      </c>
      <c r="S398" s="51" t="str">
        <f>IF(tblWorkPackages[[#This Row],[Request date serial]]&lt;ValidationStart,"Train 2024",IF(tblWorkPackages[[#This Row],[Request date serial]]&lt;HoldoutStart,"Validation H1","Holdout H2"))</f>
        <v>Train 2024</v>
      </c>
      <c r="T398" s="51" t="str">
        <f>IF(tblWorkPackages[[#This Row],[Time split]]="Train 2024","",tblWorkPackages[[#This Row],[Estimated labor hours]]+VLOOKUP(tblWorkPackages[[#This Row],[Task type]],'Forecast validation'!$A$14:$E$25,IF(tblWorkPackages[[#This Row],[Time split]]="Validation H1",4,5),FALSE()))</f>
        <v/>
      </c>
      <c r="U398" s="51" t="str">
        <f>IF(tblWorkPackages[[#This Row],[Calibrated forecast hours]]="","",ABS(tblWorkPackages[[#This Row],[Actual labor hours]]-tblWorkPackages[[#This Row],[Calibrated forecast hours]]))</f>
        <v/>
      </c>
      <c r="V398" s="51">
        <f>IF(tblWorkPackages[[#This Row],[Time split]]="Train 2024",tblWorkPackages[[#This Row],[Estimated labor hours]],tblWorkPackages[[#This Row],[Calibrated forecast hours]])</f>
        <v>9.8</v>
      </c>
      <c r="W398" s="64">
        <f>DATEVALUE(tblWorkPackages[[#This Row],[Request date]])</f>
        <v>45363.0</v>
      </c>
      <c r="X398" s="64">
        <f>DATEVALUE(tblWorkPackages[[#This Row],[Due date]])</f>
        <v>45376.0</v>
      </c>
      <c r="Y398" s="64">
        <f>DATEVALUE(tblWorkPackages[[#This Row],[Completion date]])</f>
        <v>45366.0</v>
      </c>
      <c r="Z398" s="64">
        <f>_xlfn.MINIFS(tblLaborEntries[Work date serial],tblLaborEntries[Work package ID],tblWorkPackages[[#This Row],[Work package ID]])</f>
        <v>45366.0</v>
      </c>
      <c r="AA398" s="64">
        <f>_xlfn.MAXIFS(tblLaborEntries[Work date serial],tblLaborEntries[Work package ID],tblWorkPackages[[#This Row],[Work package ID]])</f>
        <v>45366.0</v>
      </c>
      <c r="AB398" s="65">
        <f>IF(tblWorkPackages[[#This Row],[Completion date serial]]&gt;tblWorkPackages[[#This Row],[Due date serial]],1,0)</f>
        <v>0</v>
      </c>
      <c r="AC398" s="65">
        <f>MAX(0,tblWorkPackages[[#This Row],[Completion date serial]]-tblWorkPackages[[#This Row],[Due date serial]])</f>
        <v>0</v>
      </c>
      <c r="AD398" s="65">
        <f>tblWorkPackages[[#This Row],[First labor date]]-tblWorkPackages[[#This Row],[Request date serial]]</f>
        <v>3</v>
      </c>
      <c r="AE398" s="65">
        <f>tblWorkPackages[[#This Row],[Last labor date]]-tblWorkPackages[[#This Row],[First labor date]]</f>
        <v>0</v>
      </c>
      <c r="AF398" s="65">
        <f>tblWorkPackages[[#This Row],[Completion date serial]]-tblWorkPackages[[#This Row],[Last labor date]]</f>
        <v>0</v>
      </c>
      <c r="AG398" s="65">
        <f>tblWorkPackages[[#This Row],[Completion date serial]]-tblWorkPackages[[#This Row],[Request date serial]]</f>
        <v>3</v>
      </c>
      <c r="AH398" s="65">
        <f>IFERROR(INDEX(tblParts[Delay days],MATCH(tblWorkPackages[[#This Row],[Work package ID]],tblParts[Work package ID],0)),0)</f>
        <v>0</v>
      </c>
      <c r="AI398" s="51" t="str">
        <f>IFERROR(INDEX(tblDisruptions[Event type],MATCH(tblWorkPackages[[#This Row],[Work package ID]],tblDisruptions[Work package ID],0)),"None")</f>
        <v>None</v>
      </c>
      <c r="AJ398" s="51" t="str">
        <f>TEXT(tblWorkPackages[[#This Row],[Due date serial]],"yyyy-mm")</f>
        <v>2024-03</v>
      </c>
    </row>
    <row r="399" spans="1:36" ht="15" x14ac:dyDescent="0.25">
      <c r="A399" s="53" t="s">
        <v>1147</v>
      </c>
      <c r="B399" s="53" t="s">
        <v>185</v>
      </c>
      <c r="C399" s="53" t="s">
        <v>891</v>
      </c>
      <c r="D399" s="53" t="s">
        <v>1128</v>
      </c>
      <c r="E399" s="53" t="s">
        <v>242</v>
      </c>
      <c r="F399" s="53" t="s">
        <v>243</v>
      </c>
      <c r="G399" s="53" t="s">
        <v>129</v>
      </c>
      <c r="H399" s="53">
        <v>2</v>
      </c>
      <c r="I399" s="53" t="s">
        <v>130</v>
      </c>
      <c r="J399" s="53">
        <v>0</v>
      </c>
      <c r="K399" s="53">
        <v>0</v>
      </c>
      <c r="L399" s="53">
        <v>8.1</v>
      </c>
      <c r="M399" s="53" t="s">
        <v>1148</v>
      </c>
      <c r="N399" s="53">
        <v>9</v>
      </c>
      <c r="O399" s="51" t="str">
        <f>TEXT(tblWorkPackages[[#This Row],[Request date serial]]-WEEKDAY(tblWorkPackages[[#This Row],[Request date serial]],3),"yyyy-mm-dd")</f>
        <v>2024-11-25</v>
      </c>
      <c r="P399" s="51">
        <f>ABS(tblWorkPackages[[#This Row],[Actual labor hours]]-tblWorkPackages[[#This Row],[Estimated labor hours]])</f>
        <v>0.9</v>
      </c>
      <c r="Q399" s="51">
        <f>IF(tblWorkPackages[[#This Row],[Actual labor hours]]&gt;tblWorkPackages[[#This Row],[Estimated labor hours]],1,0)</f>
        <v>1</v>
      </c>
      <c r="R399" s="51">
        <f>tblWorkPackages[[#This Row],[Actual labor hours]]-tblWorkPackages[[#This Row],[Estimated labor hours]]</f>
        <v>0.9</v>
      </c>
      <c r="S399" s="51" t="str">
        <f>IF(tblWorkPackages[[#This Row],[Request date serial]]&lt;ValidationStart,"Train 2024",IF(tblWorkPackages[[#This Row],[Request date serial]]&lt;HoldoutStart,"Validation H1","Holdout H2"))</f>
        <v>Train 2024</v>
      </c>
      <c r="T399" s="51" t="str">
        <f>IF(tblWorkPackages[[#This Row],[Time split]]="Train 2024","",tblWorkPackages[[#This Row],[Estimated labor hours]]+VLOOKUP(tblWorkPackages[[#This Row],[Task type]],'Forecast validation'!$A$14:$E$25,IF(tblWorkPackages[[#This Row],[Time split]]="Validation H1",4,5),FALSE()))</f>
        <v/>
      </c>
      <c r="U399" s="51" t="str">
        <f>IF(tblWorkPackages[[#This Row],[Calibrated forecast hours]]="","",ABS(tblWorkPackages[[#This Row],[Actual labor hours]]-tblWorkPackages[[#This Row],[Calibrated forecast hours]]))</f>
        <v/>
      </c>
      <c r="V399" s="51">
        <f>IF(tblWorkPackages[[#This Row],[Time split]]="Train 2024",tblWorkPackages[[#This Row],[Estimated labor hours]],tblWorkPackages[[#This Row],[Calibrated forecast hours]])</f>
        <v>8.1</v>
      </c>
      <c r="W399" s="64">
        <f>DATEVALUE(tblWorkPackages[[#This Row],[Request date]])</f>
        <v>45626.0</v>
      </c>
      <c r="X399" s="64">
        <f>DATEVALUE(tblWorkPackages[[#This Row],[Due date]])</f>
        <v>45639.0</v>
      </c>
      <c r="Y399" s="64">
        <f>DATEVALUE(tblWorkPackages[[#This Row],[Completion date]])</f>
        <v>45678.0</v>
      </c>
      <c r="Z399" s="64">
        <f>_xlfn.MINIFS(tblLaborEntries[Work date serial],tblLaborEntries[Work package ID],tblWorkPackages[[#This Row],[Work package ID]])</f>
        <v>45676.0</v>
      </c>
      <c r="AA399" s="64">
        <f>_xlfn.MAXIFS(tblLaborEntries[Work date serial],tblLaborEntries[Work package ID],tblWorkPackages[[#This Row],[Work package ID]])</f>
        <v>45677.0</v>
      </c>
      <c r="AB399" s="65">
        <f>IF(tblWorkPackages[[#This Row],[Completion date serial]]&gt;tblWorkPackages[[#This Row],[Due date serial]],1,0)</f>
        <v>1</v>
      </c>
      <c r="AC399" s="65">
        <f>MAX(0,tblWorkPackages[[#This Row],[Completion date serial]]-tblWorkPackages[[#This Row],[Due date serial]])</f>
        <v>39</v>
      </c>
      <c r="AD399" s="65">
        <f>tblWorkPackages[[#This Row],[First labor date]]-tblWorkPackages[[#This Row],[Request date serial]]</f>
        <v>50</v>
      </c>
      <c r="AE399" s="65">
        <f>tblWorkPackages[[#This Row],[Last labor date]]-tblWorkPackages[[#This Row],[First labor date]]</f>
        <v>1</v>
      </c>
      <c r="AF399" s="65">
        <f>tblWorkPackages[[#This Row],[Completion date serial]]-tblWorkPackages[[#This Row],[Last labor date]]</f>
        <v>1</v>
      </c>
      <c r="AG399" s="65">
        <f>tblWorkPackages[[#This Row],[Completion date serial]]-tblWorkPackages[[#This Row],[Request date serial]]</f>
        <v>52</v>
      </c>
      <c r="AH399" s="65">
        <f>IFERROR(INDEX(tblParts[Delay days],MATCH(tblWorkPackages[[#This Row],[Work package ID]],tblParts[Work package ID],0)),0)</f>
        <v>0</v>
      </c>
      <c r="AI399" s="51" t="str">
        <f>IFERROR(INDEX(tblDisruptions[Event type],MATCH(tblWorkPackages[[#This Row],[Work package ID]],tblDisruptions[Work package ID],0)),"None")</f>
        <v>None</v>
      </c>
      <c r="AJ399" s="51" t="str">
        <f>TEXT(tblWorkPackages[[#This Row],[Due date serial]],"yyyy-mm")</f>
        <v>2024-12</v>
      </c>
    </row>
    <row r="400" spans="1:36" ht="15" x14ac:dyDescent="0.25">
      <c r="A400" s="53" t="s">
        <v>1149</v>
      </c>
      <c r="B400" s="53" t="s">
        <v>287</v>
      </c>
      <c r="C400" s="53" t="s">
        <v>696</v>
      </c>
      <c r="D400" s="53" t="s">
        <v>697</v>
      </c>
      <c r="E400" s="53" t="s">
        <v>272</v>
      </c>
      <c r="F400" s="53" t="s">
        <v>145</v>
      </c>
      <c r="G400" s="53" t="s">
        <v>273</v>
      </c>
      <c r="H400" s="53">
        <v>4</v>
      </c>
      <c r="I400" s="53" t="s">
        <v>130</v>
      </c>
      <c r="J400" s="53">
        <v>0</v>
      </c>
      <c r="K400" s="53">
        <v>0</v>
      </c>
      <c r="L400" s="53">
        <v>22.8</v>
      </c>
      <c r="M400" s="53" t="s">
        <v>505</v>
      </c>
      <c r="N400" s="53">
        <v>19.600000000000001</v>
      </c>
      <c r="O400" s="51" t="str">
        <f>TEXT(tblWorkPackages[[#This Row],[Request date serial]]-WEEKDAY(tblWorkPackages[[#This Row],[Request date serial]],3),"yyyy-mm-dd")</f>
        <v>2025-01-27</v>
      </c>
      <c r="P400" s="51">
        <f>ABS(tblWorkPackages[[#This Row],[Actual labor hours]]-tblWorkPackages[[#This Row],[Estimated labor hours]])</f>
        <v>3.2</v>
      </c>
      <c r="Q400" s="51">
        <f>IF(tblWorkPackages[[#This Row],[Actual labor hours]]&gt;tblWorkPackages[[#This Row],[Estimated labor hours]],1,0)</f>
        <v>0</v>
      </c>
      <c r="R400" s="51">
        <f>tblWorkPackages[[#This Row],[Actual labor hours]]-tblWorkPackages[[#This Row],[Estimated labor hours]]</f>
        <v>-3.2</v>
      </c>
      <c r="S400" s="51" t="str">
        <f>IF(tblWorkPackages[[#This Row],[Request date serial]]&lt;ValidationStart,"Train 2024",IF(tblWorkPackages[[#This Row],[Request date serial]]&lt;HoldoutStart,"Validation H1","Holdout H2"))</f>
        <v>Validation H1</v>
      </c>
      <c r="T400" s="51">
        <f>IF(tblWorkPackages[[#This Row],[Time split]]="Train 2024","",tblWorkPackages[[#This Row],[Estimated labor hours]]+VLOOKUP(tblWorkPackages[[#This Row],[Task type]],'Forecast validation'!$A$14:$E$25,IF(tblWorkPackages[[#This Row],[Time split]]="Validation H1",4,5),FALSE()))</f>
        <v>23.8320512820513</v>
      </c>
      <c r="U400" s="51">
        <f>IF(tblWorkPackages[[#This Row],[Calibrated forecast hours]]="","",ABS(tblWorkPackages[[#This Row],[Actual labor hours]]-tblWorkPackages[[#This Row],[Calibrated forecast hours]]))</f>
        <v>4.23205128205128</v>
      </c>
      <c r="V400" s="51">
        <f>IF(tblWorkPackages[[#This Row],[Time split]]="Train 2024",tblWorkPackages[[#This Row],[Estimated labor hours]],tblWorkPackages[[#This Row],[Calibrated forecast hours]])</f>
        <v>23.8320512820513</v>
      </c>
      <c r="W400" s="64">
        <f>DATEVALUE(tblWorkPackages[[#This Row],[Request date]])</f>
        <v>45690.0</v>
      </c>
      <c r="X400" s="64">
        <f>DATEVALUE(tblWorkPackages[[#This Row],[Due date]])</f>
        <v>45703.0</v>
      </c>
      <c r="Y400" s="64">
        <f>DATEVALUE(tblWorkPackages[[#This Row],[Completion date]])</f>
        <v>45702.0</v>
      </c>
      <c r="Z400" s="64">
        <f>_xlfn.MINIFS(tblLaborEntries[Work date serial],tblLaborEntries[Work package ID],tblWorkPackages[[#This Row],[Work package ID]])</f>
        <v>45698.0</v>
      </c>
      <c r="AA400" s="64">
        <f>_xlfn.MAXIFS(tblLaborEntries[Work date serial],tblLaborEntries[Work package ID],tblWorkPackages[[#This Row],[Work package ID]])</f>
        <v>45700.0</v>
      </c>
      <c r="AB400" s="65">
        <f>IF(tblWorkPackages[[#This Row],[Completion date serial]]&gt;tblWorkPackages[[#This Row],[Due date serial]],1,0)</f>
        <v>0</v>
      </c>
      <c r="AC400" s="65">
        <f>MAX(0,tblWorkPackages[[#This Row],[Completion date serial]]-tblWorkPackages[[#This Row],[Due date serial]])</f>
        <v>0</v>
      </c>
      <c r="AD400" s="65">
        <f>tblWorkPackages[[#This Row],[First labor date]]-tblWorkPackages[[#This Row],[Request date serial]]</f>
        <v>8</v>
      </c>
      <c r="AE400" s="65">
        <f>tblWorkPackages[[#This Row],[Last labor date]]-tblWorkPackages[[#This Row],[First labor date]]</f>
        <v>2</v>
      </c>
      <c r="AF400" s="65">
        <f>tblWorkPackages[[#This Row],[Completion date serial]]-tblWorkPackages[[#This Row],[Last labor date]]</f>
        <v>2</v>
      </c>
      <c r="AG400" s="65">
        <f>tblWorkPackages[[#This Row],[Completion date serial]]-tblWorkPackages[[#This Row],[Request date serial]]</f>
        <v>12</v>
      </c>
      <c r="AH400" s="65">
        <f>IFERROR(INDEX(tblParts[Delay days],MATCH(tblWorkPackages[[#This Row],[Work package ID]],tblParts[Work package ID],0)),0)</f>
        <v>0</v>
      </c>
      <c r="AI400" s="51" t="str">
        <f>IFERROR(INDEX(tblDisruptions[Event type],MATCH(tblWorkPackages[[#This Row],[Work package ID]],tblDisruptions[Work package ID],0)),"None")</f>
        <v>None</v>
      </c>
      <c r="AJ400" s="51" t="str">
        <f>TEXT(tblWorkPackages[[#This Row],[Due date serial]],"yyyy-mm")</f>
        <v>2025-02</v>
      </c>
    </row>
    <row r="401" spans="1:36" ht="15" x14ac:dyDescent="0.25">
      <c r="A401" s="53" t="s">
        <v>1150</v>
      </c>
      <c r="B401" s="53" t="s">
        <v>157</v>
      </c>
      <c r="C401" s="53" t="s">
        <v>1151</v>
      </c>
      <c r="D401" s="53" t="s">
        <v>1152</v>
      </c>
      <c r="E401" s="53" t="s">
        <v>272</v>
      </c>
      <c r="F401" s="53" t="s">
        <v>145</v>
      </c>
      <c r="G401" s="53" t="s">
        <v>273</v>
      </c>
      <c r="H401" s="53">
        <v>1</v>
      </c>
      <c r="I401" s="53" t="s">
        <v>130</v>
      </c>
      <c r="J401" s="53">
        <v>0</v>
      </c>
      <c r="K401" s="53">
        <v>0</v>
      </c>
      <c r="L401" s="53">
        <v>6.5</v>
      </c>
      <c r="M401" s="53" t="s">
        <v>583</v>
      </c>
      <c r="N401" s="53">
        <v>6.4</v>
      </c>
      <c r="O401" s="51" t="str">
        <f>TEXT(tblWorkPackages[[#This Row],[Request date serial]]-WEEKDAY(tblWorkPackages[[#This Row],[Request date serial]],3),"yyyy-mm-dd")</f>
        <v>2025-08-11</v>
      </c>
      <c r="P401" s="51">
        <f>ABS(tblWorkPackages[[#This Row],[Actual labor hours]]-tblWorkPackages[[#This Row],[Estimated labor hours]])</f>
        <v>0.0999999999999996</v>
      </c>
      <c r="Q401" s="51">
        <f>IF(tblWorkPackages[[#This Row],[Actual labor hours]]&gt;tblWorkPackages[[#This Row],[Estimated labor hours]],1,0)</f>
        <v>0</v>
      </c>
      <c r="R401" s="51">
        <f>tblWorkPackages[[#This Row],[Actual labor hours]]-tblWorkPackages[[#This Row],[Estimated labor hours]]</f>
        <v>-0.0999999999999996</v>
      </c>
      <c r="S401" s="51" t="str">
        <f>IF(tblWorkPackages[[#This Row],[Request date serial]]&lt;ValidationStart,"Train 2024",IF(tblWorkPackages[[#This Row],[Request date serial]]&lt;HoldoutStart,"Validation H1","Holdout H2"))</f>
        <v>Holdout H2</v>
      </c>
      <c r="T401" s="51">
        <f>IF(tblWorkPackages[[#This Row],[Time split]]="Train 2024","",tblWorkPackages[[#This Row],[Estimated labor hours]]+VLOOKUP(tblWorkPackages[[#This Row],[Task type]],'Forecast validation'!$A$14:$E$25,IF(tblWorkPackages[[#This Row],[Time split]]="Validation H1",4,5),FALSE()))</f>
        <v>7.48515625</v>
      </c>
      <c r="U401" s="51">
        <f>IF(tblWorkPackages[[#This Row],[Calibrated forecast hours]]="","",ABS(tblWorkPackages[[#This Row],[Actual labor hours]]-tblWorkPackages[[#This Row],[Calibrated forecast hours]]))</f>
        <v>1.08515625</v>
      </c>
      <c r="V401" s="51">
        <f>IF(tblWorkPackages[[#This Row],[Time split]]="Train 2024",tblWorkPackages[[#This Row],[Estimated labor hours]],tblWorkPackages[[#This Row],[Calibrated forecast hours]])</f>
        <v>7.48515625</v>
      </c>
      <c r="W401" s="64">
        <f>DATEVALUE(tblWorkPackages[[#This Row],[Request date]])</f>
        <v>45880.0</v>
      </c>
      <c r="X401" s="64">
        <f>DATEVALUE(tblWorkPackages[[#This Row],[Due date]])</f>
        <v>45893.0</v>
      </c>
      <c r="Y401" s="64">
        <f>DATEVALUE(tblWorkPackages[[#This Row],[Completion date]])</f>
        <v>45885.0</v>
      </c>
      <c r="Z401" s="64">
        <f>_xlfn.MINIFS(tblLaborEntries[Work date serial],tblLaborEntries[Work package ID],tblWorkPackages[[#This Row],[Work package ID]])</f>
        <v>45882.0</v>
      </c>
      <c r="AA401" s="64">
        <f>_xlfn.MAXIFS(tblLaborEntries[Work date serial],tblLaborEntries[Work package ID],tblWorkPackages[[#This Row],[Work package ID]])</f>
        <v>45882.0</v>
      </c>
      <c r="AB401" s="65">
        <f>IF(tblWorkPackages[[#This Row],[Completion date serial]]&gt;tblWorkPackages[[#This Row],[Due date serial]],1,0)</f>
        <v>0</v>
      </c>
      <c r="AC401" s="65">
        <f>MAX(0,tblWorkPackages[[#This Row],[Completion date serial]]-tblWorkPackages[[#This Row],[Due date serial]])</f>
        <v>0</v>
      </c>
      <c r="AD401" s="65">
        <f>tblWorkPackages[[#This Row],[First labor date]]-tblWorkPackages[[#This Row],[Request date serial]]</f>
        <v>2</v>
      </c>
      <c r="AE401" s="65">
        <f>tblWorkPackages[[#This Row],[Last labor date]]-tblWorkPackages[[#This Row],[First labor date]]</f>
        <v>0</v>
      </c>
      <c r="AF401" s="65">
        <f>tblWorkPackages[[#This Row],[Completion date serial]]-tblWorkPackages[[#This Row],[Last labor date]]</f>
        <v>3</v>
      </c>
      <c r="AG401" s="65">
        <f>tblWorkPackages[[#This Row],[Completion date serial]]-tblWorkPackages[[#This Row],[Request date serial]]</f>
        <v>5</v>
      </c>
      <c r="AH401" s="65">
        <f>IFERROR(INDEX(tblParts[Delay days],MATCH(tblWorkPackages[[#This Row],[Work package ID]],tblParts[Work package ID],0)),0)</f>
        <v>0</v>
      </c>
      <c r="AI401" s="51" t="str">
        <f>IFERROR(INDEX(tblDisruptions[Event type],MATCH(tblWorkPackages[[#This Row],[Work package ID]],tblDisruptions[Work package ID],0)),"None")</f>
        <v>None</v>
      </c>
      <c r="AJ401" s="51" t="str">
        <f>TEXT(tblWorkPackages[[#This Row],[Due date serial]],"yyyy-mm")</f>
        <v>2025-08</v>
      </c>
    </row>
    <row r="402" spans="1:36" ht="15" x14ac:dyDescent="0.25">
      <c r="A402" s="53" t="s">
        <v>1153</v>
      </c>
      <c r="B402" s="53" t="s">
        <v>287</v>
      </c>
      <c r="C402" s="53" t="s">
        <v>627</v>
      </c>
      <c r="D402" s="53" t="s">
        <v>628</v>
      </c>
      <c r="E402" s="53" t="s">
        <v>144</v>
      </c>
      <c r="F402" s="53" t="s">
        <v>145</v>
      </c>
      <c r="G402" s="53" t="s">
        <v>146</v>
      </c>
      <c r="H402" s="53">
        <v>2</v>
      </c>
      <c r="I402" s="53" t="s">
        <v>176</v>
      </c>
      <c r="J402" s="53">
        <v>1</v>
      </c>
      <c r="K402" s="53">
        <v>1</v>
      </c>
      <c r="L402" s="53">
        <v>10.7</v>
      </c>
      <c r="M402" s="53" t="s">
        <v>1154</v>
      </c>
      <c r="N402" s="53">
        <v>11.1</v>
      </c>
      <c r="O402" s="51" t="str">
        <f>TEXT(tblWorkPackages[[#This Row],[Request date serial]]-WEEKDAY(tblWorkPackages[[#This Row],[Request date serial]],3),"yyyy-mm-dd")</f>
        <v>2025-06-30</v>
      </c>
      <c r="P402" s="51">
        <f>ABS(tblWorkPackages[[#This Row],[Actual labor hours]]-tblWorkPackages[[#This Row],[Estimated labor hours]])</f>
        <v>0.4</v>
      </c>
      <c r="Q402" s="51">
        <f>IF(tblWorkPackages[[#This Row],[Actual labor hours]]&gt;tblWorkPackages[[#This Row],[Estimated labor hours]],1,0)</f>
        <v>1</v>
      </c>
      <c r="R402" s="51">
        <f>tblWorkPackages[[#This Row],[Actual labor hours]]-tblWorkPackages[[#This Row],[Estimated labor hours]]</f>
        <v>0.4</v>
      </c>
      <c r="S402" s="51" t="str">
        <f>IF(tblWorkPackages[[#This Row],[Request date serial]]&lt;ValidationStart,"Train 2024",IF(tblWorkPackages[[#This Row],[Request date serial]]&lt;HoldoutStart,"Validation H1","Holdout H2"))</f>
        <v>Holdout H2</v>
      </c>
      <c r="T402" s="51">
        <f>IF(tblWorkPackages[[#This Row],[Time split]]="Train 2024","",tblWorkPackages[[#This Row],[Estimated labor hours]]+VLOOKUP(tblWorkPackages[[#This Row],[Task type]],'Forecast validation'!$A$14:$E$25,IF(tblWorkPackages[[#This Row],[Time split]]="Validation H1",4,5),FALSE()))</f>
        <v>11.6735483870968</v>
      </c>
      <c r="U402" s="51">
        <f>IF(tblWorkPackages[[#This Row],[Calibrated forecast hours]]="","",ABS(tblWorkPackages[[#This Row],[Actual labor hours]]-tblWorkPackages[[#This Row],[Calibrated forecast hours]]))</f>
        <v>0.573548387096773</v>
      </c>
      <c r="V402" s="51">
        <f>IF(tblWorkPackages[[#This Row],[Time split]]="Train 2024",tblWorkPackages[[#This Row],[Estimated labor hours]],tblWorkPackages[[#This Row],[Calibrated forecast hours]])</f>
        <v>11.6735483870968</v>
      </c>
      <c r="W402" s="64">
        <f>DATEVALUE(tblWorkPackages[[#This Row],[Request date]])</f>
        <v>45843.0</v>
      </c>
      <c r="X402" s="64">
        <f>DATEVALUE(tblWorkPackages[[#This Row],[Due date]])</f>
        <v>45849.0</v>
      </c>
      <c r="Y402" s="64">
        <f>DATEVALUE(tblWorkPackages[[#This Row],[Completion date]])</f>
        <v>45864.0</v>
      </c>
      <c r="Z402" s="64">
        <f>_xlfn.MINIFS(tblLaborEntries[Work date serial],tblLaborEntries[Work package ID],tblWorkPackages[[#This Row],[Work package ID]])</f>
        <v>45863.0</v>
      </c>
      <c r="AA402" s="64">
        <f>_xlfn.MAXIFS(tblLaborEntries[Work date serial],tblLaborEntries[Work package ID],tblWorkPackages[[#This Row],[Work package ID]])</f>
        <v>45864.0</v>
      </c>
      <c r="AB402" s="65">
        <f>IF(tblWorkPackages[[#This Row],[Completion date serial]]&gt;tblWorkPackages[[#This Row],[Due date serial]],1,0)</f>
        <v>1</v>
      </c>
      <c r="AC402" s="65">
        <f>MAX(0,tblWorkPackages[[#This Row],[Completion date serial]]-tblWorkPackages[[#This Row],[Due date serial]])</f>
        <v>15</v>
      </c>
      <c r="AD402" s="65">
        <f>tblWorkPackages[[#This Row],[First labor date]]-tblWorkPackages[[#This Row],[Request date serial]]</f>
        <v>20</v>
      </c>
      <c r="AE402" s="65">
        <f>tblWorkPackages[[#This Row],[Last labor date]]-tblWorkPackages[[#This Row],[First labor date]]</f>
        <v>1</v>
      </c>
      <c r="AF402" s="65">
        <f>tblWorkPackages[[#This Row],[Completion date serial]]-tblWorkPackages[[#This Row],[Last labor date]]</f>
        <v>0</v>
      </c>
      <c r="AG402" s="65">
        <f>tblWorkPackages[[#This Row],[Completion date serial]]-tblWorkPackages[[#This Row],[Request date serial]]</f>
        <v>21</v>
      </c>
      <c r="AH402" s="65">
        <f>IFERROR(INDEX(tblParts[Delay days],MATCH(tblWorkPackages[[#This Row],[Work package ID]],tblParts[Work package ID],0)),0)</f>
        <v>0</v>
      </c>
      <c r="AI402" s="51" t="str">
        <f>IFERROR(INDEX(tblDisruptions[Event type],MATCH(tblWorkPackages[[#This Row],[Work package ID]],tblDisruptions[Work package ID],0)),"None")</f>
        <v>None</v>
      </c>
      <c r="AJ402" s="51" t="str">
        <f>TEXT(tblWorkPackages[[#This Row],[Due date serial]],"yyyy-mm")</f>
        <v>2025-07</v>
      </c>
    </row>
    <row r="403" spans="1:36" ht="15" x14ac:dyDescent="0.25">
      <c r="A403" s="53" t="s">
        <v>1155</v>
      </c>
      <c r="B403" s="53" t="s">
        <v>203</v>
      </c>
      <c r="C403" s="53" t="s">
        <v>603</v>
      </c>
      <c r="D403" s="53" t="s">
        <v>1156</v>
      </c>
      <c r="E403" s="53" t="s">
        <v>127</v>
      </c>
      <c r="F403" s="53" t="s">
        <v>128</v>
      </c>
      <c r="G403" s="53" t="s">
        <v>129</v>
      </c>
      <c r="H403" s="53">
        <v>2</v>
      </c>
      <c r="I403" s="53" t="s">
        <v>130</v>
      </c>
      <c r="J403" s="53">
        <v>0</v>
      </c>
      <c r="K403" s="53">
        <v>0</v>
      </c>
      <c r="L403" s="53">
        <v>7</v>
      </c>
      <c r="M403" s="53" t="s">
        <v>502</v>
      </c>
      <c r="N403" s="53">
        <v>6.2</v>
      </c>
      <c r="O403" s="51" t="str">
        <f>TEXT(tblWorkPackages[[#This Row],[Request date serial]]-WEEKDAY(tblWorkPackages[[#This Row],[Request date serial]],3),"yyyy-mm-dd")</f>
        <v>2025-06-23</v>
      </c>
      <c r="P403" s="51">
        <f>ABS(tblWorkPackages[[#This Row],[Actual labor hours]]-tblWorkPackages[[#This Row],[Estimated labor hours]])</f>
        <v>0.8</v>
      </c>
      <c r="Q403" s="51">
        <f>IF(tblWorkPackages[[#This Row],[Actual labor hours]]&gt;tblWorkPackages[[#This Row],[Estimated labor hours]],1,0)</f>
        <v>0</v>
      </c>
      <c r="R403" s="51">
        <f>tblWorkPackages[[#This Row],[Actual labor hours]]-tblWorkPackages[[#This Row],[Estimated labor hours]]</f>
        <v>-0.8</v>
      </c>
      <c r="S403" s="51" t="str">
        <f>IF(tblWorkPackages[[#This Row],[Request date serial]]&lt;ValidationStart,"Train 2024",IF(tblWorkPackages[[#This Row],[Request date serial]]&lt;HoldoutStart,"Validation H1","Holdout H2"))</f>
        <v>Validation H1</v>
      </c>
      <c r="T403" s="51">
        <f>IF(tblWorkPackages[[#This Row],[Time split]]="Train 2024","",tblWorkPackages[[#This Row],[Estimated labor hours]]+VLOOKUP(tblWorkPackages[[#This Row],[Task type]],'Forecast validation'!$A$14:$E$25,IF(tblWorkPackages[[#This Row],[Time split]]="Validation H1",4,5),FALSE()))</f>
        <v>7.47564102564103</v>
      </c>
      <c r="U403" s="51">
        <f>IF(tblWorkPackages[[#This Row],[Calibrated forecast hours]]="","",ABS(tblWorkPackages[[#This Row],[Actual labor hours]]-tblWorkPackages[[#This Row],[Calibrated forecast hours]]))</f>
        <v>1.27564102564103</v>
      </c>
      <c r="V403" s="51">
        <f>IF(tblWorkPackages[[#This Row],[Time split]]="Train 2024",tblWorkPackages[[#This Row],[Estimated labor hours]],tblWorkPackages[[#This Row],[Calibrated forecast hours]])</f>
        <v>7.47564102564103</v>
      </c>
      <c r="W403" s="64">
        <f>DATEVALUE(tblWorkPackages[[#This Row],[Request date]])</f>
        <v>45834.0</v>
      </c>
      <c r="X403" s="64">
        <f>DATEVALUE(tblWorkPackages[[#This Row],[Due date]])</f>
        <v>45847.0</v>
      </c>
      <c r="Y403" s="64">
        <f>DATEVALUE(tblWorkPackages[[#This Row],[Completion date]])</f>
        <v>45840.0</v>
      </c>
      <c r="Z403" s="64">
        <f>_xlfn.MINIFS(tblLaborEntries[Work date serial],tblLaborEntries[Work package ID],tblWorkPackages[[#This Row],[Work package ID]])</f>
        <v>45838.0</v>
      </c>
      <c r="AA403" s="64">
        <f>_xlfn.MAXIFS(tblLaborEntries[Work date serial],tblLaborEntries[Work package ID],tblWorkPackages[[#This Row],[Work package ID]])</f>
        <v>45839.0</v>
      </c>
      <c r="AB403" s="65">
        <f>IF(tblWorkPackages[[#This Row],[Completion date serial]]&gt;tblWorkPackages[[#This Row],[Due date serial]],1,0)</f>
        <v>0</v>
      </c>
      <c r="AC403" s="65">
        <f>MAX(0,tblWorkPackages[[#This Row],[Completion date serial]]-tblWorkPackages[[#This Row],[Due date serial]])</f>
        <v>0</v>
      </c>
      <c r="AD403" s="65">
        <f>tblWorkPackages[[#This Row],[First labor date]]-tblWorkPackages[[#This Row],[Request date serial]]</f>
        <v>4</v>
      </c>
      <c r="AE403" s="65">
        <f>tblWorkPackages[[#This Row],[Last labor date]]-tblWorkPackages[[#This Row],[First labor date]]</f>
        <v>1</v>
      </c>
      <c r="AF403" s="65">
        <f>tblWorkPackages[[#This Row],[Completion date serial]]-tblWorkPackages[[#This Row],[Last labor date]]</f>
        <v>1</v>
      </c>
      <c r="AG403" s="65">
        <f>tblWorkPackages[[#This Row],[Completion date serial]]-tblWorkPackages[[#This Row],[Request date serial]]</f>
        <v>6</v>
      </c>
      <c r="AH403" s="65">
        <f>IFERROR(INDEX(tblParts[Delay days],MATCH(tblWorkPackages[[#This Row],[Work package ID]],tblParts[Work package ID],0)),0)</f>
        <v>0</v>
      </c>
      <c r="AI403" s="51" t="str">
        <f>IFERROR(INDEX(tblDisruptions[Event type],MATCH(tblWorkPackages[[#This Row],[Work package ID]],tblDisruptions[Work package ID],0)),"None")</f>
        <v>None</v>
      </c>
      <c r="AJ403" s="51" t="str">
        <f>TEXT(tblWorkPackages[[#This Row],[Due date serial]],"yyyy-mm")</f>
        <v>2025-07</v>
      </c>
    </row>
    <row r="404" spans="1:36" ht="15" x14ac:dyDescent="0.25">
      <c r="A404" s="53" t="s">
        <v>1157</v>
      </c>
      <c r="B404" s="53" t="s">
        <v>124</v>
      </c>
      <c r="C404" s="53" t="s">
        <v>791</v>
      </c>
      <c r="D404" s="53" t="s">
        <v>625</v>
      </c>
      <c r="E404" s="53" t="s">
        <v>136</v>
      </c>
      <c r="F404" s="53" t="s">
        <v>137</v>
      </c>
      <c r="G404" s="53" t="s">
        <v>138</v>
      </c>
      <c r="H404" s="53">
        <v>3</v>
      </c>
      <c r="I404" s="53" t="s">
        <v>147</v>
      </c>
      <c r="J404" s="53">
        <v>0</v>
      </c>
      <c r="K404" s="53">
        <v>0</v>
      </c>
      <c r="L404" s="53">
        <v>17.8</v>
      </c>
      <c r="M404" s="53" t="s">
        <v>1158</v>
      </c>
      <c r="N404" s="53">
        <v>13.7</v>
      </c>
      <c r="O404" s="51" t="str">
        <f>TEXT(tblWorkPackages[[#This Row],[Request date serial]]-WEEKDAY(tblWorkPackages[[#This Row],[Request date serial]],3),"yyyy-mm-dd")</f>
        <v>2025-09-22</v>
      </c>
      <c r="P404" s="51">
        <f>ABS(tblWorkPackages[[#This Row],[Actual labor hours]]-tblWorkPackages[[#This Row],[Estimated labor hours]])</f>
        <v>4.1</v>
      </c>
      <c r="Q404" s="51">
        <f>IF(tblWorkPackages[[#This Row],[Actual labor hours]]&gt;tblWorkPackages[[#This Row],[Estimated labor hours]],1,0)</f>
        <v>0</v>
      </c>
      <c r="R404" s="51">
        <f>tblWorkPackages[[#This Row],[Actual labor hours]]-tblWorkPackages[[#This Row],[Estimated labor hours]]</f>
        <v>-4.1</v>
      </c>
      <c r="S404" s="51" t="str">
        <f>IF(tblWorkPackages[[#This Row],[Request date serial]]&lt;ValidationStart,"Train 2024",IF(tblWorkPackages[[#This Row],[Request date serial]]&lt;HoldoutStart,"Validation H1","Holdout H2"))</f>
        <v>Holdout H2</v>
      </c>
      <c r="T404" s="51">
        <f>IF(tblWorkPackages[[#This Row],[Time split]]="Train 2024","",tblWorkPackages[[#This Row],[Estimated labor hours]]+VLOOKUP(tblWorkPackages[[#This Row],[Task type]],'Forecast validation'!$A$14:$E$25,IF(tblWorkPackages[[#This Row],[Time split]]="Validation H1",4,5),FALSE()))</f>
        <v>18.7207547169811</v>
      </c>
      <c r="U404" s="51">
        <f>IF(tblWorkPackages[[#This Row],[Calibrated forecast hours]]="","",ABS(tblWorkPackages[[#This Row],[Actual labor hours]]-tblWorkPackages[[#This Row],[Calibrated forecast hours]]))</f>
        <v>5.02075471698113</v>
      </c>
      <c r="V404" s="51">
        <f>IF(tblWorkPackages[[#This Row],[Time split]]="Train 2024",tblWorkPackages[[#This Row],[Estimated labor hours]],tblWorkPackages[[#This Row],[Calibrated forecast hours]])</f>
        <v>18.7207547169811</v>
      </c>
      <c r="W404" s="64">
        <f>DATEVALUE(tblWorkPackages[[#This Row],[Request date]])</f>
        <v>45922.0</v>
      </c>
      <c r="X404" s="64">
        <f>DATEVALUE(tblWorkPackages[[#This Row],[Due date]])</f>
        <v>45924.0</v>
      </c>
      <c r="Y404" s="64">
        <f>DATEVALUE(tblWorkPackages[[#This Row],[Completion date]])</f>
        <v>45927.0</v>
      </c>
      <c r="Z404" s="64">
        <f>_xlfn.MINIFS(tblLaborEntries[Work date serial],tblLaborEntries[Work package ID],tblWorkPackages[[#This Row],[Work package ID]])</f>
        <v>45923.0</v>
      </c>
      <c r="AA404" s="64">
        <f>_xlfn.MAXIFS(tblLaborEntries[Work date serial],tblLaborEntries[Work package ID],tblWorkPackages[[#This Row],[Work package ID]])</f>
        <v>45925.0</v>
      </c>
      <c r="AB404" s="65">
        <f>IF(tblWorkPackages[[#This Row],[Completion date serial]]&gt;tblWorkPackages[[#This Row],[Due date serial]],1,0)</f>
        <v>1</v>
      </c>
      <c r="AC404" s="65">
        <f>MAX(0,tblWorkPackages[[#This Row],[Completion date serial]]-tblWorkPackages[[#This Row],[Due date serial]])</f>
        <v>3</v>
      </c>
      <c r="AD404" s="65">
        <f>tblWorkPackages[[#This Row],[First labor date]]-tblWorkPackages[[#This Row],[Request date serial]]</f>
        <v>1</v>
      </c>
      <c r="AE404" s="65">
        <f>tblWorkPackages[[#This Row],[Last labor date]]-tblWorkPackages[[#This Row],[First labor date]]</f>
        <v>2</v>
      </c>
      <c r="AF404" s="65">
        <f>tblWorkPackages[[#This Row],[Completion date serial]]-tblWorkPackages[[#This Row],[Last labor date]]</f>
        <v>2</v>
      </c>
      <c r="AG404" s="65">
        <f>tblWorkPackages[[#This Row],[Completion date serial]]-tblWorkPackages[[#This Row],[Request date serial]]</f>
        <v>5</v>
      </c>
      <c r="AH404" s="65">
        <f>IFERROR(INDEX(tblParts[Delay days],MATCH(tblWorkPackages[[#This Row],[Work package ID]],tblParts[Work package ID],0)),0)</f>
        <v>0</v>
      </c>
      <c r="AI404" s="51" t="str">
        <f>IFERROR(INDEX(tblDisruptions[Event type],MATCH(tblWorkPackages[[#This Row],[Work package ID]],tblDisruptions[Work package ID],0)),"None")</f>
        <v>None</v>
      </c>
      <c r="AJ404" s="51" t="str">
        <f>TEXT(tblWorkPackages[[#This Row],[Due date serial]],"yyyy-mm")</f>
        <v>2025-09</v>
      </c>
    </row>
    <row r="405" spans="1:36" ht="15" x14ac:dyDescent="0.25">
      <c r="A405" s="53" t="s">
        <v>1159</v>
      </c>
      <c r="B405" s="53" t="s">
        <v>185</v>
      </c>
      <c r="C405" s="53" t="s">
        <v>177</v>
      </c>
      <c r="D405" s="53" t="s">
        <v>313</v>
      </c>
      <c r="E405" s="53" t="s">
        <v>181</v>
      </c>
      <c r="F405" s="53" t="s">
        <v>182</v>
      </c>
      <c r="G405" s="53" t="s">
        <v>138</v>
      </c>
      <c r="H405" s="53">
        <v>4</v>
      </c>
      <c r="I405" s="53" t="s">
        <v>130</v>
      </c>
      <c r="J405" s="53">
        <v>0</v>
      </c>
      <c r="K405" s="53">
        <v>0</v>
      </c>
      <c r="L405" s="53">
        <v>13.9</v>
      </c>
      <c r="M405" s="53" t="s">
        <v>885</v>
      </c>
      <c r="N405" s="53">
        <v>13.6</v>
      </c>
      <c r="O405" s="51" t="str">
        <f>TEXT(tblWorkPackages[[#This Row],[Request date serial]]-WEEKDAY(tblWorkPackages[[#This Row],[Request date serial]],3),"yyyy-mm-dd")</f>
        <v>2025-08-11</v>
      </c>
      <c r="P405" s="51">
        <f>ABS(tblWorkPackages[[#This Row],[Actual labor hours]]-tblWorkPackages[[#This Row],[Estimated labor hours]])</f>
        <v>0.300000000000001</v>
      </c>
      <c r="Q405" s="51">
        <f>IF(tblWorkPackages[[#This Row],[Actual labor hours]]&gt;tblWorkPackages[[#This Row],[Estimated labor hours]],1,0)</f>
        <v>0</v>
      </c>
      <c r="R405" s="51">
        <f>tblWorkPackages[[#This Row],[Actual labor hours]]-tblWorkPackages[[#This Row],[Estimated labor hours]]</f>
        <v>-0.300000000000001</v>
      </c>
      <c r="S405" s="51" t="str">
        <f>IF(tblWorkPackages[[#This Row],[Request date serial]]&lt;ValidationStart,"Train 2024",IF(tblWorkPackages[[#This Row],[Request date serial]]&lt;HoldoutStart,"Validation H1","Holdout H2"))</f>
        <v>Holdout H2</v>
      </c>
      <c r="T405" s="51">
        <f>IF(tblWorkPackages[[#This Row],[Time split]]="Train 2024","",tblWorkPackages[[#This Row],[Estimated labor hours]]+VLOOKUP(tblWorkPackages[[#This Row],[Task type]],'Forecast validation'!$A$14:$E$25,IF(tblWorkPackages[[#This Row],[Time split]]="Validation H1",4,5),FALSE()))</f>
        <v>14.4916083916084</v>
      </c>
      <c r="U405" s="51">
        <f>IF(tblWorkPackages[[#This Row],[Calibrated forecast hours]]="","",ABS(tblWorkPackages[[#This Row],[Actual labor hours]]-tblWorkPackages[[#This Row],[Calibrated forecast hours]]))</f>
        <v>0.891608391608392</v>
      </c>
      <c r="V405" s="51">
        <f>IF(tblWorkPackages[[#This Row],[Time split]]="Train 2024",tblWorkPackages[[#This Row],[Estimated labor hours]],tblWorkPackages[[#This Row],[Calibrated forecast hours]])</f>
        <v>14.4916083916084</v>
      </c>
      <c r="W405" s="64">
        <f>DATEVALUE(tblWorkPackages[[#This Row],[Request date]])</f>
        <v>45886.0</v>
      </c>
      <c r="X405" s="64">
        <f>DATEVALUE(tblWorkPackages[[#This Row],[Due date]])</f>
        <v>45899.0</v>
      </c>
      <c r="Y405" s="64">
        <f>DATEVALUE(tblWorkPackages[[#This Row],[Completion date]])</f>
        <v>45901.0</v>
      </c>
      <c r="Z405" s="64">
        <f>_xlfn.MINIFS(tblLaborEntries[Work date serial],tblLaborEntries[Work package ID],tblWorkPackages[[#This Row],[Work package ID]])</f>
        <v>45897.0</v>
      </c>
      <c r="AA405" s="64">
        <f>_xlfn.MAXIFS(tblLaborEntries[Work date serial],tblLaborEntries[Work package ID],tblWorkPackages[[#This Row],[Work package ID]])</f>
        <v>45898.0</v>
      </c>
      <c r="AB405" s="65">
        <f>IF(tblWorkPackages[[#This Row],[Completion date serial]]&gt;tblWorkPackages[[#This Row],[Due date serial]],1,0)</f>
        <v>1</v>
      </c>
      <c r="AC405" s="65">
        <f>MAX(0,tblWorkPackages[[#This Row],[Completion date serial]]-tblWorkPackages[[#This Row],[Due date serial]])</f>
        <v>2</v>
      </c>
      <c r="AD405" s="65">
        <f>tblWorkPackages[[#This Row],[First labor date]]-tblWorkPackages[[#This Row],[Request date serial]]</f>
        <v>11</v>
      </c>
      <c r="AE405" s="65">
        <f>tblWorkPackages[[#This Row],[Last labor date]]-tblWorkPackages[[#This Row],[First labor date]]</f>
        <v>1</v>
      </c>
      <c r="AF405" s="65">
        <f>tblWorkPackages[[#This Row],[Completion date serial]]-tblWorkPackages[[#This Row],[Last labor date]]</f>
        <v>3</v>
      </c>
      <c r="AG405" s="65">
        <f>tblWorkPackages[[#This Row],[Completion date serial]]-tblWorkPackages[[#This Row],[Request date serial]]</f>
        <v>15</v>
      </c>
      <c r="AH405" s="65">
        <f>IFERROR(INDEX(tblParts[Delay days],MATCH(tblWorkPackages[[#This Row],[Work package ID]],tblParts[Work package ID],0)),0)</f>
        <v>0</v>
      </c>
      <c r="AI405" s="51" t="str">
        <f>IFERROR(INDEX(tblDisruptions[Event type],MATCH(tblWorkPackages[[#This Row],[Work package ID]],tblDisruptions[Work package ID],0)),"None")</f>
        <v>None</v>
      </c>
      <c r="AJ405" s="51" t="str">
        <f>TEXT(tblWorkPackages[[#This Row],[Due date serial]],"yyyy-mm")</f>
        <v>2025-08</v>
      </c>
    </row>
    <row r="406" spans="1:36" ht="15" x14ac:dyDescent="0.25">
      <c r="A406" s="53" t="s">
        <v>1160</v>
      </c>
      <c r="B406" s="53" t="s">
        <v>168</v>
      </c>
      <c r="C406" s="53" t="s">
        <v>1161</v>
      </c>
      <c r="D406" s="53" t="s">
        <v>1162</v>
      </c>
      <c r="E406" s="53" t="s">
        <v>181</v>
      </c>
      <c r="F406" s="53" t="s">
        <v>182</v>
      </c>
      <c r="G406" s="53" t="s">
        <v>138</v>
      </c>
      <c r="H406" s="53">
        <v>3</v>
      </c>
      <c r="I406" s="53" t="s">
        <v>130</v>
      </c>
      <c r="J406" s="53">
        <v>0</v>
      </c>
      <c r="K406" s="53">
        <v>1</v>
      </c>
      <c r="L406" s="53">
        <v>10</v>
      </c>
      <c r="M406" s="53" t="s">
        <v>1048</v>
      </c>
      <c r="N406" s="53">
        <v>16</v>
      </c>
      <c r="O406" s="51" t="str">
        <f>TEXT(tblWorkPackages[[#This Row],[Request date serial]]-WEEKDAY(tblWorkPackages[[#This Row],[Request date serial]],3),"yyyy-mm-dd")</f>
        <v>2025-12-15</v>
      </c>
      <c r="P406" s="51">
        <f>ABS(tblWorkPackages[[#This Row],[Actual labor hours]]-tblWorkPackages[[#This Row],[Estimated labor hours]])</f>
        <v>6</v>
      </c>
      <c r="Q406" s="51">
        <f>IF(tblWorkPackages[[#This Row],[Actual labor hours]]&gt;tblWorkPackages[[#This Row],[Estimated labor hours]],1,0)</f>
        <v>1</v>
      </c>
      <c r="R406" s="51">
        <f>tblWorkPackages[[#This Row],[Actual labor hours]]-tblWorkPackages[[#This Row],[Estimated labor hours]]</f>
        <v>6</v>
      </c>
      <c r="S406" s="51" t="str">
        <f>IF(tblWorkPackages[[#This Row],[Request date serial]]&lt;ValidationStart,"Train 2024",IF(tblWorkPackages[[#This Row],[Request date serial]]&lt;HoldoutStart,"Validation H1","Holdout H2"))</f>
        <v>Holdout H2</v>
      </c>
      <c r="T406" s="51">
        <f>IF(tblWorkPackages[[#This Row],[Time split]]="Train 2024","",tblWorkPackages[[#This Row],[Estimated labor hours]]+VLOOKUP(tblWorkPackages[[#This Row],[Task type]],'Forecast validation'!$A$14:$E$25,IF(tblWorkPackages[[#This Row],[Time split]]="Validation H1",4,5),FALSE()))</f>
        <v>10.5916083916084</v>
      </c>
      <c r="U406" s="51">
        <f>IF(tblWorkPackages[[#This Row],[Calibrated forecast hours]]="","",ABS(tblWorkPackages[[#This Row],[Actual labor hours]]-tblWorkPackages[[#This Row],[Calibrated forecast hours]]))</f>
        <v>5.40839160839161</v>
      </c>
      <c r="V406" s="51">
        <f>IF(tblWorkPackages[[#This Row],[Time split]]="Train 2024",tblWorkPackages[[#This Row],[Estimated labor hours]],tblWorkPackages[[#This Row],[Calibrated forecast hours]])</f>
        <v>10.5916083916084</v>
      </c>
      <c r="W406" s="64">
        <f>DATEVALUE(tblWorkPackages[[#This Row],[Request date]])</f>
        <v>46010.0</v>
      </c>
      <c r="X406" s="64">
        <f>DATEVALUE(tblWorkPackages[[#This Row],[Due date]])</f>
        <v>46023.0</v>
      </c>
      <c r="Y406" s="64">
        <f>DATEVALUE(tblWorkPackages[[#This Row],[Completion date]])</f>
        <v>46024.0</v>
      </c>
      <c r="Z406" s="64">
        <f>_xlfn.MINIFS(tblLaborEntries[Work date serial],tblLaborEntries[Work package ID],tblWorkPackages[[#This Row],[Work package ID]])</f>
        <v>46023.0</v>
      </c>
      <c r="AA406" s="64">
        <f>_xlfn.MAXIFS(tblLaborEntries[Work date serial],tblLaborEntries[Work package ID],tblWorkPackages[[#This Row],[Work package ID]])</f>
        <v>46024.0</v>
      </c>
      <c r="AB406" s="65">
        <f>IF(tblWorkPackages[[#This Row],[Completion date serial]]&gt;tblWorkPackages[[#This Row],[Due date serial]],1,0)</f>
        <v>1</v>
      </c>
      <c r="AC406" s="65">
        <f>MAX(0,tblWorkPackages[[#This Row],[Completion date serial]]-tblWorkPackages[[#This Row],[Due date serial]])</f>
        <v>1</v>
      </c>
      <c r="AD406" s="65">
        <f>tblWorkPackages[[#This Row],[First labor date]]-tblWorkPackages[[#This Row],[Request date serial]]</f>
        <v>13</v>
      </c>
      <c r="AE406" s="65">
        <f>tblWorkPackages[[#This Row],[Last labor date]]-tblWorkPackages[[#This Row],[First labor date]]</f>
        <v>1</v>
      </c>
      <c r="AF406" s="65">
        <f>tblWorkPackages[[#This Row],[Completion date serial]]-tblWorkPackages[[#This Row],[Last labor date]]</f>
        <v>0</v>
      </c>
      <c r="AG406" s="65">
        <f>tblWorkPackages[[#This Row],[Completion date serial]]-tblWorkPackages[[#This Row],[Request date serial]]</f>
        <v>14</v>
      </c>
      <c r="AH406" s="65">
        <f>IFERROR(INDEX(tblParts[Delay days],MATCH(tblWorkPackages[[#This Row],[Work package ID]],tblParts[Work package ID],0)),0)</f>
        <v>10</v>
      </c>
      <c r="AI406" s="51" t="str">
        <f>IFERROR(INDEX(tblDisruptions[Event type],MATCH(tblWorkPackages[[#This Row],[Work package ID]],tblDisruptions[Work package ID],0)),"None")</f>
        <v>Part delay</v>
      </c>
      <c r="AJ406" s="51" t="str">
        <f>TEXT(tblWorkPackages[[#This Row],[Due date serial]],"yyyy-mm")</f>
        <v>2026-01</v>
      </c>
    </row>
    <row r="407" spans="1:36" ht="15" x14ac:dyDescent="0.25">
      <c r="A407" s="53" t="s">
        <v>1163</v>
      </c>
      <c r="B407" s="53" t="s">
        <v>168</v>
      </c>
      <c r="C407" s="53" t="s">
        <v>1033</v>
      </c>
      <c r="D407" s="53" t="s">
        <v>575</v>
      </c>
      <c r="E407" s="53" t="s">
        <v>200</v>
      </c>
      <c r="F407" s="53" t="s">
        <v>128</v>
      </c>
      <c r="G407" s="53" t="s">
        <v>129</v>
      </c>
      <c r="H407" s="53">
        <v>3</v>
      </c>
      <c r="I407" s="53" t="s">
        <v>130</v>
      </c>
      <c r="J407" s="53">
        <v>0</v>
      </c>
      <c r="K407" s="53">
        <v>0</v>
      </c>
      <c r="L407" s="53">
        <v>4.5</v>
      </c>
      <c r="M407" s="53" t="s">
        <v>439</v>
      </c>
      <c r="N407" s="53">
        <v>5.0999999999999996</v>
      </c>
      <c r="O407" s="51" t="str">
        <f>TEXT(tblWorkPackages[[#This Row],[Request date serial]]-WEEKDAY(tblWorkPackages[[#This Row],[Request date serial]],3),"yyyy-mm-dd")</f>
        <v>2024-05-27</v>
      </c>
      <c r="P407" s="51">
        <f>ABS(tblWorkPackages[[#This Row],[Actual labor hours]]-tblWorkPackages[[#This Row],[Estimated labor hours]])</f>
        <v>0.6</v>
      </c>
      <c r="Q407" s="51">
        <f>IF(tblWorkPackages[[#This Row],[Actual labor hours]]&gt;tblWorkPackages[[#This Row],[Estimated labor hours]],1,0)</f>
        <v>1</v>
      </c>
      <c r="R407" s="51">
        <f>tblWorkPackages[[#This Row],[Actual labor hours]]-tblWorkPackages[[#This Row],[Estimated labor hours]]</f>
        <v>0.6</v>
      </c>
      <c r="S407" s="51" t="str">
        <f>IF(tblWorkPackages[[#This Row],[Request date serial]]&lt;ValidationStart,"Train 2024",IF(tblWorkPackages[[#This Row],[Request date serial]]&lt;HoldoutStart,"Validation H1","Holdout H2"))</f>
        <v>Train 2024</v>
      </c>
      <c r="T407" s="51" t="str">
        <f>IF(tblWorkPackages[[#This Row],[Time split]]="Train 2024","",tblWorkPackages[[#This Row],[Estimated labor hours]]+VLOOKUP(tblWorkPackages[[#This Row],[Task type]],'Forecast validation'!$A$14:$E$25,IF(tblWorkPackages[[#This Row],[Time split]]="Validation H1",4,5),FALSE()))</f>
        <v/>
      </c>
      <c r="U407" s="51" t="str">
        <f>IF(tblWorkPackages[[#This Row],[Calibrated forecast hours]]="","",ABS(tblWorkPackages[[#This Row],[Actual labor hours]]-tblWorkPackages[[#This Row],[Calibrated forecast hours]]))</f>
        <v/>
      </c>
      <c r="V407" s="51">
        <f>IF(tblWorkPackages[[#This Row],[Time split]]="Train 2024",tblWorkPackages[[#This Row],[Estimated labor hours]],tblWorkPackages[[#This Row],[Calibrated forecast hours]])</f>
        <v>4.5</v>
      </c>
      <c r="W407" s="64">
        <f>DATEVALUE(tblWorkPackages[[#This Row],[Request date]])</f>
        <v>45445.0</v>
      </c>
      <c r="X407" s="64">
        <f>DATEVALUE(tblWorkPackages[[#This Row],[Due date]])</f>
        <v>45458.0</v>
      </c>
      <c r="Y407" s="64">
        <f>DATEVALUE(tblWorkPackages[[#This Row],[Completion date]])</f>
        <v>45480.0</v>
      </c>
      <c r="Z407" s="64">
        <f>_xlfn.MINIFS(tblLaborEntries[Work date serial],tblLaborEntries[Work package ID],tblWorkPackages[[#This Row],[Work package ID]])</f>
        <v>45478.0</v>
      </c>
      <c r="AA407" s="64">
        <f>_xlfn.MAXIFS(tblLaborEntries[Work date serial],tblLaborEntries[Work package ID],tblWorkPackages[[#This Row],[Work package ID]])</f>
        <v>45479.0</v>
      </c>
      <c r="AB407" s="65">
        <f>IF(tblWorkPackages[[#This Row],[Completion date serial]]&gt;tblWorkPackages[[#This Row],[Due date serial]],1,0)</f>
        <v>1</v>
      </c>
      <c r="AC407" s="65">
        <f>MAX(0,tblWorkPackages[[#This Row],[Completion date serial]]-tblWorkPackages[[#This Row],[Due date serial]])</f>
        <v>22</v>
      </c>
      <c r="AD407" s="65">
        <f>tblWorkPackages[[#This Row],[First labor date]]-tblWorkPackages[[#This Row],[Request date serial]]</f>
        <v>33</v>
      </c>
      <c r="AE407" s="65">
        <f>tblWorkPackages[[#This Row],[Last labor date]]-tblWorkPackages[[#This Row],[First labor date]]</f>
        <v>1</v>
      </c>
      <c r="AF407" s="65">
        <f>tblWorkPackages[[#This Row],[Completion date serial]]-tblWorkPackages[[#This Row],[Last labor date]]</f>
        <v>1</v>
      </c>
      <c r="AG407" s="65">
        <f>tblWorkPackages[[#This Row],[Completion date serial]]-tblWorkPackages[[#This Row],[Request date serial]]</f>
        <v>35</v>
      </c>
      <c r="AH407" s="65">
        <f>IFERROR(INDEX(tblParts[Delay days],MATCH(tblWorkPackages[[#This Row],[Work package ID]],tblParts[Work package ID],0)),0)</f>
        <v>0</v>
      </c>
      <c r="AI407" s="51" t="str">
        <f>IFERROR(INDEX(tblDisruptions[Event type],MATCH(tblWorkPackages[[#This Row],[Work package ID]],tblDisruptions[Work package ID],0)),"None")</f>
        <v>None</v>
      </c>
      <c r="AJ407" s="51" t="str">
        <f>TEXT(tblWorkPackages[[#This Row],[Due date serial]],"yyyy-mm")</f>
        <v>2024-06</v>
      </c>
    </row>
    <row r="408" spans="1:36" ht="15" x14ac:dyDescent="0.25">
      <c r="A408" s="53" t="s">
        <v>1164</v>
      </c>
      <c r="B408" s="53" t="s">
        <v>287</v>
      </c>
      <c r="C408" s="53" t="s">
        <v>970</v>
      </c>
      <c r="D408" s="53" t="s">
        <v>898</v>
      </c>
      <c r="E408" s="53" t="s">
        <v>144</v>
      </c>
      <c r="F408" s="53" t="s">
        <v>145</v>
      </c>
      <c r="G408" s="53" t="s">
        <v>146</v>
      </c>
      <c r="H408" s="53">
        <v>3</v>
      </c>
      <c r="I408" s="53" t="s">
        <v>147</v>
      </c>
      <c r="J408" s="53">
        <v>0</v>
      </c>
      <c r="K408" s="53">
        <v>0</v>
      </c>
      <c r="L408" s="53">
        <v>16.100000000000001</v>
      </c>
      <c r="M408" s="53" t="s">
        <v>1124</v>
      </c>
      <c r="N408" s="53">
        <v>17</v>
      </c>
      <c r="O408" s="51" t="str">
        <f>TEXT(tblWorkPackages[[#This Row],[Request date serial]]-WEEKDAY(tblWorkPackages[[#This Row],[Request date serial]],3),"yyyy-mm-dd")</f>
        <v>2024-05-06</v>
      </c>
      <c r="P408" s="51">
        <f>ABS(tblWorkPackages[[#This Row],[Actual labor hours]]-tblWorkPackages[[#This Row],[Estimated labor hours]])</f>
        <v>0.899999999999999</v>
      </c>
      <c r="Q408" s="51">
        <f>IF(tblWorkPackages[[#This Row],[Actual labor hours]]&gt;tblWorkPackages[[#This Row],[Estimated labor hours]],1,0)</f>
        <v>1</v>
      </c>
      <c r="R408" s="51">
        <f>tblWorkPackages[[#This Row],[Actual labor hours]]-tblWorkPackages[[#This Row],[Estimated labor hours]]</f>
        <v>0.899999999999999</v>
      </c>
      <c r="S408" s="51" t="str">
        <f>IF(tblWorkPackages[[#This Row],[Request date serial]]&lt;ValidationStart,"Train 2024",IF(tblWorkPackages[[#This Row],[Request date serial]]&lt;HoldoutStart,"Validation H1","Holdout H2"))</f>
        <v>Train 2024</v>
      </c>
      <c r="T408" s="51" t="str">
        <f>IF(tblWorkPackages[[#This Row],[Time split]]="Train 2024","",tblWorkPackages[[#This Row],[Estimated labor hours]]+VLOOKUP(tblWorkPackages[[#This Row],[Task type]],'Forecast validation'!$A$14:$E$25,IF(tblWorkPackages[[#This Row],[Time split]]="Validation H1",4,5),FALSE()))</f>
        <v/>
      </c>
      <c r="U408" s="51" t="str">
        <f>IF(tblWorkPackages[[#This Row],[Calibrated forecast hours]]="","",ABS(tblWorkPackages[[#This Row],[Actual labor hours]]-tblWorkPackages[[#This Row],[Calibrated forecast hours]]))</f>
        <v/>
      </c>
      <c r="V408" s="51">
        <f>IF(tblWorkPackages[[#This Row],[Time split]]="Train 2024",tblWorkPackages[[#This Row],[Estimated labor hours]],tblWorkPackages[[#This Row],[Calibrated forecast hours]])</f>
        <v>16.1</v>
      </c>
      <c r="W408" s="64">
        <f>DATEVALUE(tblWorkPackages[[#This Row],[Request date]])</f>
        <v>45418.0</v>
      </c>
      <c r="X408" s="64">
        <f>DATEVALUE(tblWorkPackages[[#This Row],[Due date]])</f>
        <v>45420.0</v>
      </c>
      <c r="Y408" s="64">
        <f>DATEVALUE(tblWorkPackages[[#This Row],[Completion date]])</f>
        <v>45427.0</v>
      </c>
      <c r="Z408" s="64">
        <f>_xlfn.MINIFS(tblLaborEntries[Work date serial],tblLaborEntries[Work package ID],tblWorkPackages[[#This Row],[Work package ID]])</f>
        <v>45424.0</v>
      </c>
      <c r="AA408" s="64">
        <f>_xlfn.MAXIFS(tblLaborEntries[Work date serial],tblLaborEntries[Work package ID],tblWorkPackages[[#This Row],[Work package ID]])</f>
        <v>45425.0</v>
      </c>
      <c r="AB408" s="65">
        <f>IF(tblWorkPackages[[#This Row],[Completion date serial]]&gt;tblWorkPackages[[#This Row],[Due date serial]],1,0)</f>
        <v>1</v>
      </c>
      <c r="AC408" s="65">
        <f>MAX(0,tblWorkPackages[[#This Row],[Completion date serial]]-tblWorkPackages[[#This Row],[Due date serial]])</f>
        <v>7</v>
      </c>
      <c r="AD408" s="65">
        <f>tblWorkPackages[[#This Row],[First labor date]]-tblWorkPackages[[#This Row],[Request date serial]]</f>
        <v>6</v>
      </c>
      <c r="AE408" s="65">
        <f>tblWorkPackages[[#This Row],[Last labor date]]-tblWorkPackages[[#This Row],[First labor date]]</f>
        <v>1</v>
      </c>
      <c r="AF408" s="65">
        <f>tblWorkPackages[[#This Row],[Completion date serial]]-tblWorkPackages[[#This Row],[Last labor date]]</f>
        <v>2</v>
      </c>
      <c r="AG408" s="65">
        <f>tblWorkPackages[[#This Row],[Completion date serial]]-tblWorkPackages[[#This Row],[Request date serial]]</f>
        <v>9</v>
      </c>
      <c r="AH408" s="65">
        <f>IFERROR(INDEX(tblParts[Delay days],MATCH(tblWorkPackages[[#This Row],[Work package ID]],tblParts[Work package ID],0)),0)</f>
        <v>0</v>
      </c>
      <c r="AI408" s="51" t="str">
        <f>IFERROR(INDEX(tblDisruptions[Event type],MATCH(tblWorkPackages[[#This Row],[Work package ID]],tblDisruptions[Work package ID],0)),"None")</f>
        <v>None</v>
      </c>
      <c r="AJ408" s="51" t="str">
        <f>TEXT(tblWorkPackages[[#This Row],[Due date serial]],"yyyy-mm")</f>
        <v>2024-05</v>
      </c>
    </row>
    <row r="409" spans="1:36" ht="15" x14ac:dyDescent="0.25">
      <c r="A409" s="53" t="s">
        <v>1165</v>
      </c>
      <c r="B409" s="53" t="s">
        <v>173</v>
      </c>
      <c r="C409" s="53" t="s">
        <v>280</v>
      </c>
      <c r="D409" s="53" t="s">
        <v>1166</v>
      </c>
      <c r="E409" s="53" t="s">
        <v>136</v>
      </c>
      <c r="F409" s="53" t="s">
        <v>137</v>
      </c>
      <c r="G409" s="53" t="s">
        <v>138</v>
      </c>
      <c r="H409" s="53">
        <v>3</v>
      </c>
      <c r="I409" s="53" t="s">
        <v>176</v>
      </c>
      <c r="J409" s="53">
        <v>0</v>
      </c>
      <c r="K409" s="53">
        <v>0</v>
      </c>
      <c r="L409" s="53">
        <v>18.600000000000001</v>
      </c>
      <c r="M409" s="53" t="s">
        <v>1167</v>
      </c>
      <c r="N409" s="53">
        <v>17.5</v>
      </c>
      <c r="O409" s="51" t="str">
        <f>TEXT(tblWorkPackages[[#This Row],[Request date serial]]-WEEKDAY(tblWorkPackages[[#This Row],[Request date serial]],3),"yyyy-mm-dd")</f>
        <v>2025-01-27</v>
      </c>
      <c r="P409" s="51">
        <f>ABS(tblWorkPackages[[#This Row],[Actual labor hours]]-tblWorkPackages[[#This Row],[Estimated labor hours]])</f>
        <v>1.1</v>
      </c>
      <c r="Q409" s="51">
        <f>IF(tblWorkPackages[[#This Row],[Actual labor hours]]&gt;tblWorkPackages[[#This Row],[Estimated labor hours]],1,0)</f>
        <v>0</v>
      </c>
      <c r="R409" s="51">
        <f>tblWorkPackages[[#This Row],[Actual labor hours]]-tblWorkPackages[[#This Row],[Estimated labor hours]]</f>
        <v>-1.1</v>
      </c>
      <c r="S409" s="51" t="str">
        <f>IF(tblWorkPackages[[#This Row],[Request date serial]]&lt;ValidationStart,"Train 2024",IF(tblWorkPackages[[#This Row],[Request date serial]]&lt;HoldoutStart,"Validation H1","Holdout H2"))</f>
        <v>Validation H1</v>
      </c>
      <c r="T409" s="51">
        <f>IF(tblWorkPackages[[#This Row],[Time split]]="Train 2024","",tblWorkPackages[[#This Row],[Estimated labor hours]]+VLOOKUP(tblWorkPackages[[#This Row],[Task type]],'Forecast validation'!$A$14:$E$25,IF(tblWorkPackages[[#This Row],[Time split]]="Validation H1",4,5),FALSE()))</f>
        <v>19.4765306122449</v>
      </c>
      <c r="U409" s="51">
        <f>IF(tblWorkPackages[[#This Row],[Calibrated forecast hours]]="","",ABS(tblWorkPackages[[#This Row],[Actual labor hours]]-tblWorkPackages[[#This Row],[Calibrated forecast hours]]))</f>
        <v>1.9765306122449</v>
      </c>
      <c r="V409" s="51">
        <f>IF(tblWorkPackages[[#This Row],[Time split]]="Train 2024",tblWorkPackages[[#This Row],[Estimated labor hours]],tblWorkPackages[[#This Row],[Calibrated forecast hours]])</f>
        <v>19.4765306122449</v>
      </c>
      <c r="W409" s="64">
        <f>DATEVALUE(tblWorkPackages[[#This Row],[Request date]])</f>
        <v>45685.0</v>
      </c>
      <c r="X409" s="64">
        <f>DATEVALUE(tblWorkPackages[[#This Row],[Due date]])</f>
        <v>45691.0</v>
      </c>
      <c r="Y409" s="64">
        <f>DATEVALUE(tblWorkPackages[[#This Row],[Completion date]])</f>
        <v>45692.0</v>
      </c>
      <c r="Z409" s="64">
        <f>_xlfn.MINIFS(tblLaborEntries[Work date serial],tblLaborEntries[Work package ID],tblWorkPackages[[#This Row],[Work package ID]])</f>
        <v>45687.0</v>
      </c>
      <c r="AA409" s="64">
        <f>_xlfn.MAXIFS(tblLaborEntries[Work date serial],tblLaborEntries[Work package ID],tblWorkPackages[[#This Row],[Work package ID]])</f>
        <v>45689.0</v>
      </c>
      <c r="AB409" s="65">
        <f>IF(tblWorkPackages[[#This Row],[Completion date serial]]&gt;tblWorkPackages[[#This Row],[Due date serial]],1,0)</f>
        <v>1</v>
      </c>
      <c r="AC409" s="65">
        <f>MAX(0,tblWorkPackages[[#This Row],[Completion date serial]]-tblWorkPackages[[#This Row],[Due date serial]])</f>
        <v>1</v>
      </c>
      <c r="AD409" s="65">
        <f>tblWorkPackages[[#This Row],[First labor date]]-tblWorkPackages[[#This Row],[Request date serial]]</f>
        <v>2</v>
      </c>
      <c r="AE409" s="65">
        <f>tblWorkPackages[[#This Row],[Last labor date]]-tblWorkPackages[[#This Row],[First labor date]]</f>
        <v>2</v>
      </c>
      <c r="AF409" s="65">
        <f>tblWorkPackages[[#This Row],[Completion date serial]]-tblWorkPackages[[#This Row],[Last labor date]]</f>
        <v>3</v>
      </c>
      <c r="AG409" s="65">
        <f>tblWorkPackages[[#This Row],[Completion date serial]]-tblWorkPackages[[#This Row],[Request date serial]]</f>
        <v>7</v>
      </c>
      <c r="AH409" s="65">
        <f>IFERROR(INDEX(tblParts[Delay days],MATCH(tblWorkPackages[[#This Row],[Work package ID]],tblParts[Work package ID],0)),0)</f>
        <v>0</v>
      </c>
      <c r="AI409" s="51" t="str">
        <f>IFERROR(INDEX(tblDisruptions[Event type],MATCH(tblWorkPackages[[#This Row],[Work package ID]],tblDisruptions[Work package ID],0)),"None")</f>
        <v>Scope change</v>
      </c>
      <c r="AJ409" s="51" t="str">
        <f>TEXT(tblWorkPackages[[#This Row],[Due date serial]],"yyyy-mm")</f>
        <v>2025-02</v>
      </c>
    </row>
    <row r="410" spans="1:36" ht="15" x14ac:dyDescent="0.25">
      <c r="A410" s="53" t="s">
        <v>1168</v>
      </c>
      <c r="B410" s="53" t="s">
        <v>150</v>
      </c>
      <c r="C410" s="53" t="s">
        <v>1044</v>
      </c>
      <c r="D410" s="53" t="s">
        <v>201</v>
      </c>
      <c r="E410" s="53" t="s">
        <v>200</v>
      </c>
      <c r="F410" s="53" t="s">
        <v>128</v>
      </c>
      <c r="G410" s="53" t="s">
        <v>129</v>
      </c>
      <c r="H410" s="53">
        <v>1</v>
      </c>
      <c r="I410" s="53" t="s">
        <v>130</v>
      </c>
      <c r="J410" s="53">
        <v>0</v>
      </c>
      <c r="K410" s="53">
        <v>0</v>
      </c>
      <c r="L410" s="53">
        <v>2.2000000000000002</v>
      </c>
      <c r="M410" s="53" t="s">
        <v>863</v>
      </c>
      <c r="N410" s="53">
        <v>2.6</v>
      </c>
      <c r="O410" s="51" t="str">
        <f>TEXT(tblWorkPackages[[#This Row],[Request date serial]]-WEEKDAY(tblWorkPackages[[#This Row],[Request date serial]],3),"yyyy-mm-dd")</f>
        <v>2025-06-09</v>
      </c>
      <c r="P410" s="51">
        <f>ABS(tblWorkPackages[[#This Row],[Actual labor hours]]-tblWorkPackages[[#This Row],[Estimated labor hours]])</f>
        <v>0.4</v>
      </c>
      <c r="Q410" s="51">
        <f>IF(tblWorkPackages[[#This Row],[Actual labor hours]]&gt;tblWorkPackages[[#This Row],[Estimated labor hours]],1,0)</f>
        <v>1</v>
      </c>
      <c r="R410" s="51">
        <f>tblWorkPackages[[#This Row],[Actual labor hours]]-tblWorkPackages[[#This Row],[Estimated labor hours]]</f>
        <v>0.4</v>
      </c>
      <c r="S410" s="51" t="str">
        <f>IF(tblWorkPackages[[#This Row],[Request date serial]]&lt;ValidationStart,"Train 2024",IF(tblWorkPackages[[#This Row],[Request date serial]]&lt;HoldoutStart,"Validation H1","Holdout H2"))</f>
        <v>Validation H1</v>
      </c>
      <c r="T410" s="51">
        <f>IF(tblWorkPackages[[#This Row],[Time split]]="Train 2024","",tblWorkPackages[[#This Row],[Estimated labor hours]]+VLOOKUP(tblWorkPackages[[#This Row],[Task type]],'Forecast validation'!$A$14:$E$25,IF(tblWorkPackages[[#This Row],[Time split]]="Validation H1",4,5),FALSE()))</f>
        <v>2.53069306930693</v>
      </c>
      <c r="U410" s="51">
        <f>IF(tblWorkPackages[[#This Row],[Calibrated forecast hours]]="","",ABS(tblWorkPackages[[#This Row],[Actual labor hours]]-tblWorkPackages[[#This Row],[Calibrated forecast hours]]))</f>
        <v>0.0693069306930694</v>
      </c>
      <c r="V410" s="51">
        <f>IF(tblWorkPackages[[#This Row],[Time split]]="Train 2024",tblWorkPackages[[#This Row],[Estimated labor hours]],tblWorkPackages[[#This Row],[Calibrated forecast hours]])</f>
        <v>2.53069306930693</v>
      </c>
      <c r="W410" s="64">
        <f>DATEVALUE(tblWorkPackages[[#This Row],[Request date]])</f>
        <v>45822.0</v>
      </c>
      <c r="X410" s="64">
        <f>DATEVALUE(tblWorkPackages[[#This Row],[Due date]])</f>
        <v>45835.0</v>
      </c>
      <c r="Y410" s="64">
        <f>DATEVALUE(tblWorkPackages[[#This Row],[Completion date]])</f>
        <v>45837.0</v>
      </c>
      <c r="Z410" s="64">
        <f>_xlfn.MINIFS(tblLaborEntries[Work date serial],tblLaborEntries[Work package ID],tblWorkPackages[[#This Row],[Work package ID]])</f>
        <v>45837.0</v>
      </c>
      <c r="AA410" s="64">
        <f>_xlfn.MAXIFS(tblLaborEntries[Work date serial],tblLaborEntries[Work package ID],tblWorkPackages[[#This Row],[Work package ID]])</f>
        <v>45837.0</v>
      </c>
      <c r="AB410" s="65">
        <f>IF(tblWorkPackages[[#This Row],[Completion date serial]]&gt;tblWorkPackages[[#This Row],[Due date serial]],1,0)</f>
        <v>1</v>
      </c>
      <c r="AC410" s="65">
        <f>MAX(0,tblWorkPackages[[#This Row],[Completion date serial]]-tblWorkPackages[[#This Row],[Due date serial]])</f>
        <v>2</v>
      </c>
      <c r="AD410" s="65">
        <f>tblWorkPackages[[#This Row],[First labor date]]-tblWorkPackages[[#This Row],[Request date serial]]</f>
        <v>15</v>
      </c>
      <c r="AE410" s="65">
        <f>tblWorkPackages[[#This Row],[Last labor date]]-tblWorkPackages[[#This Row],[First labor date]]</f>
        <v>0</v>
      </c>
      <c r="AF410" s="65">
        <f>tblWorkPackages[[#This Row],[Completion date serial]]-tblWorkPackages[[#This Row],[Last labor date]]</f>
        <v>0</v>
      </c>
      <c r="AG410" s="65">
        <f>tblWorkPackages[[#This Row],[Completion date serial]]-tblWorkPackages[[#This Row],[Request date serial]]</f>
        <v>15</v>
      </c>
      <c r="AH410" s="65">
        <f>IFERROR(INDEX(tblParts[Delay days],MATCH(tblWorkPackages[[#This Row],[Work package ID]],tblParts[Work package ID],0)),0)</f>
        <v>0</v>
      </c>
      <c r="AI410" s="51" t="str">
        <f>IFERROR(INDEX(tblDisruptions[Event type],MATCH(tblWorkPackages[[#This Row],[Work package ID]],tblDisruptions[Work package ID],0)),"None")</f>
        <v>None</v>
      </c>
      <c r="AJ410" s="51" t="str">
        <f>TEXT(tblWorkPackages[[#This Row],[Due date serial]],"yyyy-mm")</f>
        <v>2025-06</v>
      </c>
    </row>
    <row r="411" spans="1:36" ht="15" x14ac:dyDescent="0.25">
      <c r="A411" s="53" t="s">
        <v>1169</v>
      </c>
      <c r="B411" s="53" t="s">
        <v>141</v>
      </c>
      <c r="C411" s="53" t="s">
        <v>1170</v>
      </c>
      <c r="D411" s="53" t="s">
        <v>620</v>
      </c>
      <c r="E411" s="53" t="s">
        <v>223</v>
      </c>
      <c r="F411" s="53" t="s">
        <v>182</v>
      </c>
      <c r="G411" s="53" t="s">
        <v>154</v>
      </c>
      <c r="H411" s="53">
        <v>1</v>
      </c>
      <c r="I411" s="53" t="s">
        <v>130</v>
      </c>
      <c r="J411" s="53">
        <v>1</v>
      </c>
      <c r="K411" s="53">
        <v>0</v>
      </c>
      <c r="L411" s="53">
        <v>8.1</v>
      </c>
      <c r="M411" s="53" t="s">
        <v>451</v>
      </c>
      <c r="N411" s="53">
        <v>9.4</v>
      </c>
      <c r="O411" s="51" t="str">
        <f>TEXT(tblWorkPackages[[#This Row],[Request date serial]]-WEEKDAY(tblWorkPackages[[#This Row],[Request date serial]],3),"yyyy-mm-dd")</f>
        <v>2024-07-01</v>
      </c>
      <c r="P411" s="51">
        <f>ABS(tblWorkPackages[[#This Row],[Actual labor hours]]-tblWorkPackages[[#This Row],[Estimated labor hours]])</f>
        <v>1.3</v>
      </c>
      <c r="Q411" s="51">
        <f>IF(tblWorkPackages[[#This Row],[Actual labor hours]]&gt;tblWorkPackages[[#This Row],[Estimated labor hours]],1,0)</f>
        <v>1</v>
      </c>
      <c r="R411" s="51">
        <f>tblWorkPackages[[#This Row],[Actual labor hours]]-tblWorkPackages[[#This Row],[Estimated labor hours]]</f>
        <v>1.3</v>
      </c>
      <c r="S411" s="51" t="str">
        <f>IF(tblWorkPackages[[#This Row],[Request date serial]]&lt;ValidationStart,"Train 2024",IF(tblWorkPackages[[#This Row],[Request date serial]]&lt;HoldoutStart,"Validation H1","Holdout H2"))</f>
        <v>Train 2024</v>
      </c>
      <c r="T411" s="51" t="str">
        <f>IF(tblWorkPackages[[#This Row],[Time split]]="Train 2024","",tblWorkPackages[[#This Row],[Estimated labor hours]]+VLOOKUP(tblWorkPackages[[#This Row],[Task type]],'Forecast validation'!$A$14:$E$25,IF(tblWorkPackages[[#This Row],[Time split]]="Validation H1",4,5),FALSE()))</f>
        <v/>
      </c>
      <c r="U411" s="51" t="str">
        <f>IF(tblWorkPackages[[#This Row],[Calibrated forecast hours]]="","",ABS(tblWorkPackages[[#This Row],[Actual labor hours]]-tblWorkPackages[[#This Row],[Calibrated forecast hours]]))</f>
        <v/>
      </c>
      <c r="V411" s="51">
        <f>IF(tblWorkPackages[[#This Row],[Time split]]="Train 2024",tblWorkPackages[[#This Row],[Estimated labor hours]],tblWorkPackages[[#This Row],[Calibrated forecast hours]])</f>
        <v>8.1</v>
      </c>
      <c r="W411" s="64">
        <f>DATEVALUE(tblWorkPackages[[#This Row],[Request date]])</f>
        <v>45477.0</v>
      </c>
      <c r="X411" s="64">
        <f>DATEVALUE(tblWorkPackages[[#This Row],[Due date]])</f>
        <v>45490.0</v>
      </c>
      <c r="Y411" s="64">
        <f>DATEVALUE(tblWorkPackages[[#This Row],[Completion date]])</f>
        <v>45484.0</v>
      </c>
      <c r="Z411" s="64">
        <f>_xlfn.MINIFS(tblLaborEntries[Work date serial],tblLaborEntries[Work package ID],tblWorkPackages[[#This Row],[Work package ID]])</f>
        <v>45481.0</v>
      </c>
      <c r="AA411" s="64">
        <f>_xlfn.MAXIFS(tblLaborEntries[Work date serial],tblLaborEntries[Work package ID],tblWorkPackages[[#This Row],[Work package ID]])</f>
        <v>45483.0</v>
      </c>
      <c r="AB411" s="65">
        <f>IF(tblWorkPackages[[#This Row],[Completion date serial]]&gt;tblWorkPackages[[#This Row],[Due date serial]],1,0)</f>
        <v>0</v>
      </c>
      <c r="AC411" s="65">
        <f>MAX(0,tblWorkPackages[[#This Row],[Completion date serial]]-tblWorkPackages[[#This Row],[Due date serial]])</f>
        <v>0</v>
      </c>
      <c r="AD411" s="65">
        <f>tblWorkPackages[[#This Row],[First labor date]]-tblWorkPackages[[#This Row],[Request date serial]]</f>
        <v>4</v>
      </c>
      <c r="AE411" s="65">
        <f>tblWorkPackages[[#This Row],[Last labor date]]-tblWorkPackages[[#This Row],[First labor date]]</f>
        <v>2</v>
      </c>
      <c r="AF411" s="65">
        <f>tblWorkPackages[[#This Row],[Completion date serial]]-tblWorkPackages[[#This Row],[Last labor date]]</f>
        <v>1</v>
      </c>
      <c r="AG411" s="65">
        <f>tblWorkPackages[[#This Row],[Completion date serial]]-tblWorkPackages[[#This Row],[Request date serial]]</f>
        <v>7</v>
      </c>
      <c r="AH411" s="65">
        <f>IFERROR(INDEX(tblParts[Delay days],MATCH(tblWorkPackages[[#This Row],[Work package ID]],tblParts[Work package ID],0)),0)</f>
        <v>0</v>
      </c>
      <c r="AI411" s="51" t="str">
        <f>IFERROR(INDEX(tblDisruptions[Event type],MATCH(tblWorkPackages[[#This Row],[Work package ID]],tblDisruptions[Work package ID],0)),"None")</f>
        <v>None</v>
      </c>
      <c r="AJ411" s="51" t="str">
        <f>TEXT(tblWorkPackages[[#This Row],[Due date serial]],"yyyy-mm")</f>
        <v>2024-07</v>
      </c>
    </row>
    <row r="412" spans="1:36" ht="15" x14ac:dyDescent="0.25">
      <c r="A412" s="53" t="s">
        <v>1171</v>
      </c>
      <c r="B412" s="53" t="s">
        <v>150</v>
      </c>
      <c r="C412" s="53" t="s">
        <v>1172</v>
      </c>
      <c r="D412" s="53" t="s">
        <v>375</v>
      </c>
      <c r="E412" s="53" t="s">
        <v>200</v>
      </c>
      <c r="F412" s="53" t="s">
        <v>128</v>
      </c>
      <c r="G412" s="53" t="s">
        <v>129</v>
      </c>
      <c r="H412" s="53">
        <v>2</v>
      </c>
      <c r="I412" s="53" t="s">
        <v>176</v>
      </c>
      <c r="J412" s="53">
        <v>0</v>
      </c>
      <c r="K412" s="53">
        <v>1</v>
      </c>
      <c r="L412" s="53">
        <v>3.6</v>
      </c>
      <c r="M412" s="53" t="s">
        <v>1081</v>
      </c>
      <c r="N412" s="53">
        <v>2.8</v>
      </c>
      <c r="O412" s="51" t="str">
        <f>TEXT(tblWorkPackages[[#This Row],[Request date serial]]-WEEKDAY(tblWorkPackages[[#This Row],[Request date serial]],3),"yyyy-mm-dd")</f>
        <v>2025-04-14</v>
      </c>
      <c r="P412" s="51">
        <f>ABS(tblWorkPackages[[#This Row],[Actual labor hours]]-tblWorkPackages[[#This Row],[Estimated labor hours]])</f>
        <v>0.8</v>
      </c>
      <c r="Q412" s="51">
        <f>IF(tblWorkPackages[[#This Row],[Actual labor hours]]&gt;tblWorkPackages[[#This Row],[Estimated labor hours]],1,0)</f>
        <v>0</v>
      </c>
      <c r="R412" s="51">
        <f>tblWorkPackages[[#This Row],[Actual labor hours]]-tblWorkPackages[[#This Row],[Estimated labor hours]]</f>
        <v>-0.8</v>
      </c>
      <c r="S412" s="51" t="str">
        <f>IF(tblWorkPackages[[#This Row],[Request date serial]]&lt;ValidationStart,"Train 2024",IF(tblWorkPackages[[#This Row],[Request date serial]]&lt;HoldoutStart,"Validation H1","Holdout H2"))</f>
        <v>Validation H1</v>
      </c>
      <c r="T412" s="51">
        <f>IF(tblWorkPackages[[#This Row],[Time split]]="Train 2024","",tblWorkPackages[[#This Row],[Estimated labor hours]]+VLOOKUP(tblWorkPackages[[#This Row],[Task type]],'Forecast validation'!$A$14:$E$25,IF(tblWorkPackages[[#This Row],[Time split]]="Validation H1",4,5),FALSE()))</f>
        <v>3.93069306930693</v>
      </c>
      <c r="U412" s="51">
        <f>IF(tblWorkPackages[[#This Row],[Calibrated forecast hours]]="","",ABS(tblWorkPackages[[#This Row],[Actual labor hours]]-tblWorkPackages[[#This Row],[Calibrated forecast hours]]))</f>
        <v>1.13069306930693</v>
      </c>
      <c r="V412" s="51">
        <f>IF(tblWorkPackages[[#This Row],[Time split]]="Train 2024",tblWorkPackages[[#This Row],[Estimated labor hours]],tblWorkPackages[[#This Row],[Calibrated forecast hours]])</f>
        <v>3.93069306930693</v>
      </c>
      <c r="W412" s="64">
        <f>DATEVALUE(tblWorkPackages[[#This Row],[Request date]])</f>
        <v>45764.0</v>
      </c>
      <c r="X412" s="64">
        <f>DATEVALUE(tblWorkPackages[[#This Row],[Due date]])</f>
        <v>45770.0</v>
      </c>
      <c r="Y412" s="64">
        <f>DATEVALUE(tblWorkPackages[[#This Row],[Completion date]])</f>
        <v>45769.0</v>
      </c>
      <c r="Z412" s="64">
        <f>_xlfn.MINIFS(tblLaborEntries[Work date serial],tblLaborEntries[Work package ID],tblWorkPackages[[#This Row],[Work package ID]])</f>
        <v>45765.0</v>
      </c>
      <c r="AA412" s="64">
        <f>_xlfn.MAXIFS(tblLaborEntries[Work date serial],tblLaborEntries[Work package ID],tblWorkPackages[[#This Row],[Work package ID]])</f>
        <v>45767.0</v>
      </c>
      <c r="AB412" s="65">
        <f>IF(tblWorkPackages[[#This Row],[Completion date serial]]&gt;tblWorkPackages[[#This Row],[Due date serial]],1,0)</f>
        <v>0</v>
      </c>
      <c r="AC412" s="65">
        <f>MAX(0,tblWorkPackages[[#This Row],[Completion date serial]]-tblWorkPackages[[#This Row],[Due date serial]])</f>
        <v>0</v>
      </c>
      <c r="AD412" s="65">
        <f>tblWorkPackages[[#This Row],[First labor date]]-tblWorkPackages[[#This Row],[Request date serial]]</f>
        <v>1</v>
      </c>
      <c r="AE412" s="65">
        <f>tblWorkPackages[[#This Row],[Last labor date]]-tblWorkPackages[[#This Row],[First labor date]]</f>
        <v>2</v>
      </c>
      <c r="AF412" s="65">
        <f>tblWorkPackages[[#This Row],[Completion date serial]]-tblWorkPackages[[#This Row],[Last labor date]]</f>
        <v>2</v>
      </c>
      <c r="AG412" s="65">
        <f>tblWorkPackages[[#This Row],[Completion date serial]]-tblWorkPackages[[#This Row],[Request date serial]]</f>
        <v>5</v>
      </c>
      <c r="AH412" s="65">
        <f>IFERROR(INDEX(tblParts[Delay days],MATCH(tblWorkPackages[[#This Row],[Work package ID]],tblParts[Work package ID],0)),0)</f>
        <v>0</v>
      </c>
      <c r="AI412" s="51" t="str">
        <f>IFERROR(INDEX(tblDisruptions[Event type],MATCH(tblWorkPackages[[#This Row],[Work package ID]],tblDisruptions[Work package ID],0)),"None")</f>
        <v>None</v>
      </c>
      <c r="AJ412" s="51" t="str">
        <f>TEXT(tblWorkPackages[[#This Row],[Due date serial]],"yyyy-mm")</f>
        <v>2025-04</v>
      </c>
    </row>
    <row r="413" spans="1:36" ht="15" x14ac:dyDescent="0.25">
      <c r="A413" s="53" t="s">
        <v>1173</v>
      </c>
      <c r="B413" s="53" t="s">
        <v>185</v>
      </c>
      <c r="C413" s="53" t="s">
        <v>1126</v>
      </c>
      <c r="D413" s="53" t="s">
        <v>407</v>
      </c>
      <c r="E413" s="53" t="s">
        <v>144</v>
      </c>
      <c r="F413" s="53" t="s">
        <v>145</v>
      </c>
      <c r="G413" s="53" t="s">
        <v>146</v>
      </c>
      <c r="H413" s="53">
        <v>3</v>
      </c>
      <c r="I413" s="53" t="s">
        <v>176</v>
      </c>
      <c r="J413" s="53">
        <v>0</v>
      </c>
      <c r="K413" s="53">
        <v>1</v>
      </c>
      <c r="L413" s="53">
        <v>16.600000000000001</v>
      </c>
      <c r="M413" s="53" t="s">
        <v>1174</v>
      </c>
      <c r="N413" s="53">
        <v>24.1</v>
      </c>
      <c r="O413" s="51" t="str">
        <f>TEXT(tblWorkPackages[[#This Row],[Request date serial]]-WEEKDAY(tblWorkPackages[[#This Row],[Request date serial]],3),"yyyy-mm-dd")</f>
        <v>2024-05-20</v>
      </c>
      <c r="P413" s="51">
        <f>ABS(tblWorkPackages[[#This Row],[Actual labor hours]]-tblWorkPackages[[#This Row],[Estimated labor hours]])</f>
        <v>7.5</v>
      </c>
      <c r="Q413" s="51">
        <f>IF(tblWorkPackages[[#This Row],[Actual labor hours]]&gt;tblWorkPackages[[#This Row],[Estimated labor hours]],1,0)</f>
        <v>1</v>
      </c>
      <c r="R413" s="51">
        <f>tblWorkPackages[[#This Row],[Actual labor hours]]-tblWorkPackages[[#This Row],[Estimated labor hours]]</f>
        <v>7.5</v>
      </c>
      <c r="S413" s="51" t="str">
        <f>IF(tblWorkPackages[[#This Row],[Request date serial]]&lt;ValidationStart,"Train 2024",IF(tblWorkPackages[[#This Row],[Request date serial]]&lt;HoldoutStart,"Validation H1","Holdout H2"))</f>
        <v>Train 2024</v>
      </c>
      <c r="T413" s="51" t="str">
        <f>IF(tblWorkPackages[[#This Row],[Time split]]="Train 2024","",tblWorkPackages[[#This Row],[Estimated labor hours]]+VLOOKUP(tblWorkPackages[[#This Row],[Task type]],'Forecast validation'!$A$14:$E$25,IF(tblWorkPackages[[#This Row],[Time split]]="Validation H1",4,5),FALSE()))</f>
        <v/>
      </c>
      <c r="U413" s="51" t="str">
        <f>IF(tblWorkPackages[[#This Row],[Calibrated forecast hours]]="","",ABS(tblWorkPackages[[#This Row],[Actual labor hours]]-tblWorkPackages[[#This Row],[Calibrated forecast hours]]))</f>
        <v/>
      </c>
      <c r="V413" s="51">
        <f>IF(tblWorkPackages[[#This Row],[Time split]]="Train 2024",tblWorkPackages[[#This Row],[Estimated labor hours]],tblWorkPackages[[#This Row],[Calibrated forecast hours]])</f>
        <v>16.6</v>
      </c>
      <c r="W413" s="64">
        <f>DATEVALUE(tblWorkPackages[[#This Row],[Request date]])</f>
        <v>45435.0</v>
      </c>
      <c r="X413" s="64">
        <f>DATEVALUE(tblWorkPackages[[#This Row],[Due date]])</f>
        <v>45441.0</v>
      </c>
      <c r="Y413" s="64">
        <f>DATEVALUE(tblWorkPackages[[#This Row],[Completion date]])</f>
        <v>45449.0</v>
      </c>
      <c r="Z413" s="64">
        <f>_xlfn.MINIFS(tblLaborEntries[Work date serial],tblLaborEntries[Work package ID],tblWorkPackages[[#This Row],[Work package ID]])</f>
        <v>45444.0</v>
      </c>
      <c r="AA413" s="64">
        <f>_xlfn.MAXIFS(tblLaborEntries[Work date serial],tblLaborEntries[Work package ID],tblWorkPackages[[#This Row],[Work package ID]])</f>
        <v>45446.0</v>
      </c>
      <c r="AB413" s="65">
        <f>IF(tblWorkPackages[[#This Row],[Completion date serial]]&gt;tblWorkPackages[[#This Row],[Due date serial]],1,0)</f>
        <v>1</v>
      </c>
      <c r="AC413" s="65">
        <f>MAX(0,tblWorkPackages[[#This Row],[Completion date serial]]-tblWorkPackages[[#This Row],[Due date serial]])</f>
        <v>8</v>
      </c>
      <c r="AD413" s="65">
        <f>tblWorkPackages[[#This Row],[First labor date]]-tblWorkPackages[[#This Row],[Request date serial]]</f>
        <v>9</v>
      </c>
      <c r="AE413" s="65">
        <f>tblWorkPackages[[#This Row],[Last labor date]]-tblWorkPackages[[#This Row],[First labor date]]</f>
        <v>2</v>
      </c>
      <c r="AF413" s="65">
        <f>tblWorkPackages[[#This Row],[Completion date serial]]-tblWorkPackages[[#This Row],[Last labor date]]</f>
        <v>3</v>
      </c>
      <c r="AG413" s="65">
        <f>tblWorkPackages[[#This Row],[Completion date serial]]-tblWorkPackages[[#This Row],[Request date serial]]</f>
        <v>14</v>
      </c>
      <c r="AH413" s="65">
        <f>IFERROR(INDEX(tblParts[Delay days],MATCH(tblWorkPackages[[#This Row],[Work package ID]],tblParts[Work package ID],0)),0)</f>
        <v>0</v>
      </c>
      <c r="AI413" s="51" t="str">
        <f>IFERROR(INDEX(tblDisruptions[Event type],MATCH(tblWorkPackages[[#This Row],[Work package ID]],tblDisruptions[Work package ID],0)),"None")</f>
        <v>Technician absence</v>
      </c>
      <c r="AJ413" s="51" t="str">
        <f>TEXT(tblWorkPackages[[#This Row],[Due date serial]],"yyyy-mm")</f>
        <v>2024-05</v>
      </c>
    </row>
    <row r="414" spans="1:36" ht="15" x14ac:dyDescent="0.25">
      <c r="A414" s="53" t="s">
        <v>1175</v>
      </c>
      <c r="B414" s="53" t="s">
        <v>157</v>
      </c>
      <c r="C414" s="53" t="s">
        <v>606</v>
      </c>
      <c r="D414" s="53" t="s">
        <v>607</v>
      </c>
      <c r="E414" s="53" t="s">
        <v>181</v>
      </c>
      <c r="F414" s="53" t="s">
        <v>182</v>
      </c>
      <c r="G414" s="53" t="s">
        <v>138</v>
      </c>
      <c r="H414" s="53">
        <v>3</v>
      </c>
      <c r="I414" s="53" t="s">
        <v>130</v>
      </c>
      <c r="J414" s="53">
        <v>0</v>
      </c>
      <c r="K414" s="53">
        <v>1</v>
      </c>
      <c r="L414" s="53">
        <v>10.6</v>
      </c>
      <c r="M414" s="53" t="s">
        <v>826</v>
      </c>
      <c r="N414" s="53">
        <v>13.5</v>
      </c>
      <c r="O414" s="51" t="str">
        <f>TEXT(tblWorkPackages[[#This Row],[Request date serial]]-WEEKDAY(tblWorkPackages[[#This Row],[Request date serial]],3),"yyyy-mm-dd")</f>
        <v>2025-03-03</v>
      </c>
      <c r="P414" s="51">
        <f>ABS(tblWorkPackages[[#This Row],[Actual labor hours]]-tblWorkPackages[[#This Row],[Estimated labor hours]])</f>
        <v>2.9</v>
      </c>
      <c r="Q414" s="51">
        <f>IF(tblWorkPackages[[#This Row],[Actual labor hours]]&gt;tblWorkPackages[[#This Row],[Estimated labor hours]],1,0)</f>
        <v>1</v>
      </c>
      <c r="R414" s="51">
        <f>tblWorkPackages[[#This Row],[Actual labor hours]]-tblWorkPackages[[#This Row],[Estimated labor hours]]</f>
        <v>2.9</v>
      </c>
      <c r="S414" s="51" t="str">
        <f>IF(tblWorkPackages[[#This Row],[Request date serial]]&lt;ValidationStart,"Train 2024",IF(tblWorkPackages[[#This Row],[Request date serial]]&lt;HoldoutStart,"Validation H1","Holdout H2"))</f>
        <v>Validation H1</v>
      </c>
      <c r="T414" s="51">
        <f>IF(tblWorkPackages[[#This Row],[Time split]]="Train 2024","",tblWorkPackages[[#This Row],[Estimated labor hours]]+VLOOKUP(tblWorkPackages[[#This Row],[Task type]],'Forecast validation'!$A$14:$E$25,IF(tblWorkPackages[[#This Row],[Time split]]="Validation H1",4,5),FALSE()))</f>
        <v>11.1840909090909</v>
      </c>
      <c r="U414" s="51">
        <f>IF(tblWorkPackages[[#This Row],[Calibrated forecast hours]]="","",ABS(tblWorkPackages[[#This Row],[Actual labor hours]]-tblWorkPackages[[#This Row],[Calibrated forecast hours]]))</f>
        <v>2.31590909090909</v>
      </c>
      <c r="V414" s="51">
        <f>IF(tblWorkPackages[[#This Row],[Time split]]="Train 2024",tblWorkPackages[[#This Row],[Estimated labor hours]],tblWorkPackages[[#This Row],[Calibrated forecast hours]])</f>
        <v>11.1840909090909</v>
      </c>
      <c r="W414" s="64">
        <f>DATEVALUE(tblWorkPackages[[#This Row],[Request date]])</f>
        <v>45721.0</v>
      </c>
      <c r="X414" s="64">
        <f>DATEVALUE(tblWorkPackages[[#This Row],[Due date]])</f>
        <v>45734.0</v>
      </c>
      <c r="Y414" s="64">
        <f>DATEVALUE(tblWorkPackages[[#This Row],[Completion date]])</f>
        <v>45724.0</v>
      </c>
      <c r="Z414" s="64">
        <f>_xlfn.MINIFS(tblLaborEntries[Work date serial],tblLaborEntries[Work package ID],tblWorkPackages[[#This Row],[Work package ID]])</f>
        <v>45723.0</v>
      </c>
      <c r="AA414" s="64">
        <f>_xlfn.MAXIFS(tblLaborEntries[Work date serial],tblLaborEntries[Work package ID],tblWorkPackages[[#This Row],[Work package ID]])</f>
        <v>45724.0</v>
      </c>
      <c r="AB414" s="65">
        <f>IF(tblWorkPackages[[#This Row],[Completion date serial]]&gt;tblWorkPackages[[#This Row],[Due date serial]],1,0)</f>
        <v>0</v>
      </c>
      <c r="AC414" s="65">
        <f>MAX(0,tblWorkPackages[[#This Row],[Completion date serial]]-tblWorkPackages[[#This Row],[Due date serial]])</f>
        <v>0</v>
      </c>
      <c r="AD414" s="65">
        <f>tblWorkPackages[[#This Row],[First labor date]]-tblWorkPackages[[#This Row],[Request date serial]]</f>
        <v>2</v>
      </c>
      <c r="AE414" s="65">
        <f>tblWorkPackages[[#This Row],[Last labor date]]-tblWorkPackages[[#This Row],[First labor date]]</f>
        <v>1</v>
      </c>
      <c r="AF414" s="65">
        <f>tblWorkPackages[[#This Row],[Completion date serial]]-tblWorkPackages[[#This Row],[Last labor date]]</f>
        <v>0</v>
      </c>
      <c r="AG414" s="65">
        <f>tblWorkPackages[[#This Row],[Completion date serial]]-tblWorkPackages[[#This Row],[Request date serial]]</f>
        <v>3</v>
      </c>
      <c r="AH414" s="65">
        <f>IFERROR(INDEX(tblParts[Delay days],MATCH(tblWorkPackages[[#This Row],[Work package ID]],tblParts[Work package ID],0)),0)</f>
        <v>0</v>
      </c>
      <c r="AI414" s="51" t="str">
        <f>IFERROR(INDEX(tblDisruptions[Event type],MATCH(tblWorkPackages[[#This Row],[Work package ID]],tblDisruptions[Work package ID],0)),"None")</f>
        <v>None</v>
      </c>
      <c r="AJ414" s="51" t="str">
        <f>TEXT(tblWorkPackages[[#This Row],[Due date serial]],"yyyy-mm")</f>
        <v>2025-03</v>
      </c>
    </row>
    <row r="415" spans="1:36" ht="15" x14ac:dyDescent="0.25">
      <c r="A415" s="53" t="s">
        <v>1176</v>
      </c>
      <c r="B415" s="53" t="s">
        <v>173</v>
      </c>
      <c r="C415" s="53" t="s">
        <v>939</v>
      </c>
      <c r="D415" s="53" t="s">
        <v>812</v>
      </c>
      <c r="E415" s="53" t="s">
        <v>209</v>
      </c>
      <c r="F415" s="53" t="s">
        <v>145</v>
      </c>
      <c r="G415" s="53" t="s">
        <v>210</v>
      </c>
      <c r="H415" s="53">
        <v>4</v>
      </c>
      <c r="I415" s="53" t="s">
        <v>130</v>
      </c>
      <c r="J415" s="53">
        <v>0</v>
      </c>
      <c r="K415" s="53">
        <v>1</v>
      </c>
      <c r="L415" s="53">
        <v>33.1</v>
      </c>
      <c r="M415" s="53" t="s">
        <v>848</v>
      </c>
      <c r="N415" s="53">
        <v>34.299999999999997</v>
      </c>
      <c r="O415" s="51" t="str">
        <f>TEXT(tblWorkPackages[[#This Row],[Request date serial]]-WEEKDAY(tblWorkPackages[[#This Row],[Request date serial]],3),"yyyy-mm-dd")</f>
        <v>2025-11-17</v>
      </c>
      <c r="P415" s="51">
        <f>ABS(tblWorkPackages[[#This Row],[Actual labor hours]]-tblWorkPackages[[#This Row],[Estimated labor hours]])</f>
        <v>1.2</v>
      </c>
      <c r="Q415" s="51">
        <f>IF(tblWorkPackages[[#This Row],[Actual labor hours]]&gt;tblWorkPackages[[#This Row],[Estimated labor hours]],1,0)</f>
        <v>1</v>
      </c>
      <c r="R415" s="51">
        <f>tblWorkPackages[[#This Row],[Actual labor hours]]-tblWorkPackages[[#This Row],[Estimated labor hours]]</f>
        <v>1.2</v>
      </c>
      <c r="S415" s="51" t="str">
        <f>IF(tblWorkPackages[[#This Row],[Request date serial]]&lt;ValidationStart,"Train 2024",IF(tblWorkPackages[[#This Row],[Request date serial]]&lt;HoldoutStart,"Validation H1","Holdout H2"))</f>
        <v>Holdout H2</v>
      </c>
      <c r="T415" s="51">
        <f>IF(tblWorkPackages[[#This Row],[Time split]]="Train 2024","",tblWorkPackages[[#This Row],[Estimated labor hours]]+VLOOKUP(tblWorkPackages[[#This Row],[Task type]],'Forecast validation'!$A$14:$E$25,IF(tblWorkPackages[[#This Row],[Time split]]="Validation H1",4,5),FALSE()))</f>
        <v>34.895652173913</v>
      </c>
      <c r="U415" s="51">
        <f>IF(tblWorkPackages[[#This Row],[Calibrated forecast hours]]="","",ABS(tblWorkPackages[[#This Row],[Actual labor hours]]-tblWorkPackages[[#This Row],[Calibrated forecast hours]]))</f>
        <v>0.595652173913045</v>
      </c>
      <c r="V415" s="51">
        <f>IF(tblWorkPackages[[#This Row],[Time split]]="Train 2024",tblWorkPackages[[#This Row],[Estimated labor hours]],tblWorkPackages[[#This Row],[Calibrated forecast hours]])</f>
        <v>34.895652173913</v>
      </c>
      <c r="W415" s="64">
        <f>DATEVALUE(tblWorkPackages[[#This Row],[Request date]])</f>
        <v>45980.0</v>
      </c>
      <c r="X415" s="64">
        <f>DATEVALUE(tblWorkPackages[[#This Row],[Due date]])</f>
        <v>45993.0</v>
      </c>
      <c r="Y415" s="64">
        <f>DATEVALUE(tblWorkPackages[[#This Row],[Completion date]])</f>
        <v>46006.0</v>
      </c>
      <c r="Z415" s="64">
        <f>_xlfn.MINIFS(tblLaborEntries[Work date serial],tblLaborEntries[Work package ID],tblWorkPackages[[#This Row],[Work package ID]])</f>
        <v>46005.0</v>
      </c>
      <c r="AA415" s="64">
        <f>_xlfn.MAXIFS(tblLaborEntries[Work date serial],tblLaborEntries[Work package ID],tblWorkPackages[[#This Row],[Work package ID]])</f>
        <v>46005.0</v>
      </c>
      <c r="AB415" s="65">
        <f>IF(tblWorkPackages[[#This Row],[Completion date serial]]&gt;tblWorkPackages[[#This Row],[Due date serial]],1,0)</f>
        <v>1</v>
      </c>
      <c r="AC415" s="65">
        <f>MAX(0,tblWorkPackages[[#This Row],[Completion date serial]]-tblWorkPackages[[#This Row],[Due date serial]])</f>
        <v>13</v>
      </c>
      <c r="AD415" s="65">
        <f>tblWorkPackages[[#This Row],[First labor date]]-tblWorkPackages[[#This Row],[Request date serial]]</f>
        <v>25</v>
      </c>
      <c r="AE415" s="65">
        <f>tblWorkPackages[[#This Row],[Last labor date]]-tblWorkPackages[[#This Row],[First labor date]]</f>
        <v>0</v>
      </c>
      <c r="AF415" s="65">
        <f>tblWorkPackages[[#This Row],[Completion date serial]]-tblWorkPackages[[#This Row],[Last labor date]]</f>
        <v>1</v>
      </c>
      <c r="AG415" s="65">
        <f>tblWorkPackages[[#This Row],[Completion date serial]]-tblWorkPackages[[#This Row],[Request date serial]]</f>
        <v>26</v>
      </c>
      <c r="AH415" s="65">
        <f>IFERROR(INDEX(tblParts[Delay days],MATCH(tblWorkPackages[[#This Row],[Work package ID]],tblParts[Work package ID],0)),0)</f>
        <v>0</v>
      </c>
      <c r="AI415" s="51" t="str">
        <f>IFERROR(INDEX(tblDisruptions[Event type],MATCH(tblWorkPackages[[#This Row],[Work package ID]],tblDisruptions[Work package ID],0)),"None")</f>
        <v>None</v>
      </c>
      <c r="AJ415" s="51" t="str">
        <f>TEXT(tblWorkPackages[[#This Row],[Due date serial]],"yyyy-mm")</f>
        <v>2025-12</v>
      </c>
    </row>
    <row r="416" spans="1:36" ht="15" x14ac:dyDescent="0.25">
      <c r="A416" s="53" t="s">
        <v>1177</v>
      </c>
      <c r="B416" s="53" t="s">
        <v>287</v>
      </c>
      <c r="C416" s="53" t="s">
        <v>529</v>
      </c>
      <c r="D416" s="53" t="s">
        <v>810</v>
      </c>
      <c r="E416" s="53" t="s">
        <v>209</v>
      </c>
      <c r="F416" s="53" t="s">
        <v>145</v>
      </c>
      <c r="G416" s="53" t="s">
        <v>210</v>
      </c>
      <c r="H416" s="53">
        <v>2</v>
      </c>
      <c r="I416" s="53" t="s">
        <v>176</v>
      </c>
      <c r="J416" s="53">
        <v>0</v>
      </c>
      <c r="K416" s="53">
        <v>0</v>
      </c>
      <c r="L416" s="53">
        <v>19.2</v>
      </c>
      <c r="M416" s="53" t="s">
        <v>1178</v>
      </c>
      <c r="N416" s="53">
        <v>16.899999999999999</v>
      </c>
      <c r="O416" s="51" t="str">
        <f>TEXT(tblWorkPackages[[#This Row],[Request date serial]]-WEEKDAY(tblWorkPackages[[#This Row],[Request date serial]],3),"yyyy-mm-dd")</f>
        <v>2025-09-08</v>
      </c>
      <c r="P416" s="51">
        <f>ABS(tblWorkPackages[[#This Row],[Actual labor hours]]-tblWorkPackages[[#This Row],[Estimated labor hours]])</f>
        <v>2.3</v>
      </c>
      <c r="Q416" s="51">
        <f>IF(tblWorkPackages[[#This Row],[Actual labor hours]]&gt;tblWorkPackages[[#This Row],[Estimated labor hours]],1,0)</f>
        <v>0</v>
      </c>
      <c r="R416" s="51">
        <f>tblWorkPackages[[#This Row],[Actual labor hours]]-tblWorkPackages[[#This Row],[Estimated labor hours]]</f>
        <v>-2.3</v>
      </c>
      <c r="S416" s="51" t="str">
        <f>IF(tblWorkPackages[[#This Row],[Request date serial]]&lt;ValidationStart,"Train 2024",IF(tblWorkPackages[[#This Row],[Request date serial]]&lt;HoldoutStart,"Validation H1","Holdout H2"))</f>
        <v>Holdout H2</v>
      </c>
      <c r="T416" s="51">
        <f>IF(tblWorkPackages[[#This Row],[Time split]]="Train 2024","",tblWorkPackages[[#This Row],[Estimated labor hours]]+VLOOKUP(tblWorkPackages[[#This Row],[Task type]],'Forecast validation'!$A$14:$E$25,IF(tblWorkPackages[[#This Row],[Time split]]="Validation H1",4,5),FALSE()))</f>
        <v>20.995652173913</v>
      </c>
      <c r="U416" s="51">
        <f>IF(tblWorkPackages[[#This Row],[Calibrated forecast hours]]="","",ABS(tblWorkPackages[[#This Row],[Actual labor hours]]-tblWorkPackages[[#This Row],[Calibrated forecast hours]]))</f>
        <v>4.09565217391305</v>
      </c>
      <c r="V416" s="51">
        <f>IF(tblWorkPackages[[#This Row],[Time split]]="Train 2024",tblWorkPackages[[#This Row],[Estimated labor hours]],tblWorkPackages[[#This Row],[Calibrated forecast hours]])</f>
        <v>20.995652173913</v>
      </c>
      <c r="W416" s="64">
        <f>DATEVALUE(tblWorkPackages[[#This Row],[Request date]])</f>
        <v>45911.0</v>
      </c>
      <c r="X416" s="64">
        <f>DATEVALUE(tblWorkPackages[[#This Row],[Due date]])</f>
        <v>45917.0</v>
      </c>
      <c r="Y416" s="64">
        <f>DATEVALUE(tblWorkPackages[[#This Row],[Completion date]])</f>
        <v>45919.0</v>
      </c>
      <c r="Z416" s="64">
        <f>_xlfn.MINIFS(tblLaborEntries[Work date serial],tblLaborEntries[Work package ID],tblWorkPackages[[#This Row],[Work package ID]])</f>
        <v>45915.0</v>
      </c>
      <c r="AA416" s="64">
        <f>_xlfn.MAXIFS(tblLaborEntries[Work date serial],tblLaborEntries[Work package ID],tblWorkPackages[[#This Row],[Work package ID]])</f>
        <v>45917.0</v>
      </c>
      <c r="AB416" s="65">
        <f>IF(tblWorkPackages[[#This Row],[Completion date serial]]&gt;tblWorkPackages[[#This Row],[Due date serial]],1,0)</f>
        <v>1</v>
      </c>
      <c r="AC416" s="65">
        <f>MAX(0,tblWorkPackages[[#This Row],[Completion date serial]]-tblWorkPackages[[#This Row],[Due date serial]])</f>
        <v>2</v>
      </c>
      <c r="AD416" s="65">
        <f>tblWorkPackages[[#This Row],[First labor date]]-tblWorkPackages[[#This Row],[Request date serial]]</f>
        <v>4</v>
      </c>
      <c r="AE416" s="65">
        <f>tblWorkPackages[[#This Row],[Last labor date]]-tblWorkPackages[[#This Row],[First labor date]]</f>
        <v>2</v>
      </c>
      <c r="AF416" s="65">
        <f>tblWorkPackages[[#This Row],[Completion date serial]]-tblWorkPackages[[#This Row],[Last labor date]]</f>
        <v>2</v>
      </c>
      <c r="AG416" s="65">
        <f>tblWorkPackages[[#This Row],[Completion date serial]]-tblWorkPackages[[#This Row],[Request date serial]]</f>
        <v>8</v>
      </c>
      <c r="AH416" s="65">
        <f>IFERROR(INDEX(tblParts[Delay days],MATCH(tblWorkPackages[[#This Row],[Work package ID]],tblParts[Work package ID],0)),0)</f>
        <v>0</v>
      </c>
      <c r="AI416" s="51" t="str">
        <f>IFERROR(INDEX(tblDisruptions[Event type],MATCH(tblWorkPackages[[#This Row],[Work package ID]],tblDisruptions[Work package ID],0)),"None")</f>
        <v>None</v>
      </c>
      <c r="AJ416" s="51" t="str">
        <f>TEXT(tblWorkPackages[[#This Row],[Due date serial]],"yyyy-mm")</f>
        <v>2025-09</v>
      </c>
    </row>
    <row r="417" spans="1:36" ht="15" x14ac:dyDescent="0.25">
      <c r="A417" s="53" t="s">
        <v>1179</v>
      </c>
      <c r="B417" s="53" t="s">
        <v>141</v>
      </c>
      <c r="C417" s="53" t="s">
        <v>1180</v>
      </c>
      <c r="D417" s="53" t="s">
        <v>926</v>
      </c>
      <c r="E417" s="53" t="s">
        <v>223</v>
      </c>
      <c r="F417" s="53" t="s">
        <v>182</v>
      </c>
      <c r="G417" s="53" t="s">
        <v>154</v>
      </c>
      <c r="H417" s="53">
        <v>2</v>
      </c>
      <c r="I417" s="53" t="s">
        <v>130</v>
      </c>
      <c r="J417" s="53">
        <v>0</v>
      </c>
      <c r="K417" s="53">
        <v>0</v>
      </c>
      <c r="L417" s="53">
        <v>13</v>
      </c>
      <c r="M417" s="53" t="s">
        <v>490</v>
      </c>
      <c r="N417" s="53">
        <v>16.2</v>
      </c>
      <c r="O417" s="51" t="str">
        <f>TEXT(tblWorkPackages[[#This Row],[Request date serial]]-WEEKDAY(tblWorkPackages[[#This Row],[Request date serial]],3),"yyyy-mm-dd")</f>
        <v>2024-02-05</v>
      </c>
      <c r="P417" s="51">
        <f>ABS(tblWorkPackages[[#This Row],[Actual labor hours]]-tblWorkPackages[[#This Row],[Estimated labor hours]])</f>
        <v>3.2</v>
      </c>
      <c r="Q417" s="51">
        <f>IF(tblWorkPackages[[#This Row],[Actual labor hours]]&gt;tblWorkPackages[[#This Row],[Estimated labor hours]],1,0)</f>
        <v>1</v>
      </c>
      <c r="R417" s="51">
        <f>tblWorkPackages[[#This Row],[Actual labor hours]]-tblWorkPackages[[#This Row],[Estimated labor hours]]</f>
        <v>3.2</v>
      </c>
      <c r="S417" s="51" t="str">
        <f>IF(tblWorkPackages[[#This Row],[Request date serial]]&lt;ValidationStart,"Train 2024",IF(tblWorkPackages[[#This Row],[Request date serial]]&lt;HoldoutStart,"Validation H1","Holdout H2"))</f>
        <v>Train 2024</v>
      </c>
      <c r="T417" s="51" t="str">
        <f>IF(tblWorkPackages[[#This Row],[Time split]]="Train 2024","",tblWorkPackages[[#This Row],[Estimated labor hours]]+VLOOKUP(tblWorkPackages[[#This Row],[Task type]],'Forecast validation'!$A$14:$E$25,IF(tblWorkPackages[[#This Row],[Time split]]="Validation H1",4,5),FALSE()))</f>
        <v/>
      </c>
      <c r="U417" s="51" t="str">
        <f>IF(tblWorkPackages[[#This Row],[Calibrated forecast hours]]="","",ABS(tblWorkPackages[[#This Row],[Actual labor hours]]-tblWorkPackages[[#This Row],[Calibrated forecast hours]]))</f>
        <v/>
      </c>
      <c r="V417" s="51">
        <f>IF(tblWorkPackages[[#This Row],[Time split]]="Train 2024",tblWorkPackages[[#This Row],[Estimated labor hours]],tblWorkPackages[[#This Row],[Calibrated forecast hours]])</f>
        <v>13</v>
      </c>
      <c r="W417" s="64">
        <f>DATEVALUE(tblWorkPackages[[#This Row],[Request date]])</f>
        <v>45327.0</v>
      </c>
      <c r="X417" s="64">
        <f>DATEVALUE(tblWorkPackages[[#This Row],[Due date]])</f>
        <v>45340.0</v>
      </c>
      <c r="Y417" s="64">
        <f>DATEVALUE(tblWorkPackages[[#This Row],[Completion date]])</f>
        <v>45332.0</v>
      </c>
      <c r="Z417" s="64">
        <f>_xlfn.MINIFS(tblLaborEntries[Work date serial],tblLaborEntries[Work package ID],tblWorkPackages[[#This Row],[Work package ID]])</f>
        <v>45328.0</v>
      </c>
      <c r="AA417" s="64">
        <f>_xlfn.MAXIFS(tblLaborEntries[Work date serial],tblLaborEntries[Work package ID],tblWorkPackages[[#This Row],[Work package ID]])</f>
        <v>45329.0</v>
      </c>
      <c r="AB417" s="65">
        <f>IF(tblWorkPackages[[#This Row],[Completion date serial]]&gt;tblWorkPackages[[#This Row],[Due date serial]],1,0)</f>
        <v>0</v>
      </c>
      <c r="AC417" s="65">
        <f>MAX(0,tblWorkPackages[[#This Row],[Completion date serial]]-tblWorkPackages[[#This Row],[Due date serial]])</f>
        <v>0</v>
      </c>
      <c r="AD417" s="65">
        <f>tblWorkPackages[[#This Row],[First labor date]]-tblWorkPackages[[#This Row],[Request date serial]]</f>
        <v>1</v>
      </c>
      <c r="AE417" s="65">
        <f>tblWorkPackages[[#This Row],[Last labor date]]-tblWorkPackages[[#This Row],[First labor date]]</f>
        <v>1</v>
      </c>
      <c r="AF417" s="65">
        <f>tblWorkPackages[[#This Row],[Completion date serial]]-tblWorkPackages[[#This Row],[Last labor date]]</f>
        <v>3</v>
      </c>
      <c r="AG417" s="65">
        <f>tblWorkPackages[[#This Row],[Completion date serial]]-tblWorkPackages[[#This Row],[Request date serial]]</f>
        <v>5</v>
      </c>
      <c r="AH417" s="65">
        <f>IFERROR(INDEX(tblParts[Delay days],MATCH(tblWorkPackages[[#This Row],[Work package ID]],tblParts[Work package ID],0)),0)</f>
        <v>0</v>
      </c>
      <c r="AI417" s="51" t="str">
        <f>IFERROR(INDEX(tblDisruptions[Event type],MATCH(tblWorkPackages[[#This Row],[Work package ID]],tblDisruptions[Work package ID],0)),"None")</f>
        <v>None</v>
      </c>
      <c r="AJ417" s="51" t="str">
        <f>TEXT(tblWorkPackages[[#This Row],[Due date serial]],"yyyy-mm")</f>
        <v>2024-02</v>
      </c>
    </row>
    <row r="418" spans="1:36" ht="15" x14ac:dyDescent="0.25">
      <c r="A418" s="53" t="s">
        <v>1181</v>
      </c>
      <c r="B418" s="53" t="s">
        <v>157</v>
      </c>
      <c r="C418" s="53" t="s">
        <v>470</v>
      </c>
      <c r="D418" s="53" t="s">
        <v>471</v>
      </c>
      <c r="E418" s="53" t="s">
        <v>160</v>
      </c>
      <c r="F418" s="53" t="s">
        <v>128</v>
      </c>
      <c r="G418" s="53" t="s">
        <v>138</v>
      </c>
      <c r="H418" s="53">
        <v>1</v>
      </c>
      <c r="I418" s="53" t="s">
        <v>130</v>
      </c>
      <c r="J418" s="53">
        <v>0</v>
      </c>
      <c r="K418" s="53">
        <v>1</v>
      </c>
      <c r="L418" s="53">
        <v>3.1</v>
      </c>
      <c r="M418" s="53" t="s">
        <v>471</v>
      </c>
      <c r="N418" s="53">
        <v>3.6</v>
      </c>
      <c r="O418" s="51" t="str">
        <f>TEXT(tblWorkPackages[[#This Row],[Request date serial]]-WEEKDAY(tblWorkPackages[[#This Row],[Request date serial]],3),"yyyy-mm-dd")</f>
        <v>2024-04-15</v>
      </c>
      <c r="P418" s="51">
        <f>ABS(tblWorkPackages[[#This Row],[Actual labor hours]]-tblWorkPackages[[#This Row],[Estimated labor hours]])</f>
        <v>0.5</v>
      </c>
      <c r="Q418" s="51">
        <f>IF(tblWorkPackages[[#This Row],[Actual labor hours]]&gt;tblWorkPackages[[#This Row],[Estimated labor hours]],1,0)</f>
        <v>1</v>
      </c>
      <c r="R418" s="51">
        <f>tblWorkPackages[[#This Row],[Actual labor hours]]-tblWorkPackages[[#This Row],[Estimated labor hours]]</f>
        <v>0.5</v>
      </c>
      <c r="S418" s="51" t="str">
        <f>IF(tblWorkPackages[[#This Row],[Request date serial]]&lt;ValidationStart,"Train 2024",IF(tblWorkPackages[[#This Row],[Request date serial]]&lt;HoldoutStart,"Validation H1","Holdout H2"))</f>
        <v>Train 2024</v>
      </c>
      <c r="T418" s="51" t="str">
        <f>IF(tblWorkPackages[[#This Row],[Time split]]="Train 2024","",tblWorkPackages[[#This Row],[Estimated labor hours]]+VLOOKUP(tblWorkPackages[[#This Row],[Task type]],'Forecast validation'!$A$14:$E$25,IF(tblWorkPackages[[#This Row],[Time split]]="Validation H1",4,5),FALSE()))</f>
        <v/>
      </c>
      <c r="U418" s="51" t="str">
        <f>IF(tblWorkPackages[[#This Row],[Calibrated forecast hours]]="","",ABS(tblWorkPackages[[#This Row],[Actual labor hours]]-tblWorkPackages[[#This Row],[Calibrated forecast hours]]))</f>
        <v/>
      </c>
      <c r="V418" s="51">
        <f>IF(tblWorkPackages[[#This Row],[Time split]]="Train 2024",tblWorkPackages[[#This Row],[Estimated labor hours]],tblWorkPackages[[#This Row],[Calibrated forecast hours]])</f>
        <v>3.1</v>
      </c>
      <c r="W418" s="64">
        <f>DATEVALUE(tblWorkPackages[[#This Row],[Request date]])</f>
        <v>45400.0</v>
      </c>
      <c r="X418" s="64">
        <f>DATEVALUE(tblWorkPackages[[#This Row],[Due date]])</f>
        <v>45413.0</v>
      </c>
      <c r="Y418" s="64">
        <f>DATEVALUE(tblWorkPackages[[#This Row],[Completion date]])</f>
        <v>45413.0</v>
      </c>
      <c r="Z418" s="64">
        <f>_xlfn.MINIFS(tblLaborEntries[Work date serial],tblLaborEntries[Work package ID],tblWorkPackages[[#This Row],[Work package ID]])</f>
        <v>45413.0</v>
      </c>
      <c r="AA418" s="64">
        <f>_xlfn.MAXIFS(tblLaborEntries[Work date serial],tblLaborEntries[Work package ID],tblWorkPackages[[#This Row],[Work package ID]])</f>
        <v>45413.0</v>
      </c>
      <c r="AB418" s="65">
        <f>IF(tblWorkPackages[[#This Row],[Completion date serial]]&gt;tblWorkPackages[[#This Row],[Due date serial]],1,0)</f>
        <v>0</v>
      </c>
      <c r="AC418" s="65">
        <f>MAX(0,tblWorkPackages[[#This Row],[Completion date serial]]-tblWorkPackages[[#This Row],[Due date serial]])</f>
        <v>0</v>
      </c>
      <c r="AD418" s="65">
        <f>tblWorkPackages[[#This Row],[First labor date]]-tblWorkPackages[[#This Row],[Request date serial]]</f>
        <v>13</v>
      </c>
      <c r="AE418" s="65">
        <f>tblWorkPackages[[#This Row],[Last labor date]]-tblWorkPackages[[#This Row],[First labor date]]</f>
        <v>0</v>
      </c>
      <c r="AF418" s="65">
        <f>tblWorkPackages[[#This Row],[Completion date serial]]-tblWorkPackages[[#This Row],[Last labor date]]</f>
        <v>0</v>
      </c>
      <c r="AG418" s="65">
        <f>tblWorkPackages[[#This Row],[Completion date serial]]-tblWorkPackages[[#This Row],[Request date serial]]</f>
        <v>13</v>
      </c>
      <c r="AH418" s="65">
        <f>IFERROR(INDEX(tblParts[Delay days],MATCH(tblWorkPackages[[#This Row],[Work package ID]],tblParts[Work package ID],0)),0)</f>
        <v>0</v>
      </c>
      <c r="AI418" s="51" t="str">
        <f>IFERROR(INDEX(tblDisruptions[Event type],MATCH(tblWorkPackages[[#This Row],[Work package ID]],tblDisruptions[Work package ID],0)),"None")</f>
        <v>None</v>
      </c>
      <c r="AJ418" s="51" t="str">
        <f>TEXT(tblWorkPackages[[#This Row],[Due date serial]],"yyyy-mm")</f>
        <v>2024-05</v>
      </c>
    </row>
    <row r="419" spans="1:36" ht="15" x14ac:dyDescent="0.25">
      <c r="A419" s="53" t="s">
        <v>1182</v>
      </c>
      <c r="B419" s="53" t="s">
        <v>230</v>
      </c>
      <c r="C419" s="53" t="s">
        <v>1183</v>
      </c>
      <c r="D419" s="53" t="s">
        <v>1076</v>
      </c>
      <c r="E419" s="53" t="s">
        <v>237</v>
      </c>
      <c r="F419" s="53" t="s">
        <v>182</v>
      </c>
      <c r="G419" s="53" t="s">
        <v>138</v>
      </c>
      <c r="H419" s="53">
        <v>4</v>
      </c>
      <c r="I419" s="53" t="s">
        <v>176</v>
      </c>
      <c r="J419" s="53">
        <v>1</v>
      </c>
      <c r="K419" s="53">
        <v>0</v>
      </c>
      <c r="L419" s="53">
        <v>11.2</v>
      </c>
      <c r="M419" s="53" t="s">
        <v>1184</v>
      </c>
      <c r="N419" s="53">
        <v>16.2</v>
      </c>
      <c r="O419" s="51" t="str">
        <f>TEXT(tblWorkPackages[[#This Row],[Request date serial]]-WEEKDAY(tblWorkPackages[[#This Row],[Request date serial]],3),"yyyy-mm-dd")</f>
        <v>2025-05-19</v>
      </c>
      <c r="P419" s="51">
        <f>ABS(tblWorkPackages[[#This Row],[Actual labor hours]]-tblWorkPackages[[#This Row],[Estimated labor hours]])</f>
        <v>5</v>
      </c>
      <c r="Q419" s="51">
        <f>IF(tblWorkPackages[[#This Row],[Actual labor hours]]&gt;tblWorkPackages[[#This Row],[Estimated labor hours]],1,0)</f>
        <v>1</v>
      </c>
      <c r="R419" s="51">
        <f>tblWorkPackages[[#This Row],[Actual labor hours]]-tblWorkPackages[[#This Row],[Estimated labor hours]]</f>
        <v>5</v>
      </c>
      <c r="S419" s="51" t="str">
        <f>IF(tblWorkPackages[[#This Row],[Request date serial]]&lt;ValidationStart,"Train 2024",IF(tblWorkPackages[[#This Row],[Request date serial]]&lt;HoldoutStart,"Validation H1","Holdout H2"))</f>
        <v>Validation H1</v>
      </c>
      <c r="T419" s="51">
        <f>IF(tblWorkPackages[[#This Row],[Time split]]="Train 2024","",tblWorkPackages[[#This Row],[Estimated labor hours]]+VLOOKUP(tblWorkPackages[[#This Row],[Task type]],'Forecast validation'!$A$14:$E$25,IF(tblWorkPackages[[#This Row],[Time split]]="Validation H1",4,5),FALSE()))</f>
        <v>11.7037037037037</v>
      </c>
      <c r="U419" s="51">
        <f>IF(tblWorkPackages[[#This Row],[Calibrated forecast hours]]="","",ABS(tblWorkPackages[[#This Row],[Actual labor hours]]-tblWorkPackages[[#This Row],[Calibrated forecast hours]]))</f>
        <v>4.4962962962963</v>
      </c>
      <c r="V419" s="51">
        <f>IF(tblWorkPackages[[#This Row],[Time split]]="Train 2024",tblWorkPackages[[#This Row],[Estimated labor hours]],tblWorkPackages[[#This Row],[Calibrated forecast hours]])</f>
        <v>11.7037037037037</v>
      </c>
      <c r="W419" s="64">
        <f>DATEVALUE(tblWorkPackages[[#This Row],[Request date]])</f>
        <v>45798.0</v>
      </c>
      <c r="X419" s="64">
        <f>DATEVALUE(tblWorkPackages[[#This Row],[Due date]])</f>
        <v>45804.0</v>
      </c>
      <c r="Y419" s="64">
        <f>DATEVALUE(tblWorkPackages[[#This Row],[Completion date]])</f>
        <v>45802.0</v>
      </c>
      <c r="Z419" s="64">
        <f>_xlfn.MINIFS(tblLaborEntries[Work date serial],tblLaborEntries[Work package ID],tblWorkPackages[[#This Row],[Work package ID]])</f>
        <v>45801.0</v>
      </c>
      <c r="AA419" s="64">
        <f>_xlfn.MAXIFS(tblLaborEntries[Work date serial],tblLaborEntries[Work package ID],tblWorkPackages[[#This Row],[Work package ID]])</f>
        <v>45801.0</v>
      </c>
      <c r="AB419" s="65">
        <f>IF(tblWorkPackages[[#This Row],[Completion date serial]]&gt;tblWorkPackages[[#This Row],[Due date serial]],1,0)</f>
        <v>0</v>
      </c>
      <c r="AC419" s="65">
        <f>MAX(0,tblWorkPackages[[#This Row],[Completion date serial]]-tblWorkPackages[[#This Row],[Due date serial]])</f>
        <v>0</v>
      </c>
      <c r="AD419" s="65">
        <f>tblWorkPackages[[#This Row],[First labor date]]-tblWorkPackages[[#This Row],[Request date serial]]</f>
        <v>3</v>
      </c>
      <c r="AE419" s="65">
        <f>tblWorkPackages[[#This Row],[Last labor date]]-tblWorkPackages[[#This Row],[First labor date]]</f>
        <v>0</v>
      </c>
      <c r="AF419" s="65">
        <f>tblWorkPackages[[#This Row],[Completion date serial]]-tblWorkPackages[[#This Row],[Last labor date]]</f>
        <v>1</v>
      </c>
      <c r="AG419" s="65">
        <f>tblWorkPackages[[#This Row],[Completion date serial]]-tblWorkPackages[[#This Row],[Request date serial]]</f>
        <v>4</v>
      </c>
      <c r="AH419" s="65">
        <f>IFERROR(INDEX(tblParts[Delay days],MATCH(tblWorkPackages[[#This Row],[Work package ID]],tblParts[Work package ID],0)),0)</f>
        <v>0</v>
      </c>
      <c r="AI419" s="51" t="str">
        <f>IFERROR(INDEX(tblDisruptions[Event type],MATCH(tblWorkPackages[[#This Row],[Work package ID]],tblDisruptions[Work package ID],0)),"None")</f>
        <v>None</v>
      </c>
      <c r="AJ419" s="51" t="str">
        <f>TEXT(tblWorkPackages[[#This Row],[Due date serial]],"yyyy-mm")</f>
        <v>2025-05</v>
      </c>
    </row>
    <row r="420" spans="1:36" ht="15" x14ac:dyDescent="0.25">
      <c r="A420" s="53" t="s">
        <v>1185</v>
      </c>
      <c r="B420" s="53" t="s">
        <v>173</v>
      </c>
      <c r="C420" s="53" t="s">
        <v>1186</v>
      </c>
      <c r="D420" s="53" t="s">
        <v>447</v>
      </c>
      <c r="E420" s="53" t="s">
        <v>209</v>
      </c>
      <c r="F420" s="53" t="s">
        <v>145</v>
      </c>
      <c r="G420" s="53" t="s">
        <v>210</v>
      </c>
      <c r="H420" s="53">
        <v>3</v>
      </c>
      <c r="I420" s="53" t="s">
        <v>130</v>
      </c>
      <c r="J420" s="53">
        <v>1</v>
      </c>
      <c r="K420" s="53">
        <v>0</v>
      </c>
      <c r="L420" s="53">
        <v>30.2</v>
      </c>
      <c r="M420" s="53" t="s">
        <v>468</v>
      </c>
      <c r="N420" s="53">
        <v>47.4</v>
      </c>
      <c r="O420" s="51" t="str">
        <f>TEXT(tblWorkPackages[[#This Row],[Request date serial]]-WEEKDAY(tblWorkPackages[[#This Row],[Request date serial]],3),"yyyy-mm-dd")</f>
        <v>2025-03-10</v>
      </c>
      <c r="P420" s="51">
        <f>ABS(tblWorkPackages[[#This Row],[Actual labor hours]]-tblWorkPackages[[#This Row],[Estimated labor hours]])</f>
        <v>17.2</v>
      </c>
      <c r="Q420" s="51">
        <f>IF(tblWorkPackages[[#This Row],[Actual labor hours]]&gt;tblWorkPackages[[#This Row],[Estimated labor hours]],1,0)</f>
        <v>1</v>
      </c>
      <c r="R420" s="51">
        <f>tblWorkPackages[[#This Row],[Actual labor hours]]-tblWorkPackages[[#This Row],[Estimated labor hours]]</f>
        <v>17.2</v>
      </c>
      <c r="S420" s="51" t="str">
        <f>IF(tblWorkPackages[[#This Row],[Request date serial]]&lt;ValidationStart,"Train 2024",IF(tblWorkPackages[[#This Row],[Request date serial]]&lt;HoldoutStart,"Validation H1","Holdout H2"))</f>
        <v>Validation H1</v>
      </c>
      <c r="T420" s="51">
        <f>IF(tblWorkPackages[[#This Row],[Time split]]="Train 2024","",tblWorkPackages[[#This Row],[Estimated labor hours]]+VLOOKUP(tblWorkPackages[[#This Row],[Task type]],'Forecast validation'!$A$14:$E$25,IF(tblWorkPackages[[#This Row],[Time split]]="Validation H1",4,5),FALSE()))</f>
        <v>31.3029850746269</v>
      </c>
      <c r="U420" s="51">
        <f>IF(tblWorkPackages[[#This Row],[Calibrated forecast hours]]="","",ABS(tblWorkPackages[[#This Row],[Actual labor hours]]-tblWorkPackages[[#This Row],[Calibrated forecast hours]]))</f>
        <v>16.0970149253731</v>
      </c>
      <c r="V420" s="51">
        <f>IF(tblWorkPackages[[#This Row],[Time split]]="Train 2024",tblWorkPackages[[#This Row],[Estimated labor hours]],tblWorkPackages[[#This Row],[Calibrated forecast hours]])</f>
        <v>31.3029850746269</v>
      </c>
      <c r="W420" s="64">
        <f>DATEVALUE(tblWorkPackages[[#This Row],[Request date]])</f>
        <v>45731.0</v>
      </c>
      <c r="X420" s="64">
        <f>DATEVALUE(tblWorkPackages[[#This Row],[Due date]])</f>
        <v>45744.0</v>
      </c>
      <c r="Y420" s="64">
        <f>DATEVALUE(tblWorkPackages[[#This Row],[Completion date]])</f>
        <v>45775.0</v>
      </c>
      <c r="Z420" s="64">
        <f>_xlfn.MINIFS(tblLaborEntries[Work date serial],tblLaborEntries[Work package ID],tblWorkPackages[[#This Row],[Work package ID]])</f>
        <v>45771.0</v>
      </c>
      <c r="AA420" s="64">
        <f>_xlfn.MAXIFS(tblLaborEntries[Work date serial],tblLaborEntries[Work package ID],tblWorkPackages[[#This Row],[Work package ID]])</f>
        <v>45773.0</v>
      </c>
      <c r="AB420" s="65">
        <f>IF(tblWorkPackages[[#This Row],[Completion date serial]]&gt;tblWorkPackages[[#This Row],[Due date serial]],1,0)</f>
        <v>1</v>
      </c>
      <c r="AC420" s="65">
        <f>MAX(0,tblWorkPackages[[#This Row],[Completion date serial]]-tblWorkPackages[[#This Row],[Due date serial]])</f>
        <v>31</v>
      </c>
      <c r="AD420" s="65">
        <f>tblWorkPackages[[#This Row],[First labor date]]-tblWorkPackages[[#This Row],[Request date serial]]</f>
        <v>40</v>
      </c>
      <c r="AE420" s="65">
        <f>tblWorkPackages[[#This Row],[Last labor date]]-tblWorkPackages[[#This Row],[First labor date]]</f>
        <v>2</v>
      </c>
      <c r="AF420" s="65">
        <f>tblWorkPackages[[#This Row],[Completion date serial]]-tblWorkPackages[[#This Row],[Last labor date]]</f>
        <v>2</v>
      </c>
      <c r="AG420" s="65">
        <f>tblWorkPackages[[#This Row],[Completion date serial]]-tblWorkPackages[[#This Row],[Request date serial]]</f>
        <v>44</v>
      </c>
      <c r="AH420" s="65">
        <f>IFERROR(INDEX(tblParts[Delay days],MATCH(tblWorkPackages[[#This Row],[Work package ID]],tblParts[Work package ID],0)),0)</f>
        <v>0</v>
      </c>
      <c r="AI420" s="51" t="str">
        <f>IFERROR(INDEX(tblDisruptions[Event type],MATCH(tblWorkPackages[[#This Row],[Work package ID]],tblDisruptions[Work package ID],0)),"None")</f>
        <v>Technician absence</v>
      </c>
      <c r="AJ420" s="51" t="str">
        <f>TEXT(tblWorkPackages[[#This Row],[Due date serial]],"yyyy-mm")</f>
        <v>2025-03</v>
      </c>
    </row>
    <row r="421" spans="1:36" ht="15" x14ac:dyDescent="0.25">
      <c r="A421" s="53" t="s">
        <v>1187</v>
      </c>
      <c r="B421" s="53" t="s">
        <v>185</v>
      </c>
      <c r="C421" s="53" t="s">
        <v>630</v>
      </c>
      <c r="D421" s="53" t="s">
        <v>631</v>
      </c>
      <c r="E421" s="53" t="s">
        <v>160</v>
      </c>
      <c r="F421" s="53" t="s">
        <v>128</v>
      </c>
      <c r="G421" s="53" t="s">
        <v>138</v>
      </c>
      <c r="H421" s="53">
        <v>3</v>
      </c>
      <c r="I421" s="53" t="s">
        <v>176</v>
      </c>
      <c r="J421" s="53">
        <v>0</v>
      </c>
      <c r="K421" s="53">
        <v>0</v>
      </c>
      <c r="L421" s="53">
        <v>7.2</v>
      </c>
      <c r="M421" s="53" t="s">
        <v>321</v>
      </c>
      <c r="N421" s="53">
        <v>7.8</v>
      </c>
      <c r="O421" s="51" t="str">
        <f>TEXT(tblWorkPackages[[#This Row],[Request date serial]]-WEEKDAY(tblWorkPackages[[#This Row],[Request date serial]],3),"yyyy-mm-dd")</f>
        <v>2024-03-25</v>
      </c>
      <c r="P421" s="51">
        <f>ABS(tblWorkPackages[[#This Row],[Actual labor hours]]-tblWorkPackages[[#This Row],[Estimated labor hours]])</f>
        <v>0.6</v>
      </c>
      <c r="Q421" s="51">
        <f>IF(tblWorkPackages[[#This Row],[Actual labor hours]]&gt;tblWorkPackages[[#This Row],[Estimated labor hours]],1,0)</f>
        <v>1</v>
      </c>
      <c r="R421" s="51">
        <f>tblWorkPackages[[#This Row],[Actual labor hours]]-tblWorkPackages[[#This Row],[Estimated labor hours]]</f>
        <v>0.6</v>
      </c>
      <c r="S421" s="51" t="str">
        <f>IF(tblWorkPackages[[#This Row],[Request date serial]]&lt;ValidationStart,"Train 2024",IF(tblWorkPackages[[#This Row],[Request date serial]]&lt;HoldoutStart,"Validation H1","Holdout H2"))</f>
        <v>Train 2024</v>
      </c>
      <c r="T421" s="51" t="str">
        <f>IF(tblWorkPackages[[#This Row],[Time split]]="Train 2024","",tblWorkPackages[[#This Row],[Estimated labor hours]]+VLOOKUP(tblWorkPackages[[#This Row],[Task type]],'Forecast validation'!$A$14:$E$25,IF(tblWorkPackages[[#This Row],[Time split]]="Validation H1",4,5),FALSE()))</f>
        <v/>
      </c>
      <c r="U421" s="51" t="str">
        <f>IF(tblWorkPackages[[#This Row],[Calibrated forecast hours]]="","",ABS(tblWorkPackages[[#This Row],[Actual labor hours]]-tblWorkPackages[[#This Row],[Calibrated forecast hours]]))</f>
        <v/>
      </c>
      <c r="V421" s="51">
        <f>IF(tblWorkPackages[[#This Row],[Time split]]="Train 2024",tblWorkPackages[[#This Row],[Estimated labor hours]],tblWorkPackages[[#This Row],[Calibrated forecast hours]])</f>
        <v>7.2</v>
      </c>
      <c r="W421" s="64">
        <f>DATEVALUE(tblWorkPackages[[#This Row],[Request date]])</f>
        <v>45376.0</v>
      </c>
      <c r="X421" s="64">
        <f>DATEVALUE(tblWorkPackages[[#This Row],[Due date]])</f>
        <v>45382.0</v>
      </c>
      <c r="Y421" s="64">
        <f>DATEVALUE(tblWorkPackages[[#This Row],[Completion date]])</f>
        <v>45388.0</v>
      </c>
      <c r="Z421" s="64">
        <f>_xlfn.MINIFS(tblLaborEntries[Work date serial],tblLaborEntries[Work package ID],tblWorkPackages[[#This Row],[Work package ID]])</f>
        <v>45383.0</v>
      </c>
      <c r="AA421" s="64">
        <f>_xlfn.MAXIFS(tblLaborEntries[Work date serial],tblLaborEntries[Work package ID],tblWorkPackages[[#This Row],[Work package ID]])</f>
        <v>45385.0</v>
      </c>
      <c r="AB421" s="65">
        <f>IF(tblWorkPackages[[#This Row],[Completion date serial]]&gt;tblWorkPackages[[#This Row],[Due date serial]],1,0)</f>
        <v>1</v>
      </c>
      <c r="AC421" s="65">
        <f>MAX(0,tblWorkPackages[[#This Row],[Completion date serial]]-tblWorkPackages[[#This Row],[Due date serial]])</f>
        <v>6</v>
      </c>
      <c r="AD421" s="65">
        <f>tblWorkPackages[[#This Row],[First labor date]]-tblWorkPackages[[#This Row],[Request date serial]]</f>
        <v>7</v>
      </c>
      <c r="AE421" s="65">
        <f>tblWorkPackages[[#This Row],[Last labor date]]-tblWorkPackages[[#This Row],[First labor date]]</f>
        <v>2</v>
      </c>
      <c r="AF421" s="65">
        <f>tblWorkPackages[[#This Row],[Completion date serial]]-tblWorkPackages[[#This Row],[Last labor date]]</f>
        <v>3</v>
      </c>
      <c r="AG421" s="65">
        <f>tblWorkPackages[[#This Row],[Completion date serial]]-tblWorkPackages[[#This Row],[Request date serial]]</f>
        <v>12</v>
      </c>
      <c r="AH421" s="65">
        <f>IFERROR(INDEX(tblParts[Delay days],MATCH(tblWorkPackages[[#This Row],[Work package ID]],tblParts[Work package ID],0)),0)</f>
        <v>0</v>
      </c>
      <c r="AI421" s="51" t="str">
        <f>IFERROR(INDEX(tblDisruptions[Event type],MATCH(tblWorkPackages[[#This Row],[Work package ID]],tblDisruptions[Work package ID],0)),"None")</f>
        <v>None</v>
      </c>
      <c r="AJ421" s="51" t="str">
        <f>TEXT(tblWorkPackages[[#This Row],[Due date serial]],"yyyy-mm")</f>
        <v>2024-03</v>
      </c>
    </row>
    <row r="422" spans="1:36" ht="15" x14ac:dyDescent="0.25">
      <c r="A422" s="53" t="s">
        <v>1188</v>
      </c>
      <c r="B422" s="53" t="s">
        <v>124</v>
      </c>
      <c r="C422" s="53" t="s">
        <v>192</v>
      </c>
      <c r="D422" s="53" t="s">
        <v>527</v>
      </c>
      <c r="E422" s="53" t="s">
        <v>136</v>
      </c>
      <c r="F422" s="53" t="s">
        <v>137</v>
      </c>
      <c r="G422" s="53" t="s">
        <v>138</v>
      </c>
      <c r="H422" s="53">
        <v>3</v>
      </c>
      <c r="I422" s="53" t="s">
        <v>176</v>
      </c>
      <c r="J422" s="53">
        <v>0</v>
      </c>
      <c r="K422" s="53">
        <v>0</v>
      </c>
      <c r="L422" s="53">
        <v>18.7</v>
      </c>
      <c r="M422" s="53" t="s">
        <v>521</v>
      </c>
      <c r="N422" s="53">
        <v>23.2</v>
      </c>
      <c r="O422" s="51" t="str">
        <f>TEXT(tblWorkPackages[[#This Row],[Request date serial]]-WEEKDAY(tblWorkPackages[[#This Row],[Request date serial]],3),"yyyy-mm-dd")</f>
        <v>2025-08-25</v>
      </c>
      <c r="P422" s="51">
        <f>ABS(tblWorkPackages[[#This Row],[Actual labor hours]]-tblWorkPackages[[#This Row],[Estimated labor hours]])</f>
        <v>4.5</v>
      </c>
      <c r="Q422" s="51">
        <f>IF(tblWorkPackages[[#This Row],[Actual labor hours]]&gt;tblWorkPackages[[#This Row],[Estimated labor hours]],1,0)</f>
        <v>1</v>
      </c>
      <c r="R422" s="51">
        <f>tblWorkPackages[[#This Row],[Actual labor hours]]-tblWorkPackages[[#This Row],[Estimated labor hours]]</f>
        <v>4.5</v>
      </c>
      <c r="S422" s="51" t="str">
        <f>IF(tblWorkPackages[[#This Row],[Request date serial]]&lt;ValidationStart,"Train 2024",IF(tblWorkPackages[[#This Row],[Request date serial]]&lt;HoldoutStart,"Validation H1","Holdout H2"))</f>
        <v>Holdout H2</v>
      </c>
      <c r="T422" s="51">
        <f>IF(tblWorkPackages[[#This Row],[Time split]]="Train 2024","",tblWorkPackages[[#This Row],[Estimated labor hours]]+VLOOKUP(tblWorkPackages[[#This Row],[Task type]],'Forecast validation'!$A$14:$E$25,IF(tblWorkPackages[[#This Row],[Time split]]="Validation H1",4,5),FALSE()))</f>
        <v>19.6207547169811</v>
      </c>
      <c r="U422" s="51">
        <f>IF(tblWorkPackages[[#This Row],[Calibrated forecast hours]]="","",ABS(tblWorkPackages[[#This Row],[Actual labor hours]]-tblWorkPackages[[#This Row],[Calibrated forecast hours]]))</f>
        <v>3.57924528301887</v>
      </c>
      <c r="V422" s="51">
        <f>IF(tblWorkPackages[[#This Row],[Time split]]="Train 2024",tblWorkPackages[[#This Row],[Estimated labor hours]],tblWorkPackages[[#This Row],[Calibrated forecast hours]])</f>
        <v>19.6207547169811</v>
      </c>
      <c r="W422" s="64">
        <f>DATEVALUE(tblWorkPackages[[#This Row],[Request date]])</f>
        <v>45900.0</v>
      </c>
      <c r="X422" s="64">
        <f>DATEVALUE(tblWorkPackages[[#This Row],[Due date]])</f>
        <v>45906.0</v>
      </c>
      <c r="Y422" s="64">
        <f>DATEVALUE(tblWorkPackages[[#This Row],[Completion date]])</f>
        <v>45903.0</v>
      </c>
      <c r="Z422" s="64">
        <f>_xlfn.MINIFS(tblLaborEntries[Work date serial],tblLaborEntries[Work package ID],tblWorkPackages[[#This Row],[Work package ID]])</f>
        <v>45902.0</v>
      </c>
      <c r="AA422" s="64">
        <f>_xlfn.MAXIFS(tblLaborEntries[Work date serial],tblLaborEntries[Work package ID],tblWorkPackages[[#This Row],[Work package ID]])</f>
        <v>45903.0</v>
      </c>
      <c r="AB422" s="65">
        <f>IF(tblWorkPackages[[#This Row],[Completion date serial]]&gt;tblWorkPackages[[#This Row],[Due date serial]],1,0)</f>
        <v>0</v>
      </c>
      <c r="AC422" s="65">
        <f>MAX(0,tblWorkPackages[[#This Row],[Completion date serial]]-tblWorkPackages[[#This Row],[Due date serial]])</f>
        <v>0</v>
      </c>
      <c r="AD422" s="65">
        <f>tblWorkPackages[[#This Row],[First labor date]]-tblWorkPackages[[#This Row],[Request date serial]]</f>
        <v>2</v>
      </c>
      <c r="AE422" s="65">
        <f>tblWorkPackages[[#This Row],[Last labor date]]-tblWorkPackages[[#This Row],[First labor date]]</f>
        <v>1</v>
      </c>
      <c r="AF422" s="65">
        <f>tblWorkPackages[[#This Row],[Completion date serial]]-tblWorkPackages[[#This Row],[Last labor date]]</f>
        <v>0</v>
      </c>
      <c r="AG422" s="65">
        <f>tblWorkPackages[[#This Row],[Completion date serial]]-tblWorkPackages[[#This Row],[Request date serial]]</f>
        <v>3</v>
      </c>
      <c r="AH422" s="65">
        <f>IFERROR(INDEX(tblParts[Delay days],MATCH(tblWorkPackages[[#This Row],[Work package ID]],tblParts[Work package ID],0)),0)</f>
        <v>0</v>
      </c>
      <c r="AI422" s="51" t="str">
        <f>IFERROR(INDEX(tblDisruptions[Event type],MATCH(tblWorkPackages[[#This Row],[Work package ID]],tblDisruptions[Work package ID],0)),"None")</f>
        <v>Repeat inspection</v>
      </c>
      <c r="AJ422" s="51" t="str">
        <f>TEXT(tblWorkPackages[[#This Row],[Due date serial]],"yyyy-mm")</f>
        <v>2025-09</v>
      </c>
    </row>
    <row r="423" spans="1:36" ht="15" x14ac:dyDescent="0.25">
      <c r="A423" s="53" t="s">
        <v>1189</v>
      </c>
      <c r="B423" s="53" t="s">
        <v>150</v>
      </c>
      <c r="C423" s="53" t="s">
        <v>874</v>
      </c>
      <c r="D423" s="53" t="s">
        <v>402</v>
      </c>
      <c r="E423" s="53" t="s">
        <v>209</v>
      </c>
      <c r="F423" s="53" t="s">
        <v>145</v>
      </c>
      <c r="G423" s="53" t="s">
        <v>210</v>
      </c>
      <c r="H423" s="53">
        <v>4</v>
      </c>
      <c r="I423" s="53" t="s">
        <v>130</v>
      </c>
      <c r="J423" s="53">
        <v>0</v>
      </c>
      <c r="K423" s="53">
        <v>1</v>
      </c>
      <c r="L423" s="53">
        <v>36.4</v>
      </c>
      <c r="M423" s="53" t="s">
        <v>724</v>
      </c>
      <c r="N423" s="53">
        <v>44.8</v>
      </c>
      <c r="O423" s="51" t="str">
        <f>TEXT(tblWorkPackages[[#This Row],[Request date serial]]-WEEKDAY(tblWorkPackages[[#This Row],[Request date serial]],3),"yyyy-mm-dd")</f>
        <v>2024-09-09</v>
      </c>
      <c r="P423" s="51">
        <f>ABS(tblWorkPackages[[#This Row],[Actual labor hours]]-tblWorkPackages[[#This Row],[Estimated labor hours]])</f>
        <v>8.4</v>
      </c>
      <c r="Q423" s="51">
        <f>IF(tblWorkPackages[[#This Row],[Actual labor hours]]&gt;tblWorkPackages[[#This Row],[Estimated labor hours]],1,0)</f>
        <v>1</v>
      </c>
      <c r="R423" s="51">
        <f>tblWorkPackages[[#This Row],[Actual labor hours]]-tblWorkPackages[[#This Row],[Estimated labor hours]]</f>
        <v>8.4</v>
      </c>
      <c r="S423" s="51" t="str">
        <f>IF(tblWorkPackages[[#This Row],[Request date serial]]&lt;ValidationStart,"Train 2024",IF(tblWorkPackages[[#This Row],[Request date serial]]&lt;HoldoutStart,"Validation H1","Holdout H2"))</f>
        <v>Train 2024</v>
      </c>
      <c r="T423" s="51" t="str">
        <f>IF(tblWorkPackages[[#This Row],[Time split]]="Train 2024","",tblWorkPackages[[#This Row],[Estimated labor hours]]+VLOOKUP(tblWorkPackages[[#This Row],[Task type]],'Forecast validation'!$A$14:$E$25,IF(tblWorkPackages[[#This Row],[Time split]]="Validation H1",4,5),FALSE()))</f>
        <v/>
      </c>
      <c r="U423" s="51" t="str">
        <f>IF(tblWorkPackages[[#This Row],[Calibrated forecast hours]]="","",ABS(tblWorkPackages[[#This Row],[Actual labor hours]]-tblWorkPackages[[#This Row],[Calibrated forecast hours]]))</f>
        <v/>
      </c>
      <c r="V423" s="51">
        <f>IF(tblWorkPackages[[#This Row],[Time split]]="Train 2024",tblWorkPackages[[#This Row],[Estimated labor hours]],tblWorkPackages[[#This Row],[Calibrated forecast hours]])</f>
        <v>36.4</v>
      </c>
      <c r="W423" s="64">
        <f>DATEVALUE(tblWorkPackages[[#This Row],[Request date]])</f>
        <v>45548.0</v>
      </c>
      <c r="X423" s="64">
        <f>DATEVALUE(tblWorkPackages[[#This Row],[Due date]])</f>
        <v>45561.0</v>
      </c>
      <c r="Y423" s="64">
        <f>DATEVALUE(tblWorkPackages[[#This Row],[Completion date]])</f>
        <v>45581.0</v>
      </c>
      <c r="Z423" s="64">
        <f>_xlfn.MINIFS(tblLaborEntries[Work date serial],tblLaborEntries[Work package ID],tblWorkPackages[[#This Row],[Work package ID]])</f>
        <v>45579.0</v>
      </c>
      <c r="AA423" s="64">
        <f>_xlfn.MAXIFS(tblLaborEntries[Work date serial],tblLaborEntries[Work package ID],tblWorkPackages[[#This Row],[Work package ID]])</f>
        <v>45580.0</v>
      </c>
      <c r="AB423" s="65">
        <f>IF(tblWorkPackages[[#This Row],[Completion date serial]]&gt;tblWorkPackages[[#This Row],[Due date serial]],1,0)</f>
        <v>1</v>
      </c>
      <c r="AC423" s="65">
        <f>MAX(0,tblWorkPackages[[#This Row],[Completion date serial]]-tblWorkPackages[[#This Row],[Due date serial]])</f>
        <v>20</v>
      </c>
      <c r="AD423" s="65">
        <f>tblWorkPackages[[#This Row],[First labor date]]-tblWorkPackages[[#This Row],[Request date serial]]</f>
        <v>31</v>
      </c>
      <c r="AE423" s="65">
        <f>tblWorkPackages[[#This Row],[Last labor date]]-tblWorkPackages[[#This Row],[First labor date]]</f>
        <v>1</v>
      </c>
      <c r="AF423" s="65">
        <f>tblWorkPackages[[#This Row],[Completion date serial]]-tblWorkPackages[[#This Row],[Last labor date]]</f>
        <v>1</v>
      </c>
      <c r="AG423" s="65">
        <f>tblWorkPackages[[#This Row],[Completion date serial]]-tblWorkPackages[[#This Row],[Request date serial]]</f>
        <v>33</v>
      </c>
      <c r="AH423" s="65">
        <f>IFERROR(INDEX(tblParts[Delay days],MATCH(tblWorkPackages[[#This Row],[Work package ID]],tblParts[Work package ID],0)),0)</f>
        <v>14</v>
      </c>
      <c r="AI423" s="51" t="str">
        <f>IFERROR(INDEX(tblDisruptions[Event type],MATCH(tblWorkPackages[[#This Row],[Work package ID]],tblDisruptions[Work package ID],0)),"None")</f>
        <v>Part delay</v>
      </c>
      <c r="AJ423" s="51" t="str">
        <f>TEXT(tblWorkPackages[[#This Row],[Due date serial]],"yyyy-mm")</f>
        <v>2024-09</v>
      </c>
    </row>
    <row r="424" spans="1:36" ht="15" x14ac:dyDescent="0.25">
      <c r="A424" s="53" t="s">
        <v>1190</v>
      </c>
      <c r="B424" s="53" t="s">
        <v>287</v>
      </c>
      <c r="C424" s="53" t="s">
        <v>1191</v>
      </c>
      <c r="D424" s="53" t="s">
        <v>466</v>
      </c>
      <c r="E424" s="53" t="s">
        <v>160</v>
      </c>
      <c r="F424" s="53" t="s">
        <v>128</v>
      </c>
      <c r="G424" s="53" t="s">
        <v>138</v>
      </c>
      <c r="H424" s="53">
        <v>2</v>
      </c>
      <c r="I424" s="53" t="s">
        <v>176</v>
      </c>
      <c r="J424" s="53">
        <v>0</v>
      </c>
      <c r="K424" s="53">
        <v>1</v>
      </c>
      <c r="L424" s="53">
        <v>5.2</v>
      </c>
      <c r="M424" s="53" t="s">
        <v>1192</v>
      </c>
      <c r="N424" s="53">
        <v>5.8</v>
      </c>
      <c r="O424" s="51" t="str">
        <f>TEXT(tblWorkPackages[[#This Row],[Request date serial]]-WEEKDAY(tblWorkPackages[[#This Row],[Request date serial]],3),"yyyy-mm-dd")</f>
        <v>2025-03-24</v>
      </c>
      <c r="P424" s="51">
        <f>ABS(tblWorkPackages[[#This Row],[Actual labor hours]]-tblWorkPackages[[#This Row],[Estimated labor hours]])</f>
        <v>0.6</v>
      </c>
      <c r="Q424" s="51">
        <f>IF(tblWorkPackages[[#This Row],[Actual labor hours]]&gt;tblWorkPackages[[#This Row],[Estimated labor hours]],1,0)</f>
        <v>1</v>
      </c>
      <c r="R424" s="51">
        <f>tblWorkPackages[[#This Row],[Actual labor hours]]-tblWorkPackages[[#This Row],[Estimated labor hours]]</f>
        <v>0.6</v>
      </c>
      <c r="S424" s="51" t="str">
        <f>IF(tblWorkPackages[[#This Row],[Request date serial]]&lt;ValidationStart,"Train 2024",IF(tblWorkPackages[[#This Row],[Request date serial]]&lt;HoldoutStart,"Validation H1","Holdout H2"))</f>
        <v>Validation H1</v>
      </c>
      <c r="T424" s="51">
        <f>IF(tblWorkPackages[[#This Row],[Time split]]="Train 2024","",tblWorkPackages[[#This Row],[Estimated labor hours]]+VLOOKUP(tblWorkPackages[[#This Row],[Task type]],'Forecast validation'!$A$14:$E$25,IF(tblWorkPackages[[#This Row],[Time split]]="Validation H1",4,5),FALSE()))</f>
        <v>5.64146341463415</v>
      </c>
      <c r="U424" s="51">
        <f>IF(tblWorkPackages[[#This Row],[Calibrated forecast hours]]="","",ABS(tblWorkPackages[[#This Row],[Actual labor hours]]-tblWorkPackages[[#This Row],[Calibrated forecast hours]]))</f>
        <v>0.158536585365853</v>
      </c>
      <c r="V424" s="51">
        <f>IF(tblWorkPackages[[#This Row],[Time split]]="Train 2024",tblWorkPackages[[#This Row],[Estimated labor hours]],tblWorkPackages[[#This Row],[Calibrated forecast hours]])</f>
        <v>5.64146341463415</v>
      </c>
      <c r="W424" s="64">
        <f>DATEVALUE(tblWorkPackages[[#This Row],[Request date]])</f>
        <v>45740.0</v>
      </c>
      <c r="X424" s="64">
        <f>DATEVALUE(tblWorkPackages[[#This Row],[Due date]])</f>
        <v>45746.0</v>
      </c>
      <c r="Y424" s="64">
        <f>DATEVALUE(tblWorkPackages[[#This Row],[Completion date]])</f>
        <v>45747.0</v>
      </c>
      <c r="Z424" s="64">
        <f>_xlfn.MINIFS(tblLaborEntries[Work date serial],tblLaborEntries[Work package ID],tblWorkPackages[[#This Row],[Work package ID]])</f>
        <v>45744.0</v>
      </c>
      <c r="AA424" s="64">
        <f>_xlfn.MAXIFS(tblLaborEntries[Work date serial],tblLaborEntries[Work package ID],tblWorkPackages[[#This Row],[Work package ID]])</f>
        <v>45745.0</v>
      </c>
      <c r="AB424" s="65">
        <f>IF(tblWorkPackages[[#This Row],[Completion date serial]]&gt;tblWorkPackages[[#This Row],[Due date serial]],1,0)</f>
        <v>1</v>
      </c>
      <c r="AC424" s="65">
        <f>MAX(0,tblWorkPackages[[#This Row],[Completion date serial]]-tblWorkPackages[[#This Row],[Due date serial]])</f>
        <v>1</v>
      </c>
      <c r="AD424" s="65">
        <f>tblWorkPackages[[#This Row],[First labor date]]-tblWorkPackages[[#This Row],[Request date serial]]</f>
        <v>4</v>
      </c>
      <c r="AE424" s="65">
        <f>tblWorkPackages[[#This Row],[Last labor date]]-tblWorkPackages[[#This Row],[First labor date]]</f>
        <v>1</v>
      </c>
      <c r="AF424" s="65">
        <f>tblWorkPackages[[#This Row],[Completion date serial]]-tblWorkPackages[[#This Row],[Last labor date]]</f>
        <v>2</v>
      </c>
      <c r="AG424" s="65">
        <f>tblWorkPackages[[#This Row],[Completion date serial]]-tblWorkPackages[[#This Row],[Request date serial]]</f>
        <v>7</v>
      </c>
      <c r="AH424" s="65">
        <f>IFERROR(INDEX(tblParts[Delay days],MATCH(tblWorkPackages[[#This Row],[Work package ID]],tblParts[Work package ID],0)),0)</f>
        <v>0</v>
      </c>
      <c r="AI424" s="51" t="str">
        <f>IFERROR(INDEX(tblDisruptions[Event type],MATCH(tblWorkPackages[[#This Row],[Work package ID]],tblDisruptions[Work package ID],0)),"None")</f>
        <v>None</v>
      </c>
      <c r="AJ424" s="51" t="str">
        <f>TEXT(tblWorkPackages[[#This Row],[Due date serial]],"yyyy-mm")</f>
        <v>2025-03</v>
      </c>
    </row>
    <row r="425" spans="1:36" ht="15" x14ac:dyDescent="0.25">
      <c r="A425" s="53" t="s">
        <v>1193</v>
      </c>
      <c r="B425" s="53" t="s">
        <v>150</v>
      </c>
      <c r="C425" s="53" t="s">
        <v>1194</v>
      </c>
      <c r="D425" s="53" t="s">
        <v>1195</v>
      </c>
      <c r="E425" s="53" t="s">
        <v>237</v>
      </c>
      <c r="F425" s="53" t="s">
        <v>182</v>
      </c>
      <c r="G425" s="53" t="s">
        <v>138</v>
      </c>
      <c r="H425" s="53">
        <v>4</v>
      </c>
      <c r="I425" s="53" t="s">
        <v>130</v>
      </c>
      <c r="J425" s="53">
        <v>0</v>
      </c>
      <c r="K425" s="53">
        <v>0</v>
      </c>
      <c r="L425" s="53">
        <v>8.9</v>
      </c>
      <c r="M425" s="53" t="s">
        <v>991</v>
      </c>
      <c r="N425" s="53">
        <v>10.8</v>
      </c>
      <c r="O425" s="51" t="str">
        <f>TEXT(tblWorkPackages[[#This Row],[Request date serial]]-WEEKDAY(tblWorkPackages[[#This Row],[Request date serial]],3),"yyyy-mm-dd")</f>
        <v>2025-10-06</v>
      </c>
      <c r="P425" s="51">
        <f>ABS(tblWorkPackages[[#This Row],[Actual labor hours]]-tblWorkPackages[[#This Row],[Estimated labor hours]])</f>
        <v>1.9</v>
      </c>
      <c r="Q425" s="51">
        <f>IF(tblWorkPackages[[#This Row],[Actual labor hours]]&gt;tblWorkPackages[[#This Row],[Estimated labor hours]],1,0)</f>
        <v>1</v>
      </c>
      <c r="R425" s="51">
        <f>tblWorkPackages[[#This Row],[Actual labor hours]]-tblWorkPackages[[#This Row],[Estimated labor hours]]</f>
        <v>1.9</v>
      </c>
      <c r="S425" s="51" t="str">
        <f>IF(tblWorkPackages[[#This Row],[Request date serial]]&lt;ValidationStart,"Train 2024",IF(tblWorkPackages[[#This Row],[Request date serial]]&lt;HoldoutStart,"Validation H1","Holdout H2"))</f>
        <v>Holdout H2</v>
      </c>
      <c r="T425" s="51">
        <f>IF(tblWorkPackages[[#This Row],[Time split]]="Train 2024","",tblWorkPackages[[#This Row],[Estimated labor hours]]+VLOOKUP(tblWorkPackages[[#This Row],[Task type]],'Forecast validation'!$A$14:$E$25,IF(tblWorkPackages[[#This Row],[Time split]]="Validation H1",4,5),FALSE()))</f>
        <v>9.353125</v>
      </c>
      <c r="U425" s="51">
        <f>IF(tblWorkPackages[[#This Row],[Calibrated forecast hours]]="","",ABS(tblWorkPackages[[#This Row],[Actual labor hours]]-tblWorkPackages[[#This Row],[Calibrated forecast hours]]))</f>
        <v>1.446875</v>
      </c>
      <c r="V425" s="51">
        <f>IF(tblWorkPackages[[#This Row],[Time split]]="Train 2024",tblWorkPackages[[#This Row],[Estimated labor hours]],tblWorkPackages[[#This Row],[Calibrated forecast hours]])</f>
        <v>9.353125</v>
      </c>
      <c r="W425" s="64">
        <f>DATEVALUE(tblWorkPackages[[#This Row],[Request date]])</f>
        <v>45940.0</v>
      </c>
      <c r="X425" s="64">
        <f>DATEVALUE(tblWorkPackages[[#This Row],[Due date]])</f>
        <v>45953.0</v>
      </c>
      <c r="Y425" s="64">
        <f>DATEVALUE(tblWorkPackages[[#This Row],[Completion date]])</f>
        <v>45945.0</v>
      </c>
      <c r="Z425" s="64">
        <f>_xlfn.MINIFS(tblLaborEntries[Work date serial],tblLaborEntries[Work package ID],tblWorkPackages[[#This Row],[Work package ID]])</f>
        <v>45941.0</v>
      </c>
      <c r="AA425" s="64">
        <f>_xlfn.MAXIFS(tblLaborEntries[Work date serial],tblLaborEntries[Work package ID],tblWorkPackages[[#This Row],[Work package ID]])</f>
        <v>45942.0</v>
      </c>
      <c r="AB425" s="65">
        <f>IF(tblWorkPackages[[#This Row],[Completion date serial]]&gt;tblWorkPackages[[#This Row],[Due date serial]],1,0)</f>
        <v>0</v>
      </c>
      <c r="AC425" s="65">
        <f>MAX(0,tblWorkPackages[[#This Row],[Completion date serial]]-tblWorkPackages[[#This Row],[Due date serial]])</f>
        <v>0</v>
      </c>
      <c r="AD425" s="65">
        <f>tblWorkPackages[[#This Row],[First labor date]]-tblWorkPackages[[#This Row],[Request date serial]]</f>
        <v>1</v>
      </c>
      <c r="AE425" s="65">
        <f>tblWorkPackages[[#This Row],[Last labor date]]-tblWorkPackages[[#This Row],[First labor date]]</f>
        <v>1</v>
      </c>
      <c r="AF425" s="65">
        <f>tblWorkPackages[[#This Row],[Completion date serial]]-tblWorkPackages[[#This Row],[Last labor date]]</f>
        <v>3</v>
      </c>
      <c r="AG425" s="65">
        <f>tblWorkPackages[[#This Row],[Completion date serial]]-tblWorkPackages[[#This Row],[Request date serial]]</f>
        <v>5</v>
      </c>
      <c r="AH425" s="65">
        <f>IFERROR(INDEX(tblParts[Delay days],MATCH(tblWorkPackages[[#This Row],[Work package ID]],tblParts[Work package ID],0)),0)</f>
        <v>0</v>
      </c>
      <c r="AI425" s="51" t="str">
        <f>IFERROR(INDEX(tblDisruptions[Event type],MATCH(tblWorkPackages[[#This Row],[Work package ID]],tblDisruptions[Work package ID],0)),"None")</f>
        <v>None</v>
      </c>
      <c r="AJ425" s="51" t="str">
        <f>TEXT(tblWorkPackages[[#This Row],[Due date serial]],"yyyy-mm")</f>
        <v>2025-10</v>
      </c>
    </row>
    <row r="426" spans="1:36" ht="15" x14ac:dyDescent="0.25">
      <c r="A426" s="53" t="s">
        <v>1196</v>
      </c>
      <c r="B426" s="53" t="s">
        <v>235</v>
      </c>
      <c r="C426" s="53" t="s">
        <v>412</v>
      </c>
      <c r="D426" s="53" t="s">
        <v>1197</v>
      </c>
      <c r="E426" s="53" t="s">
        <v>223</v>
      </c>
      <c r="F426" s="53" t="s">
        <v>182</v>
      </c>
      <c r="G426" s="53" t="s">
        <v>154</v>
      </c>
      <c r="H426" s="53">
        <v>1</v>
      </c>
      <c r="I426" s="53" t="s">
        <v>147</v>
      </c>
      <c r="J426" s="53">
        <v>0</v>
      </c>
      <c r="K426" s="53">
        <v>1</v>
      </c>
      <c r="L426" s="53">
        <v>8.6</v>
      </c>
      <c r="M426" s="53" t="s">
        <v>717</v>
      </c>
      <c r="N426" s="53">
        <v>10.199999999999999</v>
      </c>
      <c r="O426" s="51" t="str">
        <f>TEXT(tblWorkPackages[[#This Row],[Request date serial]]-WEEKDAY(tblWorkPackages[[#This Row],[Request date serial]],3),"yyyy-mm-dd")</f>
        <v>2025-02-24</v>
      </c>
      <c r="P426" s="51">
        <f>ABS(tblWorkPackages[[#This Row],[Actual labor hours]]-tblWorkPackages[[#This Row],[Estimated labor hours]])</f>
        <v>1.6</v>
      </c>
      <c r="Q426" s="51">
        <f>IF(tblWorkPackages[[#This Row],[Actual labor hours]]&gt;tblWorkPackages[[#This Row],[Estimated labor hours]],1,0)</f>
        <v>1</v>
      </c>
      <c r="R426" s="51">
        <f>tblWorkPackages[[#This Row],[Actual labor hours]]-tblWorkPackages[[#This Row],[Estimated labor hours]]</f>
        <v>1.6</v>
      </c>
      <c r="S426" s="51" t="str">
        <f>IF(tblWorkPackages[[#This Row],[Request date serial]]&lt;ValidationStart,"Train 2024",IF(tblWorkPackages[[#This Row],[Request date serial]]&lt;HoldoutStart,"Validation H1","Holdout H2"))</f>
        <v>Validation H1</v>
      </c>
      <c r="T426" s="51">
        <f>IF(tblWorkPackages[[#This Row],[Time split]]="Train 2024","",tblWorkPackages[[#This Row],[Estimated labor hours]]+VLOOKUP(tblWorkPackages[[#This Row],[Task type]],'Forecast validation'!$A$14:$E$25,IF(tblWorkPackages[[#This Row],[Time split]]="Validation H1",4,5),FALSE()))</f>
        <v>9.48241758241758</v>
      </c>
      <c r="U426" s="51">
        <f>IF(tblWorkPackages[[#This Row],[Calibrated forecast hours]]="","",ABS(tblWorkPackages[[#This Row],[Actual labor hours]]-tblWorkPackages[[#This Row],[Calibrated forecast hours]]))</f>
        <v>0.717582417582417</v>
      </c>
      <c r="V426" s="51">
        <f>IF(tblWorkPackages[[#This Row],[Time split]]="Train 2024",tblWorkPackages[[#This Row],[Estimated labor hours]],tblWorkPackages[[#This Row],[Calibrated forecast hours]])</f>
        <v>9.48241758241758</v>
      </c>
      <c r="W426" s="64">
        <f>DATEVALUE(tblWorkPackages[[#This Row],[Request date]])</f>
        <v>45712.0</v>
      </c>
      <c r="X426" s="64">
        <f>DATEVALUE(tblWorkPackages[[#This Row],[Due date]])</f>
        <v>45714.0</v>
      </c>
      <c r="Y426" s="64">
        <f>DATEVALUE(tblWorkPackages[[#This Row],[Completion date]])</f>
        <v>45723.0</v>
      </c>
      <c r="Z426" s="64">
        <f>_xlfn.MINIFS(tblLaborEntries[Work date serial],tblLaborEntries[Work package ID],tblWorkPackages[[#This Row],[Work package ID]])</f>
        <v>45723.0</v>
      </c>
      <c r="AA426" s="64">
        <f>_xlfn.MAXIFS(tblLaborEntries[Work date serial],tblLaborEntries[Work package ID],tblWorkPackages[[#This Row],[Work package ID]])</f>
        <v>45723.0</v>
      </c>
      <c r="AB426" s="65">
        <f>IF(tblWorkPackages[[#This Row],[Completion date serial]]&gt;tblWorkPackages[[#This Row],[Due date serial]],1,0)</f>
        <v>1</v>
      </c>
      <c r="AC426" s="65">
        <f>MAX(0,tblWorkPackages[[#This Row],[Completion date serial]]-tblWorkPackages[[#This Row],[Due date serial]])</f>
        <v>9</v>
      </c>
      <c r="AD426" s="65">
        <f>tblWorkPackages[[#This Row],[First labor date]]-tblWorkPackages[[#This Row],[Request date serial]]</f>
        <v>11</v>
      </c>
      <c r="AE426" s="65">
        <f>tblWorkPackages[[#This Row],[Last labor date]]-tblWorkPackages[[#This Row],[First labor date]]</f>
        <v>0</v>
      </c>
      <c r="AF426" s="65">
        <f>tblWorkPackages[[#This Row],[Completion date serial]]-tblWorkPackages[[#This Row],[Last labor date]]</f>
        <v>0</v>
      </c>
      <c r="AG426" s="65">
        <f>tblWorkPackages[[#This Row],[Completion date serial]]-tblWorkPackages[[#This Row],[Request date serial]]</f>
        <v>11</v>
      </c>
      <c r="AH426" s="65">
        <f>IFERROR(INDEX(tblParts[Delay days],MATCH(tblWorkPackages[[#This Row],[Work package ID]],tblParts[Work package ID],0)),0)</f>
        <v>0</v>
      </c>
      <c r="AI426" s="51" t="str">
        <f>IFERROR(INDEX(tblDisruptions[Event type],MATCH(tblWorkPackages[[#This Row],[Work package ID]],tblDisruptions[Work package ID],0)),"None")</f>
        <v>None</v>
      </c>
      <c r="AJ426" s="51" t="str">
        <f>TEXT(tblWorkPackages[[#This Row],[Due date serial]],"yyyy-mm")</f>
        <v>2025-02</v>
      </c>
    </row>
    <row r="427" spans="1:36" ht="15" x14ac:dyDescent="0.25">
      <c r="A427" s="53" t="s">
        <v>1198</v>
      </c>
      <c r="B427" s="53" t="s">
        <v>150</v>
      </c>
      <c r="C427" s="53" t="s">
        <v>863</v>
      </c>
      <c r="D427" s="53" t="s">
        <v>796</v>
      </c>
      <c r="E427" s="53" t="s">
        <v>223</v>
      </c>
      <c r="F427" s="53" t="s">
        <v>182</v>
      </c>
      <c r="G427" s="53" t="s">
        <v>154</v>
      </c>
      <c r="H427" s="53">
        <v>3</v>
      </c>
      <c r="I427" s="53" t="s">
        <v>130</v>
      </c>
      <c r="J427" s="53">
        <v>0</v>
      </c>
      <c r="K427" s="53">
        <v>1</v>
      </c>
      <c r="L427" s="53">
        <v>18.899999999999999</v>
      </c>
      <c r="M427" s="53" t="s">
        <v>851</v>
      </c>
      <c r="N427" s="53">
        <v>26</v>
      </c>
      <c r="O427" s="51" t="str">
        <f>TEXT(tblWorkPackages[[#This Row],[Request date serial]]-WEEKDAY(tblWorkPackages[[#This Row],[Request date serial]],3),"yyyy-mm-dd")</f>
        <v>2025-06-23</v>
      </c>
      <c r="P427" s="51">
        <f>ABS(tblWorkPackages[[#This Row],[Actual labor hours]]-tblWorkPackages[[#This Row],[Estimated labor hours]])</f>
        <v>7.1</v>
      </c>
      <c r="Q427" s="51">
        <f>IF(tblWorkPackages[[#This Row],[Actual labor hours]]&gt;tblWorkPackages[[#This Row],[Estimated labor hours]],1,0)</f>
        <v>1</v>
      </c>
      <c r="R427" s="51">
        <f>tblWorkPackages[[#This Row],[Actual labor hours]]-tblWorkPackages[[#This Row],[Estimated labor hours]]</f>
        <v>7.1</v>
      </c>
      <c r="S427" s="51" t="str">
        <f>IF(tblWorkPackages[[#This Row],[Request date serial]]&lt;ValidationStart,"Train 2024",IF(tblWorkPackages[[#This Row],[Request date serial]]&lt;HoldoutStart,"Validation H1","Holdout H2"))</f>
        <v>Validation H1</v>
      </c>
      <c r="T427" s="51">
        <f>IF(tblWorkPackages[[#This Row],[Time split]]="Train 2024","",tblWorkPackages[[#This Row],[Estimated labor hours]]+VLOOKUP(tblWorkPackages[[#This Row],[Task type]],'Forecast validation'!$A$14:$E$25,IF(tblWorkPackages[[#This Row],[Time split]]="Validation H1",4,5),FALSE()))</f>
        <v>19.7824175824176</v>
      </c>
      <c r="U427" s="51">
        <f>IF(tblWorkPackages[[#This Row],[Calibrated forecast hours]]="","",ABS(tblWorkPackages[[#This Row],[Actual labor hours]]-tblWorkPackages[[#This Row],[Calibrated forecast hours]]))</f>
        <v>6.21758241758242</v>
      </c>
      <c r="V427" s="51">
        <f>IF(tblWorkPackages[[#This Row],[Time split]]="Train 2024",tblWorkPackages[[#This Row],[Estimated labor hours]],tblWorkPackages[[#This Row],[Calibrated forecast hours]])</f>
        <v>19.7824175824176</v>
      </c>
      <c r="W427" s="64">
        <f>DATEVALUE(tblWorkPackages[[#This Row],[Request date]])</f>
        <v>45837.0</v>
      </c>
      <c r="X427" s="64">
        <f>DATEVALUE(tblWorkPackages[[#This Row],[Due date]])</f>
        <v>45850.0</v>
      </c>
      <c r="Y427" s="64">
        <f>DATEVALUE(tblWorkPackages[[#This Row],[Completion date]])</f>
        <v>45841.0</v>
      </c>
      <c r="Z427" s="64">
        <f>_xlfn.MINIFS(tblLaborEntries[Work date serial],tblLaborEntries[Work package ID],tblWorkPackages[[#This Row],[Work package ID]])</f>
        <v>45840.0</v>
      </c>
      <c r="AA427" s="64">
        <f>_xlfn.MAXIFS(tblLaborEntries[Work date serial],tblLaborEntries[Work package ID],tblWorkPackages[[#This Row],[Work package ID]])</f>
        <v>45840.0</v>
      </c>
      <c r="AB427" s="65">
        <f>IF(tblWorkPackages[[#This Row],[Completion date serial]]&gt;tblWorkPackages[[#This Row],[Due date serial]],1,0)</f>
        <v>0</v>
      </c>
      <c r="AC427" s="65">
        <f>MAX(0,tblWorkPackages[[#This Row],[Completion date serial]]-tblWorkPackages[[#This Row],[Due date serial]])</f>
        <v>0</v>
      </c>
      <c r="AD427" s="65">
        <f>tblWorkPackages[[#This Row],[First labor date]]-tblWorkPackages[[#This Row],[Request date serial]]</f>
        <v>3</v>
      </c>
      <c r="AE427" s="65">
        <f>tblWorkPackages[[#This Row],[Last labor date]]-tblWorkPackages[[#This Row],[First labor date]]</f>
        <v>0</v>
      </c>
      <c r="AF427" s="65">
        <f>tblWorkPackages[[#This Row],[Completion date serial]]-tblWorkPackages[[#This Row],[Last labor date]]</f>
        <v>1</v>
      </c>
      <c r="AG427" s="65">
        <f>tblWorkPackages[[#This Row],[Completion date serial]]-tblWorkPackages[[#This Row],[Request date serial]]</f>
        <v>4</v>
      </c>
      <c r="AH427" s="65">
        <f>IFERROR(INDEX(tblParts[Delay days],MATCH(tblWorkPackages[[#This Row],[Work package ID]],tblParts[Work package ID],0)),0)</f>
        <v>0</v>
      </c>
      <c r="AI427" s="51" t="str">
        <f>IFERROR(INDEX(tblDisruptions[Event type],MATCH(tblWorkPackages[[#This Row],[Work package ID]],tblDisruptions[Work package ID],0)),"None")</f>
        <v>Technician absence</v>
      </c>
      <c r="AJ427" s="51" t="str">
        <f>TEXT(tblWorkPackages[[#This Row],[Due date serial]],"yyyy-mm")</f>
        <v>2025-07</v>
      </c>
    </row>
    <row r="428" spans="1:36" ht="15" x14ac:dyDescent="0.25">
      <c r="A428" s="53" t="s">
        <v>1199</v>
      </c>
      <c r="B428" s="53" t="s">
        <v>133</v>
      </c>
      <c r="C428" s="53" t="s">
        <v>169</v>
      </c>
      <c r="D428" s="53" t="s">
        <v>534</v>
      </c>
      <c r="E428" s="53" t="s">
        <v>160</v>
      </c>
      <c r="F428" s="53" t="s">
        <v>128</v>
      </c>
      <c r="G428" s="53" t="s">
        <v>138</v>
      </c>
      <c r="H428" s="53">
        <v>4</v>
      </c>
      <c r="I428" s="53" t="s">
        <v>176</v>
      </c>
      <c r="J428" s="53">
        <v>0</v>
      </c>
      <c r="K428" s="53">
        <v>0</v>
      </c>
      <c r="L428" s="53">
        <v>7.1</v>
      </c>
      <c r="M428" s="53" t="s">
        <v>1200</v>
      </c>
      <c r="N428" s="53">
        <v>5.5</v>
      </c>
      <c r="O428" s="51" t="str">
        <f>TEXT(tblWorkPackages[[#This Row],[Request date serial]]-WEEKDAY(tblWorkPackages[[#This Row],[Request date serial]],3),"yyyy-mm-dd")</f>
        <v>2024-10-14</v>
      </c>
      <c r="P428" s="51">
        <f>ABS(tblWorkPackages[[#This Row],[Actual labor hours]]-tblWorkPackages[[#This Row],[Estimated labor hours]])</f>
        <v>1.6</v>
      </c>
      <c r="Q428" s="51">
        <f>IF(tblWorkPackages[[#This Row],[Actual labor hours]]&gt;tblWorkPackages[[#This Row],[Estimated labor hours]],1,0)</f>
        <v>0</v>
      </c>
      <c r="R428" s="51">
        <f>tblWorkPackages[[#This Row],[Actual labor hours]]-tblWorkPackages[[#This Row],[Estimated labor hours]]</f>
        <v>-1.6</v>
      </c>
      <c r="S428" s="51" t="str">
        <f>IF(tblWorkPackages[[#This Row],[Request date serial]]&lt;ValidationStart,"Train 2024",IF(tblWorkPackages[[#This Row],[Request date serial]]&lt;HoldoutStart,"Validation H1","Holdout H2"))</f>
        <v>Train 2024</v>
      </c>
      <c r="T428" s="51" t="str">
        <f>IF(tblWorkPackages[[#This Row],[Time split]]="Train 2024","",tblWorkPackages[[#This Row],[Estimated labor hours]]+VLOOKUP(tblWorkPackages[[#This Row],[Task type]],'Forecast validation'!$A$14:$E$25,IF(tblWorkPackages[[#This Row],[Time split]]="Validation H1",4,5),FALSE()))</f>
        <v/>
      </c>
      <c r="U428" s="51" t="str">
        <f>IF(tblWorkPackages[[#This Row],[Calibrated forecast hours]]="","",ABS(tblWorkPackages[[#This Row],[Actual labor hours]]-tblWorkPackages[[#This Row],[Calibrated forecast hours]]))</f>
        <v/>
      </c>
      <c r="V428" s="51">
        <f>IF(tblWorkPackages[[#This Row],[Time split]]="Train 2024",tblWorkPackages[[#This Row],[Estimated labor hours]],tblWorkPackages[[#This Row],[Calibrated forecast hours]])</f>
        <v>7.1</v>
      </c>
      <c r="W428" s="64">
        <f>DATEVALUE(tblWorkPackages[[#This Row],[Request date]])</f>
        <v>45585.0</v>
      </c>
      <c r="X428" s="64">
        <f>DATEVALUE(tblWorkPackages[[#This Row],[Due date]])</f>
        <v>45591.0</v>
      </c>
      <c r="Y428" s="64">
        <f>DATEVALUE(tblWorkPackages[[#This Row],[Completion date]])</f>
        <v>45619.0</v>
      </c>
      <c r="Z428" s="64">
        <f>_xlfn.MINIFS(tblLaborEntries[Work date serial],tblLaborEntries[Work package ID],tblWorkPackages[[#This Row],[Work package ID]])</f>
        <v>45615.0</v>
      </c>
      <c r="AA428" s="64">
        <f>_xlfn.MAXIFS(tblLaborEntries[Work date serial],tblLaborEntries[Work package ID],tblWorkPackages[[#This Row],[Work package ID]])</f>
        <v>45617.0</v>
      </c>
      <c r="AB428" s="65">
        <f>IF(tblWorkPackages[[#This Row],[Completion date serial]]&gt;tblWorkPackages[[#This Row],[Due date serial]],1,0)</f>
        <v>1</v>
      </c>
      <c r="AC428" s="65">
        <f>MAX(0,tblWorkPackages[[#This Row],[Completion date serial]]-tblWorkPackages[[#This Row],[Due date serial]])</f>
        <v>28</v>
      </c>
      <c r="AD428" s="65">
        <f>tblWorkPackages[[#This Row],[First labor date]]-tblWorkPackages[[#This Row],[Request date serial]]</f>
        <v>30</v>
      </c>
      <c r="AE428" s="65">
        <f>tblWorkPackages[[#This Row],[Last labor date]]-tblWorkPackages[[#This Row],[First labor date]]</f>
        <v>2</v>
      </c>
      <c r="AF428" s="65">
        <f>tblWorkPackages[[#This Row],[Completion date serial]]-tblWorkPackages[[#This Row],[Last labor date]]</f>
        <v>2</v>
      </c>
      <c r="AG428" s="65">
        <f>tblWorkPackages[[#This Row],[Completion date serial]]-tblWorkPackages[[#This Row],[Request date serial]]</f>
        <v>34</v>
      </c>
      <c r="AH428" s="65">
        <f>IFERROR(INDEX(tblParts[Delay days],MATCH(tblWorkPackages[[#This Row],[Work package ID]],tblParts[Work package ID],0)),0)</f>
        <v>0</v>
      </c>
      <c r="AI428" s="51" t="str">
        <f>IFERROR(INDEX(tblDisruptions[Event type],MATCH(tblWorkPackages[[#This Row],[Work package ID]],tblDisruptions[Work package ID],0)),"None")</f>
        <v>None</v>
      </c>
      <c r="AJ428" s="51" t="str">
        <f>TEXT(tblWorkPackages[[#This Row],[Due date serial]],"yyyy-mm")</f>
        <v>2024-10</v>
      </c>
    </row>
    <row r="429" spans="1:36" ht="15" x14ac:dyDescent="0.25">
      <c r="A429" s="53" t="s">
        <v>1201</v>
      </c>
      <c r="B429" s="53" t="s">
        <v>287</v>
      </c>
      <c r="C429" s="53" t="s">
        <v>675</v>
      </c>
      <c r="D429" s="53" t="s">
        <v>1141</v>
      </c>
      <c r="E429" s="53" t="s">
        <v>181</v>
      </c>
      <c r="F429" s="53" t="s">
        <v>182</v>
      </c>
      <c r="G429" s="53" t="s">
        <v>138</v>
      </c>
      <c r="H429" s="53">
        <v>4</v>
      </c>
      <c r="I429" s="53" t="s">
        <v>130</v>
      </c>
      <c r="J429" s="53">
        <v>0</v>
      </c>
      <c r="K429" s="53">
        <v>1</v>
      </c>
      <c r="L429" s="53">
        <v>16</v>
      </c>
      <c r="M429" s="53" t="s">
        <v>1202</v>
      </c>
      <c r="N429" s="53">
        <v>14.5</v>
      </c>
      <c r="O429" s="51" t="str">
        <f>TEXT(tblWorkPackages[[#This Row],[Request date serial]]-WEEKDAY(tblWorkPackages[[#This Row],[Request date serial]],3),"yyyy-mm-dd")</f>
        <v>2024-04-15</v>
      </c>
      <c r="P429" s="51">
        <f>ABS(tblWorkPackages[[#This Row],[Actual labor hours]]-tblWorkPackages[[#This Row],[Estimated labor hours]])</f>
        <v>1.5</v>
      </c>
      <c r="Q429" s="51">
        <f>IF(tblWorkPackages[[#This Row],[Actual labor hours]]&gt;tblWorkPackages[[#This Row],[Estimated labor hours]],1,0)</f>
        <v>0</v>
      </c>
      <c r="R429" s="51">
        <f>tblWorkPackages[[#This Row],[Actual labor hours]]-tblWorkPackages[[#This Row],[Estimated labor hours]]</f>
        <v>-1.5</v>
      </c>
      <c r="S429" s="51" t="str">
        <f>IF(tblWorkPackages[[#This Row],[Request date serial]]&lt;ValidationStart,"Train 2024",IF(tblWorkPackages[[#This Row],[Request date serial]]&lt;HoldoutStart,"Validation H1","Holdout H2"))</f>
        <v>Train 2024</v>
      </c>
      <c r="T429" s="51" t="str">
        <f>IF(tblWorkPackages[[#This Row],[Time split]]="Train 2024","",tblWorkPackages[[#This Row],[Estimated labor hours]]+VLOOKUP(tblWorkPackages[[#This Row],[Task type]],'Forecast validation'!$A$14:$E$25,IF(tblWorkPackages[[#This Row],[Time split]]="Validation H1",4,5),FALSE()))</f>
        <v/>
      </c>
      <c r="U429" s="51" t="str">
        <f>IF(tblWorkPackages[[#This Row],[Calibrated forecast hours]]="","",ABS(tblWorkPackages[[#This Row],[Actual labor hours]]-tblWorkPackages[[#This Row],[Calibrated forecast hours]]))</f>
        <v/>
      </c>
      <c r="V429" s="51">
        <f>IF(tblWorkPackages[[#This Row],[Time split]]="Train 2024",tblWorkPackages[[#This Row],[Estimated labor hours]],tblWorkPackages[[#This Row],[Calibrated forecast hours]])</f>
        <v>16</v>
      </c>
      <c r="W429" s="64">
        <f>DATEVALUE(tblWorkPackages[[#This Row],[Request date]])</f>
        <v>45399.0</v>
      </c>
      <c r="X429" s="64">
        <f>DATEVALUE(tblWorkPackages[[#This Row],[Due date]])</f>
        <v>45412.0</v>
      </c>
      <c r="Y429" s="64">
        <f>DATEVALUE(tblWorkPackages[[#This Row],[Completion date]])</f>
        <v>45407.0</v>
      </c>
      <c r="Z429" s="64">
        <f>_xlfn.MINIFS(tblLaborEntries[Work date serial],tblLaborEntries[Work package ID],tblWorkPackages[[#This Row],[Work package ID]])</f>
        <v>45404.0</v>
      </c>
      <c r="AA429" s="64">
        <f>_xlfn.MAXIFS(tblLaborEntries[Work date serial],tblLaborEntries[Work package ID],tblWorkPackages[[#This Row],[Work package ID]])</f>
        <v>45404.0</v>
      </c>
      <c r="AB429" s="65">
        <f>IF(tblWorkPackages[[#This Row],[Completion date serial]]&gt;tblWorkPackages[[#This Row],[Due date serial]],1,0)</f>
        <v>0</v>
      </c>
      <c r="AC429" s="65">
        <f>MAX(0,tblWorkPackages[[#This Row],[Completion date serial]]-tblWorkPackages[[#This Row],[Due date serial]])</f>
        <v>0</v>
      </c>
      <c r="AD429" s="65">
        <f>tblWorkPackages[[#This Row],[First labor date]]-tblWorkPackages[[#This Row],[Request date serial]]</f>
        <v>5</v>
      </c>
      <c r="AE429" s="65">
        <f>tblWorkPackages[[#This Row],[Last labor date]]-tblWorkPackages[[#This Row],[First labor date]]</f>
        <v>0</v>
      </c>
      <c r="AF429" s="65">
        <f>tblWorkPackages[[#This Row],[Completion date serial]]-tblWorkPackages[[#This Row],[Last labor date]]</f>
        <v>3</v>
      </c>
      <c r="AG429" s="65">
        <f>tblWorkPackages[[#This Row],[Completion date serial]]-tblWorkPackages[[#This Row],[Request date serial]]</f>
        <v>8</v>
      </c>
      <c r="AH429" s="65">
        <f>IFERROR(INDEX(tblParts[Delay days],MATCH(tblWorkPackages[[#This Row],[Work package ID]],tblParts[Work package ID],0)),0)</f>
        <v>0</v>
      </c>
      <c r="AI429" s="51" t="str">
        <f>IFERROR(INDEX(tblDisruptions[Event type],MATCH(tblWorkPackages[[#This Row],[Work package ID]],tblDisruptions[Work package ID],0)),"None")</f>
        <v>None</v>
      </c>
      <c r="AJ429" s="51" t="str">
        <f>TEXT(tblWorkPackages[[#This Row],[Due date serial]],"yyyy-mm")</f>
        <v>2024-04</v>
      </c>
    </row>
    <row r="430" spans="1:36" ht="15" x14ac:dyDescent="0.25">
      <c r="A430" s="53" t="s">
        <v>1203</v>
      </c>
      <c r="B430" s="53" t="s">
        <v>124</v>
      </c>
      <c r="C430" s="53" t="s">
        <v>390</v>
      </c>
      <c r="D430" s="53" t="s">
        <v>1204</v>
      </c>
      <c r="E430" s="53" t="s">
        <v>237</v>
      </c>
      <c r="F430" s="53" t="s">
        <v>182</v>
      </c>
      <c r="G430" s="53" t="s">
        <v>138</v>
      </c>
      <c r="H430" s="53">
        <v>4</v>
      </c>
      <c r="I430" s="53" t="s">
        <v>176</v>
      </c>
      <c r="J430" s="53">
        <v>0</v>
      </c>
      <c r="K430" s="53">
        <v>0</v>
      </c>
      <c r="L430" s="53">
        <v>9.8000000000000007</v>
      </c>
      <c r="M430" s="53" t="s">
        <v>1205</v>
      </c>
      <c r="N430" s="53">
        <v>11.7</v>
      </c>
      <c r="O430" s="51" t="str">
        <f>TEXT(tblWorkPackages[[#This Row],[Request date serial]]-WEEKDAY(tblWorkPackages[[#This Row],[Request date serial]],3),"yyyy-mm-dd")</f>
        <v>2024-07-22</v>
      </c>
      <c r="P430" s="51">
        <f>ABS(tblWorkPackages[[#This Row],[Actual labor hours]]-tblWorkPackages[[#This Row],[Estimated labor hours]])</f>
        <v>1.9</v>
      </c>
      <c r="Q430" s="51">
        <f>IF(tblWorkPackages[[#This Row],[Actual labor hours]]&gt;tblWorkPackages[[#This Row],[Estimated labor hours]],1,0)</f>
        <v>1</v>
      </c>
      <c r="R430" s="51">
        <f>tblWorkPackages[[#This Row],[Actual labor hours]]-tblWorkPackages[[#This Row],[Estimated labor hours]]</f>
        <v>1.9</v>
      </c>
      <c r="S430" s="51" t="str">
        <f>IF(tblWorkPackages[[#This Row],[Request date serial]]&lt;ValidationStart,"Train 2024",IF(tblWorkPackages[[#This Row],[Request date serial]]&lt;HoldoutStart,"Validation H1","Holdout H2"))</f>
        <v>Train 2024</v>
      </c>
      <c r="T430" s="51" t="str">
        <f>IF(tblWorkPackages[[#This Row],[Time split]]="Train 2024","",tblWorkPackages[[#This Row],[Estimated labor hours]]+VLOOKUP(tblWorkPackages[[#This Row],[Task type]],'Forecast validation'!$A$14:$E$25,IF(tblWorkPackages[[#This Row],[Time split]]="Validation H1",4,5),FALSE()))</f>
        <v/>
      </c>
      <c r="U430" s="51" t="str">
        <f>IF(tblWorkPackages[[#This Row],[Calibrated forecast hours]]="","",ABS(tblWorkPackages[[#This Row],[Actual labor hours]]-tblWorkPackages[[#This Row],[Calibrated forecast hours]]))</f>
        <v/>
      </c>
      <c r="V430" s="51">
        <f>IF(tblWorkPackages[[#This Row],[Time split]]="Train 2024",tblWorkPackages[[#This Row],[Estimated labor hours]],tblWorkPackages[[#This Row],[Calibrated forecast hours]])</f>
        <v>9.8</v>
      </c>
      <c r="W430" s="64">
        <f>DATEVALUE(tblWorkPackages[[#This Row],[Request date]])</f>
        <v>45497.0</v>
      </c>
      <c r="X430" s="64">
        <f>DATEVALUE(tblWorkPackages[[#This Row],[Due date]])</f>
        <v>45503.0</v>
      </c>
      <c r="Y430" s="64">
        <f>DATEVALUE(tblWorkPackages[[#This Row],[Completion date]])</f>
        <v>45500.0</v>
      </c>
      <c r="Z430" s="64">
        <f>_xlfn.MINIFS(tblLaborEntries[Work date serial],tblLaborEntries[Work package ID],tblWorkPackages[[#This Row],[Work package ID]])</f>
        <v>45499.0</v>
      </c>
      <c r="AA430" s="64">
        <f>_xlfn.MAXIFS(tblLaborEntries[Work date serial],tblLaborEntries[Work package ID],tblWorkPackages[[#This Row],[Work package ID]])</f>
        <v>45500.0</v>
      </c>
      <c r="AB430" s="65">
        <f>IF(tblWorkPackages[[#This Row],[Completion date serial]]&gt;tblWorkPackages[[#This Row],[Due date serial]],1,0)</f>
        <v>0</v>
      </c>
      <c r="AC430" s="65">
        <f>MAX(0,tblWorkPackages[[#This Row],[Completion date serial]]-tblWorkPackages[[#This Row],[Due date serial]])</f>
        <v>0</v>
      </c>
      <c r="AD430" s="65">
        <f>tblWorkPackages[[#This Row],[First labor date]]-tblWorkPackages[[#This Row],[Request date serial]]</f>
        <v>2</v>
      </c>
      <c r="AE430" s="65">
        <f>tblWorkPackages[[#This Row],[Last labor date]]-tblWorkPackages[[#This Row],[First labor date]]</f>
        <v>1</v>
      </c>
      <c r="AF430" s="65">
        <f>tblWorkPackages[[#This Row],[Completion date serial]]-tblWorkPackages[[#This Row],[Last labor date]]</f>
        <v>0</v>
      </c>
      <c r="AG430" s="65">
        <f>tblWorkPackages[[#This Row],[Completion date serial]]-tblWorkPackages[[#This Row],[Request date serial]]</f>
        <v>3</v>
      </c>
      <c r="AH430" s="65">
        <f>IFERROR(INDEX(tblParts[Delay days],MATCH(tblWorkPackages[[#This Row],[Work package ID]],tblParts[Work package ID],0)),0)</f>
        <v>0</v>
      </c>
      <c r="AI430" s="51" t="str">
        <f>IFERROR(INDEX(tblDisruptions[Event type],MATCH(tblWorkPackages[[#This Row],[Work package ID]],tblDisruptions[Work package ID],0)),"None")</f>
        <v>None</v>
      </c>
      <c r="AJ430" s="51" t="str">
        <f>TEXT(tblWorkPackages[[#This Row],[Due date serial]],"yyyy-mm")</f>
        <v>2024-07</v>
      </c>
    </row>
    <row r="431" spans="1:36" ht="15" x14ac:dyDescent="0.25">
      <c r="A431" s="53" t="s">
        <v>1206</v>
      </c>
      <c r="B431" s="53" t="s">
        <v>168</v>
      </c>
      <c r="C431" s="53" t="s">
        <v>660</v>
      </c>
      <c r="D431" s="53" t="s">
        <v>986</v>
      </c>
      <c r="E431" s="53" t="s">
        <v>242</v>
      </c>
      <c r="F431" s="53" t="s">
        <v>243</v>
      </c>
      <c r="G431" s="53" t="s">
        <v>129</v>
      </c>
      <c r="H431" s="53">
        <v>4</v>
      </c>
      <c r="I431" s="53" t="s">
        <v>130</v>
      </c>
      <c r="J431" s="53">
        <v>0</v>
      </c>
      <c r="K431" s="53">
        <v>0</v>
      </c>
      <c r="L431" s="53">
        <v>14.4</v>
      </c>
      <c r="M431" s="53" t="s">
        <v>371</v>
      </c>
      <c r="N431" s="53">
        <v>16.8</v>
      </c>
      <c r="O431" s="51" t="str">
        <f>TEXT(tblWorkPackages[[#This Row],[Request date serial]]-WEEKDAY(tblWorkPackages[[#This Row],[Request date serial]],3),"yyyy-mm-dd")</f>
        <v>2024-09-16</v>
      </c>
      <c r="P431" s="51">
        <f>ABS(tblWorkPackages[[#This Row],[Actual labor hours]]-tblWorkPackages[[#This Row],[Estimated labor hours]])</f>
        <v>2.4</v>
      </c>
      <c r="Q431" s="51">
        <f>IF(tblWorkPackages[[#This Row],[Actual labor hours]]&gt;tblWorkPackages[[#This Row],[Estimated labor hours]],1,0)</f>
        <v>1</v>
      </c>
      <c r="R431" s="51">
        <f>tblWorkPackages[[#This Row],[Actual labor hours]]-tblWorkPackages[[#This Row],[Estimated labor hours]]</f>
        <v>2.4</v>
      </c>
      <c r="S431" s="51" t="str">
        <f>IF(tblWorkPackages[[#This Row],[Request date serial]]&lt;ValidationStart,"Train 2024",IF(tblWorkPackages[[#This Row],[Request date serial]]&lt;HoldoutStart,"Validation H1","Holdout H2"))</f>
        <v>Train 2024</v>
      </c>
      <c r="T431" s="51" t="str">
        <f>IF(tblWorkPackages[[#This Row],[Time split]]="Train 2024","",tblWorkPackages[[#This Row],[Estimated labor hours]]+VLOOKUP(tblWorkPackages[[#This Row],[Task type]],'Forecast validation'!$A$14:$E$25,IF(tblWorkPackages[[#This Row],[Time split]]="Validation H1",4,5),FALSE()))</f>
        <v/>
      </c>
      <c r="U431" s="51" t="str">
        <f>IF(tblWorkPackages[[#This Row],[Calibrated forecast hours]]="","",ABS(tblWorkPackages[[#This Row],[Actual labor hours]]-tblWorkPackages[[#This Row],[Calibrated forecast hours]]))</f>
        <v/>
      </c>
      <c r="V431" s="51">
        <f>IF(tblWorkPackages[[#This Row],[Time split]]="Train 2024",tblWorkPackages[[#This Row],[Estimated labor hours]],tblWorkPackages[[#This Row],[Calibrated forecast hours]])</f>
        <v>14.4</v>
      </c>
      <c r="W431" s="64">
        <f>DATEVALUE(tblWorkPackages[[#This Row],[Request date]])</f>
        <v>45556.0</v>
      </c>
      <c r="X431" s="64">
        <f>DATEVALUE(tblWorkPackages[[#This Row],[Due date]])</f>
        <v>45569.0</v>
      </c>
      <c r="Y431" s="64">
        <f>DATEVALUE(tblWorkPackages[[#This Row],[Completion date]])</f>
        <v>45573.0</v>
      </c>
      <c r="Z431" s="64">
        <f>_xlfn.MINIFS(tblLaborEntries[Work date serial],tblLaborEntries[Work package ID],tblWorkPackages[[#This Row],[Work package ID]])</f>
        <v>45570.0</v>
      </c>
      <c r="AA431" s="64">
        <f>_xlfn.MAXIFS(tblLaborEntries[Work date serial],tblLaborEntries[Work package ID],tblWorkPackages[[#This Row],[Work package ID]])</f>
        <v>45572.0</v>
      </c>
      <c r="AB431" s="65">
        <f>IF(tblWorkPackages[[#This Row],[Completion date serial]]&gt;tblWorkPackages[[#This Row],[Due date serial]],1,0)</f>
        <v>1</v>
      </c>
      <c r="AC431" s="65">
        <f>MAX(0,tblWorkPackages[[#This Row],[Completion date serial]]-tblWorkPackages[[#This Row],[Due date serial]])</f>
        <v>4</v>
      </c>
      <c r="AD431" s="65">
        <f>tblWorkPackages[[#This Row],[First labor date]]-tblWorkPackages[[#This Row],[Request date serial]]</f>
        <v>14</v>
      </c>
      <c r="AE431" s="65">
        <f>tblWorkPackages[[#This Row],[Last labor date]]-tblWorkPackages[[#This Row],[First labor date]]</f>
        <v>2</v>
      </c>
      <c r="AF431" s="65">
        <f>tblWorkPackages[[#This Row],[Completion date serial]]-tblWorkPackages[[#This Row],[Last labor date]]</f>
        <v>1</v>
      </c>
      <c r="AG431" s="65">
        <f>tblWorkPackages[[#This Row],[Completion date serial]]-tblWorkPackages[[#This Row],[Request date serial]]</f>
        <v>17</v>
      </c>
      <c r="AH431" s="65">
        <f>IFERROR(INDEX(tblParts[Delay days],MATCH(tblWorkPackages[[#This Row],[Work package ID]],tblParts[Work package ID],0)),0)</f>
        <v>0</v>
      </c>
      <c r="AI431" s="51" t="str">
        <f>IFERROR(INDEX(tblDisruptions[Event type],MATCH(tblWorkPackages[[#This Row],[Work package ID]],tblDisruptions[Work package ID],0)),"None")</f>
        <v>None</v>
      </c>
      <c r="AJ431" s="51" t="str">
        <f>TEXT(tblWorkPackages[[#This Row],[Due date serial]],"yyyy-mm")</f>
        <v>2024-10</v>
      </c>
    </row>
    <row r="432" spans="1:36" ht="15" x14ac:dyDescent="0.25">
      <c r="A432" s="53" t="s">
        <v>1207</v>
      </c>
      <c r="B432" s="53" t="s">
        <v>163</v>
      </c>
      <c r="C432" s="53" t="s">
        <v>378</v>
      </c>
      <c r="D432" s="53" t="s">
        <v>379</v>
      </c>
      <c r="E432" s="53" t="s">
        <v>223</v>
      </c>
      <c r="F432" s="53" t="s">
        <v>182</v>
      </c>
      <c r="G432" s="53" t="s">
        <v>154</v>
      </c>
      <c r="H432" s="53">
        <v>2</v>
      </c>
      <c r="I432" s="53" t="s">
        <v>130</v>
      </c>
      <c r="J432" s="53">
        <v>0</v>
      </c>
      <c r="K432" s="53">
        <v>0</v>
      </c>
      <c r="L432" s="53">
        <v>10.4</v>
      </c>
      <c r="M432" s="53" t="s">
        <v>331</v>
      </c>
      <c r="N432" s="53">
        <v>9.9</v>
      </c>
      <c r="O432" s="51" t="str">
        <f>TEXT(tblWorkPackages[[#This Row],[Request date serial]]-WEEKDAY(tblWorkPackages[[#This Row],[Request date serial]],3),"yyyy-mm-dd")</f>
        <v>2025-10-13</v>
      </c>
      <c r="P432" s="51">
        <f>ABS(tblWorkPackages[[#This Row],[Actual labor hours]]-tblWorkPackages[[#This Row],[Estimated labor hours]])</f>
        <v>0.5</v>
      </c>
      <c r="Q432" s="51">
        <f>IF(tblWorkPackages[[#This Row],[Actual labor hours]]&gt;tblWorkPackages[[#This Row],[Estimated labor hours]],1,0)</f>
        <v>0</v>
      </c>
      <c r="R432" s="51">
        <f>tblWorkPackages[[#This Row],[Actual labor hours]]-tblWorkPackages[[#This Row],[Estimated labor hours]]</f>
        <v>-0.5</v>
      </c>
      <c r="S432" s="51" t="str">
        <f>IF(tblWorkPackages[[#This Row],[Request date serial]]&lt;ValidationStart,"Train 2024",IF(tblWorkPackages[[#This Row],[Request date serial]]&lt;HoldoutStart,"Validation H1","Holdout H2"))</f>
        <v>Holdout H2</v>
      </c>
      <c r="T432" s="51">
        <f>IF(tblWorkPackages[[#This Row],[Time split]]="Train 2024","",tblWorkPackages[[#This Row],[Estimated labor hours]]+VLOOKUP(tblWorkPackages[[#This Row],[Task type]],'Forecast validation'!$A$14:$E$25,IF(tblWorkPackages[[#This Row],[Time split]]="Validation H1",4,5),FALSE()))</f>
        <v>11.3246575342466</v>
      </c>
      <c r="U432" s="51">
        <f>IF(tblWorkPackages[[#This Row],[Calibrated forecast hours]]="","",ABS(tblWorkPackages[[#This Row],[Actual labor hours]]-tblWorkPackages[[#This Row],[Calibrated forecast hours]]))</f>
        <v>1.42465753424658</v>
      </c>
      <c r="V432" s="51">
        <f>IF(tblWorkPackages[[#This Row],[Time split]]="Train 2024",tblWorkPackages[[#This Row],[Estimated labor hours]],tblWorkPackages[[#This Row],[Calibrated forecast hours]])</f>
        <v>11.3246575342466</v>
      </c>
      <c r="W432" s="64">
        <f>DATEVALUE(tblWorkPackages[[#This Row],[Request date]])</f>
        <v>45943.0</v>
      </c>
      <c r="X432" s="64">
        <f>DATEVALUE(tblWorkPackages[[#This Row],[Due date]])</f>
        <v>45956.0</v>
      </c>
      <c r="Y432" s="64">
        <f>DATEVALUE(tblWorkPackages[[#This Row],[Completion date]])</f>
        <v>45949.0</v>
      </c>
      <c r="Z432" s="64">
        <f>_xlfn.MINIFS(tblLaborEntries[Work date serial],tblLaborEntries[Work package ID],tblWorkPackages[[#This Row],[Work package ID]])</f>
        <v>45946.0</v>
      </c>
      <c r="AA432" s="64">
        <f>_xlfn.MAXIFS(tblLaborEntries[Work date serial],tblLaborEntries[Work package ID],tblWorkPackages[[#This Row],[Work package ID]])</f>
        <v>45947.0</v>
      </c>
      <c r="AB432" s="65">
        <f>IF(tblWorkPackages[[#This Row],[Completion date serial]]&gt;tblWorkPackages[[#This Row],[Due date serial]],1,0)</f>
        <v>0</v>
      </c>
      <c r="AC432" s="65">
        <f>MAX(0,tblWorkPackages[[#This Row],[Completion date serial]]-tblWorkPackages[[#This Row],[Due date serial]])</f>
        <v>0</v>
      </c>
      <c r="AD432" s="65">
        <f>tblWorkPackages[[#This Row],[First labor date]]-tblWorkPackages[[#This Row],[Request date serial]]</f>
        <v>3</v>
      </c>
      <c r="AE432" s="65">
        <f>tblWorkPackages[[#This Row],[Last labor date]]-tblWorkPackages[[#This Row],[First labor date]]</f>
        <v>1</v>
      </c>
      <c r="AF432" s="65">
        <f>tblWorkPackages[[#This Row],[Completion date serial]]-tblWorkPackages[[#This Row],[Last labor date]]</f>
        <v>2</v>
      </c>
      <c r="AG432" s="65">
        <f>tblWorkPackages[[#This Row],[Completion date serial]]-tblWorkPackages[[#This Row],[Request date serial]]</f>
        <v>6</v>
      </c>
      <c r="AH432" s="65">
        <f>IFERROR(INDEX(tblParts[Delay days],MATCH(tblWorkPackages[[#This Row],[Work package ID]],tblParts[Work package ID],0)),0)</f>
        <v>0</v>
      </c>
      <c r="AI432" s="51" t="str">
        <f>IFERROR(INDEX(tblDisruptions[Event type],MATCH(tblWorkPackages[[#This Row],[Work package ID]],tblDisruptions[Work package ID],0)),"None")</f>
        <v>None</v>
      </c>
      <c r="AJ432" s="51" t="str">
        <f>TEXT(tblWorkPackages[[#This Row],[Due date serial]],"yyyy-mm")</f>
        <v>2025-10</v>
      </c>
    </row>
    <row r="433" spans="1:36" ht="15" x14ac:dyDescent="0.25">
      <c r="A433" s="53" t="s">
        <v>1208</v>
      </c>
      <c r="B433" s="53" t="s">
        <v>250</v>
      </c>
      <c r="C433" s="53" t="s">
        <v>509</v>
      </c>
      <c r="D433" s="53" t="s">
        <v>794</v>
      </c>
      <c r="E433" s="53" t="s">
        <v>242</v>
      </c>
      <c r="F433" s="53" t="s">
        <v>243</v>
      </c>
      <c r="G433" s="53" t="s">
        <v>129</v>
      </c>
      <c r="H433" s="53">
        <v>2</v>
      </c>
      <c r="I433" s="53" t="s">
        <v>130</v>
      </c>
      <c r="J433" s="53">
        <v>0</v>
      </c>
      <c r="K433" s="53">
        <v>0</v>
      </c>
      <c r="L433" s="53">
        <v>7.6</v>
      </c>
      <c r="M433" s="53" t="s">
        <v>586</v>
      </c>
      <c r="N433" s="53">
        <v>7.5</v>
      </c>
      <c r="O433" s="51" t="str">
        <f>TEXT(tblWorkPackages[[#This Row],[Request date serial]]-WEEKDAY(tblWorkPackages[[#This Row],[Request date serial]],3),"yyyy-mm-dd")</f>
        <v>2024-10-28</v>
      </c>
      <c r="P433" s="51">
        <f>ABS(tblWorkPackages[[#This Row],[Actual labor hours]]-tblWorkPackages[[#This Row],[Estimated labor hours]])</f>
        <v>0.0999999999999996</v>
      </c>
      <c r="Q433" s="51">
        <f>IF(tblWorkPackages[[#This Row],[Actual labor hours]]&gt;tblWorkPackages[[#This Row],[Estimated labor hours]],1,0)</f>
        <v>0</v>
      </c>
      <c r="R433" s="51">
        <f>tblWorkPackages[[#This Row],[Actual labor hours]]-tblWorkPackages[[#This Row],[Estimated labor hours]]</f>
        <v>-0.0999999999999996</v>
      </c>
      <c r="S433" s="51" t="str">
        <f>IF(tblWorkPackages[[#This Row],[Request date serial]]&lt;ValidationStart,"Train 2024",IF(tblWorkPackages[[#This Row],[Request date serial]]&lt;HoldoutStart,"Validation H1","Holdout H2"))</f>
        <v>Train 2024</v>
      </c>
      <c r="T433" s="51" t="str">
        <f>IF(tblWorkPackages[[#This Row],[Time split]]="Train 2024","",tblWorkPackages[[#This Row],[Estimated labor hours]]+VLOOKUP(tblWorkPackages[[#This Row],[Task type]],'Forecast validation'!$A$14:$E$25,IF(tblWorkPackages[[#This Row],[Time split]]="Validation H1",4,5),FALSE()))</f>
        <v/>
      </c>
      <c r="U433" s="51" t="str">
        <f>IF(tblWorkPackages[[#This Row],[Calibrated forecast hours]]="","",ABS(tblWorkPackages[[#This Row],[Actual labor hours]]-tblWorkPackages[[#This Row],[Calibrated forecast hours]]))</f>
        <v/>
      </c>
      <c r="V433" s="51">
        <f>IF(tblWorkPackages[[#This Row],[Time split]]="Train 2024",tblWorkPackages[[#This Row],[Estimated labor hours]],tblWorkPackages[[#This Row],[Calibrated forecast hours]])</f>
        <v>7.6</v>
      </c>
      <c r="W433" s="64">
        <f>DATEVALUE(tblWorkPackages[[#This Row],[Request date]])</f>
        <v>45597.0</v>
      </c>
      <c r="X433" s="64">
        <f>DATEVALUE(tblWorkPackages[[#This Row],[Due date]])</f>
        <v>45610.0</v>
      </c>
      <c r="Y433" s="64">
        <f>DATEVALUE(tblWorkPackages[[#This Row],[Completion date]])</f>
        <v>45658.0</v>
      </c>
      <c r="Z433" s="64">
        <f>_xlfn.MINIFS(tblLaborEntries[Work date serial],tblLaborEntries[Work package ID],tblWorkPackages[[#This Row],[Work package ID]])</f>
        <v>45654.0</v>
      </c>
      <c r="AA433" s="64">
        <f>_xlfn.MAXIFS(tblLaborEntries[Work date serial],tblLaborEntries[Work package ID],tblWorkPackages[[#This Row],[Work package ID]])</f>
        <v>45655.0</v>
      </c>
      <c r="AB433" s="65">
        <f>IF(tblWorkPackages[[#This Row],[Completion date serial]]&gt;tblWorkPackages[[#This Row],[Due date serial]],1,0)</f>
        <v>1</v>
      </c>
      <c r="AC433" s="65">
        <f>MAX(0,tblWorkPackages[[#This Row],[Completion date serial]]-tblWorkPackages[[#This Row],[Due date serial]])</f>
        <v>48</v>
      </c>
      <c r="AD433" s="65">
        <f>tblWorkPackages[[#This Row],[First labor date]]-tblWorkPackages[[#This Row],[Request date serial]]</f>
        <v>57</v>
      </c>
      <c r="AE433" s="65">
        <f>tblWorkPackages[[#This Row],[Last labor date]]-tblWorkPackages[[#This Row],[First labor date]]</f>
        <v>1</v>
      </c>
      <c r="AF433" s="65">
        <f>tblWorkPackages[[#This Row],[Completion date serial]]-tblWorkPackages[[#This Row],[Last labor date]]</f>
        <v>3</v>
      </c>
      <c r="AG433" s="65">
        <f>tblWorkPackages[[#This Row],[Completion date serial]]-tblWorkPackages[[#This Row],[Request date serial]]</f>
        <v>61</v>
      </c>
      <c r="AH433" s="65">
        <f>IFERROR(INDEX(tblParts[Delay days],MATCH(tblWorkPackages[[#This Row],[Work package ID]],tblParts[Work package ID],0)),0)</f>
        <v>0</v>
      </c>
      <c r="AI433" s="51" t="str">
        <f>IFERROR(INDEX(tblDisruptions[Event type],MATCH(tblWorkPackages[[#This Row],[Work package ID]],tblDisruptions[Work package ID],0)),"None")</f>
        <v>Repeat inspection</v>
      </c>
      <c r="AJ433" s="51" t="str">
        <f>TEXT(tblWorkPackages[[#This Row],[Due date serial]],"yyyy-mm")</f>
        <v>2024-11</v>
      </c>
    </row>
    <row r="434" spans="1:36" ht="15" x14ac:dyDescent="0.25">
      <c r="A434" s="53" t="s">
        <v>1209</v>
      </c>
      <c r="B434" s="53" t="s">
        <v>150</v>
      </c>
      <c r="C434" s="53" t="s">
        <v>1063</v>
      </c>
      <c r="D434" s="53" t="s">
        <v>1191</v>
      </c>
      <c r="E434" s="53" t="s">
        <v>144</v>
      </c>
      <c r="F434" s="53" t="s">
        <v>145</v>
      </c>
      <c r="G434" s="53" t="s">
        <v>146</v>
      </c>
      <c r="H434" s="53">
        <v>1</v>
      </c>
      <c r="I434" s="53" t="s">
        <v>130</v>
      </c>
      <c r="J434" s="53">
        <v>0</v>
      </c>
      <c r="K434" s="53">
        <v>1</v>
      </c>
      <c r="L434" s="53">
        <v>8</v>
      </c>
      <c r="M434" s="53" t="s">
        <v>445</v>
      </c>
      <c r="N434" s="53">
        <v>7.9</v>
      </c>
      <c r="O434" s="51" t="str">
        <f>TEXT(tblWorkPackages[[#This Row],[Request date serial]]-WEEKDAY(tblWorkPackages[[#This Row],[Request date serial]],3),"yyyy-mm-dd")</f>
        <v>2025-03-10</v>
      </c>
      <c r="P434" s="51">
        <f>ABS(tblWorkPackages[[#This Row],[Actual labor hours]]-tblWorkPackages[[#This Row],[Estimated labor hours]])</f>
        <v>0.0999999999999996</v>
      </c>
      <c r="Q434" s="51">
        <f>IF(tblWorkPackages[[#This Row],[Actual labor hours]]&gt;tblWorkPackages[[#This Row],[Estimated labor hours]],1,0)</f>
        <v>0</v>
      </c>
      <c r="R434" s="51">
        <f>tblWorkPackages[[#This Row],[Actual labor hours]]-tblWorkPackages[[#This Row],[Estimated labor hours]]</f>
        <v>-0.0999999999999996</v>
      </c>
      <c r="S434" s="51" t="str">
        <f>IF(tblWorkPackages[[#This Row],[Request date serial]]&lt;ValidationStart,"Train 2024",IF(tblWorkPackages[[#This Row],[Request date serial]]&lt;HoldoutStart,"Validation H1","Holdout H2"))</f>
        <v>Validation H1</v>
      </c>
      <c r="T434" s="51">
        <f>IF(tblWorkPackages[[#This Row],[Time split]]="Train 2024","",tblWorkPackages[[#This Row],[Estimated labor hours]]+VLOOKUP(tblWorkPackages[[#This Row],[Task type]],'Forecast validation'!$A$14:$E$25,IF(tblWorkPackages[[#This Row],[Time split]]="Validation H1",4,5),FALSE()))</f>
        <v>8.75473684210526</v>
      </c>
      <c r="U434" s="51">
        <f>IF(tblWorkPackages[[#This Row],[Calibrated forecast hours]]="","",ABS(tblWorkPackages[[#This Row],[Actual labor hours]]-tblWorkPackages[[#This Row],[Calibrated forecast hours]]))</f>
        <v>0.854736842105263</v>
      </c>
      <c r="V434" s="51">
        <f>IF(tblWorkPackages[[#This Row],[Time split]]="Train 2024",tblWorkPackages[[#This Row],[Estimated labor hours]],tblWorkPackages[[#This Row],[Calibrated forecast hours]])</f>
        <v>8.75473684210526</v>
      </c>
      <c r="W434" s="64">
        <f>DATEVALUE(tblWorkPackages[[#This Row],[Request date]])</f>
        <v>45727.0</v>
      </c>
      <c r="X434" s="64">
        <f>DATEVALUE(tblWorkPackages[[#This Row],[Due date]])</f>
        <v>45740.0</v>
      </c>
      <c r="Y434" s="64">
        <f>DATEVALUE(tblWorkPackages[[#This Row],[Completion date]])</f>
        <v>45735.0</v>
      </c>
      <c r="Z434" s="64">
        <f>_xlfn.MINIFS(tblLaborEntries[Work date serial],tblLaborEntries[Work package ID],tblWorkPackages[[#This Row],[Work package ID]])</f>
        <v>45735.0</v>
      </c>
      <c r="AA434" s="64">
        <f>_xlfn.MAXIFS(tblLaborEntries[Work date serial],tblLaborEntries[Work package ID],tblWorkPackages[[#This Row],[Work package ID]])</f>
        <v>45735.0</v>
      </c>
      <c r="AB434" s="65">
        <f>IF(tblWorkPackages[[#This Row],[Completion date serial]]&gt;tblWorkPackages[[#This Row],[Due date serial]],1,0)</f>
        <v>0</v>
      </c>
      <c r="AC434" s="65">
        <f>MAX(0,tblWorkPackages[[#This Row],[Completion date serial]]-tblWorkPackages[[#This Row],[Due date serial]])</f>
        <v>0</v>
      </c>
      <c r="AD434" s="65">
        <f>tblWorkPackages[[#This Row],[First labor date]]-tblWorkPackages[[#This Row],[Request date serial]]</f>
        <v>8</v>
      </c>
      <c r="AE434" s="65">
        <f>tblWorkPackages[[#This Row],[Last labor date]]-tblWorkPackages[[#This Row],[First labor date]]</f>
        <v>0</v>
      </c>
      <c r="AF434" s="65">
        <f>tblWorkPackages[[#This Row],[Completion date serial]]-tblWorkPackages[[#This Row],[Last labor date]]</f>
        <v>0</v>
      </c>
      <c r="AG434" s="65">
        <f>tblWorkPackages[[#This Row],[Completion date serial]]-tblWorkPackages[[#This Row],[Request date serial]]</f>
        <v>8</v>
      </c>
      <c r="AH434" s="65">
        <f>IFERROR(INDEX(tblParts[Delay days],MATCH(tblWorkPackages[[#This Row],[Work package ID]],tblParts[Work package ID],0)),0)</f>
        <v>0</v>
      </c>
      <c r="AI434" s="51" t="str">
        <f>IFERROR(INDEX(tblDisruptions[Event type],MATCH(tblWorkPackages[[#This Row],[Work package ID]],tblDisruptions[Work package ID],0)),"None")</f>
        <v>None</v>
      </c>
      <c r="AJ434" s="51" t="str">
        <f>TEXT(tblWorkPackages[[#This Row],[Due date serial]],"yyyy-mm")</f>
        <v>2025-03</v>
      </c>
    </row>
    <row r="435" spans="1:36" ht="15" x14ac:dyDescent="0.25">
      <c r="A435" s="53" t="s">
        <v>1210</v>
      </c>
      <c r="B435" s="53" t="s">
        <v>150</v>
      </c>
      <c r="C435" s="53" t="s">
        <v>639</v>
      </c>
      <c r="D435" s="53" t="s">
        <v>640</v>
      </c>
      <c r="E435" s="53" t="s">
        <v>272</v>
      </c>
      <c r="F435" s="53" t="s">
        <v>145</v>
      </c>
      <c r="G435" s="53" t="s">
        <v>273</v>
      </c>
      <c r="H435" s="53">
        <v>4</v>
      </c>
      <c r="I435" s="53" t="s">
        <v>130</v>
      </c>
      <c r="J435" s="53">
        <v>0</v>
      </c>
      <c r="K435" s="53">
        <v>0</v>
      </c>
      <c r="L435" s="53">
        <v>23.5</v>
      </c>
      <c r="M435" s="53" t="s">
        <v>1211</v>
      </c>
      <c r="N435" s="53">
        <v>24.6</v>
      </c>
      <c r="O435" s="51" t="str">
        <f>TEXT(tblWorkPackages[[#This Row],[Request date serial]]-WEEKDAY(tblWorkPackages[[#This Row],[Request date serial]],3),"yyyy-mm-dd")</f>
        <v>2025-06-02</v>
      </c>
      <c r="P435" s="51">
        <f>ABS(tblWorkPackages[[#This Row],[Actual labor hours]]-tblWorkPackages[[#This Row],[Estimated labor hours]])</f>
        <v>1.1</v>
      </c>
      <c r="Q435" s="51">
        <f>IF(tblWorkPackages[[#This Row],[Actual labor hours]]&gt;tblWorkPackages[[#This Row],[Estimated labor hours]],1,0)</f>
        <v>1</v>
      </c>
      <c r="R435" s="51">
        <f>tblWorkPackages[[#This Row],[Actual labor hours]]-tblWorkPackages[[#This Row],[Estimated labor hours]]</f>
        <v>1.1</v>
      </c>
      <c r="S435" s="51" t="str">
        <f>IF(tblWorkPackages[[#This Row],[Request date serial]]&lt;ValidationStart,"Train 2024",IF(tblWorkPackages[[#This Row],[Request date serial]]&lt;HoldoutStart,"Validation H1","Holdout H2"))</f>
        <v>Validation H1</v>
      </c>
      <c r="T435" s="51">
        <f>IF(tblWorkPackages[[#This Row],[Time split]]="Train 2024","",tblWorkPackages[[#This Row],[Estimated labor hours]]+VLOOKUP(tblWorkPackages[[#This Row],[Task type]],'Forecast validation'!$A$14:$E$25,IF(tblWorkPackages[[#This Row],[Time split]]="Validation H1",4,5),FALSE()))</f>
        <v>24.5320512820513</v>
      </c>
      <c r="U435" s="51">
        <f>IF(tblWorkPackages[[#This Row],[Calibrated forecast hours]]="","",ABS(tblWorkPackages[[#This Row],[Actual labor hours]]-tblWorkPackages[[#This Row],[Calibrated forecast hours]]))</f>
        <v>0.0679487179487204</v>
      </c>
      <c r="V435" s="51">
        <f>IF(tblWorkPackages[[#This Row],[Time split]]="Train 2024",tblWorkPackages[[#This Row],[Estimated labor hours]],tblWorkPackages[[#This Row],[Calibrated forecast hours]])</f>
        <v>24.5320512820513</v>
      </c>
      <c r="W435" s="64">
        <f>DATEVALUE(tblWorkPackages[[#This Row],[Request date]])</f>
        <v>45815.0</v>
      </c>
      <c r="X435" s="64">
        <f>DATEVALUE(tblWorkPackages[[#This Row],[Due date]])</f>
        <v>45828.0</v>
      </c>
      <c r="Y435" s="64">
        <f>DATEVALUE(tblWorkPackages[[#This Row],[Completion date]])</f>
        <v>45818.0</v>
      </c>
      <c r="Z435" s="64">
        <f>_xlfn.MINIFS(tblLaborEntries[Work date serial],tblLaborEntries[Work package ID],tblWorkPackages[[#This Row],[Work package ID]])</f>
        <v>45817.0</v>
      </c>
      <c r="AA435" s="64">
        <f>_xlfn.MAXIFS(tblLaborEntries[Work date serial],tblLaborEntries[Work package ID],tblWorkPackages[[#This Row],[Work package ID]])</f>
        <v>45817.0</v>
      </c>
      <c r="AB435" s="65">
        <f>IF(tblWorkPackages[[#This Row],[Completion date serial]]&gt;tblWorkPackages[[#This Row],[Due date serial]],1,0)</f>
        <v>0</v>
      </c>
      <c r="AC435" s="65">
        <f>MAX(0,tblWorkPackages[[#This Row],[Completion date serial]]-tblWorkPackages[[#This Row],[Due date serial]])</f>
        <v>0</v>
      </c>
      <c r="AD435" s="65">
        <f>tblWorkPackages[[#This Row],[First labor date]]-tblWorkPackages[[#This Row],[Request date serial]]</f>
        <v>2</v>
      </c>
      <c r="AE435" s="65">
        <f>tblWorkPackages[[#This Row],[Last labor date]]-tblWorkPackages[[#This Row],[First labor date]]</f>
        <v>0</v>
      </c>
      <c r="AF435" s="65">
        <f>tblWorkPackages[[#This Row],[Completion date serial]]-tblWorkPackages[[#This Row],[Last labor date]]</f>
        <v>1</v>
      </c>
      <c r="AG435" s="65">
        <f>tblWorkPackages[[#This Row],[Completion date serial]]-tblWorkPackages[[#This Row],[Request date serial]]</f>
        <v>3</v>
      </c>
      <c r="AH435" s="65">
        <f>IFERROR(INDEX(tblParts[Delay days],MATCH(tblWorkPackages[[#This Row],[Work package ID]],tblParts[Work package ID],0)),0)</f>
        <v>0</v>
      </c>
      <c r="AI435" s="51" t="str">
        <f>IFERROR(INDEX(tblDisruptions[Event type],MATCH(tblWorkPackages[[#This Row],[Work package ID]],tblDisruptions[Work package ID],0)),"None")</f>
        <v>None</v>
      </c>
      <c r="AJ435" s="51" t="str">
        <f>TEXT(tblWorkPackages[[#This Row],[Due date serial]],"yyyy-mm")</f>
        <v>2025-06</v>
      </c>
    </row>
    <row r="436" spans="1:36" ht="15" x14ac:dyDescent="0.25">
      <c r="A436" s="53" t="s">
        <v>1212</v>
      </c>
      <c r="B436" s="53" t="s">
        <v>250</v>
      </c>
      <c r="C436" s="53" t="s">
        <v>1213</v>
      </c>
      <c r="D436" s="53" t="s">
        <v>856</v>
      </c>
      <c r="E436" s="53" t="s">
        <v>160</v>
      </c>
      <c r="F436" s="53" t="s">
        <v>128</v>
      </c>
      <c r="G436" s="53" t="s">
        <v>138</v>
      </c>
      <c r="H436" s="53">
        <v>1</v>
      </c>
      <c r="I436" s="53" t="s">
        <v>176</v>
      </c>
      <c r="J436" s="53">
        <v>1</v>
      </c>
      <c r="K436" s="53">
        <v>0</v>
      </c>
      <c r="L436" s="53">
        <v>2.8</v>
      </c>
      <c r="M436" s="53" t="s">
        <v>1214</v>
      </c>
      <c r="N436" s="53">
        <v>3.4</v>
      </c>
      <c r="O436" s="51" t="str">
        <f>TEXT(tblWorkPackages[[#This Row],[Request date serial]]-WEEKDAY(tblWorkPackages[[#This Row],[Request date serial]],3),"yyyy-mm-dd")</f>
        <v>2025-12-15</v>
      </c>
      <c r="P436" s="51">
        <f>ABS(tblWorkPackages[[#This Row],[Actual labor hours]]-tblWorkPackages[[#This Row],[Estimated labor hours]])</f>
        <v>0.6</v>
      </c>
      <c r="Q436" s="51">
        <f>IF(tblWorkPackages[[#This Row],[Actual labor hours]]&gt;tblWorkPackages[[#This Row],[Estimated labor hours]],1,0)</f>
        <v>1</v>
      </c>
      <c r="R436" s="51">
        <f>tblWorkPackages[[#This Row],[Actual labor hours]]-tblWorkPackages[[#This Row],[Estimated labor hours]]</f>
        <v>0.6</v>
      </c>
      <c r="S436" s="51" t="str">
        <f>IF(tblWorkPackages[[#This Row],[Request date serial]]&lt;ValidationStart,"Train 2024",IF(tblWorkPackages[[#This Row],[Request date serial]]&lt;HoldoutStart,"Validation H1","Holdout H2"))</f>
        <v>Holdout H2</v>
      </c>
      <c r="T436" s="51">
        <f>IF(tblWorkPackages[[#This Row],[Time split]]="Train 2024","",tblWorkPackages[[#This Row],[Estimated labor hours]]+VLOOKUP(tblWorkPackages[[#This Row],[Task type]],'Forecast validation'!$A$14:$E$25,IF(tblWorkPackages[[#This Row],[Time split]]="Validation H1",4,5),FALSE()))</f>
        <v>3.23739837398374</v>
      </c>
      <c r="U436" s="51">
        <f>IF(tblWorkPackages[[#This Row],[Calibrated forecast hours]]="","",ABS(tblWorkPackages[[#This Row],[Actual labor hours]]-tblWorkPackages[[#This Row],[Calibrated forecast hours]]))</f>
        <v>0.16260162601626</v>
      </c>
      <c r="V436" s="51">
        <f>IF(tblWorkPackages[[#This Row],[Time split]]="Train 2024",tblWorkPackages[[#This Row],[Estimated labor hours]],tblWorkPackages[[#This Row],[Calibrated forecast hours]])</f>
        <v>3.23739837398374</v>
      </c>
      <c r="W436" s="64">
        <f>DATEVALUE(tblWorkPackages[[#This Row],[Request date]])</f>
        <v>46008.0</v>
      </c>
      <c r="X436" s="64">
        <f>DATEVALUE(tblWorkPackages[[#This Row],[Due date]])</f>
        <v>46014.0</v>
      </c>
      <c r="Y436" s="64">
        <f>DATEVALUE(tblWorkPackages[[#This Row],[Completion date]])</f>
        <v>46033.0</v>
      </c>
      <c r="Z436" s="64">
        <f>_xlfn.MINIFS(tblLaborEntries[Work date serial],tblLaborEntries[Work package ID],tblWorkPackages[[#This Row],[Work package ID]])</f>
        <v>46030.0</v>
      </c>
      <c r="AA436" s="64">
        <f>_xlfn.MAXIFS(tblLaborEntries[Work date serial],tblLaborEntries[Work package ID],tblWorkPackages[[#This Row],[Work package ID]])</f>
        <v>46031.0</v>
      </c>
      <c r="AB436" s="65">
        <f>IF(tblWorkPackages[[#This Row],[Completion date serial]]&gt;tblWorkPackages[[#This Row],[Due date serial]],1,0)</f>
        <v>1</v>
      </c>
      <c r="AC436" s="65">
        <f>MAX(0,tblWorkPackages[[#This Row],[Completion date serial]]-tblWorkPackages[[#This Row],[Due date serial]])</f>
        <v>19</v>
      </c>
      <c r="AD436" s="65">
        <f>tblWorkPackages[[#This Row],[First labor date]]-tblWorkPackages[[#This Row],[Request date serial]]</f>
        <v>22</v>
      </c>
      <c r="AE436" s="65">
        <f>tblWorkPackages[[#This Row],[Last labor date]]-tblWorkPackages[[#This Row],[First labor date]]</f>
        <v>1</v>
      </c>
      <c r="AF436" s="65">
        <f>tblWorkPackages[[#This Row],[Completion date serial]]-tblWorkPackages[[#This Row],[Last labor date]]</f>
        <v>2</v>
      </c>
      <c r="AG436" s="65">
        <f>tblWorkPackages[[#This Row],[Completion date serial]]-tblWorkPackages[[#This Row],[Request date serial]]</f>
        <v>25</v>
      </c>
      <c r="AH436" s="65">
        <f>IFERROR(INDEX(tblParts[Delay days],MATCH(tblWorkPackages[[#This Row],[Work package ID]],tblParts[Work package ID],0)),0)</f>
        <v>0</v>
      </c>
      <c r="AI436" s="51" t="str">
        <f>IFERROR(INDEX(tblDisruptions[Event type],MATCH(tblWorkPackages[[#This Row],[Work package ID]],tblDisruptions[Work package ID],0)),"None")</f>
        <v>Technician absence</v>
      </c>
      <c r="AJ436" s="51" t="str">
        <f>TEXT(tblWorkPackages[[#This Row],[Due date serial]],"yyyy-mm")</f>
        <v>2025-12</v>
      </c>
    </row>
    <row r="437" spans="1:36" ht="15" x14ac:dyDescent="0.25">
      <c r="A437" s="53" t="s">
        <v>1215</v>
      </c>
      <c r="B437" s="53" t="s">
        <v>124</v>
      </c>
      <c r="C437" s="53" t="s">
        <v>463</v>
      </c>
      <c r="D437" s="53" t="s">
        <v>943</v>
      </c>
      <c r="E437" s="53" t="s">
        <v>272</v>
      </c>
      <c r="F437" s="53" t="s">
        <v>145</v>
      </c>
      <c r="G437" s="53" t="s">
        <v>273</v>
      </c>
      <c r="H437" s="53">
        <v>1</v>
      </c>
      <c r="I437" s="53" t="s">
        <v>130</v>
      </c>
      <c r="J437" s="53">
        <v>0</v>
      </c>
      <c r="K437" s="53">
        <v>1</v>
      </c>
      <c r="L437" s="53">
        <v>6.8</v>
      </c>
      <c r="M437" s="53" t="s">
        <v>1194</v>
      </c>
      <c r="N437" s="53">
        <v>5.3</v>
      </c>
      <c r="O437" s="51" t="str">
        <f>TEXT(tblWorkPackages[[#This Row],[Request date serial]]-WEEKDAY(tblWorkPackages[[#This Row],[Request date serial]],3),"yyyy-mm-dd")</f>
        <v>2025-09-29</v>
      </c>
      <c r="P437" s="51">
        <f>ABS(tblWorkPackages[[#This Row],[Actual labor hours]]-tblWorkPackages[[#This Row],[Estimated labor hours]])</f>
        <v>1.5</v>
      </c>
      <c r="Q437" s="51">
        <f>IF(tblWorkPackages[[#This Row],[Actual labor hours]]&gt;tblWorkPackages[[#This Row],[Estimated labor hours]],1,0)</f>
        <v>0</v>
      </c>
      <c r="R437" s="51">
        <f>tblWorkPackages[[#This Row],[Actual labor hours]]-tblWorkPackages[[#This Row],[Estimated labor hours]]</f>
        <v>-1.5</v>
      </c>
      <c r="S437" s="51" t="str">
        <f>IF(tblWorkPackages[[#This Row],[Request date serial]]&lt;ValidationStart,"Train 2024",IF(tblWorkPackages[[#This Row],[Request date serial]]&lt;HoldoutStart,"Validation H1","Holdout H2"))</f>
        <v>Holdout H2</v>
      </c>
      <c r="T437" s="51">
        <f>IF(tblWorkPackages[[#This Row],[Time split]]="Train 2024","",tblWorkPackages[[#This Row],[Estimated labor hours]]+VLOOKUP(tblWorkPackages[[#This Row],[Task type]],'Forecast validation'!$A$14:$E$25,IF(tblWorkPackages[[#This Row],[Time split]]="Validation H1",4,5),FALSE()))</f>
        <v>7.78515625</v>
      </c>
      <c r="U437" s="51">
        <f>IF(tblWorkPackages[[#This Row],[Calibrated forecast hours]]="","",ABS(tblWorkPackages[[#This Row],[Actual labor hours]]-tblWorkPackages[[#This Row],[Calibrated forecast hours]]))</f>
        <v>2.48515625</v>
      </c>
      <c r="V437" s="51">
        <f>IF(tblWorkPackages[[#This Row],[Time split]]="Train 2024",tblWorkPackages[[#This Row],[Estimated labor hours]],tblWorkPackages[[#This Row],[Calibrated forecast hours]])</f>
        <v>7.78515625</v>
      </c>
      <c r="W437" s="64">
        <f>DATEVALUE(tblWorkPackages[[#This Row],[Request date]])</f>
        <v>45931.0</v>
      </c>
      <c r="X437" s="64">
        <f>DATEVALUE(tblWorkPackages[[#This Row],[Due date]])</f>
        <v>45944.0</v>
      </c>
      <c r="Y437" s="64">
        <f>DATEVALUE(tblWorkPackages[[#This Row],[Completion date]])</f>
        <v>45940.0</v>
      </c>
      <c r="Z437" s="64">
        <f>_xlfn.MINIFS(tblLaborEntries[Work date serial],tblLaborEntries[Work package ID],tblWorkPackages[[#This Row],[Work package ID]])</f>
        <v>45935.0</v>
      </c>
      <c r="AA437" s="64">
        <f>_xlfn.MAXIFS(tblLaborEntries[Work date serial],tblLaborEntries[Work package ID],tblWorkPackages[[#This Row],[Work package ID]])</f>
        <v>45937.0</v>
      </c>
      <c r="AB437" s="65">
        <f>IF(tblWorkPackages[[#This Row],[Completion date serial]]&gt;tblWorkPackages[[#This Row],[Due date serial]],1,0)</f>
        <v>0</v>
      </c>
      <c r="AC437" s="65">
        <f>MAX(0,tblWorkPackages[[#This Row],[Completion date serial]]-tblWorkPackages[[#This Row],[Due date serial]])</f>
        <v>0</v>
      </c>
      <c r="AD437" s="65">
        <f>tblWorkPackages[[#This Row],[First labor date]]-tblWorkPackages[[#This Row],[Request date serial]]</f>
        <v>4</v>
      </c>
      <c r="AE437" s="65">
        <f>tblWorkPackages[[#This Row],[Last labor date]]-tblWorkPackages[[#This Row],[First labor date]]</f>
        <v>2</v>
      </c>
      <c r="AF437" s="65">
        <f>tblWorkPackages[[#This Row],[Completion date serial]]-tblWorkPackages[[#This Row],[Last labor date]]</f>
        <v>3</v>
      </c>
      <c r="AG437" s="65">
        <f>tblWorkPackages[[#This Row],[Completion date serial]]-tblWorkPackages[[#This Row],[Request date serial]]</f>
        <v>9</v>
      </c>
      <c r="AH437" s="65">
        <f>IFERROR(INDEX(tblParts[Delay days],MATCH(tblWorkPackages[[#This Row],[Work package ID]],tblParts[Work package ID],0)),0)</f>
        <v>0</v>
      </c>
      <c r="AI437" s="51" t="str">
        <f>IFERROR(INDEX(tblDisruptions[Event type],MATCH(tblWorkPackages[[#This Row],[Work package ID]],tblDisruptions[Work package ID],0)),"None")</f>
        <v>None</v>
      </c>
      <c r="AJ437" s="51" t="str">
        <f>TEXT(tblWorkPackages[[#This Row],[Due date serial]],"yyyy-mm")</f>
        <v>2025-10</v>
      </c>
    </row>
    <row r="438" spans="1:36" ht="15" x14ac:dyDescent="0.25">
      <c r="A438" s="53" t="s">
        <v>1216</v>
      </c>
      <c r="B438" s="53" t="s">
        <v>203</v>
      </c>
      <c r="C438" s="53" t="s">
        <v>417</v>
      </c>
      <c r="D438" s="53" t="s">
        <v>301</v>
      </c>
      <c r="E438" s="53" t="s">
        <v>200</v>
      </c>
      <c r="F438" s="53" t="s">
        <v>128</v>
      </c>
      <c r="G438" s="53" t="s">
        <v>129</v>
      </c>
      <c r="H438" s="53">
        <v>3</v>
      </c>
      <c r="I438" s="53" t="s">
        <v>176</v>
      </c>
      <c r="J438" s="53">
        <v>0</v>
      </c>
      <c r="K438" s="53">
        <v>0</v>
      </c>
      <c r="L438" s="53">
        <v>4.2</v>
      </c>
      <c r="M438" s="53" t="s">
        <v>970</v>
      </c>
      <c r="N438" s="53">
        <v>5.3</v>
      </c>
      <c r="O438" s="51" t="str">
        <f>TEXT(tblWorkPackages[[#This Row],[Request date serial]]-WEEKDAY(tblWorkPackages[[#This Row],[Request date serial]],3),"yyyy-mm-dd")</f>
        <v>2024-04-29</v>
      </c>
      <c r="P438" s="51">
        <f>ABS(tblWorkPackages[[#This Row],[Actual labor hours]]-tblWorkPackages[[#This Row],[Estimated labor hours]])</f>
        <v>1.1</v>
      </c>
      <c r="Q438" s="51">
        <f>IF(tblWorkPackages[[#This Row],[Actual labor hours]]&gt;tblWorkPackages[[#This Row],[Estimated labor hours]],1,0)</f>
        <v>1</v>
      </c>
      <c r="R438" s="51">
        <f>tblWorkPackages[[#This Row],[Actual labor hours]]-tblWorkPackages[[#This Row],[Estimated labor hours]]</f>
        <v>1.1</v>
      </c>
      <c r="S438" s="51" t="str">
        <f>IF(tblWorkPackages[[#This Row],[Request date serial]]&lt;ValidationStart,"Train 2024",IF(tblWorkPackages[[#This Row],[Request date serial]]&lt;HoldoutStart,"Validation H1","Holdout H2"))</f>
        <v>Train 2024</v>
      </c>
      <c r="T438" s="51" t="str">
        <f>IF(tblWorkPackages[[#This Row],[Time split]]="Train 2024","",tblWorkPackages[[#This Row],[Estimated labor hours]]+VLOOKUP(tblWorkPackages[[#This Row],[Task type]],'Forecast validation'!$A$14:$E$25,IF(tblWorkPackages[[#This Row],[Time split]]="Validation H1",4,5),FALSE()))</f>
        <v/>
      </c>
      <c r="U438" s="51" t="str">
        <f>IF(tblWorkPackages[[#This Row],[Calibrated forecast hours]]="","",ABS(tblWorkPackages[[#This Row],[Actual labor hours]]-tblWorkPackages[[#This Row],[Calibrated forecast hours]]))</f>
        <v/>
      </c>
      <c r="V438" s="51">
        <f>IF(tblWorkPackages[[#This Row],[Time split]]="Train 2024",tblWorkPackages[[#This Row],[Estimated labor hours]],tblWorkPackages[[#This Row],[Calibrated forecast hours]])</f>
        <v>4.2</v>
      </c>
      <c r="W438" s="64">
        <f>DATEVALUE(tblWorkPackages[[#This Row],[Request date]])</f>
        <v>45416.0</v>
      </c>
      <c r="X438" s="64">
        <f>DATEVALUE(tblWorkPackages[[#This Row],[Due date]])</f>
        <v>45422.0</v>
      </c>
      <c r="Y438" s="64">
        <f>DATEVALUE(tblWorkPackages[[#This Row],[Completion date]])</f>
        <v>45418.0</v>
      </c>
      <c r="Z438" s="64">
        <f>_xlfn.MINIFS(tblLaborEntries[Work date serial],tblLaborEntries[Work package ID],tblWorkPackages[[#This Row],[Work package ID]])</f>
        <v>45417.0</v>
      </c>
      <c r="AA438" s="64">
        <f>_xlfn.MAXIFS(tblLaborEntries[Work date serial],tblLaborEntries[Work package ID],tblWorkPackages[[#This Row],[Work package ID]])</f>
        <v>45418.0</v>
      </c>
      <c r="AB438" s="65">
        <f>IF(tblWorkPackages[[#This Row],[Completion date serial]]&gt;tblWorkPackages[[#This Row],[Due date serial]],1,0)</f>
        <v>0</v>
      </c>
      <c r="AC438" s="65">
        <f>MAX(0,tblWorkPackages[[#This Row],[Completion date serial]]-tblWorkPackages[[#This Row],[Due date serial]])</f>
        <v>0</v>
      </c>
      <c r="AD438" s="65">
        <f>tblWorkPackages[[#This Row],[First labor date]]-tblWorkPackages[[#This Row],[Request date serial]]</f>
        <v>1</v>
      </c>
      <c r="AE438" s="65">
        <f>tblWorkPackages[[#This Row],[Last labor date]]-tblWorkPackages[[#This Row],[First labor date]]</f>
        <v>1</v>
      </c>
      <c r="AF438" s="65">
        <f>tblWorkPackages[[#This Row],[Completion date serial]]-tblWorkPackages[[#This Row],[Last labor date]]</f>
        <v>0</v>
      </c>
      <c r="AG438" s="65">
        <f>tblWorkPackages[[#This Row],[Completion date serial]]-tblWorkPackages[[#This Row],[Request date serial]]</f>
        <v>2</v>
      </c>
      <c r="AH438" s="65">
        <f>IFERROR(INDEX(tblParts[Delay days],MATCH(tblWorkPackages[[#This Row],[Work package ID]],tblParts[Work package ID],0)),0)</f>
        <v>0</v>
      </c>
      <c r="AI438" s="51" t="str">
        <f>IFERROR(INDEX(tblDisruptions[Event type],MATCH(tblWorkPackages[[#This Row],[Work package ID]],tblDisruptions[Work package ID],0)),"None")</f>
        <v>None</v>
      </c>
      <c r="AJ438" s="51" t="str">
        <f>TEXT(tblWorkPackages[[#This Row],[Due date serial]],"yyyy-mm")</f>
        <v>2024-05</v>
      </c>
    </row>
    <row r="439" spans="1:36" ht="15" x14ac:dyDescent="0.25">
      <c r="A439" s="53" t="s">
        <v>1217</v>
      </c>
      <c r="B439" s="53" t="s">
        <v>124</v>
      </c>
      <c r="C439" s="53" t="s">
        <v>466</v>
      </c>
      <c r="D439" s="53" t="s">
        <v>1218</v>
      </c>
      <c r="E439" s="53" t="s">
        <v>242</v>
      </c>
      <c r="F439" s="53" t="s">
        <v>243</v>
      </c>
      <c r="G439" s="53" t="s">
        <v>129</v>
      </c>
      <c r="H439" s="53">
        <v>4</v>
      </c>
      <c r="I439" s="53" t="s">
        <v>130</v>
      </c>
      <c r="J439" s="53">
        <v>1</v>
      </c>
      <c r="K439" s="53">
        <v>0</v>
      </c>
      <c r="L439" s="53">
        <v>17.8</v>
      </c>
      <c r="M439" s="53" t="s">
        <v>1218</v>
      </c>
      <c r="N439" s="53">
        <v>21.6</v>
      </c>
      <c r="O439" s="51" t="str">
        <f>TEXT(tblWorkPackages[[#This Row],[Request date serial]]-WEEKDAY(tblWorkPackages[[#This Row],[Request date serial]],3),"yyyy-mm-dd")</f>
        <v>2025-03-24</v>
      </c>
      <c r="P439" s="51">
        <f>ABS(tblWorkPackages[[#This Row],[Actual labor hours]]-tblWorkPackages[[#This Row],[Estimated labor hours]])</f>
        <v>3.8</v>
      </c>
      <c r="Q439" s="51">
        <f>IF(tblWorkPackages[[#This Row],[Actual labor hours]]&gt;tblWorkPackages[[#This Row],[Estimated labor hours]],1,0)</f>
        <v>1</v>
      </c>
      <c r="R439" s="51">
        <f>tblWorkPackages[[#This Row],[Actual labor hours]]-tblWorkPackages[[#This Row],[Estimated labor hours]]</f>
        <v>3.8</v>
      </c>
      <c r="S439" s="51" t="str">
        <f>IF(tblWorkPackages[[#This Row],[Request date serial]]&lt;ValidationStart,"Train 2024",IF(tblWorkPackages[[#This Row],[Request date serial]]&lt;HoldoutStart,"Validation H1","Holdout H2"))</f>
        <v>Validation H1</v>
      </c>
      <c r="T439" s="51">
        <f>IF(tblWorkPackages[[#This Row],[Time split]]="Train 2024","",tblWorkPackages[[#This Row],[Estimated labor hours]]+VLOOKUP(tblWorkPackages[[#This Row],[Task type]],'Forecast validation'!$A$14:$E$25,IF(tblWorkPackages[[#This Row],[Time split]]="Validation H1",4,5),FALSE()))</f>
        <v>18.3561224489796</v>
      </c>
      <c r="U439" s="51">
        <f>IF(tblWorkPackages[[#This Row],[Calibrated forecast hours]]="","",ABS(tblWorkPackages[[#This Row],[Actual labor hours]]-tblWorkPackages[[#This Row],[Calibrated forecast hours]]))</f>
        <v>3.24387755102041</v>
      </c>
      <c r="V439" s="51">
        <f>IF(tblWorkPackages[[#This Row],[Time split]]="Train 2024",tblWorkPackages[[#This Row],[Estimated labor hours]],tblWorkPackages[[#This Row],[Calibrated forecast hours]])</f>
        <v>18.3561224489796</v>
      </c>
      <c r="W439" s="64">
        <f>DATEVALUE(tblWorkPackages[[#This Row],[Request date]])</f>
        <v>45746.0</v>
      </c>
      <c r="X439" s="64">
        <f>DATEVALUE(tblWorkPackages[[#This Row],[Due date]])</f>
        <v>45759.0</v>
      </c>
      <c r="Y439" s="64">
        <f>DATEVALUE(tblWorkPackages[[#This Row],[Completion date]])</f>
        <v>45759.0</v>
      </c>
      <c r="Z439" s="64">
        <f>_xlfn.MINIFS(tblLaborEntries[Work date serial],tblLaborEntries[Work package ID],tblWorkPackages[[#This Row],[Work package ID]])</f>
        <v>45758.0</v>
      </c>
      <c r="AA439" s="64">
        <f>_xlfn.MAXIFS(tblLaborEntries[Work date serial],tblLaborEntries[Work package ID],tblWorkPackages[[#This Row],[Work package ID]])</f>
        <v>45758.0</v>
      </c>
      <c r="AB439" s="65">
        <f>IF(tblWorkPackages[[#This Row],[Completion date serial]]&gt;tblWorkPackages[[#This Row],[Due date serial]],1,0)</f>
        <v>0</v>
      </c>
      <c r="AC439" s="65">
        <f>MAX(0,tblWorkPackages[[#This Row],[Completion date serial]]-tblWorkPackages[[#This Row],[Due date serial]])</f>
        <v>0</v>
      </c>
      <c r="AD439" s="65">
        <f>tblWorkPackages[[#This Row],[First labor date]]-tblWorkPackages[[#This Row],[Request date serial]]</f>
        <v>12</v>
      </c>
      <c r="AE439" s="65">
        <f>tblWorkPackages[[#This Row],[Last labor date]]-tblWorkPackages[[#This Row],[First labor date]]</f>
        <v>0</v>
      </c>
      <c r="AF439" s="65">
        <f>tblWorkPackages[[#This Row],[Completion date serial]]-tblWorkPackages[[#This Row],[Last labor date]]</f>
        <v>1</v>
      </c>
      <c r="AG439" s="65">
        <f>tblWorkPackages[[#This Row],[Completion date serial]]-tblWorkPackages[[#This Row],[Request date serial]]</f>
        <v>13</v>
      </c>
      <c r="AH439" s="65">
        <f>IFERROR(INDEX(tblParts[Delay days],MATCH(tblWorkPackages[[#This Row],[Work package ID]],tblParts[Work package ID],0)),0)</f>
        <v>0</v>
      </c>
      <c r="AI439" s="51" t="str">
        <f>IFERROR(INDEX(tblDisruptions[Event type],MATCH(tblWorkPackages[[#This Row],[Work package ID]],tblDisruptions[Work package ID],0)),"None")</f>
        <v>None</v>
      </c>
      <c r="AJ439" s="51" t="str">
        <f>TEXT(tblWorkPackages[[#This Row],[Due date serial]],"yyyy-mm")</f>
        <v>2025-04</v>
      </c>
    </row>
    <row r="440" spans="1:36" ht="15" x14ac:dyDescent="0.25">
      <c r="A440" s="53" t="s">
        <v>1219</v>
      </c>
      <c r="B440" s="53" t="s">
        <v>157</v>
      </c>
      <c r="C440" s="53" t="s">
        <v>231</v>
      </c>
      <c r="D440" s="53" t="s">
        <v>232</v>
      </c>
      <c r="E440" s="53" t="s">
        <v>223</v>
      </c>
      <c r="F440" s="53" t="s">
        <v>182</v>
      </c>
      <c r="G440" s="53" t="s">
        <v>154</v>
      </c>
      <c r="H440" s="53">
        <v>1</v>
      </c>
      <c r="I440" s="53" t="s">
        <v>130</v>
      </c>
      <c r="J440" s="53">
        <v>0</v>
      </c>
      <c r="K440" s="53">
        <v>0</v>
      </c>
      <c r="L440" s="53">
        <v>7.1</v>
      </c>
      <c r="M440" s="53" t="s">
        <v>484</v>
      </c>
      <c r="N440" s="53">
        <v>7.5</v>
      </c>
      <c r="O440" s="51" t="str">
        <f>TEXT(tblWorkPackages[[#This Row],[Request date serial]]-WEEKDAY(tblWorkPackages[[#This Row],[Request date serial]],3),"yyyy-mm-dd")</f>
        <v>2024-12-23</v>
      </c>
      <c r="P440" s="51">
        <f>ABS(tblWorkPackages[[#This Row],[Actual labor hours]]-tblWorkPackages[[#This Row],[Estimated labor hours]])</f>
        <v>0.4</v>
      </c>
      <c r="Q440" s="51">
        <f>IF(tblWorkPackages[[#This Row],[Actual labor hours]]&gt;tblWorkPackages[[#This Row],[Estimated labor hours]],1,0)</f>
        <v>1</v>
      </c>
      <c r="R440" s="51">
        <f>tblWorkPackages[[#This Row],[Actual labor hours]]-tblWorkPackages[[#This Row],[Estimated labor hours]]</f>
        <v>0.4</v>
      </c>
      <c r="S440" s="51" t="str">
        <f>IF(tblWorkPackages[[#This Row],[Request date serial]]&lt;ValidationStart,"Train 2024",IF(tblWorkPackages[[#This Row],[Request date serial]]&lt;HoldoutStart,"Validation H1","Holdout H2"))</f>
        <v>Train 2024</v>
      </c>
      <c r="T440" s="51" t="str">
        <f>IF(tblWorkPackages[[#This Row],[Time split]]="Train 2024","",tblWorkPackages[[#This Row],[Estimated labor hours]]+VLOOKUP(tblWorkPackages[[#This Row],[Task type]],'Forecast validation'!$A$14:$E$25,IF(tblWorkPackages[[#This Row],[Time split]]="Validation H1",4,5),FALSE()))</f>
        <v/>
      </c>
      <c r="U440" s="51" t="str">
        <f>IF(tblWorkPackages[[#This Row],[Calibrated forecast hours]]="","",ABS(tblWorkPackages[[#This Row],[Actual labor hours]]-tblWorkPackages[[#This Row],[Calibrated forecast hours]]))</f>
        <v/>
      </c>
      <c r="V440" s="51">
        <f>IF(tblWorkPackages[[#This Row],[Time split]]="Train 2024",tblWorkPackages[[#This Row],[Estimated labor hours]],tblWorkPackages[[#This Row],[Calibrated forecast hours]])</f>
        <v>7.1</v>
      </c>
      <c r="W440" s="64">
        <f>DATEVALUE(tblWorkPackages[[#This Row],[Request date]])</f>
        <v>45655.0</v>
      </c>
      <c r="X440" s="64">
        <f>DATEVALUE(tblWorkPackages[[#This Row],[Due date]])</f>
        <v>45668.0</v>
      </c>
      <c r="Y440" s="64">
        <f>DATEVALUE(tblWorkPackages[[#This Row],[Completion date]])</f>
        <v>45662.0</v>
      </c>
      <c r="Z440" s="64">
        <f>_xlfn.MINIFS(tblLaborEntries[Work date serial],tblLaborEntries[Work package ID],tblWorkPackages[[#This Row],[Work package ID]])</f>
        <v>45658.0</v>
      </c>
      <c r="AA440" s="64">
        <f>_xlfn.MAXIFS(tblLaborEntries[Work date serial],tblLaborEntries[Work package ID],tblWorkPackages[[#This Row],[Work package ID]])</f>
        <v>45660.0</v>
      </c>
      <c r="AB440" s="65">
        <f>IF(tblWorkPackages[[#This Row],[Completion date serial]]&gt;tblWorkPackages[[#This Row],[Due date serial]],1,0)</f>
        <v>0</v>
      </c>
      <c r="AC440" s="65">
        <f>MAX(0,tblWorkPackages[[#This Row],[Completion date serial]]-tblWorkPackages[[#This Row],[Due date serial]])</f>
        <v>0</v>
      </c>
      <c r="AD440" s="65">
        <f>tblWorkPackages[[#This Row],[First labor date]]-tblWorkPackages[[#This Row],[Request date serial]]</f>
        <v>3</v>
      </c>
      <c r="AE440" s="65">
        <f>tblWorkPackages[[#This Row],[Last labor date]]-tblWorkPackages[[#This Row],[First labor date]]</f>
        <v>2</v>
      </c>
      <c r="AF440" s="65">
        <f>tblWorkPackages[[#This Row],[Completion date serial]]-tblWorkPackages[[#This Row],[Last labor date]]</f>
        <v>2</v>
      </c>
      <c r="AG440" s="65">
        <f>tblWorkPackages[[#This Row],[Completion date serial]]-tblWorkPackages[[#This Row],[Request date serial]]</f>
        <v>7</v>
      </c>
      <c r="AH440" s="65">
        <f>IFERROR(INDEX(tblParts[Delay days],MATCH(tblWorkPackages[[#This Row],[Work package ID]],tblParts[Work package ID],0)),0)</f>
        <v>0</v>
      </c>
      <c r="AI440" s="51" t="str">
        <f>IFERROR(INDEX(tblDisruptions[Event type],MATCH(tblWorkPackages[[#This Row],[Work package ID]],tblDisruptions[Work package ID],0)),"None")</f>
        <v>None</v>
      </c>
      <c r="AJ440" s="51" t="str">
        <f>TEXT(tblWorkPackages[[#This Row],[Due date serial]],"yyyy-mm")</f>
        <v>2025-01</v>
      </c>
    </row>
    <row r="441" spans="1:36" ht="15" x14ac:dyDescent="0.25">
      <c r="A441" s="53" t="s">
        <v>1220</v>
      </c>
      <c r="B441" s="53" t="s">
        <v>185</v>
      </c>
      <c r="C441" s="53" t="s">
        <v>1063</v>
      </c>
      <c r="D441" s="53" t="s">
        <v>1191</v>
      </c>
      <c r="E441" s="53" t="s">
        <v>272</v>
      </c>
      <c r="F441" s="53" t="s">
        <v>145</v>
      </c>
      <c r="G441" s="53" t="s">
        <v>273</v>
      </c>
      <c r="H441" s="53">
        <v>2</v>
      </c>
      <c r="I441" s="53" t="s">
        <v>130</v>
      </c>
      <c r="J441" s="53">
        <v>0</v>
      </c>
      <c r="K441" s="53">
        <v>1</v>
      </c>
      <c r="L441" s="53">
        <v>13.3</v>
      </c>
      <c r="M441" s="53" t="s">
        <v>1221</v>
      </c>
      <c r="N441" s="53">
        <v>19.3</v>
      </c>
      <c r="O441" s="51" t="str">
        <f>TEXT(tblWorkPackages[[#This Row],[Request date serial]]-WEEKDAY(tblWorkPackages[[#This Row],[Request date serial]],3),"yyyy-mm-dd")</f>
        <v>2025-03-10</v>
      </c>
      <c r="P441" s="51">
        <f>ABS(tblWorkPackages[[#This Row],[Actual labor hours]]-tblWorkPackages[[#This Row],[Estimated labor hours]])</f>
        <v>6</v>
      </c>
      <c r="Q441" s="51">
        <f>IF(tblWorkPackages[[#This Row],[Actual labor hours]]&gt;tblWorkPackages[[#This Row],[Estimated labor hours]],1,0)</f>
        <v>1</v>
      </c>
      <c r="R441" s="51">
        <f>tblWorkPackages[[#This Row],[Actual labor hours]]-tblWorkPackages[[#This Row],[Estimated labor hours]]</f>
        <v>6</v>
      </c>
      <c r="S441" s="51" t="str">
        <f>IF(tblWorkPackages[[#This Row],[Request date serial]]&lt;ValidationStart,"Train 2024",IF(tblWorkPackages[[#This Row],[Request date serial]]&lt;HoldoutStart,"Validation H1","Holdout H2"))</f>
        <v>Validation H1</v>
      </c>
      <c r="T441" s="51">
        <f>IF(tblWorkPackages[[#This Row],[Time split]]="Train 2024","",tblWorkPackages[[#This Row],[Estimated labor hours]]+VLOOKUP(tblWorkPackages[[#This Row],[Task type]],'Forecast validation'!$A$14:$E$25,IF(tblWorkPackages[[#This Row],[Time split]]="Validation H1",4,5),FALSE()))</f>
        <v>14.3320512820513</v>
      </c>
      <c r="U441" s="51">
        <f>IF(tblWorkPackages[[#This Row],[Calibrated forecast hours]]="","",ABS(tblWorkPackages[[#This Row],[Actual labor hours]]-tblWorkPackages[[#This Row],[Calibrated forecast hours]]))</f>
        <v>4.96794871794872</v>
      </c>
      <c r="V441" s="51">
        <f>IF(tblWorkPackages[[#This Row],[Time split]]="Train 2024",tblWorkPackages[[#This Row],[Estimated labor hours]],tblWorkPackages[[#This Row],[Calibrated forecast hours]])</f>
        <v>14.3320512820513</v>
      </c>
      <c r="W441" s="64">
        <f>DATEVALUE(tblWorkPackages[[#This Row],[Request date]])</f>
        <v>45727.0</v>
      </c>
      <c r="X441" s="64">
        <f>DATEVALUE(tblWorkPackages[[#This Row],[Due date]])</f>
        <v>45740.0</v>
      </c>
      <c r="Y441" s="64">
        <f>DATEVALUE(tblWorkPackages[[#This Row],[Completion date]])</f>
        <v>45774.0</v>
      </c>
      <c r="Z441" s="64">
        <f>_xlfn.MINIFS(tblLaborEntries[Work date serial],tblLaborEntries[Work package ID],tblWorkPackages[[#This Row],[Work package ID]])</f>
        <v>45770.0</v>
      </c>
      <c r="AA441" s="64">
        <f>_xlfn.MAXIFS(tblLaborEntries[Work date serial],tblLaborEntries[Work package ID],tblWorkPackages[[#This Row],[Work package ID]])</f>
        <v>45771.0</v>
      </c>
      <c r="AB441" s="65">
        <f>IF(tblWorkPackages[[#This Row],[Completion date serial]]&gt;tblWorkPackages[[#This Row],[Due date serial]],1,0)</f>
        <v>1</v>
      </c>
      <c r="AC441" s="65">
        <f>MAX(0,tblWorkPackages[[#This Row],[Completion date serial]]-tblWorkPackages[[#This Row],[Due date serial]])</f>
        <v>34</v>
      </c>
      <c r="AD441" s="65">
        <f>tblWorkPackages[[#This Row],[First labor date]]-tblWorkPackages[[#This Row],[Request date serial]]</f>
        <v>43</v>
      </c>
      <c r="AE441" s="65">
        <f>tblWorkPackages[[#This Row],[Last labor date]]-tblWorkPackages[[#This Row],[First labor date]]</f>
        <v>1</v>
      </c>
      <c r="AF441" s="65">
        <f>tblWorkPackages[[#This Row],[Completion date serial]]-tblWorkPackages[[#This Row],[Last labor date]]</f>
        <v>3</v>
      </c>
      <c r="AG441" s="65">
        <f>tblWorkPackages[[#This Row],[Completion date serial]]-tblWorkPackages[[#This Row],[Request date serial]]</f>
        <v>47</v>
      </c>
      <c r="AH441" s="65">
        <f>IFERROR(INDEX(tblParts[Delay days],MATCH(tblWorkPackages[[#This Row],[Work package ID]],tblParts[Work package ID],0)),0)</f>
        <v>9</v>
      </c>
      <c r="AI441" s="51" t="str">
        <f>IFERROR(INDEX(tblDisruptions[Event type],MATCH(tblWorkPackages[[#This Row],[Work package ID]],tblDisruptions[Work package ID],0)),"None")</f>
        <v>Part delay</v>
      </c>
      <c r="AJ441" s="51" t="str">
        <f>TEXT(tblWorkPackages[[#This Row],[Due date serial]],"yyyy-mm")</f>
        <v>2025-03</v>
      </c>
    </row>
    <row r="442" spans="1:36" ht="15" x14ac:dyDescent="0.25">
      <c r="A442" s="53" t="s">
        <v>1222</v>
      </c>
      <c r="B442" s="53" t="s">
        <v>235</v>
      </c>
      <c r="C442" s="53" t="s">
        <v>345</v>
      </c>
      <c r="D442" s="53" t="s">
        <v>1223</v>
      </c>
      <c r="E442" s="53" t="s">
        <v>223</v>
      </c>
      <c r="F442" s="53" t="s">
        <v>182</v>
      </c>
      <c r="G442" s="53" t="s">
        <v>154</v>
      </c>
      <c r="H442" s="53">
        <v>2</v>
      </c>
      <c r="I442" s="53" t="s">
        <v>176</v>
      </c>
      <c r="J442" s="53">
        <v>0</v>
      </c>
      <c r="K442" s="53">
        <v>1</v>
      </c>
      <c r="L442" s="53">
        <v>13</v>
      </c>
      <c r="M442" s="53" t="s">
        <v>490</v>
      </c>
      <c r="N442" s="53">
        <v>12.4</v>
      </c>
      <c r="O442" s="51" t="str">
        <f>TEXT(tblWorkPackages[[#This Row],[Request date serial]]-WEEKDAY(tblWorkPackages[[#This Row],[Request date serial]],3),"yyyy-mm-dd")</f>
        <v>2024-01-29</v>
      </c>
      <c r="P442" s="51">
        <f>ABS(tblWorkPackages[[#This Row],[Actual labor hours]]-tblWorkPackages[[#This Row],[Estimated labor hours]])</f>
        <v>0.6</v>
      </c>
      <c r="Q442" s="51">
        <f>IF(tblWorkPackages[[#This Row],[Actual labor hours]]&gt;tblWorkPackages[[#This Row],[Estimated labor hours]],1,0)</f>
        <v>0</v>
      </c>
      <c r="R442" s="51">
        <f>tblWorkPackages[[#This Row],[Actual labor hours]]-tblWorkPackages[[#This Row],[Estimated labor hours]]</f>
        <v>-0.6</v>
      </c>
      <c r="S442" s="51" t="str">
        <f>IF(tblWorkPackages[[#This Row],[Request date serial]]&lt;ValidationStart,"Train 2024",IF(tblWorkPackages[[#This Row],[Request date serial]]&lt;HoldoutStart,"Validation H1","Holdout H2"))</f>
        <v>Train 2024</v>
      </c>
      <c r="T442" s="51" t="str">
        <f>IF(tblWorkPackages[[#This Row],[Time split]]="Train 2024","",tblWorkPackages[[#This Row],[Estimated labor hours]]+VLOOKUP(tblWorkPackages[[#This Row],[Task type]],'Forecast validation'!$A$14:$E$25,IF(tblWorkPackages[[#This Row],[Time split]]="Validation H1",4,5),FALSE()))</f>
        <v/>
      </c>
      <c r="U442" s="51" t="str">
        <f>IF(tblWorkPackages[[#This Row],[Calibrated forecast hours]]="","",ABS(tblWorkPackages[[#This Row],[Actual labor hours]]-tblWorkPackages[[#This Row],[Calibrated forecast hours]]))</f>
        <v/>
      </c>
      <c r="V442" s="51">
        <f>IF(tblWorkPackages[[#This Row],[Time split]]="Train 2024",tblWorkPackages[[#This Row],[Estimated labor hours]],tblWorkPackages[[#This Row],[Calibrated forecast hours]])</f>
        <v>13</v>
      </c>
      <c r="W442" s="64">
        <f>DATEVALUE(tblWorkPackages[[#This Row],[Request date]])</f>
        <v>45325.0</v>
      </c>
      <c r="X442" s="64">
        <f>DATEVALUE(tblWorkPackages[[#This Row],[Due date]])</f>
        <v>45331.0</v>
      </c>
      <c r="Y442" s="64">
        <f>DATEVALUE(tblWorkPackages[[#This Row],[Completion date]])</f>
        <v>45332.0</v>
      </c>
      <c r="Z442" s="64">
        <f>_xlfn.MINIFS(tblLaborEntries[Work date serial],tblLaborEntries[Work package ID],tblWorkPackages[[#This Row],[Work package ID]])</f>
        <v>45331.0</v>
      </c>
      <c r="AA442" s="64">
        <f>_xlfn.MAXIFS(tblLaborEntries[Work date serial],tblLaborEntries[Work package ID],tblWorkPackages[[#This Row],[Work package ID]])</f>
        <v>45332.0</v>
      </c>
      <c r="AB442" s="65">
        <f>IF(tblWorkPackages[[#This Row],[Completion date serial]]&gt;tblWorkPackages[[#This Row],[Due date serial]],1,0)</f>
        <v>1</v>
      </c>
      <c r="AC442" s="65">
        <f>MAX(0,tblWorkPackages[[#This Row],[Completion date serial]]-tblWorkPackages[[#This Row],[Due date serial]])</f>
        <v>1</v>
      </c>
      <c r="AD442" s="65">
        <f>tblWorkPackages[[#This Row],[First labor date]]-tblWorkPackages[[#This Row],[Request date serial]]</f>
        <v>6</v>
      </c>
      <c r="AE442" s="65">
        <f>tblWorkPackages[[#This Row],[Last labor date]]-tblWorkPackages[[#This Row],[First labor date]]</f>
        <v>1</v>
      </c>
      <c r="AF442" s="65">
        <f>tblWorkPackages[[#This Row],[Completion date serial]]-tblWorkPackages[[#This Row],[Last labor date]]</f>
        <v>0</v>
      </c>
      <c r="AG442" s="65">
        <f>tblWorkPackages[[#This Row],[Completion date serial]]-tblWorkPackages[[#This Row],[Request date serial]]</f>
        <v>7</v>
      </c>
      <c r="AH442" s="65">
        <f>IFERROR(INDEX(tblParts[Delay days],MATCH(tblWorkPackages[[#This Row],[Work package ID]],tblParts[Work package ID],0)),0)</f>
        <v>0</v>
      </c>
      <c r="AI442" s="51" t="str">
        <f>IFERROR(INDEX(tblDisruptions[Event type],MATCH(tblWorkPackages[[#This Row],[Work package ID]],tblDisruptions[Work package ID],0)),"None")</f>
        <v>None</v>
      </c>
      <c r="AJ442" s="51" t="str">
        <f>TEXT(tblWorkPackages[[#This Row],[Due date serial]],"yyyy-mm")</f>
        <v>2024-02</v>
      </c>
    </row>
    <row r="443" spans="1:36" ht="15" x14ac:dyDescent="0.25">
      <c r="A443" s="53" t="s">
        <v>1224</v>
      </c>
      <c r="B443" s="53" t="s">
        <v>157</v>
      </c>
      <c r="C443" s="53" t="s">
        <v>636</v>
      </c>
      <c r="D443" s="53" t="s">
        <v>637</v>
      </c>
      <c r="E443" s="53" t="s">
        <v>127</v>
      </c>
      <c r="F443" s="53" t="s">
        <v>128</v>
      </c>
      <c r="G443" s="53" t="s">
        <v>129</v>
      </c>
      <c r="H443" s="53">
        <v>4</v>
      </c>
      <c r="I443" s="53" t="s">
        <v>147</v>
      </c>
      <c r="J443" s="53">
        <v>0</v>
      </c>
      <c r="K443" s="53">
        <v>1</v>
      </c>
      <c r="L443" s="53">
        <v>10.7</v>
      </c>
      <c r="M443" s="53" t="s">
        <v>1194</v>
      </c>
      <c r="N443" s="53">
        <v>13</v>
      </c>
      <c r="O443" s="51" t="str">
        <f>TEXT(tblWorkPackages[[#This Row],[Request date serial]]-WEEKDAY(tblWorkPackages[[#This Row],[Request date serial]],3),"yyyy-mm-dd")</f>
        <v>2025-10-06</v>
      </c>
      <c r="P443" s="51">
        <f>ABS(tblWorkPackages[[#This Row],[Actual labor hours]]-tblWorkPackages[[#This Row],[Estimated labor hours]])</f>
        <v>2.3</v>
      </c>
      <c r="Q443" s="51">
        <f>IF(tblWorkPackages[[#This Row],[Actual labor hours]]&gt;tblWorkPackages[[#This Row],[Estimated labor hours]],1,0)</f>
        <v>1</v>
      </c>
      <c r="R443" s="51">
        <f>tblWorkPackages[[#This Row],[Actual labor hours]]-tblWorkPackages[[#This Row],[Estimated labor hours]]</f>
        <v>2.3</v>
      </c>
      <c r="S443" s="51" t="str">
        <f>IF(tblWorkPackages[[#This Row],[Request date serial]]&lt;ValidationStart,"Train 2024",IF(tblWorkPackages[[#This Row],[Request date serial]]&lt;HoldoutStart,"Validation H1","Holdout H2"))</f>
        <v>Holdout H2</v>
      </c>
      <c r="T443" s="51">
        <f>IF(tblWorkPackages[[#This Row],[Time split]]="Train 2024","",tblWorkPackages[[#This Row],[Estimated labor hours]]+VLOOKUP(tblWorkPackages[[#This Row],[Task type]],'Forecast validation'!$A$14:$E$25,IF(tblWorkPackages[[#This Row],[Time split]]="Validation H1",4,5),FALSE()))</f>
        <v>11.2434108527132</v>
      </c>
      <c r="U443" s="51">
        <f>IF(tblWorkPackages[[#This Row],[Calibrated forecast hours]]="","",ABS(tblWorkPackages[[#This Row],[Actual labor hours]]-tblWorkPackages[[#This Row],[Calibrated forecast hours]]))</f>
        <v>1.75658914728682</v>
      </c>
      <c r="V443" s="51">
        <f>IF(tblWorkPackages[[#This Row],[Time split]]="Train 2024",tblWorkPackages[[#This Row],[Estimated labor hours]],tblWorkPackages[[#This Row],[Calibrated forecast hours]])</f>
        <v>11.2434108527132</v>
      </c>
      <c r="W443" s="64">
        <f>DATEVALUE(tblWorkPackages[[#This Row],[Request date]])</f>
        <v>45937.0</v>
      </c>
      <c r="X443" s="64">
        <f>DATEVALUE(tblWorkPackages[[#This Row],[Due date]])</f>
        <v>45939.0</v>
      </c>
      <c r="Y443" s="64">
        <f>DATEVALUE(tblWorkPackages[[#This Row],[Completion date]])</f>
        <v>45940.0</v>
      </c>
      <c r="Z443" s="64">
        <f>_xlfn.MINIFS(tblLaborEntries[Work date serial],tblLaborEntries[Work package ID],tblWorkPackages[[#This Row],[Work package ID]])</f>
        <v>45939.0</v>
      </c>
      <c r="AA443" s="64">
        <f>_xlfn.MAXIFS(tblLaborEntries[Work date serial],tblLaborEntries[Work package ID],tblWorkPackages[[#This Row],[Work package ID]])</f>
        <v>45939.0</v>
      </c>
      <c r="AB443" s="65">
        <f>IF(tblWorkPackages[[#This Row],[Completion date serial]]&gt;tblWorkPackages[[#This Row],[Due date serial]],1,0)</f>
        <v>1</v>
      </c>
      <c r="AC443" s="65">
        <f>MAX(0,tblWorkPackages[[#This Row],[Completion date serial]]-tblWorkPackages[[#This Row],[Due date serial]])</f>
        <v>1</v>
      </c>
      <c r="AD443" s="65">
        <f>tblWorkPackages[[#This Row],[First labor date]]-tblWorkPackages[[#This Row],[Request date serial]]</f>
        <v>2</v>
      </c>
      <c r="AE443" s="65">
        <f>tblWorkPackages[[#This Row],[Last labor date]]-tblWorkPackages[[#This Row],[First labor date]]</f>
        <v>0</v>
      </c>
      <c r="AF443" s="65">
        <f>tblWorkPackages[[#This Row],[Completion date serial]]-tblWorkPackages[[#This Row],[Last labor date]]</f>
        <v>1</v>
      </c>
      <c r="AG443" s="65">
        <f>tblWorkPackages[[#This Row],[Completion date serial]]-tblWorkPackages[[#This Row],[Request date serial]]</f>
        <v>3</v>
      </c>
      <c r="AH443" s="65">
        <f>IFERROR(INDEX(tblParts[Delay days],MATCH(tblWorkPackages[[#This Row],[Work package ID]],tblParts[Work package ID],0)),0)</f>
        <v>0</v>
      </c>
      <c r="AI443" s="51" t="str">
        <f>IFERROR(INDEX(tblDisruptions[Event type],MATCH(tblWorkPackages[[#This Row],[Work package ID]],tblDisruptions[Work package ID],0)),"None")</f>
        <v>None</v>
      </c>
      <c r="AJ443" s="51" t="str">
        <f>TEXT(tblWorkPackages[[#This Row],[Due date serial]],"yyyy-mm")</f>
        <v>2025-10</v>
      </c>
    </row>
    <row r="444" spans="1:36" ht="15" x14ac:dyDescent="0.25">
      <c r="A444" s="53" t="s">
        <v>1225</v>
      </c>
      <c r="B444" s="53" t="s">
        <v>250</v>
      </c>
      <c r="C444" s="53" t="s">
        <v>270</v>
      </c>
      <c r="D444" s="53" t="s">
        <v>1226</v>
      </c>
      <c r="E444" s="53" t="s">
        <v>200</v>
      </c>
      <c r="F444" s="53" t="s">
        <v>128</v>
      </c>
      <c r="G444" s="53" t="s">
        <v>129</v>
      </c>
      <c r="H444" s="53">
        <v>4</v>
      </c>
      <c r="I444" s="53" t="s">
        <v>147</v>
      </c>
      <c r="J444" s="53">
        <v>0</v>
      </c>
      <c r="K444" s="53">
        <v>1</v>
      </c>
      <c r="L444" s="53">
        <v>6.2</v>
      </c>
      <c r="M444" s="53" t="s">
        <v>409</v>
      </c>
      <c r="N444" s="53">
        <v>6.7</v>
      </c>
      <c r="O444" s="51" t="str">
        <f>TEXT(tblWorkPackages[[#This Row],[Request date serial]]-WEEKDAY(tblWorkPackages[[#This Row],[Request date serial]],3),"yyyy-mm-dd")</f>
        <v>2025-03-31</v>
      </c>
      <c r="P444" s="51">
        <f>ABS(tblWorkPackages[[#This Row],[Actual labor hours]]-tblWorkPackages[[#This Row],[Estimated labor hours]])</f>
        <v>0.5</v>
      </c>
      <c r="Q444" s="51">
        <f>IF(tblWorkPackages[[#This Row],[Actual labor hours]]&gt;tblWorkPackages[[#This Row],[Estimated labor hours]],1,0)</f>
        <v>1</v>
      </c>
      <c r="R444" s="51">
        <f>tblWorkPackages[[#This Row],[Actual labor hours]]-tblWorkPackages[[#This Row],[Estimated labor hours]]</f>
        <v>0.5</v>
      </c>
      <c r="S444" s="51" t="str">
        <f>IF(tblWorkPackages[[#This Row],[Request date serial]]&lt;ValidationStart,"Train 2024",IF(tblWorkPackages[[#This Row],[Request date serial]]&lt;HoldoutStart,"Validation H1","Holdout H2"))</f>
        <v>Validation H1</v>
      </c>
      <c r="T444" s="51">
        <f>IF(tblWorkPackages[[#This Row],[Time split]]="Train 2024","",tblWorkPackages[[#This Row],[Estimated labor hours]]+VLOOKUP(tblWorkPackages[[#This Row],[Task type]],'Forecast validation'!$A$14:$E$25,IF(tblWorkPackages[[#This Row],[Time split]]="Validation H1",4,5),FALSE()))</f>
        <v>6.53069306930693</v>
      </c>
      <c r="U444" s="51">
        <f>IF(tblWorkPackages[[#This Row],[Calibrated forecast hours]]="","",ABS(tblWorkPackages[[#This Row],[Actual labor hours]]-tblWorkPackages[[#This Row],[Calibrated forecast hours]]))</f>
        <v>0.169306930693069</v>
      </c>
      <c r="V444" s="51">
        <f>IF(tblWorkPackages[[#This Row],[Time split]]="Train 2024",tblWorkPackages[[#This Row],[Estimated labor hours]],tblWorkPackages[[#This Row],[Calibrated forecast hours]])</f>
        <v>6.53069306930693</v>
      </c>
      <c r="W444" s="64">
        <f>DATEVALUE(tblWorkPackages[[#This Row],[Request date]])</f>
        <v>45748.0</v>
      </c>
      <c r="X444" s="64">
        <f>DATEVALUE(tblWorkPackages[[#This Row],[Due date]])</f>
        <v>45750.0</v>
      </c>
      <c r="Y444" s="64">
        <f>DATEVALUE(tblWorkPackages[[#This Row],[Completion date]])</f>
        <v>45772.0</v>
      </c>
      <c r="Z444" s="64">
        <f>_xlfn.MINIFS(tblLaborEntries[Work date serial],tblLaborEntries[Work package ID],tblWorkPackages[[#This Row],[Work package ID]])</f>
        <v>45769.0</v>
      </c>
      <c r="AA444" s="64">
        <f>_xlfn.MAXIFS(tblLaborEntries[Work date serial],tblLaborEntries[Work package ID],tblWorkPackages[[#This Row],[Work package ID]])</f>
        <v>45770.0</v>
      </c>
      <c r="AB444" s="65">
        <f>IF(tblWorkPackages[[#This Row],[Completion date serial]]&gt;tblWorkPackages[[#This Row],[Due date serial]],1,0)</f>
        <v>1</v>
      </c>
      <c r="AC444" s="65">
        <f>MAX(0,tblWorkPackages[[#This Row],[Completion date serial]]-tblWorkPackages[[#This Row],[Due date serial]])</f>
        <v>22</v>
      </c>
      <c r="AD444" s="65">
        <f>tblWorkPackages[[#This Row],[First labor date]]-tblWorkPackages[[#This Row],[Request date serial]]</f>
        <v>21</v>
      </c>
      <c r="AE444" s="65">
        <f>tblWorkPackages[[#This Row],[Last labor date]]-tblWorkPackages[[#This Row],[First labor date]]</f>
        <v>1</v>
      </c>
      <c r="AF444" s="65">
        <f>tblWorkPackages[[#This Row],[Completion date serial]]-tblWorkPackages[[#This Row],[Last labor date]]</f>
        <v>2</v>
      </c>
      <c r="AG444" s="65">
        <f>tblWorkPackages[[#This Row],[Completion date serial]]-tblWorkPackages[[#This Row],[Request date serial]]</f>
        <v>24</v>
      </c>
      <c r="AH444" s="65">
        <f>IFERROR(INDEX(tblParts[Delay days],MATCH(tblWorkPackages[[#This Row],[Work package ID]],tblParts[Work package ID],0)),0)</f>
        <v>6</v>
      </c>
      <c r="AI444" s="51" t="str">
        <f>IFERROR(INDEX(tblDisruptions[Event type],MATCH(tblWorkPackages[[#This Row],[Work package ID]],tblDisruptions[Work package ID],0)),"None")</f>
        <v>Part delay</v>
      </c>
      <c r="AJ444" s="51" t="str">
        <f>TEXT(tblWorkPackages[[#This Row],[Due date serial]],"yyyy-mm")</f>
        <v>2025-04</v>
      </c>
    </row>
    <row r="445" spans="1:36" ht="15" x14ac:dyDescent="0.25">
      <c r="A445" s="53" t="s">
        <v>1227</v>
      </c>
      <c r="B445" s="53" t="s">
        <v>287</v>
      </c>
      <c r="C445" s="53" t="s">
        <v>1058</v>
      </c>
      <c r="D445" s="53" t="s">
        <v>383</v>
      </c>
      <c r="E445" s="53" t="s">
        <v>223</v>
      </c>
      <c r="F445" s="53" t="s">
        <v>182</v>
      </c>
      <c r="G445" s="53" t="s">
        <v>154</v>
      </c>
      <c r="H445" s="53">
        <v>2</v>
      </c>
      <c r="I445" s="53" t="s">
        <v>130</v>
      </c>
      <c r="J445" s="53">
        <v>0</v>
      </c>
      <c r="K445" s="53">
        <v>1</v>
      </c>
      <c r="L445" s="53">
        <v>12.6</v>
      </c>
      <c r="M445" s="53" t="s">
        <v>504</v>
      </c>
      <c r="N445" s="53">
        <v>13.6</v>
      </c>
      <c r="O445" s="51" t="str">
        <f>TEXT(tblWorkPackages[[#This Row],[Request date serial]]-WEEKDAY(tblWorkPackages[[#This Row],[Request date serial]],3),"yyyy-mm-dd")</f>
        <v>2025-01-20</v>
      </c>
      <c r="P445" s="51">
        <f>ABS(tblWorkPackages[[#This Row],[Actual labor hours]]-tblWorkPackages[[#This Row],[Estimated labor hours]])</f>
        <v>1</v>
      </c>
      <c r="Q445" s="51">
        <f>IF(tblWorkPackages[[#This Row],[Actual labor hours]]&gt;tblWorkPackages[[#This Row],[Estimated labor hours]],1,0)</f>
        <v>1</v>
      </c>
      <c r="R445" s="51">
        <f>tblWorkPackages[[#This Row],[Actual labor hours]]-tblWorkPackages[[#This Row],[Estimated labor hours]]</f>
        <v>1</v>
      </c>
      <c r="S445" s="51" t="str">
        <f>IF(tblWorkPackages[[#This Row],[Request date serial]]&lt;ValidationStart,"Train 2024",IF(tblWorkPackages[[#This Row],[Request date serial]]&lt;HoldoutStart,"Validation H1","Holdout H2"))</f>
        <v>Validation H1</v>
      </c>
      <c r="T445" s="51">
        <f>IF(tblWorkPackages[[#This Row],[Time split]]="Train 2024","",tblWorkPackages[[#This Row],[Estimated labor hours]]+VLOOKUP(tblWorkPackages[[#This Row],[Task type]],'Forecast validation'!$A$14:$E$25,IF(tblWorkPackages[[#This Row],[Time split]]="Validation H1",4,5),FALSE()))</f>
        <v>13.4824175824176</v>
      </c>
      <c r="U445" s="51">
        <f>IF(tblWorkPackages[[#This Row],[Calibrated forecast hours]]="","",ABS(tblWorkPackages[[#This Row],[Actual labor hours]]-tblWorkPackages[[#This Row],[Calibrated forecast hours]]))</f>
        <v>0.117582417582417</v>
      </c>
      <c r="V445" s="51">
        <f>IF(tblWorkPackages[[#This Row],[Time split]]="Train 2024",tblWorkPackages[[#This Row],[Estimated labor hours]],tblWorkPackages[[#This Row],[Calibrated forecast hours]])</f>
        <v>13.4824175824176</v>
      </c>
      <c r="W445" s="64">
        <f>DATEVALUE(tblWorkPackages[[#This Row],[Request date]])</f>
        <v>45680.0</v>
      </c>
      <c r="X445" s="64">
        <f>DATEVALUE(tblWorkPackages[[#This Row],[Due date]])</f>
        <v>45693.0</v>
      </c>
      <c r="Y445" s="64">
        <f>DATEVALUE(tblWorkPackages[[#This Row],[Completion date]])</f>
        <v>45689.0</v>
      </c>
      <c r="Z445" s="64">
        <f>_xlfn.MINIFS(tblLaborEntries[Work date serial],tblLaborEntries[Work package ID],tblWorkPackages[[#This Row],[Work package ID]])</f>
        <v>45684.0</v>
      </c>
      <c r="AA445" s="64">
        <f>_xlfn.MAXIFS(tblLaborEntries[Work date serial],tblLaborEntries[Work package ID],tblWorkPackages[[#This Row],[Work package ID]])</f>
        <v>45686.0</v>
      </c>
      <c r="AB445" s="65">
        <f>IF(tblWorkPackages[[#This Row],[Completion date serial]]&gt;tblWorkPackages[[#This Row],[Due date serial]],1,0)</f>
        <v>0</v>
      </c>
      <c r="AC445" s="65">
        <f>MAX(0,tblWorkPackages[[#This Row],[Completion date serial]]-tblWorkPackages[[#This Row],[Due date serial]])</f>
        <v>0</v>
      </c>
      <c r="AD445" s="65">
        <f>tblWorkPackages[[#This Row],[First labor date]]-tblWorkPackages[[#This Row],[Request date serial]]</f>
        <v>4</v>
      </c>
      <c r="AE445" s="65">
        <f>tblWorkPackages[[#This Row],[Last labor date]]-tblWorkPackages[[#This Row],[First labor date]]</f>
        <v>2</v>
      </c>
      <c r="AF445" s="65">
        <f>tblWorkPackages[[#This Row],[Completion date serial]]-tblWorkPackages[[#This Row],[Last labor date]]</f>
        <v>3</v>
      </c>
      <c r="AG445" s="65">
        <f>tblWorkPackages[[#This Row],[Completion date serial]]-tblWorkPackages[[#This Row],[Request date serial]]</f>
        <v>9</v>
      </c>
      <c r="AH445" s="65">
        <f>IFERROR(INDEX(tblParts[Delay days],MATCH(tblWorkPackages[[#This Row],[Work package ID]],tblParts[Work package ID],0)),0)</f>
        <v>0</v>
      </c>
      <c r="AI445" s="51" t="str">
        <f>IFERROR(INDEX(tblDisruptions[Event type],MATCH(tblWorkPackages[[#This Row],[Work package ID]],tblDisruptions[Work package ID],0)),"None")</f>
        <v>None</v>
      </c>
      <c r="AJ445" s="51" t="str">
        <f>TEXT(tblWorkPackages[[#This Row],[Due date serial]],"yyyy-mm")</f>
        <v>2025-02</v>
      </c>
    </row>
    <row r="446" spans="1:36" ht="15" x14ac:dyDescent="0.25">
      <c r="A446" s="53" t="s">
        <v>1228</v>
      </c>
      <c r="B446" s="53" t="s">
        <v>168</v>
      </c>
      <c r="C446" s="53" t="s">
        <v>256</v>
      </c>
      <c r="D446" s="53" t="s">
        <v>776</v>
      </c>
      <c r="E446" s="53" t="s">
        <v>237</v>
      </c>
      <c r="F446" s="53" t="s">
        <v>182</v>
      </c>
      <c r="G446" s="53" t="s">
        <v>138</v>
      </c>
      <c r="H446" s="53">
        <v>2</v>
      </c>
      <c r="I446" s="53" t="s">
        <v>147</v>
      </c>
      <c r="J446" s="53">
        <v>0</v>
      </c>
      <c r="K446" s="53">
        <v>0</v>
      </c>
      <c r="L446" s="53">
        <v>5</v>
      </c>
      <c r="M446" s="53" t="s">
        <v>556</v>
      </c>
      <c r="N446" s="53">
        <v>4.0999999999999996</v>
      </c>
      <c r="O446" s="51" t="str">
        <f>TEXT(tblWorkPackages[[#This Row],[Request date serial]]-WEEKDAY(tblWorkPackages[[#This Row],[Request date serial]],3),"yyyy-mm-dd")</f>
        <v>2024-12-02</v>
      </c>
      <c r="P446" s="51">
        <f>ABS(tblWorkPackages[[#This Row],[Actual labor hours]]-tblWorkPackages[[#This Row],[Estimated labor hours]])</f>
        <v>0.9</v>
      </c>
      <c r="Q446" s="51">
        <f>IF(tblWorkPackages[[#This Row],[Actual labor hours]]&gt;tblWorkPackages[[#This Row],[Estimated labor hours]],1,0)</f>
        <v>0</v>
      </c>
      <c r="R446" s="51">
        <f>tblWorkPackages[[#This Row],[Actual labor hours]]-tblWorkPackages[[#This Row],[Estimated labor hours]]</f>
        <v>-0.9</v>
      </c>
      <c r="S446" s="51" t="str">
        <f>IF(tblWorkPackages[[#This Row],[Request date serial]]&lt;ValidationStart,"Train 2024",IF(tblWorkPackages[[#This Row],[Request date serial]]&lt;HoldoutStart,"Validation H1","Holdout H2"))</f>
        <v>Train 2024</v>
      </c>
      <c r="T446" s="51" t="str">
        <f>IF(tblWorkPackages[[#This Row],[Time split]]="Train 2024","",tblWorkPackages[[#This Row],[Estimated labor hours]]+VLOOKUP(tblWorkPackages[[#This Row],[Task type]],'Forecast validation'!$A$14:$E$25,IF(tblWorkPackages[[#This Row],[Time split]]="Validation H1",4,5),FALSE()))</f>
        <v/>
      </c>
      <c r="U446" s="51" t="str">
        <f>IF(tblWorkPackages[[#This Row],[Calibrated forecast hours]]="","",ABS(tblWorkPackages[[#This Row],[Actual labor hours]]-tblWorkPackages[[#This Row],[Calibrated forecast hours]]))</f>
        <v/>
      </c>
      <c r="V446" s="51">
        <f>IF(tblWorkPackages[[#This Row],[Time split]]="Train 2024",tblWorkPackages[[#This Row],[Estimated labor hours]],tblWorkPackages[[#This Row],[Calibrated forecast hours]])</f>
        <v>5</v>
      </c>
      <c r="W446" s="64">
        <f>DATEVALUE(tblWorkPackages[[#This Row],[Request date]])</f>
        <v>45634.0</v>
      </c>
      <c r="X446" s="64">
        <f>DATEVALUE(tblWorkPackages[[#This Row],[Due date]])</f>
        <v>45636.0</v>
      </c>
      <c r="Y446" s="64">
        <f>DATEVALUE(tblWorkPackages[[#This Row],[Completion date]])</f>
        <v>45635.0</v>
      </c>
      <c r="Z446" s="64">
        <f>_xlfn.MINIFS(tblLaborEntries[Work date serial],tblLaborEntries[Work package ID],tblWorkPackages[[#This Row],[Work package ID]])</f>
        <v>45635.0</v>
      </c>
      <c r="AA446" s="64">
        <f>_xlfn.MAXIFS(tblLaborEntries[Work date serial],tblLaborEntries[Work package ID],tblWorkPackages[[#This Row],[Work package ID]])</f>
        <v>45635.0</v>
      </c>
      <c r="AB446" s="65">
        <f>IF(tblWorkPackages[[#This Row],[Completion date serial]]&gt;tblWorkPackages[[#This Row],[Due date serial]],1,0)</f>
        <v>0</v>
      </c>
      <c r="AC446" s="65">
        <f>MAX(0,tblWorkPackages[[#This Row],[Completion date serial]]-tblWorkPackages[[#This Row],[Due date serial]])</f>
        <v>0</v>
      </c>
      <c r="AD446" s="65">
        <f>tblWorkPackages[[#This Row],[First labor date]]-tblWorkPackages[[#This Row],[Request date serial]]</f>
        <v>1</v>
      </c>
      <c r="AE446" s="65">
        <f>tblWorkPackages[[#This Row],[Last labor date]]-tblWorkPackages[[#This Row],[First labor date]]</f>
        <v>0</v>
      </c>
      <c r="AF446" s="65">
        <f>tblWorkPackages[[#This Row],[Completion date serial]]-tblWorkPackages[[#This Row],[Last labor date]]</f>
        <v>0</v>
      </c>
      <c r="AG446" s="65">
        <f>tblWorkPackages[[#This Row],[Completion date serial]]-tblWorkPackages[[#This Row],[Request date serial]]</f>
        <v>1</v>
      </c>
      <c r="AH446" s="65">
        <f>IFERROR(INDEX(tblParts[Delay days],MATCH(tblWorkPackages[[#This Row],[Work package ID]],tblParts[Work package ID],0)),0)</f>
        <v>0</v>
      </c>
      <c r="AI446" s="51" t="str">
        <f>IFERROR(INDEX(tblDisruptions[Event type],MATCH(tblWorkPackages[[#This Row],[Work package ID]],tblDisruptions[Work package ID],0)),"None")</f>
        <v>None</v>
      </c>
      <c r="AJ446" s="51" t="str">
        <f>TEXT(tblWorkPackages[[#This Row],[Due date serial]],"yyyy-mm")</f>
        <v>2024-12</v>
      </c>
    </row>
    <row r="447" spans="1:36" ht="15" x14ac:dyDescent="0.25">
      <c r="A447" s="53" t="s">
        <v>1229</v>
      </c>
      <c r="B447" s="53" t="s">
        <v>173</v>
      </c>
      <c r="C447" s="53" t="s">
        <v>535</v>
      </c>
      <c r="D447" s="53" t="s">
        <v>1230</v>
      </c>
      <c r="E447" s="53" t="s">
        <v>272</v>
      </c>
      <c r="F447" s="53" t="s">
        <v>145</v>
      </c>
      <c r="G447" s="53" t="s">
        <v>273</v>
      </c>
      <c r="H447" s="53">
        <v>2</v>
      </c>
      <c r="I447" s="53" t="s">
        <v>130</v>
      </c>
      <c r="J447" s="53">
        <v>0</v>
      </c>
      <c r="K447" s="53">
        <v>0</v>
      </c>
      <c r="L447" s="53">
        <v>9.8000000000000007</v>
      </c>
      <c r="M447" s="53" t="s">
        <v>244</v>
      </c>
      <c r="N447" s="53">
        <v>9.3000000000000007</v>
      </c>
      <c r="O447" s="51" t="str">
        <f>TEXT(tblWorkPackages[[#This Row],[Request date serial]]-WEEKDAY(tblWorkPackages[[#This Row],[Request date serial]],3),"yyyy-mm-dd")</f>
        <v>2024-11-04</v>
      </c>
      <c r="P447" s="51">
        <f>ABS(tblWorkPackages[[#This Row],[Actual labor hours]]-tblWorkPackages[[#This Row],[Estimated labor hours]])</f>
        <v>0.5</v>
      </c>
      <c r="Q447" s="51">
        <f>IF(tblWorkPackages[[#This Row],[Actual labor hours]]&gt;tblWorkPackages[[#This Row],[Estimated labor hours]],1,0)</f>
        <v>0</v>
      </c>
      <c r="R447" s="51">
        <f>tblWorkPackages[[#This Row],[Actual labor hours]]-tblWorkPackages[[#This Row],[Estimated labor hours]]</f>
        <v>-0.5</v>
      </c>
      <c r="S447" s="51" t="str">
        <f>IF(tblWorkPackages[[#This Row],[Request date serial]]&lt;ValidationStart,"Train 2024",IF(tblWorkPackages[[#This Row],[Request date serial]]&lt;HoldoutStart,"Validation H1","Holdout H2"))</f>
        <v>Train 2024</v>
      </c>
      <c r="T447" s="51" t="str">
        <f>IF(tblWorkPackages[[#This Row],[Time split]]="Train 2024","",tblWorkPackages[[#This Row],[Estimated labor hours]]+VLOOKUP(tblWorkPackages[[#This Row],[Task type]],'Forecast validation'!$A$14:$E$25,IF(tblWorkPackages[[#This Row],[Time split]]="Validation H1",4,5),FALSE()))</f>
        <v/>
      </c>
      <c r="U447" s="51" t="str">
        <f>IF(tblWorkPackages[[#This Row],[Calibrated forecast hours]]="","",ABS(tblWorkPackages[[#This Row],[Actual labor hours]]-tblWorkPackages[[#This Row],[Calibrated forecast hours]]))</f>
        <v/>
      </c>
      <c r="V447" s="51">
        <f>IF(tblWorkPackages[[#This Row],[Time split]]="Train 2024",tblWorkPackages[[#This Row],[Estimated labor hours]],tblWorkPackages[[#This Row],[Calibrated forecast hours]])</f>
        <v>9.8</v>
      </c>
      <c r="W447" s="64">
        <f>DATEVALUE(tblWorkPackages[[#This Row],[Request date]])</f>
        <v>45602.0</v>
      </c>
      <c r="X447" s="64">
        <f>DATEVALUE(tblWorkPackages[[#This Row],[Due date]])</f>
        <v>45615.0</v>
      </c>
      <c r="Y447" s="64">
        <f>DATEVALUE(tblWorkPackages[[#This Row],[Completion date]])</f>
        <v>45614.0</v>
      </c>
      <c r="Z447" s="64">
        <f>_xlfn.MINIFS(tblLaborEntries[Work date serial],tblLaborEntries[Work package ID],tblWorkPackages[[#This Row],[Work package ID]])</f>
        <v>45612.0</v>
      </c>
      <c r="AA447" s="64">
        <f>_xlfn.MAXIFS(tblLaborEntries[Work date serial],tblLaborEntries[Work package ID],tblWorkPackages[[#This Row],[Work package ID]])</f>
        <v>45613.0</v>
      </c>
      <c r="AB447" s="65">
        <f>IF(tblWorkPackages[[#This Row],[Completion date serial]]&gt;tblWorkPackages[[#This Row],[Due date serial]],1,0)</f>
        <v>0</v>
      </c>
      <c r="AC447" s="65">
        <f>MAX(0,tblWorkPackages[[#This Row],[Completion date serial]]-tblWorkPackages[[#This Row],[Due date serial]])</f>
        <v>0</v>
      </c>
      <c r="AD447" s="65">
        <f>tblWorkPackages[[#This Row],[First labor date]]-tblWorkPackages[[#This Row],[Request date serial]]</f>
        <v>10</v>
      </c>
      <c r="AE447" s="65">
        <f>tblWorkPackages[[#This Row],[Last labor date]]-tblWorkPackages[[#This Row],[First labor date]]</f>
        <v>1</v>
      </c>
      <c r="AF447" s="65">
        <f>tblWorkPackages[[#This Row],[Completion date serial]]-tblWorkPackages[[#This Row],[Last labor date]]</f>
        <v>1</v>
      </c>
      <c r="AG447" s="65">
        <f>tblWorkPackages[[#This Row],[Completion date serial]]-tblWorkPackages[[#This Row],[Request date serial]]</f>
        <v>12</v>
      </c>
      <c r="AH447" s="65">
        <f>IFERROR(INDEX(tblParts[Delay days],MATCH(tblWorkPackages[[#This Row],[Work package ID]],tblParts[Work package ID],0)),0)</f>
        <v>0</v>
      </c>
      <c r="AI447" s="51" t="str">
        <f>IFERROR(INDEX(tblDisruptions[Event type],MATCH(tblWorkPackages[[#This Row],[Work package ID]],tblDisruptions[Work package ID],0)),"None")</f>
        <v>None</v>
      </c>
      <c r="AJ447" s="51" t="str">
        <f>TEXT(tblWorkPackages[[#This Row],[Due date serial]],"yyyy-mm")</f>
        <v>2024-11</v>
      </c>
    </row>
    <row r="448" spans="1:36" ht="15" x14ac:dyDescent="0.25">
      <c r="A448" s="53" t="s">
        <v>1231</v>
      </c>
      <c r="B448" s="53" t="s">
        <v>235</v>
      </c>
      <c r="C448" s="53" t="s">
        <v>326</v>
      </c>
      <c r="D448" s="53" t="s">
        <v>1028</v>
      </c>
      <c r="E448" s="53" t="s">
        <v>223</v>
      </c>
      <c r="F448" s="53" t="s">
        <v>182</v>
      </c>
      <c r="G448" s="53" t="s">
        <v>154</v>
      </c>
      <c r="H448" s="53">
        <v>1</v>
      </c>
      <c r="I448" s="53" t="s">
        <v>176</v>
      </c>
      <c r="J448" s="53">
        <v>0</v>
      </c>
      <c r="K448" s="53">
        <v>0</v>
      </c>
      <c r="L448" s="53">
        <v>7.2</v>
      </c>
      <c r="M448" s="53" t="s">
        <v>498</v>
      </c>
      <c r="N448" s="53">
        <v>7.8</v>
      </c>
      <c r="O448" s="51" t="str">
        <f>TEXT(tblWorkPackages[[#This Row],[Request date serial]]-WEEKDAY(tblWorkPackages[[#This Row],[Request date serial]],3),"yyyy-mm-dd")</f>
        <v>2025-11-10</v>
      </c>
      <c r="P448" s="51">
        <f>ABS(tblWorkPackages[[#This Row],[Actual labor hours]]-tblWorkPackages[[#This Row],[Estimated labor hours]])</f>
        <v>0.6</v>
      </c>
      <c r="Q448" s="51">
        <f>IF(tblWorkPackages[[#This Row],[Actual labor hours]]&gt;tblWorkPackages[[#This Row],[Estimated labor hours]],1,0)</f>
        <v>1</v>
      </c>
      <c r="R448" s="51">
        <f>tblWorkPackages[[#This Row],[Actual labor hours]]-tblWorkPackages[[#This Row],[Estimated labor hours]]</f>
        <v>0.6</v>
      </c>
      <c r="S448" s="51" t="str">
        <f>IF(tblWorkPackages[[#This Row],[Request date serial]]&lt;ValidationStart,"Train 2024",IF(tblWorkPackages[[#This Row],[Request date serial]]&lt;HoldoutStart,"Validation H1","Holdout H2"))</f>
        <v>Holdout H2</v>
      </c>
      <c r="T448" s="51">
        <f>IF(tblWorkPackages[[#This Row],[Time split]]="Train 2024","",tblWorkPackages[[#This Row],[Estimated labor hours]]+VLOOKUP(tblWorkPackages[[#This Row],[Task type]],'Forecast validation'!$A$14:$E$25,IF(tblWorkPackages[[#This Row],[Time split]]="Validation H1",4,5),FALSE()))</f>
        <v>8.12465753424658</v>
      </c>
      <c r="U448" s="51">
        <f>IF(tblWorkPackages[[#This Row],[Calibrated forecast hours]]="","",ABS(tblWorkPackages[[#This Row],[Actual labor hours]]-tblWorkPackages[[#This Row],[Calibrated forecast hours]]))</f>
        <v>0.324657534246575</v>
      </c>
      <c r="V448" s="51">
        <f>IF(tblWorkPackages[[#This Row],[Time split]]="Train 2024",tblWorkPackages[[#This Row],[Estimated labor hours]],tblWorkPackages[[#This Row],[Calibrated forecast hours]])</f>
        <v>8.12465753424658</v>
      </c>
      <c r="W448" s="64">
        <f>DATEVALUE(tblWorkPackages[[#This Row],[Request date]])</f>
        <v>45975.0</v>
      </c>
      <c r="X448" s="64">
        <f>DATEVALUE(tblWorkPackages[[#This Row],[Due date]])</f>
        <v>45981.0</v>
      </c>
      <c r="Y448" s="64">
        <f>DATEVALUE(tblWorkPackages[[#This Row],[Completion date]])</f>
        <v>45982.0</v>
      </c>
      <c r="Z448" s="64">
        <f>_xlfn.MINIFS(tblLaborEntries[Work date serial],tblLaborEntries[Work package ID],tblWorkPackages[[#This Row],[Work package ID]])</f>
        <v>45978.0</v>
      </c>
      <c r="AA448" s="64">
        <f>_xlfn.MAXIFS(tblLaborEntries[Work date serial],tblLaborEntries[Work package ID],tblWorkPackages[[#This Row],[Work package ID]])</f>
        <v>45980.0</v>
      </c>
      <c r="AB448" s="65">
        <f>IF(tblWorkPackages[[#This Row],[Completion date serial]]&gt;tblWorkPackages[[#This Row],[Due date serial]],1,0)</f>
        <v>1</v>
      </c>
      <c r="AC448" s="65">
        <f>MAX(0,tblWorkPackages[[#This Row],[Completion date serial]]-tblWorkPackages[[#This Row],[Due date serial]])</f>
        <v>1</v>
      </c>
      <c r="AD448" s="65">
        <f>tblWorkPackages[[#This Row],[First labor date]]-tblWorkPackages[[#This Row],[Request date serial]]</f>
        <v>3</v>
      </c>
      <c r="AE448" s="65">
        <f>tblWorkPackages[[#This Row],[Last labor date]]-tblWorkPackages[[#This Row],[First labor date]]</f>
        <v>2</v>
      </c>
      <c r="AF448" s="65">
        <f>tblWorkPackages[[#This Row],[Completion date serial]]-tblWorkPackages[[#This Row],[Last labor date]]</f>
        <v>2</v>
      </c>
      <c r="AG448" s="65">
        <f>tblWorkPackages[[#This Row],[Completion date serial]]-tblWorkPackages[[#This Row],[Request date serial]]</f>
        <v>7</v>
      </c>
      <c r="AH448" s="65">
        <f>IFERROR(INDEX(tblParts[Delay days],MATCH(tblWorkPackages[[#This Row],[Work package ID]],tblParts[Work package ID],0)),0)</f>
        <v>0</v>
      </c>
      <c r="AI448" s="51" t="str">
        <f>IFERROR(INDEX(tblDisruptions[Event type],MATCH(tblWorkPackages[[#This Row],[Work package ID]],tblDisruptions[Work package ID],0)),"None")</f>
        <v>None</v>
      </c>
      <c r="AJ448" s="51" t="str">
        <f>TEXT(tblWorkPackages[[#This Row],[Due date serial]],"yyyy-mm")</f>
        <v>2025-11</v>
      </c>
    </row>
    <row r="449" spans="1:36" ht="15" x14ac:dyDescent="0.25">
      <c r="A449" s="53" t="s">
        <v>1232</v>
      </c>
      <c r="B449" s="53" t="s">
        <v>287</v>
      </c>
      <c r="C449" s="53" t="s">
        <v>1233</v>
      </c>
      <c r="D449" s="53" t="s">
        <v>1234</v>
      </c>
      <c r="E449" s="53" t="s">
        <v>160</v>
      </c>
      <c r="F449" s="53" t="s">
        <v>128</v>
      </c>
      <c r="G449" s="53" t="s">
        <v>138</v>
      </c>
      <c r="H449" s="53">
        <v>4</v>
      </c>
      <c r="I449" s="53" t="s">
        <v>176</v>
      </c>
      <c r="J449" s="53">
        <v>0</v>
      </c>
      <c r="K449" s="53">
        <v>0</v>
      </c>
      <c r="L449" s="53">
        <v>8.6</v>
      </c>
      <c r="M449" s="53" t="s">
        <v>583</v>
      </c>
      <c r="N449" s="53">
        <v>9.6999999999999993</v>
      </c>
      <c r="O449" s="51" t="str">
        <f>TEXT(tblWorkPackages[[#This Row],[Request date serial]]-WEEKDAY(tblWorkPackages[[#This Row],[Request date serial]],3),"yyyy-mm-dd")</f>
        <v>2025-07-14</v>
      </c>
      <c r="P449" s="51">
        <f>ABS(tblWorkPackages[[#This Row],[Actual labor hours]]-tblWorkPackages[[#This Row],[Estimated labor hours]])</f>
        <v>1.1</v>
      </c>
      <c r="Q449" s="51">
        <f>IF(tblWorkPackages[[#This Row],[Actual labor hours]]&gt;tblWorkPackages[[#This Row],[Estimated labor hours]],1,0)</f>
        <v>1</v>
      </c>
      <c r="R449" s="51">
        <f>tblWorkPackages[[#This Row],[Actual labor hours]]-tblWorkPackages[[#This Row],[Estimated labor hours]]</f>
        <v>1.1</v>
      </c>
      <c r="S449" s="51" t="str">
        <f>IF(tblWorkPackages[[#This Row],[Request date serial]]&lt;ValidationStart,"Train 2024",IF(tblWorkPackages[[#This Row],[Request date serial]]&lt;HoldoutStart,"Validation H1","Holdout H2"))</f>
        <v>Holdout H2</v>
      </c>
      <c r="T449" s="51">
        <f>IF(tblWorkPackages[[#This Row],[Time split]]="Train 2024","",tblWorkPackages[[#This Row],[Estimated labor hours]]+VLOOKUP(tblWorkPackages[[#This Row],[Task type]],'Forecast validation'!$A$14:$E$25,IF(tblWorkPackages[[#This Row],[Time split]]="Validation H1",4,5),FALSE()))</f>
        <v>9.03739837398374</v>
      </c>
      <c r="U449" s="51">
        <f>IF(tblWorkPackages[[#This Row],[Calibrated forecast hours]]="","",ABS(tblWorkPackages[[#This Row],[Actual labor hours]]-tblWorkPackages[[#This Row],[Calibrated forecast hours]]))</f>
        <v>0.66260162601626</v>
      </c>
      <c r="V449" s="51">
        <f>IF(tblWorkPackages[[#This Row],[Time split]]="Train 2024",tblWorkPackages[[#This Row],[Estimated labor hours]],tblWorkPackages[[#This Row],[Calibrated forecast hours]])</f>
        <v>9.03739837398374</v>
      </c>
      <c r="W449" s="64">
        <f>DATEVALUE(tblWorkPackages[[#This Row],[Request date]])</f>
        <v>45853.0</v>
      </c>
      <c r="X449" s="64">
        <f>DATEVALUE(tblWorkPackages[[#This Row],[Due date]])</f>
        <v>45859.0</v>
      </c>
      <c r="Y449" s="64">
        <f>DATEVALUE(tblWorkPackages[[#This Row],[Completion date]])</f>
        <v>45885.0</v>
      </c>
      <c r="Z449" s="64">
        <f>_xlfn.MINIFS(tblLaborEntries[Work date serial],tblLaborEntries[Work package ID],tblWorkPackages[[#This Row],[Work package ID]])</f>
        <v>45880.0</v>
      </c>
      <c r="AA449" s="64">
        <f>_xlfn.MAXIFS(tblLaborEntries[Work date serial],tblLaborEntries[Work package ID],tblWorkPackages[[#This Row],[Work package ID]])</f>
        <v>45882.0</v>
      </c>
      <c r="AB449" s="65">
        <f>IF(tblWorkPackages[[#This Row],[Completion date serial]]&gt;tblWorkPackages[[#This Row],[Due date serial]],1,0)</f>
        <v>1</v>
      </c>
      <c r="AC449" s="65">
        <f>MAX(0,tblWorkPackages[[#This Row],[Completion date serial]]-tblWorkPackages[[#This Row],[Due date serial]])</f>
        <v>26</v>
      </c>
      <c r="AD449" s="65">
        <f>tblWorkPackages[[#This Row],[First labor date]]-tblWorkPackages[[#This Row],[Request date serial]]</f>
        <v>27</v>
      </c>
      <c r="AE449" s="65">
        <f>tblWorkPackages[[#This Row],[Last labor date]]-tblWorkPackages[[#This Row],[First labor date]]</f>
        <v>2</v>
      </c>
      <c r="AF449" s="65">
        <f>tblWorkPackages[[#This Row],[Completion date serial]]-tblWorkPackages[[#This Row],[Last labor date]]</f>
        <v>3</v>
      </c>
      <c r="AG449" s="65">
        <f>tblWorkPackages[[#This Row],[Completion date serial]]-tblWorkPackages[[#This Row],[Request date serial]]</f>
        <v>32</v>
      </c>
      <c r="AH449" s="65">
        <f>IFERROR(INDEX(tblParts[Delay days],MATCH(tblWorkPackages[[#This Row],[Work package ID]],tblParts[Work package ID],0)),0)</f>
        <v>0</v>
      </c>
      <c r="AI449" s="51" t="str">
        <f>IFERROR(INDEX(tblDisruptions[Event type],MATCH(tblWorkPackages[[#This Row],[Work package ID]],tblDisruptions[Work package ID],0)),"None")</f>
        <v>None</v>
      </c>
      <c r="AJ449" s="51" t="str">
        <f>TEXT(tblWorkPackages[[#This Row],[Due date serial]],"yyyy-mm")</f>
        <v>2025-07</v>
      </c>
    </row>
    <row r="450" spans="1:36" ht="15" x14ac:dyDescent="0.25">
      <c r="A450" s="53" t="s">
        <v>1235</v>
      </c>
      <c r="B450" s="53" t="s">
        <v>250</v>
      </c>
      <c r="C450" s="53" t="s">
        <v>1236</v>
      </c>
      <c r="D450" s="53" t="s">
        <v>1237</v>
      </c>
      <c r="E450" s="53" t="s">
        <v>153</v>
      </c>
      <c r="F450" s="53" t="s">
        <v>128</v>
      </c>
      <c r="G450" s="53" t="s">
        <v>154</v>
      </c>
      <c r="H450" s="53">
        <v>4</v>
      </c>
      <c r="I450" s="53" t="s">
        <v>130</v>
      </c>
      <c r="J450" s="53">
        <v>0</v>
      </c>
      <c r="K450" s="53">
        <v>1</v>
      </c>
      <c r="L450" s="53">
        <v>17.3</v>
      </c>
      <c r="M450" s="53" t="s">
        <v>1238</v>
      </c>
      <c r="N450" s="53">
        <v>14.6</v>
      </c>
      <c r="O450" s="51" t="str">
        <f>TEXT(tblWorkPackages[[#This Row],[Request date serial]]-WEEKDAY(tblWorkPackages[[#This Row],[Request date serial]],3),"yyyy-mm-dd")</f>
        <v>2024-01-08</v>
      </c>
      <c r="P450" s="51">
        <f>ABS(tblWorkPackages[[#This Row],[Actual labor hours]]-tblWorkPackages[[#This Row],[Estimated labor hours]])</f>
        <v>2.7</v>
      </c>
      <c r="Q450" s="51">
        <f>IF(tblWorkPackages[[#This Row],[Actual labor hours]]&gt;tblWorkPackages[[#This Row],[Estimated labor hours]],1,0)</f>
        <v>0</v>
      </c>
      <c r="R450" s="51">
        <f>tblWorkPackages[[#This Row],[Actual labor hours]]-tblWorkPackages[[#This Row],[Estimated labor hours]]</f>
        <v>-2.7</v>
      </c>
      <c r="S450" s="51" t="str">
        <f>IF(tblWorkPackages[[#This Row],[Request date serial]]&lt;ValidationStart,"Train 2024",IF(tblWorkPackages[[#This Row],[Request date serial]]&lt;HoldoutStart,"Validation H1","Holdout H2"))</f>
        <v>Train 2024</v>
      </c>
      <c r="T450" s="51" t="str">
        <f>IF(tblWorkPackages[[#This Row],[Time split]]="Train 2024","",tblWorkPackages[[#This Row],[Estimated labor hours]]+VLOOKUP(tblWorkPackages[[#This Row],[Task type]],'Forecast validation'!$A$14:$E$25,IF(tblWorkPackages[[#This Row],[Time split]]="Validation H1",4,5),FALSE()))</f>
        <v/>
      </c>
      <c r="U450" s="51" t="str">
        <f>IF(tblWorkPackages[[#This Row],[Calibrated forecast hours]]="","",ABS(tblWorkPackages[[#This Row],[Actual labor hours]]-tblWorkPackages[[#This Row],[Calibrated forecast hours]]))</f>
        <v/>
      </c>
      <c r="V450" s="51">
        <f>IF(tblWorkPackages[[#This Row],[Time split]]="Train 2024",tblWorkPackages[[#This Row],[Estimated labor hours]],tblWorkPackages[[#This Row],[Calibrated forecast hours]])</f>
        <v>17.3</v>
      </c>
      <c r="W450" s="64">
        <f>DATEVALUE(tblWorkPackages[[#This Row],[Request date]])</f>
        <v>45299.0</v>
      </c>
      <c r="X450" s="64">
        <f>DATEVALUE(tblWorkPackages[[#This Row],[Due date]])</f>
        <v>45312.0</v>
      </c>
      <c r="Y450" s="64">
        <f>DATEVALUE(tblWorkPackages[[#This Row],[Completion date]])</f>
        <v>45303.0</v>
      </c>
      <c r="Z450" s="64">
        <f>_xlfn.MINIFS(tblLaborEntries[Work date serial],tblLaborEntries[Work package ID],tblWorkPackages[[#This Row],[Work package ID]])</f>
        <v>45303.0</v>
      </c>
      <c r="AA450" s="64">
        <f>_xlfn.MAXIFS(tblLaborEntries[Work date serial],tblLaborEntries[Work package ID],tblWorkPackages[[#This Row],[Work package ID]])</f>
        <v>45303.0</v>
      </c>
      <c r="AB450" s="65">
        <f>IF(tblWorkPackages[[#This Row],[Completion date serial]]&gt;tblWorkPackages[[#This Row],[Due date serial]],1,0)</f>
        <v>0</v>
      </c>
      <c r="AC450" s="65">
        <f>MAX(0,tblWorkPackages[[#This Row],[Completion date serial]]-tblWorkPackages[[#This Row],[Due date serial]])</f>
        <v>0</v>
      </c>
      <c r="AD450" s="65">
        <f>tblWorkPackages[[#This Row],[First labor date]]-tblWorkPackages[[#This Row],[Request date serial]]</f>
        <v>4</v>
      </c>
      <c r="AE450" s="65">
        <f>tblWorkPackages[[#This Row],[Last labor date]]-tblWorkPackages[[#This Row],[First labor date]]</f>
        <v>0</v>
      </c>
      <c r="AF450" s="65">
        <f>tblWorkPackages[[#This Row],[Completion date serial]]-tblWorkPackages[[#This Row],[Last labor date]]</f>
        <v>0</v>
      </c>
      <c r="AG450" s="65">
        <f>tblWorkPackages[[#This Row],[Completion date serial]]-tblWorkPackages[[#This Row],[Request date serial]]</f>
        <v>4</v>
      </c>
      <c r="AH450" s="65">
        <f>IFERROR(INDEX(tblParts[Delay days],MATCH(tblWorkPackages[[#This Row],[Work package ID]],tblParts[Work package ID],0)),0)</f>
        <v>0</v>
      </c>
      <c r="AI450" s="51" t="str">
        <f>IFERROR(INDEX(tblDisruptions[Event type],MATCH(tblWorkPackages[[#This Row],[Work package ID]],tblDisruptions[Work package ID],0)),"None")</f>
        <v>None</v>
      </c>
      <c r="AJ450" s="51" t="str">
        <f>TEXT(tblWorkPackages[[#This Row],[Due date serial]],"yyyy-mm")</f>
        <v>2024-01</v>
      </c>
    </row>
    <row r="451" spans="1:36" ht="15" x14ac:dyDescent="0.25">
      <c r="A451" s="53" t="s">
        <v>1239</v>
      </c>
      <c r="B451" s="53" t="s">
        <v>230</v>
      </c>
      <c r="C451" s="53" t="s">
        <v>1202</v>
      </c>
      <c r="D451" s="53" t="s">
        <v>898</v>
      </c>
      <c r="E451" s="53" t="s">
        <v>242</v>
      </c>
      <c r="F451" s="53" t="s">
        <v>243</v>
      </c>
      <c r="G451" s="53" t="s">
        <v>129</v>
      </c>
      <c r="H451" s="53">
        <v>1</v>
      </c>
      <c r="I451" s="53" t="s">
        <v>130</v>
      </c>
      <c r="J451" s="53">
        <v>0</v>
      </c>
      <c r="K451" s="53">
        <v>0</v>
      </c>
      <c r="L451" s="53">
        <v>6.7</v>
      </c>
      <c r="M451" s="53" t="s">
        <v>1008</v>
      </c>
      <c r="N451" s="53">
        <v>6.4</v>
      </c>
      <c r="O451" s="51" t="str">
        <f>TEXT(tblWorkPackages[[#This Row],[Request date serial]]-WEEKDAY(tblWorkPackages[[#This Row],[Request date serial]],3),"yyyy-mm-dd")</f>
        <v>2024-04-22</v>
      </c>
      <c r="P451" s="51">
        <f>ABS(tblWorkPackages[[#This Row],[Actual labor hours]]-tblWorkPackages[[#This Row],[Estimated labor hours]])</f>
        <v>0.3</v>
      </c>
      <c r="Q451" s="51">
        <f>IF(tblWorkPackages[[#This Row],[Actual labor hours]]&gt;tblWorkPackages[[#This Row],[Estimated labor hours]],1,0)</f>
        <v>0</v>
      </c>
      <c r="R451" s="51">
        <f>tblWorkPackages[[#This Row],[Actual labor hours]]-tblWorkPackages[[#This Row],[Estimated labor hours]]</f>
        <v>-0.3</v>
      </c>
      <c r="S451" s="51" t="str">
        <f>IF(tblWorkPackages[[#This Row],[Request date serial]]&lt;ValidationStart,"Train 2024",IF(tblWorkPackages[[#This Row],[Request date serial]]&lt;HoldoutStart,"Validation H1","Holdout H2"))</f>
        <v>Train 2024</v>
      </c>
      <c r="T451" s="51" t="str">
        <f>IF(tblWorkPackages[[#This Row],[Time split]]="Train 2024","",tblWorkPackages[[#This Row],[Estimated labor hours]]+VLOOKUP(tblWorkPackages[[#This Row],[Task type]],'Forecast validation'!$A$14:$E$25,IF(tblWorkPackages[[#This Row],[Time split]]="Validation H1",4,5),FALSE()))</f>
        <v/>
      </c>
      <c r="U451" s="51" t="str">
        <f>IF(tblWorkPackages[[#This Row],[Calibrated forecast hours]]="","",ABS(tblWorkPackages[[#This Row],[Actual labor hours]]-tblWorkPackages[[#This Row],[Calibrated forecast hours]]))</f>
        <v/>
      </c>
      <c r="V451" s="51">
        <f>IF(tblWorkPackages[[#This Row],[Time split]]="Train 2024",tblWorkPackages[[#This Row],[Estimated labor hours]],tblWorkPackages[[#This Row],[Calibrated forecast hours]])</f>
        <v>6.7</v>
      </c>
      <c r="W451" s="64">
        <f>DATEVALUE(tblWorkPackages[[#This Row],[Request date]])</f>
        <v>45407.0</v>
      </c>
      <c r="X451" s="64">
        <f>DATEVALUE(tblWorkPackages[[#This Row],[Due date]])</f>
        <v>45420.0</v>
      </c>
      <c r="Y451" s="64">
        <f>DATEVALUE(tblWorkPackages[[#This Row],[Completion date]])</f>
        <v>45409.0</v>
      </c>
      <c r="Z451" s="64">
        <f>_xlfn.MINIFS(tblLaborEntries[Work date serial],tblLaborEntries[Work package ID],tblWorkPackages[[#This Row],[Work package ID]])</f>
        <v>45408.0</v>
      </c>
      <c r="AA451" s="64">
        <f>_xlfn.MAXIFS(tblLaborEntries[Work date serial],tblLaborEntries[Work package ID],tblWorkPackages[[#This Row],[Work package ID]])</f>
        <v>45408.0</v>
      </c>
      <c r="AB451" s="65">
        <f>IF(tblWorkPackages[[#This Row],[Completion date serial]]&gt;tblWorkPackages[[#This Row],[Due date serial]],1,0)</f>
        <v>0</v>
      </c>
      <c r="AC451" s="65">
        <f>MAX(0,tblWorkPackages[[#This Row],[Completion date serial]]-tblWorkPackages[[#This Row],[Due date serial]])</f>
        <v>0</v>
      </c>
      <c r="AD451" s="65">
        <f>tblWorkPackages[[#This Row],[First labor date]]-tblWorkPackages[[#This Row],[Request date serial]]</f>
        <v>1</v>
      </c>
      <c r="AE451" s="65">
        <f>tblWorkPackages[[#This Row],[Last labor date]]-tblWorkPackages[[#This Row],[First labor date]]</f>
        <v>0</v>
      </c>
      <c r="AF451" s="65">
        <f>tblWorkPackages[[#This Row],[Completion date serial]]-tblWorkPackages[[#This Row],[Last labor date]]</f>
        <v>1</v>
      </c>
      <c r="AG451" s="65">
        <f>tblWorkPackages[[#This Row],[Completion date serial]]-tblWorkPackages[[#This Row],[Request date serial]]</f>
        <v>2</v>
      </c>
      <c r="AH451" s="65">
        <f>IFERROR(INDEX(tblParts[Delay days],MATCH(tblWorkPackages[[#This Row],[Work package ID]],tblParts[Work package ID],0)),0)</f>
        <v>0</v>
      </c>
      <c r="AI451" s="51" t="str">
        <f>IFERROR(INDEX(tblDisruptions[Event type],MATCH(tblWorkPackages[[#This Row],[Work package ID]],tblDisruptions[Work package ID],0)),"None")</f>
        <v>None</v>
      </c>
      <c r="AJ451" s="51" t="str">
        <f>TEXT(tblWorkPackages[[#This Row],[Due date serial]],"yyyy-mm")</f>
        <v>2024-05</v>
      </c>
    </row>
    <row r="452" spans="1:36" ht="15" x14ac:dyDescent="0.25">
      <c r="A452" s="53" t="s">
        <v>1240</v>
      </c>
      <c r="B452" s="53" t="s">
        <v>163</v>
      </c>
      <c r="C452" s="53" t="s">
        <v>451</v>
      </c>
      <c r="D452" s="53" t="s">
        <v>620</v>
      </c>
      <c r="E452" s="53" t="s">
        <v>181</v>
      </c>
      <c r="F452" s="53" t="s">
        <v>182</v>
      </c>
      <c r="G452" s="53" t="s">
        <v>138</v>
      </c>
      <c r="H452" s="53">
        <v>1</v>
      </c>
      <c r="I452" s="53" t="s">
        <v>176</v>
      </c>
      <c r="J452" s="53">
        <v>0</v>
      </c>
      <c r="K452" s="53">
        <v>1</v>
      </c>
      <c r="L452" s="53">
        <v>4.8</v>
      </c>
      <c r="M452" s="53" t="s">
        <v>525</v>
      </c>
      <c r="N452" s="53">
        <v>5.5</v>
      </c>
      <c r="O452" s="51" t="str">
        <f>TEXT(tblWorkPackages[[#This Row],[Request date serial]]-WEEKDAY(tblWorkPackages[[#This Row],[Request date serial]],3),"yyyy-mm-dd")</f>
        <v>2024-07-08</v>
      </c>
      <c r="P452" s="51">
        <f>ABS(tblWorkPackages[[#This Row],[Actual labor hours]]-tblWorkPackages[[#This Row],[Estimated labor hours]])</f>
        <v>0.7</v>
      </c>
      <c r="Q452" s="51">
        <f>IF(tblWorkPackages[[#This Row],[Actual labor hours]]&gt;tblWorkPackages[[#This Row],[Estimated labor hours]],1,0)</f>
        <v>1</v>
      </c>
      <c r="R452" s="51">
        <f>tblWorkPackages[[#This Row],[Actual labor hours]]-tblWorkPackages[[#This Row],[Estimated labor hours]]</f>
        <v>0.7</v>
      </c>
      <c r="S452" s="51" t="str">
        <f>IF(tblWorkPackages[[#This Row],[Request date serial]]&lt;ValidationStart,"Train 2024",IF(tblWorkPackages[[#This Row],[Request date serial]]&lt;HoldoutStart,"Validation H1","Holdout H2"))</f>
        <v>Train 2024</v>
      </c>
      <c r="T452" s="51" t="str">
        <f>IF(tblWorkPackages[[#This Row],[Time split]]="Train 2024","",tblWorkPackages[[#This Row],[Estimated labor hours]]+VLOOKUP(tblWorkPackages[[#This Row],[Task type]],'Forecast validation'!$A$14:$E$25,IF(tblWorkPackages[[#This Row],[Time split]]="Validation H1",4,5),FALSE()))</f>
        <v/>
      </c>
      <c r="U452" s="51" t="str">
        <f>IF(tblWorkPackages[[#This Row],[Calibrated forecast hours]]="","",ABS(tblWorkPackages[[#This Row],[Actual labor hours]]-tblWorkPackages[[#This Row],[Calibrated forecast hours]]))</f>
        <v/>
      </c>
      <c r="V452" s="51">
        <f>IF(tblWorkPackages[[#This Row],[Time split]]="Train 2024",tblWorkPackages[[#This Row],[Estimated labor hours]],tblWorkPackages[[#This Row],[Calibrated forecast hours]])</f>
        <v>4.8</v>
      </c>
      <c r="W452" s="64">
        <f>DATEVALUE(tblWorkPackages[[#This Row],[Request date]])</f>
        <v>45484.0</v>
      </c>
      <c r="X452" s="64">
        <f>DATEVALUE(tblWorkPackages[[#This Row],[Due date]])</f>
        <v>45490.0</v>
      </c>
      <c r="Y452" s="64">
        <f>DATEVALUE(tblWorkPackages[[#This Row],[Completion date]])</f>
        <v>45501.0</v>
      </c>
      <c r="Z452" s="64">
        <f>_xlfn.MINIFS(tblLaborEntries[Work date serial],tblLaborEntries[Work package ID],tblWorkPackages[[#This Row],[Work package ID]])</f>
        <v>45497.0</v>
      </c>
      <c r="AA452" s="64">
        <f>_xlfn.MAXIFS(tblLaborEntries[Work date serial],tblLaborEntries[Work package ID],tblWorkPackages[[#This Row],[Work package ID]])</f>
        <v>45499.0</v>
      </c>
      <c r="AB452" s="65">
        <f>IF(tblWorkPackages[[#This Row],[Completion date serial]]&gt;tblWorkPackages[[#This Row],[Due date serial]],1,0)</f>
        <v>1</v>
      </c>
      <c r="AC452" s="65">
        <f>MAX(0,tblWorkPackages[[#This Row],[Completion date serial]]-tblWorkPackages[[#This Row],[Due date serial]])</f>
        <v>11</v>
      </c>
      <c r="AD452" s="65">
        <f>tblWorkPackages[[#This Row],[First labor date]]-tblWorkPackages[[#This Row],[Request date serial]]</f>
        <v>13</v>
      </c>
      <c r="AE452" s="65">
        <f>tblWorkPackages[[#This Row],[Last labor date]]-tblWorkPackages[[#This Row],[First labor date]]</f>
        <v>2</v>
      </c>
      <c r="AF452" s="65">
        <f>tblWorkPackages[[#This Row],[Completion date serial]]-tblWorkPackages[[#This Row],[Last labor date]]</f>
        <v>2</v>
      </c>
      <c r="AG452" s="65">
        <f>tblWorkPackages[[#This Row],[Completion date serial]]-tblWorkPackages[[#This Row],[Request date serial]]</f>
        <v>17</v>
      </c>
      <c r="AH452" s="65">
        <f>IFERROR(INDEX(tblParts[Delay days],MATCH(tblWorkPackages[[#This Row],[Work package ID]],tblParts[Work package ID],0)),0)</f>
        <v>0</v>
      </c>
      <c r="AI452" s="51" t="str">
        <f>IFERROR(INDEX(tblDisruptions[Event type],MATCH(tblWorkPackages[[#This Row],[Work package ID]],tblDisruptions[Work package ID],0)),"None")</f>
        <v>None</v>
      </c>
      <c r="AJ452" s="51" t="str">
        <f>TEXT(tblWorkPackages[[#This Row],[Due date serial]],"yyyy-mm")</f>
        <v>2024-07</v>
      </c>
    </row>
    <row r="453" spans="1:36" ht="15" x14ac:dyDescent="0.25">
      <c r="A453" s="53" t="s">
        <v>1241</v>
      </c>
      <c r="B453" s="53" t="s">
        <v>230</v>
      </c>
      <c r="C453" s="53" t="s">
        <v>1242</v>
      </c>
      <c r="D453" s="53" t="s">
        <v>453</v>
      </c>
      <c r="E453" s="53" t="s">
        <v>237</v>
      </c>
      <c r="F453" s="53" t="s">
        <v>182</v>
      </c>
      <c r="G453" s="53" t="s">
        <v>138</v>
      </c>
      <c r="H453" s="53">
        <v>1</v>
      </c>
      <c r="I453" s="53" t="s">
        <v>130</v>
      </c>
      <c r="J453" s="53">
        <v>0</v>
      </c>
      <c r="K453" s="53">
        <v>1</v>
      </c>
      <c r="L453" s="53">
        <v>3.6</v>
      </c>
      <c r="M453" s="53" t="s">
        <v>546</v>
      </c>
      <c r="N453" s="53">
        <v>3.4</v>
      </c>
      <c r="O453" s="51" t="str">
        <f>TEXT(tblWorkPackages[[#This Row],[Request date serial]]-WEEKDAY(tblWorkPackages[[#This Row],[Request date serial]],3),"yyyy-mm-dd")</f>
        <v>2024-01-01</v>
      </c>
      <c r="P453" s="51">
        <f>ABS(tblWorkPackages[[#This Row],[Actual labor hours]]-tblWorkPackages[[#This Row],[Estimated labor hours]])</f>
        <v>0.2</v>
      </c>
      <c r="Q453" s="51">
        <f>IF(tblWorkPackages[[#This Row],[Actual labor hours]]&gt;tblWorkPackages[[#This Row],[Estimated labor hours]],1,0)</f>
        <v>0</v>
      </c>
      <c r="R453" s="51">
        <f>tblWorkPackages[[#This Row],[Actual labor hours]]-tblWorkPackages[[#This Row],[Estimated labor hours]]</f>
        <v>-0.2</v>
      </c>
      <c r="S453" s="51" t="str">
        <f>IF(tblWorkPackages[[#This Row],[Request date serial]]&lt;ValidationStart,"Train 2024",IF(tblWorkPackages[[#This Row],[Request date serial]]&lt;HoldoutStart,"Validation H1","Holdout H2"))</f>
        <v>Train 2024</v>
      </c>
      <c r="T453" s="51" t="str">
        <f>IF(tblWorkPackages[[#This Row],[Time split]]="Train 2024","",tblWorkPackages[[#This Row],[Estimated labor hours]]+VLOOKUP(tblWorkPackages[[#This Row],[Task type]],'Forecast validation'!$A$14:$E$25,IF(tblWorkPackages[[#This Row],[Time split]]="Validation H1",4,5),FALSE()))</f>
        <v/>
      </c>
      <c r="U453" s="51" t="str">
        <f>IF(tblWorkPackages[[#This Row],[Calibrated forecast hours]]="","",ABS(tblWorkPackages[[#This Row],[Actual labor hours]]-tblWorkPackages[[#This Row],[Calibrated forecast hours]]))</f>
        <v/>
      </c>
      <c r="V453" s="51">
        <f>IF(tblWorkPackages[[#This Row],[Time split]]="Train 2024",tblWorkPackages[[#This Row],[Estimated labor hours]],tblWorkPackages[[#This Row],[Calibrated forecast hours]])</f>
        <v>3.6</v>
      </c>
      <c r="W453" s="64">
        <f>DATEVALUE(tblWorkPackages[[#This Row],[Request date]])</f>
        <v>45294.0</v>
      </c>
      <c r="X453" s="64">
        <f>DATEVALUE(tblWorkPackages[[#This Row],[Due date]])</f>
        <v>45307.0</v>
      </c>
      <c r="Y453" s="64">
        <f>DATEVALUE(tblWorkPackages[[#This Row],[Completion date]])</f>
        <v>45306.0</v>
      </c>
      <c r="Z453" s="64">
        <f>_xlfn.MINIFS(tblLaborEntries[Work date serial],tblLaborEntries[Work package ID],tblWorkPackages[[#This Row],[Work package ID]])</f>
        <v>45301.0</v>
      </c>
      <c r="AA453" s="64">
        <f>_xlfn.MAXIFS(tblLaborEntries[Work date serial],tblLaborEntries[Work package ID],tblWorkPackages[[#This Row],[Work package ID]])</f>
        <v>45303.0</v>
      </c>
      <c r="AB453" s="65">
        <f>IF(tblWorkPackages[[#This Row],[Completion date serial]]&gt;tblWorkPackages[[#This Row],[Due date serial]],1,0)</f>
        <v>0</v>
      </c>
      <c r="AC453" s="65">
        <f>MAX(0,tblWorkPackages[[#This Row],[Completion date serial]]-tblWorkPackages[[#This Row],[Due date serial]])</f>
        <v>0</v>
      </c>
      <c r="AD453" s="65">
        <f>tblWorkPackages[[#This Row],[First labor date]]-tblWorkPackages[[#This Row],[Request date serial]]</f>
        <v>7</v>
      </c>
      <c r="AE453" s="65">
        <f>tblWorkPackages[[#This Row],[Last labor date]]-tblWorkPackages[[#This Row],[First labor date]]</f>
        <v>2</v>
      </c>
      <c r="AF453" s="65">
        <f>tblWorkPackages[[#This Row],[Completion date serial]]-tblWorkPackages[[#This Row],[Last labor date]]</f>
        <v>3</v>
      </c>
      <c r="AG453" s="65">
        <f>tblWorkPackages[[#This Row],[Completion date serial]]-tblWorkPackages[[#This Row],[Request date serial]]</f>
        <v>12</v>
      </c>
      <c r="AH453" s="65">
        <f>IFERROR(INDEX(tblParts[Delay days],MATCH(tblWorkPackages[[#This Row],[Work package ID]],tblParts[Work package ID],0)),0)</f>
        <v>4</v>
      </c>
      <c r="AI453" s="51" t="str">
        <f>IFERROR(INDEX(tblDisruptions[Event type],MATCH(tblWorkPackages[[#This Row],[Work package ID]],tblDisruptions[Work package ID],0)),"None")</f>
        <v>Part delay</v>
      </c>
      <c r="AJ453" s="51" t="str">
        <f>TEXT(tblWorkPackages[[#This Row],[Due date serial]],"yyyy-mm")</f>
        <v>2024-01</v>
      </c>
    </row>
    <row r="454" spans="1:36" ht="15" x14ac:dyDescent="0.25">
      <c r="A454" s="53" t="s">
        <v>1243</v>
      </c>
      <c r="B454" s="53" t="s">
        <v>235</v>
      </c>
      <c r="C454" s="53" t="s">
        <v>1063</v>
      </c>
      <c r="D454" s="53" t="s">
        <v>1191</v>
      </c>
      <c r="E454" s="53" t="s">
        <v>136</v>
      </c>
      <c r="F454" s="53" t="s">
        <v>137</v>
      </c>
      <c r="G454" s="53" t="s">
        <v>138</v>
      </c>
      <c r="H454" s="53">
        <v>3</v>
      </c>
      <c r="I454" s="53" t="s">
        <v>130</v>
      </c>
      <c r="J454" s="53">
        <v>1</v>
      </c>
      <c r="K454" s="53">
        <v>1</v>
      </c>
      <c r="L454" s="53">
        <v>21.3</v>
      </c>
      <c r="M454" s="53" t="s">
        <v>1244</v>
      </c>
      <c r="N454" s="53">
        <v>22.9</v>
      </c>
      <c r="O454" s="51" t="str">
        <f>TEXT(tblWorkPackages[[#This Row],[Request date serial]]-WEEKDAY(tblWorkPackages[[#This Row],[Request date serial]],3),"yyyy-mm-dd")</f>
        <v>2025-03-10</v>
      </c>
      <c r="P454" s="51">
        <f>ABS(tblWorkPackages[[#This Row],[Actual labor hours]]-tblWorkPackages[[#This Row],[Estimated labor hours]])</f>
        <v>1.6</v>
      </c>
      <c r="Q454" s="51">
        <f>IF(tblWorkPackages[[#This Row],[Actual labor hours]]&gt;tblWorkPackages[[#This Row],[Estimated labor hours]],1,0)</f>
        <v>1</v>
      </c>
      <c r="R454" s="51">
        <f>tblWorkPackages[[#This Row],[Actual labor hours]]-tblWorkPackages[[#This Row],[Estimated labor hours]]</f>
        <v>1.6</v>
      </c>
      <c r="S454" s="51" t="str">
        <f>IF(tblWorkPackages[[#This Row],[Request date serial]]&lt;ValidationStart,"Train 2024",IF(tblWorkPackages[[#This Row],[Request date serial]]&lt;HoldoutStart,"Validation H1","Holdout H2"))</f>
        <v>Validation H1</v>
      </c>
      <c r="T454" s="51">
        <f>IF(tblWorkPackages[[#This Row],[Time split]]="Train 2024","",tblWorkPackages[[#This Row],[Estimated labor hours]]+VLOOKUP(tblWorkPackages[[#This Row],[Task type]],'Forecast validation'!$A$14:$E$25,IF(tblWorkPackages[[#This Row],[Time split]]="Validation H1",4,5),FALSE()))</f>
        <v>22.1765306122449</v>
      </c>
      <c r="U454" s="51">
        <f>IF(tblWorkPackages[[#This Row],[Calibrated forecast hours]]="","",ABS(tblWorkPackages[[#This Row],[Actual labor hours]]-tblWorkPackages[[#This Row],[Calibrated forecast hours]]))</f>
        <v>0.723469387755099</v>
      </c>
      <c r="V454" s="51">
        <f>IF(tblWorkPackages[[#This Row],[Time split]]="Train 2024",tblWorkPackages[[#This Row],[Estimated labor hours]],tblWorkPackages[[#This Row],[Calibrated forecast hours]])</f>
        <v>22.1765306122449</v>
      </c>
      <c r="W454" s="64">
        <f>DATEVALUE(tblWorkPackages[[#This Row],[Request date]])</f>
        <v>45727.0</v>
      </c>
      <c r="X454" s="64">
        <f>DATEVALUE(tblWorkPackages[[#This Row],[Due date]])</f>
        <v>45740.0</v>
      </c>
      <c r="Y454" s="64">
        <f>DATEVALUE(tblWorkPackages[[#This Row],[Completion date]])</f>
        <v>45773.0</v>
      </c>
      <c r="Z454" s="64">
        <f>_xlfn.MINIFS(tblLaborEntries[Work date serial],tblLaborEntries[Work package ID],tblWorkPackages[[#This Row],[Work package ID]])</f>
        <v>45773.0</v>
      </c>
      <c r="AA454" s="64">
        <f>_xlfn.MAXIFS(tblLaborEntries[Work date serial],tblLaborEntries[Work package ID],tblWorkPackages[[#This Row],[Work package ID]])</f>
        <v>45773.0</v>
      </c>
      <c r="AB454" s="65">
        <f>IF(tblWorkPackages[[#This Row],[Completion date serial]]&gt;tblWorkPackages[[#This Row],[Due date serial]],1,0)</f>
        <v>1</v>
      </c>
      <c r="AC454" s="65">
        <f>MAX(0,tblWorkPackages[[#This Row],[Completion date serial]]-tblWorkPackages[[#This Row],[Due date serial]])</f>
        <v>33</v>
      </c>
      <c r="AD454" s="65">
        <f>tblWorkPackages[[#This Row],[First labor date]]-tblWorkPackages[[#This Row],[Request date serial]]</f>
        <v>46</v>
      </c>
      <c r="AE454" s="65">
        <f>tblWorkPackages[[#This Row],[Last labor date]]-tblWorkPackages[[#This Row],[First labor date]]</f>
        <v>0</v>
      </c>
      <c r="AF454" s="65">
        <f>tblWorkPackages[[#This Row],[Completion date serial]]-tblWorkPackages[[#This Row],[Last labor date]]</f>
        <v>0</v>
      </c>
      <c r="AG454" s="65">
        <f>tblWorkPackages[[#This Row],[Completion date serial]]-tblWorkPackages[[#This Row],[Request date serial]]</f>
        <v>46</v>
      </c>
      <c r="AH454" s="65">
        <f>IFERROR(INDEX(tblParts[Delay days],MATCH(tblWorkPackages[[#This Row],[Work package ID]],tblParts[Work package ID],0)),0)</f>
        <v>0</v>
      </c>
      <c r="AI454" s="51" t="str">
        <f>IFERROR(INDEX(tblDisruptions[Event type],MATCH(tblWorkPackages[[#This Row],[Work package ID]],tblDisruptions[Work package ID],0)),"None")</f>
        <v>None</v>
      </c>
      <c r="AJ454" s="51" t="str">
        <f>TEXT(tblWorkPackages[[#This Row],[Due date serial]],"yyyy-mm")</f>
        <v>2025-03</v>
      </c>
    </row>
    <row r="455" spans="1:36" ht="15" x14ac:dyDescent="0.25">
      <c r="A455" s="53" t="s">
        <v>1245</v>
      </c>
      <c r="B455" s="53" t="s">
        <v>133</v>
      </c>
      <c r="C455" s="53" t="s">
        <v>1246</v>
      </c>
      <c r="D455" s="53" t="s">
        <v>871</v>
      </c>
      <c r="E455" s="53" t="s">
        <v>181</v>
      </c>
      <c r="F455" s="53" t="s">
        <v>182</v>
      </c>
      <c r="G455" s="53" t="s">
        <v>138</v>
      </c>
      <c r="H455" s="53">
        <v>2</v>
      </c>
      <c r="I455" s="53" t="s">
        <v>130</v>
      </c>
      <c r="J455" s="53">
        <v>0</v>
      </c>
      <c r="K455" s="53">
        <v>1</v>
      </c>
      <c r="L455" s="53">
        <v>8</v>
      </c>
      <c r="M455" s="53" t="s">
        <v>445</v>
      </c>
      <c r="N455" s="53">
        <v>8.3000000000000007</v>
      </c>
      <c r="O455" s="51" t="str">
        <f>TEXT(tblWorkPackages[[#This Row],[Request date serial]]-WEEKDAY(tblWorkPackages[[#This Row],[Request date serial]],3),"yyyy-mm-dd")</f>
        <v>2025-03-03</v>
      </c>
      <c r="P455" s="51">
        <f>ABS(tblWorkPackages[[#This Row],[Actual labor hours]]-tblWorkPackages[[#This Row],[Estimated labor hours]])</f>
        <v>0.300000000000001</v>
      </c>
      <c r="Q455" s="51">
        <f>IF(tblWorkPackages[[#This Row],[Actual labor hours]]&gt;tblWorkPackages[[#This Row],[Estimated labor hours]],1,0)</f>
        <v>1</v>
      </c>
      <c r="R455" s="51">
        <f>tblWorkPackages[[#This Row],[Actual labor hours]]-tblWorkPackages[[#This Row],[Estimated labor hours]]</f>
        <v>0.300000000000001</v>
      </c>
      <c r="S455" s="51" t="str">
        <f>IF(tblWorkPackages[[#This Row],[Request date serial]]&lt;ValidationStart,"Train 2024",IF(tblWorkPackages[[#This Row],[Request date serial]]&lt;HoldoutStart,"Validation H1","Holdout H2"))</f>
        <v>Validation H1</v>
      </c>
      <c r="T455" s="51">
        <f>IF(tblWorkPackages[[#This Row],[Time split]]="Train 2024","",tblWorkPackages[[#This Row],[Estimated labor hours]]+VLOOKUP(tblWorkPackages[[#This Row],[Task type]],'Forecast validation'!$A$14:$E$25,IF(tblWorkPackages[[#This Row],[Time split]]="Validation H1",4,5),FALSE()))</f>
        <v>8.58409090909091</v>
      </c>
      <c r="U455" s="51">
        <f>IF(tblWorkPackages[[#This Row],[Calibrated forecast hours]]="","",ABS(tblWorkPackages[[#This Row],[Actual labor hours]]-tblWorkPackages[[#This Row],[Calibrated forecast hours]]))</f>
        <v>0.284090909090908</v>
      </c>
      <c r="V455" s="51">
        <f>IF(tblWorkPackages[[#This Row],[Time split]]="Train 2024",tblWorkPackages[[#This Row],[Estimated labor hours]],tblWorkPackages[[#This Row],[Calibrated forecast hours]])</f>
        <v>8.58409090909091</v>
      </c>
      <c r="W455" s="64">
        <f>DATEVALUE(tblWorkPackages[[#This Row],[Request date]])</f>
        <v>45725.0</v>
      </c>
      <c r="X455" s="64">
        <f>DATEVALUE(tblWorkPackages[[#This Row],[Due date]])</f>
        <v>45738.0</v>
      </c>
      <c r="Y455" s="64">
        <f>DATEVALUE(tblWorkPackages[[#This Row],[Completion date]])</f>
        <v>45735.0</v>
      </c>
      <c r="Z455" s="64">
        <f>_xlfn.MINIFS(tblLaborEntries[Work date serial],tblLaborEntries[Work package ID],tblWorkPackages[[#This Row],[Work package ID]])</f>
        <v>45733.0</v>
      </c>
      <c r="AA455" s="64">
        <f>_xlfn.MAXIFS(tblLaborEntries[Work date serial],tblLaborEntries[Work package ID],tblWorkPackages[[#This Row],[Work package ID]])</f>
        <v>45734.0</v>
      </c>
      <c r="AB455" s="65">
        <f>IF(tblWorkPackages[[#This Row],[Completion date serial]]&gt;tblWorkPackages[[#This Row],[Due date serial]],1,0)</f>
        <v>0</v>
      </c>
      <c r="AC455" s="65">
        <f>MAX(0,tblWorkPackages[[#This Row],[Completion date serial]]-tblWorkPackages[[#This Row],[Due date serial]])</f>
        <v>0</v>
      </c>
      <c r="AD455" s="65">
        <f>tblWorkPackages[[#This Row],[First labor date]]-tblWorkPackages[[#This Row],[Request date serial]]</f>
        <v>8</v>
      </c>
      <c r="AE455" s="65">
        <f>tblWorkPackages[[#This Row],[Last labor date]]-tblWorkPackages[[#This Row],[First labor date]]</f>
        <v>1</v>
      </c>
      <c r="AF455" s="65">
        <f>tblWorkPackages[[#This Row],[Completion date serial]]-tblWorkPackages[[#This Row],[Last labor date]]</f>
        <v>1</v>
      </c>
      <c r="AG455" s="65">
        <f>tblWorkPackages[[#This Row],[Completion date serial]]-tblWorkPackages[[#This Row],[Request date serial]]</f>
        <v>10</v>
      </c>
      <c r="AH455" s="65">
        <f>IFERROR(INDEX(tblParts[Delay days],MATCH(tblWorkPackages[[#This Row],[Work package ID]],tblParts[Work package ID],0)),0)</f>
        <v>0</v>
      </c>
      <c r="AI455" s="51" t="str">
        <f>IFERROR(INDEX(tblDisruptions[Event type],MATCH(tblWorkPackages[[#This Row],[Work package ID]],tblDisruptions[Work package ID],0)),"None")</f>
        <v>None</v>
      </c>
      <c r="AJ455" s="51" t="str">
        <f>TEXT(tblWorkPackages[[#This Row],[Due date serial]],"yyyy-mm")</f>
        <v>2025-03</v>
      </c>
    </row>
    <row r="456" spans="1:36" ht="15" x14ac:dyDescent="0.25">
      <c r="A456" s="53" t="s">
        <v>1247</v>
      </c>
      <c r="B456" s="53" t="s">
        <v>157</v>
      </c>
      <c r="C456" s="53" t="s">
        <v>518</v>
      </c>
      <c r="D456" s="53" t="s">
        <v>569</v>
      </c>
      <c r="E456" s="53" t="s">
        <v>237</v>
      </c>
      <c r="F456" s="53" t="s">
        <v>182</v>
      </c>
      <c r="G456" s="53" t="s">
        <v>138</v>
      </c>
      <c r="H456" s="53">
        <v>4</v>
      </c>
      <c r="I456" s="53" t="s">
        <v>130</v>
      </c>
      <c r="J456" s="53">
        <v>0</v>
      </c>
      <c r="K456" s="53">
        <v>1</v>
      </c>
      <c r="L456" s="53">
        <v>9.8000000000000007</v>
      </c>
      <c r="M456" s="53" t="s">
        <v>1183</v>
      </c>
      <c r="N456" s="53">
        <v>9</v>
      </c>
      <c r="O456" s="51" t="str">
        <f>TEXT(tblWorkPackages[[#This Row],[Request date serial]]-WEEKDAY(tblWorkPackages[[#This Row],[Request date serial]],3),"yyyy-mm-dd")</f>
        <v>2025-05-12</v>
      </c>
      <c r="P456" s="51">
        <f>ABS(tblWorkPackages[[#This Row],[Actual labor hours]]-tblWorkPackages[[#This Row],[Estimated labor hours]])</f>
        <v>0.800000000000001</v>
      </c>
      <c r="Q456" s="51">
        <f>IF(tblWorkPackages[[#This Row],[Actual labor hours]]&gt;tblWorkPackages[[#This Row],[Estimated labor hours]],1,0)</f>
        <v>0</v>
      </c>
      <c r="R456" s="51">
        <f>tblWorkPackages[[#This Row],[Actual labor hours]]-tblWorkPackages[[#This Row],[Estimated labor hours]]</f>
        <v>-0.800000000000001</v>
      </c>
      <c r="S456" s="51" t="str">
        <f>IF(tblWorkPackages[[#This Row],[Request date serial]]&lt;ValidationStart,"Train 2024",IF(tblWorkPackages[[#This Row],[Request date serial]]&lt;HoldoutStart,"Validation H1","Holdout H2"))</f>
        <v>Validation H1</v>
      </c>
      <c r="T456" s="51">
        <f>IF(tblWorkPackages[[#This Row],[Time split]]="Train 2024","",tblWorkPackages[[#This Row],[Estimated labor hours]]+VLOOKUP(tblWorkPackages[[#This Row],[Task type]],'Forecast validation'!$A$14:$E$25,IF(tblWorkPackages[[#This Row],[Time split]]="Validation H1",4,5),FALSE()))</f>
        <v>10.3037037037037</v>
      </c>
      <c r="U456" s="51">
        <f>IF(tblWorkPackages[[#This Row],[Calibrated forecast hours]]="","",ABS(tblWorkPackages[[#This Row],[Actual labor hours]]-tblWorkPackages[[#This Row],[Calibrated forecast hours]]))</f>
        <v>1.3037037037037</v>
      </c>
      <c r="V456" s="51">
        <f>IF(tblWorkPackages[[#This Row],[Time split]]="Train 2024",tblWorkPackages[[#This Row],[Estimated labor hours]],tblWorkPackages[[#This Row],[Calibrated forecast hours]])</f>
        <v>10.3037037037037</v>
      </c>
      <c r="W456" s="64">
        <f>DATEVALUE(tblWorkPackages[[#This Row],[Request date]])</f>
        <v>45794.0</v>
      </c>
      <c r="X456" s="64">
        <f>DATEVALUE(tblWorkPackages[[#This Row],[Due date]])</f>
        <v>45807.0</v>
      </c>
      <c r="Y456" s="64">
        <f>DATEVALUE(tblWorkPackages[[#This Row],[Completion date]])</f>
        <v>45798.0</v>
      </c>
      <c r="Z456" s="64">
        <f>_xlfn.MINIFS(tblLaborEntries[Work date serial],tblLaborEntries[Work package ID],tblWorkPackages[[#This Row],[Work package ID]])</f>
        <v>45796.0</v>
      </c>
      <c r="AA456" s="64">
        <f>_xlfn.MAXIFS(tblLaborEntries[Work date serial],tblLaborEntries[Work package ID],tblWorkPackages[[#This Row],[Work package ID]])</f>
        <v>45796.0</v>
      </c>
      <c r="AB456" s="65">
        <f>IF(tblWorkPackages[[#This Row],[Completion date serial]]&gt;tblWorkPackages[[#This Row],[Due date serial]],1,0)</f>
        <v>0</v>
      </c>
      <c r="AC456" s="65">
        <f>MAX(0,tblWorkPackages[[#This Row],[Completion date serial]]-tblWorkPackages[[#This Row],[Due date serial]])</f>
        <v>0</v>
      </c>
      <c r="AD456" s="65">
        <f>tblWorkPackages[[#This Row],[First labor date]]-tblWorkPackages[[#This Row],[Request date serial]]</f>
        <v>2</v>
      </c>
      <c r="AE456" s="65">
        <f>tblWorkPackages[[#This Row],[Last labor date]]-tblWorkPackages[[#This Row],[First labor date]]</f>
        <v>0</v>
      </c>
      <c r="AF456" s="65">
        <f>tblWorkPackages[[#This Row],[Completion date serial]]-tblWorkPackages[[#This Row],[Last labor date]]</f>
        <v>2</v>
      </c>
      <c r="AG456" s="65">
        <f>tblWorkPackages[[#This Row],[Completion date serial]]-tblWorkPackages[[#This Row],[Request date serial]]</f>
        <v>4</v>
      </c>
      <c r="AH456" s="65">
        <f>IFERROR(INDEX(tblParts[Delay days],MATCH(tblWorkPackages[[#This Row],[Work package ID]],tblParts[Work package ID],0)),0)</f>
        <v>0</v>
      </c>
      <c r="AI456" s="51" t="str">
        <f>IFERROR(INDEX(tblDisruptions[Event type],MATCH(tblWorkPackages[[#This Row],[Work package ID]],tblDisruptions[Work package ID],0)),"None")</f>
        <v>None</v>
      </c>
      <c r="AJ456" s="51" t="str">
        <f>TEXT(tblWorkPackages[[#This Row],[Due date serial]],"yyyy-mm")</f>
        <v>2025-05</v>
      </c>
    </row>
    <row r="457" spans="1:36" ht="15" x14ac:dyDescent="0.25">
      <c r="A457" s="53" t="s">
        <v>1248</v>
      </c>
      <c r="B457" s="53" t="s">
        <v>124</v>
      </c>
      <c r="C457" s="53" t="s">
        <v>589</v>
      </c>
      <c r="D457" s="53" t="s">
        <v>467</v>
      </c>
      <c r="E457" s="53" t="s">
        <v>144</v>
      </c>
      <c r="F457" s="53" t="s">
        <v>145</v>
      </c>
      <c r="G457" s="53" t="s">
        <v>146</v>
      </c>
      <c r="H457" s="53">
        <v>4</v>
      </c>
      <c r="I457" s="53" t="s">
        <v>130</v>
      </c>
      <c r="J457" s="53">
        <v>0</v>
      </c>
      <c r="K457" s="53">
        <v>1</v>
      </c>
      <c r="L457" s="53">
        <v>21.7</v>
      </c>
      <c r="M457" s="53" t="s">
        <v>1249</v>
      </c>
      <c r="N457" s="53">
        <v>22.6</v>
      </c>
      <c r="O457" s="51" t="str">
        <f>TEXT(tblWorkPackages[[#This Row],[Request date serial]]-WEEKDAY(tblWorkPackages[[#This Row],[Request date serial]],3),"yyyy-mm-dd")</f>
        <v>2025-03-17</v>
      </c>
      <c r="P457" s="51">
        <f>ABS(tblWorkPackages[[#This Row],[Actual labor hours]]-tblWorkPackages[[#This Row],[Estimated labor hours]])</f>
        <v>0.900000000000002</v>
      </c>
      <c r="Q457" s="51">
        <f>IF(tblWorkPackages[[#This Row],[Actual labor hours]]&gt;tblWorkPackages[[#This Row],[Estimated labor hours]],1,0)</f>
        <v>1</v>
      </c>
      <c r="R457" s="51">
        <f>tblWorkPackages[[#This Row],[Actual labor hours]]-tblWorkPackages[[#This Row],[Estimated labor hours]]</f>
        <v>0.900000000000002</v>
      </c>
      <c r="S457" s="51" t="str">
        <f>IF(tblWorkPackages[[#This Row],[Request date serial]]&lt;ValidationStart,"Train 2024",IF(tblWorkPackages[[#This Row],[Request date serial]]&lt;HoldoutStart,"Validation H1","Holdout H2"))</f>
        <v>Validation H1</v>
      </c>
      <c r="T457" s="51">
        <f>IF(tblWorkPackages[[#This Row],[Time split]]="Train 2024","",tblWorkPackages[[#This Row],[Estimated labor hours]]+VLOOKUP(tblWorkPackages[[#This Row],[Task type]],'Forecast validation'!$A$14:$E$25,IF(tblWorkPackages[[#This Row],[Time split]]="Validation H1",4,5),FALSE()))</f>
        <v>22.4547368421053</v>
      </c>
      <c r="U457" s="51">
        <f>IF(tblWorkPackages[[#This Row],[Calibrated forecast hours]]="","",ABS(tblWorkPackages[[#This Row],[Actual labor hours]]-tblWorkPackages[[#This Row],[Calibrated forecast hours]]))</f>
        <v>0.145263157894739</v>
      </c>
      <c r="V457" s="51">
        <f>IF(tblWorkPackages[[#This Row],[Time split]]="Train 2024",tblWorkPackages[[#This Row],[Estimated labor hours]],tblWorkPackages[[#This Row],[Calibrated forecast hours]])</f>
        <v>22.4547368421053</v>
      </c>
      <c r="W457" s="64">
        <f>DATEVALUE(tblWorkPackages[[#This Row],[Request date]])</f>
        <v>45739.0</v>
      </c>
      <c r="X457" s="64">
        <f>DATEVALUE(tblWorkPackages[[#This Row],[Due date]])</f>
        <v>45752.0</v>
      </c>
      <c r="Y457" s="64">
        <f>DATEVALUE(tblWorkPackages[[#This Row],[Completion date]])</f>
        <v>45762.0</v>
      </c>
      <c r="Z457" s="64">
        <f>_xlfn.MINIFS(tblLaborEntries[Work date serial],tblLaborEntries[Work package ID],tblWorkPackages[[#This Row],[Work package ID]])</f>
        <v>45758.0</v>
      </c>
      <c r="AA457" s="64">
        <f>_xlfn.MAXIFS(tblLaborEntries[Work date serial],tblLaborEntries[Work package ID],tblWorkPackages[[#This Row],[Work package ID]])</f>
        <v>45759.0</v>
      </c>
      <c r="AB457" s="65">
        <f>IF(tblWorkPackages[[#This Row],[Completion date serial]]&gt;tblWorkPackages[[#This Row],[Due date serial]],1,0)</f>
        <v>1</v>
      </c>
      <c r="AC457" s="65">
        <f>MAX(0,tblWorkPackages[[#This Row],[Completion date serial]]-tblWorkPackages[[#This Row],[Due date serial]])</f>
        <v>10</v>
      </c>
      <c r="AD457" s="65">
        <f>tblWorkPackages[[#This Row],[First labor date]]-tblWorkPackages[[#This Row],[Request date serial]]</f>
        <v>19</v>
      </c>
      <c r="AE457" s="65">
        <f>tblWorkPackages[[#This Row],[Last labor date]]-tblWorkPackages[[#This Row],[First labor date]]</f>
        <v>1</v>
      </c>
      <c r="AF457" s="65">
        <f>tblWorkPackages[[#This Row],[Completion date serial]]-tblWorkPackages[[#This Row],[Last labor date]]</f>
        <v>3</v>
      </c>
      <c r="AG457" s="65">
        <f>tblWorkPackages[[#This Row],[Completion date serial]]-tblWorkPackages[[#This Row],[Request date serial]]</f>
        <v>23</v>
      </c>
      <c r="AH457" s="65">
        <f>IFERROR(INDEX(tblParts[Delay days],MATCH(tblWorkPackages[[#This Row],[Work package ID]],tblParts[Work package ID],0)),0)</f>
        <v>0</v>
      </c>
      <c r="AI457" s="51" t="str">
        <f>IFERROR(INDEX(tblDisruptions[Event type],MATCH(tblWorkPackages[[#This Row],[Work package ID]],tblDisruptions[Work package ID],0)),"None")</f>
        <v>None</v>
      </c>
      <c r="AJ457" s="51" t="str">
        <f>TEXT(tblWorkPackages[[#This Row],[Due date serial]],"yyyy-mm")</f>
        <v>2025-04</v>
      </c>
    </row>
    <row r="458" spans="1:36" ht="15" x14ac:dyDescent="0.25">
      <c r="A458" s="53" t="s">
        <v>1250</v>
      </c>
      <c r="B458" s="53" t="s">
        <v>168</v>
      </c>
      <c r="C458" s="53" t="s">
        <v>814</v>
      </c>
      <c r="D458" s="53" t="s">
        <v>703</v>
      </c>
      <c r="E458" s="53" t="s">
        <v>200</v>
      </c>
      <c r="F458" s="53" t="s">
        <v>128</v>
      </c>
      <c r="G458" s="53" t="s">
        <v>129</v>
      </c>
      <c r="H458" s="53">
        <v>2</v>
      </c>
      <c r="I458" s="53" t="s">
        <v>176</v>
      </c>
      <c r="J458" s="53">
        <v>0</v>
      </c>
      <c r="K458" s="53">
        <v>0</v>
      </c>
      <c r="L458" s="53">
        <v>3.3</v>
      </c>
      <c r="M458" s="53" t="s">
        <v>762</v>
      </c>
      <c r="N458" s="53">
        <v>2.8</v>
      </c>
      <c r="O458" s="51" t="str">
        <f>TEXT(tblWorkPackages[[#This Row],[Request date serial]]-WEEKDAY(tblWorkPackages[[#This Row],[Request date serial]],3),"yyyy-mm-dd")</f>
        <v>2024-06-03</v>
      </c>
      <c r="P458" s="51">
        <f>ABS(tblWorkPackages[[#This Row],[Actual labor hours]]-tblWorkPackages[[#This Row],[Estimated labor hours]])</f>
        <v>0.5</v>
      </c>
      <c r="Q458" s="51">
        <f>IF(tblWorkPackages[[#This Row],[Actual labor hours]]&gt;tblWorkPackages[[#This Row],[Estimated labor hours]],1,0)</f>
        <v>0</v>
      </c>
      <c r="R458" s="51">
        <f>tblWorkPackages[[#This Row],[Actual labor hours]]-tblWorkPackages[[#This Row],[Estimated labor hours]]</f>
        <v>-0.5</v>
      </c>
      <c r="S458" s="51" t="str">
        <f>IF(tblWorkPackages[[#This Row],[Request date serial]]&lt;ValidationStart,"Train 2024",IF(tblWorkPackages[[#This Row],[Request date serial]]&lt;HoldoutStart,"Validation H1","Holdout H2"))</f>
        <v>Train 2024</v>
      </c>
      <c r="T458" s="51" t="str">
        <f>IF(tblWorkPackages[[#This Row],[Time split]]="Train 2024","",tblWorkPackages[[#This Row],[Estimated labor hours]]+VLOOKUP(tblWorkPackages[[#This Row],[Task type]],'Forecast validation'!$A$14:$E$25,IF(tblWorkPackages[[#This Row],[Time split]]="Validation H1",4,5),FALSE()))</f>
        <v/>
      </c>
      <c r="U458" s="51" t="str">
        <f>IF(tblWorkPackages[[#This Row],[Calibrated forecast hours]]="","",ABS(tblWorkPackages[[#This Row],[Actual labor hours]]-tblWorkPackages[[#This Row],[Calibrated forecast hours]]))</f>
        <v/>
      </c>
      <c r="V458" s="51">
        <f>IF(tblWorkPackages[[#This Row],[Time split]]="Train 2024",tblWorkPackages[[#This Row],[Estimated labor hours]],tblWorkPackages[[#This Row],[Calibrated forecast hours]])</f>
        <v>3.3</v>
      </c>
      <c r="W458" s="64">
        <f>DATEVALUE(tblWorkPackages[[#This Row],[Request date]])</f>
        <v>45448.0</v>
      </c>
      <c r="X458" s="64">
        <f>DATEVALUE(tblWorkPackages[[#This Row],[Due date]])</f>
        <v>45454.0</v>
      </c>
      <c r="Y458" s="64">
        <f>DATEVALUE(tblWorkPackages[[#This Row],[Completion date]])</f>
        <v>45452.0</v>
      </c>
      <c r="Z458" s="64">
        <f>_xlfn.MINIFS(tblLaborEntries[Work date serial],tblLaborEntries[Work package ID],tblWorkPackages[[#This Row],[Work package ID]])</f>
        <v>45452.0</v>
      </c>
      <c r="AA458" s="64">
        <f>_xlfn.MAXIFS(tblLaborEntries[Work date serial],tblLaborEntries[Work package ID],tblWorkPackages[[#This Row],[Work package ID]])</f>
        <v>45452.0</v>
      </c>
      <c r="AB458" s="65">
        <f>IF(tblWorkPackages[[#This Row],[Completion date serial]]&gt;tblWorkPackages[[#This Row],[Due date serial]],1,0)</f>
        <v>0</v>
      </c>
      <c r="AC458" s="65">
        <f>MAX(0,tblWorkPackages[[#This Row],[Completion date serial]]-tblWorkPackages[[#This Row],[Due date serial]])</f>
        <v>0</v>
      </c>
      <c r="AD458" s="65">
        <f>tblWorkPackages[[#This Row],[First labor date]]-tblWorkPackages[[#This Row],[Request date serial]]</f>
        <v>4</v>
      </c>
      <c r="AE458" s="65">
        <f>tblWorkPackages[[#This Row],[Last labor date]]-tblWorkPackages[[#This Row],[First labor date]]</f>
        <v>0</v>
      </c>
      <c r="AF458" s="65">
        <f>tblWorkPackages[[#This Row],[Completion date serial]]-tblWorkPackages[[#This Row],[Last labor date]]</f>
        <v>0</v>
      </c>
      <c r="AG458" s="65">
        <f>tblWorkPackages[[#This Row],[Completion date serial]]-tblWorkPackages[[#This Row],[Request date serial]]</f>
        <v>4</v>
      </c>
      <c r="AH458" s="65">
        <f>IFERROR(INDEX(tblParts[Delay days],MATCH(tblWorkPackages[[#This Row],[Work package ID]],tblParts[Work package ID],0)),0)</f>
        <v>0</v>
      </c>
      <c r="AI458" s="51" t="str">
        <f>IFERROR(INDEX(tblDisruptions[Event type],MATCH(tblWorkPackages[[#This Row],[Work package ID]],tblDisruptions[Work package ID],0)),"None")</f>
        <v>None</v>
      </c>
      <c r="AJ458" s="51" t="str">
        <f>TEXT(tblWorkPackages[[#This Row],[Due date serial]],"yyyy-mm")</f>
        <v>2024-06</v>
      </c>
    </row>
    <row r="459" spans="1:36" ht="15" x14ac:dyDescent="0.25">
      <c r="A459" s="53" t="s">
        <v>1251</v>
      </c>
      <c r="B459" s="53" t="s">
        <v>124</v>
      </c>
      <c r="C459" s="53" t="s">
        <v>179</v>
      </c>
      <c r="D459" s="53" t="s">
        <v>518</v>
      </c>
      <c r="E459" s="53" t="s">
        <v>181</v>
      </c>
      <c r="F459" s="53" t="s">
        <v>182</v>
      </c>
      <c r="G459" s="53" t="s">
        <v>138</v>
      </c>
      <c r="H459" s="53">
        <v>1</v>
      </c>
      <c r="I459" s="53" t="s">
        <v>147</v>
      </c>
      <c r="J459" s="53">
        <v>1</v>
      </c>
      <c r="K459" s="53">
        <v>0</v>
      </c>
      <c r="L459" s="53">
        <v>5.7</v>
      </c>
      <c r="M459" s="53" t="s">
        <v>518</v>
      </c>
      <c r="N459" s="53">
        <v>6.4</v>
      </c>
      <c r="O459" s="51" t="str">
        <f>TEXT(tblWorkPackages[[#This Row],[Request date serial]]-WEEKDAY(tblWorkPackages[[#This Row],[Request date serial]],3),"yyyy-mm-dd")</f>
        <v>2025-05-12</v>
      </c>
      <c r="P459" s="51">
        <f>ABS(tblWorkPackages[[#This Row],[Actual labor hours]]-tblWorkPackages[[#This Row],[Estimated labor hours]])</f>
        <v>0.7</v>
      </c>
      <c r="Q459" s="51">
        <f>IF(tblWorkPackages[[#This Row],[Actual labor hours]]&gt;tblWorkPackages[[#This Row],[Estimated labor hours]],1,0)</f>
        <v>1</v>
      </c>
      <c r="R459" s="51">
        <f>tblWorkPackages[[#This Row],[Actual labor hours]]-tblWorkPackages[[#This Row],[Estimated labor hours]]</f>
        <v>0.7</v>
      </c>
      <c r="S459" s="51" t="str">
        <f>IF(tblWorkPackages[[#This Row],[Request date serial]]&lt;ValidationStart,"Train 2024",IF(tblWorkPackages[[#This Row],[Request date serial]]&lt;HoldoutStart,"Validation H1","Holdout H2"))</f>
        <v>Validation H1</v>
      </c>
      <c r="T459" s="51">
        <f>IF(tblWorkPackages[[#This Row],[Time split]]="Train 2024","",tblWorkPackages[[#This Row],[Estimated labor hours]]+VLOOKUP(tblWorkPackages[[#This Row],[Task type]],'Forecast validation'!$A$14:$E$25,IF(tblWorkPackages[[#This Row],[Time split]]="Validation H1",4,5),FALSE()))</f>
        <v>6.28409090909091</v>
      </c>
      <c r="U459" s="51">
        <f>IF(tblWorkPackages[[#This Row],[Calibrated forecast hours]]="","",ABS(tblWorkPackages[[#This Row],[Actual labor hours]]-tblWorkPackages[[#This Row],[Calibrated forecast hours]]))</f>
        <v>0.115909090909091</v>
      </c>
      <c r="V459" s="51">
        <f>IF(tblWorkPackages[[#This Row],[Time split]]="Train 2024",tblWorkPackages[[#This Row],[Estimated labor hours]],tblWorkPackages[[#This Row],[Calibrated forecast hours]])</f>
        <v>6.28409090909091</v>
      </c>
      <c r="W459" s="64">
        <f>DATEVALUE(tblWorkPackages[[#This Row],[Request date]])</f>
        <v>45792.0</v>
      </c>
      <c r="X459" s="64">
        <f>DATEVALUE(tblWorkPackages[[#This Row],[Due date]])</f>
        <v>45794.0</v>
      </c>
      <c r="Y459" s="64">
        <f>DATEVALUE(tblWorkPackages[[#This Row],[Completion date]])</f>
        <v>45794.0</v>
      </c>
      <c r="Z459" s="64">
        <f>_xlfn.MINIFS(tblLaborEntries[Work date serial],tblLaborEntries[Work package ID],tblWorkPackages[[#This Row],[Work package ID]])</f>
        <v>45793.0</v>
      </c>
      <c r="AA459" s="64">
        <f>_xlfn.MAXIFS(tblLaborEntries[Work date serial],tblLaborEntries[Work package ID],tblWorkPackages[[#This Row],[Work package ID]])</f>
        <v>45793.0</v>
      </c>
      <c r="AB459" s="65">
        <f>IF(tblWorkPackages[[#This Row],[Completion date serial]]&gt;tblWorkPackages[[#This Row],[Due date serial]],1,0)</f>
        <v>0</v>
      </c>
      <c r="AC459" s="65">
        <f>MAX(0,tblWorkPackages[[#This Row],[Completion date serial]]-tblWorkPackages[[#This Row],[Due date serial]])</f>
        <v>0</v>
      </c>
      <c r="AD459" s="65">
        <f>tblWorkPackages[[#This Row],[First labor date]]-tblWorkPackages[[#This Row],[Request date serial]]</f>
        <v>1</v>
      </c>
      <c r="AE459" s="65">
        <f>tblWorkPackages[[#This Row],[Last labor date]]-tblWorkPackages[[#This Row],[First labor date]]</f>
        <v>0</v>
      </c>
      <c r="AF459" s="65">
        <f>tblWorkPackages[[#This Row],[Completion date serial]]-tblWorkPackages[[#This Row],[Last labor date]]</f>
        <v>1</v>
      </c>
      <c r="AG459" s="65">
        <f>tblWorkPackages[[#This Row],[Completion date serial]]-tblWorkPackages[[#This Row],[Request date serial]]</f>
        <v>2</v>
      </c>
      <c r="AH459" s="65">
        <f>IFERROR(INDEX(tblParts[Delay days],MATCH(tblWorkPackages[[#This Row],[Work package ID]],tblParts[Work package ID],0)),0)</f>
        <v>0</v>
      </c>
      <c r="AI459" s="51" t="str">
        <f>IFERROR(INDEX(tblDisruptions[Event type],MATCH(tblWorkPackages[[#This Row],[Work package ID]],tblDisruptions[Work package ID],0)),"None")</f>
        <v>None</v>
      </c>
      <c r="AJ459" s="51" t="str">
        <f>TEXT(tblWorkPackages[[#This Row],[Due date serial]],"yyyy-mm")</f>
        <v>2025-05</v>
      </c>
    </row>
    <row r="460" spans="1:36" ht="15" x14ac:dyDescent="0.25">
      <c r="A460" s="53" t="s">
        <v>1252</v>
      </c>
      <c r="B460" s="53" t="s">
        <v>124</v>
      </c>
      <c r="C460" s="53" t="s">
        <v>646</v>
      </c>
      <c r="D460" s="53" t="s">
        <v>579</v>
      </c>
      <c r="E460" s="53" t="s">
        <v>200</v>
      </c>
      <c r="F460" s="53" t="s">
        <v>128</v>
      </c>
      <c r="G460" s="53" t="s">
        <v>129</v>
      </c>
      <c r="H460" s="53">
        <v>4</v>
      </c>
      <c r="I460" s="53" t="s">
        <v>176</v>
      </c>
      <c r="J460" s="53">
        <v>0</v>
      </c>
      <c r="K460" s="53">
        <v>1</v>
      </c>
      <c r="L460" s="53">
        <v>5.4</v>
      </c>
      <c r="M460" s="53" t="s">
        <v>1253</v>
      </c>
      <c r="N460" s="53">
        <v>6.1</v>
      </c>
      <c r="O460" s="51" t="str">
        <f>TEXT(tblWorkPackages[[#This Row],[Request date serial]]-WEEKDAY(tblWorkPackages[[#This Row],[Request date serial]],3),"yyyy-mm-dd")</f>
        <v>2025-12-22</v>
      </c>
      <c r="P460" s="51">
        <f>ABS(tblWorkPackages[[#This Row],[Actual labor hours]]-tblWorkPackages[[#This Row],[Estimated labor hours]])</f>
        <v>0.699999999999999</v>
      </c>
      <c r="Q460" s="51">
        <f>IF(tblWorkPackages[[#This Row],[Actual labor hours]]&gt;tblWorkPackages[[#This Row],[Estimated labor hours]],1,0)</f>
        <v>1</v>
      </c>
      <c r="R460" s="51">
        <f>tblWorkPackages[[#This Row],[Actual labor hours]]-tblWorkPackages[[#This Row],[Estimated labor hours]]</f>
        <v>0.699999999999999</v>
      </c>
      <c r="S460" s="51" t="str">
        <f>IF(tblWorkPackages[[#This Row],[Request date serial]]&lt;ValidationStart,"Train 2024",IF(tblWorkPackages[[#This Row],[Request date serial]]&lt;HoldoutStart,"Validation H1","Holdout H2"))</f>
        <v>Holdout H2</v>
      </c>
      <c r="T460" s="51">
        <f>IF(tblWorkPackages[[#This Row],[Time split]]="Train 2024","",tblWorkPackages[[#This Row],[Estimated labor hours]]+VLOOKUP(tblWorkPackages[[#This Row],[Task type]],'Forecast validation'!$A$14:$E$25,IF(tblWorkPackages[[#This Row],[Time split]]="Validation H1",4,5),FALSE()))</f>
        <v>5.72893081761006</v>
      </c>
      <c r="U460" s="51">
        <f>IF(tblWorkPackages[[#This Row],[Calibrated forecast hours]]="","",ABS(tblWorkPackages[[#This Row],[Actual labor hours]]-tblWorkPackages[[#This Row],[Calibrated forecast hours]]))</f>
        <v>0.371069182389936</v>
      </c>
      <c r="V460" s="51">
        <f>IF(tblWorkPackages[[#This Row],[Time split]]="Train 2024",tblWorkPackages[[#This Row],[Estimated labor hours]],tblWorkPackages[[#This Row],[Calibrated forecast hours]])</f>
        <v>5.72893081761006</v>
      </c>
      <c r="W460" s="64">
        <f>DATEVALUE(tblWorkPackages[[#This Row],[Request date]])</f>
        <v>46015.0</v>
      </c>
      <c r="X460" s="64">
        <f>DATEVALUE(tblWorkPackages[[#This Row],[Due date]])</f>
        <v>46021.0</v>
      </c>
      <c r="Y460" s="64">
        <f>DATEVALUE(tblWorkPackages[[#This Row],[Completion date]])</f>
        <v>46028.0</v>
      </c>
      <c r="Z460" s="64">
        <f>_xlfn.MINIFS(tblLaborEntries[Work date serial],tblLaborEntries[Work package ID],tblWorkPackages[[#This Row],[Work package ID]])</f>
        <v>46026.0</v>
      </c>
      <c r="AA460" s="64">
        <f>_xlfn.MAXIFS(tblLaborEntries[Work date serial],tblLaborEntries[Work package ID],tblWorkPackages[[#This Row],[Work package ID]])</f>
        <v>46026.0</v>
      </c>
      <c r="AB460" s="65">
        <f>IF(tblWorkPackages[[#This Row],[Completion date serial]]&gt;tblWorkPackages[[#This Row],[Due date serial]],1,0)</f>
        <v>1</v>
      </c>
      <c r="AC460" s="65">
        <f>MAX(0,tblWorkPackages[[#This Row],[Completion date serial]]-tblWorkPackages[[#This Row],[Due date serial]])</f>
        <v>7</v>
      </c>
      <c r="AD460" s="65">
        <f>tblWorkPackages[[#This Row],[First labor date]]-tblWorkPackages[[#This Row],[Request date serial]]</f>
        <v>11</v>
      </c>
      <c r="AE460" s="65">
        <f>tblWorkPackages[[#This Row],[Last labor date]]-tblWorkPackages[[#This Row],[First labor date]]</f>
        <v>0</v>
      </c>
      <c r="AF460" s="65">
        <f>tblWorkPackages[[#This Row],[Completion date serial]]-tblWorkPackages[[#This Row],[Last labor date]]</f>
        <v>2</v>
      </c>
      <c r="AG460" s="65">
        <f>tblWorkPackages[[#This Row],[Completion date serial]]-tblWorkPackages[[#This Row],[Request date serial]]</f>
        <v>13</v>
      </c>
      <c r="AH460" s="65">
        <f>IFERROR(INDEX(tblParts[Delay days],MATCH(tblWorkPackages[[#This Row],[Work package ID]],tblParts[Work package ID],0)),0)</f>
        <v>0</v>
      </c>
      <c r="AI460" s="51" t="str">
        <f>IFERROR(INDEX(tblDisruptions[Event type],MATCH(tblWorkPackages[[#This Row],[Work package ID]],tblDisruptions[Work package ID],0)),"None")</f>
        <v>None</v>
      </c>
      <c r="AJ460" s="51" t="str">
        <f>TEXT(tblWorkPackages[[#This Row],[Due date serial]],"yyyy-mm")</f>
        <v>2025-12</v>
      </c>
    </row>
    <row r="461" spans="1:36" ht="15" x14ac:dyDescent="0.25">
      <c r="A461" s="53" t="s">
        <v>1254</v>
      </c>
      <c r="B461" s="53" t="s">
        <v>150</v>
      </c>
      <c r="C461" s="53" t="s">
        <v>300</v>
      </c>
      <c r="D461" s="53" t="s">
        <v>316</v>
      </c>
      <c r="E461" s="53" t="s">
        <v>144</v>
      </c>
      <c r="F461" s="53" t="s">
        <v>145</v>
      </c>
      <c r="G461" s="53" t="s">
        <v>146</v>
      </c>
      <c r="H461" s="53">
        <v>2</v>
      </c>
      <c r="I461" s="53" t="s">
        <v>176</v>
      </c>
      <c r="J461" s="53">
        <v>0</v>
      </c>
      <c r="K461" s="53">
        <v>1</v>
      </c>
      <c r="L461" s="53">
        <v>12.4</v>
      </c>
      <c r="M461" s="53" t="s">
        <v>316</v>
      </c>
      <c r="N461" s="53">
        <v>9.8000000000000007</v>
      </c>
      <c r="O461" s="51" t="str">
        <f>TEXT(tblWorkPackages[[#This Row],[Request date serial]]-WEEKDAY(tblWorkPackages[[#This Row],[Request date serial]],3),"yyyy-mm-dd")</f>
        <v>2024-04-15</v>
      </c>
      <c r="P461" s="51">
        <f>ABS(tblWorkPackages[[#This Row],[Actual labor hours]]-tblWorkPackages[[#This Row],[Estimated labor hours]])</f>
        <v>2.6</v>
      </c>
      <c r="Q461" s="51">
        <f>IF(tblWorkPackages[[#This Row],[Actual labor hours]]&gt;tblWorkPackages[[#This Row],[Estimated labor hours]],1,0)</f>
        <v>0</v>
      </c>
      <c r="R461" s="51">
        <f>tblWorkPackages[[#This Row],[Actual labor hours]]-tblWorkPackages[[#This Row],[Estimated labor hours]]</f>
        <v>-2.6</v>
      </c>
      <c r="S461" s="51" t="str">
        <f>IF(tblWorkPackages[[#This Row],[Request date serial]]&lt;ValidationStart,"Train 2024",IF(tblWorkPackages[[#This Row],[Request date serial]]&lt;HoldoutStart,"Validation H1","Holdout H2"))</f>
        <v>Train 2024</v>
      </c>
      <c r="T461" s="51" t="str">
        <f>IF(tblWorkPackages[[#This Row],[Time split]]="Train 2024","",tblWorkPackages[[#This Row],[Estimated labor hours]]+VLOOKUP(tblWorkPackages[[#This Row],[Task type]],'Forecast validation'!$A$14:$E$25,IF(tblWorkPackages[[#This Row],[Time split]]="Validation H1",4,5),FALSE()))</f>
        <v/>
      </c>
      <c r="U461" s="51" t="str">
        <f>IF(tblWorkPackages[[#This Row],[Calibrated forecast hours]]="","",ABS(tblWorkPackages[[#This Row],[Actual labor hours]]-tblWorkPackages[[#This Row],[Calibrated forecast hours]]))</f>
        <v/>
      </c>
      <c r="V461" s="51">
        <f>IF(tblWorkPackages[[#This Row],[Time split]]="Train 2024",tblWorkPackages[[#This Row],[Estimated labor hours]],tblWorkPackages[[#This Row],[Calibrated forecast hours]])</f>
        <v>12.4</v>
      </c>
      <c r="W461" s="64">
        <f>DATEVALUE(tblWorkPackages[[#This Row],[Request date]])</f>
        <v>45397.0</v>
      </c>
      <c r="X461" s="64">
        <f>DATEVALUE(tblWorkPackages[[#This Row],[Due date]])</f>
        <v>45403.0</v>
      </c>
      <c r="Y461" s="64">
        <f>DATEVALUE(tblWorkPackages[[#This Row],[Completion date]])</f>
        <v>45403.0</v>
      </c>
      <c r="Z461" s="64">
        <f>_xlfn.MINIFS(tblLaborEntries[Work date serial],tblLaborEntries[Work package ID],tblWorkPackages[[#This Row],[Work package ID]])</f>
        <v>45400.0</v>
      </c>
      <c r="AA461" s="64">
        <f>_xlfn.MAXIFS(tblLaborEntries[Work date serial],tblLaborEntries[Work package ID],tblWorkPackages[[#This Row],[Work package ID]])</f>
        <v>45400.0</v>
      </c>
      <c r="AB461" s="65">
        <f>IF(tblWorkPackages[[#This Row],[Completion date serial]]&gt;tblWorkPackages[[#This Row],[Due date serial]],1,0)</f>
        <v>0</v>
      </c>
      <c r="AC461" s="65">
        <f>MAX(0,tblWorkPackages[[#This Row],[Completion date serial]]-tblWorkPackages[[#This Row],[Due date serial]])</f>
        <v>0</v>
      </c>
      <c r="AD461" s="65">
        <f>tblWorkPackages[[#This Row],[First labor date]]-tblWorkPackages[[#This Row],[Request date serial]]</f>
        <v>3</v>
      </c>
      <c r="AE461" s="65">
        <f>tblWorkPackages[[#This Row],[Last labor date]]-tblWorkPackages[[#This Row],[First labor date]]</f>
        <v>0</v>
      </c>
      <c r="AF461" s="65">
        <f>tblWorkPackages[[#This Row],[Completion date serial]]-tblWorkPackages[[#This Row],[Last labor date]]</f>
        <v>3</v>
      </c>
      <c r="AG461" s="65">
        <f>tblWorkPackages[[#This Row],[Completion date serial]]-tblWorkPackages[[#This Row],[Request date serial]]</f>
        <v>6</v>
      </c>
      <c r="AH461" s="65">
        <f>IFERROR(INDEX(tblParts[Delay days],MATCH(tblWorkPackages[[#This Row],[Work package ID]],tblParts[Work package ID],0)),0)</f>
        <v>0</v>
      </c>
      <c r="AI461" s="51" t="str">
        <f>IFERROR(INDEX(tblDisruptions[Event type],MATCH(tblWorkPackages[[#This Row],[Work package ID]],tblDisruptions[Work package ID],0)),"None")</f>
        <v>None</v>
      </c>
      <c r="AJ461" s="51" t="str">
        <f>TEXT(tblWorkPackages[[#This Row],[Due date serial]],"yyyy-mm")</f>
        <v>2024-04</v>
      </c>
    </row>
    <row r="462" spans="1:36" ht="15" x14ac:dyDescent="0.25">
      <c r="A462" s="53" t="s">
        <v>1255</v>
      </c>
      <c r="B462" s="53" t="s">
        <v>157</v>
      </c>
      <c r="C462" s="53" t="s">
        <v>1256</v>
      </c>
      <c r="D462" s="53" t="s">
        <v>1030</v>
      </c>
      <c r="E462" s="53" t="s">
        <v>136</v>
      </c>
      <c r="F462" s="53" t="s">
        <v>137</v>
      </c>
      <c r="G462" s="53" t="s">
        <v>138</v>
      </c>
      <c r="H462" s="53">
        <v>1</v>
      </c>
      <c r="I462" s="53" t="s">
        <v>130</v>
      </c>
      <c r="J462" s="53">
        <v>0</v>
      </c>
      <c r="K462" s="53">
        <v>0</v>
      </c>
      <c r="L462" s="53">
        <v>9.1999999999999993</v>
      </c>
      <c r="M462" s="53" t="s">
        <v>744</v>
      </c>
      <c r="N462" s="53">
        <v>8.3000000000000007</v>
      </c>
      <c r="O462" s="51" t="str">
        <f>TEXT(tblWorkPackages[[#This Row],[Request date serial]]-WEEKDAY(tblWorkPackages[[#This Row],[Request date serial]],3),"yyyy-mm-dd")</f>
        <v>2025-06-23</v>
      </c>
      <c r="P462" s="51">
        <f>ABS(tblWorkPackages[[#This Row],[Actual labor hours]]-tblWorkPackages[[#This Row],[Estimated labor hours]])</f>
        <v>0.899999999999999</v>
      </c>
      <c r="Q462" s="51">
        <f>IF(tblWorkPackages[[#This Row],[Actual labor hours]]&gt;tblWorkPackages[[#This Row],[Estimated labor hours]],1,0)</f>
        <v>0</v>
      </c>
      <c r="R462" s="51">
        <f>tblWorkPackages[[#This Row],[Actual labor hours]]-tblWorkPackages[[#This Row],[Estimated labor hours]]</f>
        <v>-0.899999999999999</v>
      </c>
      <c r="S462" s="51" t="str">
        <f>IF(tblWorkPackages[[#This Row],[Request date serial]]&lt;ValidationStart,"Train 2024",IF(tblWorkPackages[[#This Row],[Request date serial]]&lt;HoldoutStart,"Validation H1","Holdout H2"))</f>
        <v>Validation H1</v>
      </c>
      <c r="T462" s="51">
        <f>IF(tblWorkPackages[[#This Row],[Time split]]="Train 2024","",tblWorkPackages[[#This Row],[Estimated labor hours]]+VLOOKUP(tblWorkPackages[[#This Row],[Task type]],'Forecast validation'!$A$14:$E$25,IF(tblWorkPackages[[#This Row],[Time split]]="Validation H1",4,5),FALSE()))</f>
        <v>10.0765306122449</v>
      </c>
      <c r="U462" s="51">
        <f>IF(tblWorkPackages[[#This Row],[Calibrated forecast hours]]="","",ABS(tblWorkPackages[[#This Row],[Actual labor hours]]-tblWorkPackages[[#This Row],[Calibrated forecast hours]]))</f>
        <v>1.7765306122449</v>
      </c>
      <c r="V462" s="51">
        <f>IF(tblWorkPackages[[#This Row],[Time split]]="Train 2024",tblWorkPackages[[#This Row],[Estimated labor hours]],tblWorkPackages[[#This Row],[Calibrated forecast hours]])</f>
        <v>10.0765306122449</v>
      </c>
      <c r="W462" s="64">
        <f>DATEVALUE(tblWorkPackages[[#This Row],[Request date]])</f>
        <v>45831.0</v>
      </c>
      <c r="X462" s="64">
        <f>DATEVALUE(tblWorkPackages[[#This Row],[Due date]])</f>
        <v>45844.0</v>
      </c>
      <c r="Y462" s="64">
        <f>DATEVALUE(tblWorkPackages[[#This Row],[Completion date]])</f>
        <v>45863.0</v>
      </c>
      <c r="Z462" s="64">
        <f>_xlfn.MINIFS(tblLaborEntries[Work date serial],tblLaborEntries[Work package ID],tblWorkPackages[[#This Row],[Work package ID]])</f>
        <v>45862.0</v>
      </c>
      <c r="AA462" s="64">
        <f>_xlfn.MAXIFS(tblLaborEntries[Work date serial],tblLaborEntries[Work package ID],tblWorkPackages[[#This Row],[Work package ID]])</f>
        <v>45863.0</v>
      </c>
      <c r="AB462" s="65">
        <f>IF(tblWorkPackages[[#This Row],[Completion date serial]]&gt;tblWorkPackages[[#This Row],[Due date serial]],1,0)</f>
        <v>1</v>
      </c>
      <c r="AC462" s="65">
        <f>MAX(0,tblWorkPackages[[#This Row],[Completion date serial]]-tblWorkPackages[[#This Row],[Due date serial]])</f>
        <v>19</v>
      </c>
      <c r="AD462" s="65">
        <f>tblWorkPackages[[#This Row],[First labor date]]-tblWorkPackages[[#This Row],[Request date serial]]</f>
        <v>31</v>
      </c>
      <c r="AE462" s="65">
        <f>tblWorkPackages[[#This Row],[Last labor date]]-tblWorkPackages[[#This Row],[First labor date]]</f>
        <v>1</v>
      </c>
      <c r="AF462" s="65">
        <f>tblWorkPackages[[#This Row],[Completion date serial]]-tblWorkPackages[[#This Row],[Last labor date]]</f>
        <v>0</v>
      </c>
      <c r="AG462" s="65">
        <f>tblWorkPackages[[#This Row],[Completion date serial]]-tblWorkPackages[[#This Row],[Request date serial]]</f>
        <v>32</v>
      </c>
      <c r="AH462" s="65">
        <f>IFERROR(INDEX(tblParts[Delay days],MATCH(tblWorkPackages[[#This Row],[Work package ID]],tblParts[Work package ID],0)),0)</f>
        <v>0</v>
      </c>
      <c r="AI462" s="51" t="str">
        <f>IFERROR(INDEX(tblDisruptions[Event type],MATCH(tblWorkPackages[[#This Row],[Work package ID]],tblDisruptions[Work package ID],0)),"None")</f>
        <v>None</v>
      </c>
      <c r="AJ462" s="51" t="str">
        <f>TEXT(tblWorkPackages[[#This Row],[Due date serial]],"yyyy-mm")</f>
        <v>2025-07</v>
      </c>
    </row>
    <row r="463" spans="1:36" ht="15" x14ac:dyDescent="0.25">
      <c r="A463" s="53" t="s">
        <v>1257</v>
      </c>
      <c r="B463" s="53" t="s">
        <v>230</v>
      </c>
      <c r="C463" s="53" t="s">
        <v>741</v>
      </c>
      <c r="D463" s="53" t="s">
        <v>711</v>
      </c>
      <c r="E463" s="53" t="s">
        <v>209</v>
      </c>
      <c r="F463" s="53" t="s">
        <v>145</v>
      </c>
      <c r="G463" s="53" t="s">
        <v>210</v>
      </c>
      <c r="H463" s="53">
        <v>4</v>
      </c>
      <c r="I463" s="53" t="s">
        <v>130</v>
      </c>
      <c r="J463" s="53">
        <v>0</v>
      </c>
      <c r="K463" s="53">
        <v>0</v>
      </c>
      <c r="L463" s="53">
        <v>43.1</v>
      </c>
      <c r="M463" s="53" t="s">
        <v>713</v>
      </c>
      <c r="N463" s="53">
        <v>41.6</v>
      </c>
      <c r="O463" s="51" t="str">
        <f>TEXT(tblWorkPackages[[#This Row],[Request date serial]]-WEEKDAY(tblWorkPackages[[#This Row],[Request date serial]],3),"yyyy-mm-dd")</f>
        <v>2025-06-02</v>
      </c>
      <c r="P463" s="51">
        <f>ABS(tblWorkPackages[[#This Row],[Actual labor hours]]-tblWorkPackages[[#This Row],[Estimated labor hours]])</f>
        <v>1.5</v>
      </c>
      <c r="Q463" s="51">
        <f>IF(tblWorkPackages[[#This Row],[Actual labor hours]]&gt;tblWorkPackages[[#This Row],[Estimated labor hours]],1,0)</f>
        <v>0</v>
      </c>
      <c r="R463" s="51">
        <f>tblWorkPackages[[#This Row],[Actual labor hours]]-tblWorkPackages[[#This Row],[Estimated labor hours]]</f>
        <v>-1.5</v>
      </c>
      <c r="S463" s="51" t="str">
        <f>IF(tblWorkPackages[[#This Row],[Request date serial]]&lt;ValidationStart,"Train 2024",IF(tblWorkPackages[[#This Row],[Request date serial]]&lt;HoldoutStart,"Validation H1","Holdout H2"))</f>
        <v>Validation H1</v>
      </c>
      <c r="T463" s="51">
        <f>IF(tblWorkPackages[[#This Row],[Time split]]="Train 2024","",tblWorkPackages[[#This Row],[Estimated labor hours]]+VLOOKUP(tblWorkPackages[[#This Row],[Task type]],'Forecast validation'!$A$14:$E$25,IF(tblWorkPackages[[#This Row],[Time split]]="Validation H1",4,5),FALSE()))</f>
        <v>44.2029850746269</v>
      </c>
      <c r="U463" s="51">
        <f>IF(tblWorkPackages[[#This Row],[Calibrated forecast hours]]="","",ABS(tblWorkPackages[[#This Row],[Actual labor hours]]-tblWorkPackages[[#This Row],[Calibrated forecast hours]]))</f>
        <v>2.60298507462687</v>
      </c>
      <c r="V463" s="51">
        <f>IF(tblWorkPackages[[#This Row],[Time split]]="Train 2024",tblWorkPackages[[#This Row],[Estimated labor hours]],tblWorkPackages[[#This Row],[Calibrated forecast hours]])</f>
        <v>44.2029850746269</v>
      </c>
      <c r="W463" s="64">
        <f>DATEVALUE(tblWorkPackages[[#This Row],[Request date]])</f>
        <v>45814.0</v>
      </c>
      <c r="X463" s="64">
        <f>DATEVALUE(tblWorkPackages[[#This Row],[Due date]])</f>
        <v>45827.0</v>
      </c>
      <c r="Y463" s="64">
        <f>DATEVALUE(tblWorkPackages[[#This Row],[Completion date]])</f>
        <v>45823.0</v>
      </c>
      <c r="Z463" s="64">
        <f>_xlfn.MINIFS(tblLaborEntries[Work date serial],tblLaborEntries[Work package ID],tblWorkPackages[[#This Row],[Work package ID]])</f>
        <v>45820.0</v>
      </c>
      <c r="AA463" s="64">
        <f>_xlfn.MAXIFS(tblLaborEntries[Work date serial],tblLaborEntries[Work package ID],tblWorkPackages[[#This Row],[Work package ID]])</f>
        <v>45822.0</v>
      </c>
      <c r="AB463" s="65">
        <f>IF(tblWorkPackages[[#This Row],[Completion date serial]]&gt;tblWorkPackages[[#This Row],[Due date serial]],1,0)</f>
        <v>0</v>
      </c>
      <c r="AC463" s="65">
        <f>MAX(0,tblWorkPackages[[#This Row],[Completion date serial]]-tblWorkPackages[[#This Row],[Due date serial]])</f>
        <v>0</v>
      </c>
      <c r="AD463" s="65">
        <f>tblWorkPackages[[#This Row],[First labor date]]-tblWorkPackages[[#This Row],[Request date serial]]</f>
        <v>6</v>
      </c>
      <c r="AE463" s="65">
        <f>tblWorkPackages[[#This Row],[Last labor date]]-tblWorkPackages[[#This Row],[First labor date]]</f>
        <v>2</v>
      </c>
      <c r="AF463" s="65">
        <f>tblWorkPackages[[#This Row],[Completion date serial]]-tblWorkPackages[[#This Row],[Last labor date]]</f>
        <v>1</v>
      </c>
      <c r="AG463" s="65">
        <f>tblWorkPackages[[#This Row],[Completion date serial]]-tblWorkPackages[[#This Row],[Request date serial]]</f>
        <v>9</v>
      </c>
      <c r="AH463" s="65">
        <f>IFERROR(INDEX(tblParts[Delay days],MATCH(tblWorkPackages[[#This Row],[Work package ID]],tblParts[Work package ID],0)),0)</f>
        <v>0</v>
      </c>
      <c r="AI463" s="51" t="str">
        <f>IFERROR(INDEX(tblDisruptions[Event type],MATCH(tblWorkPackages[[#This Row],[Work package ID]],tblDisruptions[Work package ID],0)),"None")</f>
        <v>Scope change</v>
      </c>
      <c r="AJ463" s="51" t="str">
        <f>TEXT(tblWorkPackages[[#This Row],[Due date serial]],"yyyy-mm")</f>
        <v>2025-06</v>
      </c>
    </row>
    <row r="464" spans="1:36" ht="15" x14ac:dyDescent="0.25">
      <c r="A464" s="53" t="s">
        <v>1258</v>
      </c>
      <c r="B464" s="53" t="s">
        <v>203</v>
      </c>
      <c r="C464" s="53" t="s">
        <v>703</v>
      </c>
      <c r="D464" s="53" t="s">
        <v>704</v>
      </c>
      <c r="E464" s="53" t="s">
        <v>136</v>
      </c>
      <c r="F464" s="53" t="s">
        <v>137</v>
      </c>
      <c r="G464" s="53" t="s">
        <v>138</v>
      </c>
      <c r="H464" s="53">
        <v>3</v>
      </c>
      <c r="I464" s="53" t="s">
        <v>130</v>
      </c>
      <c r="J464" s="53">
        <v>0</v>
      </c>
      <c r="K464" s="53">
        <v>0</v>
      </c>
      <c r="L464" s="53">
        <v>19.100000000000001</v>
      </c>
      <c r="M464" s="53" t="s">
        <v>575</v>
      </c>
      <c r="N464" s="53">
        <v>17.399999999999999</v>
      </c>
      <c r="O464" s="51" t="str">
        <f>TEXT(tblWorkPackages[[#This Row],[Request date serial]]-WEEKDAY(tblWorkPackages[[#This Row],[Request date serial]],3),"yyyy-mm-dd")</f>
        <v>2024-06-10</v>
      </c>
      <c r="P464" s="51">
        <f>ABS(tblWorkPackages[[#This Row],[Actual labor hours]]-tblWorkPackages[[#This Row],[Estimated labor hours]])</f>
        <v>1.7</v>
      </c>
      <c r="Q464" s="51">
        <f>IF(tblWorkPackages[[#This Row],[Actual labor hours]]&gt;tblWorkPackages[[#This Row],[Estimated labor hours]],1,0)</f>
        <v>0</v>
      </c>
      <c r="R464" s="51">
        <f>tblWorkPackages[[#This Row],[Actual labor hours]]-tblWorkPackages[[#This Row],[Estimated labor hours]]</f>
        <v>-1.7</v>
      </c>
      <c r="S464" s="51" t="str">
        <f>IF(tblWorkPackages[[#This Row],[Request date serial]]&lt;ValidationStart,"Train 2024",IF(tblWorkPackages[[#This Row],[Request date serial]]&lt;HoldoutStart,"Validation H1","Holdout H2"))</f>
        <v>Train 2024</v>
      </c>
      <c r="T464" s="51" t="str">
        <f>IF(tblWorkPackages[[#This Row],[Time split]]="Train 2024","",tblWorkPackages[[#This Row],[Estimated labor hours]]+VLOOKUP(tblWorkPackages[[#This Row],[Task type]],'Forecast validation'!$A$14:$E$25,IF(tblWorkPackages[[#This Row],[Time split]]="Validation H1",4,5),FALSE()))</f>
        <v/>
      </c>
      <c r="U464" s="51" t="str">
        <f>IF(tblWorkPackages[[#This Row],[Calibrated forecast hours]]="","",ABS(tblWorkPackages[[#This Row],[Actual labor hours]]-tblWorkPackages[[#This Row],[Calibrated forecast hours]]))</f>
        <v/>
      </c>
      <c r="V464" s="51">
        <f>IF(tblWorkPackages[[#This Row],[Time split]]="Train 2024",tblWorkPackages[[#This Row],[Estimated labor hours]],tblWorkPackages[[#This Row],[Calibrated forecast hours]])</f>
        <v>19.1</v>
      </c>
      <c r="W464" s="64">
        <f>DATEVALUE(tblWorkPackages[[#This Row],[Request date]])</f>
        <v>45454.0</v>
      </c>
      <c r="X464" s="64">
        <f>DATEVALUE(tblWorkPackages[[#This Row],[Due date]])</f>
        <v>45467.0</v>
      </c>
      <c r="Y464" s="64">
        <f>DATEVALUE(tblWorkPackages[[#This Row],[Completion date]])</f>
        <v>45458.0</v>
      </c>
      <c r="Z464" s="64">
        <f>_xlfn.MINIFS(tblLaborEntries[Work date serial],tblLaborEntries[Work package ID],tblWorkPackages[[#This Row],[Work package ID]])</f>
        <v>45456.0</v>
      </c>
      <c r="AA464" s="64">
        <f>_xlfn.MAXIFS(tblLaborEntries[Work date serial],tblLaborEntries[Work package ID],tblWorkPackages[[#This Row],[Work package ID]])</f>
        <v>45456.0</v>
      </c>
      <c r="AB464" s="65">
        <f>IF(tblWorkPackages[[#This Row],[Completion date serial]]&gt;tblWorkPackages[[#This Row],[Due date serial]],1,0)</f>
        <v>0</v>
      </c>
      <c r="AC464" s="65">
        <f>MAX(0,tblWorkPackages[[#This Row],[Completion date serial]]-tblWorkPackages[[#This Row],[Due date serial]])</f>
        <v>0</v>
      </c>
      <c r="AD464" s="65">
        <f>tblWorkPackages[[#This Row],[First labor date]]-tblWorkPackages[[#This Row],[Request date serial]]</f>
        <v>2</v>
      </c>
      <c r="AE464" s="65">
        <f>tblWorkPackages[[#This Row],[Last labor date]]-tblWorkPackages[[#This Row],[First labor date]]</f>
        <v>0</v>
      </c>
      <c r="AF464" s="65">
        <f>tblWorkPackages[[#This Row],[Completion date serial]]-tblWorkPackages[[#This Row],[Last labor date]]</f>
        <v>2</v>
      </c>
      <c r="AG464" s="65">
        <f>tblWorkPackages[[#This Row],[Completion date serial]]-tblWorkPackages[[#This Row],[Request date serial]]</f>
        <v>4</v>
      </c>
      <c r="AH464" s="65">
        <f>IFERROR(INDEX(tblParts[Delay days],MATCH(tblWorkPackages[[#This Row],[Work package ID]],tblParts[Work package ID],0)),0)</f>
        <v>0</v>
      </c>
      <c r="AI464" s="51" t="str">
        <f>IFERROR(INDEX(tblDisruptions[Event type],MATCH(tblWorkPackages[[#This Row],[Work package ID]],tblDisruptions[Work package ID],0)),"None")</f>
        <v>None</v>
      </c>
      <c r="AJ464" s="51" t="str">
        <f>TEXT(tblWorkPackages[[#This Row],[Due date serial]],"yyyy-mm")</f>
        <v>2024-06</v>
      </c>
    </row>
    <row r="465" spans="1:36" ht="15" x14ac:dyDescent="0.25">
      <c r="A465" s="53" t="s">
        <v>1259</v>
      </c>
      <c r="B465" s="53" t="s">
        <v>163</v>
      </c>
      <c r="C465" s="53" t="s">
        <v>1260</v>
      </c>
      <c r="D465" s="53" t="s">
        <v>248</v>
      </c>
      <c r="E465" s="53" t="s">
        <v>136</v>
      </c>
      <c r="F465" s="53" t="s">
        <v>137</v>
      </c>
      <c r="G465" s="53" t="s">
        <v>138</v>
      </c>
      <c r="H465" s="53">
        <v>3</v>
      </c>
      <c r="I465" s="53" t="s">
        <v>130</v>
      </c>
      <c r="J465" s="53">
        <v>0</v>
      </c>
      <c r="K465" s="53">
        <v>0</v>
      </c>
      <c r="L465" s="53">
        <v>20.6</v>
      </c>
      <c r="M465" s="53" t="s">
        <v>667</v>
      </c>
      <c r="N465" s="53">
        <v>22.6</v>
      </c>
      <c r="O465" s="51" t="str">
        <f>TEXT(tblWorkPackages[[#This Row],[Request date serial]]-WEEKDAY(tblWorkPackages[[#This Row],[Request date serial]],3),"yyyy-mm-dd")</f>
        <v>2024-03-04</v>
      </c>
      <c r="P465" s="51">
        <f>ABS(tblWorkPackages[[#This Row],[Actual labor hours]]-tblWorkPackages[[#This Row],[Estimated labor hours]])</f>
        <v>2</v>
      </c>
      <c r="Q465" s="51">
        <f>IF(tblWorkPackages[[#This Row],[Actual labor hours]]&gt;tblWorkPackages[[#This Row],[Estimated labor hours]],1,0)</f>
        <v>1</v>
      </c>
      <c r="R465" s="51">
        <f>tblWorkPackages[[#This Row],[Actual labor hours]]-tblWorkPackages[[#This Row],[Estimated labor hours]]</f>
        <v>2</v>
      </c>
      <c r="S465" s="51" t="str">
        <f>IF(tblWorkPackages[[#This Row],[Request date serial]]&lt;ValidationStart,"Train 2024",IF(tblWorkPackages[[#This Row],[Request date serial]]&lt;HoldoutStart,"Validation H1","Holdout H2"))</f>
        <v>Train 2024</v>
      </c>
      <c r="T465" s="51" t="str">
        <f>IF(tblWorkPackages[[#This Row],[Time split]]="Train 2024","",tblWorkPackages[[#This Row],[Estimated labor hours]]+VLOOKUP(tblWorkPackages[[#This Row],[Task type]],'Forecast validation'!$A$14:$E$25,IF(tblWorkPackages[[#This Row],[Time split]]="Validation H1",4,5),FALSE()))</f>
        <v/>
      </c>
      <c r="U465" s="51" t="str">
        <f>IF(tblWorkPackages[[#This Row],[Calibrated forecast hours]]="","",ABS(tblWorkPackages[[#This Row],[Actual labor hours]]-tblWorkPackages[[#This Row],[Calibrated forecast hours]]))</f>
        <v/>
      </c>
      <c r="V465" s="51">
        <f>IF(tblWorkPackages[[#This Row],[Time split]]="Train 2024",tblWorkPackages[[#This Row],[Estimated labor hours]],tblWorkPackages[[#This Row],[Calibrated forecast hours]])</f>
        <v>20.6</v>
      </c>
      <c r="W465" s="64">
        <f>DATEVALUE(tblWorkPackages[[#This Row],[Request date]])</f>
        <v>45355.0</v>
      </c>
      <c r="X465" s="64">
        <f>DATEVALUE(tblWorkPackages[[#This Row],[Due date]])</f>
        <v>45368.0</v>
      </c>
      <c r="Y465" s="64">
        <f>DATEVALUE(tblWorkPackages[[#This Row],[Completion date]])</f>
        <v>45373.0</v>
      </c>
      <c r="Z465" s="64">
        <f>_xlfn.MINIFS(tblLaborEntries[Work date serial],tblLaborEntries[Work package ID],tblWorkPackages[[#This Row],[Work package ID]])</f>
        <v>45369.0</v>
      </c>
      <c r="AA465" s="64">
        <f>_xlfn.MAXIFS(tblLaborEntries[Work date serial],tblLaborEntries[Work package ID],tblWorkPackages[[#This Row],[Work package ID]])</f>
        <v>45370.0</v>
      </c>
      <c r="AB465" s="65">
        <f>IF(tblWorkPackages[[#This Row],[Completion date serial]]&gt;tblWorkPackages[[#This Row],[Due date serial]],1,0)</f>
        <v>1</v>
      </c>
      <c r="AC465" s="65">
        <f>MAX(0,tblWorkPackages[[#This Row],[Completion date serial]]-tblWorkPackages[[#This Row],[Due date serial]])</f>
        <v>5</v>
      </c>
      <c r="AD465" s="65">
        <f>tblWorkPackages[[#This Row],[First labor date]]-tblWorkPackages[[#This Row],[Request date serial]]</f>
        <v>14</v>
      </c>
      <c r="AE465" s="65">
        <f>tblWorkPackages[[#This Row],[Last labor date]]-tblWorkPackages[[#This Row],[First labor date]]</f>
        <v>1</v>
      </c>
      <c r="AF465" s="65">
        <f>tblWorkPackages[[#This Row],[Completion date serial]]-tblWorkPackages[[#This Row],[Last labor date]]</f>
        <v>3</v>
      </c>
      <c r="AG465" s="65">
        <f>tblWorkPackages[[#This Row],[Completion date serial]]-tblWorkPackages[[#This Row],[Request date serial]]</f>
        <v>18</v>
      </c>
      <c r="AH465" s="65">
        <f>IFERROR(INDEX(tblParts[Delay days],MATCH(tblWorkPackages[[#This Row],[Work package ID]],tblParts[Work package ID],0)),0)</f>
        <v>0</v>
      </c>
      <c r="AI465" s="51" t="str">
        <f>IFERROR(INDEX(tblDisruptions[Event type],MATCH(tblWorkPackages[[#This Row],[Work package ID]],tblDisruptions[Work package ID],0)),"None")</f>
        <v>None</v>
      </c>
      <c r="AJ465" s="51" t="str">
        <f>TEXT(tblWorkPackages[[#This Row],[Due date serial]],"yyyy-mm")</f>
        <v>2024-03</v>
      </c>
    </row>
    <row r="466" spans="1:36" ht="15" x14ac:dyDescent="0.25">
      <c r="A466" s="53" t="s">
        <v>1261</v>
      </c>
      <c r="B466" s="53" t="s">
        <v>150</v>
      </c>
      <c r="C466" s="53" t="s">
        <v>1262</v>
      </c>
      <c r="D466" s="53" t="s">
        <v>1263</v>
      </c>
      <c r="E466" s="53" t="s">
        <v>242</v>
      </c>
      <c r="F466" s="53" t="s">
        <v>243</v>
      </c>
      <c r="G466" s="53" t="s">
        <v>129</v>
      </c>
      <c r="H466" s="53">
        <v>1</v>
      </c>
      <c r="I466" s="53" t="s">
        <v>130</v>
      </c>
      <c r="J466" s="53">
        <v>0</v>
      </c>
      <c r="K466" s="53">
        <v>0</v>
      </c>
      <c r="L466" s="53">
        <v>6.3</v>
      </c>
      <c r="M466" s="53" t="s">
        <v>489</v>
      </c>
      <c r="N466" s="53">
        <v>7.8</v>
      </c>
      <c r="O466" s="51" t="str">
        <f>TEXT(tblWorkPackages[[#This Row],[Request date serial]]-WEEKDAY(tblWorkPackages[[#This Row],[Request date serial]],3),"yyyy-mm-dd")</f>
        <v>2024-02-12</v>
      </c>
      <c r="P466" s="51">
        <f>ABS(tblWorkPackages[[#This Row],[Actual labor hours]]-tblWorkPackages[[#This Row],[Estimated labor hours]])</f>
        <v>1.5</v>
      </c>
      <c r="Q466" s="51">
        <f>IF(tblWorkPackages[[#This Row],[Actual labor hours]]&gt;tblWorkPackages[[#This Row],[Estimated labor hours]],1,0)</f>
        <v>1</v>
      </c>
      <c r="R466" s="51">
        <f>tblWorkPackages[[#This Row],[Actual labor hours]]-tblWorkPackages[[#This Row],[Estimated labor hours]]</f>
        <v>1.5</v>
      </c>
      <c r="S466" s="51" t="str">
        <f>IF(tblWorkPackages[[#This Row],[Request date serial]]&lt;ValidationStart,"Train 2024",IF(tblWorkPackages[[#This Row],[Request date serial]]&lt;HoldoutStart,"Validation H1","Holdout H2"))</f>
        <v>Train 2024</v>
      </c>
      <c r="T466" s="51" t="str">
        <f>IF(tblWorkPackages[[#This Row],[Time split]]="Train 2024","",tblWorkPackages[[#This Row],[Estimated labor hours]]+VLOOKUP(tblWorkPackages[[#This Row],[Task type]],'Forecast validation'!$A$14:$E$25,IF(tblWorkPackages[[#This Row],[Time split]]="Validation H1",4,5),FALSE()))</f>
        <v/>
      </c>
      <c r="U466" s="51" t="str">
        <f>IF(tblWorkPackages[[#This Row],[Calibrated forecast hours]]="","",ABS(tblWorkPackages[[#This Row],[Actual labor hours]]-tblWorkPackages[[#This Row],[Calibrated forecast hours]]))</f>
        <v/>
      </c>
      <c r="V466" s="51">
        <f>IF(tblWorkPackages[[#This Row],[Time split]]="Train 2024",tblWorkPackages[[#This Row],[Estimated labor hours]],tblWorkPackages[[#This Row],[Calibrated forecast hours]])</f>
        <v>6.3</v>
      </c>
      <c r="W466" s="64">
        <f>DATEVALUE(tblWorkPackages[[#This Row],[Request date]])</f>
        <v>45337.0</v>
      </c>
      <c r="X466" s="64">
        <f>DATEVALUE(tblWorkPackages[[#This Row],[Due date]])</f>
        <v>45350.0</v>
      </c>
      <c r="Y466" s="64">
        <f>DATEVALUE(tblWorkPackages[[#This Row],[Completion date]])</f>
        <v>45341.0</v>
      </c>
      <c r="Z466" s="64">
        <f>_xlfn.MINIFS(tblLaborEntries[Work date serial],tblLaborEntries[Work package ID],tblWorkPackages[[#This Row],[Work package ID]])</f>
        <v>45341.0</v>
      </c>
      <c r="AA466" s="64">
        <f>_xlfn.MAXIFS(tblLaborEntries[Work date serial],tblLaborEntries[Work package ID],tblWorkPackages[[#This Row],[Work package ID]])</f>
        <v>45341.0</v>
      </c>
      <c r="AB466" s="65">
        <f>IF(tblWorkPackages[[#This Row],[Completion date serial]]&gt;tblWorkPackages[[#This Row],[Due date serial]],1,0)</f>
        <v>0</v>
      </c>
      <c r="AC466" s="65">
        <f>MAX(0,tblWorkPackages[[#This Row],[Completion date serial]]-tblWorkPackages[[#This Row],[Due date serial]])</f>
        <v>0</v>
      </c>
      <c r="AD466" s="65">
        <f>tblWorkPackages[[#This Row],[First labor date]]-tblWorkPackages[[#This Row],[Request date serial]]</f>
        <v>4</v>
      </c>
      <c r="AE466" s="65">
        <f>tblWorkPackages[[#This Row],[Last labor date]]-tblWorkPackages[[#This Row],[First labor date]]</f>
        <v>0</v>
      </c>
      <c r="AF466" s="65">
        <f>tblWorkPackages[[#This Row],[Completion date serial]]-tblWorkPackages[[#This Row],[Last labor date]]</f>
        <v>0</v>
      </c>
      <c r="AG466" s="65">
        <f>tblWorkPackages[[#This Row],[Completion date serial]]-tblWorkPackages[[#This Row],[Request date serial]]</f>
        <v>4</v>
      </c>
      <c r="AH466" s="65">
        <f>IFERROR(INDEX(tblParts[Delay days],MATCH(tblWorkPackages[[#This Row],[Work package ID]],tblParts[Work package ID],0)),0)</f>
        <v>0</v>
      </c>
      <c r="AI466" s="51" t="str">
        <f>IFERROR(INDEX(tblDisruptions[Event type],MATCH(tblWorkPackages[[#This Row],[Work package ID]],tblDisruptions[Work package ID],0)),"None")</f>
        <v>None</v>
      </c>
      <c r="AJ466" s="51" t="str">
        <f>TEXT(tblWorkPackages[[#This Row],[Due date serial]],"yyyy-mm")</f>
        <v>2024-02</v>
      </c>
    </row>
    <row r="467" spans="1:36" ht="15" x14ac:dyDescent="0.25">
      <c r="A467" s="53" t="s">
        <v>1264</v>
      </c>
      <c r="B467" s="53" t="s">
        <v>157</v>
      </c>
      <c r="C467" s="53" t="s">
        <v>221</v>
      </c>
      <c r="D467" s="53" t="s">
        <v>922</v>
      </c>
      <c r="E467" s="53" t="s">
        <v>127</v>
      </c>
      <c r="F467" s="53" t="s">
        <v>128</v>
      </c>
      <c r="G467" s="53" t="s">
        <v>129</v>
      </c>
      <c r="H467" s="53">
        <v>3</v>
      </c>
      <c r="I467" s="53" t="s">
        <v>176</v>
      </c>
      <c r="J467" s="53">
        <v>0</v>
      </c>
      <c r="K467" s="53">
        <v>1</v>
      </c>
      <c r="L467" s="53">
        <v>8.5</v>
      </c>
      <c r="M467" s="53" t="s">
        <v>222</v>
      </c>
      <c r="N467" s="53">
        <v>10.199999999999999</v>
      </c>
      <c r="O467" s="51" t="str">
        <f>TEXT(tblWorkPackages[[#This Row],[Request date serial]]-WEEKDAY(tblWorkPackages[[#This Row],[Request date serial]],3),"yyyy-mm-dd")</f>
        <v>2024-12-16</v>
      </c>
      <c r="P467" s="51">
        <f>ABS(tblWorkPackages[[#This Row],[Actual labor hours]]-tblWorkPackages[[#This Row],[Estimated labor hours]])</f>
        <v>1.7</v>
      </c>
      <c r="Q467" s="51">
        <f>IF(tblWorkPackages[[#This Row],[Actual labor hours]]&gt;tblWorkPackages[[#This Row],[Estimated labor hours]],1,0)</f>
        <v>1</v>
      </c>
      <c r="R467" s="51">
        <f>tblWorkPackages[[#This Row],[Actual labor hours]]-tblWorkPackages[[#This Row],[Estimated labor hours]]</f>
        <v>1.7</v>
      </c>
      <c r="S467" s="51" t="str">
        <f>IF(tblWorkPackages[[#This Row],[Request date serial]]&lt;ValidationStart,"Train 2024",IF(tblWorkPackages[[#This Row],[Request date serial]]&lt;HoldoutStart,"Validation H1","Holdout H2"))</f>
        <v>Train 2024</v>
      </c>
      <c r="T467" s="51" t="str">
        <f>IF(tblWorkPackages[[#This Row],[Time split]]="Train 2024","",tblWorkPackages[[#This Row],[Estimated labor hours]]+VLOOKUP(tblWorkPackages[[#This Row],[Task type]],'Forecast validation'!$A$14:$E$25,IF(tblWorkPackages[[#This Row],[Time split]]="Validation H1",4,5),FALSE()))</f>
        <v/>
      </c>
      <c r="U467" s="51" t="str">
        <f>IF(tblWorkPackages[[#This Row],[Calibrated forecast hours]]="","",ABS(tblWorkPackages[[#This Row],[Actual labor hours]]-tblWorkPackages[[#This Row],[Calibrated forecast hours]]))</f>
        <v/>
      </c>
      <c r="V467" s="51">
        <f>IF(tblWorkPackages[[#This Row],[Time split]]="Train 2024",tblWorkPackages[[#This Row],[Estimated labor hours]],tblWorkPackages[[#This Row],[Calibrated forecast hours]])</f>
        <v>8.5</v>
      </c>
      <c r="W467" s="64">
        <f>DATEVALUE(tblWorkPackages[[#This Row],[Request date]])</f>
        <v>45645.0</v>
      </c>
      <c r="X467" s="64">
        <f>DATEVALUE(tblWorkPackages[[#This Row],[Due date]])</f>
        <v>45651.0</v>
      </c>
      <c r="Y467" s="64">
        <f>DATEVALUE(tblWorkPackages[[#This Row],[Completion date]])</f>
        <v>45647.0</v>
      </c>
      <c r="Z467" s="64">
        <f>_xlfn.MINIFS(tblLaborEntries[Work date serial],tblLaborEntries[Work package ID],tblWorkPackages[[#This Row],[Work package ID]])</f>
        <v>45646.0</v>
      </c>
      <c r="AA467" s="64">
        <f>_xlfn.MAXIFS(tblLaborEntries[Work date serial],tblLaborEntries[Work package ID],tblWorkPackages[[#This Row],[Work package ID]])</f>
        <v>45646.0</v>
      </c>
      <c r="AB467" s="65">
        <f>IF(tblWorkPackages[[#This Row],[Completion date serial]]&gt;tblWorkPackages[[#This Row],[Due date serial]],1,0)</f>
        <v>0</v>
      </c>
      <c r="AC467" s="65">
        <f>MAX(0,tblWorkPackages[[#This Row],[Completion date serial]]-tblWorkPackages[[#This Row],[Due date serial]])</f>
        <v>0</v>
      </c>
      <c r="AD467" s="65">
        <f>tblWorkPackages[[#This Row],[First labor date]]-tblWorkPackages[[#This Row],[Request date serial]]</f>
        <v>1</v>
      </c>
      <c r="AE467" s="65">
        <f>tblWorkPackages[[#This Row],[Last labor date]]-tblWorkPackages[[#This Row],[First labor date]]</f>
        <v>0</v>
      </c>
      <c r="AF467" s="65">
        <f>tblWorkPackages[[#This Row],[Completion date serial]]-tblWorkPackages[[#This Row],[Last labor date]]</f>
        <v>1</v>
      </c>
      <c r="AG467" s="65">
        <f>tblWorkPackages[[#This Row],[Completion date serial]]-tblWorkPackages[[#This Row],[Request date serial]]</f>
        <v>2</v>
      </c>
      <c r="AH467" s="65">
        <f>IFERROR(INDEX(tblParts[Delay days],MATCH(tblWorkPackages[[#This Row],[Work package ID]],tblParts[Work package ID],0)),0)</f>
        <v>0</v>
      </c>
      <c r="AI467" s="51" t="str">
        <f>IFERROR(INDEX(tblDisruptions[Event type],MATCH(tblWorkPackages[[#This Row],[Work package ID]],tblDisruptions[Work package ID],0)),"None")</f>
        <v>None</v>
      </c>
      <c r="AJ467" s="51" t="str">
        <f>TEXT(tblWorkPackages[[#This Row],[Due date serial]],"yyyy-mm")</f>
        <v>2024-12</v>
      </c>
    </row>
    <row r="468" spans="1:36" ht="15" x14ac:dyDescent="0.25">
      <c r="A468" s="53" t="s">
        <v>1265</v>
      </c>
      <c r="B468" s="53" t="s">
        <v>235</v>
      </c>
      <c r="C468" s="53" t="s">
        <v>354</v>
      </c>
      <c r="D468" s="53" t="s">
        <v>858</v>
      </c>
      <c r="E468" s="53" t="s">
        <v>200</v>
      </c>
      <c r="F468" s="53" t="s">
        <v>128</v>
      </c>
      <c r="G468" s="53" t="s">
        <v>129</v>
      </c>
      <c r="H468" s="53">
        <v>4</v>
      </c>
      <c r="I468" s="53" t="s">
        <v>130</v>
      </c>
      <c r="J468" s="53">
        <v>0</v>
      </c>
      <c r="K468" s="53">
        <v>1</v>
      </c>
      <c r="L468" s="53">
        <v>5.9</v>
      </c>
      <c r="M468" s="53" t="s">
        <v>1063</v>
      </c>
      <c r="N468" s="53">
        <v>7.5</v>
      </c>
      <c r="O468" s="51" t="str">
        <f>TEXT(tblWorkPackages[[#This Row],[Request date serial]]-WEEKDAY(tblWorkPackages[[#This Row],[Request date serial]],3),"yyyy-mm-dd")</f>
        <v>2025-02-24</v>
      </c>
      <c r="P468" s="51">
        <f>ABS(tblWorkPackages[[#This Row],[Actual labor hours]]-tblWorkPackages[[#This Row],[Estimated labor hours]])</f>
        <v>1.6</v>
      </c>
      <c r="Q468" s="51">
        <f>IF(tblWorkPackages[[#This Row],[Actual labor hours]]&gt;tblWorkPackages[[#This Row],[Estimated labor hours]],1,0)</f>
        <v>1</v>
      </c>
      <c r="R468" s="51">
        <f>tblWorkPackages[[#This Row],[Actual labor hours]]-tblWorkPackages[[#This Row],[Estimated labor hours]]</f>
        <v>1.6</v>
      </c>
      <c r="S468" s="51" t="str">
        <f>IF(tblWorkPackages[[#This Row],[Request date serial]]&lt;ValidationStart,"Train 2024",IF(tblWorkPackages[[#This Row],[Request date serial]]&lt;HoldoutStart,"Validation H1","Holdout H2"))</f>
        <v>Validation H1</v>
      </c>
      <c r="T468" s="51">
        <f>IF(tblWorkPackages[[#This Row],[Time split]]="Train 2024","",tblWorkPackages[[#This Row],[Estimated labor hours]]+VLOOKUP(tblWorkPackages[[#This Row],[Task type]],'Forecast validation'!$A$14:$E$25,IF(tblWorkPackages[[#This Row],[Time split]]="Validation H1",4,5),FALSE()))</f>
        <v>6.23069306930693</v>
      </c>
      <c r="U468" s="51">
        <f>IF(tblWorkPackages[[#This Row],[Calibrated forecast hours]]="","",ABS(tblWorkPackages[[#This Row],[Actual labor hours]]-tblWorkPackages[[#This Row],[Calibrated forecast hours]]))</f>
        <v>1.26930693069307</v>
      </c>
      <c r="V468" s="51">
        <f>IF(tblWorkPackages[[#This Row],[Time split]]="Train 2024",tblWorkPackages[[#This Row],[Estimated labor hours]],tblWorkPackages[[#This Row],[Calibrated forecast hours]])</f>
        <v>6.23069306930693</v>
      </c>
      <c r="W468" s="64">
        <f>DATEVALUE(tblWorkPackages[[#This Row],[Request date]])</f>
        <v>45716.0</v>
      </c>
      <c r="X468" s="64">
        <f>DATEVALUE(tblWorkPackages[[#This Row],[Due date]])</f>
        <v>45729.0</v>
      </c>
      <c r="Y468" s="64">
        <f>DATEVALUE(tblWorkPackages[[#This Row],[Completion date]])</f>
        <v>45727.0</v>
      </c>
      <c r="Z468" s="64">
        <f>_xlfn.MINIFS(tblLaborEntries[Work date serial],tblLaborEntries[Work package ID],tblWorkPackages[[#This Row],[Work package ID]])</f>
        <v>45725.0</v>
      </c>
      <c r="AA468" s="64">
        <f>_xlfn.MAXIFS(tblLaborEntries[Work date serial],tblLaborEntries[Work package ID],tblWorkPackages[[#This Row],[Work package ID]])</f>
        <v>45725.0</v>
      </c>
      <c r="AB468" s="65">
        <f>IF(tblWorkPackages[[#This Row],[Completion date serial]]&gt;tblWorkPackages[[#This Row],[Due date serial]],1,0)</f>
        <v>0</v>
      </c>
      <c r="AC468" s="65">
        <f>MAX(0,tblWorkPackages[[#This Row],[Completion date serial]]-tblWorkPackages[[#This Row],[Due date serial]])</f>
        <v>0</v>
      </c>
      <c r="AD468" s="65">
        <f>tblWorkPackages[[#This Row],[First labor date]]-tblWorkPackages[[#This Row],[Request date serial]]</f>
        <v>9</v>
      </c>
      <c r="AE468" s="65">
        <f>tblWorkPackages[[#This Row],[Last labor date]]-tblWorkPackages[[#This Row],[First labor date]]</f>
        <v>0</v>
      </c>
      <c r="AF468" s="65">
        <f>tblWorkPackages[[#This Row],[Completion date serial]]-tblWorkPackages[[#This Row],[Last labor date]]</f>
        <v>2</v>
      </c>
      <c r="AG468" s="65">
        <f>tblWorkPackages[[#This Row],[Completion date serial]]-tblWorkPackages[[#This Row],[Request date serial]]</f>
        <v>11</v>
      </c>
      <c r="AH468" s="65">
        <f>IFERROR(INDEX(tblParts[Delay days],MATCH(tblWorkPackages[[#This Row],[Work package ID]],tblParts[Work package ID],0)),0)</f>
        <v>0</v>
      </c>
      <c r="AI468" s="51" t="str">
        <f>IFERROR(INDEX(tblDisruptions[Event type],MATCH(tblWorkPackages[[#This Row],[Work package ID]],tblDisruptions[Work package ID],0)),"None")</f>
        <v>None</v>
      </c>
      <c r="AJ468" s="51" t="str">
        <f>TEXT(tblWorkPackages[[#This Row],[Due date serial]],"yyyy-mm")</f>
        <v>2025-03</v>
      </c>
    </row>
    <row r="469" spans="1:36" ht="15" x14ac:dyDescent="0.25">
      <c r="A469" s="53" t="s">
        <v>1266</v>
      </c>
      <c r="B469" s="53" t="s">
        <v>124</v>
      </c>
      <c r="C469" s="53" t="s">
        <v>365</v>
      </c>
      <c r="D469" s="53" t="s">
        <v>1184</v>
      </c>
      <c r="E469" s="53" t="s">
        <v>144</v>
      </c>
      <c r="F469" s="53" t="s">
        <v>145</v>
      </c>
      <c r="G469" s="53" t="s">
        <v>146</v>
      </c>
      <c r="H469" s="53">
        <v>4</v>
      </c>
      <c r="I469" s="53" t="s">
        <v>176</v>
      </c>
      <c r="J469" s="53">
        <v>0</v>
      </c>
      <c r="K469" s="53">
        <v>1</v>
      </c>
      <c r="L469" s="53">
        <v>21.7</v>
      </c>
      <c r="M469" s="53" t="s">
        <v>597</v>
      </c>
      <c r="N469" s="53">
        <v>29.8</v>
      </c>
      <c r="O469" s="51" t="str">
        <f>TEXT(tblWorkPackages[[#This Row],[Request date serial]]-WEEKDAY(tblWorkPackages[[#This Row],[Request date serial]],3),"yyyy-mm-dd")</f>
        <v>2025-05-19</v>
      </c>
      <c r="P469" s="51">
        <f>ABS(tblWorkPackages[[#This Row],[Actual labor hours]]-tblWorkPackages[[#This Row],[Estimated labor hours]])</f>
        <v>8.1</v>
      </c>
      <c r="Q469" s="51">
        <f>IF(tblWorkPackages[[#This Row],[Actual labor hours]]&gt;tblWorkPackages[[#This Row],[Estimated labor hours]],1,0)</f>
        <v>1</v>
      </c>
      <c r="R469" s="51">
        <f>tblWorkPackages[[#This Row],[Actual labor hours]]-tblWorkPackages[[#This Row],[Estimated labor hours]]</f>
        <v>8.1</v>
      </c>
      <c r="S469" s="51" t="str">
        <f>IF(tblWorkPackages[[#This Row],[Request date serial]]&lt;ValidationStart,"Train 2024",IF(tblWorkPackages[[#This Row],[Request date serial]]&lt;HoldoutStart,"Validation H1","Holdout H2"))</f>
        <v>Validation H1</v>
      </c>
      <c r="T469" s="51">
        <f>IF(tblWorkPackages[[#This Row],[Time split]]="Train 2024","",tblWorkPackages[[#This Row],[Estimated labor hours]]+VLOOKUP(tblWorkPackages[[#This Row],[Task type]],'Forecast validation'!$A$14:$E$25,IF(tblWorkPackages[[#This Row],[Time split]]="Validation H1",4,5),FALSE()))</f>
        <v>22.4547368421053</v>
      </c>
      <c r="U469" s="51">
        <f>IF(tblWorkPackages[[#This Row],[Calibrated forecast hours]]="","",ABS(tblWorkPackages[[#This Row],[Actual labor hours]]-tblWorkPackages[[#This Row],[Calibrated forecast hours]]))</f>
        <v>7.34526315789474</v>
      </c>
      <c r="V469" s="51">
        <f>IF(tblWorkPackages[[#This Row],[Time split]]="Train 2024",tblWorkPackages[[#This Row],[Estimated labor hours]],tblWorkPackages[[#This Row],[Calibrated forecast hours]])</f>
        <v>22.4547368421053</v>
      </c>
      <c r="W469" s="64">
        <f>DATEVALUE(tblWorkPackages[[#This Row],[Request date]])</f>
        <v>45796.0</v>
      </c>
      <c r="X469" s="64">
        <f>DATEVALUE(tblWorkPackages[[#This Row],[Due date]])</f>
        <v>45802.0</v>
      </c>
      <c r="Y469" s="64">
        <f>DATEVALUE(tblWorkPackages[[#This Row],[Completion date]])</f>
        <v>45803.0</v>
      </c>
      <c r="Z469" s="64">
        <f>_xlfn.MINIFS(tblLaborEntries[Work date serial],tblLaborEntries[Work package ID],tblWorkPackages[[#This Row],[Work package ID]])</f>
        <v>45798.0</v>
      </c>
      <c r="AA469" s="64">
        <f>_xlfn.MAXIFS(tblLaborEntries[Work date serial],tblLaborEntries[Work package ID],tblWorkPackages[[#This Row],[Work package ID]])</f>
        <v>45800.0</v>
      </c>
      <c r="AB469" s="65">
        <f>IF(tblWorkPackages[[#This Row],[Completion date serial]]&gt;tblWorkPackages[[#This Row],[Due date serial]],1,0)</f>
        <v>1</v>
      </c>
      <c r="AC469" s="65">
        <f>MAX(0,tblWorkPackages[[#This Row],[Completion date serial]]-tblWorkPackages[[#This Row],[Due date serial]])</f>
        <v>1</v>
      </c>
      <c r="AD469" s="65">
        <f>tblWorkPackages[[#This Row],[First labor date]]-tblWorkPackages[[#This Row],[Request date serial]]</f>
        <v>2</v>
      </c>
      <c r="AE469" s="65">
        <f>tblWorkPackages[[#This Row],[Last labor date]]-tblWorkPackages[[#This Row],[First labor date]]</f>
        <v>2</v>
      </c>
      <c r="AF469" s="65">
        <f>tblWorkPackages[[#This Row],[Completion date serial]]-tblWorkPackages[[#This Row],[Last labor date]]</f>
        <v>3</v>
      </c>
      <c r="AG469" s="65">
        <f>tblWorkPackages[[#This Row],[Completion date serial]]-tblWorkPackages[[#This Row],[Request date serial]]</f>
        <v>7</v>
      </c>
      <c r="AH469" s="65">
        <f>IFERROR(INDEX(tblParts[Delay days],MATCH(tblWorkPackages[[#This Row],[Work package ID]],tblParts[Work package ID],0)),0)</f>
        <v>0</v>
      </c>
      <c r="AI469" s="51" t="str">
        <f>IFERROR(INDEX(tblDisruptions[Event type],MATCH(tblWorkPackages[[#This Row],[Work package ID]],tblDisruptions[Work package ID],0)),"None")</f>
        <v>Technician absence</v>
      </c>
      <c r="AJ469" s="51" t="str">
        <f>TEXT(tblWorkPackages[[#This Row],[Due date serial]],"yyyy-mm")</f>
        <v>2025-05</v>
      </c>
    </row>
    <row r="470" spans="1:36" ht="15" x14ac:dyDescent="0.25">
      <c r="A470" s="53" t="s">
        <v>1267</v>
      </c>
      <c r="B470" s="53" t="s">
        <v>203</v>
      </c>
      <c r="C470" s="53" t="s">
        <v>1234</v>
      </c>
      <c r="D470" s="53" t="s">
        <v>228</v>
      </c>
      <c r="E470" s="53" t="s">
        <v>200</v>
      </c>
      <c r="F470" s="53" t="s">
        <v>128</v>
      </c>
      <c r="G470" s="53" t="s">
        <v>129</v>
      </c>
      <c r="H470" s="53">
        <v>4</v>
      </c>
      <c r="I470" s="53" t="s">
        <v>130</v>
      </c>
      <c r="J470" s="53">
        <v>0</v>
      </c>
      <c r="K470" s="53">
        <v>0</v>
      </c>
      <c r="L470" s="53">
        <v>5.2</v>
      </c>
      <c r="M470" s="53" t="s">
        <v>1019</v>
      </c>
      <c r="N470" s="53">
        <v>5.2</v>
      </c>
      <c r="O470" s="51" t="str">
        <f>TEXT(tblWorkPackages[[#This Row],[Request date serial]]-WEEKDAY(tblWorkPackages[[#This Row],[Request date serial]],3),"yyyy-mm-dd")</f>
        <v>2025-07-21</v>
      </c>
      <c r="P470" s="51">
        <f>ABS(tblWorkPackages[[#This Row],[Actual labor hours]]-tblWorkPackages[[#This Row],[Estimated labor hours]])</f>
        <v>0</v>
      </c>
      <c r="Q470" s="51">
        <f>IF(tblWorkPackages[[#This Row],[Actual labor hours]]&gt;tblWorkPackages[[#This Row],[Estimated labor hours]],1,0)</f>
        <v>0</v>
      </c>
      <c r="R470" s="51">
        <f>tblWorkPackages[[#This Row],[Actual labor hours]]-tblWorkPackages[[#This Row],[Estimated labor hours]]</f>
        <v>0</v>
      </c>
      <c r="S470" s="51" t="str">
        <f>IF(tblWorkPackages[[#This Row],[Request date serial]]&lt;ValidationStart,"Train 2024",IF(tblWorkPackages[[#This Row],[Request date serial]]&lt;HoldoutStart,"Validation H1","Holdout H2"))</f>
        <v>Holdout H2</v>
      </c>
      <c r="T470" s="51">
        <f>IF(tblWorkPackages[[#This Row],[Time split]]="Train 2024","",tblWorkPackages[[#This Row],[Estimated labor hours]]+VLOOKUP(tblWorkPackages[[#This Row],[Task type]],'Forecast validation'!$A$14:$E$25,IF(tblWorkPackages[[#This Row],[Time split]]="Validation H1",4,5),FALSE()))</f>
        <v>5.52893081761006</v>
      </c>
      <c r="U470" s="51">
        <f>IF(tblWorkPackages[[#This Row],[Calibrated forecast hours]]="","",ABS(tblWorkPackages[[#This Row],[Actual labor hours]]-tblWorkPackages[[#This Row],[Calibrated forecast hours]]))</f>
        <v>0.328930817610063</v>
      </c>
      <c r="V470" s="51">
        <f>IF(tblWorkPackages[[#This Row],[Time split]]="Train 2024",tblWorkPackages[[#This Row],[Estimated labor hours]],tblWorkPackages[[#This Row],[Calibrated forecast hours]])</f>
        <v>5.52893081761006</v>
      </c>
      <c r="W470" s="64">
        <f>DATEVALUE(tblWorkPackages[[#This Row],[Request date]])</f>
        <v>45859.0</v>
      </c>
      <c r="X470" s="64">
        <f>DATEVALUE(tblWorkPackages[[#This Row],[Due date]])</f>
        <v>45872.0</v>
      </c>
      <c r="Y470" s="64">
        <f>DATEVALUE(tblWorkPackages[[#This Row],[Completion date]])</f>
        <v>45884.0</v>
      </c>
      <c r="Z470" s="64">
        <f>_xlfn.MINIFS(tblLaborEntries[Work date serial],tblLaborEntries[Work package ID],tblWorkPackages[[#This Row],[Work package ID]])</f>
        <v>45883.0</v>
      </c>
      <c r="AA470" s="64">
        <f>_xlfn.MAXIFS(tblLaborEntries[Work date serial],tblLaborEntries[Work package ID],tblWorkPackages[[#This Row],[Work package ID]])</f>
        <v>45884.0</v>
      </c>
      <c r="AB470" s="65">
        <f>IF(tblWorkPackages[[#This Row],[Completion date serial]]&gt;tblWorkPackages[[#This Row],[Due date serial]],1,0)</f>
        <v>1</v>
      </c>
      <c r="AC470" s="65">
        <f>MAX(0,tblWorkPackages[[#This Row],[Completion date serial]]-tblWorkPackages[[#This Row],[Due date serial]])</f>
        <v>12</v>
      </c>
      <c r="AD470" s="65">
        <f>tblWorkPackages[[#This Row],[First labor date]]-tblWorkPackages[[#This Row],[Request date serial]]</f>
        <v>24</v>
      </c>
      <c r="AE470" s="65">
        <f>tblWorkPackages[[#This Row],[Last labor date]]-tblWorkPackages[[#This Row],[First labor date]]</f>
        <v>1</v>
      </c>
      <c r="AF470" s="65">
        <f>tblWorkPackages[[#This Row],[Completion date serial]]-tblWorkPackages[[#This Row],[Last labor date]]</f>
        <v>0</v>
      </c>
      <c r="AG470" s="65">
        <f>tblWorkPackages[[#This Row],[Completion date serial]]-tblWorkPackages[[#This Row],[Request date serial]]</f>
        <v>25</v>
      </c>
      <c r="AH470" s="65">
        <f>IFERROR(INDEX(tblParts[Delay days],MATCH(tblWorkPackages[[#This Row],[Work package ID]],tblParts[Work package ID],0)),0)</f>
        <v>0</v>
      </c>
      <c r="AI470" s="51" t="str">
        <f>IFERROR(INDEX(tblDisruptions[Event type],MATCH(tblWorkPackages[[#This Row],[Work package ID]],tblDisruptions[Work package ID],0)),"None")</f>
        <v>None</v>
      </c>
      <c r="AJ470" s="51" t="str">
        <f>TEXT(tblWorkPackages[[#This Row],[Due date serial]],"yyyy-mm")</f>
        <v>2025-08</v>
      </c>
    </row>
    <row r="471" spans="1:36" ht="15" x14ac:dyDescent="0.25">
      <c r="A471" s="53" t="s">
        <v>1268</v>
      </c>
      <c r="B471" s="53" t="s">
        <v>235</v>
      </c>
      <c r="C471" s="53" t="s">
        <v>337</v>
      </c>
      <c r="D471" s="53" t="s">
        <v>471</v>
      </c>
      <c r="E471" s="53" t="s">
        <v>144</v>
      </c>
      <c r="F471" s="53" t="s">
        <v>145</v>
      </c>
      <c r="G471" s="53" t="s">
        <v>146</v>
      </c>
      <c r="H471" s="53">
        <v>1</v>
      </c>
      <c r="I471" s="53" t="s">
        <v>147</v>
      </c>
      <c r="J471" s="53">
        <v>0</v>
      </c>
      <c r="K471" s="53">
        <v>1</v>
      </c>
      <c r="L471" s="53">
        <v>7.6</v>
      </c>
      <c r="M471" s="53" t="s">
        <v>970</v>
      </c>
      <c r="N471" s="53">
        <v>8.8000000000000007</v>
      </c>
      <c r="O471" s="51" t="str">
        <f>TEXT(tblWorkPackages[[#This Row],[Request date serial]]-WEEKDAY(tblWorkPackages[[#This Row],[Request date serial]],3),"yyyy-mm-dd")</f>
        <v>2024-04-29</v>
      </c>
      <c r="P471" s="51">
        <f>ABS(tblWorkPackages[[#This Row],[Actual labor hours]]-tblWorkPackages[[#This Row],[Estimated labor hours]])</f>
        <v>1.2</v>
      </c>
      <c r="Q471" s="51">
        <f>IF(tblWorkPackages[[#This Row],[Actual labor hours]]&gt;tblWorkPackages[[#This Row],[Estimated labor hours]],1,0)</f>
        <v>1</v>
      </c>
      <c r="R471" s="51">
        <f>tblWorkPackages[[#This Row],[Actual labor hours]]-tblWorkPackages[[#This Row],[Estimated labor hours]]</f>
        <v>1.2</v>
      </c>
      <c r="S471" s="51" t="str">
        <f>IF(tblWorkPackages[[#This Row],[Request date serial]]&lt;ValidationStart,"Train 2024",IF(tblWorkPackages[[#This Row],[Request date serial]]&lt;HoldoutStart,"Validation H1","Holdout H2"))</f>
        <v>Train 2024</v>
      </c>
      <c r="T471" s="51" t="str">
        <f>IF(tblWorkPackages[[#This Row],[Time split]]="Train 2024","",tblWorkPackages[[#This Row],[Estimated labor hours]]+VLOOKUP(tblWorkPackages[[#This Row],[Task type]],'Forecast validation'!$A$14:$E$25,IF(tblWorkPackages[[#This Row],[Time split]]="Validation H1",4,5),FALSE()))</f>
        <v/>
      </c>
      <c r="U471" s="51" t="str">
        <f>IF(tblWorkPackages[[#This Row],[Calibrated forecast hours]]="","",ABS(tblWorkPackages[[#This Row],[Actual labor hours]]-tblWorkPackages[[#This Row],[Calibrated forecast hours]]))</f>
        <v/>
      </c>
      <c r="V471" s="51">
        <f>IF(tblWorkPackages[[#This Row],[Time split]]="Train 2024",tblWorkPackages[[#This Row],[Estimated labor hours]],tblWorkPackages[[#This Row],[Calibrated forecast hours]])</f>
        <v>7.6</v>
      </c>
      <c r="W471" s="64">
        <f>DATEVALUE(tblWorkPackages[[#This Row],[Request date]])</f>
        <v>45411.0</v>
      </c>
      <c r="X471" s="64">
        <f>DATEVALUE(tblWorkPackages[[#This Row],[Due date]])</f>
        <v>45413.0</v>
      </c>
      <c r="Y471" s="64">
        <f>DATEVALUE(tblWorkPackages[[#This Row],[Completion date]])</f>
        <v>45418.0</v>
      </c>
      <c r="Z471" s="64">
        <f>_xlfn.MINIFS(tblLaborEntries[Work date serial],tblLaborEntries[Work package ID],tblWorkPackages[[#This Row],[Work package ID]])</f>
        <v>45415.0</v>
      </c>
      <c r="AA471" s="64">
        <f>_xlfn.MAXIFS(tblLaborEntries[Work date serial],tblLaborEntries[Work package ID],tblWorkPackages[[#This Row],[Work package ID]])</f>
        <v>45417.0</v>
      </c>
      <c r="AB471" s="65">
        <f>IF(tblWorkPackages[[#This Row],[Completion date serial]]&gt;tblWorkPackages[[#This Row],[Due date serial]],1,0)</f>
        <v>1</v>
      </c>
      <c r="AC471" s="65">
        <f>MAX(0,tblWorkPackages[[#This Row],[Completion date serial]]-tblWorkPackages[[#This Row],[Due date serial]])</f>
        <v>5</v>
      </c>
      <c r="AD471" s="65">
        <f>tblWorkPackages[[#This Row],[First labor date]]-tblWorkPackages[[#This Row],[Request date serial]]</f>
        <v>4</v>
      </c>
      <c r="AE471" s="65">
        <f>tblWorkPackages[[#This Row],[Last labor date]]-tblWorkPackages[[#This Row],[First labor date]]</f>
        <v>2</v>
      </c>
      <c r="AF471" s="65">
        <f>tblWorkPackages[[#This Row],[Completion date serial]]-tblWorkPackages[[#This Row],[Last labor date]]</f>
        <v>1</v>
      </c>
      <c r="AG471" s="65">
        <f>tblWorkPackages[[#This Row],[Completion date serial]]-tblWorkPackages[[#This Row],[Request date serial]]</f>
        <v>7</v>
      </c>
      <c r="AH471" s="65">
        <f>IFERROR(INDEX(tblParts[Delay days],MATCH(tblWorkPackages[[#This Row],[Work package ID]],tblParts[Work package ID],0)),0)</f>
        <v>0</v>
      </c>
      <c r="AI471" s="51" t="str">
        <f>IFERROR(INDEX(tblDisruptions[Event type],MATCH(tblWorkPackages[[#This Row],[Work package ID]],tblDisruptions[Work package ID],0)),"None")</f>
        <v>None</v>
      </c>
      <c r="AJ471" s="51" t="str">
        <f>TEXT(tblWorkPackages[[#This Row],[Due date serial]],"yyyy-mm")</f>
        <v>2024-05</v>
      </c>
    </row>
    <row r="472" spans="1:36" ht="15" x14ac:dyDescent="0.25">
      <c r="A472" s="53" t="s">
        <v>1269</v>
      </c>
      <c r="B472" s="53" t="s">
        <v>250</v>
      </c>
      <c r="C472" s="53" t="s">
        <v>143</v>
      </c>
      <c r="D472" s="53" t="s">
        <v>442</v>
      </c>
      <c r="E472" s="53" t="s">
        <v>223</v>
      </c>
      <c r="F472" s="53" t="s">
        <v>182</v>
      </c>
      <c r="G472" s="53" t="s">
        <v>154</v>
      </c>
      <c r="H472" s="53">
        <v>1</v>
      </c>
      <c r="I472" s="53" t="s">
        <v>176</v>
      </c>
      <c r="J472" s="53">
        <v>0</v>
      </c>
      <c r="K472" s="53">
        <v>0</v>
      </c>
      <c r="L472" s="53">
        <v>8.6</v>
      </c>
      <c r="M472" s="53" t="s">
        <v>616</v>
      </c>
      <c r="N472" s="53">
        <v>12</v>
      </c>
      <c r="O472" s="51" t="str">
        <f>TEXT(tblWorkPackages[[#This Row],[Request date serial]]-WEEKDAY(tblWorkPackages[[#This Row],[Request date serial]],3),"yyyy-mm-dd")</f>
        <v>2024-01-29</v>
      </c>
      <c r="P472" s="51">
        <f>ABS(tblWorkPackages[[#This Row],[Actual labor hours]]-tblWorkPackages[[#This Row],[Estimated labor hours]])</f>
        <v>3.4</v>
      </c>
      <c r="Q472" s="51">
        <f>IF(tblWorkPackages[[#This Row],[Actual labor hours]]&gt;tblWorkPackages[[#This Row],[Estimated labor hours]],1,0)</f>
        <v>1</v>
      </c>
      <c r="R472" s="51">
        <f>tblWorkPackages[[#This Row],[Actual labor hours]]-tblWorkPackages[[#This Row],[Estimated labor hours]]</f>
        <v>3.4</v>
      </c>
      <c r="S472" s="51" t="str">
        <f>IF(tblWorkPackages[[#This Row],[Request date serial]]&lt;ValidationStart,"Train 2024",IF(tblWorkPackages[[#This Row],[Request date serial]]&lt;HoldoutStart,"Validation H1","Holdout H2"))</f>
        <v>Train 2024</v>
      </c>
      <c r="T472" s="51" t="str">
        <f>IF(tblWorkPackages[[#This Row],[Time split]]="Train 2024","",tblWorkPackages[[#This Row],[Estimated labor hours]]+VLOOKUP(tblWorkPackages[[#This Row],[Task type]],'Forecast validation'!$A$14:$E$25,IF(tblWorkPackages[[#This Row],[Time split]]="Validation H1",4,5),FALSE()))</f>
        <v/>
      </c>
      <c r="U472" s="51" t="str">
        <f>IF(tblWorkPackages[[#This Row],[Calibrated forecast hours]]="","",ABS(tblWorkPackages[[#This Row],[Actual labor hours]]-tblWorkPackages[[#This Row],[Calibrated forecast hours]]))</f>
        <v/>
      </c>
      <c r="V472" s="51">
        <f>IF(tblWorkPackages[[#This Row],[Time split]]="Train 2024",tblWorkPackages[[#This Row],[Estimated labor hours]],tblWorkPackages[[#This Row],[Calibrated forecast hours]])</f>
        <v>8.6</v>
      </c>
      <c r="W472" s="64">
        <f>DATEVALUE(tblWorkPackages[[#This Row],[Request date]])</f>
        <v>45324.0</v>
      </c>
      <c r="X472" s="64">
        <f>DATEVALUE(tblWorkPackages[[#This Row],[Due date]])</f>
        <v>45330.0</v>
      </c>
      <c r="Y472" s="64">
        <f>DATEVALUE(tblWorkPackages[[#This Row],[Completion date]])</f>
        <v>45329.0</v>
      </c>
      <c r="Z472" s="64">
        <f>_xlfn.MINIFS(tblLaborEntries[Work date serial],tblLaborEntries[Work package ID],tblWorkPackages[[#This Row],[Work package ID]])</f>
        <v>45325.0</v>
      </c>
      <c r="AA472" s="64">
        <f>_xlfn.MAXIFS(tblLaborEntries[Work date serial],tblLaborEntries[Work package ID],tblWorkPackages[[#This Row],[Work package ID]])</f>
        <v>45327.0</v>
      </c>
      <c r="AB472" s="65">
        <f>IF(tblWorkPackages[[#This Row],[Completion date serial]]&gt;tblWorkPackages[[#This Row],[Due date serial]],1,0)</f>
        <v>0</v>
      </c>
      <c r="AC472" s="65">
        <f>MAX(0,tblWorkPackages[[#This Row],[Completion date serial]]-tblWorkPackages[[#This Row],[Due date serial]])</f>
        <v>0</v>
      </c>
      <c r="AD472" s="65">
        <f>tblWorkPackages[[#This Row],[First labor date]]-tblWorkPackages[[#This Row],[Request date serial]]</f>
        <v>1</v>
      </c>
      <c r="AE472" s="65">
        <f>tblWorkPackages[[#This Row],[Last labor date]]-tblWorkPackages[[#This Row],[First labor date]]</f>
        <v>2</v>
      </c>
      <c r="AF472" s="65">
        <f>tblWorkPackages[[#This Row],[Completion date serial]]-tblWorkPackages[[#This Row],[Last labor date]]</f>
        <v>2</v>
      </c>
      <c r="AG472" s="65">
        <f>tblWorkPackages[[#This Row],[Completion date serial]]-tblWorkPackages[[#This Row],[Request date serial]]</f>
        <v>5</v>
      </c>
      <c r="AH472" s="65">
        <f>IFERROR(INDEX(tblParts[Delay days],MATCH(tblWorkPackages[[#This Row],[Work package ID]],tblParts[Work package ID],0)),0)</f>
        <v>0</v>
      </c>
      <c r="AI472" s="51" t="str">
        <f>IFERROR(INDEX(tblDisruptions[Event type],MATCH(tblWorkPackages[[#This Row],[Work package ID]],tblDisruptions[Work package ID],0)),"None")</f>
        <v>Technician absence</v>
      </c>
      <c r="AJ472" s="51" t="str">
        <f>TEXT(tblWorkPackages[[#This Row],[Due date serial]],"yyyy-mm")</f>
        <v>2024-02</v>
      </c>
    </row>
    <row r="473" spans="1:36" ht="15" x14ac:dyDescent="0.25">
      <c r="A473" s="53" t="s">
        <v>1270</v>
      </c>
      <c r="B473" s="53" t="s">
        <v>203</v>
      </c>
      <c r="C473" s="53" t="s">
        <v>753</v>
      </c>
      <c r="D473" s="53" t="s">
        <v>645</v>
      </c>
      <c r="E473" s="53" t="s">
        <v>242</v>
      </c>
      <c r="F473" s="53" t="s">
        <v>243</v>
      </c>
      <c r="G473" s="53" t="s">
        <v>129</v>
      </c>
      <c r="H473" s="53">
        <v>3</v>
      </c>
      <c r="I473" s="53" t="s">
        <v>130</v>
      </c>
      <c r="J473" s="53">
        <v>0</v>
      </c>
      <c r="K473" s="53">
        <v>1</v>
      </c>
      <c r="L473" s="53">
        <v>9.6999999999999993</v>
      </c>
      <c r="M473" s="53" t="s">
        <v>217</v>
      </c>
      <c r="N473" s="53">
        <v>8</v>
      </c>
      <c r="O473" s="51" t="str">
        <f>TEXT(tblWorkPackages[[#This Row],[Request date serial]]-WEEKDAY(tblWorkPackages[[#This Row],[Request date serial]],3),"yyyy-mm-dd")</f>
        <v>2025-11-24</v>
      </c>
      <c r="P473" s="51">
        <f>ABS(tblWorkPackages[[#This Row],[Actual labor hours]]-tblWorkPackages[[#This Row],[Estimated labor hours]])</f>
        <v>1.7</v>
      </c>
      <c r="Q473" s="51">
        <f>IF(tblWorkPackages[[#This Row],[Actual labor hours]]&gt;tblWorkPackages[[#This Row],[Estimated labor hours]],1,0)</f>
        <v>0</v>
      </c>
      <c r="R473" s="51">
        <f>tblWorkPackages[[#This Row],[Actual labor hours]]-tblWorkPackages[[#This Row],[Estimated labor hours]]</f>
        <v>-1.7</v>
      </c>
      <c r="S473" s="51" t="str">
        <f>IF(tblWorkPackages[[#This Row],[Request date serial]]&lt;ValidationStart,"Train 2024",IF(tblWorkPackages[[#This Row],[Request date serial]]&lt;HoldoutStart,"Validation H1","Holdout H2"))</f>
        <v>Holdout H2</v>
      </c>
      <c r="T473" s="51">
        <f>IF(tblWorkPackages[[#This Row],[Time split]]="Train 2024","",tblWorkPackages[[#This Row],[Estimated labor hours]]+VLOOKUP(tblWorkPackages[[#This Row],[Task type]],'Forecast validation'!$A$14:$E$25,IF(tblWorkPackages[[#This Row],[Time split]]="Validation H1",4,5),FALSE()))</f>
        <v>10.5254545454545</v>
      </c>
      <c r="U473" s="51">
        <f>IF(tblWorkPackages[[#This Row],[Calibrated forecast hours]]="","",ABS(tblWorkPackages[[#This Row],[Actual labor hours]]-tblWorkPackages[[#This Row],[Calibrated forecast hours]]))</f>
        <v>2.52545454545455</v>
      </c>
      <c r="V473" s="51">
        <f>IF(tblWorkPackages[[#This Row],[Time split]]="Train 2024",tblWorkPackages[[#This Row],[Estimated labor hours]],tblWorkPackages[[#This Row],[Calibrated forecast hours]])</f>
        <v>10.5254545454545</v>
      </c>
      <c r="W473" s="64">
        <f>DATEVALUE(tblWorkPackages[[#This Row],[Request date]])</f>
        <v>45989.0</v>
      </c>
      <c r="X473" s="64">
        <f>DATEVALUE(tblWorkPackages[[#This Row],[Due date]])</f>
        <v>46002.0</v>
      </c>
      <c r="Y473" s="64">
        <f>DATEVALUE(tblWorkPackages[[#This Row],[Completion date]])</f>
        <v>46004.0</v>
      </c>
      <c r="Z473" s="64">
        <f>_xlfn.MINIFS(tblLaborEntries[Work date serial],tblLaborEntries[Work package ID],tblWorkPackages[[#This Row],[Work package ID]])</f>
        <v>46001.0</v>
      </c>
      <c r="AA473" s="64">
        <f>_xlfn.MAXIFS(tblLaborEntries[Work date serial],tblLaborEntries[Work package ID],tblWorkPackages[[#This Row],[Work package ID]])</f>
        <v>46001.0</v>
      </c>
      <c r="AB473" s="65">
        <f>IF(tblWorkPackages[[#This Row],[Completion date serial]]&gt;tblWorkPackages[[#This Row],[Due date serial]],1,0)</f>
        <v>1</v>
      </c>
      <c r="AC473" s="65">
        <f>MAX(0,tblWorkPackages[[#This Row],[Completion date serial]]-tblWorkPackages[[#This Row],[Due date serial]])</f>
        <v>2</v>
      </c>
      <c r="AD473" s="65">
        <f>tblWorkPackages[[#This Row],[First labor date]]-tblWorkPackages[[#This Row],[Request date serial]]</f>
        <v>12</v>
      </c>
      <c r="AE473" s="65">
        <f>tblWorkPackages[[#This Row],[Last labor date]]-tblWorkPackages[[#This Row],[First labor date]]</f>
        <v>0</v>
      </c>
      <c r="AF473" s="65">
        <f>tblWorkPackages[[#This Row],[Completion date serial]]-tblWorkPackages[[#This Row],[Last labor date]]</f>
        <v>3</v>
      </c>
      <c r="AG473" s="65">
        <f>tblWorkPackages[[#This Row],[Completion date serial]]-tblWorkPackages[[#This Row],[Request date serial]]</f>
        <v>15</v>
      </c>
      <c r="AH473" s="65">
        <f>IFERROR(INDEX(tblParts[Delay days],MATCH(tblWorkPackages[[#This Row],[Work package ID]],tblParts[Work package ID],0)),0)</f>
        <v>0</v>
      </c>
      <c r="AI473" s="51" t="str">
        <f>IFERROR(INDEX(tblDisruptions[Event type],MATCH(tblWorkPackages[[#This Row],[Work package ID]],tblDisruptions[Work package ID],0)),"None")</f>
        <v>None</v>
      </c>
      <c r="AJ473" s="51" t="str">
        <f>TEXT(tblWorkPackages[[#This Row],[Due date serial]],"yyyy-mm")</f>
        <v>2025-12</v>
      </c>
    </row>
    <row r="474" spans="1:36" ht="15" x14ac:dyDescent="0.25">
      <c r="A474" s="53" t="s">
        <v>1271</v>
      </c>
      <c r="B474" s="53" t="s">
        <v>250</v>
      </c>
      <c r="C474" s="53" t="s">
        <v>1272</v>
      </c>
      <c r="D474" s="53" t="s">
        <v>1273</v>
      </c>
      <c r="E474" s="53" t="s">
        <v>242</v>
      </c>
      <c r="F474" s="53" t="s">
        <v>243</v>
      </c>
      <c r="G474" s="53" t="s">
        <v>129</v>
      </c>
      <c r="H474" s="53">
        <v>2</v>
      </c>
      <c r="I474" s="53" t="s">
        <v>176</v>
      </c>
      <c r="J474" s="53">
        <v>0</v>
      </c>
      <c r="K474" s="53">
        <v>0</v>
      </c>
      <c r="L474" s="53">
        <v>7.5</v>
      </c>
      <c r="M474" s="53" t="s">
        <v>1274</v>
      </c>
      <c r="N474" s="53">
        <v>8.1</v>
      </c>
      <c r="O474" s="51" t="str">
        <f>TEXT(tblWorkPackages[[#This Row],[Request date serial]]-WEEKDAY(tblWorkPackages[[#This Row],[Request date serial]],3),"yyyy-mm-dd")</f>
        <v>2025-10-06</v>
      </c>
      <c r="P474" s="51">
        <f>ABS(tblWorkPackages[[#This Row],[Actual labor hours]]-tblWorkPackages[[#This Row],[Estimated labor hours]])</f>
        <v>0.6</v>
      </c>
      <c r="Q474" s="51">
        <f>IF(tblWorkPackages[[#This Row],[Actual labor hours]]&gt;tblWorkPackages[[#This Row],[Estimated labor hours]],1,0)</f>
        <v>1</v>
      </c>
      <c r="R474" s="51">
        <f>tblWorkPackages[[#This Row],[Actual labor hours]]-tblWorkPackages[[#This Row],[Estimated labor hours]]</f>
        <v>0.6</v>
      </c>
      <c r="S474" s="51" t="str">
        <f>IF(tblWorkPackages[[#This Row],[Request date serial]]&lt;ValidationStart,"Train 2024",IF(tblWorkPackages[[#This Row],[Request date serial]]&lt;HoldoutStart,"Validation H1","Holdout H2"))</f>
        <v>Holdout H2</v>
      </c>
      <c r="T474" s="51">
        <f>IF(tblWorkPackages[[#This Row],[Time split]]="Train 2024","",tblWorkPackages[[#This Row],[Estimated labor hours]]+VLOOKUP(tblWorkPackages[[#This Row],[Task type]],'Forecast validation'!$A$14:$E$25,IF(tblWorkPackages[[#This Row],[Time split]]="Validation H1",4,5),FALSE()))</f>
        <v>8.32545454545455</v>
      </c>
      <c r="U474" s="51">
        <f>IF(tblWorkPackages[[#This Row],[Calibrated forecast hours]]="","",ABS(tblWorkPackages[[#This Row],[Actual labor hours]]-tblWorkPackages[[#This Row],[Calibrated forecast hours]]))</f>
        <v>0.225454545454546</v>
      </c>
      <c r="V474" s="51">
        <f>IF(tblWorkPackages[[#This Row],[Time split]]="Train 2024",tblWorkPackages[[#This Row],[Estimated labor hours]],tblWorkPackages[[#This Row],[Calibrated forecast hours]])</f>
        <v>8.32545454545455</v>
      </c>
      <c r="W474" s="64">
        <f>DATEVALUE(tblWorkPackages[[#This Row],[Request date]])</f>
        <v>45936.0</v>
      </c>
      <c r="X474" s="64">
        <f>DATEVALUE(tblWorkPackages[[#This Row],[Due date]])</f>
        <v>45942.0</v>
      </c>
      <c r="Y474" s="64">
        <f>DATEVALUE(tblWorkPackages[[#This Row],[Completion date]])</f>
        <v>45941.0</v>
      </c>
      <c r="Z474" s="64">
        <f>_xlfn.MINIFS(tblLaborEntries[Work date serial],tblLaborEntries[Work package ID],tblWorkPackages[[#This Row],[Work package ID]])</f>
        <v>45939.0</v>
      </c>
      <c r="AA474" s="64">
        <f>_xlfn.MAXIFS(tblLaborEntries[Work date serial],tblLaborEntries[Work package ID],tblWorkPackages[[#This Row],[Work package ID]])</f>
        <v>45941.0</v>
      </c>
      <c r="AB474" s="65">
        <f>IF(tblWorkPackages[[#This Row],[Completion date serial]]&gt;tblWorkPackages[[#This Row],[Due date serial]],1,0)</f>
        <v>0</v>
      </c>
      <c r="AC474" s="65">
        <f>MAX(0,tblWorkPackages[[#This Row],[Completion date serial]]-tblWorkPackages[[#This Row],[Due date serial]])</f>
        <v>0</v>
      </c>
      <c r="AD474" s="65">
        <f>tblWorkPackages[[#This Row],[First labor date]]-tblWorkPackages[[#This Row],[Request date serial]]</f>
        <v>3</v>
      </c>
      <c r="AE474" s="65">
        <f>tblWorkPackages[[#This Row],[Last labor date]]-tblWorkPackages[[#This Row],[First labor date]]</f>
        <v>2</v>
      </c>
      <c r="AF474" s="65">
        <f>tblWorkPackages[[#This Row],[Completion date serial]]-tblWorkPackages[[#This Row],[Last labor date]]</f>
        <v>0</v>
      </c>
      <c r="AG474" s="65">
        <f>tblWorkPackages[[#This Row],[Completion date serial]]-tblWorkPackages[[#This Row],[Request date serial]]</f>
        <v>5</v>
      </c>
      <c r="AH474" s="65">
        <f>IFERROR(INDEX(tblParts[Delay days],MATCH(tblWorkPackages[[#This Row],[Work package ID]],tblParts[Work package ID],0)),0)</f>
        <v>0</v>
      </c>
      <c r="AI474" s="51" t="str">
        <f>IFERROR(INDEX(tblDisruptions[Event type],MATCH(tblWorkPackages[[#This Row],[Work package ID]],tblDisruptions[Work package ID],0)),"None")</f>
        <v>None</v>
      </c>
      <c r="AJ474" s="51" t="str">
        <f>TEXT(tblWorkPackages[[#This Row],[Due date serial]],"yyyy-mm")</f>
        <v>2025-10</v>
      </c>
    </row>
    <row r="475" spans="1:36" ht="15" x14ac:dyDescent="0.25">
      <c r="A475" s="53" t="s">
        <v>1275</v>
      </c>
      <c r="B475" s="53" t="s">
        <v>173</v>
      </c>
      <c r="C475" s="53" t="s">
        <v>1276</v>
      </c>
      <c r="D475" s="53" t="s">
        <v>1256</v>
      </c>
      <c r="E475" s="53" t="s">
        <v>160</v>
      </c>
      <c r="F475" s="53" t="s">
        <v>128</v>
      </c>
      <c r="G475" s="53" t="s">
        <v>138</v>
      </c>
      <c r="H475" s="53">
        <v>1</v>
      </c>
      <c r="I475" s="53" t="s">
        <v>176</v>
      </c>
      <c r="J475" s="53">
        <v>0</v>
      </c>
      <c r="K475" s="53">
        <v>0</v>
      </c>
      <c r="L475" s="53">
        <v>3.1</v>
      </c>
      <c r="M475" s="53" t="s">
        <v>744</v>
      </c>
      <c r="N475" s="53">
        <v>3.3</v>
      </c>
      <c r="O475" s="51" t="str">
        <f>TEXT(tblWorkPackages[[#This Row],[Request date serial]]-WEEKDAY(tblWorkPackages[[#This Row],[Request date serial]],3),"yyyy-mm-dd")</f>
        <v>2025-06-16</v>
      </c>
      <c r="P475" s="51">
        <f>ABS(tblWorkPackages[[#This Row],[Actual labor hours]]-tblWorkPackages[[#This Row],[Estimated labor hours]])</f>
        <v>0.2</v>
      </c>
      <c r="Q475" s="51">
        <f>IF(tblWorkPackages[[#This Row],[Actual labor hours]]&gt;tblWorkPackages[[#This Row],[Estimated labor hours]],1,0)</f>
        <v>1</v>
      </c>
      <c r="R475" s="51">
        <f>tblWorkPackages[[#This Row],[Actual labor hours]]-tblWorkPackages[[#This Row],[Estimated labor hours]]</f>
        <v>0.2</v>
      </c>
      <c r="S475" s="51" t="str">
        <f>IF(tblWorkPackages[[#This Row],[Request date serial]]&lt;ValidationStart,"Train 2024",IF(tblWorkPackages[[#This Row],[Request date serial]]&lt;HoldoutStart,"Validation H1","Holdout H2"))</f>
        <v>Validation H1</v>
      </c>
      <c r="T475" s="51">
        <f>IF(tblWorkPackages[[#This Row],[Time split]]="Train 2024","",tblWorkPackages[[#This Row],[Estimated labor hours]]+VLOOKUP(tblWorkPackages[[#This Row],[Task type]],'Forecast validation'!$A$14:$E$25,IF(tblWorkPackages[[#This Row],[Time split]]="Validation H1",4,5),FALSE()))</f>
        <v>3.54146341463415</v>
      </c>
      <c r="U475" s="51">
        <f>IF(tblWorkPackages[[#This Row],[Calibrated forecast hours]]="","",ABS(tblWorkPackages[[#This Row],[Actual labor hours]]-tblWorkPackages[[#This Row],[Calibrated forecast hours]]))</f>
        <v>0.241463414634147</v>
      </c>
      <c r="V475" s="51">
        <f>IF(tblWorkPackages[[#This Row],[Time split]]="Train 2024",tblWorkPackages[[#This Row],[Estimated labor hours]],tblWorkPackages[[#This Row],[Calibrated forecast hours]])</f>
        <v>3.54146341463415</v>
      </c>
      <c r="W475" s="64">
        <f>DATEVALUE(tblWorkPackages[[#This Row],[Request date]])</f>
        <v>45825.0</v>
      </c>
      <c r="X475" s="64">
        <f>DATEVALUE(tblWorkPackages[[#This Row],[Due date]])</f>
        <v>45831.0</v>
      </c>
      <c r="Y475" s="64">
        <f>DATEVALUE(tblWorkPackages[[#This Row],[Completion date]])</f>
        <v>45863.0</v>
      </c>
      <c r="Z475" s="64">
        <f>_xlfn.MINIFS(tblLaborEntries[Work date serial],tblLaborEntries[Work package ID],tblWorkPackages[[#This Row],[Work package ID]])</f>
        <v>45861.0</v>
      </c>
      <c r="AA475" s="64">
        <f>_xlfn.MAXIFS(tblLaborEntries[Work date serial],tblLaborEntries[Work package ID],tblWorkPackages[[#This Row],[Work package ID]])</f>
        <v>45862.0</v>
      </c>
      <c r="AB475" s="65">
        <f>IF(tblWorkPackages[[#This Row],[Completion date serial]]&gt;tblWorkPackages[[#This Row],[Due date serial]],1,0)</f>
        <v>1</v>
      </c>
      <c r="AC475" s="65">
        <f>MAX(0,tblWorkPackages[[#This Row],[Completion date serial]]-tblWorkPackages[[#This Row],[Due date serial]])</f>
        <v>32</v>
      </c>
      <c r="AD475" s="65">
        <f>tblWorkPackages[[#This Row],[First labor date]]-tblWorkPackages[[#This Row],[Request date serial]]</f>
        <v>36</v>
      </c>
      <c r="AE475" s="65">
        <f>tblWorkPackages[[#This Row],[Last labor date]]-tblWorkPackages[[#This Row],[First labor date]]</f>
        <v>1</v>
      </c>
      <c r="AF475" s="65">
        <f>tblWorkPackages[[#This Row],[Completion date serial]]-tblWorkPackages[[#This Row],[Last labor date]]</f>
        <v>1</v>
      </c>
      <c r="AG475" s="65">
        <f>tblWorkPackages[[#This Row],[Completion date serial]]-tblWorkPackages[[#This Row],[Request date serial]]</f>
        <v>38</v>
      </c>
      <c r="AH475" s="65">
        <f>IFERROR(INDEX(tblParts[Delay days],MATCH(tblWorkPackages[[#This Row],[Work package ID]],tblParts[Work package ID],0)),0)</f>
        <v>0</v>
      </c>
      <c r="AI475" s="51" t="str">
        <f>IFERROR(INDEX(tblDisruptions[Event type],MATCH(tblWorkPackages[[#This Row],[Work package ID]],tblDisruptions[Work package ID],0)),"None")</f>
        <v>None</v>
      </c>
      <c r="AJ475" s="51" t="str">
        <f>TEXT(tblWorkPackages[[#This Row],[Due date serial]],"yyyy-mm")</f>
        <v>2025-06</v>
      </c>
    </row>
    <row r="476" spans="1:36" ht="15" x14ac:dyDescent="0.25">
      <c r="A476" s="53" t="s">
        <v>1277</v>
      </c>
      <c r="B476" s="53" t="s">
        <v>168</v>
      </c>
      <c r="C476" s="53" t="s">
        <v>979</v>
      </c>
      <c r="D476" s="53" t="s">
        <v>538</v>
      </c>
      <c r="E476" s="53" t="s">
        <v>144</v>
      </c>
      <c r="F476" s="53" t="s">
        <v>145</v>
      </c>
      <c r="G476" s="53" t="s">
        <v>146</v>
      </c>
      <c r="H476" s="53">
        <v>4</v>
      </c>
      <c r="I476" s="53" t="s">
        <v>130</v>
      </c>
      <c r="J476" s="53">
        <v>0</v>
      </c>
      <c r="K476" s="53">
        <v>0</v>
      </c>
      <c r="L476" s="53">
        <v>17.600000000000001</v>
      </c>
      <c r="M476" s="53" t="s">
        <v>833</v>
      </c>
      <c r="N476" s="53">
        <v>19</v>
      </c>
      <c r="O476" s="51" t="str">
        <f>TEXT(tblWorkPackages[[#This Row],[Request date serial]]-WEEKDAY(tblWorkPackages[[#This Row],[Request date serial]],3),"yyyy-mm-dd")</f>
        <v>2025-11-03</v>
      </c>
      <c r="P476" s="51">
        <f>ABS(tblWorkPackages[[#This Row],[Actual labor hours]]-tblWorkPackages[[#This Row],[Estimated labor hours]])</f>
        <v>1.4</v>
      </c>
      <c r="Q476" s="51">
        <f>IF(tblWorkPackages[[#This Row],[Actual labor hours]]&gt;tblWorkPackages[[#This Row],[Estimated labor hours]],1,0)</f>
        <v>1</v>
      </c>
      <c r="R476" s="51">
        <f>tblWorkPackages[[#This Row],[Actual labor hours]]-tblWorkPackages[[#This Row],[Estimated labor hours]]</f>
        <v>1.4</v>
      </c>
      <c r="S476" s="51" t="str">
        <f>IF(tblWorkPackages[[#This Row],[Request date serial]]&lt;ValidationStart,"Train 2024",IF(tblWorkPackages[[#This Row],[Request date serial]]&lt;HoldoutStart,"Validation H1","Holdout H2"))</f>
        <v>Holdout H2</v>
      </c>
      <c r="T476" s="51">
        <f>IF(tblWorkPackages[[#This Row],[Time split]]="Train 2024","",tblWorkPackages[[#This Row],[Estimated labor hours]]+VLOOKUP(tblWorkPackages[[#This Row],[Task type]],'Forecast validation'!$A$14:$E$25,IF(tblWorkPackages[[#This Row],[Time split]]="Validation H1",4,5),FALSE()))</f>
        <v>18.5735483870968</v>
      </c>
      <c r="U476" s="51">
        <f>IF(tblWorkPackages[[#This Row],[Calibrated forecast hours]]="","",ABS(tblWorkPackages[[#This Row],[Actual labor hours]]-tblWorkPackages[[#This Row],[Calibrated forecast hours]]))</f>
        <v>0.426451612903225</v>
      </c>
      <c r="V476" s="51">
        <f>IF(tblWorkPackages[[#This Row],[Time split]]="Train 2024",tblWorkPackages[[#This Row],[Estimated labor hours]],tblWorkPackages[[#This Row],[Calibrated forecast hours]])</f>
        <v>18.5735483870968</v>
      </c>
      <c r="W476" s="64">
        <f>DATEVALUE(tblWorkPackages[[#This Row],[Request date]])</f>
        <v>45965.0</v>
      </c>
      <c r="X476" s="64">
        <f>DATEVALUE(tblWorkPackages[[#This Row],[Due date]])</f>
        <v>45978.0</v>
      </c>
      <c r="Y476" s="64">
        <f>DATEVALUE(tblWorkPackages[[#This Row],[Completion date]])</f>
        <v>45976.0</v>
      </c>
      <c r="Z476" s="64">
        <f>_xlfn.MINIFS(tblLaborEntries[Work date serial],tblLaborEntries[Work package ID],tblWorkPackages[[#This Row],[Work package ID]])</f>
        <v>45972.0</v>
      </c>
      <c r="AA476" s="64">
        <f>_xlfn.MAXIFS(tblLaborEntries[Work date serial],tblLaborEntries[Work package ID],tblWorkPackages[[#This Row],[Work package ID]])</f>
        <v>45974.0</v>
      </c>
      <c r="AB476" s="65">
        <f>IF(tblWorkPackages[[#This Row],[Completion date serial]]&gt;tblWorkPackages[[#This Row],[Due date serial]],1,0)</f>
        <v>0</v>
      </c>
      <c r="AC476" s="65">
        <f>MAX(0,tblWorkPackages[[#This Row],[Completion date serial]]-tblWorkPackages[[#This Row],[Due date serial]])</f>
        <v>0</v>
      </c>
      <c r="AD476" s="65">
        <f>tblWorkPackages[[#This Row],[First labor date]]-tblWorkPackages[[#This Row],[Request date serial]]</f>
        <v>7</v>
      </c>
      <c r="AE476" s="65">
        <f>tblWorkPackages[[#This Row],[Last labor date]]-tblWorkPackages[[#This Row],[First labor date]]</f>
        <v>2</v>
      </c>
      <c r="AF476" s="65">
        <f>tblWorkPackages[[#This Row],[Completion date serial]]-tblWorkPackages[[#This Row],[Last labor date]]</f>
        <v>2</v>
      </c>
      <c r="AG476" s="65">
        <f>tblWorkPackages[[#This Row],[Completion date serial]]-tblWorkPackages[[#This Row],[Request date serial]]</f>
        <v>11</v>
      </c>
      <c r="AH476" s="65">
        <f>IFERROR(INDEX(tblParts[Delay days],MATCH(tblWorkPackages[[#This Row],[Work package ID]],tblParts[Work package ID],0)),0)</f>
        <v>0</v>
      </c>
      <c r="AI476" s="51" t="str">
        <f>IFERROR(INDEX(tblDisruptions[Event type],MATCH(tblWorkPackages[[#This Row],[Work package ID]],tblDisruptions[Work package ID],0)),"None")</f>
        <v>None</v>
      </c>
      <c r="AJ476" s="51" t="str">
        <f>TEXT(tblWorkPackages[[#This Row],[Due date serial]],"yyyy-mm")</f>
        <v>2025-11</v>
      </c>
    </row>
    <row r="477" spans="1:36" ht="15" x14ac:dyDescent="0.25">
      <c r="A477" s="53" t="s">
        <v>1278</v>
      </c>
      <c r="B477" s="53" t="s">
        <v>203</v>
      </c>
      <c r="C477" s="53" t="s">
        <v>962</v>
      </c>
      <c r="D477" s="53" t="s">
        <v>963</v>
      </c>
      <c r="E477" s="53" t="s">
        <v>242</v>
      </c>
      <c r="F477" s="53" t="s">
        <v>243</v>
      </c>
      <c r="G477" s="53" t="s">
        <v>129</v>
      </c>
      <c r="H477" s="53">
        <v>4</v>
      </c>
      <c r="I477" s="53" t="s">
        <v>176</v>
      </c>
      <c r="J477" s="53">
        <v>1</v>
      </c>
      <c r="K477" s="53">
        <v>0</v>
      </c>
      <c r="L477" s="53">
        <v>15.5</v>
      </c>
      <c r="M477" s="53" t="s">
        <v>1085</v>
      </c>
      <c r="N477" s="53">
        <v>14.9</v>
      </c>
      <c r="O477" s="51" t="str">
        <f>TEXT(tblWorkPackages[[#This Row],[Request date serial]]-WEEKDAY(tblWorkPackages[[#This Row],[Request date serial]],3),"yyyy-mm-dd")</f>
        <v>2025-02-03</v>
      </c>
      <c r="P477" s="51">
        <f>ABS(tblWorkPackages[[#This Row],[Actual labor hours]]-tblWorkPackages[[#This Row],[Estimated labor hours]])</f>
        <v>0.6</v>
      </c>
      <c r="Q477" s="51">
        <f>IF(tblWorkPackages[[#This Row],[Actual labor hours]]&gt;tblWorkPackages[[#This Row],[Estimated labor hours]],1,0)</f>
        <v>0</v>
      </c>
      <c r="R477" s="51">
        <f>tblWorkPackages[[#This Row],[Actual labor hours]]-tblWorkPackages[[#This Row],[Estimated labor hours]]</f>
        <v>-0.6</v>
      </c>
      <c r="S477" s="51" t="str">
        <f>IF(tblWorkPackages[[#This Row],[Request date serial]]&lt;ValidationStart,"Train 2024",IF(tblWorkPackages[[#This Row],[Request date serial]]&lt;HoldoutStart,"Validation H1","Holdout H2"))</f>
        <v>Validation H1</v>
      </c>
      <c r="T477" s="51">
        <f>IF(tblWorkPackages[[#This Row],[Time split]]="Train 2024","",tblWorkPackages[[#This Row],[Estimated labor hours]]+VLOOKUP(tblWorkPackages[[#This Row],[Task type]],'Forecast validation'!$A$14:$E$25,IF(tblWorkPackages[[#This Row],[Time split]]="Validation H1",4,5),FALSE()))</f>
        <v>16.0561224489796</v>
      </c>
      <c r="U477" s="51">
        <f>IF(tblWorkPackages[[#This Row],[Calibrated forecast hours]]="","",ABS(tblWorkPackages[[#This Row],[Actual labor hours]]-tblWorkPackages[[#This Row],[Calibrated forecast hours]]))</f>
        <v>1.15612244897959</v>
      </c>
      <c r="V477" s="51">
        <f>IF(tblWorkPackages[[#This Row],[Time split]]="Train 2024",tblWorkPackages[[#This Row],[Estimated labor hours]],tblWorkPackages[[#This Row],[Calibrated forecast hours]])</f>
        <v>16.0561224489796</v>
      </c>
      <c r="W477" s="64">
        <f>DATEVALUE(tblWorkPackages[[#This Row],[Request date]])</f>
        <v>45694.0</v>
      </c>
      <c r="X477" s="64">
        <f>DATEVALUE(tblWorkPackages[[#This Row],[Due date]])</f>
        <v>45700.0</v>
      </c>
      <c r="Y477" s="64">
        <f>DATEVALUE(tblWorkPackages[[#This Row],[Completion date]])</f>
        <v>45701.0</v>
      </c>
      <c r="Z477" s="64">
        <f>_xlfn.MINIFS(tblLaborEntries[Work date serial],tblLaborEntries[Work package ID],tblWorkPackages[[#This Row],[Work package ID]])</f>
        <v>45696.0</v>
      </c>
      <c r="AA477" s="64">
        <f>_xlfn.MAXIFS(tblLaborEntries[Work date serial],tblLaborEntries[Work package ID],tblWorkPackages[[#This Row],[Work package ID]])</f>
        <v>45698.0</v>
      </c>
      <c r="AB477" s="65">
        <f>IF(tblWorkPackages[[#This Row],[Completion date serial]]&gt;tblWorkPackages[[#This Row],[Due date serial]],1,0)</f>
        <v>1</v>
      </c>
      <c r="AC477" s="65">
        <f>MAX(0,tblWorkPackages[[#This Row],[Completion date serial]]-tblWorkPackages[[#This Row],[Due date serial]])</f>
        <v>1</v>
      </c>
      <c r="AD477" s="65">
        <f>tblWorkPackages[[#This Row],[First labor date]]-tblWorkPackages[[#This Row],[Request date serial]]</f>
        <v>2</v>
      </c>
      <c r="AE477" s="65">
        <f>tblWorkPackages[[#This Row],[Last labor date]]-tblWorkPackages[[#This Row],[First labor date]]</f>
        <v>2</v>
      </c>
      <c r="AF477" s="65">
        <f>tblWorkPackages[[#This Row],[Completion date serial]]-tblWorkPackages[[#This Row],[Last labor date]]</f>
        <v>3</v>
      </c>
      <c r="AG477" s="65">
        <f>tblWorkPackages[[#This Row],[Completion date serial]]-tblWorkPackages[[#This Row],[Request date serial]]</f>
        <v>7</v>
      </c>
      <c r="AH477" s="65">
        <f>IFERROR(INDEX(tblParts[Delay days],MATCH(tblWorkPackages[[#This Row],[Work package ID]],tblParts[Work package ID],0)),0)</f>
        <v>0</v>
      </c>
      <c r="AI477" s="51" t="str">
        <f>IFERROR(INDEX(tblDisruptions[Event type],MATCH(tblWorkPackages[[#This Row],[Work package ID]],tblDisruptions[Work package ID],0)),"None")</f>
        <v>None</v>
      </c>
      <c r="AJ477" s="51" t="str">
        <f>TEXT(tblWorkPackages[[#This Row],[Due date serial]],"yyyy-mm")</f>
        <v>2025-02</v>
      </c>
    </row>
    <row r="478" spans="1:36" ht="15" x14ac:dyDescent="0.25">
      <c r="A478" s="53" t="s">
        <v>1279</v>
      </c>
      <c r="B478" s="53" t="s">
        <v>173</v>
      </c>
      <c r="C478" s="53" t="s">
        <v>288</v>
      </c>
      <c r="D478" s="53" t="s">
        <v>494</v>
      </c>
      <c r="E478" s="53" t="s">
        <v>153</v>
      </c>
      <c r="F478" s="53" t="s">
        <v>128</v>
      </c>
      <c r="G478" s="53" t="s">
        <v>154</v>
      </c>
      <c r="H478" s="53">
        <v>4</v>
      </c>
      <c r="I478" s="53" t="s">
        <v>147</v>
      </c>
      <c r="J478" s="53">
        <v>0</v>
      </c>
      <c r="K478" s="53">
        <v>0</v>
      </c>
      <c r="L478" s="53">
        <v>15</v>
      </c>
      <c r="M478" s="53" t="s">
        <v>942</v>
      </c>
      <c r="N478" s="53">
        <v>13</v>
      </c>
      <c r="O478" s="51" t="str">
        <f>TEXT(tblWorkPackages[[#This Row],[Request date serial]]-WEEKDAY(tblWorkPackages[[#This Row],[Request date serial]],3),"yyyy-mm-dd")</f>
        <v>2025-09-22</v>
      </c>
      <c r="P478" s="51">
        <f>ABS(tblWorkPackages[[#This Row],[Actual labor hours]]-tblWorkPackages[[#This Row],[Estimated labor hours]])</f>
        <v>2</v>
      </c>
      <c r="Q478" s="51">
        <f>IF(tblWorkPackages[[#This Row],[Actual labor hours]]&gt;tblWorkPackages[[#This Row],[Estimated labor hours]],1,0)</f>
        <v>0</v>
      </c>
      <c r="R478" s="51">
        <f>tblWorkPackages[[#This Row],[Actual labor hours]]-tblWorkPackages[[#This Row],[Estimated labor hours]]</f>
        <v>-2</v>
      </c>
      <c r="S478" s="51" t="str">
        <f>IF(tblWorkPackages[[#This Row],[Request date serial]]&lt;ValidationStart,"Train 2024",IF(tblWorkPackages[[#This Row],[Request date serial]]&lt;HoldoutStart,"Validation H1","Holdout H2"))</f>
        <v>Holdout H2</v>
      </c>
      <c r="T478" s="51">
        <f>IF(tblWorkPackages[[#This Row],[Time split]]="Train 2024","",tblWorkPackages[[#This Row],[Estimated labor hours]]+VLOOKUP(tblWorkPackages[[#This Row],[Task type]],'Forecast validation'!$A$14:$E$25,IF(tblWorkPackages[[#This Row],[Time split]]="Validation H1",4,5),FALSE()))</f>
        <v>15.6026666666667</v>
      </c>
      <c r="U478" s="51">
        <f>IF(tblWorkPackages[[#This Row],[Calibrated forecast hours]]="","",ABS(tblWorkPackages[[#This Row],[Actual labor hours]]-tblWorkPackages[[#This Row],[Calibrated forecast hours]]))</f>
        <v>2.60266666666667</v>
      </c>
      <c r="V478" s="51">
        <f>IF(tblWorkPackages[[#This Row],[Time split]]="Train 2024",tblWorkPackages[[#This Row],[Estimated labor hours]],tblWorkPackages[[#This Row],[Calibrated forecast hours]])</f>
        <v>15.6026666666667</v>
      </c>
      <c r="W478" s="64">
        <f>DATEVALUE(tblWorkPackages[[#This Row],[Request date]])</f>
        <v>45928.0</v>
      </c>
      <c r="X478" s="64">
        <f>DATEVALUE(tblWorkPackages[[#This Row],[Due date]])</f>
        <v>45930.0</v>
      </c>
      <c r="Y478" s="64">
        <f>DATEVALUE(tblWorkPackages[[#This Row],[Completion date]])</f>
        <v>45946.0</v>
      </c>
      <c r="Z478" s="64">
        <f>_xlfn.MINIFS(tblLaborEntries[Work date serial],tblLaborEntries[Work package ID],tblWorkPackages[[#This Row],[Work package ID]])</f>
        <v>45944.0</v>
      </c>
      <c r="AA478" s="64">
        <f>_xlfn.MAXIFS(tblLaborEntries[Work date serial],tblLaborEntries[Work package ID],tblWorkPackages[[#This Row],[Work package ID]])</f>
        <v>45946.0</v>
      </c>
      <c r="AB478" s="65">
        <f>IF(tblWorkPackages[[#This Row],[Completion date serial]]&gt;tblWorkPackages[[#This Row],[Due date serial]],1,0)</f>
        <v>1</v>
      </c>
      <c r="AC478" s="65">
        <f>MAX(0,tblWorkPackages[[#This Row],[Completion date serial]]-tblWorkPackages[[#This Row],[Due date serial]])</f>
        <v>16</v>
      </c>
      <c r="AD478" s="65">
        <f>tblWorkPackages[[#This Row],[First labor date]]-tblWorkPackages[[#This Row],[Request date serial]]</f>
        <v>16</v>
      </c>
      <c r="AE478" s="65">
        <f>tblWorkPackages[[#This Row],[Last labor date]]-tblWorkPackages[[#This Row],[First labor date]]</f>
        <v>2</v>
      </c>
      <c r="AF478" s="65">
        <f>tblWorkPackages[[#This Row],[Completion date serial]]-tblWorkPackages[[#This Row],[Last labor date]]</f>
        <v>0</v>
      </c>
      <c r="AG478" s="65">
        <f>tblWorkPackages[[#This Row],[Completion date serial]]-tblWorkPackages[[#This Row],[Request date serial]]</f>
        <v>18</v>
      </c>
      <c r="AH478" s="65">
        <f>IFERROR(INDEX(tblParts[Delay days],MATCH(tblWorkPackages[[#This Row],[Work package ID]],tblParts[Work package ID],0)),0)</f>
        <v>0</v>
      </c>
      <c r="AI478" s="51" t="str">
        <f>IFERROR(INDEX(tblDisruptions[Event type],MATCH(tblWorkPackages[[#This Row],[Work package ID]],tblDisruptions[Work package ID],0)),"None")</f>
        <v>None</v>
      </c>
      <c r="AJ478" s="51" t="str">
        <f>TEXT(tblWorkPackages[[#This Row],[Due date serial]],"yyyy-mm")</f>
        <v>2025-09</v>
      </c>
    </row>
    <row r="479" spans="1:36" ht="15" x14ac:dyDescent="0.25">
      <c r="A479" s="53" t="s">
        <v>1280</v>
      </c>
      <c r="B479" s="53" t="s">
        <v>163</v>
      </c>
      <c r="C479" s="53" t="s">
        <v>538</v>
      </c>
      <c r="D479" s="53" t="s">
        <v>1281</v>
      </c>
      <c r="E479" s="53" t="s">
        <v>160</v>
      </c>
      <c r="F479" s="53" t="s">
        <v>128</v>
      </c>
      <c r="G479" s="53" t="s">
        <v>138</v>
      </c>
      <c r="H479" s="53">
        <v>4</v>
      </c>
      <c r="I479" s="53" t="s">
        <v>130</v>
      </c>
      <c r="J479" s="53">
        <v>0</v>
      </c>
      <c r="K479" s="53">
        <v>0</v>
      </c>
      <c r="L479" s="53">
        <v>7.2</v>
      </c>
      <c r="M479" s="53" t="s">
        <v>335</v>
      </c>
      <c r="N479" s="53">
        <v>6.4</v>
      </c>
      <c r="O479" s="51" t="str">
        <f>TEXT(tblWorkPackages[[#This Row],[Request date serial]]-WEEKDAY(tblWorkPackages[[#This Row],[Request date serial]],3),"yyyy-mm-dd")</f>
        <v>2025-11-17</v>
      </c>
      <c r="P479" s="51">
        <f>ABS(tblWorkPackages[[#This Row],[Actual labor hours]]-tblWorkPackages[[#This Row],[Estimated labor hours]])</f>
        <v>0.8</v>
      </c>
      <c r="Q479" s="51">
        <f>IF(tblWorkPackages[[#This Row],[Actual labor hours]]&gt;tblWorkPackages[[#This Row],[Estimated labor hours]],1,0)</f>
        <v>0</v>
      </c>
      <c r="R479" s="51">
        <f>tblWorkPackages[[#This Row],[Actual labor hours]]-tblWorkPackages[[#This Row],[Estimated labor hours]]</f>
        <v>-0.8</v>
      </c>
      <c r="S479" s="51" t="str">
        <f>IF(tblWorkPackages[[#This Row],[Request date serial]]&lt;ValidationStart,"Train 2024",IF(tblWorkPackages[[#This Row],[Request date serial]]&lt;HoldoutStart,"Validation H1","Holdout H2"))</f>
        <v>Holdout H2</v>
      </c>
      <c r="T479" s="51">
        <f>IF(tblWorkPackages[[#This Row],[Time split]]="Train 2024","",tblWorkPackages[[#This Row],[Estimated labor hours]]+VLOOKUP(tblWorkPackages[[#This Row],[Task type]],'Forecast validation'!$A$14:$E$25,IF(tblWorkPackages[[#This Row],[Time split]]="Validation H1",4,5),FALSE()))</f>
        <v>7.63739837398374</v>
      </c>
      <c r="U479" s="51">
        <f>IF(tblWorkPackages[[#This Row],[Calibrated forecast hours]]="","",ABS(tblWorkPackages[[#This Row],[Actual labor hours]]-tblWorkPackages[[#This Row],[Calibrated forecast hours]]))</f>
        <v>1.23739837398374</v>
      </c>
      <c r="V479" s="51">
        <f>IF(tblWorkPackages[[#This Row],[Time split]]="Train 2024",tblWorkPackages[[#This Row],[Estimated labor hours]],tblWorkPackages[[#This Row],[Calibrated forecast hours]])</f>
        <v>7.63739837398374</v>
      </c>
      <c r="W479" s="64">
        <f>DATEVALUE(tblWorkPackages[[#This Row],[Request date]])</f>
        <v>45978.0</v>
      </c>
      <c r="X479" s="64">
        <f>DATEVALUE(tblWorkPackages[[#This Row],[Due date]])</f>
        <v>45991.0</v>
      </c>
      <c r="Y479" s="64">
        <f>DATEVALUE(tblWorkPackages[[#This Row],[Completion date]])</f>
        <v>45984.0</v>
      </c>
      <c r="Z479" s="64">
        <f>_xlfn.MINIFS(tblLaborEntries[Work date serial],tblLaborEntries[Work package ID],tblWorkPackages[[#This Row],[Work package ID]])</f>
        <v>45982.0</v>
      </c>
      <c r="AA479" s="64">
        <f>_xlfn.MAXIFS(tblLaborEntries[Work date serial],tblLaborEntries[Work package ID],tblWorkPackages[[#This Row],[Work package ID]])</f>
        <v>45983.0</v>
      </c>
      <c r="AB479" s="65">
        <f>IF(tblWorkPackages[[#This Row],[Completion date serial]]&gt;tblWorkPackages[[#This Row],[Due date serial]],1,0)</f>
        <v>0</v>
      </c>
      <c r="AC479" s="65">
        <f>MAX(0,tblWorkPackages[[#This Row],[Completion date serial]]-tblWorkPackages[[#This Row],[Due date serial]])</f>
        <v>0</v>
      </c>
      <c r="AD479" s="65">
        <f>tblWorkPackages[[#This Row],[First labor date]]-tblWorkPackages[[#This Row],[Request date serial]]</f>
        <v>4</v>
      </c>
      <c r="AE479" s="65">
        <f>tblWorkPackages[[#This Row],[Last labor date]]-tblWorkPackages[[#This Row],[First labor date]]</f>
        <v>1</v>
      </c>
      <c r="AF479" s="65">
        <f>tblWorkPackages[[#This Row],[Completion date serial]]-tblWorkPackages[[#This Row],[Last labor date]]</f>
        <v>1</v>
      </c>
      <c r="AG479" s="65">
        <f>tblWorkPackages[[#This Row],[Completion date serial]]-tblWorkPackages[[#This Row],[Request date serial]]</f>
        <v>6</v>
      </c>
      <c r="AH479" s="65">
        <f>IFERROR(INDEX(tblParts[Delay days],MATCH(tblWorkPackages[[#This Row],[Work package ID]],tblParts[Work package ID],0)),0)</f>
        <v>0</v>
      </c>
      <c r="AI479" s="51" t="str">
        <f>IFERROR(INDEX(tblDisruptions[Event type],MATCH(tblWorkPackages[[#This Row],[Work package ID]],tblDisruptions[Work package ID],0)),"None")</f>
        <v>None</v>
      </c>
      <c r="AJ479" s="51" t="str">
        <f>TEXT(tblWorkPackages[[#This Row],[Due date serial]],"yyyy-mm")</f>
        <v>2025-11</v>
      </c>
    </row>
    <row r="480" spans="1:36" ht="15" x14ac:dyDescent="0.25">
      <c r="A480" s="53" t="s">
        <v>1282</v>
      </c>
      <c r="B480" s="53" t="s">
        <v>124</v>
      </c>
      <c r="C480" s="53" t="s">
        <v>1283</v>
      </c>
      <c r="D480" s="53" t="s">
        <v>1221</v>
      </c>
      <c r="E480" s="53" t="s">
        <v>242</v>
      </c>
      <c r="F480" s="53" t="s">
        <v>243</v>
      </c>
      <c r="G480" s="53" t="s">
        <v>129</v>
      </c>
      <c r="H480" s="53">
        <v>4</v>
      </c>
      <c r="I480" s="53" t="s">
        <v>176</v>
      </c>
      <c r="J480" s="53">
        <v>1</v>
      </c>
      <c r="K480" s="53">
        <v>0</v>
      </c>
      <c r="L480" s="53">
        <v>18</v>
      </c>
      <c r="M480" s="53" t="s">
        <v>1244</v>
      </c>
      <c r="N480" s="53">
        <v>19.2</v>
      </c>
      <c r="O480" s="51" t="str">
        <f>TEXT(tblWorkPackages[[#This Row],[Request date serial]]-WEEKDAY(tblWorkPackages[[#This Row],[Request date serial]],3),"yyyy-mm-dd")</f>
        <v>2025-04-21</v>
      </c>
      <c r="P480" s="51">
        <f>ABS(tblWorkPackages[[#This Row],[Actual labor hours]]-tblWorkPackages[[#This Row],[Estimated labor hours]])</f>
        <v>1.2</v>
      </c>
      <c r="Q480" s="51">
        <f>IF(tblWorkPackages[[#This Row],[Actual labor hours]]&gt;tblWorkPackages[[#This Row],[Estimated labor hours]],1,0)</f>
        <v>1</v>
      </c>
      <c r="R480" s="51">
        <f>tblWorkPackages[[#This Row],[Actual labor hours]]-tblWorkPackages[[#This Row],[Estimated labor hours]]</f>
        <v>1.2</v>
      </c>
      <c r="S480" s="51" t="str">
        <f>IF(tblWorkPackages[[#This Row],[Request date serial]]&lt;ValidationStart,"Train 2024",IF(tblWorkPackages[[#This Row],[Request date serial]]&lt;HoldoutStart,"Validation H1","Holdout H2"))</f>
        <v>Validation H1</v>
      </c>
      <c r="T480" s="51">
        <f>IF(tblWorkPackages[[#This Row],[Time split]]="Train 2024","",tblWorkPackages[[#This Row],[Estimated labor hours]]+VLOOKUP(tblWorkPackages[[#This Row],[Task type]],'Forecast validation'!$A$14:$E$25,IF(tblWorkPackages[[#This Row],[Time split]]="Validation H1",4,5),FALSE()))</f>
        <v>18.5561224489796</v>
      </c>
      <c r="U480" s="51">
        <f>IF(tblWorkPackages[[#This Row],[Calibrated forecast hours]]="","",ABS(tblWorkPackages[[#This Row],[Actual labor hours]]-tblWorkPackages[[#This Row],[Calibrated forecast hours]]))</f>
        <v>0.643877551020406</v>
      </c>
      <c r="V480" s="51">
        <f>IF(tblWorkPackages[[#This Row],[Time split]]="Train 2024",tblWorkPackages[[#This Row],[Estimated labor hours]],tblWorkPackages[[#This Row],[Calibrated forecast hours]])</f>
        <v>18.5561224489796</v>
      </c>
      <c r="W480" s="64">
        <f>DATEVALUE(tblWorkPackages[[#This Row],[Request date]])</f>
        <v>45768.0</v>
      </c>
      <c r="X480" s="64">
        <f>DATEVALUE(tblWorkPackages[[#This Row],[Due date]])</f>
        <v>45774.0</v>
      </c>
      <c r="Y480" s="64">
        <f>DATEVALUE(tblWorkPackages[[#This Row],[Completion date]])</f>
        <v>45773.0</v>
      </c>
      <c r="Z480" s="64">
        <f>_xlfn.MINIFS(tblLaborEntries[Work date serial],tblLaborEntries[Work package ID],tblWorkPackages[[#This Row],[Work package ID]])</f>
        <v>45769.0</v>
      </c>
      <c r="AA480" s="64">
        <f>_xlfn.MAXIFS(tblLaborEntries[Work date serial],tblLaborEntries[Work package ID],tblWorkPackages[[#This Row],[Work package ID]])</f>
        <v>45771.0</v>
      </c>
      <c r="AB480" s="65">
        <f>IF(tblWorkPackages[[#This Row],[Completion date serial]]&gt;tblWorkPackages[[#This Row],[Due date serial]],1,0)</f>
        <v>0</v>
      </c>
      <c r="AC480" s="65">
        <f>MAX(0,tblWorkPackages[[#This Row],[Completion date serial]]-tblWorkPackages[[#This Row],[Due date serial]])</f>
        <v>0</v>
      </c>
      <c r="AD480" s="65">
        <f>tblWorkPackages[[#This Row],[First labor date]]-tblWorkPackages[[#This Row],[Request date serial]]</f>
        <v>1</v>
      </c>
      <c r="AE480" s="65">
        <f>tblWorkPackages[[#This Row],[Last labor date]]-tblWorkPackages[[#This Row],[First labor date]]</f>
        <v>2</v>
      </c>
      <c r="AF480" s="65">
        <f>tblWorkPackages[[#This Row],[Completion date serial]]-tblWorkPackages[[#This Row],[Last labor date]]</f>
        <v>2</v>
      </c>
      <c r="AG480" s="65">
        <f>tblWorkPackages[[#This Row],[Completion date serial]]-tblWorkPackages[[#This Row],[Request date serial]]</f>
        <v>5</v>
      </c>
      <c r="AH480" s="65">
        <f>IFERROR(INDEX(tblParts[Delay days],MATCH(tblWorkPackages[[#This Row],[Work package ID]],tblParts[Work package ID],0)),0)</f>
        <v>0</v>
      </c>
      <c r="AI480" s="51" t="str">
        <f>IFERROR(INDEX(tblDisruptions[Event type],MATCH(tblWorkPackages[[#This Row],[Work package ID]],tblDisruptions[Work package ID],0)),"None")</f>
        <v>None</v>
      </c>
      <c r="AJ480" s="51" t="str">
        <f>TEXT(tblWorkPackages[[#This Row],[Due date serial]],"yyyy-mm")</f>
        <v>2025-04</v>
      </c>
    </row>
    <row r="481" spans="1:36" ht="15" x14ac:dyDescent="0.25">
      <c r="A481" s="53" t="s">
        <v>1284</v>
      </c>
      <c r="B481" s="53" t="s">
        <v>230</v>
      </c>
      <c r="C481" s="53" t="s">
        <v>1285</v>
      </c>
      <c r="D481" s="53" t="s">
        <v>1211</v>
      </c>
      <c r="E481" s="53" t="s">
        <v>200</v>
      </c>
      <c r="F481" s="53" t="s">
        <v>128</v>
      </c>
      <c r="G481" s="53" t="s">
        <v>129</v>
      </c>
      <c r="H481" s="53">
        <v>3</v>
      </c>
      <c r="I481" s="53" t="s">
        <v>176</v>
      </c>
      <c r="J481" s="53">
        <v>0</v>
      </c>
      <c r="K481" s="53">
        <v>0</v>
      </c>
      <c r="L481" s="53">
        <v>4.5999999999999996</v>
      </c>
      <c r="M481" s="53" t="s">
        <v>672</v>
      </c>
      <c r="N481" s="53">
        <v>5.2</v>
      </c>
      <c r="O481" s="51" t="str">
        <f>TEXT(tblWorkPackages[[#This Row],[Request date serial]]-WEEKDAY(tblWorkPackages[[#This Row],[Request date serial]],3),"yyyy-mm-dd")</f>
        <v>2025-06-02</v>
      </c>
      <c r="P481" s="51">
        <f>ABS(tblWorkPackages[[#This Row],[Actual labor hours]]-tblWorkPackages[[#This Row],[Estimated labor hours]])</f>
        <v>0.600000000000001</v>
      </c>
      <c r="Q481" s="51">
        <f>IF(tblWorkPackages[[#This Row],[Actual labor hours]]&gt;tblWorkPackages[[#This Row],[Estimated labor hours]],1,0)</f>
        <v>1</v>
      </c>
      <c r="R481" s="51">
        <f>tblWorkPackages[[#This Row],[Actual labor hours]]-tblWorkPackages[[#This Row],[Estimated labor hours]]</f>
        <v>0.600000000000001</v>
      </c>
      <c r="S481" s="51" t="str">
        <f>IF(tblWorkPackages[[#This Row],[Request date serial]]&lt;ValidationStart,"Train 2024",IF(tblWorkPackages[[#This Row],[Request date serial]]&lt;HoldoutStart,"Validation H1","Holdout H2"))</f>
        <v>Validation H1</v>
      </c>
      <c r="T481" s="51">
        <f>IF(tblWorkPackages[[#This Row],[Time split]]="Train 2024","",tblWorkPackages[[#This Row],[Estimated labor hours]]+VLOOKUP(tblWorkPackages[[#This Row],[Task type]],'Forecast validation'!$A$14:$E$25,IF(tblWorkPackages[[#This Row],[Time split]]="Validation H1",4,5),FALSE()))</f>
        <v>4.93069306930693</v>
      </c>
      <c r="U481" s="51">
        <f>IF(tblWorkPackages[[#This Row],[Calibrated forecast hours]]="","",ABS(tblWorkPackages[[#This Row],[Actual labor hours]]-tblWorkPackages[[#This Row],[Calibrated forecast hours]]))</f>
        <v>0.26930693069307</v>
      </c>
      <c r="V481" s="51">
        <f>IF(tblWorkPackages[[#This Row],[Time split]]="Train 2024",tblWorkPackages[[#This Row],[Estimated labor hours]],tblWorkPackages[[#This Row],[Calibrated forecast hours]])</f>
        <v>4.93069306930693</v>
      </c>
      <c r="W481" s="64">
        <f>DATEVALUE(tblWorkPackages[[#This Row],[Request date]])</f>
        <v>45812.0</v>
      </c>
      <c r="X481" s="64">
        <f>DATEVALUE(tblWorkPackages[[#This Row],[Due date]])</f>
        <v>45818.0</v>
      </c>
      <c r="Y481" s="64">
        <f>DATEVALUE(tblWorkPackages[[#This Row],[Completion date]])</f>
        <v>45826.0</v>
      </c>
      <c r="Z481" s="64">
        <f>_xlfn.MINIFS(tblLaborEntries[Work date serial],tblLaborEntries[Work package ID],tblWorkPackages[[#This Row],[Work package ID]])</f>
        <v>45822.0</v>
      </c>
      <c r="AA481" s="64">
        <f>_xlfn.MAXIFS(tblLaborEntries[Work date serial],tblLaborEntries[Work package ID],tblWorkPackages[[#This Row],[Work package ID]])</f>
        <v>45823.0</v>
      </c>
      <c r="AB481" s="65">
        <f>IF(tblWorkPackages[[#This Row],[Completion date serial]]&gt;tblWorkPackages[[#This Row],[Due date serial]],1,0)</f>
        <v>1</v>
      </c>
      <c r="AC481" s="65">
        <f>MAX(0,tblWorkPackages[[#This Row],[Completion date serial]]-tblWorkPackages[[#This Row],[Due date serial]])</f>
        <v>8</v>
      </c>
      <c r="AD481" s="65">
        <f>tblWorkPackages[[#This Row],[First labor date]]-tblWorkPackages[[#This Row],[Request date serial]]</f>
        <v>10</v>
      </c>
      <c r="AE481" s="65">
        <f>tblWorkPackages[[#This Row],[Last labor date]]-tblWorkPackages[[#This Row],[First labor date]]</f>
        <v>1</v>
      </c>
      <c r="AF481" s="65">
        <f>tblWorkPackages[[#This Row],[Completion date serial]]-tblWorkPackages[[#This Row],[Last labor date]]</f>
        <v>3</v>
      </c>
      <c r="AG481" s="65">
        <f>tblWorkPackages[[#This Row],[Completion date serial]]-tblWorkPackages[[#This Row],[Request date serial]]</f>
        <v>14</v>
      </c>
      <c r="AH481" s="65">
        <f>IFERROR(INDEX(tblParts[Delay days],MATCH(tblWorkPackages[[#This Row],[Work package ID]],tblParts[Work package ID],0)),0)</f>
        <v>0</v>
      </c>
      <c r="AI481" s="51" t="str">
        <f>IFERROR(INDEX(tblDisruptions[Event type],MATCH(tblWorkPackages[[#This Row],[Work package ID]],tblDisruptions[Work package ID],0)),"None")</f>
        <v>None</v>
      </c>
      <c r="AJ481" s="51" t="str">
        <f>TEXT(tblWorkPackages[[#This Row],[Due date serial]],"yyyy-mm")</f>
        <v>2025-06</v>
      </c>
    </row>
    <row r="482" spans="1:36" ht="15" x14ac:dyDescent="0.25">
      <c r="A482" s="53" t="s">
        <v>1286</v>
      </c>
      <c r="B482" s="53" t="s">
        <v>163</v>
      </c>
      <c r="C482" s="53" t="s">
        <v>967</v>
      </c>
      <c r="D482" s="53" t="s">
        <v>785</v>
      </c>
      <c r="E482" s="53" t="s">
        <v>181</v>
      </c>
      <c r="F482" s="53" t="s">
        <v>182</v>
      </c>
      <c r="G482" s="53" t="s">
        <v>138</v>
      </c>
      <c r="H482" s="53">
        <v>2</v>
      </c>
      <c r="I482" s="53" t="s">
        <v>130</v>
      </c>
      <c r="J482" s="53">
        <v>0</v>
      </c>
      <c r="K482" s="53">
        <v>0</v>
      </c>
      <c r="L482" s="53">
        <v>8.1999999999999993</v>
      </c>
      <c r="M482" s="53" t="s">
        <v>271</v>
      </c>
      <c r="N482" s="53">
        <v>7.3</v>
      </c>
      <c r="O482" s="51" t="str">
        <f>TEXT(tblWorkPackages[[#This Row],[Request date serial]]-WEEKDAY(tblWorkPackages[[#This Row],[Request date serial]],3),"yyyy-mm-dd")</f>
        <v>2025-04-07</v>
      </c>
      <c r="P482" s="51">
        <f>ABS(tblWorkPackages[[#This Row],[Actual labor hours]]-tblWorkPackages[[#This Row],[Estimated labor hours]])</f>
        <v>0.9</v>
      </c>
      <c r="Q482" s="51">
        <f>IF(tblWorkPackages[[#This Row],[Actual labor hours]]&gt;tblWorkPackages[[#This Row],[Estimated labor hours]],1,0)</f>
        <v>0</v>
      </c>
      <c r="R482" s="51">
        <f>tblWorkPackages[[#This Row],[Actual labor hours]]-tblWorkPackages[[#This Row],[Estimated labor hours]]</f>
        <v>-0.9</v>
      </c>
      <c r="S482" s="51" t="str">
        <f>IF(tblWorkPackages[[#This Row],[Request date serial]]&lt;ValidationStart,"Train 2024",IF(tblWorkPackages[[#This Row],[Request date serial]]&lt;HoldoutStart,"Validation H1","Holdout H2"))</f>
        <v>Validation H1</v>
      </c>
      <c r="T482" s="51">
        <f>IF(tblWorkPackages[[#This Row],[Time split]]="Train 2024","",tblWorkPackages[[#This Row],[Estimated labor hours]]+VLOOKUP(tblWorkPackages[[#This Row],[Task type]],'Forecast validation'!$A$14:$E$25,IF(tblWorkPackages[[#This Row],[Time split]]="Validation H1",4,5),FALSE()))</f>
        <v>8.78409090909091</v>
      </c>
      <c r="U482" s="51">
        <f>IF(tblWorkPackages[[#This Row],[Calibrated forecast hours]]="","",ABS(tblWorkPackages[[#This Row],[Actual labor hours]]-tblWorkPackages[[#This Row],[Calibrated forecast hours]]))</f>
        <v>1.48409090909091</v>
      </c>
      <c r="V482" s="51">
        <f>IF(tblWorkPackages[[#This Row],[Time split]]="Train 2024",tblWorkPackages[[#This Row],[Estimated labor hours]],tblWorkPackages[[#This Row],[Calibrated forecast hours]])</f>
        <v>8.78409090909091</v>
      </c>
      <c r="W482" s="64">
        <f>DATEVALUE(tblWorkPackages[[#This Row],[Request date]])</f>
        <v>45758.0</v>
      </c>
      <c r="X482" s="64">
        <f>DATEVALUE(tblWorkPackages[[#This Row],[Due date]])</f>
        <v>45771.0</v>
      </c>
      <c r="Y482" s="64">
        <f>DATEVALUE(tblWorkPackages[[#This Row],[Completion date]])</f>
        <v>45761.0</v>
      </c>
      <c r="Z482" s="64">
        <f>_xlfn.MINIFS(tblLaborEntries[Work date serial],tblLaborEntries[Work package ID],tblWorkPackages[[#This Row],[Work package ID]])</f>
        <v>45761.0</v>
      </c>
      <c r="AA482" s="64">
        <f>_xlfn.MAXIFS(tblLaborEntries[Work date serial],tblLaborEntries[Work package ID],tblWorkPackages[[#This Row],[Work package ID]])</f>
        <v>45761.0</v>
      </c>
      <c r="AB482" s="65">
        <f>IF(tblWorkPackages[[#This Row],[Completion date serial]]&gt;tblWorkPackages[[#This Row],[Due date serial]],1,0)</f>
        <v>0</v>
      </c>
      <c r="AC482" s="65">
        <f>MAX(0,tblWorkPackages[[#This Row],[Completion date serial]]-tblWorkPackages[[#This Row],[Due date serial]])</f>
        <v>0</v>
      </c>
      <c r="AD482" s="65">
        <f>tblWorkPackages[[#This Row],[First labor date]]-tblWorkPackages[[#This Row],[Request date serial]]</f>
        <v>3</v>
      </c>
      <c r="AE482" s="65">
        <f>tblWorkPackages[[#This Row],[Last labor date]]-tblWorkPackages[[#This Row],[First labor date]]</f>
        <v>0</v>
      </c>
      <c r="AF482" s="65">
        <f>tblWorkPackages[[#This Row],[Completion date serial]]-tblWorkPackages[[#This Row],[Last labor date]]</f>
        <v>0</v>
      </c>
      <c r="AG482" s="65">
        <f>tblWorkPackages[[#This Row],[Completion date serial]]-tblWorkPackages[[#This Row],[Request date serial]]</f>
        <v>3</v>
      </c>
      <c r="AH482" s="65">
        <f>IFERROR(INDEX(tblParts[Delay days],MATCH(tblWorkPackages[[#This Row],[Work package ID]],tblParts[Work package ID],0)),0)</f>
        <v>0</v>
      </c>
      <c r="AI482" s="51" t="str">
        <f>IFERROR(INDEX(tblDisruptions[Event type],MATCH(tblWorkPackages[[#This Row],[Work package ID]],tblDisruptions[Work package ID],0)),"None")</f>
        <v>None</v>
      </c>
      <c r="AJ482" s="51" t="str">
        <f>TEXT(tblWorkPackages[[#This Row],[Due date serial]],"yyyy-mm")</f>
        <v>2025-04</v>
      </c>
    </row>
    <row r="483" spans="1:36" ht="15" x14ac:dyDescent="0.25">
      <c r="A483" s="53" t="s">
        <v>1287</v>
      </c>
      <c r="B483" s="53" t="s">
        <v>133</v>
      </c>
      <c r="C483" s="53" t="s">
        <v>1288</v>
      </c>
      <c r="D483" s="53" t="s">
        <v>1289</v>
      </c>
      <c r="E483" s="53" t="s">
        <v>144</v>
      </c>
      <c r="F483" s="53" t="s">
        <v>145</v>
      </c>
      <c r="G483" s="53" t="s">
        <v>146</v>
      </c>
      <c r="H483" s="53">
        <v>4</v>
      </c>
      <c r="I483" s="53" t="s">
        <v>147</v>
      </c>
      <c r="J483" s="53">
        <v>0</v>
      </c>
      <c r="K483" s="53">
        <v>1</v>
      </c>
      <c r="L483" s="53">
        <v>20.399999999999999</v>
      </c>
      <c r="M483" s="53" t="s">
        <v>1226</v>
      </c>
      <c r="N483" s="53">
        <v>24.9</v>
      </c>
      <c r="O483" s="51" t="str">
        <f>TEXT(tblWorkPackages[[#This Row],[Request date serial]]-WEEKDAY(tblWorkPackages[[#This Row],[Request date serial]],3),"yyyy-mm-dd")</f>
        <v>2025-03-03</v>
      </c>
      <c r="P483" s="51">
        <f>ABS(tblWorkPackages[[#This Row],[Actual labor hours]]-tblWorkPackages[[#This Row],[Estimated labor hours]])</f>
        <v>4.5</v>
      </c>
      <c r="Q483" s="51">
        <f>IF(tblWorkPackages[[#This Row],[Actual labor hours]]&gt;tblWorkPackages[[#This Row],[Estimated labor hours]],1,0)</f>
        <v>1</v>
      </c>
      <c r="R483" s="51">
        <f>tblWorkPackages[[#This Row],[Actual labor hours]]-tblWorkPackages[[#This Row],[Estimated labor hours]]</f>
        <v>4.5</v>
      </c>
      <c r="S483" s="51" t="str">
        <f>IF(tblWorkPackages[[#This Row],[Request date serial]]&lt;ValidationStart,"Train 2024",IF(tblWorkPackages[[#This Row],[Request date serial]]&lt;HoldoutStart,"Validation H1","Holdout H2"))</f>
        <v>Validation H1</v>
      </c>
      <c r="T483" s="51">
        <f>IF(tblWorkPackages[[#This Row],[Time split]]="Train 2024","",tblWorkPackages[[#This Row],[Estimated labor hours]]+VLOOKUP(tblWorkPackages[[#This Row],[Task type]],'Forecast validation'!$A$14:$E$25,IF(tblWorkPackages[[#This Row],[Time split]]="Validation H1",4,5),FALSE()))</f>
        <v>21.1547368421053</v>
      </c>
      <c r="U483" s="51">
        <f>IF(tblWorkPackages[[#This Row],[Calibrated forecast hours]]="","",ABS(tblWorkPackages[[#This Row],[Actual labor hours]]-tblWorkPackages[[#This Row],[Calibrated forecast hours]]))</f>
        <v>3.74526315789474</v>
      </c>
      <c r="V483" s="51">
        <f>IF(tblWorkPackages[[#This Row],[Time split]]="Train 2024",tblWorkPackages[[#This Row],[Estimated labor hours]],tblWorkPackages[[#This Row],[Calibrated forecast hours]])</f>
        <v>21.1547368421053</v>
      </c>
      <c r="W483" s="64">
        <f>DATEVALUE(tblWorkPackages[[#This Row],[Request date]])</f>
        <v>45720.0</v>
      </c>
      <c r="X483" s="64">
        <f>DATEVALUE(tblWorkPackages[[#This Row],[Due date]])</f>
        <v>45722.0</v>
      </c>
      <c r="Y483" s="64">
        <f>DATEVALUE(tblWorkPackages[[#This Row],[Completion date]])</f>
        <v>45750.0</v>
      </c>
      <c r="Z483" s="64">
        <f>_xlfn.MINIFS(tblLaborEntries[Work date serial],tblLaborEntries[Work package ID],tblWorkPackages[[#This Row],[Work package ID]])</f>
        <v>45748.0</v>
      </c>
      <c r="AA483" s="64">
        <f>_xlfn.MAXIFS(tblLaborEntries[Work date serial],tblLaborEntries[Work package ID],tblWorkPackages[[#This Row],[Work package ID]])</f>
        <v>45749.0</v>
      </c>
      <c r="AB483" s="65">
        <f>IF(tblWorkPackages[[#This Row],[Completion date serial]]&gt;tblWorkPackages[[#This Row],[Due date serial]],1,0)</f>
        <v>1</v>
      </c>
      <c r="AC483" s="65">
        <f>MAX(0,tblWorkPackages[[#This Row],[Completion date serial]]-tblWorkPackages[[#This Row],[Due date serial]])</f>
        <v>28</v>
      </c>
      <c r="AD483" s="65">
        <f>tblWorkPackages[[#This Row],[First labor date]]-tblWorkPackages[[#This Row],[Request date serial]]</f>
        <v>28</v>
      </c>
      <c r="AE483" s="65">
        <f>tblWorkPackages[[#This Row],[Last labor date]]-tblWorkPackages[[#This Row],[First labor date]]</f>
        <v>1</v>
      </c>
      <c r="AF483" s="65">
        <f>tblWorkPackages[[#This Row],[Completion date serial]]-tblWorkPackages[[#This Row],[Last labor date]]</f>
        <v>1</v>
      </c>
      <c r="AG483" s="65">
        <f>tblWorkPackages[[#This Row],[Completion date serial]]-tblWorkPackages[[#This Row],[Request date serial]]</f>
        <v>30</v>
      </c>
      <c r="AH483" s="65">
        <f>IFERROR(INDEX(tblParts[Delay days],MATCH(tblWorkPackages[[#This Row],[Work package ID]],tblParts[Work package ID],0)),0)</f>
        <v>0</v>
      </c>
      <c r="AI483" s="51" t="str">
        <f>IFERROR(INDEX(tblDisruptions[Event type],MATCH(tblWorkPackages[[#This Row],[Work package ID]],tblDisruptions[Work package ID],0)),"None")</f>
        <v>None</v>
      </c>
      <c r="AJ483" s="51" t="str">
        <f>TEXT(tblWorkPackages[[#This Row],[Due date serial]],"yyyy-mm")</f>
        <v>2025-03</v>
      </c>
    </row>
    <row r="484" spans="1:36" ht="15" x14ac:dyDescent="0.25">
      <c r="A484" s="53" t="s">
        <v>1290</v>
      </c>
      <c r="B484" s="53" t="s">
        <v>124</v>
      </c>
      <c r="C484" s="53" t="s">
        <v>668</v>
      </c>
      <c r="D484" s="53" t="s">
        <v>880</v>
      </c>
      <c r="E484" s="53" t="s">
        <v>153</v>
      </c>
      <c r="F484" s="53" t="s">
        <v>128</v>
      </c>
      <c r="G484" s="53" t="s">
        <v>154</v>
      </c>
      <c r="H484" s="53">
        <v>2</v>
      </c>
      <c r="I484" s="53" t="s">
        <v>130</v>
      </c>
      <c r="J484" s="53">
        <v>0</v>
      </c>
      <c r="K484" s="53">
        <v>0</v>
      </c>
      <c r="L484" s="53">
        <v>10.7</v>
      </c>
      <c r="M484" s="53" t="s">
        <v>879</v>
      </c>
      <c r="N484" s="53">
        <v>10.1</v>
      </c>
      <c r="O484" s="51" t="str">
        <f>TEXT(tblWorkPackages[[#This Row],[Request date serial]]-WEEKDAY(tblWorkPackages[[#This Row],[Request date serial]],3),"yyyy-mm-dd")</f>
        <v>2024-03-25</v>
      </c>
      <c r="P484" s="51">
        <f>ABS(tblWorkPackages[[#This Row],[Actual labor hours]]-tblWorkPackages[[#This Row],[Estimated labor hours]])</f>
        <v>0.6</v>
      </c>
      <c r="Q484" s="51">
        <f>IF(tblWorkPackages[[#This Row],[Actual labor hours]]&gt;tblWorkPackages[[#This Row],[Estimated labor hours]],1,0)</f>
        <v>0</v>
      </c>
      <c r="R484" s="51">
        <f>tblWorkPackages[[#This Row],[Actual labor hours]]-tblWorkPackages[[#This Row],[Estimated labor hours]]</f>
        <v>-0.6</v>
      </c>
      <c r="S484" s="51" t="str">
        <f>IF(tblWorkPackages[[#This Row],[Request date serial]]&lt;ValidationStart,"Train 2024",IF(tblWorkPackages[[#This Row],[Request date serial]]&lt;HoldoutStart,"Validation H1","Holdout H2"))</f>
        <v>Train 2024</v>
      </c>
      <c r="T484" s="51" t="str">
        <f>IF(tblWorkPackages[[#This Row],[Time split]]="Train 2024","",tblWorkPackages[[#This Row],[Estimated labor hours]]+VLOOKUP(tblWorkPackages[[#This Row],[Task type]],'Forecast validation'!$A$14:$E$25,IF(tblWorkPackages[[#This Row],[Time split]]="Validation H1",4,5),FALSE()))</f>
        <v/>
      </c>
      <c r="U484" s="51" t="str">
        <f>IF(tblWorkPackages[[#This Row],[Calibrated forecast hours]]="","",ABS(tblWorkPackages[[#This Row],[Actual labor hours]]-tblWorkPackages[[#This Row],[Calibrated forecast hours]]))</f>
        <v/>
      </c>
      <c r="V484" s="51">
        <f>IF(tblWorkPackages[[#This Row],[Time split]]="Train 2024",tblWorkPackages[[#This Row],[Estimated labor hours]],tblWorkPackages[[#This Row],[Calibrated forecast hours]])</f>
        <v>10.7</v>
      </c>
      <c r="W484" s="64">
        <f>DATEVALUE(tblWorkPackages[[#This Row],[Request date]])</f>
        <v>45379.0</v>
      </c>
      <c r="X484" s="64">
        <f>DATEVALUE(tblWorkPackages[[#This Row],[Due date]])</f>
        <v>45392.0</v>
      </c>
      <c r="Y484" s="64">
        <f>DATEVALUE(tblWorkPackages[[#This Row],[Completion date]])</f>
        <v>45386.0</v>
      </c>
      <c r="Z484" s="64">
        <f>_xlfn.MINIFS(tblLaborEntries[Work date serial],tblLaborEntries[Work package ID],tblWorkPackages[[#This Row],[Work package ID]])</f>
        <v>45384.0</v>
      </c>
      <c r="AA484" s="64">
        <f>_xlfn.MAXIFS(tblLaborEntries[Work date serial],tblLaborEntries[Work package ID],tblWorkPackages[[#This Row],[Work package ID]])</f>
        <v>45384.0</v>
      </c>
      <c r="AB484" s="65">
        <f>IF(tblWorkPackages[[#This Row],[Completion date serial]]&gt;tblWorkPackages[[#This Row],[Due date serial]],1,0)</f>
        <v>0</v>
      </c>
      <c r="AC484" s="65">
        <f>MAX(0,tblWorkPackages[[#This Row],[Completion date serial]]-tblWorkPackages[[#This Row],[Due date serial]])</f>
        <v>0</v>
      </c>
      <c r="AD484" s="65">
        <f>tblWorkPackages[[#This Row],[First labor date]]-tblWorkPackages[[#This Row],[Request date serial]]</f>
        <v>5</v>
      </c>
      <c r="AE484" s="65">
        <f>tblWorkPackages[[#This Row],[Last labor date]]-tblWorkPackages[[#This Row],[First labor date]]</f>
        <v>0</v>
      </c>
      <c r="AF484" s="65">
        <f>tblWorkPackages[[#This Row],[Completion date serial]]-tblWorkPackages[[#This Row],[Last labor date]]</f>
        <v>2</v>
      </c>
      <c r="AG484" s="65">
        <f>tblWorkPackages[[#This Row],[Completion date serial]]-tblWorkPackages[[#This Row],[Request date serial]]</f>
        <v>7</v>
      </c>
      <c r="AH484" s="65">
        <f>IFERROR(INDEX(tblParts[Delay days],MATCH(tblWorkPackages[[#This Row],[Work package ID]],tblParts[Work package ID],0)),0)</f>
        <v>0</v>
      </c>
      <c r="AI484" s="51" t="str">
        <f>IFERROR(INDEX(tblDisruptions[Event type],MATCH(tblWorkPackages[[#This Row],[Work package ID]],tblDisruptions[Work package ID],0)),"None")</f>
        <v>None</v>
      </c>
      <c r="AJ484" s="51" t="str">
        <f>TEXT(tblWorkPackages[[#This Row],[Due date serial]],"yyyy-mm")</f>
        <v>2024-04</v>
      </c>
    </row>
    <row r="485" spans="1:36" ht="15" x14ac:dyDescent="0.25">
      <c r="A485" s="53" t="s">
        <v>1291</v>
      </c>
      <c r="B485" s="53" t="s">
        <v>141</v>
      </c>
      <c r="C485" s="53" t="s">
        <v>537</v>
      </c>
      <c r="D485" s="53" t="s">
        <v>1028</v>
      </c>
      <c r="E485" s="53" t="s">
        <v>209</v>
      </c>
      <c r="F485" s="53" t="s">
        <v>145</v>
      </c>
      <c r="G485" s="53" t="s">
        <v>210</v>
      </c>
      <c r="H485" s="53">
        <v>1</v>
      </c>
      <c r="I485" s="53" t="s">
        <v>147</v>
      </c>
      <c r="J485" s="53">
        <v>0</v>
      </c>
      <c r="K485" s="53">
        <v>1</v>
      </c>
      <c r="L485" s="53">
        <v>12.2</v>
      </c>
      <c r="M485" s="53" t="s">
        <v>973</v>
      </c>
      <c r="N485" s="53">
        <v>14.7</v>
      </c>
      <c r="O485" s="51" t="str">
        <f>TEXT(tblWorkPackages[[#This Row],[Request date serial]]-WEEKDAY(tblWorkPackages[[#This Row],[Request date serial]],3),"yyyy-mm-dd")</f>
        <v>2025-11-17</v>
      </c>
      <c r="P485" s="51">
        <f>ABS(tblWorkPackages[[#This Row],[Actual labor hours]]-tblWorkPackages[[#This Row],[Estimated labor hours]])</f>
        <v>2.5</v>
      </c>
      <c r="Q485" s="51">
        <f>IF(tblWorkPackages[[#This Row],[Actual labor hours]]&gt;tblWorkPackages[[#This Row],[Estimated labor hours]],1,0)</f>
        <v>1</v>
      </c>
      <c r="R485" s="51">
        <f>tblWorkPackages[[#This Row],[Actual labor hours]]-tblWorkPackages[[#This Row],[Estimated labor hours]]</f>
        <v>2.5</v>
      </c>
      <c r="S485" s="51" t="str">
        <f>IF(tblWorkPackages[[#This Row],[Request date serial]]&lt;ValidationStart,"Train 2024",IF(tblWorkPackages[[#This Row],[Request date serial]]&lt;HoldoutStart,"Validation H1","Holdout H2"))</f>
        <v>Holdout H2</v>
      </c>
      <c r="T485" s="51">
        <f>IF(tblWorkPackages[[#This Row],[Time split]]="Train 2024","",tblWorkPackages[[#This Row],[Estimated labor hours]]+VLOOKUP(tblWorkPackages[[#This Row],[Task type]],'Forecast validation'!$A$14:$E$25,IF(tblWorkPackages[[#This Row],[Time split]]="Validation H1",4,5),FALSE()))</f>
        <v>13.995652173913</v>
      </c>
      <c r="U485" s="51">
        <f>IF(tblWorkPackages[[#This Row],[Calibrated forecast hours]]="","",ABS(tblWorkPackages[[#This Row],[Actual labor hours]]-tblWorkPackages[[#This Row],[Calibrated forecast hours]]))</f>
        <v>0.704347826086957</v>
      </c>
      <c r="V485" s="51">
        <f>IF(tblWorkPackages[[#This Row],[Time split]]="Train 2024",tblWorkPackages[[#This Row],[Estimated labor hours]],tblWorkPackages[[#This Row],[Calibrated forecast hours]])</f>
        <v>13.995652173913</v>
      </c>
      <c r="W485" s="64">
        <f>DATEVALUE(tblWorkPackages[[#This Row],[Request date]])</f>
        <v>45979.0</v>
      </c>
      <c r="X485" s="64">
        <f>DATEVALUE(tblWorkPackages[[#This Row],[Due date]])</f>
        <v>45981.0</v>
      </c>
      <c r="Y485" s="64">
        <f>DATEVALUE(tblWorkPackages[[#This Row],[Completion date]])</f>
        <v>45985.0</v>
      </c>
      <c r="Z485" s="64">
        <f>_xlfn.MINIFS(tblLaborEntries[Work date serial],tblLaborEntries[Work package ID],tblWorkPackages[[#This Row],[Work package ID]])</f>
        <v>45981.0</v>
      </c>
      <c r="AA485" s="64">
        <f>_xlfn.MAXIFS(tblLaborEntries[Work date serial],tblLaborEntries[Work package ID],tblWorkPackages[[#This Row],[Work package ID]])</f>
        <v>45982.0</v>
      </c>
      <c r="AB485" s="65">
        <f>IF(tblWorkPackages[[#This Row],[Completion date serial]]&gt;tblWorkPackages[[#This Row],[Due date serial]],1,0)</f>
        <v>1</v>
      </c>
      <c r="AC485" s="65">
        <f>MAX(0,tblWorkPackages[[#This Row],[Completion date serial]]-tblWorkPackages[[#This Row],[Due date serial]])</f>
        <v>4</v>
      </c>
      <c r="AD485" s="65">
        <f>tblWorkPackages[[#This Row],[First labor date]]-tblWorkPackages[[#This Row],[Request date serial]]</f>
        <v>2</v>
      </c>
      <c r="AE485" s="65">
        <f>tblWorkPackages[[#This Row],[Last labor date]]-tblWorkPackages[[#This Row],[First labor date]]</f>
        <v>1</v>
      </c>
      <c r="AF485" s="65">
        <f>tblWorkPackages[[#This Row],[Completion date serial]]-tblWorkPackages[[#This Row],[Last labor date]]</f>
        <v>3</v>
      </c>
      <c r="AG485" s="65">
        <f>tblWorkPackages[[#This Row],[Completion date serial]]-tblWorkPackages[[#This Row],[Request date serial]]</f>
        <v>6</v>
      </c>
      <c r="AH485" s="65">
        <f>IFERROR(INDEX(tblParts[Delay days],MATCH(tblWorkPackages[[#This Row],[Work package ID]],tblParts[Work package ID],0)),0)</f>
        <v>0</v>
      </c>
      <c r="AI485" s="51" t="str">
        <f>IFERROR(INDEX(tblDisruptions[Event type],MATCH(tblWorkPackages[[#This Row],[Work package ID]],tblDisruptions[Work package ID],0)),"None")</f>
        <v>None</v>
      </c>
      <c r="AJ485" s="51" t="str">
        <f>TEXT(tblWorkPackages[[#This Row],[Due date serial]],"yyyy-mm")</f>
        <v>2025-11</v>
      </c>
    </row>
    <row r="486" spans="1:36" ht="15" x14ac:dyDescent="0.25">
      <c r="A486" s="53" t="s">
        <v>1292</v>
      </c>
      <c r="B486" s="53" t="s">
        <v>124</v>
      </c>
      <c r="C486" s="53" t="s">
        <v>1293</v>
      </c>
      <c r="D486" s="53" t="s">
        <v>264</v>
      </c>
      <c r="E486" s="53" t="s">
        <v>242</v>
      </c>
      <c r="F486" s="53" t="s">
        <v>243</v>
      </c>
      <c r="G486" s="53" t="s">
        <v>129</v>
      </c>
      <c r="H486" s="53">
        <v>4</v>
      </c>
      <c r="I486" s="53" t="s">
        <v>130</v>
      </c>
      <c r="J486" s="53">
        <v>0</v>
      </c>
      <c r="K486" s="53">
        <v>0</v>
      </c>
      <c r="L486" s="53">
        <v>15.1</v>
      </c>
      <c r="M486" s="53" t="s">
        <v>293</v>
      </c>
      <c r="N486" s="53">
        <v>11.9</v>
      </c>
      <c r="O486" s="51" t="str">
        <f>TEXT(tblWorkPackages[[#This Row],[Request date serial]]-WEEKDAY(tblWorkPackages[[#This Row],[Request date serial]],3),"yyyy-mm-dd")</f>
        <v>2024-08-05</v>
      </c>
      <c r="P486" s="51">
        <f>ABS(tblWorkPackages[[#This Row],[Actual labor hours]]-tblWorkPackages[[#This Row],[Estimated labor hours]])</f>
        <v>3.2</v>
      </c>
      <c r="Q486" s="51">
        <f>IF(tblWorkPackages[[#This Row],[Actual labor hours]]&gt;tblWorkPackages[[#This Row],[Estimated labor hours]],1,0)</f>
        <v>0</v>
      </c>
      <c r="R486" s="51">
        <f>tblWorkPackages[[#This Row],[Actual labor hours]]-tblWorkPackages[[#This Row],[Estimated labor hours]]</f>
        <v>-3.2</v>
      </c>
      <c r="S486" s="51" t="str">
        <f>IF(tblWorkPackages[[#This Row],[Request date serial]]&lt;ValidationStart,"Train 2024",IF(tblWorkPackages[[#This Row],[Request date serial]]&lt;HoldoutStart,"Validation H1","Holdout H2"))</f>
        <v>Train 2024</v>
      </c>
      <c r="T486" s="51" t="str">
        <f>IF(tblWorkPackages[[#This Row],[Time split]]="Train 2024","",tblWorkPackages[[#This Row],[Estimated labor hours]]+VLOOKUP(tblWorkPackages[[#This Row],[Task type]],'Forecast validation'!$A$14:$E$25,IF(tblWorkPackages[[#This Row],[Time split]]="Validation H1",4,5),FALSE()))</f>
        <v/>
      </c>
      <c r="U486" s="51" t="str">
        <f>IF(tblWorkPackages[[#This Row],[Calibrated forecast hours]]="","",ABS(tblWorkPackages[[#This Row],[Actual labor hours]]-tblWorkPackages[[#This Row],[Calibrated forecast hours]]))</f>
        <v/>
      </c>
      <c r="V486" s="51">
        <f>IF(tblWorkPackages[[#This Row],[Time split]]="Train 2024",tblWorkPackages[[#This Row],[Estimated labor hours]],tblWorkPackages[[#This Row],[Calibrated forecast hours]])</f>
        <v>15.1</v>
      </c>
      <c r="W486" s="64">
        <f>DATEVALUE(tblWorkPackages[[#This Row],[Request date]])</f>
        <v>45515.0</v>
      </c>
      <c r="X486" s="64">
        <f>DATEVALUE(tblWorkPackages[[#This Row],[Due date]])</f>
        <v>45528.0</v>
      </c>
      <c r="Y486" s="64">
        <f>DATEVALUE(tblWorkPackages[[#This Row],[Completion date]])</f>
        <v>45530.0</v>
      </c>
      <c r="Z486" s="64">
        <f>_xlfn.MINIFS(tblLaborEntries[Work date serial],tblLaborEntries[Work package ID],tblWorkPackages[[#This Row],[Work package ID]])</f>
        <v>45529.0</v>
      </c>
      <c r="AA486" s="64">
        <f>_xlfn.MAXIFS(tblLaborEntries[Work date serial],tblLaborEntries[Work package ID],tblWorkPackages[[#This Row],[Work package ID]])</f>
        <v>45530.0</v>
      </c>
      <c r="AB486" s="65">
        <f>IF(tblWorkPackages[[#This Row],[Completion date serial]]&gt;tblWorkPackages[[#This Row],[Due date serial]],1,0)</f>
        <v>1</v>
      </c>
      <c r="AC486" s="65">
        <f>MAX(0,tblWorkPackages[[#This Row],[Completion date serial]]-tblWorkPackages[[#This Row],[Due date serial]])</f>
        <v>2</v>
      </c>
      <c r="AD486" s="65">
        <f>tblWorkPackages[[#This Row],[First labor date]]-tblWorkPackages[[#This Row],[Request date serial]]</f>
        <v>14</v>
      </c>
      <c r="AE486" s="65">
        <f>tblWorkPackages[[#This Row],[Last labor date]]-tblWorkPackages[[#This Row],[First labor date]]</f>
        <v>1</v>
      </c>
      <c r="AF486" s="65">
        <f>tblWorkPackages[[#This Row],[Completion date serial]]-tblWorkPackages[[#This Row],[Last labor date]]</f>
        <v>0</v>
      </c>
      <c r="AG486" s="65">
        <f>tblWorkPackages[[#This Row],[Completion date serial]]-tblWorkPackages[[#This Row],[Request date serial]]</f>
        <v>15</v>
      </c>
      <c r="AH486" s="65">
        <f>IFERROR(INDEX(tblParts[Delay days],MATCH(tblWorkPackages[[#This Row],[Work package ID]],tblParts[Work package ID],0)),0)</f>
        <v>0</v>
      </c>
      <c r="AI486" s="51" t="str">
        <f>IFERROR(INDEX(tblDisruptions[Event type],MATCH(tblWorkPackages[[#This Row],[Work package ID]],tblDisruptions[Work package ID],0)),"None")</f>
        <v>None</v>
      </c>
      <c r="AJ486" s="51" t="str">
        <f>TEXT(tblWorkPackages[[#This Row],[Due date serial]],"yyyy-mm")</f>
        <v>2024-08</v>
      </c>
    </row>
    <row r="487" spans="1:36" ht="15" x14ac:dyDescent="0.25">
      <c r="A487" s="53" t="s">
        <v>1294</v>
      </c>
      <c r="B487" s="53" t="s">
        <v>235</v>
      </c>
      <c r="C487" s="53" t="s">
        <v>751</v>
      </c>
      <c r="D487" s="53" t="s">
        <v>709</v>
      </c>
      <c r="E487" s="53" t="s">
        <v>181</v>
      </c>
      <c r="F487" s="53" t="s">
        <v>182</v>
      </c>
      <c r="G487" s="53" t="s">
        <v>138</v>
      </c>
      <c r="H487" s="53">
        <v>3</v>
      </c>
      <c r="I487" s="53" t="s">
        <v>130</v>
      </c>
      <c r="J487" s="53">
        <v>0</v>
      </c>
      <c r="K487" s="53">
        <v>0</v>
      </c>
      <c r="L487" s="53">
        <v>11.3</v>
      </c>
      <c r="M487" s="53" t="s">
        <v>567</v>
      </c>
      <c r="N487" s="53">
        <v>9.1999999999999993</v>
      </c>
      <c r="O487" s="51" t="str">
        <f>TEXT(tblWorkPackages[[#This Row],[Request date serial]]-WEEKDAY(tblWorkPackages[[#This Row],[Request date serial]],3),"yyyy-mm-dd")</f>
        <v>2025-05-12</v>
      </c>
      <c r="P487" s="51">
        <f>ABS(tblWorkPackages[[#This Row],[Actual labor hours]]-tblWorkPackages[[#This Row],[Estimated labor hours]])</f>
        <v>2.1</v>
      </c>
      <c r="Q487" s="51">
        <f>IF(tblWorkPackages[[#This Row],[Actual labor hours]]&gt;tblWorkPackages[[#This Row],[Estimated labor hours]],1,0)</f>
        <v>0</v>
      </c>
      <c r="R487" s="51">
        <f>tblWorkPackages[[#This Row],[Actual labor hours]]-tblWorkPackages[[#This Row],[Estimated labor hours]]</f>
        <v>-2.1</v>
      </c>
      <c r="S487" s="51" t="str">
        <f>IF(tblWorkPackages[[#This Row],[Request date serial]]&lt;ValidationStart,"Train 2024",IF(tblWorkPackages[[#This Row],[Request date serial]]&lt;HoldoutStart,"Validation H1","Holdout H2"))</f>
        <v>Validation H1</v>
      </c>
      <c r="T487" s="51">
        <f>IF(tblWorkPackages[[#This Row],[Time split]]="Train 2024","",tblWorkPackages[[#This Row],[Estimated labor hours]]+VLOOKUP(tblWorkPackages[[#This Row],[Task type]],'Forecast validation'!$A$14:$E$25,IF(tblWorkPackages[[#This Row],[Time split]]="Validation H1",4,5),FALSE()))</f>
        <v>11.8840909090909</v>
      </c>
      <c r="U487" s="51">
        <f>IF(tblWorkPackages[[#This Row],[Calibrated forecast hours]]="","",ABS(tblWorkPackages[[#This Row],[Actual labor hours]]-tblWorkPackages[[#This Row],[Calibrated forecast hours]]))</f>
        <v>2.68409090909091</v>
      </c>
      <c r="V487" s="51">
        <f>IF(tblWorkPackages[[#This Row],[Time split]]="Train 2024",tblWorkPackages[[#This Row],[Estimated labor hours]],tblWorkPackages[[#This Row],[Calibrated forecast hours]])</f>
        <v>11.8840909090909</v>
      </c>
      <c r="W487" s="64">
        <f>DATEVALUE(tblWorkPackages[[#This Row],[Request date]])</f>
        <v>45795.0</v>
      </c>
      <c r="X487" s="64">
        <f>DATEVALUE(tblWorkPackages[[#This Row],[Due date]])</f>
        <v>45808.0</v>
      </c>
      <c r="Y487" s="64">
        <f>DATEVALUE(tblWorkPackages[[#This Row],[Completion date]])</f>
        <v>45800.0</v>
      </c>
      <c r="Z487" s="64">
        <f>_xlfn.MINIFS(tblLaborEntries[Work date serial],tblLaborEntries[Work package ID],tblWorkPackages[[#This Row],[Work package ID]])</f>
        <v>45798.0</v>
      </c>
      <c r="AA487" s="64">
        <f>_xlfn.MAXIFS(tblLaborEntries[Work date serial],tblLaborEntries[Work package ID],tblWorkPackages[[#This Row],[Work package ID]])</f>
        <v>45799.0</v>
      </c>
      <c r="AB487" s="65">
        <f>IF(tblWorkPackages[[#This Row],[Completion date serial]]&gt;tblWorkPackages[[#This Row],[Due date serial]],1,0)</f>
        <v>0</v>
      </c>
      <c r="AC487" s="65">
        <f>MAX(0,tblWorkPackages[[#This Row],[Completion date serial]]-tblWorkPackages[[#This Row],[Due date serial]])</f>
        <v>0</v>
      </c>
      <c r="AD487" s="65">
        <f>tblWorkPackages[[#This Row],[First labor date]]-tblWorkPackages[[#This Row],[Request date serial]]</f>
        <v>3</v>
      </c>
      <c r="AE487" s="65">
        <f>tblWorkPackages[[#This Row],[Last labor date]]-tblWorkPackages[[#This Row],[First labor date]]</f>
        <v>1</v>
      </c>
      <c r="AF487" s="65">
        <f>tblWorkPackages[[#This Row],[Completion date serial]]-tblWorkPackages[[#This Row],[Last labor date]]</f>
        <v>1</v>
      </c>
      <c r="AG487" s="65">
        <f>tblWorkPackages[[#This Row],[Completion date serial]]-tblWorkPackages[[#This Row],[Request date serial]]</f>
        <v>5</v>
      </c>
      <c r="AH487" s="65">
        <f>IFERROR(INDEX(tblParts[Delay days],MATCH(tblWorkPackages[[#This Row],[Work package ID]],tblParts[Work package ID],0)),0)</f>
        <v>0</v>
      </c>
      <c r="AI487" s="51" t="str">
        <f>IFERROR(INDEX(tblDisruptions[Event type],MATCH(tblWorkPackages[[#This Row],[Work package ID]],tblDisruptions[Work package ID],0)),"None")</f>
        <v>None</v>
      </c>
      <c r="AJ487" s="51" t="str">
        <f>TEXT(tblWorkPackages[[#This Row],[Due date serial]],"yyyy-mm")</f>
        <v>2025-05</v>
      </c>
    </row>
    <row r="488" spans="1:36" ht="15" x14ac:dyDescent="0.25">
      <c r="A488" s="53" t="s">
        <v>1295</v>
      </c>
      <c r="B488" s="53" t="s">
        <v>141</v>
      </c>
      <c r="C488" s="53" t="s">
        <v>257</v>
      </c>
      <c r="D488" s="53" t="s">
        <v>268</v>
      </c>
      <c r="E488" s="53" t="s">
        <v>223</v>
      </c>
      <c r="F488" s="53" t="s">
        <v>182</v>
      </c>
      <c r="G488" s="53" t="s">
        <v>154</v>
      </c>
      <c r="H488" s="53">
        <v>1</v>
      </c>
      <c r="I488" s="53" t="s">
        <v>176</v>
      </c>
      <c r="J488" s="53">
        <v>0</v>
      </c>
      <c r="K488" s="53">
        <v>0</v>
      </c>
      <c r="L488" s="53">
        <v>7.6</v>
      </c>
      <c r="M488" s="53" t="s">
        <v>1084</v>
      </c>
      <c r="N488" s="53">
        <v>6.8</v>
      </c>
      <c r="O488" s="51" t="str">
        <f>TEXT(tblWorkPackages[[#This Row],[Request date serial]]-WEEKDAY(tblWorkPackages[[#This Row],[Request date serial]],3),"yyyy-mm-dd")</f>
        <v>2024-12-09</v>
      </c>
      <c r="P488" s="51">
        <f>ABS(tblWorkPackages[[#This Row],[Actual labor hours]]-tblWorkPackages[[#This Row],[Estimated labor hours]])</f>
        <v>0.8</v>
      </c>
      <c r="Q488" s="51">
        <f>IF(tblWorkPackages[[#This Row],[Actual labor hours]]&gt;tblWorkPackages[[#This Row],[Estimated labor hours]],1,0)</f>
        <v>0</v>
      </c>
      <c r="R488" s="51">
        <f>tblWorkPackages[[#This Row],[Actual labor hours]]-tblWorkPackages[[#This Row],[Estimated labor hours]]</f>
        <v>-0.8</v>
      </c>
      <c r="S488" s="51" t="str">
        <f>IF(tblWorkPackages[[#This Row],[Request date serial]]&lt;ValidationStart,"Train 2024",IF(tblWorkPackages[[#This Row],[Request date serial]]&lt;HoldoutStart,"Validation H1","Holdout H2"))</f>
        <v>Train 2024</v>
      </c>
      <c r="T488" s="51" t="str">
        <f>IF(tblWorkPackages[[#This Row],[Time split]]="Train 2024","",tblWorkPackages[[#This Row],[Estimated labor hours]]+VLOOKUP(tblWorkPackages[[#This Row],[Task type]],'Forecast validation'!$A$14:$E$25,IF(tblWorkPackages[[#This Row],[Time split]]="Validation H1",4,5),FALSE()))</f>
        <v/>
      </c>
      <c r="U488" s="51" t="str">
        <f>IF(tblWorkPackages[[#This Row],[Calibrated forecast hours]]="","",ABS(tblWorkPackages[[#This Row],[Actual labor hours]]-tblWorkPackages[[#This Row],[Calibrated forecast hours]]))</f>
        <v/>
      </c>
      <c r="V488" s="51">
        <f>IF(tblWorkPackages[[#This Row],[Time split]]="Train 2024",tblWorkPackages[[#This Row],[Estimated labor hours]],tblWorkPackages[[#This Row],[Calibrated forecast hours]])</f>
        <v>7.6</v>
      </c>
      <c r="W488" s="64">
        <f>DATEVALUE(tblWorkPackages[[#This Row],[Request date]])</f>
        <v>45638.0</v>
      </c>
      <c r="X488" s="64">
        <f>DATEVALUE(tblWorkPackages[[#This Row],[Due date]])</f>
        <v>45644.0</v>
      </c>
      <c r="Y488" s="64">
        <f>DATEVALUE(tblWorkPackages[[#This Row],[Completion date]])</f>
        <v>45695.0</v>
      </c>
      <c r="Z488" s="64">
        <f>_xlfn.MINIFS(tblLaborEntries[Work date serial],tblLaborEntries[Work package ID],tblWorkPackages[[#This Row],[Work package ID]])</f>
        <v>45691.0</v>
      </c>
      <c r="AA488" s="64">
        <f>_xlfn.MAXIFS(tblLaborEntries[Work date serial],tblLaborEntries[Work package ID],tblWorkPackages[[#This Row],[Work package ID]])</f>
        <v>45693.0</v>
      </c>
      <c r="AB488" s="65">
        <f>IF(tblWorkPackages[[#This Row],[Completion date serial]]&gt;tblWorkPackages[[#This Row],[Due date serial]],1,0)</f>
        <v>1</v>
      </c>
      <c r="AC488" s="65">
        <f>MAX(0,tblWorkPackages[[#This Row],[Completion date serial]]-tblWorkPackages[[#This Row],[Due date serial]])</f>
        <v>51</v>
      </c>
      <c r="AD488" s="65">
        <f>tblWorkPackages[[#This Row],[First labor date]]-tblWorkPackages[[#This Row],[Request date serial]]</f>
        <v>53</v>
      </c>
      <c r="AE488" s="65">
        <f>tblWorkPackages[[#This Row],[Last labor date]]-tblWorkPackages[[#This Row],[First labor date]]</f>
        <v>2</v>
      </c>
      <c r="AF488" s="65">
        <f>tblWorkPackages[[#This Row],[Completion date serial]]-tblWorkPackages[[#This Row],[Last labor date]]</f>
        <v>2</v>
      </c>
      <c r="AG488" s="65">
        <f>tblWorkPackages[[#This Row],[Completion date serial]]-tblWorkPackages[[#This Row],[Request date serial]]</f>
        <v>57</v>
      </c>
      <c r="AH488" s="65">
        <f>IFERROR(INDEX(tblParts[Delay days],MATCH(tblWorkPackages[[#This Row],[Work package ID]],tblParts[Work package ID],0)),0)</f>
        <v>0</v>
      </c>
      <c r="AI488" s="51" t="str">
        <f>IFERROR(INDEX(tblDisruptions[Event type],MATCH(tblWorkPackages[[#This Row],[Work package ID]],tblDisruptions[Work package ID],0)),"None")</f>
        <v>None</v>
      </c>
      <c r="AJ488" s="51" t="str">
        <f>TEXT(tblWorkPackages[[#This Row],[Due date serial]],"yyyy-mm")</f>
        <v>2024-12</v>
      </c>
    </row>
    <row r="489" spans="1:36" ht="15" x14ac:dyDescent="0.25">
      <c r="A489" s="53" t="s">
        <v>1296</v>
      </c>
      <c r="B489" s="53" t="s">
        <v>235</v>
      </c>
      <c r="C489" s="53" t="s">
        <v>480</v>
      </c>
      <c r="D489" s="53" t="s">
        <v>558</v>
      </c>
      <c r="E489" s="53" t="s">
        <v>144</v>
      </c>
      <c r="F489" s="53" t="s">
        <v>145</v>
      </c>
      <c r="G489" s="53" t="s">
        <v>146</v>
      </c>
      <c r="H489" s="53">
        <v>2</v>
      </c>
      <c r="I489" s="53" t="s">
        <v>176</v>
      </c>
      <c r="J489" s="53">
        <v>0</v>
      </c>
      <c r="K489" s="53">
        <v>0</v>
      </c>
      <c r="L489" s="53">
        <v>9.1</v>
      </c>
      <c r="M489" s="53" t="s">
        <v>1297</v>
      </c>
      <c r="N489" s="53">
        <v>8.1999999999999993</v>
      </c>
      <c r="O489" s="51" t="str">
        <f>TEXT(tblWorkPackages[[#This Row],[Request date serial]]-WEEKDAY(tblWorkPackages[[#This Row],[Request date serial]],3),"yyyy-mm-dd")</f>
        <v>2025-10-20</v>
      </c>
      <c r="P489" s="51">
        <f>ABS(tblWorkPackages[[#This Row],[Actual labor hours]]-tblWorkPackages[[#This Row],[Estimated labor hours]])</f>
        <v>0.9</v>
      </c>
      <c r="Q489" s="51">
        <f>IF(tblWorkPackages[[#This Row],[Actual labor hours]]&gt;tblWorkPackages[[#This Row],[Estimated labor hours]],1,0)</f>
        <v>0</v>
      </c>
      <c r="R489" s="51">
        <f>tblWorkPackages[[#This Row],[Actual labor hours]]-tblWorkPackages[[#This Row],[Estimated labor hours]]</f>
        <v>-0.9</v>
      </c>
      <c r="S489" s="51" t="str">
        <f>IF(tblWorkPackages[[#This Row],[Request date serial]]&lt;ValidationStart,"Train 2024",IF(tblWorkPackages[[#This Row],[Request date serial]]&lt;HoldoutStart,"Validation H1","Holdout H2"))</f>
        <v>Holdout H2</v>
      </c>
      <c r="T489" s="51">
        <f>IF(tblWorkPackages[[#This Row],[Time split]]="Train 2024","",tblWorkPackages[[#This Row],[Estimated labor hours]]+VLOOKUP(tblWorkPackages[[#This Row],[Task type]],'Forecast validation'!$A$14:$E$25,IF(tblWorkPackages[[#This Row],[Time split]]="Validation H1",4,5),FALSE()))</f>
        <v>10.0735483870968</v>
      </c>
      <c r="U489" s="51">
        <f>IF(tblWorkPackages[[#This Row],[Calibrated forecast hours]]="","",ABS(tblWorkPackages[[#This Row],[Actual labor hours]]-tblWorkPackages[[#This Row],[Calibrated forecast hours]]))</f>
        <v>1.87354838709678</v>
      </c>
      <c r="V489" s="51">
        <f>IF(tblWorkPackages[[#This Row],[Time split]]="Train 2024",tblWorkPackages[[#This Row],[Estimated labor hours]],tblWorkPackages[[#This Row],[Calibrated forecast hours]])</f>
        <v>10.0735483870968</v>
      </c>
      <c r="W489" s="64">
        <f>DATEVALUE(tblWorkPackages[[#This Row],[Request date]])</f>
        <v>45955.0</v>
      </c>
      <c r="X489" s="64">
        <f>DATEVALUE(tblWorkPackages[[#This Row],[Due date]])</f>
        <v>45961.0</v>
      </c>
      <c r="Y489" s="64">
        <f>DATEVALUE(tblWorkPackages[[#This Row],[Completion date]])</f>
        <v>45966.0</v>
      </c>
      <c r="Z489" s="64">
        <f>_xlfn.MINIFS(tblLaborEntries[Work date serial],tblLaborEntries[Work package ID],tblWorkPackages[[#This Row],[Work package ID]])</f>
        <v>45963.0</v>
      </c>
      <c r="AA489" s="64">
        <f>_xlfn.MAXIFS(tblLaborEntries[Work date serial],tblLaborEntries[Work package ID],tblWorkPackages[[#This Row],[Work package ID]])</f>
        <v>45963.0</v>
      </c>
      <c r="AB489" s="65">
        <f>IF(tblWorkPackages[[#This Row],[Completion date serial]]&gt;tblWorkPackages[[#This Row],[Due date serial]],1,0)</f>
        <v>1</v>
      </c>
      <c r="AC489" s="65">
        <f>MAX(0,tblWorkPackages[[#This Row],[Completion date serial]]-tblWorkPackages[[#This Row],[Due date serial]])</f>
        <v>5</v>
      </c>
      <c r="AD489" s="65">
        <f>tblWorkPackages[[#This Row],[First labor date]]-tblWorkPackages[[#This Row],[Request date serial]]</f>
        <v>8</v>
      </c>
      <c r="AE489" s="65">
        <f>tblWorkPackages[[#This Row],[Last labor date]]-tblWorkPackages[[#This Row],[First labor date]]</f>
        <v>0</v>
      </c>
      <c r="AF489" s="65">
        <f>tblWorkPackages[[#This Row],[Completion date serial]]-tblWorkPackages[[#This Row],[Last labor date]]</f>
        <v>3</v>
      </c>
      <c r="AG489" s="65">
        <f>tblWorkPackages[[#This Row],[Completion date serial]]-tblWorkPackages[[#This Row],[Request date serial]]</f>
        <v>11</v>
      </c>
      <c r="AH489" s="65">
        <f>IFERROR(INDEX(tblParts[Delay days],MATCH(tblWorkPackages[[#This Row],[Work package ID]],tblParts[Work package ID],0)),0)</f>
        <v>0</v>
      </c>
      <c r="AI489" s="51" t="str">
        <f>IFERROR(INDEX(tblDisruptions[Event type],MATCH(tblWorkPackages[[#This Row],[Work package ID]],tblDisruptions[Work package ID],0)),"None")</f>
        <v>None</v>
      </c>
      <c r="AJ489" s="51" t="str">
        <f>TEXT(tblWorkPackages[[#This Row],[Due date serial]],"yyyy-mm")</f>
        <v>2025-10</v>
      </c>
    </row>
    <row r="490" spans="1:36" ht="15" x14ac:dyDescent="0.25">
      <c r="A490" s="53" t="s">
        <v>1298</v>
      </c>
      <c r="B490" s="53" t="s">
        <v>157</v>
      </c>
      <c r="C490" s="53" t="s">
        <v>620</v>
      </c>
      <c r="D490" s="53" t="s">
        <v>1204</v>
      </c>
      <c r="E490" s="53" t="s">
        <v>200</v>
      </c>
      <c r="F490" s="53" t="s">
        <v>128</v>
      </c>
      <c r="G490" s="53" t="s">
        <v>129</v>
      </c>
      <c r="H490" s="53">
        <v>3</v>
      </c>
      <c r="I490" s="53" t="s">
        <v>130</v>
      </c>
      <c r="J490" s="53">
        <v>0</v>
      </c>
      <c r="K490" s="53">
        <v>0</v>
      </c>
      <c r="L490" s="53">
        <v>3.8</v>
      </c>
      <c r="M490" s="53" t="s">
        <v>1299</v>
      </c>
      <c r="N490" s="53">
        <v>4</v>
      </c>
      <c r="O490" s="51" t="str">
        <f>TEXT(tblWorkPackages[[#This Row],[Request date serial]]-WEEKDAY(tblWorkPackages[[#This Row],[Request date serial]],3),"yyyy-mm-dd")</f>
        <v>2024-07-15</v>
      </c>
      <c r="P490" s="51">
        <f>ABS(tblWorkPackages[[#This Row],[Actual labor hours]]-tblWorkPackages[[#This Row],[Estimated labor hours]])</f>
        <v>0.2</v>
      </c>
      <c r="Q490" s="51">
        <f>IF(tblWorkPackages[[#This Row],[Actual labor hours]]&gt;tblWorkPackages[[#This Row],[Estimated labor hours]],1,0)</f>
        <v>1</v>
      </c>
      <c r="R490" s="51">
        <f>tblWorkPackages[[#This Row],[Actual labor hours]]-tblWorkPackages[[#This Row],[Estimated labor hours]]</f>
        <v>0.2</v>
      </c>
      <c r="S490" s="51" t="str">
        <f>IF(tblWorkPackages[[#This Row],[Request date serial]]&lt;ValidationStart,"Train 2024",IF(tblWorkPackages[[#This Row],[Request date serial]]&lt;HoldoutStart,"Validation H1","Holdout H2"))</f>
        <v>Train 2024</v>
      </c>
      <c r="T490" s="51" t="str">
        <f>IF(tblWorkPackages[[#This Row],[Time split]]="Train 2024","",tblWorkPackages[[#This Row],[Estimated labor hours]]+VLOOKUP(tblWorkPackages[[#This Row],[Task type]],'Forecast validation'!$A$14:$E$25,IF(tblWorkPackages[[#This Row],[Time split]]="Validation H1",4,5),FALSE()))</f>
        <v/>
      </c>
      <c r="U490" s="51" t="str">
        <f>IF(tblWorkPackages[[#This Row],[Calibrated forecast hours]]="","",ABS(tblWorkPackages[[#This Row],[Actual labor hours]]-tblWorkPackages[[#This Row],[Calibrated forecast hours]]))</f>
        <v/>
      </c>
      <c r="V490" s="51">
        <f>IF(tblWorkPackages[[#This Row],[Time split]]="Train 2024",tblWorkPackages[[#This Row],[Estimated labor hours]],tblWorkPackages[[#This Row],[Calibrated forecast hours]])</f>
        <v>3.8</v>
      </c>
      <c r="W490" s="64">
        <f>DATEVALUE(tblWorkPackages[[#This Row],[Request date]])</f>
        <v>45490.0</v>
      </c>
      <c r="X490" s="64">
        <f>DATEVALUE(tblWorkPackages[[#This Row],[Due date]])</f>
        <v>45503.0</v>
      </c>
      <c r="Y490" s="64">
        <f>DATEVALUE(tblWorkPackages[[#This Row],[Completion date]])</f>
        <v>45493.0</v>
      </c>
      <c r="Z490" s="64">
        <f>_xlfn.MINIFS(tblLaborEntries[Work date serial],tblLaborEntries[Work package ID],tblWorkPackages[[#This Row],[Work package ID]])</f>
        <v>45492.0</v>
      </c>
      <c r="AA490" s="64">
        <f>_xlfn.MAXIFS(tblLaborEntries[Work date serial],tblLaborEntries[Work package ID],tblWorkPackages[[#This Row],[Work package ID]])</f>
        <v>45493.0</v>
      </c>
      <c r="AB490" s="65">
        <f>IF(tblWorkPackages[[#This Row],[Completion date serial]]&gt;tblWorkPackages[[#This Row],[Due date serial]],1,0)</f>
        <v>0</v>
      </c>
      <c r="AC490" s="65">
        <f>MAX(0,tblWorkPackages[[#This Row],[Completion date serial]]-tblWorkPackages[[#This Row],[Due date serial]])</f>
        <v>0</v>
      </c>
      <c r="AD490" s="65">
        <f>tblWorkPackages[[#This Row],[First labor date]]-tblWorkPackages[[#This Row],[Request date serial]]</f>
        <v>2</v>
      </c>
      <c r="AE490" s="65">
        <f>tblWorkPackages[[#This Row],[Last labor date]]-tblWorkPackages[[#This Row],[First labor date]]</f>
        <v>1</v>
      </c>
      <c r="AF490" s="65">
        <f>tblWorkPackages[[#This Row],[Completion date serial]]-tblWorkPackages[[#This Row],[Last labor date]]</f>
        <v>0</v>
      </c>
      <c r="AG490" s="65">
        <f>tblWorkPackages[[#This Row],[Completion date serial]]-tblWorkPackages[[#This Row],[Request date serial]]</f>
        <v>3</v>
      </c>
      <c r="AH490" s="65">
        <f>IFERROR(INDEX(tblParts[Delay days],MATCH(tblWorkPackages[[#This Row],[Work package ID]],tblParts[Work package ID],0)),0)</f>
        <v>0</v>
      </c>
      <c r="AI490" s="51" t="str">
        <f>IFERROR(INDEX(tblDisruptions[Event type],MATCH(tblWorkPackages[[#This Row],[Work package ID]],tblDisruptions[Work package ID],0)),"None")</f>
        <v>None</v>
      </c>
      <c r="AJ490" s="51" t="str">
        <f>TEXT(tblWorkPackages[[#This Row],[Due date serial]],"yyyy-mm")</f>
        <v>2024-07</v>
      </c>
    </row>
    <row r="491" spans="1:36" ht="15" x14ac:dyDescent="0.25">
      <c r="A491" s="53" t="s">
        <v>1300</v>
      </c>
      <c r="B491" s="53" t="s">
        <v>230</v>
      </c>
      <c r="C491" s="53" t="s">
        <v>939</v>
      </c>
      <c r="D491" s="53" t="s">
        <v>1301</v>
      </c>
      <c r="E491" s="53" t="s">
        <v>136</v>
      </c>
      <c r="F491" s="53" t="s">
        <v>137</v>
      </c>
      <c r="G491" s="53" t="s">
        <v>138</v>
      </c>
      <c r="H491" s="53">
        <v>3</v>
      </c>
      <c r="I491" s="53" t="s">
        <v>176</v>
      </c>
      <c r="J491" s="53">
        <v>0</v>
      </c>
      <c r="K491" s="53">
        <v>0</v>
      </c>
      <c r="L491" s="53">
        <v>18.399999999999999</v>
      </c>
      <c r="M491" s="53" t="s">
        <v>217</v>
      </c>
      <c r="N491" s="53">
        <v>14.8</v>
      </c>
      <c r="O491" s="51" t="str">
        <f>TEXT(tblWorkPackages[[#This Row],[Request date serial]]-WEEKDAY(tblWorkPackages[[#This Row],[Request date serial]],3),"yyyy-mm-dd")</f>
        <v>2025-11-17</v>
      </c>
      <c r="P491" s="51">
        <f>ABS(tblWorkPackages[[#This Row],[Actual labor hours]]-tblWorkPackages[[#This Row],[Estimated labor hours]])</f>
        <v>3.6</v>
      </c>
      <c r="Q491" s="51">
        <f>IF(tblWorkPackages[[#This Row],[Actual labor hours]]&gt;tblWorkPackages[[#This Row],[Estimated labor hours]],1,0)</f>
        <v>0</v>
      </c>
      <c r="R491" s="51">
        <f>tblWorkPackages[[#This Row],[Actual labor hours]]-tblWorkPackages[[#This Row],[Estimated labor hours]]</f>
        <v>-3.6</v>
      </c>
      <c r="S491" s="51" t="str">
        <f>IF(tblWorkPackages[[#This Row],[Request date serial]]&lt;ValidationStart,"Train 2024",IF(tblWorkPackages[[#This Row],[Request date serial]]&lt;HoldoutStart,"Validation H1","Holdout H2"))</f>
        <v>Holdout H2</v>
      </c>
      <c r="T491" s="51">
        <f>IF(tblWorkPackages[[#This Row],[Time split]]="Train 2024","",tblWorkPackages[[#This Row],[Estimated labor hours]]+VLOOKUP(tblWorkPackages[[#This Row],[Task type]],'Forecast validation'!$A$14:$E$25,IF(tblWorkPackages[[#This Row],[Time split]]="Validation H1",4,5),FALSE()))</f>
        <v>19.3207547169811</v>
      </c>
      <c r="U491" s="51">
        <f>IF(tblWorkPackages[[#This Row],[Calibrated forecast hours]]="","",ABS(tblWorkPackages[[#This Row],[Actual labor hours]]-tblWorkPackages[[#This Row],[Calibrated forecast hours]]))</f>
        <v>4.52075471698113</v>
      </c>
      <c r="V491" s="51">
        <f>IF(tblWorkPackages[[#This Row],[Time split]]="Train 2024",tblWorkPackages[[#This Row],[Estimated labor hours]],tblWorkPackages[[#This Row],[Calibrated forecast hours]])</f>
        <v>19.3207547169811</v>
      </c>
      <c r="W491" s="64">
        <f>DATEVALUE(tblWorkPackages[[#This Row],[Request date]])</f>
        <v>45980.0</v>
      </c>
      <c r="X491" s="64">
        <f>DATEVALUE(tblWorkPackages[[#This Row],[Due date]])</f>
        <v>45986.0</v>
      </c>
      <c r="Y491" s="64">
        <f>DATEVALUE(tblWorkPackages[[#This Row],[Completion date]])</f>
        <v>46004.0</v>
      </c>
      <c r="Z491" s="64">
        <f>_xlfn.MINIFS(tblLaborEntries[Work date serial],tblLaborEntries[Work package ID],tblWorkPackages[[#This Row],[Work package ID]])</f>
        <v>46001.0</v>
      </c>
      <c r="AA491" s="64">
        <f>_xlfn.MAXIFS(tblLaborEntries[Work date serial],tblLaborEntries[Work package ID],tblWorkPackages[[#This Row],[Work package ID]])</f>
        <v>46003.0</v>
      </c>
      <c r="AB491" s="65">
        <f>IF(tblWorkPackages[[#This Row],[Completion date serial]]&gt;tblWorkPackages[[#This Row],[Due date serial]],1,0)</f>
        <v>1</v>
      </c>
      <c r="AC491" s="65">
        <f>MAX(0,tblWorkPackages[[#This Row],[Completion date serial]]-tblWorkPackages[[#This Row],[Due date serial]])</f>
        <v>18</v>
      </c>
      <c r="AD491" s="65">
        <f>tblWorkPackages[[#This Row],[First labor date]]-tblWorkPackages[[#This Row],[Request date serial]]</f>
        <v>21</v>
      </c>
      <c r="AE491" s="65">
        <f>tblWorkPackages[[#This Row],[Last labor date]]-tblWorkPackages[[#This Row],[First labor date]]</f>
        <v>2</v>
      </c>
      <c r="AF491" s="65">
        <f>tblWorkPackages[[#This Row],[Completion date serial]]-tblWorkPackages[[#This Row],[Last labor date]]</f>
        <v>1</v>
      </c>
      <c r="AG491" s="65">
        <f>tblWorkPackages[[#This Row],[Completion date serial]]-tblWorkPackages[[#This Row],[Request date serial]]</f>
        <v>24</v>
      </c>
      <c r="AH491" s="65">
        <f>IFERROR(INDEX(tblParts[Delay days],MATCH(tblWorkPackages[[#This Row],[Work package ID]],tblParts[Work package ID],0)),0)</f>
        <v>0</v>
      </c>
      <c r="AI491" s="51" t="str">
        <f>IFERROR(INDEX(tblDisruptions[Event type],MATCH(tblWorkPackages[[#This Row],[Work package ID]],tblDisruptions[Work package ID],0)),"None")</f>
        <v>None</v>
      </c>
      <c r="AJ491" s="51" t="str">
        <f>TEXT(tblWorkPackages[[#This Row],[Due date serial]],"yyyy-mm")</f>
        <v>2025-11</v>
      </c>
    </row>
    <row r="492" spans="1:36" ht="15" x14ac:dyDescent="0.25">
      <c r="A492" s="53" t="s">
        <v>1302</v>
      </c>
      <c r="B492" s="53" t="s">
        <v>185</v>
      </c>
      <c r="C492" s="53" t="s">
        <v>937</v>
      </c>
      <c r="D492" s="53" t="s">
        <v>308</v>
      </c>
      <c r="E492" s="53" t="s">
        <v>272</v>
      </c>
      <c r="F492" s="53" t="s">
        <v>145</v>
      </c>
      <c r="G492" s="53" t="s">
        <v>273</v>
      </c>
      <c r="H492" s="53">
        <v>1</v>
      </c>
      <c r="I492" s="53" t="s">
        <v>176</v>
      </c>
      <c r="J492" s="53">
        <v>0</v>
      </c>
      <c r="K492" s="53">
        <v>0</v>
      </c>
      <c r="L492" s="53">
        <v>7.1</v>
      </c>
      <c r="M492" s="53" t="s">
        <v>538</v>
      </c>
      <c r="N492" s="53">
        <v>6</v>
      </c>
      <c r="O492" s="51" t="str">
        <f>TEXT(tblWorkPackages[[#This Row],[Request date serial]]-WEEKDAY(tblWorkPackages[[#This Row],[Request date serial]],3),"yyyy-mm-dd")</f>
        <v>2025-11-10</v>
      </c>
      <c r="P492" s="51">
        <f>ABS(tblWorkPackages[[#This Row],[Actual labor hours]]-tblWorkPackages[[#This Row],[Estimated labor hours]])</f>
        <v>1.1</v>
      </c>
      <c r="Q492" s="51">
        <f>IF(tblWorkPackages[[#This Row],[Actual labor hours]]&gt;tblWorkPackages[[#This Row],[Estimated labor hours]],1,0)</f>
        <v>0</v>
      </c>
      <c r="R492" s="51">
        <f>tblWorkPackages[[#This Row],[Actual labor hours]]-tblWorkPackages[[#This Row],[Estimated labor hours]]</f>
        <v>-1.1</v>
      </c>
      <c r="S492" s="51" t="str">
        <f>IF(tblWorkPackages[[#This Row],[Request date serial]]&lt;ValidationStart,"Train 2024",IF(tblWorkPackages[[#This Row],[Request date serial]]&lt;HoldoutStart,"Validation H1","Holdout H2"))</f>
        <v>Holdout H2</v>
      </c>
      <c r="T492" s="51">
        <f>IF(tblWorkPackages[[#This Row],[Time split]]="Train 2024","",tblWorkPackages[[#This Row],[Estimated labor hours]]+VLOOKUP(tblWorkPackages[[#This Row],[Task type]],'Forecast validation'!$A$14:$E$25,IF(tblWorkPackages[[#This Row],[Time split]]="Validation H1",4,5),FALSE()))</f>
        <v>8.08515625</v>
      </c>
      <c r="U492" s="51">
        <f>IF(tblWorkPackages[[#This Row],[Calibrated forecast hours]]="","",ABS(tblWorkPackages[[#This Row],[Actual labor hours]]-tblWorkPackages[[#This Row],[Calibrated forecast hours]]))</f>
        <v>2.08515625</v>
      </c>
      <c r="V492" s="51">
        <f>IF(tblWorkPackages[[#This Row],[Time split]]="Train 2024",tblWorkPackages[[#This Row],[Estimated labor hours]],tblWorkPackages[[#This Row],[Calibrated forecast hours]])</f>
        <v>8.08515625</v>
      </c>
      <c r="W492" s="64">
        <f>DATEVALUE(tblWorkPackages[[#This Row],[Request date]])</f>
        <v>45971.0</v>
      </c>
      <c r="X492" s="64">
        <f>DATEVALUE(tblWorkPackages[[#This Row],[Due date]])</f>
        <v>45977.0</v>
      </c>
      <c r="Y492" s="64">
        <f>DATEVALUE(tblWorkPackages[[#This Row],[Completion date]])</f>
        <v>45978.0</v>
      </c>
      <c r="Z492" s="64">
        <f>_xlfn.MINIFS(tblLaborEntries[Work date serial],tblLaborEntries[Work package ID],tblWorkPackages[[#This Row],[Work package ID]])</f>
        <v>45975.0</v>
      </c>
      <c r="AA492" s="64">
        <f>_xlfn.MAXIFS(tblLaborEntries[Work date serial],tblLaborEntries[Work package ID],tblWorkPackages[[#This Row],[Work package ID]])</f>
        <v>45976.0</v>
      </c>
      <c r="AB492" s="65">
        <f>IF(tblWorkPackages[[#This Row],[Completion date serial]]&gt;tblWorkPackages[[#This Row],[Due date serial]],1,0)</f>
        <v>1</v>
      </c>
      <c r="AC492" s="65">
        <f>MAX(0,tblWorkPackages[[#This Row],[Completion date serial]]-tblWorkPackages[[#This Row],[Due date serial]])</f>
        <v>1</v>
      </c>
      <c r="AD492" s="65">
        <f>tblWorkPackages[[#This Row],[First labor date]]-tblWorkPackages[[#This Row],[Request date serial]]</f>
        <v>4</v>
      </c>
      <c r="AE492" s="65">
        <f>tblWorkPackages[[#This Row],[Last labor date]]-tblWorkPackages[[#This Row],[First labor date]]</f>
        <v>1</v>
      </c>
      <c r="AF492" s="65">
        <f>tblWorkPackages[[#This Row],[Completion date serial]]-tblWorkPackages[[#This Row],[Last labor date]]</f>
        <v>2</v>
      </c>
      <c r="AG492" s="65">
        <f>tblWorkPackages[[#This Row],[Completion date serial]]-tblWorkPackages[[#This Row],[Request date serial]]</f>
        <v>7</v>
      </c>
      <c r="AH492" s="65">
        <f>IFERROR(INDEX(tblParts[Delay days],MATCH(tblWorkPackages[[#This Row],[Work package ID]],tblParts[Work package ID],0)),0)</f>
        <v>0</v>
      </c>
      <c r="AI492" s="51" t="str">
        <f>IFERROR(INDEX(tblDisruptions[Event type],MATCH(tblWorkPackages[[#This Row],[Work package ID]],tblDisruptions[Work package ID],0)),"None")</f>
        <v>None</v>
      </c>
      <c r="AJ492" s="51" t="str">
        <f>TEXT(tblWorkPackages[[#This Row],[Due date serial]],"yyyy-mm")</f>
        <v>2025-11</v>
      </c>
    </row>
    <row r="493" spans="1:36" ht="15" x14ac:dyDescent="0.25">
      <c r="A493" s="53" t="s">
        <v>1303</v>
      </c>
      <c r="B493" s="53" t="s">
        <v>150</v>
      </c>
      <c r="C493" s="53" t="s">
        <v>1135</v>
      </c>
      <c r="D493" s="53" t="s">
        <v>371</v>
      </c>
      <c r="E493" s="53" t="s">
        <v>181</v>
      </c>
      <c r="F493" s="53" t="s">
        <v>182</v>
      </c>
      <c r="G493" s="53" t="s">
        <v>138</v>
      </c>
      <c r="H493" s="53">
        <v>4</v>
      </c>
      <c r="I493" s="53" t="s">
        <v>130</v>
      </c>
      <c r="J493" s="53">
        <v>0</v>
      </c>
      <c r="K493" s="53">
        <v>0</v>
      </c>
      <c r="L493" s="53">
        <v>13.2</v>
      </c>
      <c r="M493" s="53" t="s">
        <v>788</v>
      </c>
      <c r="N493" s="53">
        <v>16.8</v>
      </c>
      <c r="O493" s="51" t="str">
        <f>TEXT(tblWorkPackages[[#This Row],[Request date serial]]-WEEKDAY(tblWorkPackages[[#This Row],[Request date serial]],3),"yyyy-mm-dd")</f>
        <v>2024-09-23</v>
      </c>
      <c r="P493" s="51">
        <f>ABS(tblWorkPackages[[#This Row],[Actual labor hours]]-tblWorkPackages[[#This Row],[Estimated labor hours]])</f>
        <v>3.6</v>
      </c>
      <c r="Q493" s="51">
        <f>IF(tblWorkPackages[[#This Row],[Actual labor hours]]&gt;tblWorkPackages[[#This Row],[Estimated labor hours]],1,0)</f>
        <v>1</v>
      </c>
      <c r="R493" s="51">
        <f>tblWorkPackages[[#This Row],[Actual labor hours]]-tblWorkPackages[[#This Row],[Estimated labor hours]]</f>
        <v>3.6</v>
      </c>
      <c r="S493" s="51" t="str">
        <f>IF(tblWorkPackages[[#This Row],[Request date serial]]&lt;ValidationStart,"Train 2024",IF(tblWorkPackages[[#This Row],[Request date serial]]&lt;HoldoutStart,"Validation H1","Holdout H2"))</f>
        <v>Train 2024</v>
      </c>
      <c r="T493" s="51" t="str">
        <f>IF(tblWorkPackages[[#This Row],[Time split]]="Train 2024","",tblWorkPackages[[#This Row],[Estimated labor hours]]+VLOOKUP(tblWorkPackages[[#This Row],[Task type]],'Forecast validation'!$A$14:$E$25,IF(tblWorkPackages[[#This Row],[Time split]]="Validation H1",4,5),FALSE()))</f>
        <v/>
      </c>
      <c r="U493" s="51" t="str">
        <f>IF(tblWorkPackages[[#This Row],[Calibrated forecast hours]]="","",ABS(tblWorkPackages[[#This Row],[Actual labor hours]]-tblWorkPackages[[#This Row],[Calibrated forecast hours]]))</f>
        <v/>
      </c>
      <c r="V493" s="51">
        <f>IF(tblWorkPackages[[#This Row],[Time split]]="Train 2024",tblWorkPackages[[#This Row],[Estimated labor hours]],tblWorkPackages[[#This Row],[Calibrated forecast hours]])</f>
        <v>13.2</v>
      </c>
      <c r="W493" s="64">
        <f>DATEVALUE(tblWorkPackages[[#This Row],[Request date]])</f>
        <v>45560.0</v>
      </c>
      <c r="X493" s="64">
        <f>DATEVALUE(tblWorkPackages[[#This Row],[Due date]])</f>
        <v>45573.0</v>
      </c>
      <c r="Y493" s="64">
        <f>DATEVALUE(tblWorkPackages[[#This Row],[Completion date]])</f>
        <v>45566.0</v>
      </c>
      <c r="Z493" s="64">
        <f>_xlfn.MINIFS(tblLaborEntries[Work date serial],tblLaborEntries[Work package ID],tblWorkPackages[[#This Row],[Work package ID]])</f>
        <v>45561.0</v>
      </c>
      <c r="AA493" s="64">
        <f>_xlfn.MAXIFS(tblLaborEntries[Work date serial],tblLaborEntries[Work package ID],tblWorkPackages[[#This Row],[Work package ID]])</f>
        <v>45563.0</v>
      </c>
      <c r="AB493" s="65">
        <f>IF(tblWorkPackages[[#This Row],[Completion date serial]]&gt;tblWorkPackages[[#This Row],[Due date serial]],1,0)</f>
        <v>0</v>
      </c>
      <c r="AC493" s="65">
        <f>MAX(0,tblWorkPackages[[#This Row],[Completion date serial]]-tblWorkPackages[[#This Row],[Due date serial]])</f>
        <v>0</v>
      </c>
      <c r="AD493" s="65">
        <f>tblWorkPackages[[#This Row],[First labor date]]-tblWorkPackages[[#This Row],[Request date serial]]</f>
        <v>1</v>
      </c>
      <c r="AE493" s="65">
        <f>tblWorkPackages[[#This Row],[Last labor date]]-tblWorkPackages[[#This Row],[First labor date]]</f>
        <v>2</v>
      </c>
      <c r="AF493" s="65">
        <f>tblWorkPackages[[#This Row],[Completion date serial]]-tblWorkPackages[[#This Row],[Last labor date]]</f>
        <v>3</v>
      </c>
      <c r="AG493" s="65">
        <f>tblWorkPackages[[#This Row],[Completion date serial]]-tblWorkPackages[[#This Row],[Request date serial]]</f>
        <v>6</v>
      </c>
      <c r="AH493" s="65">
        <f>IFERROR(INDEX(tblParts[Delay days],MATCH(tblWorkPackages[[#This Row],[Work package ID]],tblParts[Work package ID],0)),0)</f>
        <v>0</v>
      </c>
      <c r="AI493" s="51" t="str">
        <f>IFERROR(INDEX(tblDisruptions[Event type],MATCH(tblWorkPackages[[#This Row],[Work package ID]],tblDisruptions[Work package ID],0)),"None")</f>
        <v>None</v>
      </c>
      <c r="AJ493" s="51" t="str">
        <f>TEXT(tblWorkPackages[[#This Row],[Due date serial]],"yyyy-mm")</f>
        <v>2024-10</v>
      </c>
    </row>
    <row r="494" spans="1:36" ht="15" x14ac:dyDescent="0.25">
      <c r="A494" s="53" t="s">
        <v>1304</v>
      </c>
      <c r="B494" s="53" t="s">
        <v>168</v>
      </c>
      <c r="C494" s="53" t="s">
        <v>1044</v>
      </c>
      <c r="D494" s="53" t="s">
        <v>640</v>
      </c>
      <c r="E494" s="53" t="s">
        <v>127</v>
      </c>
      <c r="F494" s="53" t="s">
        <v>128</v>
      </c>
      <c r="G494" s="53" t="s">
        <v>129</v>
      </c>
      <c r="H494" s="53">
        <v>3</v>
      </c>
      <c r="I494" s="53" t="s">
        <v>176</v>
      </c>
      <c r="J494" s="53">
        <v>0</v>
      </c>
      <c r="K494" s="53">
        <v>0</v>
      </c>
      <c r="L494" s="53">
        <v>10.5</v>
      </c>
      <c r="M494" s="53" t="s">
        <v>238</v>
      </c>
      <c r="N494" s="53">
        <v>10</v>
      </c>
      <c r="O494" s="51" t="str">
        <f>TEXT(tblWorkPackages[[#This Row],[Request date serial]]-WEEKDAY(tblWorkPackages[[#This Row],[Request date serial]],3),"yyyy-mm-dd")</f>
        <v>2025-06-09</v>
      </c>
      <c r="P494" s="51">
        <f>ABS(tblWorkPackages[[#This Row],[Actual labor hours]]-tblWorkPackages[[#This Row],[Estimated labor hours]])</f>
        <v>0.5</v>
      </c>
      <c r="Q494" s="51">
        <f>IF(tblWorkPackages[[#This Row],[Actual labor hours]]&gt;tblWorkPackages[[#This Row],[Estimated labor hours]],1,0)</f>
        <v>0</v>
      </c>
      <c r="R494" s="51">
        <f>tblWorkPackages[[#This Row],[Actual labor hours]]-tblWorkPackages[[#This Row],[Estimated labor hours]]</f>
        <v>-0.5</v>
      </c>
      <c r="S494" s="51" t="str">
        <f>IF(tblWorkPackages[[#This Row],[Request date serial]]&lt;ValidationStart,"Train 2024",IF(tblWorkPackages[[#This Row],[Request date serial]]&lt;HoldoutStart,"Validation H1","Holdout H2"))</f>
        <v>Validation H1</v>
      </c>
      <c r="T494" s="51">
        <f>IF(tblWorkPackages[[#This Row],[Time split]]="Train 2024","",tblWorkPackages[[#This Row],[Estimated labor hours]]+VLOOKUP(tblWorkPackages[[#This Row],[Task type]],'Forecast validation'!$A$14:$E$25,IF(tblWorkPackages[[#This Row],[Time split]]="Validation H1",4,5),FALSE()))</f>
        <v>10.975641025641</v>
      </c>
      <c r="U494" s="51">
        <f>IF(tblWorkPackages[[#This Row],[Calibrated forecast hours]]="","",ABS(tblWorkPackages[[#This Row],[Actual labor hours]]-tblWorkPackages[[#This Row],[Calibrated forecast hours]]))</f>
        <v>0.975641025641025</v>
      </c>
      <c r="V494" s="51">
        <f>IF(tblWorkPackages[[#This Row],[Time split]]="Train 2024",tblWorkPackages[[#This Row],[Estimated labor hours]],tblWorkPackages[[#This Row],[Calibrated forecast hours]])</f>
        <v>10.975641025641</v>
      </c>
      <c r="W494" s="64">
        <f>DATEVALUE(tblWorkPackages[[#This Row],[Request date]])</f>
        <v>45822.0</v>
      </c>
      <c r="X494" s="64">
        <f>DATEVALUE(tblWorkPackages[[#This Row],[Due date]])</f>
        <v>45828.0</v>
      </c>
      <c r="Y494" s="64">
        <f>DATEVALUE(tblWorkPackages[[#This Row],[Completion date]])</f>
        <v>45833.0</v>
      </c>
      <c r="Z494" s="64">
        <f>_xlfn.MINIFS(tblLaborEntries[Work date serial],tblLaborEntries[Work package ID],tblWorkPackages[[#This Row],[Work package ID]])</f>
        <v>45833.0</v>
      </c>
      <c r="AA494" s="64">
        <f>_xlfn.MAXIFS(tblLaborEntries[Work date serial],tblLaborEntries[Work package ID],tblWorkPackages[[#This Row],[Work package ID]])</f>
        <v>45833.0</v>
      </c>
      <c r="AB494" s="65">
        <f>IF(tblWorkPackages[[#This Row],[Completion date serial]]&gt;tblWorkPackages[[#This Row],[Due date serial]],1,0)</f>
        <v>1</v>
      </c>
      <c r="AC494" s="65">
        <f>MAX(0,tblWorkPackages[[#This Row],[Completion date serial]]-tblWorkPackages[[#This Row],[Due date serial]])</f>
        <v>5</v>
      </c>
      <c r="AD494" s="65">
        <f>tblWorkPackages[[#This Row],[First labor date]]-tblWorkPackages[[#This Row],[Request date serial]]</f>
        <v>11</v>
      </c>
      <c r="AE494" s="65">
        <f>tblWorkPackages[[#This Row],[Last labor date]]-tblWorkPackages[[#This Row],[First labor date]]</f>
        <v>0</v>
      </c>
      <c r="AF494" s="65">
        <f>tblWorkPackages[[#This Row],[Completion date serial]]-tblWorkPackages[[#This Row],[Last labor date]]</f>
        <v>0</v>
      </c>
      <c r="AG494" s="65">
        <f>tblWorkPackages[[#This Row],[Completion date serial]]-tblWorkPackages[[#This Row],[Request date serial]]</f>
        <v>11</v>
      </c>
      <c r="AH494" s="65">
        <f>IFERROR(INDEX(tblParts[Delay days],MATCH(tblWorkPackages[[#This Row],[Work package ID]],tblParts[Work package ID],0)),0)</f>
        <v>0</v>
      </c>
      <c r="AI494" s="51" t="str">
        <f>IFERROR(INDEX(tblDisruptions[Event type],MATCH(tblWorkPackages[[#This Row],[Work package ID]],tblDisruptions[Work package ID],0)),"None")</f>
        <v>None</v>
      </c>
      <c r="AJ494" s="51" t="str">
        <f>TEXT(tblWorkPackages[[#This Row],[Due date serial]],"yyyy-mm")</f>
        <v>2025-06</v>
      </c>
    </row>
    <row r="495" spans="1:36" ht="15" x14ac:dyDescent="0.25">
      <c r="A495" s="53" t="s">
        <v>1305</v>
      </c>
      <c r="B495" s="53" t="s">
        <v>173</v>
      </c>
      <c r="C495" s="53" t="s">
        <v>1124</v>
      </c>
      <c r="D495" s="53" t="s">
        <v>1125</v>
      </c>
      <c r="E495" s="53" t="s">
        <v>181</v>
      </c>
      <c r="F495" s="53" t="s">
        <v>182</v>
      </c>
      <c r="G495" s="53" t="s">
        <v>138</v>
      </c>
      <c r="H495" s="53">
        <v>4</v>
      </c>
      <c r="I495" s="53" t="s">
        <v>130</v>
      </c>
      <c r="J495" s="53">
        <v>0</v>
      </c>
      <c r="K495" s="53">
        <v>1</v>
      </c>
      <c r="L495" s="53">
        <v>14.8</v>
      </c>
      <c r="M495" s="53" t="s">
        <v>1033</v>
      </c>
      <c r="N495" s="53">
        <v>22.4</v>
      </c>
      <c r="O495" s="51" t="str">
        <f>TEXT(tblWorkPackages[[#This Row],[Request date serial]]-WEEKDAY(tblWorkPackages[[#This Row],[Request date serial]],3),"yyyy-mm-dd")</f>
        <v>2024-05-13</v>
      </c>
      <c r="P495" s="51">
        <f>ABS(tblWorkPackages[[#This Row],[Actual labor hours]]-tblWorkPackages[[#This Row],[Estimated labor hours]])</f>
        <v>7.6</v>
      </c>
      <c r="Q495" s="51">
        <f>IF(tblWorkPackages[[#This Row],[Actual labor hours]]&gt;tblWorkPackages[[#This Row],[Estimated labor hours]],1,0)</f>
        <v>1</v>
      </c>
      <c r="R495" s="51">
        <f>tblWorkPackages[[#This Row],[Actual labor hours]]-tblWorkPackages[[#This Row],[Estimated labor hours]]</f>
        <v>7.6</v>
      </c>
      <c r="S495" s="51" t="str">
        <f>IF(tblWorkPackages[[#This Row],[Request date serial]]&lt;ValidationStart,"Train 2024",IF(tblWorkPackages[[#This Row],[Request date serial]]&lt;HoldoutStart,"Validation H1","Holdout H2"))</f>
        <v>Train 2024</v>
      </c>
      <c r="T495" s="51" t="str">
        <f>IF(tblWorkPackages[[#This Row],[Time split]]="Train 2024","",tblWorkPackages[[#This Row],[Estimated labor hours]]+VLOOKUP(tblWorkPackages[[#This Row],[Task type]],'Forecast validation'!$A$14:$E$25,IF(tblWorkPackages[[#This Row],[Time split]]="Validation H1",4,5),FALSE()))</f>
        <v/>
      </c>
      <c r="U495" s="51" t="str">
        <f>IF(tblWorkPackages[[#This Row],[Calibrated forecast hours]]="","",ABS(tblWorkPackages[[#This Row],[Actual labor hours]]-tblWorkPackages[[#This Row],[Calibrated forecast hours]]))</f>
        <v/>
      </c>
      <c r="V495" s="51">
        <f>IF(tblWorkPackages[[#This Row],[Time split]]="Train 2024",tblWorkPackages[[#This Row],[Estimated labor hours]],tblWorkPackages[[#This Row],[Calibrated forecast hours]])</f>
        <v>14.8</v>
      </c>
      <c r="W495" s="64">
        <f>DATEVALUE(tblWorkPackages[[#This Row],[Request date]])</f>
        <v>45427.0</v>
      </c>
      <c r="X495" s="64">
        <f>DATEVALUE(tblWorkPackages[[#This Row],[Due date]])</f>
        <v>45440.0</v>
      </c>
      <c r="Y495" s="64">
        <f>DATEVALUE(tblWorkPackages[[#This Row],[Completion date]])</f>
        <v>45445.0</v>
      </c>
      <c r="Z495" s="64">
        <f>_xlfn.MINIFS(tblLaborEntries[Work date serial],tblLaborEntries[Work package ID],tblWorkPackages[[#This Row],[Work package ID]])</f>
        <v>45444.0</v>
      </c>
      <c r="AA495" s="64">
        <f>_xlfn.MAXIFS(tblLaborEntries[Work date serial],tblLaborEntries[Work package ID],tblWorkPackages[[#This Row],[Work package ID]])</f>
        <v>45444.0</v>
      </c>
      <c r="AB495" s="65">
        <f>IF(tblWorkPackages[[#This Row],[Completion date serial]]&gt;tblWorkPackages[[#This Row],[Due date serial]],1,0)</f>
        <v>1</v>
      </c>
      <c r="AC495" s="65">
        <f>MAX(0,tblWorkPackages[[#This Row],[Completion date serial]]-tblWorkPackages[[#This Row],[Due date serial]])</f>
        <v>5</v>
      </c>
      <c r="AD495" s="65">
        <f>tblWorkPackages[[#This Row],[First labor date]]-tblWorkPackages[[#This Row],[Request date serial]]</f>
        <v>17</v>
      </c>
      <c r="AE495" s="65">
        <f>tblWorkPackages[[#This Row],[Last labor date]]-tblWorkPackages[[#This Row],[First labor date]]</f>
        <v>0</v>
      </c>
      <c r="AF495" s="65">
        <f>tblWorkPackages[[#This Row],[Completion date serial]]-tblWorkPackages[[#This Row],[Last labor date]]</f>
        <v>1</v>
      </c>
      <c r="AG495" s="65">
        <f>tblWorkPackages[[#This Row],[Completion date serial]]-tblWorkPackages[[#This Row],[Request date serial]]</f>
        <v>18</v>
      </c>
      <c r="AH495" s="65">
        <f>IFERROR(INDEX(tblParts[Delay days],MATCH(tblWorkPackages[[#This Row],[Work package ID]],tblParts[Work package ID],0)),0)</f>
        <v>14</v>
      </c>
      <c r="AI495" s="51" t="str">
        <f>IFERROR(INDEX(tblDisruptions[Event type],MATCH(tblWorkPackages[[#This Row],[Work package ID]],tblDisruptions[Work package ID],0)),"None")</f>
        <v>Part delay</v>
      </c>
      <c r="AJ495" s="51" t="str">
        <f>TEXT(tblWorkPackages[[#This Row],[Due date serial]],"yyyy-mm")</f>
        <v>2024-05</v>
      </c>
    </row>
    <row r="496" spans="1:36" ht="15" x14ac:dyDescent="0.25">
      <c r="A496" s="53" t="s">
        <v>1306</v>
      </c>
      <c r="B496" s="53" t="s">
        <v>157</v>
      </c>
      <c r="C496" s="53" t="s">
        <v>180</v>
      </c>
      <c r="D496" s="53" t="s">
        <v>1035</v>
      </c>
      <c r="E496" s="53" t="s">
        <v>242</v>
      </c>
      <c r="F496" s="53" t="s">
        <v>243</v>
      </c>
      <c r="G496" s="53" t="s">
        <v>129</v>
      </c>
      <c r="H496" s="53">
        <v>4</v>
      </c>
      <c r="I496" s="53" t="s">
        <v>176</v>
      </c>
      <c r="J496" s="53">
        <v>0</v>
      </c>
      <c r="K496" s="53">
        <v>0</v>
      </c>
      <c r="L496" s="53">
        <v>16.100000000000001</v>
      </c>
      <c r="M496" s="53" t="s">
        <v>502</v>
      </c>
      <c r="N496" s="53">
        <v>20.399999999999999</v>
      </c>
      <c r="O496" s="51" t="str">
        <f>TEXT(tblWorkPackages[[#This Row],[Request date serial]]-WEEKDAY(tblWorkPackages[[#This Row],[Request date serial]],3),"yyyy-mm-dd")</f>
        <v>2025-05-26</v>
      </c>
      <c r="P496" s="51">
        <f>ABS(tblWorkPackages[[#This Row],[Actual labor hours]]-tblWorkPackages[[#This Row],[Estimated labor hours]])</f>
        <v>4.3</v>
      </c>
      <c r="Q496" s="51">
        <f>IF(tblWorkPackages[[#This Row],[Actual labor hours]]&gt;tblWorkPackages[[#This Row],[Estimated labor hours]],1,0)</f>
        <v>1</v>
      </c>
      <c r="R496" s="51">
        <f>tblWorkPackages[[#This Row],[Actual labor hours]]-tblWorkPackages[[#This Row],[Estimated labor hours]]</f>
        <v>4.3</v>
      </c>
      <c r="S496" s="51" t="str">
        <f>IF(tblWorkPackages[[#This Row],[Request date serial]]&lt;ValidationStart,"Train 2024",IF(tblWorkPackages[[#This Row],[Request date serial]]&lt;HoldoutStart,"Validation H1","Holdout H2"))</f>
        <v>Validation H1</v>
      </c>
      <c r="T496" s="51">
        <f>IF(tblWorkPackages[[#This Row],[Time split]]="Train 2024","",tblWorkPackages[[#This Row],[Estimated labor hours]]+VLOOKUP(tblWorkPackages[[#This Row],[Task type]],'Forecast validation'!$A$14:$E$25,IF(tblWorkPackages[[#This Row],[Time split]]="Validation H1",4,5),FALSE()))</f>
        <v>16.6561224489796</v>
      </c>
      <c r="U496" s="51">
        <f>IF(tblWorkPackages[[#This Row],[Calibrated forecast hours]]="","",ABS(tblWorkPackages[[#This Row],[Actual labor hours]]-tblWorkPackages[[#This Row],[Calibrated forecast hours]]))</f>
        <v>3.7438775510204</v>
      </c>
      <c r="V496" s="51">
        <f>IF(tblWorkPackages[[#This Row],[Time split]]="Train 2024",tblWorkPackages[[#This Row],[Estimated labor hours]],tblWorkPackages[[#This Row],[Calibrated forecast hours]])</f>
        <v>16.6561224489796</v>
      </c>
      <c r="W496" s="64">
        <f>DATEVALUE(tblWorkPackages[[#This Row],[Request date]])</f>
        <v>45805.0</v>
      </c>
      <c r="X496" s="64">
        <f>DATEVALUE(tblWorkPackages[[#This Row],[Due date]])</f>
        <v>45811.0</v>
      </c>
      <c r="Y496" s="64">
        <f>DATEVALUE(tblWorkPackages[[#This Row],[Completion date]])</f>
        <v>45840.0</v>
      </c>
      <c r="Z496" s="64">
        <f>_xlfn.MINIFS(tblLaborEntries[Work date serial],tblLaborEntries[Work package ID],tblWorkPackages[[#This Row],[Work package ID]])</f>
        <v>45838.0</v>
      </c>
      <c r="AA496" s="64">
        <f>_xlfn.MAXIFS(tblLaborEntries[Work date serial],tblLaborEntries[Work package ID],tblWorkPackages[[#This Row],[Work package ID]])</f>
        <v>45838.0</v>
      </c>
      <c r="AB496" s="65">
        <f>IF(tblWorkPackages[[#This Row],[Completion date serial]]&gt;tblWorkPackages[[#This Row],[Due date serial]],1,0)</f>
        <v>1</v>
      </c>
      <c r="AC496" s="65">
        <f>MAX(0,tblWorkPackages[[#This Row],[Completion date serial]]-tblWorkPackages[[#This Row],[Due date serial]])</f>
        <v>29</v>
      </c>
      <c r="AD496" s="65">
        <f>tblWorkPackages[[#This Row],[First labor date]]-tblWorkPackages[[#This Row],[Request date serial]]</f>
        <v>33</v>
      </c>
      <c r="AE496" s="65">
        <f>tblWorkPackages[[#This Row],[Last labor date]]-tblWorkPackages[[#This Row],[First labor date]]</f>
        <v>0</v>
      </c>
      <c r="AF496" s="65">
        <f>tblWorkPackages[[#This Row],[Completion date serial]]-tblWorkPackages[[#This Row],[Last labor date]]</f>
        <v>2</v>
      </c>
      <c r="AG496" s="65">
        <f>tblWorkPackages[[#This Row],[Completion date serial]]-tblWorkPackages[[#This Row],[Request date serial]]</f>
        <v>35</v>
      </c>
      <c r="AH496" s="65">
        <f>IFERROR(INDEX(tblParts[Delay days],MATCH(tblWorkPackages[[#This Row],[Work package ID]],tblParts[Work package ID],0)),0)</f>
        <v>0</v>
      </c>
      <c r="AI496" s="51" t="str">
        <f>IFERROR(INDEX(tblDisruptions[Event type],MATCH(tblWorkPackages[[#This Row],[Work package ID]],tblDisruptions[Work package ID],0)),"None")</f>
        <v>None</v>
      </c>
      <c r="AJ496" s="51" t="str">
        <f>TEXT(tblWorkPackages[[#This Row],[Due date serial]],"yyyy-mm")</f>
        <v>2025-06</v>
      </c>
    </row>
    <row r="497" spans="1:36" ht="15" x14ac:dyDescent="0.25">
      <c r="A497" s="53" t="s">
        <v>1307</v>
      </c>
      <c r="B497" s="53" t="s">
        <v>230</v>
      </c>
      <c r="C497" s="53" t="s">
        <v>990</v>
      </c>
      <c r="D497" s="53" t="s">
        <v>1195</v>
      </c>
      <c r="E497" s="53" t="s">
        <v>242</v>
      </c>
      <c r="F497" s="53" t="s">
        <v>243</v>
      </c>
      <c r="G497" s="53" t="s">
        <v>129</v>
      </c>
      <c r="H497" s="53">
        <v>4</v>
      </c>
      <c r="I497" s="53" t="s">
        <v>176</v>
      </c>
      <c r="J497" s="53">
        <v>0</v>
      </c>
      <c r="K497" s="53">
        <v>1</v>
      </c>
      <c r="L497" s="53">
        <v>14.6</v>
      </c>
      <c r="M497" s="53" t="s">
        <v>379</v>
      </c>
      <c r="N497" s="53">
        <v>12.6</v>
      </c>
      <c r="O497" s="51" t="str">
        <f>TEXT(tblWorkPackages[[#This Row],[Request date serial]]-WEEKDAY(tblWorkPackages[[#This Row],[Request date serial]],3),"yyyy-mm-dd")</f>
        <v>2025-10-13</v>
      </c>
      <c r="P497" s="51">
        <f>ABS(tblWorkPackages[[#This Row],[Actual labor hours]]-tblWorkPackages[[#This Row],[Estimated labor hours]])</f>
        <v>2</v>
      </c>
      <c r="Q497" s="51">
        <f>IF(tblWorkPackages[[#This Row],[Actual labor hours]]&gt;tblWorkPackages[[#This Row],[Estimated labor hours]],1,0)</f>
        <v>0</v>
      </c>
      <c r="R497" s="51">
        <f>tblWorkPackages[[#This Row],[Actual labor hours]]-tblWorkPackages[[#This Row],[Estimated labor hours]]</f>
        <v>-2</v>
      </c>
      <c r="S497" s="51" t="str">
        <f>IF(tblWorkPackages[[#This Row],[Request date serial]]&lt;ValidationStart,"Train 2024",IF(tblWorkPackages[[#This Row],[Request date serial]]&lt;HoldoutStart,"Validation H1","Holdout H2"))</f>
        <v>Holdout H2</v>
      </c>
      <c r="T497" s="51">
        <f>IF(tblWorkPackages[[#This Row],[Time split]]="Train 2024","",tblWorkPackages[[#This Row],[Estimated labor hours]]+VLOOKUP(tblWorkPackages[[#This Row],[Task type]],'Forecast validation'!$A$14:$E$25,IF(tblWorkPackages[[#This Row],[Time split]]="Validation H1",4,5),FALSE()))</f>
        <v>15.4254545454545</v>
      </c>
      <c r="U497" s="51">
        <f>IF(tblWorkPackages[[#This Row],[Calibrated forecast hours]]="","",ABS(tblWorkPackages[[#This Row],[Actual labor hours]]-tblWorkPackages[[#This Row],[Calibrated forecast hours]]))</f>
        <v>2.82545454545455</v>
      </c>
      <c r="V497" s="51">
        <f>IF(tblWorkPackages[[#This Row],[Time split]]="Train 2024",tblWorkPackages[[#This Row],[Estimated labor hours]],tblWorkPackages[[#This Row],[Calibrated forecast hours]])</f>
        <v>15.4254545454545</v>
      </c>
      <c r="W497" s="64">
        <f>DATEVALUE(tblWorkPackages[[#This Row],[Request date]])</f>
        <v>45947.0</v>
      </c>
      <c r="X497" s="64">
        <f>DATEVALUE(tblWorkPackages[[#This Row],[Due date]])</f>
        <v>45953.0</v>
      </c>
      <c r="Y497" s="64">
        <f>DATEVALUE(tblWorkPackages[[#This Row],[Completion date]])</f>
        <v>45956.0</v>
      </c>
      <c r="Z497" s="64">
        <f>_xlfn.MINIFS(tblLaborEntries[Work date serial],tblLaborEntries[Work package ID],tblWorkPackages[[#This Row],[Work package ID]])</f>
        <v>45953.0</v>
      </c>
      <c r="AA497" s="64">
        <f>_xlfn.MAXIFS(tblLaborEntries[Work date serial],tblLaborEntries[Work package ID],tblWorkPackages[[#This Row],[Work package ID]])</f>
        <v>45953.0</v>
      </c>
      <c r="AB497" s="65">
        <f>IF(tblWorkPackages[[#This Row],[Completion date serial]]&gt;tblWorkPackages[[#This Row],[Due date serial]],1,0)</f>
        <v>1</v>
      </c>
      <c r="AC497" s="65">
        <f>MAX(0,tblWorkPackages[[#This Row],[Completion date serial]]-tblWorkPackages[[#This Row],[Due date serial]])</f>
        <v>3</v>
      </c>
      <c r="AD497" s="65">
        <f>tblWorkPackages[[#This Row],[First labor date]]-tblWorkPackages[[#This Row],[Request date serial]]</f>
        <v>6</v>
      </c>
      <c r="AE497" s="65">
        <f>tblWorkPackages[[#This Row],[Last labor date]]-tblWorkPackages[[#This Row],[First labor date]]</f>
        <v>0</v>
      </c>
      <c r="AF497" s="65">
        <f>tblWorkPackages[[#This Row],[Completion date serial]]-tblWorkPackages[[#This Row],[Last labor date]]</f>
        <v>3</v>
      </c>
      <c r="AG497" s="65">
        <f>tblWorkPackages[[#This Row],[Completion date serial]]-tblWorkPackages[[#This Row],[Request date serial]]</f>
        <v>9</v>
      </c>
      <c r="AH497" s="65">
        <f>IFERROR(INDEX(tblParts[Delay days],MATCH(tblWorkPackages[[#This Row],[Work package ID]],tblParts[Work package ID],0)),0)</f>
        <v>0</v>
      </c>
      <c r="AI497" s="51" t="str">
        <f>IFERROR(INDEX(tblDisruptions[Event type],MATCH(tblWorkPackages[[#This Row],[Work package ID]],tblDisruptions[Work package ID],0)),"None")</f>
        <v>None</v>
      </c>
      <c r="AJ497" s="51" t="str">
        <f>TEXT(tblWorkPackages[[#This Row],[Due date serial]],"yyyy-mm")</f>
        <v>2025-10</v>
      </c>
    </row>
    <row r="498" spans="1:36" ht="15" x14ac:dyDescent="0.25">
      <c r="A498" s="53" t="s">
        <v>1308</v>
      </c>
      <c r="B498" s="53" t="s">
        <v>124</v>
      </c>
      <c r="C498" s="53" t="s">
        <v>506</v>
      </c>
      <c r="D498" s="53" t="s">
        <v>1197</v>
      </c>
      <c r="E498" s="53" t="s">
        <v>153</v>
      </c>
      <c r="F498" s="53" t="s">
        <v>128</v>
      </c>
      <c r="G498" s="53" t="s">
        <v>154</v>
      </c>
      <c r="H498" s="53">
        <v>2</v>
      </c>
      <c r="I498" s="53" t="s">
        <v>176</v>
      </c>
      <c r="J498" s="53">
        <v>0</v>
      </c>
      <c r="K498" s="53">
        <v>1</v>
      </c>
      <c r="L498" s="53">
        <v>10.3</v>
      </c>
      <c r="M498" s="53" t="s">
        <v>412</v>
      </c>
      <c r="N498" s="53">
        <v>10.1</v>
      </c>
      <c r="O498" s="51" t="str">
        <f>TEXT(tblWorkPackages[[#This Row],[Request date serial]]-WEEKDAY(tblWorkPackages[[#This Row],[Request date serial]],3),"yyyy-mm-dd")</f>
        <v>2025-02-17</v>
      </c>
      <c r="P498" s="51">
        <f>ABS(tblWorkPackages[[#This Row],[Actual labor hours]]-tblWorkPackages[[#This Row],[Estimated labor hours]])</f>
        <v>0.200000000000001</v>
      </c>
      <c r="Q498" s="51">
        <f>IF(tblWorkPackages[[#This Row],[Actual labor hours]]&gt;tblWorkPackages[[#This Row],[Estimated labor hours]],1,0)</f>
        <v>0</v>
      </c>
      <c r="R498" s="51">
        <f>tblWorkPackages[[#This Row],[Actual labor hours]]-tblWorkPackages[[#This Row],[Estimated labor hours]]</f>
        <v>-0.200000000000001</v>
      </c>
      <c r="S498" s="51" t="str">
        <f>IF(tblWorkPackages[[#This Row],[Request date serial]]&lt;ValidationStart,"Train 2024",IF(tblWorkPackages[[#This Row],[Request date serial]]&lt;HoldoutStart,"Validation H1","Holdout H2"))</f>
        <v>Validation H1</v>
      </c>
      <c r="T498" s="51">
        <f>IF(tblWorkPackages[[#This Row],[Time split]]="Train 2024","",tblWorkPackages[[#This Row],[Estimated labor hours]]+VLOOKUP(tblWorkPackages[[#This Row],[Task type]],'Forecast validation'!$A$14:$E$25,IF(tblWorkPackages[[#This Row],[Time split]]="Validation H1",4,5),FALSE()))</f>
        <v>10.8462264150943</v>
      </c>
      <c r="U498" s="51">
        <f>IF(tblWorkPackages[[#This Row],[Calibrated forecast hours]]="","",ABS(tblWorkPackages[[#This Row],[Actual labor hours]]-tblWorkPackages[[#This Row],[Calibrated forecast hours]]))</f>
        <v>0.746226415094341</v>
      </c>
      <c r="V498" s="51">
        <f>IF(tblWorkPackages[[#This Row],[Time split]]="Train 2024",tblWorkPackages[[#This Row],[Estimated labor hours]],tblWorkPackages[[#This Row],[Calibrated forecast hours]])</f>
        <v>10.8462264150943</v>
      </c>
      <c r="W498" s="64">
        <f>DATEVALUE(tblWorkPackages[[#This Row],[Request date]])</f>
        <v>45708.0</v>
      </c>
      <c r="X498" s="64">
        <f>DATEVALUE(tblWorkPackages[[#This Row],[Due date]])</f>
        <v>45714.0</v>
      </c>
      <c r="Y498" s="64">
        <f>DATEVALUE(tblWorkPackages[[#This Row],[Completion date]])</f>
        <v>45712.0</v>
      </c>
      <c r="Z498" s="64">
        <f>_xlfn.MINIFS(tblLaborEntries[Work date serial],tblLaborEntries[Work package ID],tblWorkPackages[[#This Row],[Work package ID]])</f>
        <v>45710.0</v>
      </c>
      <c r="AA498" s="64">
        <f>_xlfn.MAXIFS(tblLaborEntries[Work date serial],tblLaborEntries[Work package ID],tblWorkPackages[[#This Row],[Work package ID]])</f>
        <v>45712.0</v>
      </c>
      <c r="AB498" s="65">
        <f>IF(tblWorkPackages[[#This Row],[Completion date serial]]&gt;tblWorkPackages[[#This Row],[Due date serial]],1,0)</f>
        <v>0</v>
      </c>
      <c r="AC498" s="65">
        <f>MAX(0,tblWorkPackages[[#This Row],[Completion date serial]]-tblWorkPackages[[#This Row],[Due date serial]])</f>
        <v>0</v>
      </c>
      <c r="AD498" s="65">
        <f>tblWorkPackages[[#This Row],[First labor date]]-tblWorkPackages[[#This Row],[Request date serial]]</f>
        <v>2</v>
      </c>
      <c r="AE498" s="65">
        <f>tblWorkPackages[[#This Row],[Last labor date]]-tblWorkPackages[[#This Row],[First labor date]]</f>
        <v>2</v>
      </c>
      <c r="AF498" s="65">
        <f>tblWorkPackages[[#This Row],[Completion date serial]]-tblWorkPackages[[#This Row],[Last labor date]]</f>
        <v>0</v>
      </c>
      <c r="AG498" s="65">
        <f>tblWorkPackages[[#This Row],[Completion date serial]]-tblWorkPackages[[#This Row],[Request date serial]]</f>
        <v>4</v>
      </c>
      <c r="AH498" s="65">
        <f>IFERROR(INDEX(tblParts[Delay days],MATCH(tblWorkPackages[[#This Row],[Work package ID]],tblParts[Work package ID],0)),0)</f>
        <v>0</v>
      </c>
      <c r="AI498" s="51" t="str">
        <f>IFERROR(INDEX(tblDisruptions[Event type],MATCH(tblWorkPackages[[#This Row],[Work package ID]],tblDisruptions[Work package ID],0)),"None")</f>
        <v>None</v>
      </c>
      <c r="AJ498" s="51" t="str">
        <f>TEXT(tblWorkPackages[[#This Row],[Due date serial]],"yyyy-mm")</f>
        <v>2025-02</v>
      </c>
    </row>
    <row r="499" spans="1:36" ht="15" x14ac:dyDescent="0.25">
      <c r="A499" s="53" t="s">
        <v>1309</v>
      </c>
      <c r="B499" s="53" t="s">
        <v>230</v>
      </c>
      <c r="C499" s="53" t="s">
        <v>443</v>
      </c>
      <c r="D499" s="53" t="s">
        <v>246</v>
      </c>
      <c r="E499" s="53" t="s">
        <v>242</v>
      </c>
      <c r="F499" s="53" t="s">
        <v>243</v>
      </c>
      <c r="G499" s="53" t="s">
        <v>129</v>
      </c>
      <c r="H499" s="53">
        <v>4</v>
      </c>
      <c r="I499" s="53" t="s">
        <v>130</v>
      </c>
      <c r="J499" s="53">
        <v>0</v>
      </c>
      <c r="K499" s="53">
        <v>0</v>
      </c>
      <c r="L499" s="53">
        <v>17.600000000000001</v>
      </c>
      <c r="M499" s="53" t="s">
        <v>248</v>
      </c>
      <c r="N499" s="53">
        <v>22.2</v>
      </c>
      <c r="O499" s="51" t="str">
        <f>TEXT(tblWorkPackages[[#This Row],[Request date serial]]-WEEKDAY(tblWorkPackages[[#This Row],[Request date serial]],3),"yyyy-mm-dd")</f>
        <v>2024-02-26</v>
      </c>
      <c r="P499" s="51">
        <f>ABS(tblWorkPackages[[#This Row],[Actual labor hours]]-tblWorkPackages[[#This Row],[Estimated labor hours]])</f>
        <v>4.6</v>
      </c>
      <c r="Q499" s="51">
        <f>IF(tblWorkPackages[[#This Row],[Actual labor hours]]&gt;tblWorkPackages[[#This Row],[Estimated labor hours]],1,0)</f>
        <v>1</v>
      </c>
      <c r="R499" s="51">
        <f>tblWorkPackages[[#This Row],[Actual labor hours]]-tblWorkPackages[[#This Row],[Estimated labor hours]]</f>
        <v>4.6</v>
      </c>
      <c r="S499" s="51" t="str">
        <f>IF(tblWorkPackages[[#This Row],[Request date serial]]&lt;ValidationStart,"Train 2024",IF(tblWorkPackages[[#This Row],[Request date serial]]&lt;HoldoutStart,"Validation H1","Holdout H2"))</f>
        <v>Train 2024</v>
      </c>
      <c r="T499" s="51" t="str">
        <f>IF(tblWorkPackages[[#This Row],[Time split]]="Train 2024","",tblWorkPackages[[#This Row],[Estimated labor hours]]+VLOOKUP(tblWorkPackages[[#This Row],[Task type]],'Forecast validation'!$A$14:$E$25,IF(tblWorkPackages[[#This Row],[Time split]]="Validation H1",4,5),FALSE()))</f>
        <v/>
      </c>
      <c r="U499" s="51" t="str">
        <f>IF(tblWorkPackages[[#This Row],[Calibrated forecast hours]]="","",ABS(tblWorkPackages[[#This Row],[Actual labor hours]]-tblWorkPackages[[#This Row],[Calibrated forecast hours]]))</f>
        <v/>
      </c>
      <c r="V499" s="51">
        <f>IF(tblWorkPackages[[#This Row],[Time split]]="Train 2024",tblWorkPackages[[#This Row],[Estimated labor hours]],tblWorkPackages[[#This Row],[Calibrated forecast hours]])</f>
        <v>17.6</v>
      </c>
      <c r="W499" s="64">
        <f>DATEVALUE(tblWorkPackages[[#This Row],[Request date]])</f>
        <v>45351.0</v>
      </c>
      <c r="X499" s="64">
        <f>DATEVALUE(tblWorkPackages[[#This Row],[Due date]])</f>
        <v>45364.0</v>
      </c>
      <c r="Y499" s="64">
        <f>DATEVALUE(tblWorkPackages[[#This Row],[Completion date]])</f>
        <v>45368.0</v>
      </c>
      <c r="Z499" s="64">
        <f>_xlfn.MINIFS(tblLaborEntries[Work date serial],tblLaborEntries[Work package ID],tblWorkPackages[[#This Row],[Work package ID]])</f>
        <v>45366.0</v>
      </c>
      <c r="AA499" s="64">
        <f>_xlfn.MAXIFS(tblLaborEntries[Work date serial],tblLaborEntries[Work package ID],tblWorkPackages[[#This Row],[Work package ID]])</f>
        <v>45367.0</v>
      </c>
      <c r="AB499" s="65">
        <f>IF(tblWorkPackages[[#This Row],[Completion date serial]]&gt;tblWorkPackages[[#This Row],[Due date serial]],1,0)</f>
        <v>1</v>
      </c>
      <c r="AC499" s="65">
        <f>MAX(0,tblWorkPackages[[#This Row],[Completion date serial]]-tblWorkPackages[[#This Row],[Due date serial]])</f>
        <v>4</v>
      </c>
      <c r="AD499" s="65">
        <f>tblWorkPackages[[#This Row],[First labor date]]-tblWorkPackages[[#This Row],[Request date serial]]</f>
        <v>15</v>
      </c>
      <c r="AE499" s="65">
        <f>tblWorkPackages[[#This Row],[Last labor date]]-tblWorkPackages[[#This Row],[First labor date]]</f>
        <v>1</v>
      </c>
      <c r="AF499" s="65">
        <f>tblWorkPackages[[#This Row],[Completion date serial]]-tblWorkPackages[[#This Row],[Last labor date]]</f>
        <v>1</v>
      </c>
      <c r="AG499" s="65">
        <f>tblWorkPackages[[#This Row],[Completion date serial]]-tblWorkPackages[[#This Row],[Request date serial]]</f>
        <v>17</v>
      </c>
      <c r="AH499" s="65">
        <f>IFERROR(INDEX(tblParts[Delay days],MATCH(tblWorkPackages[[#This Row],[Work package ID]],tblParts[Work package ID],0)),0)</f>
        <v>0</v>
      </c>
      <c r="AI499" s="51" t="str">
        <f>IFERROR(INDEX(tblDisruptions[Event type],MATCH(tblWorkPackages[[#This Row],[Work package ID]],tblDisruptions[Work package ID],0)),"None")</f>
        <v>None</v>
      </c>
      <c r="AJ499" s="51" t="str">
        <f>TEXT(tblWorkPackages[[#This Row],[Due date serial]],"yyyy-mm")</f>
        <v>2024-03</v>
      </c>
    </row>
    <row r="500" spans="1:36" ht="15" x14ac:dyDescent="0.25">
      <c r="A500" s="53" t="s">
        <v>1310</v>
      </c>
      <c r="B500" s="53" t="s">
        <v>141</v>
      </c>
      <c r="C500" s="53" t="s">
        <v>633</v>
      </c>
      <c r="D500" s="53" t="s">
        <v>1108</v>
      </c>
      <c r="E500" s="53" t="s">
        <v>200</v>
      </c>
      <c r="F500" s="53" t="s">
        <v>128</v>
      </c>
      <c r="G500" s="53" t="s">
        <v>129</v>
      </c>
      <c r="H500" s="53">
        <v>1</v>
      </c>
      <c r="I500" s="53" t="s">
        <v>176</v>
      </c>
      <c r="J500" s="53">
        <v>0</v>
      </c>
      <c r="K500" s="53">
        <v>0</v>
      </c>
      <c r="L500" s="53">
        <v>2.2000000000000002</v>
      </c>
      <c r="M500" s="53" t="s">
        <v>1311</v>
      </c>
      <c r="N500" s="53">
        <v>2.1</v>
      </c>
      <c r="O500" s="51" t="str">
        <f>TEXT(tblWorkPackages[[#This Row],[Request date serial]]-WEEKDAY(tblWorkPackages[[#This Row],[Request date serial]],3),"yyyy-mm-dd")</f>
        <v>2024-05-13</v>
      </c>
      <c r="P500" s="51">
        <f>ABS(tblWorkPackages[[#This Row],[Actual labor hours]]-tblWorkPackages[[#This Row],[Estimated labor hours]])</f>
        <v>0.1</v>
      </c>
      <c r="Q500" s="51">
        <f>IF(tblWorkPackages[[#This Row],[Actual labor hours]]&gt;tblWorkPackages[[#This Row],[Estimated labor hours]],1,0)</f>
        <v>0</v>
      </c>
      <c r="R500" s="51">
        <f>tblWorkPackages[[#This Row],[Actual labor hours]]-tblWorkPackages[[#This Row],[Estimated labor hours]]</f>
        <v>-0.1</v>
      </c>
      <c r="S500" s="51" t="str">
        <f>IF(tblWorkPackages[[#This Row],[Request date serial]]&lt;ValidationStart,"Train 2024",IF(tblWorkPackages[[#This Row],[Request date serial]]&lt;HoldoutStart,"Validation H1","Holdout H2"))</f>
        <v>Train 2024</v>
      </c>
      <c r="T500" s="51" t="str">
        <f>IF(tblWorkPackages[[#This Row],[Time split]]="Train 2024","",tblWorkPackages[[#This Row],[Estimated labor hours]]+VLOOKUP(tblWorkPackages[[#This Row],[Task type]],'Forecast validation'!$A$14:$E$25,IF(tblWorkPackages[[#This Row],[Time split]]="Validation H1",4,5),FALSE()))</f>
        <v/>
      </c>
      <c r="U500" s="51" t="str">
        <f>IF(tblWorkPackages[[#This Row],[Calibrated forecast hours]]="","",ABS(tblWorkPackages[[#This Row],[Actual labor hours]]-tblWorkPackages[[#This Row],[Calibrated forecast hours]]))</f>
        <v/>
      </c>
      <c r="V500" s="51">
        <f>IF(tblWorkPackages[[#This Row],[Time split]]="Train 2024",tblWorkPackages[[#This Row],[Estimated labor hours]],tblWorkPackages[[#This Row],[Calibrated forecast hours]])</f>
        <v>2.2</v>
      </c>
      <c r="W500" s="64">
        <f>DATEVALUE(tblWorkPackages[[#This Row],[Request date]])</f>
        <v>45431.0</v>
      </c>
      <c r="X500" s="64">
        <f>DATEVALUE(tblWorkPackages[[#This Row],[Due date]])</f>
        <v>45437.0</v>
      </c>
      <c r="Y500" s="64">
        <f>DATEVALUE(tblWorkPackages[[#This Row],[Completion date]])</f>
        <v>45439.0</v>
      </c>
      <c r="Z500" s="64">
        <f>_xlfn.MINIFS(tblLaborEntries[Work date serial],tblLaborEntries[Work package ID],tblWorkPackages[[#This Row],[Work package ID]])</f>
        <v>45435.0</v>
      </c>
      <c r="AA500" s="64">
        <f>_xlfn.MAXIFS(tblLaborEntries[Work date serial],tblLaborEntries[Work package ID],tblWorkPackages[[#This Row],[Work package ID]])</f>
        <v>45437.0</v>
      </c>
      <c r="AB500" s="65">
        <f>IF(tblWorkPackages[[#This Row],[Completion date serial]]&gt;tblWorkPackages[[#This Row],[Due date serial]],1,0)</f>
        <v>1</v>
      </c>
      <c r="AC500" s="65">
        <f>MAX(0,tblWorkPackages[[#This Row],[Completion date serial]]-tblWorkPackages[[#This Row],[Due date serial]])</f>
        <v>2</v>
      </c>
      <c r="AD500" s="65">
        <f>tblWorkPackages[[#This Row],[First labor date]]-tblWorkPackages[[#This Row],[Request date serial]]</f>
        <v>4</v>
      </c>
      <c r="AE500" s="65">
        <f>tblWorkPackages[[#This Row],[Last labor date]]-tblWorkPackages[[#This Row],[First labor date]]</f>
        <v>2</v>
      </c>
      <c r="AF500" s="65">
        <f>tblWorkPackages[[#This Row],[Completion date serial]]-tblWorkPackages[[#This Row],[Last labor date]]</f>
        <v>2</v>
      </c>
      <c r="AG500" s="65">
        <f>tblWorkPackages[[#This Row],[Completion date serial]]-tblWorkPackages[[#This Row],[Request date serial]]</f>
        <v>8</v>
      </c>
      <c r="AH500" s="65">
        <f>IFERROR(INDEX(tblParts[Delay days],MATCH(tblWorkPackages[[#This Row],[Work package ID]],tblParts[Work package ID],0)),0)</f>
        <v>0</v>
      </c>
      <c r="AI500" s="51" t="str">
        <f>IFERROR(INDEX(tblDisruptions[Event type],MATCH(tblWorkPackages[[#This Row],[Work package ID]],tblDisruptions[Work package ID],0)),"None")</f>
        <v>None</v>
      </c>
      <c r="AJ500" s="51" t="str">
        <f>TEXT(tblWorkPackages[[#This Row],[Due date serial]],"yyyy-mm")</f>
        <v>2024-05</v>
      </c>
    </row>
    <row r="501" spans="1:36" ht="15" x14ac:dyDescent="0.25">
      <c r="A501" s="53" t="s">
        <v>1312</v>
      </c>
      <c r="B501" s="53" t="s">
        <v>157</v>
      </c>
      <c r="C501" s="53" t="s">
        <v>485</v>
      </c>
      <c r="D501" s="53" t="s">
        <v>681</v>
      </c>
      <c r="E501" s="53" t="s">
        <v>160</v>
      </c>
      <c r="F501" s="53" t="s">
        <v>128</v>
      </c>
      <c r="G501" s="53" t="s">
        <v>138</v>
      </c>
      <c r="H501" s="53">
        <v>4</v>
      </c>
      <c r="I501" s="53" t="s">
        <v>176</v>
      </c>
      <c r="J501" s="53">
        <v>0</v>
      </c>
      <c r="K501" s="53">
        <v>0</v>
      </c>
      <c r="L501" s="53">
        <v>7.8</v>
      </c>
      <c r="M501" s="53" t="s">
        <v>681</v>
      </c>
      <c r="N501" s="53">
        <v>6.2</v>
      </c>
      <c r="O501" s="51" t="str">
        <f>TEXT(tblWorkPackages[[#This Row],[Request date serial]]-WEEKDAY(tblWorkPackages[[#This Row],[Request date serial]],3),"yyyy-mm-dd")</f>
        <v>2025-01-13</v>
      </c>
      <c r="P501" s="51">
        <f>ABS(tblWorkPackages[[#This Row],[Actual labor hours]]-tblWorkPackages[[#This Row],[Estimated labor hours]])</f>
        <v>1.6</v>
      </c>
      <c r="Q501" s="51">
        <f>IF(tblWorkPackages[[#This Row],[Actual labor hours]]&gt;tblWorkPackages[[#This Row],[Estimated labor hours]],1,0)</f>
        <v>0</v>
      </c>
      <c r="R501" s="51">
        <f>tblWorkPackages[[#This Row],[Actual labor hours]]-tblWorkPackages[[#This Row],[Estimated labor hours]]</f>
        <v>-1.6</v>
      </c>
      <c r="S501" s="51" t="str">
        <f>IF(tblWorkPackages[[#This Row],[Request date serial]]&lt;ValidationStart,"Train 2024",IF(tblWorkPackages[[#This Row],[Request date serial]]&lt;HoldoutStart,"Validation H1","Holdout H2"))</f>
        <v>Validation H1</v>
      </c>
      <c r="T501" s="51">
        <f>IF(tblWorkPackages[[#This Row],[Time split]]="Train 2024","",tblWorkPackages[[#This Row],[Estimated labor hours]]+VLOOKUP(tblWorkPackages[[#This Row],[Task type]],'Forecast validation'!$A$14:$E$25,IF(tblWorkPackages[[#This Row],[Time split]]="Validation H1",4,5),FALSE()))</f>
        <v>8.24146341463415</v>
      </c>
      <c r="U501" s="51">
        <f>IF(tblWorkPackages[[#This Row],[Calibrated forecast hours]]="","",ABS(tblWorkPackages[[#This Row],[Actual labor hours]]-tblWorkPackages[[#This Row],[Calibrated forecast hours]]))</f>
        <v>2.04146341463415</v>
      </c>
      <c r="V501" s="51">
        <f>IF(tblWorkPackages[[#This Row],[Time split]]="Train 2024",tblWorkPackages[[#This Row],[Estimated labor hours]],tblWorkPackages[[#This Row],[Calibrated forecast hours]])</f>
        <v>8.24146341463415</v>
      </c>
      <c r="W501" s="64">
        <f>DATEVALUE(tblWorkPackages[[#This Row],[Request date]])</f>
        <v>45675.0</v>
      </c>
      <c r="X501" s="64">
        <f>DATEVALUE(tblWorkPackages[[#This Row],[Due date]])</f>
        <v>45681.0</v>
      </c>
      <c r="Y501" s="64">
        <f>DATEVALUE(tblWorkPackages[[#This Row],[Completion date]])</f>
        <v>45681.0</v>
      </c>
      <c r="Z501" s="64">
        <f>_xlfn.MINIFS(tblLaborEntries[Work date serial],tblLaborEntries[Work package ID],tblWorkPackages[[#This Row],[Work package ID]])</f>
        <v>45676.0</v>
      </c>
      <c r="AA501" s="64">
        <f>_xlfn.MAXIFS(tblLaborEntries[Work date serial],tblLaborEntries[Work package ID],tblWorkPackages[[#This Row],[Work package ID]])</f>
        <v>45678.0</v>
      </c>
      <c r="AB501" s="65">
        <f>IF(tblWorkPackages[[#This Row],[Completion date serial]]&gt;tblWorkPackages[[#This Row],[Due date serial]],1,0)</f>
        <v>0</v>
      </c>
      <c r="AC501" s="65">
        <f>MAX(0,tblWorkPackages[[#This Row],[Completion date serial]]-tblWorkPackages[[#This Row],[Due date serial]])</f>
        <v>0</v>
      </c>
      <c r="AD501" s="65">
        <f>tblWorkPackages[[#This Row],[First labor date]]-tblWorkPackages[[#This Row],[Request date serial]]</f>
        <v>1</v>
      </c>
      <c r="AE501" s="65">
        <f>tblWorkPackages[[#This Row],[Last labor date]]-tblWorkPackages[[#This Row],[First labor date]]</f>
        <v>2</v>
      </c>
      <c r="AF501" s="65">
        <f>tblWorkPackages[[#This Row],[Completion date serial]]-tblWorkPackages[[#This Row],[Last labor date]]</f>
        <v>3</v>
      </c>
      <c r="AG501" s="65">
        <f>tblWorkPackages[[#This Row],[Completion date serial]]-tblWorkPackages[[#This Row],[Request date serial]]</f>
        <v>6</v>
      </c>
      <c r="AH501" s="65">
        <f>IFERROR(INDEX(tblParts[Delay days],MATCH(tblWorkPackages[[#This Row],[Work package ID]],tblParts[Work package ID],0)),0)</f>
        <v>0</v>
      </c>
      <c r="AI501" s="51" t="str">
        <f>IFERROR(INDEX(tblDisruptions[Event type],MATCH(tblWorkPackages[[#This Row],[Work package ID]],tblDisruptions[Work package ID],0)),"None")</f>
        <v>None</v>
      </c>
      <c r="AJ501" s="51" t="str">
        <f>TEXT(tblWorkPackages[[#This Row],[Due date serial]],"yyyy-mm")</f>
        <v>2025-01</v>
      </c>
    </row>
    <row r="502" spans="1:36" ht="15" x14ac:dyDescent="0.25">
      <c r="A502" s="53" t="s">
        <v>1313</v>
      </c>
      <c r="B502" s="53" t="s">
        <v>203</v>
      </c>
      <c r="C502" s="53" t="s">
        <v>1314</v>
      </c>
      <c r="D502" s="53" t="s">
        <v>142</v>
      </c>
      <c r="E502" s="53" t="s">
        <v>127</v>
      </c>
      <c r="F502" s="53" t="s">
        <v>128</v>
      </c>
      <c r="G502" s="53" t="s">
        <v>129</v>
      </c>
      <c r="H502" s="53">
        <v>2</v>
      </c>
      <c r="I502" s="53" t="s">
        <v>130</v>
      </c>
      <c r="J502" s="53">
        <v>0</v>
      </c>
      <c r="K502" s="53">
        <v>1</v>
      </c>
      <c r="L502" s="53">
        <v>6.6</v>
      </c>
      <c r="M502" s="53" t="s">
        <v>1315</v>
      </c>
      <c r="N502" s="53">
        <v>8.1</v>
      </c>
      <c r="O502" s="51" t="str">
        <f>TEXT(tblWorkPackages[[#This Row],[Request date serial]]-WEEKDAY(tblWorkPackages[[#This Row],[Request date serial]],3),"yyyy-mm-dd")</f>
        <v>2024-01-15</v>
      </c>
      <c r="P502" s="51">
        <f>ABS(tblWorkPackages[[#This Row],[Actual labor hours]]-tblWorkPackages[[#This Row],[Estimated labor hours]])</f>
        <v>1.5</v>
      </c>
      <c r="Q502" s="51">
        <f>IF(tblWorkPackages[[#This Row],[Actual labor hours]]&gt;tblWorkPackages[[#This Row],[Estimated labor hours]],1,0)</f>
        <v>1</v>
      </c>
      <c r="R502" s="51">
        <f>tblWorkPackages[[#This Row],[Actual labor hours]]-tblWorkPackages[[#This Row],[Estimated labor hours]]</f>
        <v>1.5</v>
      </c>
      <c r="S502" s="51" t="str">
        <f>IF(tblWorkPackages[[#This Row],[Request date serial]]&lt;ValidationStart,"Train 2024",IF(tblWorkPackages[[#This Row],[Request date serial]]&lt;HoldoutStart,"Validation H1","Holdout H2"))</f>
        <v>Train 2024</v>
      </c>
      <c r="T502" s="51" t="str">
        <f>IF(tblWorkPackages[[#This Row],[Time split]]="Train 2024","",tblWorkPackages[[#This Row],[Estimated labor hours]]+VLOOKUP(tblWorkPackages[[#This Row],[Task type]],'Forecast validation'!$A$14:$E$25,IF(tblWorkPackages[[#This Row],[Time split]]="Validation H1",4,5),FALSE()))</f>
        <v/>
      </c>
      <c r="U502" s="51" t="str">
        <f>IF(tblWorkPackages[[#This Row],[Calibrated forecast hours]]="","",ABS(tblWorkPackages[[#This Row],[Actual labor hours]]-tblWorkPackages[[#This Row],[Calibrated forecast hours]]))</f>
        <v/>
      </c>
      <c r="V502" s="51">
        <f>IF(tblWorkPackages[[#This Row],[Time split]]="Train 2024",tblWorkPackages[[#This Row],[Estimated labor hours]],tblWorkPackages[[#This Row],[Calibrated forecast hours]])</f>
        <v>6.6</v>
      </c>
      <c r="W502" s="64">
        <f>DATEVALUE(tblWorkPackages[[#This Row],[Request date]])</f>
        <v>45309.0</v>
      </c>
      <c r="X502" s="64">
        <f>DATEVALUE(tblWorkPackages[[#This Row],[Due date]])</f>
        <v>45322.0</v>
      </c>
      <c r="Y502" s="64">
        <f>DATEVALUE(tblWorkPackages[[#This Row],[Completion date]])</f>
        <v>45320.0</v>
      </c>
      <c r="Z502" s="64">
        <f>_xlfn.MINIFS(tblLaborEntries[Work date serial],tblLaborEntries[Work package ID],tblWorkPackages[[#This Row],[Work package ID]])</f>
        <v>45318.0</v>
      </c>
      <c r="AA502" s="64">
        <f>_xlfn.MAXIFS(tblLaborEntries[Work date serial],tblLaborEntries[Work package ID],tblWorkPackages[[#This Row],[Work package ID]])</f>
        <v>45320.0</v>
      </c>
      <c r="AB502" s="65">
        <f>IF(tblWorkPackages[[#This Row],[Completion date serial]]&gt;tblWorkPackages[[#This Row],[Due date serial]],1,0)</f>
        <v>0</v>
      </c>
      <c r="AC502" s="65">
        <f>MAX(0,tblWorkPackages[[#This Row],[Completion date serial]]-tblWorkPackages[[#This Row],[Due date serial]])</f>
        <v>0</v>
      </c>
      <c r="AD502" s="65">
        <f>tblWorkPackages[[#This Row],[First labor date]]-tblWorkPackages[[#This Row],[Request date serial]]</f>
        <v>9</v>
      </c>
      <c r="AE502" s="65">
        <f>tblWorkPackages[[#This Row],[Last labor date]]-tblWorkPackages[[#This Row],[First labor date]]</f>
        <v>2</v>
      </c>
      <c r="AF502" s="65">
        <f>tblWorkPackages[[#This Row],[Completion date serial]]-tblWorkPackages[[#This Row],[Last labor date]]</f>
        <v>0</v>
      </c>
      <c r="AG502" s="65">
        <f>tblWorkPackages[[#This Row],[Completion date serial]]-tblWorkPackages[[#This Row],[Request date serial]]</f>
        <v>11</v>
      </c>
      <c r="AH502" s="65">
        <f>IFERROR(INDEX(tblParts[Delay days],MATCH(tblWorkPackages[[#This Row],[Work package ID]],tblParts[Work package ID],0)),0)</f>
        <v>0</v>
      </c>
      <c r="AI502" s="51" t="str">
        <f>IFERROR(INDEX(tblDisruptions[Event type],MATCH(tblWorkPackages[[#This Row],[Work package ID]],tblDisruptions[Work package ID],0)),"None")</f>
        <v>None</v>
      </c>
      <c r="AJ502" s="51" t="str">
        <f>TEXT(tblWorkPackages[[#This Row],[Due date serial]],"yyyy-mm")</f>
        <v>2024-01</v>
      </c>
    </row>
    <row r="503" spans="1:36" ht="15" x14ac:dyDescent="0.25">
      <c r="A503" s="53" t="s">
        <v>1316</v>
      </c>
      <c r="B503" s="53" t="s">
        <v>168</v>
      </c>
      <c r="C503" s="53" t="s">
        <v>174</v>
      </c>
      <c r="D503" s="53" t="s">
        <v>628</v>
      </c>
      <c r="E503" s="53" t="s">
        <v>127</v>
      </c>
      <c r="F503" s="53" t="s">
        <v>128</v>
      </c>
      <c r="G503" s="53" t="s">
        <v>129</v>
      </c>
      <c r="H503" s="53">
        <v>1</v>
      </c>
      <c r="I503" s="53" t="s">
        <v>130</v>
      </c>
      <c r="J503" s="53">
        <v>0</v>
      </c>
      <c r="K503" s="53">
        <v>1</v>
      </c>
      <c r="L503" s="53">
        <v>5.0999999999999996</v>
      </c>
      <c r="M503" s="53" t="s">
        <v>502</v>
      </c>
      <c r="N503" s="53">
        <v>4.8</v>
      </c>
      <c r="O503" s="51" t="str">
        <f>TEXT(tblWorkPackages[[#This Row],[Request date serial]]-WEEKDAY(tblWorkPackages[[#This Row],[Request date serial]],3),"yyyy-mm-dd")</f>
        <v>2025-06-23</v>
      </c>
      <c r="P503" s="51">
        <f>ABS(tblWorkPackages[[#This Row],[Actual labor hours]]-tblWorkPackages[[#This Row],[Estimated labor hours]])</f>
        <v>0.3</v>
      </c>
      <c r="Q503" s="51">
        <f>IF(tblWorkPackages[[#This Row],[Actual labor hours]]&gt;tblWorkPackages[[#This Row],[Estimated labor hours]],1,0)</f>
        <v>0</v>
      </c>
      <c r="R503" s="51">
        <f>tblWorkPackages[[#This Row],[Actual labor hours]]-tblWorkPackages[[#This Row],[Estimated labor hours]]</f>
        <v>-0.3</v>
      </c>
      <c r="S503" s="51" t="str">
        <f>IF(tblWorkPackages[[#This Row],[Request date serial]]&lt;ValidationStart,"Train 2024",IF(tblWorkPackages[[#This Row],[Request date serial]]&lt;HoldoutStart,"Validation H1","Holdout H2"))</f>
        <v>Validation H1</v>
      </c>
      <c r="T503" s="51">
        <f>IF(tblWorkPackages[[#This Row],[Time split]]="Train 2024","",tblWorkPackages[[#This Row],[Estimated labor hours]]+VLOOKUP(tblWorkPackages[[#This Row],[Task type]],'Forecast validation'!$A$14:$E$25,IF(tblWorkPackages[[#This Row],[Time split]]="Validation H1",4,5),FALSE()))</f>
        <v>5.57564102564103</v>
      </c>
      <c r="U503" s="51">
        <f>IF(tblWorkPackages[[#This Row],[Calibrated forecast hours]]="","",ABS(tblWorkPackages[[#This Row],[Actual labor hours]]-tblWorkPackages[[#This Row],[Calibrated forecast hours]]))</f>
        <v>0.775641025641026</v>
      </c>
      <c r="V503" s="51">
        <f>IF(tblWorkPackages[[#This Row],[Time split]]="Train 2024",tblWorkPackages[[#This Row],[Estimated labor hours]],tblWorkPackages[[#This Row],[Calibrated forecast hours]])</f>
        <v>5.57564102564103</v>
      </c>
      <c r="W503" s="64">
        <f>DATEVALUE(tblWorkPackages[[#This Row],[Request date]])</f>
        <v>45836.0</v>
      </c>
      <c r="X503" s="64">
        <f>DATEVALUE(tblWorkPackages[[#This Row],[Due date]])</f>
        <v>45849.0</v>
      </c>
      <c r="Y503" s="64">
        <f>DATEVALUE(tblWorkPackages[[#This Row],[Completion date]])</f>
        <v>45840.0</v>
      </c>
      <c r="Z503" s="64">
        <f>_xlfn.MINIFS(tblLaborEntries[Work date serial],tblLaborEntries[Work package ID],tblWorkPackages[[#This Row],[Work package ID]])</f>
        <v>45839.0</v>
      </c>
      <c r="AA503" s="64">
        <f>_xlfn.MAXIFS(tblLaborEntries[Work date serial],tblLaborEntries[Work package ID],tblWorkPackages[[#This Row],[Work package ID]])</f>
        <v>45839.0</v>
      </c>
      <c r="AB503" s="65">
        <f>IF(tblWorkPackages[[#This Row],[Completion date serial]]&gt;tblWorkPackages[[#This Row],[Due date serial]],1,0)</f>
        <v>0</v>
      </c>
      <c r="AC503" s="65">
        <f>MAX(0,tblWorkPackages[[#This Row],[Completion date serial]]-tblWorkPackages[[#This Row],[Due date serial]])</f>
        <v>0</v>
      </c>
      <c r="AD503" s="65">
        <f>tblWorkPackages[[#This Row],[First labor date]]-tblWorkPackages[[#This Row],[Request date serial]]</f>
        <v>3</v>
      </c>
      <c r="AE503" s="65">
        <f>tblWorkPackages[[#This Row],[Last labor date]]-tblWorkPackages[[#This Row],[First labor date]]</f>
        <v>0</v>
      </c>
      <c r="AF503" s="65">
        <f>tblWorkPackages[[#This Row],[Completion date serial]]-tblWorkPackages[[#This Row],[Last labor date]]</f>
        <v>1</v>
      </c>
      <c r="AG503" s="65">
        <f>tblWorkPackages[[#This Row],[Completion date serial]]-tblWorkPackages[[#This Row],[Request date serial]]</f>
        <v>4</v>
      </c>
      <c r="AH503" s="65">
        <f>IFERROR(INDEX(tblParts[Delay days],MATCH(tblWorkPackages[[#This Row],[Work package ID]],tblParts[Work package ID],0)),0)</f>
        <v>0</v>
      </c>
      <c r="AI503" s="51" t="str">
        <f>IFERROR(INDEX(tblDisruptions[Event type],MATCH(tblWorkPackages[[#This Row],[Work package ID]],tblDisruptions[Work package ID],0)),"None")</f>
        <v>None</v>
      </c>
      <c r="AJ503" s="51" t="str">
        <f>TEXT(tblWorkPackages[[#This Row],[Due date serial]],"yyyy-mm")</f>
        <v>2025-07</v>
      </c>
    </row>
    <row r="504" spans="1:36" ht="15" x14ac:dyDescent="0.25">
      <c r="A504" s="53" t="s">
        <v>1317</v>
      </c>
      <c r="B504" s="53" t="s">
        <v>133</v>
      </c>
      <c r="C504" s="53" t="s">
        <v>1318</v>
      </c>
      <c r="D504" s="53" t="s">
        <v>589</v>
      </c>
      <c r="E504" s="53" t="s">
        <v>209</v>
      </c>
      <c r="F504" s="53" t="s">
        <v>145</v>
      </c>
      <c r="G504" s="53" t="s">
        <v>210</v>
      </c>
      <c r="H504" s="53">
        <v>1</v>
      </c>
      <c r="I504" s="53" t="s">
        <v>130</v>
      </c>
      <c r="J504" s="53">
        <v>0</v>
      </c>
      <c r="K504" s="53">
        <v>0</v>
      </c>
      <c r="L504" s="53">
        <v>14.6</v>
      </c>
      <c r="M504" s="53" t="s">
        <v>687</v>
      </c>
      <c r="N504" s="53">
        <v>13.1</v>
      </c>
      <c r="O504" s="51" t="str">
        <f>TEXT(tblWorkPackages[[#This Row],[Request date serial]]-WEEKDAY(tblWorkPackages[[#This Row],[Request date serial]],3),"yyyy-mm-dd")</f>
        <v>2025-03-10</v>
      </c>
      <c r="P504" s="51">
        <f>ABS(tblWorkPackages[[#This Row],[Actual labor hours]]-tblWorkPackages[[#This Row],[Estimated labor hours]])</f>
        <v>1.5</v>
      </c>
      <c r="Q504" s="51">
        <f>IF(tblWorkPackages[[#This Row],[Actual labor hours]]&gt;tblWorkPackages[[#This Row],[Estimated labor hours]],1,0)</f>
        <v>0</v>
      </c>
      <c r="R504" s="51">
        <f>tblWorkPackages[[#This Row],[Actual labor hours]]-tblWorkPackages[[#This Row],[Estimated labor hours]]</f>
        <v>-1.5</v>
      </c>
      <c r="S504" s="51" t="str">
        <f>IF(tblWorkPackages[[#This Row],[Request date serial]]&lt;ValidationStart,"Train 2024",IF(tblWorkPackages[[#This Row],[Request date serial]]&lt;HoldoutStart,"Validation H1","Holdout H2"))</f>
        <v>Validation H1</v>
      </c>
      <c r="T504" s="51">
        <f>IF(tblWorkPackages[[#This Row],[Time split]]="Train 2024","",tblWorkPackages[[#This Row],[Estimated labor hours]]+VLOOKUP(tblWorkPackages[[#This Row],[Task type]],'Forecast validation'!$A$14:$E$25,IF(tblWorkPackages[[#This Row],[Time split]]="Validation H1",4,5),FALSE()))</f>
        <v>15.7029850746269</v>
      </c>
      <c r="U504" s="51">
        <f>IF(tblWorkPackages[[#This Row],[Calibrated forecast hours]]="","",ABS(tblWorkPackages[[#This Row],[Actual labor hours]]-tblWorkPackages[[#This Row],[Calibrated forecast hours]]))</f>
        <v>2.60298507462687</v>
      </c>
      <c r="V504" s="51">
        <f>IF(tblWorkPackages[[#This Row],[Time split]]="Train 2024",tblWorkPackages[[#This Row],[Estimated labor hours]],tblWorkPackages[[#This Row],[Calibrated forecast hours]])</f>
        <v>15.7029850746269</v>
      </c>
      <c r="W504" s="64">
        <f>DATEVALUE(tblWorkPackages[[#This Row],[Request date]])</f>
        <v>45726.0</v>
      </c>
      <c r="X504" s="64">
        <f>DATEVALUE(tblWorkPackages[[#This Row],[Due date]])</f>
        <v>45739.0</v>
      </c>
      <c r="Y504" s="64">
        <f>DATEVALUE(tblWorkPackages[[#This Row],[Completion date]])</f>
        <v>45753.0</v>
      </c>
      <c r="Z504" s="64">
        <f>_xlfn.MINIFS(tblLaborEntries[Work date serial],tblLaborEntries[Work package ID],tblWorkPackages[[#This Row],[Work package ID]])</f>
        <v>45751.0</v>
      </c>
      <c r="AA504" s="64">
        <f>_xlfn.MAXIFS(tblLaborEntries[Work date serial],tblLaborEntries[Work package ID],tblWorkPackages[[#This Row],[Work package ID]])</f>
        <v>45751.0</v>
      </c>
      <c r="AB504" s="65">
        <f>IF(tblWorkPackages[[#This Row],[Completion date serial]]&gt;tblWorkPackages[[#This Row],[Due date serial]],1,0)</f>
        <v>1</v>
      </c>
      <c r="AC504" s="65">
        <f>MAX(0,tblWorkPackages[[#This Row],[Completion date serial]]-tblWorkPackages[[#This Row],[Due date serial]])</f>
        <v>14</v>
      </c>
      <c r="AD504" s="65">
        <f>tblWorkPackages[[#This Row],[First labor date]]-tblWorkPackages[[#This Row],[Request date serial]]</f>
        <v>25</v>
      </c>
      <c r="AE504" s="65">
        <f>tblWorkPackages[[#This Row],[Last labor date]]-tblWorkPackages[[#This Row],[First labor date]]</f>
        <v>0</v>
      </c>
      <c r="AF504" s="65">
        <f>tblWorkPackages[[#This Row],[Completion date serial]]-tblWorkPackages[[#This Row],[Last labor date]]</f>
        <v>2</v>
      </c>
      <c r="AG504" s="65">
        <f>tblWorkPackages[[#This Row],[Completion date serial]]-tblWorkPackages[[#This Row],[Request date serial]]</f>
        <v>27</v>
      </c>
      <c r="AH504" s="65">
        <f>IFERROR(INDEX(tblParts[Delay days],MATCH(tblWorkPackages[[#This Row],[Work package ID]],tblParts[Work package ID],0)),0)</f>
        <v>0</v>
      </c>
      <c r="AI504" s="51" t="str">
        <f>IFERROR(INDEX(tblDisruptions[Event type],MATCH(tblWorkPackages[[#This Row],[Work package ID]],tblDisruptions[Work package ID],0)),"None")</f>
        <v>None</v>
      </c>
      <c r="AJ504" s="51" t="str">
        <f>TEXT(tblWorkPackages[[#This Row],[Due date serial]],"yyyy-mm")</f>
        <v>2025-03</v>
      </c>
    </row>
    <row r="505" spans="1:36" ht="15" x14ac:dyDescent="0.25">
      <c r="A505" s="53" t="s">
        <v>1319</v>
      </c>
      <c r="B505" s="53" t="s">
        <v>185</v>
      </c>
      <c r="C505" s="53" t="s">
        <v>1320</v>
      </c>
      <c r="D505" s="53" t="s">
        <v>1089</v>
      </c>
      <c r="E505" s="53" t="s">
        <v>144</v>
      </c>
      <c r="F505" s="53" t="s">
        <v>145</v>
      </c>
      <c r="G505" s="53" t="s">
        <v>146</v>
      </c>
      <c r="H505" s="53">
        <v>1</v>
      </c>
      <c r="I505" s="53" t="s">
        <v>176</v>
      </c>
      <c r="J505" s="53">
        <v>0</v>
      </c>
      <c r="K505" s="53">
        <v>1</v>
      </c>
      <c r="L505" s="53">
        <v>7.3</v>
      </c>
      <c r="M505" s="53" t="s">
        <v>1321</v>
      </c>
      <c r="N505" s="53">
        <v>10.7</v>
      </c>
      <c r="O505" s="51" t="str">
        <f>TEXT(tblWorkPackages[[#This Row],[Request date serial]]-WEEKDAY(tblWorkPackages[[#This Row],[Request date serial]],3),"yyyy-mm-dd")</f>
        <v>2024-07-22</v>
      </c>
      <c r="P505" s="51">
        <f>ABS(tblWorkPackages[[#This Row],[Actual labor hours]]-tblWorkPackages[[#This Row],[Estimated labor hours]])</f>
        <v>3.4</v>
      </c>
      <c r="Q505" s="51">
        <f>IF(tblWorkPackages[[#This Row],[Actual labor hours]]&gt;tblWorkPackages[[#This Row],[Estimated labor hours]],1,0)</f>
        <v>1</v>
      </c>
      <c r="R505" s="51">
        <f>tblWorkPackages[[#This Row],[Actual labor hours]]-tblWorkPackages[[#This Row],[Estimated labor hours]]</f>
        <v>3.4</v>
      </c>
      <c r="S505" s="51" t="str">
        <f>IF(tblWorkPackages[[#This Row],[Request date serial]]&lt;ValidationStart,"Train 2024",IF(tblWorkPackages[[#This Row],[Request date serial]]&lt;HoldoutStart,"Validation H1","Holdout H2"))</f>
        <v>Train 2024</v>
      </c>
      <c r="T505" s="51" t="str">
        <f>IF(tblWorkPackages[[#This Row],[Time split]]="Train 2024","",tblWorkPackages[[#This Row],[Estimated labor hours]]+VLOOKUP(tblWorkPackages[[#This Row],[Task type]],'Forecast validation'!$A$14:$E$25,IF(tblWorkPackages[[#This Row],[Time split]]="Validation H1",4,5),FALSE()))</f>
        <v/>
      </c>
      <c r="U505" s="51" t="str">
        <f>IF(tblWorkPackages[[#This Row],[Calibrated forecast hours]]="","",ABS(tblWorkPackages[[#This Row],[Actual labor hours]]-tblWorkPackages[[#This Row],[Calibrated forecast hours]]))</f>
        <v/>
      </c>
      <c r="V505" s="51">
        <f>IF(tblWorkPackages[[#This Row],[Time split]]="Train 2024",tblWorkPackages[[#This Row],[Estimated labor hours]],tblWorkPackages[[#This Row],[Calibrated forecast hours]])</f>
        <v>7.3</v>
      </c>
      <c r="W505" s="64">
        <f>DATEVALUE(tblWorkPackages[[#This Row],[Request date]])</f>
        <v>45499.0</v>
      </c>
      <c r="X505" s="64">
        <f>DATEVALUE(tblWorkPackages[[#This Row],[Due date]])</f>
        <v>45505.0</v>
      </c>
      <c r="Y505" s="64">
        <f>DATEVALUE(tblWorkPackages[[#This Row],[Completion date]])</f>
        <v>45516.0</v>
      </c>
      <c r="Z505" s="64">
        <f>_xlfn.MINIFS(tblLaborEntries[Work date serial],tblLaborEntries[Work package ID],tblWorkPackages[[#This Row],[Work package ID]])</f>
        <v>45511.0</v>
      </c>
      <c r="AA505" s="64">
        <f>_xlfn.MAXIFS(tblLaborEntries[Work date serial],tblLaborEntries[Work package ID],tblWorkPackages[[#This Row],[Work package ID]])</f>
        <v>45513.0</v>
      </c>
      <c r="AB505" s="65">
        <f>IF(tblWorkPackages[[#This Row],[Completion date serial]]&gt;tblWorkPackages[[#This Row],[Due date serial]],1,0)</f>
        <v>1</v>
      </c>
      <c r="AC505" s="65">
        <f>MAX(0,tblWorkPackages[[#This Row],[Completion date serial]]-tblWorkPackages[[#This Row],[Due date serial]])</f>
        <v>11</v>
      </c>
      <c r="AD505" s="65">
        <f>tblWorkPackages[[#This Row],[First labor date]]-tblWorkPackages[[#This Row],[Request date serial]]</f>
        <v>12</v>
      </c>
      <c r="AE505" s="65">
        <f>tblWorkPackages[[#This Row],[Last labor date]]-tblWorkPackages[[#This Row],[First labor date]]</f>
        <v>2</v>
      </c>
      <c r="AF505" s="65">
        <f>tblWorkPackages[[#This Row],[Completion date serial]]-tblWorkPackages[[#This Row],[Last labor date]]</f>
        <v>3</v>
      </c>
      <c r="AG505" s="65">
        <f>tblWorkPackages[[#This Row],[Completion date serial]]-tblWorkPackages[[#This Row],[Request date serial]]</f>
        <v>17</v>
      </c>
      <c r="AH505" s="65">
        <f>IFERROR(INDEX(tblParts[Delay days],MATCH(tblWorkPackages[[#This Row],[Work package ID]],tblParts[Work package ID],0)),0)</f>
        <v>8</v>
      </c>
      <c r="AI505" s="51" t="str">
        <f>IFERROR(INDEX(tblDisruptions[Event type],MATCH(tblWorkPackages[[#This Row],[Work package ID]],tblDisruptions[Work package ID],0)),"None")</f>
        <v>Part delay</v>
      </c>
      <c r="AJ505" s="51" t="str">
        <f>TEXT(tblWorkPackages[[#This Row],[Due date serial]],"yyyy-mm")</f>
        <v>2024-08</v>
      </c>
    </row>
    <row r="506" spans="1:36" ht="15" x14ac:dyDescent="0.25">
      <c r="A506" s="53" t="s">
        <v>1322</v>
      </c>
      <c r="B506" s="53" t="s">
        <v>203</v>
      </c>
      <c r="C506" s="53" t="s">
        <v>916</v>
      </c>
      <c r="D506" s="53" t="s">
        <v>364</v>
      </c>
      <c r="E506" s="53" t="s">
        <v>209</v>
      </c>
      <c r="F506" s="53" t="s">
        <v>145</v>
      </c>
      <c r="G506" s="53" t="s">
        <v>210</v>
      </c>
      <c r="H506" s="53">
        <v>2</v>
      </c>
      <c r="I506" s="53" t="s">
        <v>130</v>
      </c>
      <c r="J506" s="53">
        <v>0</v>
      </c>
      <c r="K506" s="53">
        <v>0</v>
      </c>
      <c r="L506" s="53">
        <v>21.7</v>
      </c>
      <c r="M506" s="53" t="s">
        <v>808</v>
      </c>
      <c r="N506" s="53">
        <v>20.8</v>
      </c>
      <c r="O506" s="51" t="str">
        <f>TEXT(tblWorkPackages[[#This Row],[Request date serial]]-WEEKDAY(tblWorkPackages[[#This Row],[Request date serial]],3),"yyyy-mm-dd")</f>
        <v>2025-04-28</v>
      </c>
      <c r="P506" s="51">
        <f>ABS(tblWorkPackages[[#This Row],[Actual labor hours]]-tblWorkPackages[[#This Row],[Estimated labor hours]])</f>
        <v>0.899999999999999</v>
      </c>
      <c r="Q506" s="51">
        <f>IF(tblWorkPackages[[#This Row],[Actual labor hours]]&gt;tblWorkPackages[[#This Row],[Estimated labor hours]],1,0)</f>
        <v>0</v>
      </c>
      <c r="R506" s="51">
        <f>tblWorkPackages[[#This Row],[Actual labor hours]]-tblWorkPackages[[#This Row],[Estimated labor hours]]</f>
        <v>-0.899999999999999</v>
      </c>
      <c r="S506" s="51" t="str">
        <f>IF(tblWorkPackages[[#This Row],[Request date serial]]&lt;ValidationStart,"Train 2024",IF(tblWorkPackages[[#This Row],[Request date serial]]&lt;HoldoutStart,"Validation H1","Holdout H2"))</f>
        <v>Validation H1</v>
      </c>
      <c r="T506" s="51">
        <f>IF(tblWorkPackages[[#This Row],[Time split]]="Train 2024","",tblWorkPackages[[#This Row],[Estimated labor hours]]+VLOOKUP(tblWorkPackages[[#This Row],[Task type]],'Forecast validation'!$A$14:$E$25,IF(tblWorkPackages[[#This Row],[Time split]]="Validation H1",4,5),FALSE()))</f>
        <v>22.8029850746269</v>
      </c>
      <c r="U506" s="51">
        <f>IF(tblWorkPackages[[#This Row],[Calibrated forecast hours]]="","",ABS(tblWorkPackages[[#This Row],[Actual labor hours]]-tblWorkPackages[[#This Row],[Calibrated forecast hours]]))</f>
        <v>2.00298507462686</v>
      </c>
      <c r="V506" s="51">
        <f>IF(tblWorkPackages[[#This Row],[Time split]]="Train 2024",tblWorkPackages[[#This Row],[Estimated labor hours]],tblWorkPackages[[#This Row],[Calibrated forecast hours]])</f>
        <v>22.8029850746269</v>
      </c>
      <c r="W506" s="64">
        <f>DATEVALUE(tblWorkPackages[[#This Row],[Request date]])</f>
        <v>45777.0</v>
      </c>
      <c r="X506" s="64">
        <f>DATEVALUE(tblWorkPackages[[#This Row],[Due date]])</f>
        <v>45790.0</v>
      </c>
      <c r="Y506" s="64">
        <f>DATEVALUE(tblWorkPackages[[#This Row],[Completion date]])</f>
        <v>45779.0</v>
      </c>
      <c r="Z506" s="64">
        <f>_xlfn.MINIFS(tblLaborEntries[Work date serial],tblLaborEntries[Work package ID],tblWorkPackages[[#This Row],[Work package ID]])</f>
        <v>45778.0</v>
      </c>
      <c r="AA506" s="64">
        <f>_xlfn.MAXIFS(tblLaborEntries[Work date serial],tblLaborEntries[Work package ID],tblWorkPackages[[#This Row],[Work package ID]])</f>
        <v>45779.0</v>
      </c>
      <c r="AB506" s="65">
        <f>IF(tblWorkPackages[[#This Row],[Completion date serial]]&gt;tblWorkPackages[[#This Row],[Due date serial]],1,0)</f>
        <v>0</v>
      </c>
      <c r="AC506" s="65">
        <f>MAX(0,tblWorkPackages[[#This Row],[Completion date serial]]-tblWorkPackages[[#This Row],[Due date serial]])</f>
        <v>0</v>
      </c>
      <c r="AD506" s="65">
        <f>tblWorkPackages[[#This Row],[First labor date]]-tblWorkPackages[[#This Row],[Request date serial]]</f>
        <v>1</v>
      </c>
      <c r="AE506" s="65">
        <f>tblWorkPackages[[#This Row],[Last labor date]]-tblWorkPackages[[#This Row],[First labor date]]</f>
        <v>1</v>
      </c>
      <c r="AF506" s="65">
        <f>tblWorkPackages[[#This Row],[Completion date serial]]-tblWorkPackages[[#This Row],[Last labor date]]</f>
        <v>0</v>
      </c>
      <c r="AG506" s="65">
        <f>tblWorkPackages[[#This Row],[Completion date serial]]-tblWorkPackages[[#This Row],[Request date serial]]</f>
        <v>2</v>
      </c>
      <c r="AH506" s="65">
        <f>IFERROR(INDEX(tblParts[Delay days],MATCH(tblWorkPackages[[#This Row],[Work package ID]],tblParts[Work package ID],0)),0)</f>
        <v>0</v>
      </c>
      <c r="AI506" s="51" t="str">
        <f>IFERROR(INDEX(tblDisruptions[Event type],MATCH(tblWorkPackages[[#This Row],[Work package ID]],tblDisruptions[Work package ID],0)),"None")</f>
        <v>None</v>
      </c>
      <c r="AJ506" s="51" t="str">
        <f>TEXT(tblWorkPackages[[#This Row],[Due date serial]],"yyyy-mm")</f>
        <v>2025-05</v>
      </c>
    </row>
    <row r="507" spans="1:36" ht="15" x14ac:dyDescent="0.25">
      <c r="A507" s="53" t="s">
        <v>1323</v>
      </c>
      <c r="B507" s="53" t="s">
        <v>287</v>
      </c>
      <c r="C507" s="53" t="s">
        <v>705</v>
      </c>
      <c r="D507" s="53" t="s">
        <v>165</v>
      </c>
      <c r="E507" s="53" t="s">
        <v>237</v>
      </c>
      <c r="F507" s="53" t="s">
        <v>182</v>
      </c>
      <c r="G507" s="53" t="s">
        <v>138</v>
      </c>
      <c r="H507" s="53">
        <v>3</v>
      </c>
      <c r="I507" s="53" t="s">
        <v>130</v>
      </c>
      <c r="J507" s="53">
        <v>0</v>
      </c>
      <c r="K507" s="53">
        <v>0</v>
      </c>
      <c r="L507" s="53">
        <v>7.7</v>
      </c>
      <c r="M507" s="53" t="s">
        <v>1324</v>
      </c>
      <c r="N507" s="53">
        <v>7.9</v>
      </c>
      <c r="O507" s="51" t="str">
        <f>TEXT(tblWorkPackages[[#This Row],[Request date serial]]-WEEKDAY(tblWorkPackages[[#This Row],[Request date serial]],3),"yyyy-mm-dd")</f>
        <v>2024-06-17</v>
      </c>
      <c r="P507" s="51">
        <f>ABS(tblWorkPackages[[#This Row],[Actual labor hours]]-tblWorkPackages[[#This Row],[Estimated labor hours]])</f>
        <v>0.2</v>
      </c>
      <c r="Q507" s="51">
        <f>IF(tblWorkPackages[[#This Row],[Actual labor hours]]&gt;tblWorkPackages[[#This Row],[Estimated labor hours]],1,0)</f>
        <v>1</v>
      </c>
      <c r="R507" s="51">
        <f>tblWorkPackages[[#This Row],[Actual labor hours]]-tblWorkPackages[[#This Row],[Estimated labor hours]]</f>
        <v>0.2</v>
      </c>
      <c r="S507" s="51" t="str">
        <f>IF(tblWorkPackages[[#This Row],[Request date serial]]&lt;ValidationStart,"Train 2024",IF(tblWorkPackages[[#This Row],[Request date serial]]&lt;HoldoutStart,"Validation H1","Holdout H2"))</f>
        <v>Train 2024</v>
      </c>
      <c r="T507" s="51" t="str">
        <f>IF(tblWorkPackages[[#This Row],[Time split]]="Train 2024","",tblWorkPackages[[#This Row],[Estimated labor hours]]+VLOOKUP(tblWorkPackages[[#This Row],[Task type]],'Forecast validation'!$A$14:$E$25,IF(tblWorkPackages[[#This Row],[Time split]]="Validation H1",4,5),FALSE()))</f>
        <v/>
      </c>
      <c r="U507" s="51" t="str">
        <f>IF(tblWorkPackages[[#This Row],[Calibrated forecast hours]]="","",ABS(tblWorkPackages[[#This Row],[Actual labor hours]]-tblWorkPackages[[#This Row],[Calibrated forecast hours]]))</f>
        <v/>
      </c>
      <c r="V507" s="51">
        <f>IF(tblWorkPackages[[#This Row],[Time split]]="Train 2024",tblWorkPackages[[#This Row],[Estimated labor hours]],tblWorkPackages[[#This Row],[Calibrated forecast hours]])</f>
        <v>7.7</v>
      </c>
      <c r="W507" s="64">
        <f>DATEVALUE(tblWorkPackages[[#This Row],[Request date]])</f>
        <v>45461.0</v>
      </c>
      <c r="X507" s="64">
        <f>DATEVALUE(tblWorkPackages[[#This Row],[Due date]])</f>
        <v>45474.0</v>
      </c>
      <c r="Y507" s="64">
        <f>DATEVALUE(tblWorkPackages[[#This Row],[Completion date]])</f>
        <v>45476.0</v>
      </c>
      <c r="Z507" s="64">
        <f>_xlfn.MINIFS(tblLaborEntries[Work date serial],tblLaborEntries[Work package ID],tblWorkPackages[[#This Row],[Work package ID]])</f>
        <v>45474.0</v>
      </c>
      <c r="AA507" s="64">
        <f>_xlfn.MAXIFS(tblLaborEntries[Work date serial],tblLaborEntries[Work package ID],tblWorkPackages[[#This Row],[Work package ID]])</f>
        <v>45475.0</v>
      </c>
      <c r="AB507" s="65">
        <f>IF(tblWorkPackages[[#This Row],[Completion date serial]]&gt;tblWorkPackages[[#This Row],[Due date serial]],1,0)</f>
        <v>1</v>
      </c>
      <c r="AC507" s="65">
        <f>MAX(0,tblWorkPackages[[#This Row],[Completion date serial]]-tblWorkPackages[[#This Row],[Due date serial]])</f>
        <v>2</v>
      </c>
      <c r="AD507" s="65">
        <f>tblWorkPackages[[#This Row],[First labor date]]-tblWorkPackages[[#This Row],[Request date serial]]</f>
        <v>13</v>
      </c>
      <c r="AE507" s="65">
        <f>tblWorkPackages[[#This Row],[Last labor date]]-tblWorkPackages[[#This Row],[First labor date]]</f>
        <v>1</v>
      </c>
      <c r="AF507" s="65">
        <f>tblWorkPackages[[#This Row],[Completion date serial]]-tblWorkPackages[[#This Row],[Last labor date]]</f>
        <v>1</v>
      </c>
      <c r="AG507" s="65">
        <f>tblWorkPackages[[#This Row],[Completion date serial]]-tblWorkPackages[[#This Row],[Request date serial]]</f>
        <v>15</v>
      </c>
      <c r="AH507" s="65">
        <f>IFERROR(INDEX(tblParts[Delay days],MATCH(tblWorkPackages[[#This Row],[Work package ID]],tblParts[Work package ID],0)),0)</f>
        <v>0</v>
      </c>
      <c r="AI507" s="51" t="str">
        <f>IFERROR(INDEX(tblDisruptions[Event type],MATCH(tblWorkPackages[[#This Row],[Work package ID]],tblDisruptions[Work package ID],0)),"None")</f>
        <v>None</v>
      </c>
      <c r="AJ507" s="51" t="str">
        <f>TEXT(tblWorkPackages[[#This Row],[Due date serial]],"yyyy-mm")</f>
        <v>2024-07</v>
      </c>
    </row>
    <row r="508" spans="1:36" ht="15" x14ac:dyDescent="0.25">
      <c r="A508" s="53" t="s">
        <v>1325</v>
      </c>
      <c r="B508" s="53" t="s">
        <v>203</v>
      </c>
      <c r="C508" s="53" t="s">
        <v>540</v>
      </c>
      <c r="D508" s="53" t="s">
        <v>875</v>
      </c>
      <c r="E508" s="53" t="s">
        <v>160</v>
      </c>
      <c r="F508" s="53" t="s">
        <v>128</v>
      </c>
      <c r="G508" s="53" t="s">
        <v>138</v>
      </c>
      <c r="H508" s="53">
        <v>2</v>
      </c>
      <c r="I508" s="53" t="s">
        <v>176</v>
      </c>
      <c r="J508" s="53">
        <v>0</v>
      </c>
      <c r="K508" s="53">
        <v>0</v>
      </c>
      <c r="L508" s="53">
        <v>3.8</v>
      </c>
      <c r="M508" s="53" t="s">
        <v>294</v>
      </c>
      <c r="N508" s="53">
        <v>4.3</v>
      </c>
      <c r="O508" s="51" t="str">
        <f>TEXT(tblWorkPackages[[#This Row],[Request date serial]]-WEEKDAY(tblWorkPackages[[#This Row],[Request date serial]],3),"yyyy-mm-dd")</f>
        <v>2024-09-02</v>
      </c>
      <c r="P508" s="51">
        <f>ABS(tblWorkPackages[[#This Row],[Actual labor hours]]-tblWorkPackages[[#This Row],[Estimated labor hours]])</f>
        <v>0.5</v>
      </c>
      <c r="Q508" s="51">
        <f>IF(tblWorkPackages[[#This Row],[Actual labor hours]]&gt;tblWorkPackages[[#This Row],[Estimated labor hours]],1,0)</f>
        <v>1</v>
      </c>
      <c r="R508" s="51">
        <f>tblWorkPackages[[#This Row],[Actual labor hours]]-tblWorkPackages[[#This Row],[Estimated labor hours]]</f>
        <v>0.5</v>
      </c>
      <c r="S508" s="51" t="str">
        <f>IF(tblWorkPackages[[#This Row],[Request date serial]]&lt;ValidationStart,"Train 2024",IF(tblWorkPackages[[#This Row],[Request date serial]]&lt;HoldoutStart,"Validation H1","Holdout H2"))</f>
        <v>Train 2024</v>
      </c>
      <c r="T508" s="51" t="str">
        <f>IF(tblWorkPackages[[#This Row],[Time split]]="Train 2024","",tblWorkPackages[[#This Row],[Estimated labor hours]]+VLOOKUP(tblWorkPackages[[#This Row],[Task type]],'Forecast validation'!$A$14:$E$25,IF(tblWorkPackages[[#This Row],[Time split]]="Validation H1",4,5),FALSE()))</f>
        <v/>
      </c>
      <c r="U508" s="51" t="str">
        <f>IF(tblWorkPackages[[#This Row],[Calibrated forecast hours]]="","",ABS(tblWorkPackages[[#This Row],[Actual labor hours]]-tblWorkPackages[[#This Row],[Calibrated forecast hours]]))</f>
        <v/>
      </c>
      <c r="V508" s="51">
        <f>IF(tblWorkPackages[[#This Row],[Time split]]="Train 2024",tblWorkPackages[[#This Row],[Estimated labor hours]],tblWorkPackages[[#This Row],[Calibrated forecast hours]])</f>
        <v>3.8</v>
      </c>
      <c r="W508" s="64">
        <f>DATEVALUE(tblWorkPackages[[#This Row],[Request date]])</f>
        <v>45538.0</v>
      </c>
      <c r="X508" s="64">
        <f>DATEVALUE(tblWorkPackages[[#This Row],[Due date]])</f>
        <v>45544.0</v>
      </c>
      <c r="Y508" s="64">
        <f>DATEVALUE(tblWorkPackages[[#This Row],[Completion date]])</f>
        <v>45543.0</v>
      </c>
      <c r="Z508" s="64">
        <f>_xlfn.MINIFS(tblLaborEntries[Work date serial],tblLaborEntries[Work package ID],tblWorkPackages[[#This Row],[Work package ID]])</f>
        <v>45541.0</v>
      </c>
      <c r="AA508" s="64">
        <f>_xlfn.MAXIFS(tblLaborEntries[Work date serial],tblLaborEntries[Work package ID],tblWorkPackages[[#This Row],[Work package ID]])</f>
        <v>45541.0</v>
      </c>
      <c r="AB508" s="65">
        <f>IF(tblWorkPackages[[#This Row],[Completion date serial]]&gt;tblWorkPackages[[#This Row],[Due date serial]],1,0)</f>
        <v>0</v>
      </c>
      <c r="AC508" s="65">
        <f>MAX(0,tblWorkPackages[[#This Row],[Completion date serial]]-tblWorkPackages[[#This Row],[Due date serial]])</f>
        <v>0</v>
      </c>
      <c r="AD508" s="65">
        <f>tblWorkPackages[[#This Row],[First labor date]]-tblWorkPackages[[#This Row],[Request date serial]]</f>
        <v>3</v>
      </c>
      <c r="AE508" s="65">
        <f>tblWorkPackages[[#This Row],[Last labor date]]-tblWorkPackages[[#This Row],[First labor date]]</f>
        <v>0</v>
      </c>
      <c r="AF508" s="65">
        <f>tblWorkPackages[[#This Row],[Completion date serial]]-tblWorkPackages[[#This Row],[Last labor date]]</f>
        <v>2</v>
      </c>
      <c r="AG508" s="65">
        <f>tblWorkPackages[[#This Row],[Completion date serial]]-tblWorkPackages[[#This Row],[Request date serial]]</f>
        <v>5</v>
      </c>
      <c r="AH508" s="65">
        <f>IFERROR(INDEX(tblParts[Delay days],MATCH(tblWorkPackages[[#This Row],[Work package ID]],tblParts[Work package ID],0)),0)</f>
        <v>0</v>
      </c>
      <c r="AI508" s="51" t="str">
        <f>IFERROR(INDEX(tblDisruptions[Event type],MATCH(tblWorkPackages[[#This Row],[Work package ID]],tblDisruptions[Work package ID],0)),"None")</f>
        <v>None</v>
      </c>
      <c r="AJ508" s="51" t="str">
        <f>TEXT(tblWorkPackages[[#This Row],[Due date serial]],"yyyy-mm")</f>
        <v>2024-09</v>
      </c>
    </row>
    <row r="509" spans="1:36" ht="15" x14ac:dyDescent="0.25">
      <c r="A509" s="53" t="s">
        <v>1326</v>
      </c>
      <c r="B509" s="53" t="s">
        <v>168</v>
      </c>
      <c r="C509" s="53" t="s">
        <v>457</v>
      </c>
      <c r="D509" s="53" t="s">
        <v>485</v>
      </c>
      <c r="E509" s="53" t="s">
        <v>160</v>
      </c>
      <c r="F509" s="53" t="s">
        <v>128</v>
      </c>
      <c r="G509" s="53" t="s">
        <v>138</v>
      </c>
      <c r="H509" s="53">
        <v>4</v>
      </c>
      <c r="I509" s="53" t="s">
        <v>176</v>
      </c>
      <c r="J509" s="53">
        <v>0</v>
      </c>
      <c r="K509" s="53">
        <v>1</v>
      </c>
      <c r="L509" s="53">
        <v>8.6</v>
      </c>
      <c r="M509" s="53" t="s">
        <v>354</v>
      </c>
      <c r="N509" s="53">
        <v>9.9</v>
      </c>
      <c r="O509" s="51" t="str">
        <f>TEXT(tblWorkPackages[[#This Row],[Request date serial]]-WEEKDAY(tblWorkPackages[[#This Row],[Request date serial]],3),"yyyy-mm-dd")</f>
        <v>2025-01-06</v>
      </c>
      <c r="P509" s="51">
        <f>ABS(tblWorkPackages[[#This Row],[Actual labor hours]]-tblWorkPackages[[#This Row],[Estimated labor hours]])</f>
        <v>1.3</v>
      </c>
      <c r="Q509" s="51">
        <f>IF(tblWorkPackages[[#This Row],[Actual labor hours]]&gt;tblWorkPackages[[#This Row],[Estimated labor hours]],1,0)</f>
        <v>1</v>
      </c>
      <c r="R509" s="51">
        <f>tblWorkPackages[[#This Row],[Actual labor hours]]-tblWorkPackages[[#This Row],[Estimated labor hours]]</f>
        <v>1.3</v>
      </c>
      <c r="S509" s="51" t="str">
        <f>IF(tblWorkPackages[[#This Row],[Request date serial]]&lt;ValidationStart,"Train 2024",IF(tblWorkPackages[[#This Row],[Request date serial]]&lt;HoldoutStart,"Validation H1","Holdout H2"))</f>
        <v>Validation H1</v>
      </c>
      <c r="T509" s="51">
        <f>IF(tblWorkPackages[[#This Row],[Time split]]="Train 2024","",tblWorkPackages[[#This Row],[Estimated labor hours]]+VLOOKUP(tblWorkPackages[[#This Row],[Task type]],'Forecast validation'!$A$14:$E$25,IF(tblWorkPackages[[#This Row],[Time split]]="Validation H1",4,5),FALSE()))</f>
        <v>9.04146341463415</v>
      </c>
      <c r="U509" s="51">
        <f>IF(tblWorkPackages[[#This Row],[Calibrated forecast hours]]="","",ABS(tblWorkPackages[[#This Row],[Actual labor hours]]-tblWorkPackages[[#This Row],[Calibrated forecast hours]]))</f>
        <v>0.858536585365854</v>
      </c>
      <c r="V509" s="51">
        <f>IF(tblWorkPackages[[#This Row],[Time split]]="Train 2024",tblWorkPackages[[#This Row],[Estimated labor hours]],tblWorkPackages[[#This Row],[Calibrated forecast hours]])</f>
        <v>9.04146341463415</v>
      </c>
      <c r="W509" s="64">
        <f>DATEVALUE(tblWorkPackages[[#This Row],[Request date]])</f>
        <v>45669.0</v>
      </c>
      <c r="X509" s="64">
        <f>DATEVALUE(tblWorkPackages[[#This Row],[Due date]])</f>
        <v>45675.0</v>
      </c>
      <c r="Y509" s="64">
        <f>DATEVALUE(tblWorkPackages[[#This Row],[Completion date]])</f>
        <v>45716.0</v>
      </c>
      <c r="Z509" s="64">
        <f>_xlfn.MINIFS(tblLaborEntries[Work date serial],tblLaborEntries[Work package ID],tblWorkPackages[[#This Row],[Work package ID]])</f>
        <v>45711.0</v>
      </c>
      <c r="AA509" s="64">
        <f>_xlfn.MAXIFS(tblLaborEntries[Work date serial],tblLaborEntries[Work package ID],tblWorkPackages[[#This Row],[Work package ID]])</f>
        <v>45713.0</v>
      </c>
      <c r="AB509" s="65">
        <f>IF(tblWorkPackages[[#This Row],[Completion date serial]]&gt;tblWorkPackages[[#This Row],[Due date serial]],1,0)</f>
        <v>1</v>
      </c>
      <c r="AC509" s="65">
        <f>MAX(0,tblWorkPackages[[#This Row],[Completion date serial]]-tblWorkPackages[[#This Row],[Due date serial]])</f>
        <v>41</v>
      </c>
      <c r="AD509" s="65">
        <f>tblWorkPackages[[#This Row],[First labor date]]-tblWorkPackages[[#This Row],[Request date serial]]</f>
        <v>42</v>
      </c>
      <c r="AE509" s="65">
        <f>tblWorkPackages[[#This Row],[Last labor date]]-tblWorkPackages[[#This Row],[First labor date]]</f>
        <v>2</v>
      </c>
      <c r="AF509" s="65">
        <f>tblWorkPackages[[#This Row],[Completion date serial]]-tblWorkPackages[[#This Row],[Last labor date]]</f>
        <v>3</v>
      </c>
      <c r="AG509" s="65">
        <f>tblWorkPackages[[#This Row],[Completion date serial]]-tblWorkPackages[[#This Row],[Request date serial]]</f>
        <v>47</v>
      </c>
      <c r="AH509" s="65">
        <f>IFERROR(INDEX(tblParts[Delay days],MATCH(tblWorkPackages[[#This Row],[Work package ID]],tblParts[Work package ID],0)),0)</f>
        <v>0</v>
      </c>
      <c r="AI509" s="51" t="str">
        <f>IFERROR(INDEX(tblDisruptions[Event type],MATCH(tblWorkPackages[[#This Row],[Work package ID]],tblDisruptions[Work package ID],0)),"None")</f>
        <v>None</v>
      </c>
      <c r="AJ509" s="51" t="str">
        <f>TEXT(tblWorkPackages[[#This Row],[Due date serial]],"yyyy-mm")</f>
        <v>2025-01</v>
      </c>
    </row>
    <row r="510" spans="1:36" ht="15" x14ac:dyDescent="0.25">
      <c r="A510" s="53" t="s">
        <v>1327</v>
      </c>
      <c r="B510" s="53" t="s">
        <v>150</v>
      </c>
      <c r="C510" s="53" t="s">
        <v>375</v>
      </c>
      <c r="D510" s="53" t="s">
        <v>274</v>
      </c>
      <c r="E510" s="53" t="s">
        <v>136</v>
      </c>
      <c r="F510" s="53" t="s">
        <v>137</v>
      </c>
      <c r="G510" s="53" t="s">
        <v>138</v>
      </c>
      <c r="H510" s="53">
        <v>3</v>
      </c>
      <c r="I510" s="53" t="s">
        <v>130</v>
      </c>
      <c r="J510" s="53">
        <v>0</v>
      </c>
      <c r="K510" s="53">
        <v>0</v>
      </c>
      <c r="L510" s="53">
        <v>23</v>
      </c>
      <c r="M510" s="53" t="s">
        <v>410</v>
      </c>
      <c r="N510" s="53">
        <v>21.2</v>
      </c>
      <c r="O510" s="51" t="str">
        <f>TEXT(tblWorkPackages[[#This Row],[Request date serial]]-WEEKDAY(tblWorkPackages[[#This Row],[Request date serial]],3),"yyyy-mm-dd")</f>
        <v>2025-04-21</v>
      </c>
      <c r="P510" s="51">
        <f>ABS(tblWorkPackages[[#This Row],[Actual labor hours]]-tblWorkPackages[[#This Row],[Estimated labor hours]])</f>
        <v>1.8</v>
      </c>
      <c r="Q510" s="51">
        <f>IF(tblWorkPackages[[#This Row],[Actual labor hours]]&gt;tblWorkPackages[[#This Row],[Estimated labor hours]],1,0)</f>
        <v>0</v>
      </c>
      <c r="R510" s="51">
        <f>tblWorkPackages[[#This Row],[Actual labor hours]]-tblWorkPackages[[#This Row],[Estimated labor hours]]</f>
        <v>-1.8</v>
      </c>
      <c r="S510" s="51" t="str">
        <f>IF(tblWorkPackages[[#This Row],[Request date serial]]&lt;ValidationStart,"Train 2024",IF(tblWorkPackages[[#This Row],[Request date serial]]&lt;HoldoutStart,"Validation H1","Holdout H2"))</f>
        <v>Validation H1</v>
      </c>
      <c r="T510" s="51">
        <f>IF(tblWorkPackages[[#This Row],[Time split]]="Train 2024","",tblWorkPackages[[#This Row],[Estimated labor hours]]+VLOOKUP(tblWorkPackages[[#This Row],[Task type]],'Forecast validation'!$A$14:$E$25,IF(tblWorkPackages[[#This Row],[Time split]]="Validation H1",4,5),FALSE()))</f>
        <v>23.8765306122449</v>
      </c>
      <c r="U510" s="51">
        <f>IF(tblWorkPackages[[#This Row],[Calibrated forecast hours]]="","",ABS(tblWorkPackages[[#This Row],[Actual labor hours]]-tblWorkPackages[[#This Row],[Calibrated forecast hours]]))</f>
        <v>2.6765306122449</v>
      </c>
      <c r="V510" s="51">
        <f>IF(tblWorkPackages[[#This Row],[Time split]]="Train 2024",tblWorkPackages[[#This Row],[Estimated labor hours]],tblWorkPackages[[#This Row],[Calibrated forecast hours]])</f>
        <v>23.8765306122449</v>
      </c>
      <c r="W510" s="64">
        <f>DATEVALUE(tblWorkPackages[[#This Row],[Request date]])</f>
        <v>45770.0</v>
      </c>
      <c r="X510" s="64">
        <f>DATEVALUE(tblWorkPackages[[#This Row],[Due date]])</f>
        <v>45783.0</v>
      </c>
      <c r="Y510" s="64">
        <f>DATEVALUE(tblWorkPackages[[#This Row],[Completion date]])</f>
        <v>45778.0</v>
      </c>
      <c r="Z510" s="64">
        <f>_xlfn.MINIFS(tblLaborEntries[Work date serial],tblLaborEntries[Work package ID],tblWorkPackages[[#This Row],[Work package ID]])</f>
        <v>45777.0</v>
      </c>
      <c r="AA510" s="64">
        <f>_xlfn.MAXIFS(tblLaborEntries[Work date serial],tblLaborEntries[Work package ID],tblWorkPackages[[#This Row],[Work package ID]])</f>
        <v>45778.0</v>
      </c>
      <c r="AB510" s="65">
        <f>IF(tblWorkPackages[[#This Row],[Completion date serial]]&gt;tblWorkPackages[[#This Row],[Due date serial]],1,0)</f>
        <v>0</v>
      </c>
      <c r="AC510" s="65">
        <f>MAX(0,tblWorkPackages[[#This Row],[Completion date serial]]-tblWorkPackages[[#This Row],[Due date serial]])</f>
        <v>0</v>
      </c>
      <c r="AD510" s="65">
        <f>tblWorkPackages[[#This Row],[First labor date]]-tblWorkPackages[[#This Row],[Request date serial]]</f>
        <v>7</v>
      </c>
      <c r="AE510" s="65">
        <f>tblWorkPackages[[#This Row],[Last labor date]]-tblWorkPackages[[#This Row],[First labor date]]</f>
        <v>1</v>
      </c>
      <c r="AF510" s="65">
        <f>tblWorkPackages[[#This Row],[Completion date serial]]-tblWorkPackages[[#This Row],[Last labor date]]</f>
        <v>0</v>
      </c>
      <c r="AG510" s="65">
        <f>tblWorkPackages[[#This Row],[Completion date serial]]-tblWorkPackages[[#This Row],[Request date serial]]</f>
        <v>8</v>
      </c>
      <c r="AH510" s="65">
        <f>IFERROR(INDEX(tblParts[Delay days],MATCH(tblWorkPackages[[#This Row],[Work package ID]],tblParts[Work package ID],0)),0)</f>
        <v>0</v>
      </c>
      <c r="AI510" s="51" t="str">
        <f>IFERROR(INDEX(tblDisruptions[Event type],MATCH(tblWorkPackages[[#This Row],[Work package ID]],tblDisruptions[Work package ID],0)),"None")</f>
        <v>None</v>
      </c>
      <c r="AJ510" s="51" t="str">
        <f>TEXT(tblWorkPackages[[#This Row],[Due date serial]],"yyyy-mm")</f>
        <v>2025-05</v>
      </c>
    </row>
    <row r="511" spans="1:36" ht="15" x14ac:dyDescent="0.25">
      <c r="A511" s="53" t="s">
        <v>1328</v>
      </c>
      <c r="B511" s="53" t="s">
        <v>250</v>
      </c>
      <c r="C511" s="53" t="s">
        <v>388</v>
      </c>
      <c r="D511" s="53" t="s">
        <v>294</v>
      </c>
      <c r="E511" s="53" t="s">
        <v>144</v>
      </c>
      <c r="F511" s="53" t="s">
        <v>145</v>
      </c>
      <c r="G511" s="53" t="s">
        <v>146</v>
      </c>
      <c r="H511" s="53">
        <v>1</v>
      </c>
      <c r="I511" s="53" t="s">
        <v>176</v>
      </c>
      <c r="J511" s="53">
        <v>0</v>
      </c>
      <c r="K511" s="53">
        <v>1</v>
      </c>
      <c r="L511" s="53">
        <v>6.1</v>
      </c>
      <c r="M511" s="53" t="s">
        <v>846</v>
      </c>
      <c r="N511" s="53">
        <v>4.9000000000000004</v>
      </c>
      <c r="O511" s="51" t="str">
        <f>TEXT(tblWorkPackages[[#This Row],[Request date serial]]-WEEKDAY(tblWorkPackages[[#This Row],[Request date serial]],3),"yyyy-mm-dd")</f>
        <v>2024-09-02</v>
      </c>
      <c r="P511" s="51">
        <f>ABS(tblWorkPackages[[#This Row],[Actual labor hours]]-tblWorkPackages[[#This Row],[Estimated labor hours]])</f>
        <v>1.2</v>
      </c>
      <c r="Q511" s="51">
        <f>IF(tblWorkPackages[[#This Row],[Actual labor hours]]&gt;tblWorkPackages[[#This Row],[Estimated labor hours]],1,0)</f>
        <v>0</v>
      </c>
      <c r="R511" s="51">
        <f>tblWorkPackages[[#This Row],[Actual labor hours]]-tblWorkPackages[[#This Row],[Estimated labor hours]]</f>
        <v>-1.2</v>
      </c>
      <c r="S511" s="51" t="str">
        <f>IF(tblWorkPackages[[#This Row],[Request date serial]]&lt;ValidationStart,"Train 2024",IF(tblWorkPackages[[#This Row],[Request date serial]]&lt;HoldoutStart,"Validation H1","Holdout H2"))</f>
        <v>Train 2024</v>
      </c>
      <c r="T511" s="51" t="str">
        <f>IF(tblWorkPackages[[#This Row],[Time split]]="Train 2024","",tblWorkPackages[[#This Row],[Estimated labor hours]]+VLOOKUP(tblWorkPackages[[#This Row],[Task type]],'Forecast validation'!$A$14:$E$25,IF(tblWorkPackages[[#This Row],[Time split]]="Validation H1",4,5),FALSE()))</f>
        <v/>
      </c>
      <c r="U511" s="51" t="str">
        <f>IF(tblWorkPackages[[#This Row],[Calibrated forecast hours]]="","",ABS(tblWorkPackages[[#This Row],[Actual labor hours]]-tblWorkPackages[[#This Row],[Calibrated forecast hours]]))</f>
        <v/>
      </c>
      <c r="V511" s="51">
        <f>IF(tblWorkPackages[[#This Row],[Time split]]="Train 2024",tblWorkPackages[[#This Row],[Estimated labor hours]],tblWorkPackages[[#This Row],[Calibrated forecast hours]])</f>
        <v>6.1</v>
      </c>
      <c r="W511" s="64">
        <f>DATEVALUE(tblWorkPackages[[#This Row],[Request date]])</f>
        <v>45537.0</v>
      </c>
      <c r="X511" s="64">
        <f>DATEVALUE(tblWorkPackages[[#This Row],[Due date]])</f>
        <v>45543.0</v>
      </c>
      <c r="Y511" s="64">
        <f>DATEVALUE(tblWorkPackages[[#This Row],[Completion date]])</f>
        <v>45542.0</v>
      </c>
      <c r="Z511" s="64">
        <f>_xlfn.MINIFS(tblLaborEntries[Work date serial],tblLaborEntries[Work package ID],tblWorkPackages[[#This Row],[Work package ID]])</f>
        <v>45539.0</v>
      </c>
      <c r="AA511" s="64">
        <f>_xlfn.MAXIFS(tblLaborEntries[Work date serial],tblLaborEntries[Work package ID],tblWorkPackages[[#This Row],[Work package ID]])</f>
        <v>45541.0</v>
      </c>
      <c r="AB511" s="65">
        <f>IF(tblWorkPackages[[#This Row],[Completion date serial]]&gt;tblWorkPackages[[#This Row],[Due date serial]],1,0)</f>
        <v>0</v>
      </c>
      <c r="AC511" s="65">
        <f>MAX(0,tblWorkPackages[[#This Row],[Completion date serial]]-tblWorkPackages[[#This Row],[Due date serial]])</f>
        <v>0</v>
      </c>
      <c r="AD511" s="65">
        <f>tblWorkPackages[[#This Row],[First labor date]]-tblWorkPackages[[#This Row],[Request date serial]]</f>
        <v>2</v>
      </c>
      <c r="AE511" s="65">
        <f>tblWorkPackages[[#This Row],[Last labor date]]-tblWorkPackages[[#This Row],[First labor date]]</f>
        <v>2</v>
      </c>
      <c r="AF511" s="65">
        <f>tblWorkPackages[[#This Row],[Completion date serial]]-tblWorkPackages[[#This Row],[Last labor date]]</f>
        <v>1</v>
      </c>
      <c r="AG511" s="65">
        <f>tblWorkPackages[[#This Row],[Completion date serial]]-tblWorkPackages[[#This Row],[Request date serial]]</f>
        <v>5</v>
      </c>
      <c r="AH511" s="65">
        <f>IFERROR(INDEX(tblParts[Delay days],MATCH(tblWorkPackages[[#This Row],[Work package ID]],tblParts[Work package ID],0)),0)</f>
        <v>0</v>
      </c>
      <c r="AI511" s="51" t="str">
        <f>IFERROR(INDEX(tblDisruptions[Event type],MATCH(tblWorkPackages[[#This Row],[Work package ID]],tblDisruptions[Work package ID],0)),"None")</f>
        <v>None</v>
      </c>
      <c r="AJ511" s="51" t="str">
        <f>TEXT(tblWorkPackages[[#This Row],[Due date serial]],"yyyy-mm")</f>
        <v>2024-09</v>
      </c>
    </row>
    <row r="512" spans="1:36" ht="15" x14ac:dyDescent="0.25">
      <c r="A512" s="53" t="s">
        <v>1329</v>
      </c>
      <c r="B512" s="53" t="s">
        <v>203</v>
      </c>
      <c r="C512" s="53" t="s">
        <v>312</v>
      </c>
      <c r="D512" s="53" t="s">
        <v>1152</v>
      </c>
      <c r="E512" s="53" t="s">
        <v>160</v>
      </c>
      <c r="F512" s="53" t="s">
        <v>128</v>
      </c>
      <c r="G512" s="53" t="s">
        <v>138</v>
      </c>
      <c r="H512" s="53">
        <v>3</v>
      </c>
      <c r="I512" s="53" t="s">
        <v>176</v>
      </c>
      <c r="J512" s="53">
        <v>0</v>
      </c>
      <c r="K512" s="53">
        <v>0</v>
      </c>
      <c r="L512" s="53">
        <v>5.4</v>
      </c>
      <c r="M512" s="53" t="s">
        <v>1330</v>
      </c>
      <c r="N512" s="53">
        <v>6.3</v>
      </c>
      <c r="O512" s="51" t="str">
        <f>TEXT(tblWorkPackages[[#This Row],[Request date serial]]-WEEKDAY(tblWorkPackages[[#This Row],[Request date serial]],3),"yyyy-mm-dd")</f>
        <v>2025-08-18</v>
      </c>
      <c r="P512" s="51">
        <f>ABS(tblWorkPackages[[#This Row],[Actual labor hours]]-tblWorkPackages[[#This Row],[Estimated labor hours]])</f>
        <v>0.9</v>
      </c>
      <c r="Q512" s="51">
        <f>IF(tblWorkPackages[[#This Row],[Actual labor hours]]&gt;tblWorkPackages[[#This Row],[Estimated labor hours]],1,0)</f>
        <v>1</v>
      </c>
      <c r="R512" s="51">
        <f>tblWorkPackages[[#This Row],[Actual labor hours]]-tblWorkPackages[[#This Row],[Estimated labor hours]]</f>
        <v>0.9</v>
      </c>
      <c r="S512" s="51" t="str">
        <f>IF(tblWorkPackages[[#This Row],[Request date serial]]&lt;ValidationStart,"Train 2024",IF(tblWorkPackages[[#This Row],[Request date serial]]&lt;HoldoutStart,"Validation H1","Holdout H2"))</f>
        <v>Holdout H2</v>
      </c>
      <c r="T512" s="51">
        <f>IF(tblWorkPackages[[#This Row],[Time split]]="Train 2024","",tblWorkPackages[[#This Row],[Estimated labor hours]]+VLOOKUP(tblWorkPackages[[#This Row],[Task type]],'Forecast validation'!$A$14:$E$25,IF(tblWorkPackages[[#This Row],[Time split]]="Validation H1",4,5),FALSE()))</f>
        <v>5.83739837398374</v>
      </c>
      <c r="U512" s="51">
        <f>IF(tblWorkPackages[[#This Row],[Calibrated forecast hours]]="","",ABS(tblWorkPackages[[#This Row],[Actual labor hours]]-tblWorkPackages[[#This Row],[Calibrated forecast hours]]))</f>
        <v>0.46260162601626</v>
      </c>
      <c r="V512" s="51">
        <f>IF(tblWorkPackages[[#This Row],[Time split]]="Train 2024",tblWorkPackages[[#This Row],[Estimated labor hours]],tblWorkPackages[[#This Row],[Calibrated forecast hours]])</f>
        <v>5.83739837398374</v>
      </c>
      <c r="W512" s="64">
        <f>DATEVALUE(tblWorkPackages[[#This Row],[Request date]])</f>
        <v>45887.0</v>
      </c>
      <c r="X512" s="64">
        <f>DATEVALUE(tblWorkPackages[[#This Row],[Due date]])</f>
        <v>45893.0</v>
      </c>
      <c r="Y512" s="64">
        <f>DATEVALUE(tblWorkPackages[[#This Row],[Completion date]])</f>
        <v>45909.0</v>
      </c>
      <c r="Z512" s="64">
        <f>_xlfn.MINIFS(tblLaborEntries[Work date serial],tblLaborEntries[Work package ID],tblWorkPackages[[#This Row],[Work package ID]])</f>
        <v>45905.0</v>
      </c>
      <c r="AA512" s="64">
        <f>_xlfn.MAXIFS(tblLaborEntries[Work date serial],tblLaborEntries[Work package ID],tblWorkPackages[[#This Row],[Work package ID]])</f>
        <v>45907.0</v>
      </c>
      <c r="AB512" s="65">
        <f>IF(tblWorkPackages[[#This Row],[Completion date serial]]&gt;tblWorkPackages[[#This Row],[Due date serial]],1,0)</f>
        <v>1</v>
      </c>
      <c r="AC512" s="65">
        <f>MAX(0,tblWorkPackages[[#This Row],[Completion date serial]]-tblWorkPackages[[#This Row],[Due date serial]])</f>
        <v>16</v>
      </c>
      <c r="AD512" s="65">
        <f>tblWorkPackages[[#This Row],[First labor date]]-tblWorkPackages[[#This Row],[Request date serial]]</f>
        <v>18</v>
      </c>
      <c r="AE512" s="65">
        <f>tblWorkPackages[[#This Row],[Last labor date]]-tblWorkPackages[[#This Row],[First labor date]]</f>
        <v>2</v>
      </c>
      <c r="AF512" s="65">
        <f>tblWorkPackages[[#This Row],[Completion date serial]]-tblWorkPackages[[#This Row],[Last labor date]]</f>
        <v>2</v>
      </c>
      <c r="AG512" s="65">
        <f>tblWorkPackages[[#This Row],[Completion date serial]]-tblWorkPackages[[#This Row],[Request date serial]]</f>
        <v>22</v>
      </c>
      <c r="AH512" s="65">
        <f>IFERROR(INDEX(tblParts[Delay days],MATCH(tblWorkPackages[[#This Row],[Work package ID]],tblParts[Work package ID],0)),0)</f>
        <v>0</v>
      </c>
      <c r="AI512" s="51" t="str">
        <f>IFERROR(INDEX(tblDisruptions[Event type],MATCH(tblWorkPackages[[#This Row],[Work package ID]],tblDisruptions[Work package ID],0)),"None")</f>
        <v>None</v>
      </c>
      <c r="AJ512" s="51" t="str">
        <f>TEXT(tblWorkPackages[[#This Row],[Due date serial]],"yyyy-mm")</f>
        <v>2025-08</v>
      </c>
    </row>
    <row r="513" spans="1:36" ht="15" x14ac:dyDescent="0.25">
      <c r="A513" s="53" t="s">
        <v>1331</v>
      </c>
      <c r="B513" s="53" t="s">
        <v>230</v>
      </c>
      <c r="C513" s="53" t="s">
        <v>247</v>
      </c>
      <c r="D513" s="53" t="s">
        <v>315</v>
      </c>
      <c r="E513" s="53" t="s">
        <v>153</v>
      </c>
      <c r="F513" s="53" t="s">
        <v>128</v>
      </c>
      <c r="G513" s="53" t="s">
        <v>154</v>
      </c>
      <c r="H513" s="53">
        <v>1</v>
      </c>
      <c r="I513" s="53" t="s">
        <v>130</v>
      </c>
      <c r="J513" s="53">
        <v>0</v>
      </c>
      <c r="K513" s="53">
        <v>0</v>
      </c>
      <c r="L513" s="53">
        <v>7.3</v>
      </c>
      <c r="M513" s="53" t="s">
        <v>689</v>
      </c>
      <c r="N513" s="53">
        <v>5.8</v>
      </c>
      <c r="O513" s="51" t="str">
        <f>TEXT(tblWorkPackages[[#This Row],[Request date serial]]-WEEKDAY(tblWorkPackages[[#This Row],[Request date serial]],3),"yyyy-mm-dd")</f>
        <v>2024-03-25</v>
      </c>
      <c r="P513" s="51">
        <f>ABS(tblWorkPackages[[#This Row],[Actual labor hours]]-tblWorkPackages[[#This Row],[Estimated labor hours]])</f>
        <v>1.5</v>
      </c>
      <c r="Q513" s="51">
        <f>IF(tblWorkPackages[[#This Row],[Actual labor hours]]&gt;tblWorkPackages[[#This Row],[Estimated labor hours]],1,0)</f>
        <v>0</v>
      </c>
      <c r="R513" s="51">
        <f>tblWorkPackages[[#This Row],[Actual labor hours]]-tblWorkPackages[[#This Row],[Estimated labor hours]]</f>
        <v>-1.5</v>
      </c>
      <c r="S513" s="51" t="str">
        <f>IF(tblWorkPackages[[#This Row],[Request date serial]]&lt;ValidationStart,"Train 2024",IF(tblWorkPackages[[#This Row],[Request date serial]]&lt;HoldoutStart,"Validation H1","Holdout H2"))</f>
        <v>Train 2024</v>
      </c>
      <c r="T513" s="51" t="str">
        <f>IF(tblWorkPackages[[#This Row],[Time split]]="Train 2024","",tblWorkPackages[[#This Row],[Estimated labor hours]]+VLOOKUP(tblWorkPackages[[#This Row],[Task type]],'Forecast validation'!$A$14:$E$25,IF(tblWorkPackages[[#This Row],[Time split]]="Validation H1",4,5),FALSE()))</f>
        <v/>
      </c>
      <c r="U513" s="51" t="str">
        <f>IF(tblWorkPackages[[#This Row],[Calibrated forecast hours]]="","",ABS(tblWorkPackages[[#This Row],[Actual labor hours]]-tblWorkPackages[[#This Row],[Calibrated forecast hours]]))</f>
        <v/>
      </c>
      <c r="V513" s="51">
        <f>IF(tblWorkPackages[[#This Row],[Time split]]="Train 2024",tblWorkPackages[[#This Row],[Estimated labor hours]],tblWorkPackages[[#This Row],[Calibrated forecast hours]])</f>
        <v>7.3</v>
      </c>
      <c r="W513" s="64">
        <f>DATEVALUE(tblWorkPackages[[#This Row],[Request date]])</f>
        <v>45377.0</v>
      </c>
      <c r="X513" s="64">
        <f>DATEVALUE(tblWorkPackages[[#This Row],[Due date]])</f>
        <v>45390.0</v>
      </c>
      <c r="Y513" s="64">
        <f>DATEVALUE(tblWorkPackages[[#This Row],[Completion date]])</f>
        <v>45385.0</v>
      </c>
      <c r="Z513" s="64">
        <f>_xlfn.MINIFS(tblLaborEntries[Work date serial],tblLaborEntries[Work package ID],tblWorkPackages[[#This Row],[Work package ID]])</f>
        <v>45381.0</v>
      </c>
      <c r="AA513" s="64">
        <f>_xlfn.MAXIFS(tblLaborEntries[Work date serial],tblLaborEntries[Work package ID],tblWorkPackages[[#This Row],[Work package ID]])</f>
        <v>45382.0</v>
      </c>
      <c r="AB513" s="65">
        <f>IF(tblWorkPackages[[#This Row],[Completion date serial]]&gt;tblWorkPackages[[#This Row],[Due date serial]],1,0)</f>
        <v>0</v>
      </c>
      <c r="AC513" s="65">
        <f>MAX(0,tblWorkPackages[[#This Row],[Completion date serial]]-tblWorkPackages[[#This Row],[Due date serial]])</f>
        <v>0</v>
      </c>
      <c r="AD513" s="65">
        <f>tblWorkPackages[[#This Row],[First labor date]]-tblWorkPackages[[#This Row],[Request date serial]]</f>
        <v>4</v>
      </c>
      <c r="AE513" s="65">
        <f>tblWorkPackages[[#This Row],[Last labor date]]-tblWorkPackages[[#This Row],[First labor date]]</f>
        <v>1</v>
      </c>
      <c r="AF513" s="65">
        <f>tblWorkPackages[[#This Row],[Completion date serial]]-tblWorkPackages[[#This Row],[Last labor date]]</f>
        <v>3</v>
      </c>
      <c r="AG513" s="65">
        <f>tblWorkPackages[[#This Row],[Completion date serial]]-tblWorkPackages[[#This Row],[Request date serial]]</f>
        <v>8</v>
      </c>
      <c r="AH513" s="65">
        <f>IFERROR(INDEX(tblParts[Delay days],MATCH(tblWorkPackages[[#This Row],[Work package ID]],tblParts[Work package ID],0)),0)</f>
        <v>0</v>
      </c>
      <c r="AI513" s="51" t="str">
        <f>IFERROR(INDEX(tblDisruptions[Event type],MATCH(tblWorkPackages[[#This Row],[Work package ID]],tblDisruptions[Work package ID],0)),"None")</f>
        <v>None</v>
      </c>
      <c r="AJ513" s="51" t="str">
        <f>TEXT(tblWorkPackages[[#This Row],[Due date serial]],"yyyy-mm")</f>
        <v>2024-04</v>
      </c>
    </row>
    <row r="514" spans="1:36" ht="15" x14ac:dyDescent="0.25">
      <c r="A514" s="53" t="s">
        <v>1332</v>
      </c>
      <c r="B514" s="53" t="s">
        <v>287</v>
      </c>
      <c r="C514" s="53" t="s">
        <v>984</v>
      </c>
      <c r="D514" s="53" t="s">
        <v>1333</v>
      </c>
      <c r="E514" s="53" t="s">
        <v>223</v>
      </c>
      <c r="F514" s="53" t="s">
        <v>182</v>
      </c>
      <c r="G514" s="53" t="s">
        <v>154</v>
      </c>
      <c r="H514" s="53">
        <v>1</v>
      </c>
      <c r="I514" s="53" t="s">
        <v>130</v>
      </c>
      <c r="J514" s="53">
        <v>0</v>
      </c>
      <c r="K514" s="53">
        <v>0</v>
      </c>
      <c r="L514" s="53">
        <v>8.3000000000000007</v>
      </c>
      <c r="M514" s="53" t="s">
        <v>743</v>
      </c>
      <c r="N514" s="53">
        <v>7.5</v>
      </c>
      <c r="O514" s="51" t="str">
        <f>TEXT(tblWorkPackages[[#This Row],[Request date serial]]-WEEKDAY(tblWorkPackages[[#This Row],[Request date serial]],3),"yyyy-mm-dd")</f>
        <v>2025-07-14</v>
      </c>
      <c r="P514" s="51">
        <f>ABS(tblWorkPackages[[#This Row],[Actual labor hours]]-tblWorkPackages[[#This Row],[Estimated labor hours]])</f>
        <v>0.800000000000001</v>
      </c>
      <c r="Q514" s="51">
        <f>IF(tblWorkPackages[[#This Row],[Actual labor hours]]&gt;tblWorkPackages[[#This Row],[Estimated labor hours]],1,0)</f>
        <v>0</v>
      </c>
      <c r="R514" s="51">
        <f>tblWorkPackages[[#This Row],[Actual labor hours]]-tblWorkPackages[[#This Row],[Estimated labor hours]]</f>
        <v>-0.800000000000001</v>
      </c>
      <c r="S514" s="51" t="str">
        <f>IF(tblWorkPackages[[#This Row],[Request date serial]]&lt;ValidationStart,"Train 2024",IF(tblWorkPackages[[#This Row],[Request date serial]]&lt;HoldoutStart,"Validation H1","Holdout H2"))</f>
        <v>Holdout H2</v>
      </c>
      <c r="T514" s="51">
        <f>IF(tblWorkPackages[[#This Row],[Time split]]="Train 2024","",tblWorkPackages[[#This Row],[Estimated labor hours]]+VLOOKUP(tblWorkPackages[[#This Row],[Task type]],'Forecast validation'!$A$14:$E$25,IF(tblWorkPackages[[#This Row],[Time split]]="Validation H1",4,5),FALSE()))</f>
        <v>9.22465753424658</v>
      </c>
      <c r="U514" s="51">
        <f>IF(tblWorkPackages[[#This Row],[Calibrated forecast hours]]="","",ABS(tblWorkPackages[[#This Row],[Actual labor hours]]-tblWorkPackages[[#This Row],[Calibrated forecast hours]]))</f>
        <v>1.72465753424658</v>
      </c>
      <c r="V514" s="51">
        <f>IF(tblWorkPackages[[#This Row],[Time split]]="Train 2024",tblWorkPackages[[#This Row],[Estimated labor hours]],tblWorkPackages[[#This Row],[Calibrated forecast hours]])</f>
        <v>9.22465753424658</v>
      </c>
      <c r="W514" s="64">
        <f>DATEVALUE(tblWorkPackages[[#This Row],[Request date]])</f>
        <v>45855.0</v>
      </c>
      <c r="X514" s="64">
        <f>DATEVALUE(tblWorkPackages[[#This Row],[Due date]])</f>
        <v>45868.0</v>
      </c>
      <c r="Y514" s="64">
        <f>DATEVALUE(tblWorkPackages[[#This Row],[Completion date]])</f>
        <v>45856.0</v>
      </c>
      <c r="Z514" s="64">
        <f>_xlfn.MINIFS(tblLaborEntries[Work date serial],tblLaborEntries[Work package ID],tblWorkPackages[[#This Row],[Work package ID]])</f>
        <v>45856.0</v>
      </c>
      <c r="AA514" s="64">
        <f>_xlfn.MAXIFS(tblLaborEntries[Work date serial],tblLaborEntries[Work package ID],tblWorkPackages[[#This Row],[Work package ID]])</f>
        <v>45856.0</v>
      </c>
      <c r="AB514" s="65">
        <f>IF(tblWorkPackages[[#This Row],[Completion date serial]]&gt;tblWorkPackages[[#This Row],[Due date serial]],1,0)</f>
        <v>0</v>
      </c>
      <c r="AC514" s="65">
        <f>MAX(0,tblWorkPackages[[#This Row],[Completion date serial]]-tblWorkPackages[[#This Row],[Due date serial]])</f>
        <v>0</v>
      </c>
      <c r="AD514" s="65">
        <f>tblWorkPackages[[#This Row],[First labor date]]-tblWorkPackages[[#This Row],[Request date serial]]</f>
        <v>1</v>
      </c>
      <c r="AE514" s="65">
        <f>tblWorkPackages[[#This Row],[Last labor date]]-tblWorkPackages[[#This Row],[First labor date]]</f>
        <v>0</v>
      </c>
      <c r="AF514" s="65">
        <f>tblWorkPackages[[#This Row],[Completion date serial]]-tblWorkPackages[[#This Row],[Last labor date]]</f>
        <v>0</v>
      </c>
      <c r="AG514" s="65">
        <f>tblWorkPackages[[#This Row],[Completion date serial]]-tblWorkPackages[[#This Row],[Request date serial]]</f>
        <v>1</v>
      </c>
      <c r="AH514" s="65">
        <f>IFERROR(INDEX(tblParts[Delay days],MATCH(tblWorkPackages[[#This Row],[Work package ID]],tblParts[Work package ID],0)),0)</f>
        <v>0</v>
      </c>
      <c r="AI514" s="51" t="str">
        <f>IFERROR(INDEX(tblDisruptions[Event type],MATCH(tblWorkPackages[[#This Row],[Work package ID]],tblDisruptions[Work package ID],0)),"None")</f>
        <v>None</v>
      </c>
      <c r="AJ514" s="51" t="str">
        <f>TEXT(tblWorkPackages[[#This Row],[Due date serial]],"yyyy-mm")</f>
        <v>2025-07</v>
      </c>
    </row>
    <row r="515" spans="1:36" ht="15" x14ac:dyDescent="0.25">
      <c r="A515" s="53" t="s">
        <v>1334</v>
      </c>
      <c r="B515" s="53" t="s">
        <v>124</v>
      </c>
      <c r="C515" s="53" t="s">
        <v>301</v>
      </c>
      <c r="D515" s="53" t="s">
        <v>971</v>
      </c>
      <c r="E515" s="53" t="s">
        <v>181</v>
      </c>
      <c r="F515" s="53" t="s">
        <v>182</v>
      </c>
      <c r="G515" s="53" t="s">
        <v>138</v>
      </c>
      <c r="H515" s="53">
        <v>2</v>
      </c>
      <c r="I515" s="53" t="s">
        <v>147</v>
      </c>
      <c r="J515" s="53">
        <v>0</v>
      </c>
      <c r="K515" s="53">
        <v>1</v>
      </c>
      <c r="L515" s="53">
        <v>8.6</v>
      </c>
      <c r="M515" s="53" t="s">
        <v>400</v>
      </c>
      <c r="N515" s="53">
        <v>10.6</v>
      </c>
      <c r="O515" s="51" t="str">
        <f>TEXT(tblWorkPackages[[#This Row],[Request date serial]]-WEEKDAY(tblWorkPackages[[#This Row],[Request date serial]],3),"yyyy-mm-dd")</f>
        <v>2024-05-06</v>
      </c>
      <c r="P515" s="51">
        <f>ABS(tblWorkPackages[[#This Row],[Actual labor hours]]-tblWorkPackages[[#This Row],[Estimated labor hours]])</f>
        <v>2</v>
      </c>
      <c r="Q515" s="51">
        <f>IF(tblWorkPackages[[#This Row],[Actual labor hours]]&gt;tblWorkPackages[[#This Row],[Estimated labor hours]],1,0)</f>
        <v>1</v>
      </c>
      <c r="R515" s="51">
        <f>tblWorkPackages[[#This Row],[Actual labor hours]]-tblWorkPackages[[#This Row],[Estimated labor hours]]</f>
        <v>2</v>
      </c>
      <c r="S515" s="51" t="str">
        <f>IF(tblWorkPackages[[#This Row],[Request date serial]]&lt;ValidationStart,"Train 2024",IF(tblWorkPackages[[#This Row],[Request date serial]]&lt;HoldoutStart,"Validation H1","Holdout H2"))</f>
        <v>Train 2024</v>
      </c>
      <c r="T515" s="51" t="str">
        <f>IF(tblWorkPackages[[#This Row],[Time split]]="Train 2024","",tblWorkPackages[[#This Row],[Estimated labor hours]]+VLOOKUP(tblWorkPackages[[#This Row],[Task type]],'Forecast validation'!$A$14:$E$25,IF(tblWorkPackages[[#This Row],[Time split]]="Validation H1",4,5),FALSE()))</f>
        <v/>
      </c>
      <c r="U515" s="51" t="str">
        <f>IF(tblWorkPackages[[#This Row],[Calibrated forecast hours]]="","",ABS(tblWorkPackages[[#This Row],[Actual labor hours]]-tblWorkPackages[[#This Row],[Calibrated forecast hours]]))</f>
        <v/>
      </c>
      <c r="V515" s="51">
        <f>IF(tblWorkPackages[[#This Row],[Time split]]="Train 2024",tblWorkPackages[[#This Row],[Estimated labor hours]],tblWorkPackages[[#This Row],[Calibrated forecast hours]])</f>
        <v>8.6</v>
      </c>
      <c r="W515" s="64">
        <f>DATEVALUE(tblWorkPackages[[#This Row],[Request date]])</f>
        <v>45422.0</v>
      </c>
      <c r="X515" s="64">
        <f>DATEVALUE(tblWorkPackages[[#This Row],[Due date]])</f>
        <v>45424.0</v>
      </c>
      <c r="Y515" s="64">
        <f>DATEVALUE(tblWorkPackages[[#This Row],[Completion date]])</f>
        <v>45434.0</v>
      </c>
      <c r="Z515" s="64">
        <f>_xlfn.MINIFS(tblLaborEntries[Work date serial],tblLaborEntries[Work package ID],tblWorkPackages[[#This Row],[Work package ID]])</f>
        <v>45433.0</v>
      </c>
      <c r="AA515" s="64">
        <f>_xlfn.MAXIFS(tblLaborEntries[Work date serial],tblLaborEntries[Work package ID],tblWorkPackages[[#This Row],[Work package ID]])</f>
        <v>45433.0</v>
      </c>
      <c r="AB515" s="65">
        <f>IF(tblWorkPackages[[#This Row],[Completion date serial]]&gt;tblWorkPackages[[#This Row],[Due date serial]],1,0)</f>
        <v>1</v>
      </c>
      <c r="AC515" s="65">
        <f>MAX(0,tblWorkPackages[[#This Row],[Completion date serial]]-tblWorkPackages[[#This Row],[Due date serial]])</f>
        <v>10</v>
      </c>
      <c r="AD515" s="65">
        <f>tblWorkPackages[[#This Row],[First labor date]]-tblWorkPackages[[#This Row],[Request date serial]]</f>
        <v>11</v>
      </c>
      <c r="AE515" s="65">
        <f>tblWorkPackages[[#This Row],[Last labor date]]-tblWorkPackages[[#This Row],[First labor date]]</f>
        <v>0</v>
      </c>
      <c r="AF515" s="65">
        <f>tblWorkPackages[[#This Row],[Completion date serial]]-tblWorkPackages[[#This Row],[Last labor date]]</f>
        <v>1</v>
      </c>
      <c r="AG515" s="65">
        <f>tblWorkPackages[[#This Row],[Completion date serial]]-tblWorkPackages[[#This Row],[Request date serial]]</f>
        <v>12</v>
      </c>
      <c r="AH515" s="65">
        <f>IFERROR(INDEX(tblParts[Delay days],MATCH(tblWorkPackages[[#This Row],[Work package ID]],tblParts[Work package ID],0)),0)</f>
        <v>0</v>
      </c>
      <c r="AI515" s="51" t="str">
        <f>IFERROR(INDEX(tblDisruptions[Event type],MATCH(tblWorkPackages[[#This Row],[Work package ID]],tblDisruptions[Work package ID],0)),"None")</f>
        <v>None</v>
      </c>
      <c r="AJ515" s="51" t="str">
        <f>TEXT(tblWorkPackages[[#This Row],[Due date serial]],"yyyy-mm")</f>
        <v>2024-05</v>
      </c>
    </row>
    <row r="516" spans="1:36" ht="15" x14ac:dyDescent="0.25">
      <c r="A516" s="53" t="s">
        <v>1335</v>
      </c>
      <c r="B516" s="53" t="s">
        <v>124</v>
      </c>
      <c r="C516" s="53" t="s">
        <v>412</v>
      </c>
      <c r="D516" s="53" t="s">
        <v>827</v>
      </c>
      <c r="E516" s="53" t="s">
        <v>209</v>
      </c>
      <c r="F516" s="53" t="s">
        <v>145</v>
      </c>
      <c r="G516" s="53" t="s">
        <v>210</v>
      </c>
      <c r="H516" s="53">
        <v>2</v>
      </c>
      <c r="I516" s="53" t="s">
        <v>176</v>
      </c>
      <c r="J516" s="53">
        <v>0</v>
      </c>
      <c r="K516" s="53">
        <v>0</v>
      </c>
      <c r="L516" s="53">
        <v>22.7</v>
      </c>
      <c r="M516" s="53" t="s">
        <v>413</v>
      </c>
      <c r="N516" s="53">
        <v>23.4</v>
      </c>
      <c r="O516" s="51" t="str">
        <f>TEXT(tblWorkPackages[[#This Row],[Request date serial]]-WEEKDAY(tblWorkPackages[[#This Row],[Request date serial]],3),"yyyy-mm-dd")</f>
        <v>2025-02-24</v>
      </c>
      <c r="P516" s="51">
        <f>ABS(tblWorkPackages[[#This Row],[Actual labor hours]]-tblWorkPackages[[#This Row],[Estimated labor hours]])</f>
        <v>0.699999999999999</v>
      </c>
      <c r="Q516" s="51">
        <f>IF(tblWorkPackages[[#This Row],[Actual labor hours]]&gt;tblWorkPackages[[#This Row],[Estimated labor hours]],1,0)</f>
        <v>1</v>
      </c>
      <c r="R516" s="51">
        <f>tblWorkPackages[[#This Row],[Actual labor hours]]-tblWorkPackages[[#This Row],[Estimated labor hours]]</f>
        <v>0.699999999999999</v>
      </c>
      <c r="S516" s="51" t="str">
        <f>IF(tblWorkPackages[[#This Row],[Request date serial]]&lt;ValidationStart,"Train 2024",IF(tblWorkPackages[[#This Row],[Request date serial]]&lt;HoldoutStart,"Validation H1","Holdout H2"))</f>
        <v>Validation H1</v>
      </c>
      <c r="T516" s="51">
        <f>IF(tblWorkPackages[[#This Row],[Time split]]="Train 2024","",tblWorkPackages[[#This Row],[Estimated labor hours]]+VLOOKUP(tblWorkPackages[[#This Row],[Task type]],'Forecast validation'!$A$14:$E$25,IF(tblWorkPackages[[#This Row],[Time split]]="Validation H1",4,5),FALSE()))</f>
        <v>23.8029850746269</v>
      </c>
      <c r="U516" s="51">
        <f>IF(tblWorkPackages[[#This Row],[Calibrated forecast hours]]="","",ABS(tblWorkPackages[[#This Row],[Actual labor hours]]-tblWorkPackages[[#This Row],[Calibrated forecast hours]]))</f>
        <v>0.402985074626866</v>
      </c>
      <c r="V516" s="51">
        <f>IF(tblWorkPackages[[#This Row],[Time split]]="Train 2024",tblWorkPackages[[#This Row],[Estimated labor hours]],tblWorkPackages[[#This Row],[Calibrated forecast hours]])</f>
        <v>23.8029850746269</v>
      </c>
      <c r="W516" s="64">
        <f>DATEVALUE(tblWorkPackages[[#This Row],[Request date]])</f>
        <v>45712.0</v>
      </c>
      <c r="X516" s="64">
        <f>DATEVALUE(tblWorkPackages[[#This Row],[Due date]])</f>
        <v>45718.0</v>
      </c>
      <c r="Y516" s="64">
        <f>DATEVALUE(tblWorkPackages[[#This Row],[Completion date]])</f>
        <v>45717.0</v>
      </c>
      <c r="Z516" s="64">
        <f>_xlfn.MINIFS(tblLaborEntries[Work date serial],tblLaborEntries[Work package ID],tblWorkPackages[[#This Row],[Work package ID]])</f>
        <v>45715.0</v>
      </c>
      <c r="AA516" s="64">
        <f>_xlfn.MAXIFS(tblLaborEntries[Work date serial],tblLaborEntries[Work package ID],tblWorkPackages[[#This Row],[Work package ID]])</f>
        <v>45715.0</v>
      </c>
      <c r="AB516" s="65">
        <f>IF(tblWorkPackages[[#This Row],[Completion date serial]]&gt;tblWorkPackages[[#This Row],[Due date serial]],1,0)</f>
        <v>0</v>
      </c>
      <c r="AC516" s="65">
        <f>MAX(0,tblWorkPackages[[#This Row],[Completion date serial]]-tblWorkPackages[[#This Row],[Due date serial]])</f>
        <v>0</v>
      </c>
      <c r="AD516" s="65">
        <f>tblWorkPackages[[#This Row],[First labor date]]-tblWorkPackages[[#This Row],[Request date serial]]</f>
        <v>3</v>
      </c>
      <c r="AE516" s="65">
        <f>tblWorkPackages[[#This Row],[Last labor date]]-tblWorkPackages[[#This Row],[First labor date]]</f>
        <v>0</v>
      </c>
      <c r="AF516" s="65">
        <f>tblWorkPackages[[#This Row],[Completion date serial]]-tblWorkPackages[[#This Row],[Last labor date]]</f>
        <v>2</v>
      </c>
      <c r="AG516" s="65">
        <f>tblWorkPackages[[#This Row],[Completion date serial]]-tblWorkPackages[[#This Row],[Request date serial]]</f>
        <v>5</v>
      </c>
      <c r="AH516" s="65">
        <f>IFERROR(INDEX(tblParts[Delay days],MATCH(tblWorkPackages[[#This Row],[Work package ID]],tblParts[Work package ID],0)),0)</f>
        <v>0</v>
      </c>
      <c r="AI516" s="51" t="str">
        <f>IFERROR(INDEX(tblDisruptions[Event type],MATCH(tblWorkPackages[[#This Row],[Work package ID]],tblDisruptions[Work package ID],0)),"None")</f>
        <v>None</v>
      </c>
      <c r="AJ516" s="51" t="str">
        <f>TEXT(tblWorkPackages[[#This Row],[Due date serial]],"yyyy-mm")</f>
        <v>2025-03</v>
      </c>
    </row>
    <row r="517" spans="1:36" ht="15" x14ac:dyDescent="0.25">
      <c r="A517" s="53" t="s">
        <v>1336</v>
      </c>
      <c r="B517" s="53" t="s">
        <v>150</v>
      </c>
      <c r="C517" s="53" t="s">
        <v>142</v>
      </c>
      <c r="D517" s="53" t="s">
        <v>805</v>
      </c>
      <c r="E517" s="53" t="s">
        <v>153</v>
      </c>
      <c r="F517" s="53" t="s">
        <v>128</v>
      </c>
      <c r="G517" s="53" t="s">
        <v>154</v>
      </c>
      <c r="H517" s="53">
        <v>1</v>
      </c>
      <c r="I517" s="53" t="s">
        <v>130</v>
      </c>
      <c r="J517" s="53">
        <v>0</v>
      </c>
      <c r="K517" s="53">
        <v>0</v>
      </c>
      <c r="L517" s="53">
        <v>6.6</v>
      </c>
      <c r="M517" s="53" t="s">
        <v>1260</v>
      </c>
      <c r="N517" s="53">
        <v>7.9</v>
      </c>
      <c r="O517" s="51" t="str">
        <f>TEXT(tblWorkPackages[[#This Row],[Request date serial]]-WEEKDAY(tblWorkPackages[[#This Row],[Request date serial]],3),"yyyy-mm-dd")</f>
        <v>2024-01-29</v>
      </c>
      <c r="P517" s="51">
        <f>ABS(tblWorkPackages[[#This Row],[Actual labor hours]]-tblWorkPackages[[#This Row],[Estimated labor hours]])</f>
        <v>1.3</v>
      </c>
      <c r="Q517" s="51">
        <f>IF(tblWorkPackages[[#This Row],[Actual labor hours]]&gt;tblWorkPackages[[#This Row],[Estimated labor hours]],1,0)</f>
        <v>1</v>
      </c>
      <c r="R517" s="51">
        <f>tblWorkPackages[[#This Row],[Actual labor hours]]-tblWorkPackages[[#This Row],[Estimated labor hours]]</f>
        <v>1.3</v>
      </c>
      <c r="S517" s="51" t="str">
        <f>IF(tblWorkPackages[[#This Row],[Request date serial]]&lt;ValidationStart,"Train 2024",IF(tblWorkPackages[[#This Row],[Request date serial]]&lt;HoldoutStart,"Validation H1","Holdout H2"))</f>
        <v>Train 2024</v>
      </c>
      <c r="T517" s="51" t="str">
        <f>IF(tblWorkPackages[[#This Row],[Time split]]="Train 2024","",tblWorkPackages[[#This Row],[Estimated labor hours]]+VLOOKUP(tblWorkPackages[[#This Row],[Task type]],'Forecast validation'!$A$14:$E$25,IF(tblWorkPackages[[#This Row],[Time split]]="Validation H1",4,5),FALSE()))</f>
        <v/>
      </c>
      <c r="U517" s="51" t="str">
        <f>IF(tblWorkPackages[[#This Row],[Calibrated forecast hours]]="","",ABS(tblWorkPackages[[#This Row],[Actual labor hours]]-tblWorkPackages[[#This Row],[Calibrated forecast hours]]))</f>
        <v/>
      </c>
      <c r="V517" s="51">
        <f>IF(tblWorkPackages[[#This Row],[Time split]]="Train 2024",tblWorkPackages[[#This Row],[Estimated labor hours]],tblWorkPackages[[#This Row],[Calibrated forecast hours]])</f>
        <v>6.6</v>
      </c>
      <c r="W517" s="64">
        <f>DATEVALUE(tblWorkPackages[[#This Row],[Request date]])</f>
        <v>45322.0</v>
      </c>
      <c r="X517" s="64">
        <f>DATEVALUE(tblWorkPackages[[#This Row],[Due date]])</f>
        <v>45335.0</v>
      </c>
      <c r="Y517" s="64">
        <f>DATEVALUE(tblWorkPackages[[#This Row],[Completion date]])</f>
        <v>45355.0</v>
      </c>
      <c r="Z517" s="64">
        <f>_xlfn.MINIFS(tblLaborEntries[Work date serial],tblLaborEntries[Work package ID],tblWorkPackages[[#This Row],[Work package ID]])</f>
        <v>45352.0</v>
      </c>
      <c r="AA517" s="64">
        <f>_xlfn.MAXIFS(tblLaborEntries[Work date serial],tblLaborEntries[Work package ID],tblWorkPackages[[#This Row],[Work package ID]])</f>
        <v>45352.0</v>
      </c>
      <c r="AB517" s="65">
        <f>IF(tblWorkPackages[[#This Row],[Completion date serial]]&gt;tblWorkPackages[[#This Row],[Due date serial]],1,0)</f>
        <v>1</v>
      </c>
      <c r="AC517" s="65">
        <f>MAX(0,tblWorkPackages[[#This Row],[Completion date serial]]-tblWorkPackages[[#This Row],[Due date serial]])</f>
        <v>20</v>
      </c>
      <c r="AD517" s="65">
        <f>tblWorkPackages[[#This Row],[First labor date]]-tblWorkPackages[[#This Row],[Request date serial]]</f>
        <v>30</v>
      </c>
      <c r="AE517" s="65">
        <f>tblWorkPackages[[#This Row],[Last labor date]]-tblWorkPackages[[#This Row],[First labor date]]</f>
        <v>0</v>
      </c>
      <c r="AF517" s="65">
        <f>tblWorkPackages[[#This Row],[Completion date serial]]-tblWorkPackages[[#This Row],[Last labor date]]</f>
        <v>3</v>
      </c>
      <c r="AG517" s="65">
        <f>tblWorkPackages[[#This Row],[Completion date serial]]-tblWorkPackages[[#This Row],[Request date serial]]</f>
        <v>33</v>
      </c>
      <c r="AH517" s="65">
        <f>IFERROR(INDEX(tblParts[Delay days],MATCH(tblWorkPackages[[#This Row],[Work package ID]],tblParts[Work package ID],0)),0)</f>
        <v>0</v>
      </c>
      <c r="AI517" s="51" t="str">
        <f>IFERROR(INDEX(tblDisruptions[Event type],MATCH(tblWorkPackages[[#This Row],[Work package ID]],tblDisruptions[Work package ID],0)),"None")</f>
        <v>None</v>
      </c>
      <c r="AJ517" s="51" t="str">
        <f>TEXT(tblWorkPackages[[#This Row],[Due date serial]],"yyyy-mm")</f>
        <v>2024-02</v>
      </c>
    </row>
    <row r="518" spans="1:36" ht="15" x14ac:dyDescent="0.25">
      <c r="A518" s="53" t="s">
        <v>1337</v>
      </c>
      <c r="B518" s="53" t="s">
        <v>203</v>
      </c>
      <c r="C518" s="53" t="s">
        <v>329</v>
      </c>
      <c r="D518" s="53" t="s">
        <v>667</v>
      </c>
      <c r="E518" s="53" t="s">
        <v>200</v>
      </c>
      <c r="F518" s="53" t="s">
        <v>128</v>
      </c>
      <c r="G518" s="53" t="s">
        <v>129</v>
      </c>
      <c r="H518" s="53">
        <v>1</v>
      </c>
      <c r="I518" s="53" t="s">
        <v>176</v>
      </c>
      <c r="J518" s="53">
        <v>0</v>
      </c>
      <c r="K518" s="53">
        <v>1</v>
      </c>
      <c r="L518" s="53">
        <v>2</v>
      </c>
      <c r="M518" s="53" t="s">
        <v>667</v>
      </c>
      <c r="N518" s="53">
        <v>2.2999999999999998</v>
      </c>
      <c r="O518" s="51" t="str">
        <f>TEXT(tblWorkPackages[[#This Row],[Request date serial]]-WEEKDAY(tblWorkPackages[[#This Row],[Request date serial]],3),"yyyy-mm-dd")</f>
        <v>2024-03-11</v>
      </c>
      <c r="P518" s="51">
        <f>ABS(tblWorkPackages[[#This Row],[Actual labor hours]]-tblWorkPackages[[#This Row],[Estimated labor hours]])</f>
        <v>0.3</v>
      </c>
      <c r="Q518" s="51">
        <f>IF(tblWorkPackages[[#This Row],[Actual labor hours]]&gt;tblWorkPackages[[#This Row],[Estimated labor hours]],1,0)</f>
        <v>1</v>
      </c>
      <c r="R518" s="51">
        <f>tblWorkPackages[[#This Row],[Actual labor hours]]-tblWorkPackages[[#This Row],[Estimated labor hours]]</f>
        <v>0.3</v>
      </c>
      <c r="S518" s="51" t="str">
        <f>IF(tblWorkPackages[[#This Row],[Request date serial]]&lt;ValidationStart,"Train 2024",IF(tblWorkPackages[[#This Row],[Request date serial]]&lt;HoldoutStart,"Validation H1","Holdout H2"))</f>
        <v>Train 2024</v>
      </c>
      <c r="T518" s="51" t="str">
        <f>IF(tblWorkPackages[[#This Row],[Time split]]="Train 2024","",tblWorkPackages[[#This Row],[Estimated labor hours]]+VLOOKUP(tblWorkPackages[[#This Row],[Task type]],'Forecast validation'!$A$14:$E$25,IF(tblWorkPackages[[#This Row],[Time split]]="Validation H1",4,5),FALSE()))</f>
        <v/>
      </c>
      <c r="U518" s="51" t="str">
        <f>IF(tblWorkPackages[[#This Row],[Calibrated forecast hours]]="","",ABS(tblWorkPackages[[#This Row],[Actual labor hours]]-tblWorkPackages[[#This Row],[Calibrated forecast hours]]))</f>
        <v/>
      </c>
      <c r="V518" s="51">
        <f>IF(tblWorkPackages[[#This Row],[Time split]]="Train 2024",tblWorkPackages[[#This Row],[Estimated labor hours]],tblWorkPackages[[#This Row],[Calibrated forecast hours]])</f>
        <v>2</v>
      </c>
      <c r="W518" s="64">
        <f>DATEVALUE(tblWorkPackages[[#This Row],[Request date]])</f>
        <v>45367.0</v>
      </c>
      <c r="X518" s="64">
        <f>DATEVALUE(tblWorkPackages[[#This Row],[Due date]])</f>
        <v>45373.0</v>
      </c>
      <c r="Y518" s="64">
        <f>DATEVALUE(tblWorkPackages[[#This Row],[Completion date]])</f>
        <v>45373.0</v>
      </c>
      <c r="Z518" s="64">
        <f>_xlfn.MINIFS(tblLaborEntries[Work date serial],tblLaborEntries[Work package ID],tblWorkPackages[[#This Row],[Work package ID]])</f>
        <v>45372.0</v>
      </c>
      <c r="AA518" s="64">
        <f>_xlfn.MAXIFS(tblLaborEntries[Work date serial],tblLaborEntries[Work package ID],tblWorkPackages[[#This Row],[Work package ID]])</f>
        <v>45373.0</v>
      </c>
      <c r="AB518" s="65">
        <f>IF(tblWorkPackages[[#This Row],[Completion date serial]]&gt;tblWorkPackages[[#This Row],[Due date serial]],1,0)</f>
        <v>0</v>
      </c>
      <c r="AC518" s="65">
        <f>MAX(0,tblWorkPackages[[#This Row],[Completion date serial]]-tblWorkPackages[[#This Row],[Due date serial]])</f>
        <v>0</v>
      </c>
      <c r="AD518" s="65">
        <f>tblWorkPackages[[#This Row],[First labor date]]-tblWorkPackages[[#This Row],[Request date serial]]</f>
        <v>5</v>
      </c>
      <c r="AE518" s="65">
        <f>tblWorkPackages[[#This Row],[Last labor date]]-tblWorkPackages[[#This Row],[First labor date]]</f>
        <v>1</v>
      </c>
      <c r="AF518" s="65">
        <f>tblWorkPackages[[#This Row],[Completion date serial]]-tblWorkPackages[[#This Row],[Last labor date]]</f>
        <v>0</v>
      </c>
      <c r="AG518" s="65">
        <f>tblWorkPackages[[#This Row],[Completion date serial]]-tblWorkPackages[[#This Row],[Request date serial]]</f>
        <v>6</v>
      </c>
      <c r="AH518" s="65">
        <f>IFERROR(INDEX(tblParts[Delay days],MATCH(tblWorkPackages[[#This Row],[Work package ID]],tblParts[Work package ID],0)),0)</f>
        <v>0</v>
      </c>
      <c r="AI518" s="51" t="str">
        <f>IFERROR(INDEX(tblDisruptions[Event type],MATCH(tblWorkPackages[[#This Row],[Work package ID]],tblDisruptions[Work package ID],0)),"None")</f>
        <v>None</v>
      </c>
      <c r="AJ518" s="51" t="str">
        <f>TEXT(tblWorkPackages[[#This Row],[Due date serial]],"yyyy-mm")</f>
        <v>2024-03</v>
      </c>
    </row>
    <row r="519" spans="1:36" ht="15" x14ac:dyDescent="0.25">
      <c r="A519" s="53" t="s">
        <v>1338</v>
      </c>
      <c r="B519" s="53" t="s">
        <v>163</v>
      </c>
      <c r="C519" s="53" t="s">
        <v>952</v>
      </c>
      <c r="D519" s="53" t="s">
        <v>276</v>
      </c>
      <c r="E519" s="53" t="s">
        <v>127</v>
      </c>
      <c r="F519" s="53" t="s">
        <v>128</v>
      </c>
      <c r="G519" s="53" t="s">
        <v>129</v>
      </c>
      <c r="H519" s="53">
        <v>3</v>
      </c>
      <c r="I519" s="53" t="s">
        <v>176</v>
      </c>
      <c r="J519" s="53">
        <v>1</v>
      </c>
      <c r="K519" s="53">
        <v>0</v>
      </c>
      <c r="L519" s="53">
        <v>8.1999999999999993</v>
      </c>
      <c r="M519" s="53" t="s">
        <v>883</v>
      </c>
      <c r="N519" s="53">
        <v>11.3</v>
      </c>
      <c r="O519" s="51" t="str">
        <f>TEXT(tblWorkPackages[[#This Row],[Request date serial]]-WEEKDAY(tblWorkPackages[[#This Row],[Request date serial]],3),"yyyy-mm-dd")</f>
        <v>2024-10-07</v>
      </c>
      <c r="P519" s="51">
        <f>ABS(tblWorkPackages[[#This Row],[Actual labor hours]]-tblWorkPackages[[#This Row],[Estimated labor hours]])</f>
        <v>3.1</v>
      </c>
      <c r="Q519" s="51">
        <f>IF(tblWorkPackages[[#This Row],[Actual labor hours]]&gt;tblWorkPackages[[#This Row],[Estimated labor hours]],1,0)</f>
        <v>1</v>
      </c>
      <c r="R519" s="51">
        <f>tblWorkPackages[[#This Row],[Actual labor hours]]-tblWorkPackages[[#This Row],[Estimated labor hours]]</f>
        <v>3.1</v>
      </c>
      <c r="S519" s="51" t="str">
        <f>IF(tblWorkPackages[[#This Row],[Request date serial]]&lt;ValidationStart,"Train 2024",IF(tblWorkPackages[[#This Row],[Request date serial]]&lt;HoldoutStart,"Validation H1","Holdout H2"))</f>
        <v>Train 2024</v>
      </c>
      <c r="T519" s="51" t="str">
        <f>IF(tblWorkPackages[[#This Row],[Time split]]="Train 2024","",tblWorkPackages[[#This Row],[Estimated labor hours]]+VLOOKUP(tblWorkPackages[[#This Row],[Task type]],'Forecast validation'!$A$14:$E$25,IF(tblWorkPackages[[#This Row],[Time split]]="Validation H1",4,5),FALSE()))</f>
        <v/>
      </c>
      <c r="U519" s="51" t="str">
        <f>IF(tblWorkPackages[[#This Row],[Calibrated forecast hours]]="","",ABS(tblWorkPackages[[#This Row],[Actual labor hours]]-tblWorkPackages[[#This Row],[Calibrated forecast hours]]))</f>
        <v/>
      </c>
      <c r="V519" s="51">
        <f>IF(tblWorkPackages[[#This Row],[Time split]]="Train 2024",tblWorkPackages[[#This Row],[Estimated labor hours]],tblWorkPackages[[#This Row],[Calibrated forecast hours]])</f>
        <v>8.2</v>
      </c>
      <c r="W519" s="64">
        <f>DATEVALUE(tblWorkPackages[[#This Row],[Request date]])</f>
        <v>45578.0</v>
      </c>
      <c r="X519" s="64">
        <f>DATEVALUE(tblWorkPackages[[#This Row],[Due date]])</f>
        <v>45584.0</v>
      </c>
      <c r="Y519" s="64">
        <f>DATEVALUE(tblWorkPackages[[#This Row],[Completion date]])</f>
        <v>45583.0</v>
      </c>
      <c r="Z519" s="64">
        <f>_xlfn.MINIFS(tblLaborEntries[Work date serial],tblLaborEntries[Work package ID],tblWorkPackages[[#This Row],[Work package ID]])</f>
        <v>45580.0</v>
      </c>
      <c r="AA519" s="64">
        <f>_xlfn.MAXIFS(tblLaborEntries[Work date serial],tblLaborEntries[Work package ID],tblWorkPackages[[#This Row],[Work package ID]])</f>
        <v>45582.0</v>
      </c>
      <c r="AB519" s="65">
        <f>IF(tblWorkPackages[[#This Row],[Completion date serial]]&gt;tblWorkPackages[[#This Row],[Due date serial]],1,0)</f>
        <v>0</v>
      </c>
      <c r="AC519" s="65">
        <f>MAX(0,tblWorkPackages[[#This Row],[Completion date serial]]-tblWorkPackages[[#This Row],[Due date serial]])</f>
        <v>0</v>
      </c>
      <c r="AD519" s="65">
        <f>tblWorkPackages[[#This Row],[First labor date]]-tblWorkPackages[[#This Row],[Request date serial]]</f>
        <v>2</v>
      </c>
      <c r="AE519" s="65">
        <f>tblWorkPackages[[#This Row],[Last labor date]]-tblWorkPackages[[#This Row],[First labor date]]</f>
        <v>2</v>
      </c>
      <c r="AF519" s="65">
        <f>tblWorkPackages[[#This Row],[Completion date serial]]-tblWorkPackages[[#This Row],[Last labor date]]</f>
        <v>1</v>
      </c>
      <c r="AG519" s="65">
        <f>tblWorkPackages[[#This Row],[Completion date serial]]-tblWorkPackages[[#This Row],[Request date serial]]</f>
        <v>5</v>
      </c>
      <c r="AH519" s="65">
        <f>IFERROR(INDEX(tblParts[Delay days],MATCH(tblWorkPackages[[#This Row],[Work package ID]],tblParts[Work package ID],0)),0)</f>
        <v>0</v>
      </c>
      <c r="AI519" s="51" t="str">
        <f>IFERROR(INDEX(tblDisruptions[Event type],MATCH(tblWorkPackages[[#This Row],[Work package ID]],tblDisruptions[Work package ID],0)),"None")</f>
        <v>None</v>
      </c>
      <c r="AJ519" s="51" t="str">
        <f>TEXT(tblWorkPackages[[#This Row],[Due date serial]],"yyyy-mm")</f>
        <v>2024-10</v>
      </c>
    </row>
    <row r="520" spans="1:36" ht="15" x14ac:dyDescent="0.25">
      <c r="A520" s="53" t="s">
        <v>1339</v>
      </c>
      <c r="B520" s="53" t="s">
        <v>185</v>
      </c>
      <c r="C520" s="53" t="s">
        <v>492</v>
      </c>
      <c r="D520" s="53" t="s">
        <v>886</v>
      </c>
      <c r="E520" s="53" t="s">
        <v>127</v>
      </c>
      <c r="F520" s="53" t="s">
        <v>128</v>
      </c>
      <c r="G520" s="53" t="s">
        <v>129</v>
      </c>
      <c r="H520" s="53">
        <v>1</v>
      </c>
      <c r="I520" s="53" t="s">
        <v>130</v>
      </c>
      <c r="J520" s="53">
        <v>0</v>
      </c>
      <c r="K520" s="53">
        <v>0</v>
      </c>
      <c r="L520" s="53">
        <v>4.7</v>
      </c>
      <c r="M520" s="53" t="s">
        <v>529</v>
      </c>
      <c r="N520" s="53">
        <v>5.3</v>
      </c>
      <c r="O520" s="51" t="str">
        <f>TEXT(tblWorkPackages[[#This Row],[Request date serial]]-WEEKDAY(tblWorkPackages[[#This Row],[Request date serial]],3),"yyyy-mm-dd")</f>
        <v>2025-08-25</v>
      </c>
      <c r="P520" s="51">
        <f>ABS(tblWorkPackages[[#This Row],[Actual labor hours]]-tblWorkPackages[[#This Row],[Estimated labor hours]])</f>
        <v>0.6</v>
      </c>
      <c r="Q520" s="51">
        <f>IF(tblWorkPackages[[#This Row],[Actual labor hours]]&gt;tblWorkPackages[[#This Row],[Estimated labor hours]],1,0)</f>
        <v>1</v>
      </c>
      <c r="R520" s="51">
        <f>tblWorkPackages[[#This Row],[Actual labor hours]]-tblWorkPackages[[#This Row],[Estimated labor hours]]</f>
        <v>0.6</v>
      </c>
      <c r="S520" s="51" t="str">
        <f>IF(tblWorkPackages[[#This Row],[Request date serial]]&lt;ValidationStart,"Train 2024",IF(tblWorkPackages[[#This Row],[Request date serial]]&lt;HoldoutStart,"Validation H1","Holdout H2"))</f>
        <v>Holdout H2</v>
      </c>
      <c r="T520" s="51">
        <f>IF(tblWorkPackages[[#This Row],[Time split]]="Train 2024","",tblWorkPackages[[#This Row],[Estimated labor hours]]+VLOOKUP(tblWorkPackages[[#This Row],[Task type]],'Forecast validation'!$A$14:$E$25,IF(tblWorkPackages[[#This Row],[Time split]]="Validation H1",4,5),FALSE()))</f>
        <v>5.24341085271318</v>
      </c>
      <c r="U520" s="51">
        <f>IF(tblWorkPackages[[#This Row],[Calibrated forecast hours]]="","",ABS(tblWorkPackages[[#This Row],[Actual labor hours]]-tblWorkPackages[[#This Row],[Calibrated forecast hours]]))</f>
        <v>0.0565891472868216</v>
      </c>
      <c r="V520" s="51">
        <f>IF(tblWorkPackages[[#This Row],[Time split]]="Train 2024",tblWorkPackages[[#This Row],[Estimated labor hours]],tblWorkPackages[[#This Row],[Calibrated forecast hours]])</f>
        <v>5.24341085271318</v>
      </c>
      <c r="W520" s="64">
        <f>DATEVALUE(tblWorkPackages[[#This Row],[Request date]])</f>
        <v>45894.0</v>
      </c>
      <c r="X520" s="64">
        <f>DATEVALUE(tblWorkPackages[[#This Row],[Due date]])</f>
        <v>45907.0</v>
      </c>
      <c r="Y520" s="64">
        <f>DATEVALUE(tblWorkPackages[[#This Row],[Completion date]])</f>
        <v>45911.0</v>
      </c>
      <c r="Z520" s="64">
        <f>_xlfn.MINIFS(tblLaborEntries[Work date serial],tblLaborEntries[Work package ID],tblWorkPackages[[#This Row],[Work package ID]])</f>
        <v>45908.0</v>
      </c>
      <c r="AA520" s="64">
        <f>_xlfn.MAXIFS(tblLaborEntries[Work date serial],tblLaborEntries[Work package ID],tblWorkPackages[[#This Row],[Work package ID]])</f>
        <v>45909.0</v>
      </c>
      <c r="AB520" s="65">
        <f>IF(tblWorkPackages[[#This Row],[Completion date serial]]&gt;tblWorkPackages[[#This Row],[Due date serial]],1,0)</f>
        <v>1</v>
      </c>
      <c r="AC520" s="65">
        <f>MAX(0,tblWorkPackages[[#This Row],[Completion date serial]]-tblWorkPackages[[#This Row],[Due date serial]])</f>
        <v>4</v>
      </c>
      <c r="AD520" s="65">
        <f>tblWorkPackages[[#This Row],[First labor date]]-tblWorkPackages[[#This Row],[Request date serial]]</f>
        <v>14</v>
      </c>
      <c r="AE520" s="65">
        <f>tblWorkPackages[[#This Row],[Last labor date]]-tblWorkPackages[[#This Row],[First labor date]]</f>
        <v>1</v>
      </c>
      <c r="AF520" s="65">
        <f>tblWorkPackages[[#This Row],[Completion date serial]]-tblWorkPackages[[#This Row],[Last labor date]]</f>
        <v>2</v>
      </c>
      <c r="AG520" s="65">
        <f>tblWorkPackages[[#This Row],[Completion date serial]]-tblWorkPackages[[#This Row],[Request date serial]]</f>
        <v>17</v>
      </c>
      <c r="AH520" s="65">
        <f>IFERROR(INDEX(tblParts[Delay days],MATCH(tblWorkPackages[[#This Row],[Work package ID]],tblParts[Work package ID],0)),0)</f>
        <v>0</v>
      </c>
      <c r="AI520" s="51" t="str">
        <f>IFERROR(INDEX(tblDisruptions[Event type],MATCH(tblWorkPackages[[#This Row],[Work package ID]],tblDisruptions[Work package ID],0)),"None")</f>
        <v>None</v>
      </c>
      <c r="AJ520" s="51" t="str">
        <f>TEXT(tblWorkPackages[[#This Row],[Due date serial]],"yyyy-mm")</f>
        <v>2025-09</v>
      </c>
    </row>
    <row r="521" spans="1:36" ht="15" x14ac:dyDescent="0.25">
      <c r="A521" s="53" t="s">
        <v>1340</v>
      </c>
      <c r="B521" s="53" t="s">
        <v>235</v>
      </c>
      <c r="C521" s="53" t="s">
        <v>204</v>
      </c>
      <c r="D521" s="53" t="s">
        <v>535</v>
      </c>
      <c r="E521" s="53" t="s">
        <v>160</v>
      </c>
      <c r="F521" s="53" t="s">
        <v>128</v>
      </c>
      <c r="G521" s="53" t="s">
        <v>138</v>
      </c>
      <c r="H521" s="53">
        <v>1</v>
      </c>
      <c r="I521" s="53" t="s">
        <v>176</v>
      </c>
      <c r="J521" s="53">
        <v>1</v>
      </c>
      <c r="K521" s="53">
        <v>0</v>
      </c>
      <c r="L521" s="53">
        <v>2.6</v>
      </c>
      <c r="M521" s="53" t="s">
        <v>948</v>
      </c>
      <c r="N521" s="53">
        <v>3.7</v>
      </c>
      <c r="O521" s="51" t="str">
        <f>TEXT(tblWorkPackages[[#This Row],[Request date serial]]-WEEKDAY(tblWorkPackages[[#This Row],[Request date serial]],3),"yyyy-mm-dd")</f>
        <v>2024-10-28</v>
      </c>
      <c r="P521" s="51">
        <f>ABS(tblWorkPackages[[#This Row],[Actual labor hours]]-tblWorkPackages[[#This Row],[Estimated labor hours]])</f>
        <v>1.1</v>
      </c>
      <c r="Q521" s="51">
        <f>IF(tblWorkPackages[[#This Row],[Actual labor hours]]&gt;tblWorkPackages[[#This Row],[Estimated labor hours]],1,0)</f>
        <v>1</v>
      </c>
      <c r="R521" s="51">
        <f>tblWorkPackages[[#This Row],[Actual labor hours]]-tblWorkPackages[[#This Row],[Estimated labor hours]]</f>
        <v>1.1</v>
      </c>
      <c r="S521" s="51" t="str">
        <f>IF(tblWorkPackages[[#This Row],[Request date serial]]&lt;ValidationStart,"Train 2024",IF(tblWorkPackages[[#This Row],[Request date serial]]&lt;HoldoutStart,"Validation H1","Holdout H2"))</f>
        <v>Train 2024</v>
      </c>
      <c r="T521" s="51" t="str">
        <f>IF(tblWorkPackages[[#This Row],[Time split]]="Train 2024","",tblWorkPackages[[#This Row],[Estimated labor hours]]+VLOOKUP(tblWorkPackages[[#This Row],[Task type]],'Forecast validation'!$A$14:$E$25,IF(tblWorkPackages[[#This Row],[Time split]]="Validation H1",4,5),FALSE()))</f>
        <v/>
      </c>
      <c r="U521" s="51" t="str">
        <f>IF(tblWorkPackages[[#This Row],[Calibrated forecast hours]]="","",ABS(tblWorkPackages[[#This Row],[Actual labor hours]]-tblWorkPackages[[#This Row],[Calibrated forecast hours]]))</f>
        <v/>
      </c>
      <c r="V521" s="51">
        <f>IF(tblWorkPackages[[#This Row],[Time split]]="Train 2024",tblWorkPackages[[#This Row],[Estimated labor hours]],tblWorkPackages[[#This Row],[Calibrated forecast hours]])</f>
        <v>2.6</v>
      </c>
      <c r="W521" s="64">
        <f>DATEVALUE(tblWorkPackages[[#This Row],[Request date]])</f>
        <v>45596.0</v>
      </c>
      <c r="X521" s="64">
        <f>DATEVALUE(tblWorkPackages[[#This Row],[Due date]])</f>
        <v>45602.0</v>
      </c>
      <c r="Y521" s="64">
        <f>DATEVALUE(tblWorkPackages[[#This Row],[Completion date]])</f>
        <v>45603.0</v>
      </c>
      <c r="Z521" s="64">
        <f>_xlfn.MINIFS(tblLaborEntries[Work date serial],tblLaborEntries[Work package ID],tblWorkPackages[[#This Row],[Work package ID]])</f>
        <v>45600.0</v>
      </c>
      <c r="AA521" s="64">
        <f>_xlfn.MAXIFS(tblLaborEntries[Work date serial],tblLaborEntries[Work package ID],tblWorkPackages[[#This Row],[Work package ID]])</f>
        <v>45600.0</v>
      </c>
      <c r="AB521" s="65">
        <f>IF(tblWorkPackages[[#This Row],[Completion date serial]]&gt;tblWorkPackages[[#This Row],[Due date serial]],1,0)</f>
        <v>1</v>
      </c>
      <c r="AC521" s="65">
        <f>MAX(0,tblWorkPackages[[#This Row],[Completion date serial]]-tblWorkPackages[[#This Row],[Due date serial]])</f>
        <v>1</v>
      </c>
      <c r="AD521" s="65">
        <f>tblWorkPackages[[#This Row],[First labor date]]-tblWorkPackages[[#This Row],[Request date serial]]</f>
        <v>4</v>
      </c>
      <c r="AE521" s="65">
        <f>tblWorkPackages[[#This Row],[Last labor date]]-tblWorkPackages[[#This Row],[First labor date]]</f>
        <v>0</v>
      </c>
      <c r="AF521" s="65">
        <f>tblWorkPackages[[#This Row],[Completion date serial]]-tblWorkPackages[[#This Row],[Last labor date]]</f>
        <v>3</v>
      </c>
      <c r="AG521" s="65">
        <f>tblWorkPackages[[#This Row],[Completion date serial]]-tblWorkPackages[[#This Row],[Request date serial]]</f>
        <v>7</v>
      </c>
      <c r="AH521" s="65">
        <f>IFERROR(INDEX(tblParts[Delay days],MATCH(tblWorkPackages[[#This Row],[Work package ID]],tblParts[Work package ID],0)),0)</f>
        <v>0</v>
      </c>
      <c r="AI521" s="51" t="str">
        <f>IFERROR(INDEX(tblDisruptions[Event type],MATCH(tblWorkPackages[[#This Row],[Work package ID]],tblDisruptions[Work package ID],0)),"None")</f>
        <v>None</v>
      </c>
      <c r="AJ521" s="51" t="str">
        <f>TEXT(tblWorkPackages[[#This Row],[Due date serial]],"yyyy-mm")</f>
        <v>2024-11</v>
      </c>
    </row>
    <row r="522" spans="1:36" ht="15" x14ac:dyDescent="0.25">
      <c r="A522" s="53" t="s">
        <v>1341</v>
      </c>
      <c r="B522" s="53" t="s">
        <v>150</v>
      </c>
      <c r="C522" s="53" t="s">
        <v>649</v>
      </c>
      <c r="D522" s="53" t="s">
        <v>399</v>
      </c>
      <c r="E522" s="53" t="s">
        <v>127</v>
      </c>
      <c r="F522" s="53" t="s">
        <v>128</v>
      </c>
      <c r="G522" s="53" t="s">
        <v>129</v>
      </c>
      <c r="H522" s="53">
        <v>3</v>
      </c>
      <c r="I522" s="53" t="s">
        <v>130</v>
      </c>
      <c r="J522" s="53">
        <v>0</v>
      </c>
      <c r="K522" s="53">
        <v>0</v>
      </c>
      <c r="L522" s="53">
        <v>11.3</v>
      </c>
      <c r="M522" s="53" t="s">
        <v>524</v>
      </c>
      <c r="N522" s="53">
        <v>10.6</v>
      </c>
      <c r="O522" s="51" t="str">
        <f>TEXT(tblWorkPackages[[#This Row],[Request date serial]]-WEEKDAY(tblWorkPackages[[#This Row],[Request date serial]],3),"yyyy-mm-dd")</f>
        <v>2024-05-06</v>
      </c>
      <c r="P522" s="51">
        <f>ABS(tblWorkPackages[[#This Row],[Actual labor hours]]-tblWorkPackages[[#This Row],[Estimated labor hours]])</f>
        <v>0.700000000000001</v>
      </c>
      <c r="Q522" s="51">
        <f>IF(tblWorkPackages[[#This Row],[Actual labor hours]]&gt;tblWorkPackages[[#This Row],[Estimated labor hours]],1,0)</f>
        <v>0</v>
      </c>
      <c r="R522" s="51">
        <f>tblWorkPackages[[#This Row],[Actual labor hours]]-tblWorkPackages[[#This Row],[Estimated labor hours]]</f>
        <v>-0.700000000000001</v>
      </c>
      <c r="S522" s="51" t="str">
        <f>IF(tblWorkPackages[[#This Row],[Request date serial]]&lt;ValidationStart,"Train 2024",IF(tblWorkPackages[[#This Row],[Request date serial]]&lt;HoldoutStart,"Validation H1","Holdout H2"))</f>
        <v>Train 2024</v>
      </c>
      <c r="T522" s="51" t="str">
        <f>IF(tblWorkPackages[[#This Row],[Time split]]="Train 2024","",tblWorkPackages[[#This Row],[Estimated labor hours]]+VLOOKUP(tblWorkPackages[[#This Row],[Task type]],'Forecast validation'!$A$14:$E$25,IF(tblWorkPackages[[#This Row],[Time split]]="Validation H1",4,5),FALSE()))</f>
        <v/>
      </c>
      <c r="U522" s="51" t="str">
        <f>IF(tblWorkPackages[[#This Row],[Calibrated forecast hours]]="","",ABS(tblWorkPackages[[#This Row],[Actual labor hours]]-tblWorkPackages[[#This Row],[Calibrated forecast hours]]))</f>
        <v/>
      </c>
      <c r="V522" s="51">
        <f>IF(tblWorkPackages[[#This Row],[Time split]]="Train 2024",tblWorkPackages[[#This Row],[Estimated labor hours]],tblWorkPackages[[#This Row],[Calibrated forecast hours]])</f>
        <v>11.3</v>
      </c>
      <c r="W522" s="64">
        <f>DATEVALUE(tblWorkPackages[[#This Row],[Request date]])</f>
        <v>45423.0</v>
      </c>
      <c r="X522" s="64">
        <f>DATEVALUE(tblWorkPackages[[#This Row],[Due date]])</f>
        <v>45436.0</v>
      </c>
      <c r="Y522" s="64">
        <f>DATEVALUE(tblWorkPackages[[#This Row],[Completion date]])</f>
        <v>45483.0</v>
      </c>
      <c r="Z522" s="64">
        <f>_xlfn.MINIFS(tblLaborEntries[Work date serial],tblLaborEntries[Work package ID],tblWorkPackages[[#This Row],[Work package ID]])</f>
        <v>45482.0</v>
      </c>
      <c r="AA522" s="64">
        <f>_xlfn.MAXIFS(tblLaborEntries[Work date serial],tblLaborEntries[Work package ID],tblWorkPackages[[#This Row],[Work package ID]])</f>
        <v>45483.0</v>
      </c>
      <c r="AB522" s="65">
        <f>IF(tblWorkPackages[[#This Row],[Completion date serial]]&gt;tblWorkPackages[[#This Row],[Due date serial]],1,0)</f>
        <v>1</v>
      </c>
      <c r="AC522" s="65">
        <f>MAX(0,tblWorkPackages[[#This Row],[Completion date serial]]-tblWorkPackages[[#This Row],[Due date serial]])</f>
        <v>47</v>
      </c>
      <c r="AD522" s="65">
        <f>tblWorkPackages[[#This Row],[First labor date]]-tblWorkPackages[[#This Row],[Request date serial]]</f>
        <v>59</v>
      </c>
      <c r="AE522" s="65">
        <f>tblWorkPackages[[#This Row],[Last labor date]]-tblWorkPackages[[#This Row],[First labor date]]</f>
        <v>1</v>
      </c>
      <c r="AF522" s="65">
        <f>tblWorkPackages[[#This Row],[Completion date serial]]-tblWorkPackages[[#This Row],[Last labor date]]</f>
        <v>0</v>
      </c>
      <c r="AG522" s="65">
        <f>tblWorkPackages[[#This Row],[Completion date serial]]-tblWorkPackages[[#This Row],[Request date serial]]</f>
        <v>60</v>
      </c>
      <c r="AH522" s="65">
        <f>IFERROR(INDEX(tblParts[Delay days],MATCH(tblWorkPackages[[#This Row],[Work package ID]],tblParts[Work package ID],0)),0)</f>
        <v>0</v>
      </c>
      <c r="AI522" s="51" t="str">
        <f>IFERROR(INDEX(tblDisruptions[Event type],MATCH(tblWorkPackages[[#This Row],[Work package ID]],tblDisruptions[Work package ID],0)),"None")</f>
        <v>None</v>
      </c>
      <c r="AJ522" s="51" t="str">
        <f>TEXT(tblWorkPackages[[#This Row],[Due date serial]],"yyyy-mm")</f>
        <v>2024-05</v>
      </c>
    </row>
    <row r="523" spans="1:36" ht="15" x14ac:dyDescent="0.25">
      <c r="A523" s="53" t="s">
        <v>1342</v>
      </c>
      <c r="B523" s="53" t="s">
        <v>163</v>
      </c>
      <c r="C523" s="53" t="s">
        <v>1087</v>
      </c>
      <c r="D523" s="53" t="s">
        <v>567</v>
      </c>
      <c r="E523" s="53" t="s">
        <v>223</v>
      </c>
      <c r="F523" s="53" t="s">
        <v>182</v>
      </c>
      <c r="G523" s="53" t="s">
        <v>154</v>
      </c>
      <c r="H523" s="53">
        <v>4</v>
      </c>
      <c r="I523" s="53" t="s">
        <v>130</v>
      </c>
      <c r="J523" s="53">
        <v>0</v>
      </c>
      <c r="K523" s="53">
        <v>1</v>
      </c>
      <c r="L523" s="53">
        <v>24.1</v>
      </c>
      <c r="M523" s="53" t="s">
        <v>183</v>
      </c>
      <c r="N523" s="53">
        <v>30.7</v>
      </c>
      <c r="O523" s="51" t="str">
        <f>TEXT(tblWorkPackages[[#This Row],[Request date serial]]-WEEKDAY(tblWorkPackages[[#This Row],[Request date serial]],3),"yyyy-mm-dd")</f>
        <v>2025-05-05</v>
      </c>
      <c r="P523" s="51">
        <f>ABS(tblWorkPackages[[#This Row],[Actual labor hours]]-tblWorkPackages[[#This Row],[Estimated labor hours]])</f>
        <v>6.6</v>
      </c>
      <c r="Q523" s="51">
        <f>IF(tblWorkPackages[[#This Row],[Actual labor hours]]&gt;tblWorkPackages[[#This Row],[Estimated labor hours]],1,0)</f>
        <v>1</v>
      </c>
      <c r="R523" s="51">
        <f>tblWorkPackages[[#This Row],[Actual labor hours]]-tblWorkPackages[[#This Row],[Estimated labor hours]]</f>
        <v>6.6</v>
      </c>
      <c r="S523" s="51" t="str">
        <f>IF(tblWorkPackages[[#This Row],[Request date serial]]&lt;ValidationStart,"Train 2024",IF(tblWorkPackages[[#This Row],[Request date serial]]&lt;HoldoutStart,"Validation H1","Holdout H2"))</f>
        <v>Validation H1</v>
      </c>
      <c r="T523" s="51">
        <f>IF(tblWorkPackages[[#This Row],[Time split]]="Train 2024","",tblWorkPackages[[#This Row],[Estimated labor hours]]+VLOOKUP(tblWorkPackages[[#This Row],[Task type]],'Forecast validation'!$A$14:$E$25,IF(tblWorkPackages[[#This Row],[Time split]]="Validation H1",4,5),FALSE()))</f>
        <v>24.9824175824176</v>
      </c>
      <c r="U523" s="51">
        <f>IF(tblWorkPackages[[#This Row],[Calibrated forecast hours]]="","",ABS(tblWorkPackages[[#This Row],[Actual labor hours]]-tblWorkPackages[[#This Row],[Calibrated forecast hours]]))</f>
        <v>5.71758241758242</v>
      </c>
      <c r="V523" s="51">
        <f>IF(tblWorkPackages[[#This Row],[Time split]]="Train 2024",tblWorkPackages[[#This Row],[Estimated labor hours]],tblWorkPackages[[#This Row],[Calibrated forecast hours]])</f>
        <v>24.9824175824176</v>
      </c>
      <c r="W523" s="64">
        <f>DATEVALUE(tblWorkPackages[[#This Row],[Request date]])</f>
        <v>45787.0</v>
      </c>
      <c r="X523" s="64">
        <f>DATEVALUE(tblWorkPackages[[#This Row],[Due date]])</f>
        <v>45800.0</v>
      </c>
      <c r="Y523" s="64">
        <f>DATEVALUE(tblWorkPackages[[#This Row],[Completion date]])</f>
        <v>45799.0</v>
      </c>
      <c r="Z523" s="64">
        <f>_xlfn.MINIFS(tblLaborEntries[Work date serial],tblLaborEntries[Work package ID],tblWorkPackages[[#This Row],[Work package ID]])</f>
        <v>45796.0</v>
      </c>
      <c r="AA523" s="64">
        <f>_xlfn.MAXIFS(tblLaborEntries[Work date serial],tblLaborEntries[Work package ID],tblWorkPackages[[#This Row],[Work package ID]])</f>
        <v>45798.0</v>
      </c>
      <c r="AB523" s="65">
        <f>IF(tblWorkPackages[[#This Row],[Completion date serial]]&gt;tblWorkPackages[[#This Row],[Due date serial]],1,0)</f>
        <v>0</v>
      </c>
      <c r="AC523" s="65">
        <f>MAX(0,tblWorkPackages[[#This Row],[Completion date serial]]-tblWorkPackages[[#This Row],[Due date serial]])</f>
        <v>0</v>
      </c>
      <c r="AD523" s="65">
        <f>tblWorkPackages[[#This Row],[First labor date]]-tblWorkPackages[[#This Row],[Request date serial]]</f>
        <v>9</v>
      </c>
      <c r="AE523" s="65">
        <f>tblWorkPackages[[#This Row],[Last labor date]]-tblWorkPackages[[#This Row],[First labor date]]</f>
        <v>2</v>
      </c>
      <c r="AF523" s="65">
        <f>tblWorkPackages[[#This Row],[Completion date serial]]-tblWorkPackages[[#This Row],[Last labor date]]</f>
        <v>1</v>
      </c>
      <c r="AG523" s="65">
        <f>tblWorkPackages[[#This Row],[Completion date serial]]-tblWorkPackages[[#This Row],[Request date serial]]</f>
        <v>12</v>
      </c>
      <c r="AH523" s="65">
        <f>IFERROR(INDEX(tblParts[Delay days],MATCH(tblWorkPackages[[#This Row],[Work package ID]],tblParts[Work package ID],0)),0)</f>
        <v>0</v>
      </c>
      <c r="AI523" s="51" t="str">
        <f>IFERROR(INDEX(tblDisruptions[Event type],MATCH(tblWorkPackages[[#This Row],[Work package ID]],tblDisruptions[Work package ID],0)),"None")</f>
        <v>None</v>
      </c>
      <c r="AJ523" s="51" t="str">
        <f>TEXT(tblWorkPackages[[#This Row],[Due date serial]],"yyyy-mm")</f>
        <v>2025-05</v>
      </c>
    </row>
    <row r="524" spans="1:36" ht="15" x14ac:dyDescent="0.25">
      <c r="A524" s="53" t="s">
        <v>1343</v>
      </c>
      <c r="B524" s="53" t="s">
        <v>203</v>
      </c>
      <c r="C524" s="53" t="s">
        <v>1344</v>
      </c>
      <c r="D524" s="53" t="s">
        <v>962</v>
      </c>
      <c r="E524" s="53" t="s">
        <v>160</v>
      </c>
      <c r="F524" s="53" t="s">
        <v>128</v>
      </c>
      <c r="G524" s="53" t="s">
        <v>138</v>
      </c>
      <c r="H524" s="53">
        <v>1</v>
      </c>
      <c r="I524" s="53" t="s">
        <v>176</v>
      </c>
      <c r="J524" s="53">
        <v>0</v>
      </c>
      <c r="K524" s="53">
        <v>0</v>
      </c>
      <c r="L524" s="53">
        <v>2.8</v>
      </c>
      <c r="M524" s="53" t="s">
        <v>962</v>
      </c>
      <c r="N524" s="53">
        <v>3.3</v>
      </c>
      <c r="O524" s="51" t="str">
        <f>TEXT(tblWorkPackages[[#This Row],[Request date serial]]-WEEKDAY(tblWorkPackages[[#This Row],[Request date serial]],3),"yyyy-mm-dd")</f>
        <v>2025-01-27</v>
      </c>
      <c r="P524" s="51">
        <f>ABS(tblWorkPackages[[#This Row],[Actual labor hours]]-tblWorkPackages[[#This Row],[Estimated labor hours]])</f>
        <v>0.5</v>
      </c>
      <c r="Q524" s="51">
        <f>IF(tblWorkPackages[[#This Row],[Actual labor hours]]&gt;tblWorkPackages[[#This Row],[Estimated labor hours]],1,0)</f>
        <v>1</v>
      </c>
      <c r="R524" s="51">
        <f>tblWorkPackages[[#This Row],[Actual labor hours]]-tblWorkPackages[[#This Row],[Estimated labor hours]]</f>
        <v>0.5</v>
      </c>
      <c r="S524" s="51" t="str">
        <f>IF(tblWorkPackages[[#This Row],[Request date serial]]&lt;ValidationStart,"Train 2024",IF(tblWorkPackages[[#This Row],[Request date serial]]&lt;HoldoutStart,"Validation H1","Holdout H2"))</f>
        <v>Validation H1</v>
      </c>
      <c r="T524" s="51">
        <f>IF(tblWorkPackages[[#This Row],[Time split]]="Train 2024","",tblWorkPackages[[#This Row],[Estimated labor hours]]+VLOOKUP(tblWorkPackages[[#This Row],[Task type]],'Forecast validation'!$A$14:$E$25,IF(tblWorkPackages[[#This Row],[Time split]]="Validation H1",4,5),FALSE()))</f>
        <v>3.24146341463415</v>
      </c>
      <c r="U524" s="51">
        <f>IF(tblWorkPackages[[#This Row],[Calibrated forecast hours]]="","",ABS(tblWorkPackages[[#This Row],[Actual labor hours]]-tblWorkPackages[[#This Row],[Calibrated forecast hours]]))</f>
        <v>0.0585365853658537</v>
      </c>
      <c r="V524" s="51">
        <f>IF(tblWorkPackages[[#This Row],[Time split]]="Train 2024",tblWorkPackages[[#This Row],[Estimated labor hours]],tblWorkPackages[[#This Row],[Calibrated forecast hours]])</f>
        <v>3.24146341463415</v>
      </c>
      <c r="W524" s="64">
        <f>DATEVALUE(tblWorkPackages[[#This Row],[Request date]])</f>
        <v>45688.0</v>
      </c>
      <c r="X524" s="64">
        <f>DATEVALUE(tblWorkPackages[[#This Row],[Due date]])</f>
        <v>45694.0</v>
      </c>
      <c r="Y524" s="64">
        <f>DATEVALUE(tblWorkPackages[[#This Row],[Completion date]])</f>
        <v>45694.0</v>
      </c>
      <c r="Z524" s="64">
        <f>_xlfn.MINIFS(tblLaborEntries[Work date serial],tblLaborEntries[Work package ID],tblWorkPackages[[#This Row],[Work package ID]])</f>
        <v>45690.0</v>
      </c>
      <c r="AA524" s="64">
        <f>_xlfn.MAXIFS(tblLaborEntries[Work date serial],tblLaborEntries[Work package ID],tblWorkPackages[[#This Row],[Work package ID]])</f>
        <v>45692.0</v>
      </c>
      <c r="AB524" s="65">
        <f>IF(tblWorkPackages[[#This Row],[Completion date serial]]&gt;tblWorkPackages[[#This Row],[Due date serial]],1,0)</f>
        <v>0</v>
      </c>
      <c r="AC524" s="65">
        <f>MAX(0,tblWorkPackages[[#This Row],[Completion date serial]]-tblWorkPackages[[#This Row],[Due date serial]])</f>
        <v>0</v>
      </c>
      <c r="AD524" s="65">
        <f>tblWorkPackages[[#This Row],[First labor date]]-tblWorkPackages[[#This Row],[Request date serial]]</f>
        <v>2</v>
      </c>
      <c r="AE524" s="65">
        <f>tblWorkPackages[[#This Row],[Last labor date]]-tblWorkPackages[[#This Row],[First labor date]]</f>
        <v>2</v>
      </c>
      <c r="AF524" s="65">
        <f>tblWorkPackages[[#This Row],[Completion date serial]]-tblWorkPackages[[#This Row],[Last labor date]]</f>
        <v>2</v>
      </c>
      <c r="AG524" s="65">
        <f>tblWorkPackages[[#This Row],[Completion date serial]]-tblWorkPackages[[#This Row],[Request date serial]]</f>
        <v>6</v>
      </c>
      <c r="AH524" s="65">
        <f>IFERROR(INDEX(tblParts[Delay days],MATCH(tblWorkPackages[[#This Row],[Work package ID]],tblParts[Work package ID],0)),0)</f>
        <v>0</v>
      </c>
      <c r="AI524" s="51" t="str">
        <f>IFERROR(INDEX(tblDisruptions[Event type],MATCH(tblWorkPackages[[#This Row],[Work package ID]],tblDisruptions[Work package ID],0)),"None")</f>
        <v>None</v>
      </c>
      <c r="AJ524" s="51" t="str">
        <f>TEXT(tblWorkPackages[[#This Row],[Due date serial]],"yyyy-mm")</f>
        <v>2025-02</v>
      </c>
    </row>
    <row r="525" spans="1:36" ht="15" x14ac:dyDescent="0.25">
      <c r="A525" s="53" t="s">
        <v>1345</v>
      </c>
      <c r="B525" s="53" t="s">
        <v>168</v>
      </c>
      <c r="C525" s="53" t="s">
        <v>1089</v>
      </c>
      <c r="D525" s="53" t="s">
        <v>1042</v>
      </c>
      <c r="E525" s="53" t="s">
        <v>153</v>
      </c>
      <c r="F525" s="53" t="s">
        <v>128</v>
      </c>
      <c r="G525" s="53" t="s">
        <v>154</v>
      </c>
      <c r="H525" s="53">
        <v>4</v>
      </c>
      <c r="I525" s="53" t="s">
        <v>130</v>
      </c>
      <c r="J525" s="53">
        <v>0</v>
      </c>
      <c r="K525" s="53">
        <v>0</v>
      </c>
      <c r="L525" s="53">
        <v>16.8</v>
      </c>
      <c r="M525" s="53" t="s">
        <v>1346</v>
      </c>
      <c r="N525" s="53">
        <v>19.100000000000001</v>
      </c>
      <c r="O525" s="51" t="str">
        <f>TEXT(tblWorkPackages[[#This Row],[Request date serial]]-WEEKDAY(tblWorkPackages[[#This Row],[Request date serial]],3),"yyyy-mm-dd")</f>
        <v>2024-07-29</v>
      </c>
      <c r="P525" s="51">
        <f>ABS(tblWorkPackages[[#This Row],[Actual labor hours]]-tblWorkPackages[[#This Row],[Estimated labor hours]])</f>
        <v>2.3</v>
      </c>
      <c r="Q525" s="51">
        <f>IF(tblWorkPackages[[#This Row],[Actual labor hours]]&gt;tblWorkPackages[[#This Row],[Estimated labor hours]],1,0)</f>
        <v>1</v>
      </c>
      <c r="R525" s="51">
        <f>tblWorkPackages[[#This Row],[Actual labor hours]]-tblWorkPackages[[#This Row],[Estimated labor hours]]</f>
        <v>2.3</v>
      </c>
      <c r="S525" s="51" t="str">
        <f>IF(tblWorkPackages[[#This Row],[Request date serial]]&lt;ValidationStart,"Train 2024",IF(tblWorkPackages[[#This Row],[Request date serial]]&lt;HoldoutStart,"Validation H1","Holdout H2"))</f>
        <v>Train 2024</v>
      </c>
      <c r="T525" s="51" t="str">
        <f>IF(tblWorkPackages[[#This Row],[Time split]]="Train 2024","",tblWorkPackages[[#This Row],[Estimated labor hours]]+VLOOKUP(tblWorkPackages[[#This Row],[Task type]],'Forecast validation'!$A$14:$E$25,IF(tblWorkPackages[[#This Row],[Time split]]="Validation H1",4,5),FALSE()))</f>
        <v/>
      </c>
      <c r="U525" s="51" t="str">
        <f>IF(tblWorkPackages[[#This Row],[Calibrated forecast hours]]="","",ABS(tblWorkPackages[[#This Row],[Actual labor hours]]-tblWorkPackages[[#This Row],[Calibrated forecast hours]]))</f>
        <v/>
      </c>
      <c r="V525" s="51">
        <f>IF(tblWorkPackages[[#This Row],[Time split]]="Train 2024",tblWorkPackages[[#This Row],[Estimated labor hours]],tblWorkPackages[[#This Row],[Calibrated forecast hours]])</f>
        <v>16.8</v>
      </c>
      <c r="W525" s="64">
        <f>DATEVALUE(tblWorkPackages[[#This Row],[Request date]])</f>
        <v>45505.0</v>
      </c>
      <c r="X525" s="64">
        <f>DATEVALUE(tblWorkPackages[[#This Row],[Due date]])</f>
        <v>45518.0</v>
      </c>
      <c r="Y525" s="64">
        <f>DATEVALUE(tblWorkPackages[[#This Row],[Completion date]])</f>
        <v>45532.0</v>
      </c>
      <c r="Z525" s="64">
        <f>_xlfn.MINIFS(tblLaborEntries[Work date serial],tblLaborEntries[Work package ID],tblWorkPackages[[#This Row],[Work package ID]])</f>
        <v>45527.0</v>
      </c>
      <c r="AA525" s="64">
        <f>_xlfn.MAXIFS(tblLaborEntries[Work date serial],tblLaborEntries[Work package ID],tblWorkPackages[[#This Row],[Work package ID]])</f>
        <v>45529.0</v>
      </c>
      <c r="AB525" s="65">
        <f>IF(tblWorkPackages[[#This Row],[Completion date serial]]&gt;tblWorkPackages[[#This Row],[Due date serial]],1,0)</f>
        <v>1</v>
      </c>
      <c r="AC525" s="65">
        <f>MAX(0,tblWorkPackages[[#This Row],[Completion date serial]]-tblWorkPackages[[#This Row],[Due date serial]])</f>
        <v>14</v>
      </c>
      <c r="AD525" s="65">
        <f>tblWorkPackages[[#This Row],[First labor date]]-tblWorkPackages[[#This Row],[Request date serial]]</f>
        <v>22</v>
      </c>
      <c r="AE525" s="65">
        <f>tblWorkPackages[[#This Row],[Last labor date]]-tblWorkPackages[[#This Row],[First labor date]]</f>
        <v>2</v>
      </c>
      <c r="AF525" s="65">
        <f>tblWorkPackages[[#This Row],[Completion date serial]]-tblWorkPackages[[#This Row],[Last labor date]]</f>
        <v>3</v>
      </c>
      <c r="AG525" s="65">
        <f>tblWorkPackages[[#This Row],[Completion date serial]]-tblWorkPackages[[#This Row],[Request date serial]]</f>
        <v>27</v>
      </c>
      <c r="AH525" s="65">
        <f>IFERROR(INDEX(tblParts[Delay days],MATCH(tblWorkPackages[[#This Row],[Work package ID]],tblParts[Work package ID],0)),0)</f>
        <v>0</v>
      </c>
      <c r="AI525" s="51" t="str">
        <f>IFERROR(INDEX(tblDisruptions[Event type],MATCH(tblWorkPackages[[#This Row],[Work package ID]],tblDisruptions[Work package ID],0)),"None")</f>
        <v>None</v>
      </c>
      <c r="AJ525" s="51" t="str">
        <f>TEXT(tblWorkPackages[[#This Row],[Due date serial]],"yyyy-mm")</f>
        <v>2024-08</v>
      </c>
    </row>
    <row r="526" spans="1:36" ht="15" x14ac:dyDescent="0.25">
      <c r="A526" s="53" t="s">
        <v>1347</v>
      </c>
      <c r="B526" s="53" t="s">
        <v>287</v>
      </c>
      <c r="C526" s="53" t="s">
        <v>761</v>
      </c>
      <c r="D526" s="53" t="s">
        <v>929</v>
      </c>
      <c r="E526" s="53" t="s">
        <v>237</v>
      </c>
      <c r="F526" s="53" t="s">
        <v>182</v>
      </c>
      <c r="G526" s="53" t="s">
        <v>138</v>
      </c>
      <c r="H526" s="53">
        <v>3</v>
      </c>
      <c r="I526" s="53" t="s">
        <v>130</v>
      </c>
      <c r="J526" s="53">
        <v>0</v>
      </c>
      <c r="K526" s="53">
        <v>0</v>
      </c>
      <c r="L526" s="53">
        <v>7.7</v>
      </c>
      <c r="M526" s="53" t="s">
        <v>867</v>
      </c>
      <c r="N526" s="53">
        <v>6.5</v>
      </c>
      <c r="O526" s="51" t="str">
        <f>TEXT(tblWorkPackages[[#This Row],[Request date serial]]-WEEKDAY(tblWorkPackages[[#This Row],[Request date serial]],3),"yyyy-mm-dd")</f>
        <v>2024-06-17</v>
      </c>
      <c r="P526" s="51">
        <f>ABS(tblWorkPackages[[#This Row],[Actual labor hours]]-tblWorkPackages[[#This Row],[Estimated labor hours]])</f>
        <v>1.2</v>
      </c>
      <c r="Q526" s="51">
        <f>IF(tblWorkPackages[[#This Row],[Actual labor hours]]&gt;tblWorkPackages[[#This Row],[Estimated labor hours]],1,0)</f>
        <v>0</v>
      </c>
      <c r="R526" s="51">
        <f>tblWorkPackages[[#This Row],[Actual labor hours]]-tblWorkPackages[[#This Row],[Estimated labor hours]]</f>
        <v>-1.2</v>
      </c>
      <c r="S526" s="51" t="str">
        <f>IF(tblWorkPackages[[#This Row],[Request date serial]]&lt;ValidationStart,"Train 2024",IF(tblWorkPackages[[#This Row],[Request date serial]]&lt;HoldoutStart,"Validation H1","Holdout H2"))</f>
        <v>Train 2024</v>
      </c>
      <c r="T526" s="51" t="str">
        <f>IF(tblWorkPackages[[#This Row],[Time split]]="Train 2024","",tblWorkPackages[[#This Row],[Estimated labor hours]]+VLOOKUP(tblWorkPackages[[#This Row],[Task type]],'Forecast validation'!$A$14:$E$25,IF(tblWorkPackages[[#This Row],[Time split]]="Validation H1",4,5),FALSE()))</f>
        <v/>
      </c>
      <c r="U526" s="51" t="str">
        <f>IF(tblWorkPackages[[#This Row],[Calibrated forecast hours]]="","",ABS(tblWorkPackages[[#This Row],[Actual labor hours]]-tblWorkPackages[[#This Row],[Calibrated forecast hours]]))</f>
        <v/>
      </c>
      <c r="V526" s="51">
        <f>IF(tblWorkPackages[[#This Row],[Time split]]="Train 2024",tblWorkPackages[[#This Row],[Estimated labor hours]],tblWorkPackages[[#This Row],[Calibrated forecast hours]])</f>
        <v>7.7</v>
      </c>
      <c r="W526" s="64">
        <f>DATEVALUE(tblWorkPackages[[#This Row],[Request date]])</f>
        <v>45460.0</v>
      </c>
      <c r="X526" s="64">
        <f>DATEVALUE(tblWorkPackages[[#This Row],[Due date]])</f>
        <v>45473.0</v>
      </c>
      <c r="Y526" s="64">
        <f>DATEVALUE(tblWorkPackages[[#This Row],[Completion date]])</f>
        <v>45465.0</v>
      </c>
      <c r="Z526" s="64">
        <f>_xlfn.MINIFS(tblLaborEntries[Work date serial],tblLaborEntries[Work package ID],tblWorkPackages[[#This Row],[Work package ID]])</f>
        <v>45464.0</v>
      </c>
      <c r="AA526" s="64">
        <f>_xlfn.MAXIFS(tblLaborEntries[Work date serial],tblLaborEntries[Work package ID],tblWorkPackages[[#This Row],[Work package ID]])</f>
        <v>45465.0</v>
      </c>
      <c r="AB526" s="65">
        <f>IF(tblWorkPackages[[#This Row],[Completion date serial]]&gt;tblWorkPackages[[#This Row],[Due date serial]],1,0)</f>
        <v>0</v>
      </c>
      <c r="AC526" s="65">
        <f>MAX(0,tblWorkPackages[[#This Row],[Completion date serial]]-tblWorkPackages[[#This Row],[Due date serial]])</f>
        <v>0</v>
      </c>
      <c r="AD526" s="65">
        <f>tblWorkPackages[[#This Row],[First labor date]]-tblWorkPackages[[#This Row],[Request date serial]]</f>
        <v>4</v>
      </c>
      <c r="AE526" s="65">
        <f>tblWorkPackages[[#This Row],[Last labor date]]-tblWorkPackages[[#This Row],[First labor date]]</f>
        <v>1</v>
      </c>
      <c r="AF526" s="65">
        <f>tblWorkPackages[[#This Row],[Completion date serial]]-tblWorkPackages[[#This Row],[Last labor date]]</f>
        <v>0</v>
      </c>
      <c r="AG526" s="65">
        <f>tblWorkPackages[[#This Row],[Completion date serial]]-tblWorkPackages[[#This Row],[Request date serial]]</f>
        <v>5</v>
      </c>
      <c r="AH526" s="65">
        <f>IFERROR(INDEX(tblParts[Delay days],MATCH(tblWorkPackages[[#This Row],[Work package ID]],tblParts[Work package ID],0)),0)</f>
        <v>0</v>
      </c>
      <c r="AI526" s="51" t="str">
        <f>IFERROR(INDEX(tblDisruptions[Event type],MATCH(tblWorkPackages[[#This Row],[Work package ID]],tblDisruptions[Work package ID],0)),"None")</f>
        <v>None</v>
      </c>
      <c r="AJ526" s="51" t="str">
        <f>TEXT(tblWorkPackages[[#This Row],[Due date serial]],"yyyy-mm")</f>
        <v>2024-06</v>
      </c>
    </row>
    <row r="527" spans="1:36" ht="15" x14ac:dyDescent="0.25">
      <c r="A527" s="53" t="s">
        <v>1348</v>
      </c>
      <c r="B527" s="53" t="s">
        <v>168</v>
      </c>
      <c r="C527" s="53" t="s">
        <v>723</v>
      </c>
      <c r="D527" s="53" t="s">
        <v>535</v>
      </c>
      <c r="E527" s="53" t="s">
        <v>242</v>
      </c>
      <c r="F527" s="53" t="s">
        <v>243</v>
      </c>
      <c r="G527" s="53" t="s">
        <v>129</v>
      </c>
      <c r="H527" s="53">
        <v>2</v>
      </c>
      <c r="I527" s="53" t="s">
        <v>130</v>
      </c>
      <c r="J527" s="53">
        <v>0</v>
      </c>
      <c r="K527" s="53">
        <v>0</v>
      </c>
      <c r="L527" s="53">
        <v>7.7</v>
      </c>
      <c r="M527" s="53" t="s">
        <v>594</v>
      </c>
      <c r="N527" s="53">
        <v>8.4</v>
      </c>
      <c r="O527" s="51" t="str">
        <f>TEXT(tblWorkPackages[[#This Row],[Request date serial]]-WEEKDAY(tblWorkPackages[[#This Row],[Request date serial]],3),"yyyy-mm-dd")</f>
        <v>2024-10-21</v>
      </c>
      <c r="P527" s="51">
        <f>ABS(tblWorkPackages[[#This Row],[Actual labor hours]]-tblWorkPackages[[#This Row],[Estimated labor hours]])</f>
        <v>0.7</v>
      </c>
      <c r="Q527" s="51">
        <f>IF(tblWorkPackages[[#This Row],[Actual labor hours]]&gt;tblWorkPackages[[#This Row],[Estimated labor hours]],1,0)</f>
        <v>1</v>
      </c>
      <c r="R527" s="51">
        <f>tblWorkPackages[[#This Row],[Actual labor hours]]-tblWorkPackages[[#This Row],[Estimated labor hours]]</f>
        <v>0.7</v>
      </c>
      <c r="S527" s="51" t="str">
        <f>IF(tblWorkPackages[[#This Row],[Request date serial]]&lt;ValidationStart,"Train 2024",IF(tblWorkPackages[[#This Row],[Request date serial]]&lt;HoldoutStart,"Validation H1","Holdout H2"))</f>
        <v>Train 2024</v>
      </c>
      <c r="T527" s="51" t="str">
        <f>IF(tblWorkPackages[[#This Row],[Time split]]="Train 2024","",tblWorkPackages[[#This Row],[Estimated labor hours]]+VLOOKUP(tblWorkPackages[[#This Row],[Task type]],'Forecast validation'!$A$14:$E$25,IF(tblWorkPackages[[#This Row],[Time split]]="Validation H1",4,5),FALSE()))</f>
        <v/>
      </c>
      <c r="U527" s="51" t="str">
        <f>IF(tblWorkPackages[[#This Row],[Calibrated forecast hours]]="","",ABS(tblWorkPackages[[#This Row],[Actual labor hours]]-tblWorkPackages[[#This Row],[Calibrated forecast hours]]))</f>
        <v/>
      </c>
      <c r="V527" s="51">
        <f>IF(tblWorkPackages[[#This Row],[Time split]]="Train 2024",tblWorkPackages[[#This Row],[Estimated labor hours]],tblWorkPackages[[#This Row],[Calibrated forecast hours]])</f>
        <v>7.7</v>
      </c>
      <c r="W527" s="64">
        <f>DATEVALUE(tblWorkPackages[[#This Row],[Request date]])</f>
        <v>45589.0</v>
      </c>
      <c r="X527" s="64">
        <f>DATEVALUE(tblWorkPackages[[#This Row],[Due date]])</f>
        <v>45602.0</v>
      </c>
      <c r="Y527" s="64">
        <f>DATEVALUE(tblWorkPackages[[#This Row],[Completion date]])</f>
        <v>45593.0</v>
      </c>
      <c r="Z527" s="64">
        <f>_xlfn.MINIFS(tblLaborEntries[Work date serial],tblLaborEntries[Work package ID],tblWorkPackages[[#This Row],[Work package ID]])</f>
        <v>45590.0</v>
      </c>
      <c r="AA527" s="64">
        <f>_xlfn.MAXIFS(tblLaborEntries[Work date serial],tblLaborEntries[Work package ID],tblWorkPackages[[#This Row],[Work package ID]])</f>
        <v>45592.0</v>
      </c>
      <c r="AB527" s="65">
        <f>IF(tblWorkPackages[[#This Row],[Completion date serial]]&gt;tblWorkPackages[[#This Row],[Due date serial]],1,0)</f>
        <v>0</v>
      </c>
      <c r="AC527" s="65">
        <f>MAX(0,tblWorkPackages[[#This Row],[Completion date serial]]-tblWorkPackages[[#This Row],[Due date serial]])</f>
        <v>0</v>
      </c>
      <c r="AD527" s="65">
        <f>tblWorkPackages[[#This Row],[First labor date]]-tblWorkPackages[[#This Row],[Request date serial]]</f>
        <v>1</v>
      </c>
      <c r="AE527" s="65">
        <f>tblWorkPackages[[#This Row],[Last labor date]]-tblWorkPackages[[#This Row],[First labor date]]</f>
        <v>2</v>
      </c>
      <c r="AF527" s="65">
        <f>tblWorkPackages[[#This Row],[Completion date serial]]-tblWorkPackages[[#This Row],[Last labor date]]</f>
        <v>1</v>
      </c>
      <c r="AG527" s="65">
        <f>tblWorkPackages[[#This Row],[Completion date serial]]-tblWorkPackages[[#This Row],[Request date serial]]</f>
        <v>4</v>
      </c>
      <c r="AH527" s="65">
        <f>IFERROR(INDEX(tblParts[Delay days],MATCH(tblWorkPackages[[#This Row],[Work package ID]],tblParts[Work package ID],0)),0)</f>
        <v>0</v>
      </c>
      <c r="AI527" s="51" t="str">
        <f>IFERROR(INDEX(tblDisruptions[Event type],MATCH(tblWorkPackages[[#This Row],[Work package ID]],tblDisruptions[Work package ID],0)),"None")</f>
        <v>None</v>
      </c>
      <c r="AJ527" s="51" t="str">
        <f>TEXT(tblWorkPackages[[#This Row],[Due date serial]],"yyyy-mm")</f>
        <v>2024-11</v>
      </c>
    </row>
    <row r="528" spans="1:36" ht="15" x14ac:dyDescent="0.25">
      <c r="A528" s="53" t="s">
        <v>1349</v>
      </c>
      <c r="B528" s="53" t="s">
        <v>230</v>
      </c>
      <c r="C528" s="53" t="s">
        <v>261</v>
      </c>
      <c r="D528" s="53" t="s">
        <v>504</v>
      </c>
      <c r="E528" s="53" t="s">
        <v>242</v>
      </c>
      <c r="F528" s="53" t="s">
        <v>243</v>
      </c>
      <c r="G528" s="53" t="s">
        <v>129</v>
      </c>
      <c r="H528" s="53">
        <v>3</v>
      </c>
      <c r="I528" s="53" t="s">
        <v>130</v>
      </c>
      <c r="J528" s="53">
        <v>0</v>
      </c>
      <c r="K528" s="53">
        <v>0</v>
      </c>
      <c r="L528" s="53">
        <v>12.3</v>
      </c>
      <c r="M528" s="53" t="s">
        <v>1166</v>
      </c>
      <c r="N528" s="53">
        <v>11.2</v>
      </c>
      <c r="O528" s="51" t="str">
        <f>TEXT(tblWorkPackages[[#This Row],[Request date serial]]-WEEKDAY(tblWorkPackages[[#This Row],[Request date serial]],3),"yyyy-mm-dd")</f>
        <v>2025-01-13</v>
      </c>
      <c r="P528" s="51">
        <f>ABS(tblWorkPackages[[#This Row],[Actual labor hours]]-tblWorkPackages[[#This Row],[Estimated labor hours]])</f>
        <v>1.1</v>
      </c>
      <c r="Q528" s="51">
        <f>IF(tblWorkPackages[[#This Row],[Actual labor hours]]&gt;tblWorkPackages[[#This Row],[Estimated labor hours]],1,0)</f>
        <v>0</v>
      </c>
      <c r="R528" s="51">
        <f>tblWorkPackages[[#This Row],[Actual labor hours]]-tblWorkPackages[[#This Row],[Estimated labor hours]]</f>
        <v>-1.1</v>
      </c>
      <c r="S528" s="51" t="str">
        <f>IF(tblWorkPackages[[#This Row],[Request date serial]]&lt;ValidationStart,"Train 2024",IF(tblWorkPackages[[#This Row],[Request date serial]]&lt;HoldoutStart,"Validation H1","Holdout H2"))</f>
        <v>Validation H1</v>
      </c>
      <c r="T528" s="51">
        <f>IF(tblWorkPackages[[#This Row],[Time split]]="Train 2024","",tblWorkPackages[[#This Row],[Estimated labor hours]]+VLOOKUP(tblWorkPackages[[#This Row],[Task type]],'Forecast validation'!$A$14:$E$25,IF(tblWorkPackages[[#This Row],[Time split]]="Validation H1",4,5),FALSE()))</f>
        <v>12.8561224489796</v>
      </c>
      <c r="U528" s="51">
        <f>IF(tblWorkPackages[[#This Row],[Calibrated forecast hours]]="","",ABS(tblWorkPackages[[#This Row],[Actual labor hours]]-tblWorkPackages[[#This Row],[Calibrated forecast hours]]))</f>
        <v>1.65612244897959</v>
      </c>
      <c r="V528" s="51">
        <f>IF(tblWorkPackages[[#This Row],[Time split]]="Train 2024",tblWorkPackages[[#This Row],[Estimated labor hours]],tblWorkPackages[[#This Row],[Calibrated forecast hours]])</f>
        <v>12.8561224489796</v>
      </c>
      <c r="W528" s="64">
        <f>DATEVALUE(tblWorkPackages[[#This Row],[Request date]])</f>
        <v>45676.0</v>
      </c>
      <c r="X528" s="64">
        <f>DATEVALUE(tblWorkPackages[[#This Row],[Due date]])</f>
        <v>45689.0</v>
      </c>
      <c r="Y528" s="64">
        <f>DATEVALUE(tblWorkPackages[[#This Row],[Completion date]])</f>
        <v>45691.0</v>
      </c>
      <c r="Z528" s="64">
        <f>_xlfn.MINIFS(tblLaborEntries[Work date serial],tblLaborEntries[Work package ID],tblWorkPackages[[#This Row],[Work package ID]])</f>
        <v>45688.0</v>
      </c>
      <c r="AA528" s="64">
        <f>_xlfn.MAXIFS(tblLaborEntries[Work date serial],tblLaborEntries[Work package ID],tblWorkPackages[[#This Row],[Work package ID]])</f>
        <v>45689.0</v>
      </c>
      <c r="AB528" s="65">
        <f>IF(tblWorkPackages[[#This Row],[Completion date serial]]&gt;tblWorkPackages[[#This Row],[Due date serial]],1,0)</f>
        <v>1</v>
      </c>
      <c r="AC528" s="65">
        <f>MAX(0,tblWorkPackages[[#This Row],[Completion date serial]]-tblWorkPackages[[#This Row],[Due date serial]])</f>
        <v>2</v>
      </c>
      <c r="AD528" s="65">
        <f>tblWorkPackages[[#This Row],[First labor date]]-tblWorkPackages[[#This Row],[Request date serial]]</f>
        <v>12</v>
      </c>
      <c r="AE528" s="65">
        <f>tblWorkPackages[[#This Row],[Last labor date]]-tblWorkPackages[[#This Row],[First labor date]]</f>
        <v>1</v>
      </c>
      <c r="AF528" s="65">
        <f>tblWorkPackages[[#This Row],[Completion date serial]]-tblWorkPackages[[#This Row],[Last labor date]]</f>
        <v>2</v>
      </c>
      <c r="AG528" s="65">
        <f>tblWorkPackages[[#This Row],[Completion date serial]]-tblWorkPackages[[#This Row],[Request date serial]]</f>
        <v>15</v>
      </c>
      <c r="AH528" s="65">
        <f>IFERROR(INDEX(tblParts[Delay days],MATCH(tblWorkPackages[[#This Row],[Work package ID]],tblParts[Work package ID],0)),0)</f>
        <v>0</v>
      </c>
      <c r="AI528" s="51" t="str">
        <f>IFERROR(INDEX(tblDisruptions[Event type],MATCH(tblWorkPackages[[#This Row],[Work package ID]],tblDisruptions[Work package ID],0)),"None")</f>
        <v>None</v>
      </c>
      <c r="AJ528" s="51" t="str">
        <f>TEXT(tblWorkPackages[[#This Row],[Due date serial]],"yyyy-mm")</f>
        <v>2025-02</v>
      </c>
    </row>
    <row r="529" spans="1:36" ht="15" x14ac:dyDescent="0.25">
      <c r="A529" s="53" t="s">
        <v>1350</v>
      </c>
      <c r="B529" s="53" t="s">
        <v>141</v>
      </c>
      <c r="C529" s="53" t="s">
        <v>188</v>
      </c>
      <c r="D529" s="53" t="s">
        <v>826</v>
      </c>
      <c r="E529" s="53" t="s">
        <v>242</v>
      </c>
      <c r="F529" s="53" t="s">
        <v>243</v>
      </c>
      <c r="G529" s="53" t="s">
        <v>129</v>
      </c>
      <c r="H529" s="53">
        <v>3</v>
      </c>
      <c r="I529" s="53" t="s">
        <v>130</v>
      </c>
      <c r="J529" s="53">
        <v>0</v>
      </c>
      <c r="K529" s="53">
        <v>1</v>
      </c>
      <c r="L529" s="53">
        <v>12.2</v>
      </c>
      <c r="M529" s="53" t="s">
        <v>859</v>
      </c>
      <c r="N529" s="53">
        <v>12.6</v>
      </c>
      <c r="O529" s="51" t="str">
        <f>TEXT(tblWorkPackages[[#This Row],[Request date serial]]-WEEKDAY(tblWorkPackages[[#This Row],[Request date serial]],3),"yyyy-mm-dd")</f>
        <v>2025-02-17</v>
      </c>
      <c r="P529" s="51">
        <f>ABS(tblWorkPackages[[#This Row],[Actual labor hours]]-tblWorkPackages[[#This Row],[Estimated labor hours]])</f>
        <v>0.4</v>
      </c>
      <c r="Q529" s="51">
        <f>IF(tblWorkPackages[[#This Row],[Actual labor hours]]&gt;tblWorkPackages[[#This Row],[Estimated labor hours]],1,0)</f>
        <v>1</v>
      </c>
      <c r="R529" s="51">
        <f>tblWorkPackages[[#This Row],[Actual labor hours]]-tblWorkPackages[[#This Row],[Estimated labor hours]]</f>
        <v>0.4</v>
      </c>
      <c r="S529" s="51" t="str">
        <f>IF(tblWorkPackages[[#This Row],[Request date serial]]&lt;ValidationStart,"Train 2024",IF(tblWorkPackages[[#This Row],[Request date serial]]&lt;HoldoutStart,"Validation H1","Holdout H2"))</f>
        <v>Validation H1</v>
      </c>
      <c r="T529" s="51">
        <f>IF(tblWorkPackages[[#This Row],[Time split]]="Train 2024","",tblWorkPackages[[#This Row],[Estimated labor hours]]+VLOOKUP(tblWorkPackages[[#This Row],[Task type]],'Forecast validation'!$A$14:$E$25,IF(tblWorkPackages[[#This Row],[Time split]]="Validation H1",4,5),FALSE()))</f>
        <v>12.7561224489796</v>
      </c>
      <c r="U529" s="51">
        <f>IF(tblWorkPackages[[#This Row],[Calibrated forecast hours]]="","",ABS(tblWorkPackages[[#This Row],[Actual labor hours]]-tblWorkPackages[[#This Row],[Calibrated forecast hours]]))</f>
        <v>0.156122448979591</v>
      </c>
      <c r="V529" s="51">
        <f>IF(tblWorkPackages[[#This Row],[Time split]]="Train 2024",tblWorkPackages[[#This Row],[Estimated labor hours]],tblWorkPackages[[#This Row],[Calibrated forecast hours]])</f>
        <v>12.7561224489796</v>
      </c>
      <c r="W529" s="64">
        <f>DATEVALUE(tblWorkPackages[[#This Row],[Request date]])</f>
        <v>45711.0</v>
      </c>
      <c r="X529" s="64">
        <f>DATEVALUE(tblWorkPackages[[#This Row],[Due date]])</f>
        <v>45724.0</v>
      </c>
      <c r="Y529" s="64">
        <f>DATEVALUE(tblWorkPackages[[#This Row],[Completion date]])</f>
        <v>45719.0</v>
      </c>
      <c r="Z529" s="64">
        <f>_xlfn.MINIFS(tblLaborEntries[Work date serial],tblLaborEntries[Work package ID],tblWorkPackages[[#This Row],[Work package ID]])</f>
        <v>45714.0</v>
      </c>
      <c r="AA529" s="64">
        <f>_xlfn.MAXIFS(tblLaborEntries[Work date serial],tblLaborEntries[Work package ID],tblWorkPackages[[#This Row],[Work package ID]])</f>
        <v>45716.0</v>
      </c>
      <c r="AB529" s="65">
        <f>IF(tblWorkPackages[[#This Row],[Completion date serial]]&gt;tblWorkPackages[[#This Row],[Due date serial]],1,0)</f>
        <v>0</v>
      </c>
      <c r="AC529" s="65">
        <f>MAX(0,tblWorkPackages[[#This Row],[Completion date serial]]-tblWorkPackages[[#This Row],[Due date serial]])</f>
        <v>0</v>
      </c>
      <c r="AD529" s="65">
        <f>tblWorkPackages[[#This Row],[First labor date]]-tblWorkPackages[[#This Row],[Request date serial]]</f>
        <v>3</v>
      </c>
      <c r="AE529" s="65">
        <f>tblWorkPackages[[#This Row],[Last labor date]]-tblWorkPackages[[#This Row],[First labor date]]</f>
        <v>2</v>
      </c>
      <c r="AF529" s="65">
        <f>tblWorkPackages[[#This Row],[Completion date serial]]-tblWorkPackages[[#This Row],[Last labor date]]</f>
        <v>3</v>
      </c>
      <c r="AG529" s="65">
        <f>tblWorkPackages[[#This Row],[Completion date serial]]-tblWorkPackages[[#This Row],[Request date serial]]</f>
        <v>8</v>
      </c>
      <c r="AH529" s="65">
        <f>IFERROR(INDEX(tblParts[Delay days],MATCH(tblWorkPackages[[#This Row],[Work package ID]],tblParts[Work package ID],0)),0)</f>
        <v>0</v>
      </c>
      <c r="AI529" s="51" t="str">
        <f>IFERROR(INDEX(tblDisruptions[Event type],MATCH(tblWorkPackages[[#This Row],[Work package ID]],tblDisruptions[Work package ID],0)),"None")</f>
        <v>None</v>
      </c>
      <c r="AJ529" s="51" t="str">
        <f>TEXT(tblWorkPackages[[#This Row],[Due date serial]],"yyyy-mm")</f>
        <v>2025-03</v>
      </c>
    </row>
    <row r="530" spans="1:36" ht="15" x14ac:dyDescent="0.25">
      <c r="A530" s="53" t="s">
        <v>1351</v>
      </c>
      <c r="B530" s="53" t="s">
        <v>124</v>
      </c>
      <c r="C530" s="53" t="s">
        <v>687</v>
      </c>
      <c r="D530" s="53" t="s">
        <v>1218</v>
      </c>
      <c r="E530" s="53" t="s">
        <v>160</v>
      </c>
      <c r="F530" s="53" t="s">
        <v>128</v>
      </c>
      <c r="G530" s="53" t="s">
        <v>138</v>
      </c>
      <c r="H530" s="53">
        <v>4</v>
      </c>
      <c r="I530" s="53" t="s">
        <v>176</v>
      </c>
      <c r="J530" s="53">
        <v>0</v>
      </c>
      <c r="K530" s="53">
        <v>0</v>
      </c>
      <c r="L530" s="53">
        <v>9.6</v>
      </c>
      <c r="M530" s="53" t="s">
        <v>517</v>
      </c>
      <c r="N530" s="53">
        <v>7.7</v>
      </c>
      <c r="O530" s="51" t="str">
        <f>TEXT(tblWorkPackages[[#This Row],[Request date serial]]-WEEKDAY(tblWorkPackages[[#This Row],[Request date serial]],3),"yyyy-mm-dd")</f>
        <v>2025-03-31</v>
      </c>
      <c r="P530" s="51">
        <f>ABS(tblWorkPackages[[#This Row],[Actual labor hours]]-tblWorkPackages[[#This Row],[Estimated labor hours]])</f>
        <v>1.9</v>
      </c>
      <c r="Q530" s="51">
        <f>IF(tblWorkPackages[[#This Row],[Actual labor hours]]&gt;tblWorkPackages[[#This Row],[Estimated labor hours]],1,0)</f>
        <v>0</v>
      </c>
      <c r="R530" s="51">
        <f>tblWorkPackages[[#This Row],[Actual labor hours]]-tblWorkPackages[[#This Row],[Estimated labor hours]]</f>
        <v>-1.9</v>
      </c>
      <c r="S530" s="51" t="str">
        <f>IF(tblWorkPackages[[#This Row],[Request date serial]]&lt;ValidationStart,"Train 2024",IF(tblWorkPackages[[#This Row],[Request date serial]]&lt;HoldoutStart,"Validation H1","Holdout H2"))</f>
        <v>Validation H1</v>
      </c>
      <c r="T530" s="51">
        <f>IF(tblWorkPackages[[#This Row],[Time split]]="Train 2024","",tblWorkPackages[[#This Row],[Estimated labor hours]]+VLOOKUP(tblWorkPackages[[#This Row],[Task type]],'Forecast validation'!$A$14:$E$25,IF(tblWorkPackages[[#This Row],[Time split]]="Validation H1",4,5),FALSE()))</f>
        <v>10.0414634146341</v>
      </c>
      <c r="U530" s="51">
        <f>IF(tblWorkPackages[[#This Row],[Calibrated forecast hours]]="","",ABS(tblWorkPackages[[#This Row],[Actual labor hours]]-tblWorkPackages[[#This Row],[Calibrated forecast hours]]))</f>
        <v>2.34146341463415</v>
      </c>
      <c r="V530" s="51">
        <f>IF(tblWorkPackages[[#This Row],[Time split]]="Train 2024",tblWorkPackages[[#This Row],[Estimated labor hours]],tblWorkPackages[[#This Row],[Calibrated forecast hours]])</f>
        <v>10.0414634146341</v>
      </c>
      <c r="W530" s="64">
        <f>DATEVALUE(tblWorkPackages[[#This Row],[Request date]])</f>
        <v>45753.0</v>
      </c>
      <c r="X530" s="64">
        <f>DATEVALUE(tblWorkPackages[[#This Row],[Due date]])</f>
        <v>45759.0</v>
      </c>
      <c r="Y530" s="64">
        <f>DATEVALUE(tblWorkPackages[[#This Row],[Completion date]])</f>
        <v>45788.0</v>
      </c>
      <c r="Z530" s="64">
        <f>_xlfn.MINIFS(tblLaborEntries[Work date serial],tblLaborEntries[Work package ID],tblWorkPackages[[#This Row],[Work package ID]])</f>
        <v>45788.0</v>
      </c>
      <c r="AA530" s="64">
        <f>_xlfn.MAXIFS(tblLaborEntries[Work date serial],tblLaborEntries[Work package ID],tblWorkPackages[[#This Row],[Work package ID]])</f>
        <v>45788.0</v>
      </c>
      <c r="AB530" s="65">
        <f>IF(tblWorkPackages[[#This Row],[Completion date serial]]&gt;tblWorkPackages[[#This Row],[Due date serial]],1,0)</f>
        <v>1</v>
      </c>
      <c r="AC530" s="65">
        <f>MAX(0,tblWorkPackages[[#This Row],[Completion date serial]]-tblWorkPackages[[#This Row],[Due date serial]])</f>
        <v>29</v>
      </c>
      <c r="AD530" s="65">
        <f>tblWorkPackages[[#This Row],[First labor date]]-tblWorkPackages[[#This Row],[Request date serial]]</f>
        <v>35</v>
      </c>
      <c r="AE530" s="65">
        <f>tblWorkPackages[[#This Row],[Last labor date]]-tblWorkPackages[[#This Row],[First labor date]]</f>
        <v>0</v>
      </c>
      <c r="AF530" s="65">
        <f>tblWorkPackages[[#This Row],[Completion date serial]]-tblWorkPackages[[#This Row],[Last labor date]]</f>
        <v>0</v>
      </c>
      <c r="AG530" s="65">
        <f>tblWorkPackages[[#This Row],[Completion date serial]]-tblWorkPackages[[#This Row],[Request date serial]]</f>
        <v>35</v>
      </c>
      <c r="AH530" s="65">
        <f>IFERROR(INDEX(tblParts[Delay days],MATCH(tblWorkPackages[[#This Row],[Work package ID]],tblParts[Work package ID],0)),0)</f>
        <v>0</v>
      </c>
      <c r="AI530" s="51" t="str">
        <f>IFERROR(INDEX(tblDisruptions[Event type],MATCH(tblWorkPackages[[#This Row],[Work package ID]],tblDisruptions[Work package ID],0)),"None")</f>
        <v>None</v>
      </c>
      <c r="AJ530" s="51" t="str">
        <f>TEXT(tblWorkPackages[[#This Row],[Due date serial]],"yyyy-mm")</f>
        <v>2025-04</v>
      </c>
    </row>
    <row r="531" spans="1:36" ht="15" x14ac:dyDescent="0.25">
      <c r="A531" s="53" t="s">
        <v>1352</v>
      </c>
      <c r="B531" s="53" t="s">
        <v>235</v>
      </c>
      <c r="C531" s="53" t="s">
        <v>244</v>
      </c>
      <c r="D531" s="53" t="s">
        <v>824</v>
      </c>
      <c r="E531" s="53" t="s">
        <v>237</v>
      </c>
      <c r="F531" s="53" t="s">
        <v>182</v>
      </c>
      <c r="G531" s="53" t="s">
        <v>138</v>
      </c>
      <c r="H531" s="53">
        <v>3</v>
      </c>
      <c r="I531" s="53" t="s">
        <v>176</v>
      </c>
      <c r="J531" s="53">
        <v>0</v>
      </c>
      <c r="K531" s="53">
        <v>1</v>
      </c>
      <c r="L531" s="53">
        <v>6.3</v>
      </c>
      <c r="M531" s="53" t="s">
        <v>877</v>
      </c>
      <c r="N531" s="53">
        <v>4.9000000000000004</v>
      </c>
      <c r="O531" s="51" t="str">
        <f>TEXT(tblWorkPackages[[#This Row],[Request date serial]]-WEEKDAY(tblWorkPackages[[#This Row],[Request date serial]],3),"yyyy-mm-dd")</f>
        <v>2024-11-18</v>
      </c>
      <c r="P531" s="51">
        <f>ABS(tblWorkPackages[[#This Row],[Actual labor hours]]-tblWorkPackages[[#This Row],[Estimated labor hours]])</f>
        <v>1.4</v>
      </c>
      <c r="Q531" s="51">
        <f>IF(tblWorkPackages[[#This Row],[Actual labor hours]]&gt;tblWorkPackages[[#This Row],[Estimated labor hours]],1,0)</f>
        <v>0</v>
      </c>
      <c r="R531" s="51">
        <f>tblWorkPackages[[#This Row],[Actual labor hours]]-tblWorkPackages[[#This Row],[Estimated labor hours]]</f>
        <v>-1.4</v>
      </c>
      <c r="S531" s="51" t="str">
        <f>IF(tblWorkPackages[[#This Row],[Request date serial]]&lt;ValidationStart,"Train 2024",IF(tblWorkPackages[[#This Row],[Request date serial]]&lt;HoldoutStart,"Validation H1","Holdout H2"))</f>
        <v>Train 2024</v>
      </c>
      <c r="T531" s="51" t="str">
        <f>IF(tblWorkPackages[[#This Row],[Time split]]="Train 2024","",tblWorkPackages[[#This Row],[Estimated labor hours]]+VLOOKUP(tblWorkPackages[[#This Row],[Task type]],'Forecast validation'!$A$14:$E$25,IF(tblWorkPackages[[#This Row],[Time split]]="Validation H1",4,5),FALSE()))</f>
        <v/>
      </c>
      <c r="U531" s="51" t="str">
        <f>IF(tblWorkPackages[[#This Row],[Calibrated forecast hours]]="","",ABS(tblWorkPackages[[#This Row],[Actual labor hours]]-tblWorkPackages[[#This Row],[Calibrated forecast hours]]))</f>
        <v/>
      </c>
      <c r="V531" s="51">
        <f>IF(tblWorkPackages[[#This Row],[Time split]]="Train 2024",tblWorkPackages[[#This Row],[Estimated labor hours]],tblWorkPackages[[#This Row],[Calibrated forecast hours]])</f>
        <v>6.3</v>
      </c>
      <c r="W531" s="64">
        <f>DATEVALUE(tblWorkPackages[[#This Row],[Request date]])</f>
        <v>45614.0</v>
      </c>
      <c r="X531" s="64">
        <f>DATEVALUE(tblWorkPackages[[#This Row],[Due date]])</f>
        <v>45620.0</v>
      </c>
      <c r="Y531" s="64">
        <f>DATEVALUE(tblWorkPackages[[#This Row],[Completion date]])</f>
        <v>45624.0</v>
      </c>
      <c r="Z531" s="64">
        <f>_xlfn.MINIFS(tblLaborEntries[Work date serial],tblLaborEntries[Work package ID],tblWorkPackages[[#This Row],[Work package ID]])</f>
        <v>45621.0</v>
      </c>
      <c r="AA531" s="64">
        <f>_xlfn.MAXIFS(tblLaborEntries[Work date serial],tblLaborEntries[Work package ID],tblWorkPackages[[#This Row],[Work package ID]])</f>
        <v>45623.0</v>
      </c>
      <c r="AB531" s="65">
        <f>IF(tblWorkPackages[[#This Row],[Completion date serial]]&gt;tblWorkPackages[[#This Row],[Due date serial]],1,0)</f>
        <v>1</v>
      </c>
      <c r="AC531" s="65">
        <f>MAX(0,tblWorkPackages[[#This Row],[Completion date serial]]-tblWorkPackages[[#This Row],[Due date serial]])</f>
        <v>4</v>
      </c>
      <c r="AD531" s="65">
        <f>tblWorkPackages[[#This Row],[First labor date]]-tblWorkPackages[[#This Row],[Request date serial]]</f>
        <v>7</v>
      </c>
      <c r="AE531" s="65">
        <f>tblWorkPackages[[#This Row],[Last labor date]]-tblWorkPackages[[#This Row],[First labor date]]</f>
        <v>2</v>
      </c>
      <c r="AF531" s="65">
        <f>tblWorkPackages[[#This Row],[Completion date serial]]-tblWorkPackages[[#This Row],[Last labor date]]</f>
        <v>1</v>
      </c>
      <c r="AG531" s="65">
        <f>tblWorkPackages[[#This Row],[Completion date serial]]-tblWorkPackages[[#This Row],[Request date serial]]</f>
        <v>10</v>
      </c>
      <c r="AH531" s="65">
        <f>IFERROR(INDEX(tblParts[Delay days],MATCH(tblWorkPackages[[#This Row],[Work package ID]],tblParts[Work package ID],0)),0)</f>
        <v>0</v>
      </c>
      <c r="AI531" s="51" t="str">
        <f>IFERROR(INDEX(tblDisruptions[Event type],MATCH(tblWorkPackages[[#This Row],[Work package ID]],tblDisruptions[Work package ID],0)),"None")</f>
        <v>None</v>
      </c>
      <c r="AJ531" s="51" t="str">
        <f>TEXT(tblWorkPackages[[#This Row],[Due date serial]],"yyyy-mm")</f>
        <v>2024-11</v>
      </c>
    </row>
    <row r="532" spans="1:36" ht="15" x14ac:dyDescent="0.25">
      <c r="A532" s="53" t="s">
        <v>1353</v>
      </c>
      <c r="B532" s="53" t="s">
        <v>163</v>
      </c>
      <c r="C532" s="53" t="s">
        <v>1354</v>
      </c>
      <c r="D532" s="53" t="s">
        <v>782</v>
      </c>
      <c r="E532" s="53" t="s">
        <v>181</v>
      </c>
      <c r="F532" s="53" t="s">
        <v>182</v>
      </c>
      <c r="G532" s="53" t="s">
        <v>138</v>
      </c>
      <c r="H532" s="53">
        <v>4</v>
      </c>
      <c r="I532" s="53" t="s">
        <v>130</v>
      </c>
      <c r="J532" s="53">
        <v>0</v>
      </c>
      <c r="K532" s="53">
        <v>0</v>
      </c>
      <c r="L532" s="53">
        <v>13.4</v>
      </c>
      <c r="M532" s="53" t="s">
        <v>391</v>
      </c>
      <c r="N532" s="53">
        <v>11.9</v>
      </c>
      <c r="O532" s="51" t="str">
        <f>TEXT(tblWorkPackages[[#This Row],[Request date serial]]-WEEKDAY(tblWorkPackages[[#This Row],[Request date serial]],3),"yyyy-mm-dd")</f>
        <v>2024-07-29</v>
      </c>
      <c r="P532" s="51">
        <f>ABS(tblWorkPackages[[#This Row],[Actual labor hours]]-tblWorkPackages[[#This Row],[Estimated labor hours]])</f>
        <v>1.5</v>
      </c>
      <c r="Q532" s="51">
        <f>IF(tblWorkPackages[[#This Row],[Actual labor hours]]&gt;tblWorkPackages[[#This Row],[Estimated labor hours]],1,0)</f>
        <v>0</v>
      </c>
      <c r="R532" s="51">
        <f>tblWorkPackages[[#This Row],[Actual labor hours]]-tblWorkPackages[[#This Row],[Estimated labor hours]]</f>
        <v>-1.5</v>
      </c>
      <c r="S532" s="51" t="str">
        <f>IF(tblWorkPackages[[#This Row],[Request date serial]]&lt;ValidationStart,"Train 2024",IF(tblWorkPackages[[#This Row],[Request date serial]]&lt;HoldoutStart,"Validation H1","Holdout H2"))</f>
        <v>Train 2024</v>
      </c>
      <c r="T532" s="51" t="str">
        <f>IF(tblWorkPackages[[#This Row],[Time split]]="Train 2024","",tblWorkPackages[[#This Row],[Estimated labor hours]]+VLOOKUP(tblWorkPackages[[#This Row],[Task type]],'Forecast validation'!$A$14:$E$25,IF(tblWorkPackages[[#This Row],[Time split]]="Validation H1",4,5),FALSE()))</f>
        <v/>
      </c>
      <c r="U532" s="51" t="str">
        <f>IF(tblWorkPackages[[#This Row],[Calibrated forecast hours]]="","",ABS(tblWorkPackages[[#This Row],[Actual labor hours]]-tblWorkPackages[[#This Row],[Calibrated forecast hours]]))</f>
        <v/>
      </c>
      <c r="V532" s="51">
        <f>IF(tblWorkPackages[[#This Row],[Time split]]="Train 2024",tblWorkPackages[[#This Row],[Estimated labor hours]],tblWorkPackages[[#This Row],[Calibrated forecast hours]])</f>
        <v>13.4</v>
      </c>
      <c r="W532" s="64">
        <f>DATEVALUE(tblWorkPackages[[#This Row],[Request date]])</f>
        <v>45504.0</v>
      </c>
      <c r="X532" s="64">
        <f>DATEVALUE(tblWorkPackages[[#This Row],[Due date]])</f>
        <v>45517.0</v>
      </c>
      <c r="Y532" s="64">
        <f>DATEVALUE(tblWorkPackages[[#This Row],[Completion date]])</f>
        <v>45510.0</v>
      </c>
      <c r="Z532" s="64">
        <f>_xlfn.MINIFS(tblLaborEntries[Work date serial],tblLaborEntries[Work package ID],tblWorkPackages[[#This Row],[Work package ID]])</f>
        <v>45506.0</v>
      </c>
      <c r="AA532" s="64">
        <f>_xlfn.MAXIFS(tblLaborEntries[Work date serial],tblLaborEntries[Work package ID],tblWorkPackages[[#This Row],[Work package ID]])</f>
        <v>45508.0</v>
      </c>
      <c r="AB532" s="65">
        <f>IF(tblWorkPackages[[#This Row],[Completion date serial]]&gt;tblWorkPackages[[#This Row],[Due date serial]],1,0)</f>
        <v>0</v>
      </c>
      <c r="AC532" s="65">
        <f>MAX(0,tblWorkPackages[[#This Row],[Completion date serial]]-tblWorkPackages[[#This Row],[Due date serial]])</f>
        <v>0</v>
      </c>
      <c r="AD532" s="65">
        <f>tblWorkPackages[[#This Row],[First labor date]]-tblWorkPackages[[#This Row],[Request date serial]]</f>
        <v>2</v>
      </c>
      <c r="AE532" s="65">
        <f>tblWorkPackages[[#This Row],[Last labor date]]-tblWorkPackages[[#This Row],[First labor date]]</f>
        <v>2</v>
      </c>
      <c r="AF532" s="65">
        <f>tblWorkPackages[[#This Row],[Completion date serial]]-tblWorkPackages[[#This Row],[Last labor date]]</f>
        <v>2</v>
      </c>
      <c r="AG532" s="65">
        <f>tblWorkPackages[[#This Row],[Completion date serial]]-tblWorkPackages[[#This Row],[Request date serial]]</f>
        <v>6</v>
      </c>
      <c r="AH532" s="65">
        <f>IFERROR(INDEX(tblParts[Delay days],MATCH(tblWorkPackages[[#This Row],[Work package ID]],tblParts[Work package ID],0)),0)</f>
        <v>0</v>
      </c>
      <c r="AI532" s="51" t="str">
        <f>IFERROR(INDEX(tblDisruptions[Event type],MATCH(tblWorkPackages[[#This Row],[Work package ID]],tblDisruptions[Work package ID],0)),"None")</f>
        <v>None</v>
      </c>
      <c r="AJ532" s="51" t="str">
        <f>TEXT(tblWorkPackages[[#This Row],[Due date serial]],"yyyy-mm")</f>
        <v>2024-08</v>
      </c>
    </row>
    <row r="533" spans="1:36" ht="15" x14ac:dyDescent="0.25">
      <c r="A533" s="53" t="s">
        <v>1355</v>
      </c>
      <c r="B533" s="53" t="s">
        <v>250</v>
      </c>
      <c r="C533" s="53" t="s">
        <v>312</v>
      </c>
      <c r="D533" s="53" t="s">
        <v>192</v>
      </c>
      <c r="E533" s="53" t="s">
        <v>223</v>
      </c>
      <c r="F533" s="53" t="s">
        <v>182</v>
      </c>
      <c r="G533" s="53" t="s">
        <v>154</v>
      </c>
      <c r="H533" s="53">
        <v>1</v>
      </c>
      <c r="I533" s="53" t="s">
        <v>130</v>
      </c>
      <c r="J533" s="53">
        <v>0</v>
      </c>
      <c r="K533" s="53">
        <v>1</v>
      </c>
      <c r="L533" s="53">
        <v>7.6</v>
      </c>
      <c r="M533" s="53" t="s">
        <v>527</v>
      </c>
      <c r="N533" s="53">
        <v>5.9</v>
      </c>
      <c r="O533" s="51" t="str">
        <f>TEXT(tblWorkPackages[[#This Row],[Request date serial]]-WEEKDAY(tblWorkPackages[[#This Row],[Request date serial]],3),"yyyy-mm-dd")</f>
        <v>2025-08-18</v>
      </c>
      <c r="P533" s="51">
        <f>ABS(tblWorkPackages[[#This Row],[Actual labor hours]]-tblWorkPackages[[#This Row],[Estimated labor hours]])</f>
        <v>1.7</v>
      </c>
      <c r="Q533" s="51">
        <f>IF(tblWorkPackages[[#This Row],[Actual labor hours]]&gt;tblWorkPackages[[#This Row],[Estimated labor hours]],1,0)</f>
        <v>0</v>
      </c>
      <c r="R533" s="51">
        <f>tblWorkPackages[[#This Row],[Actual labor hours]]-tblWorkPackages[[#This Row],[Estimated labor hours]]</f>
        <v>-1.7</v>
      </c>
      <c r="S533" s="51" t="str">
        <f>IF(tblWorkPackages[[#This Row],[Request date serial]]&lt;ValidationStart,"Train 2024",IF(tblWorkPackages[[#This Row],[Request date serial]]&lt;HoldoutStart,"Validation H1","Holdout H2"))</f>
        <v>Holdout H2</v>
      </c>
      <c r="T533" s="51">
        <f>IF(tblWorkPackages[[#This Row],[Time split]]="Train 2024","",tblWorkPackages[[#This Row],[Estimated labor hours]]+VLOOKUP(tblWorkPackages[[#This Row],[Task type]],'Forecast validation'!$A$14:$E$25,IF(tblWorkPackages[[#This Row],[Time split]]="Validation H1",4,5),FALSE()))</f>
        <v>8.52465753424658</v>
      </c>
      <c r="U533" s="51">
        <f>IF(tblWorkPackages[[#This Row],[Calibrated forecast hours]]="","",ABS(tblWorkPackages[[#This Row],[Actual labor hours]]-tblWorkPackages[[#This Row],[Calibrated forecast hours]]))</f>
        <v>2.62465753424658</v>
      </c>
      <c r="V533" s="51">
        <f>IF(tblWorkPackages[[#This Row],[Time split]]="Train 2024",tblWorkPackages[[#This Row],[Estimated labor hours]],tblWorkPackages[[#This Row],[Calibrated forecast hours]])</f>
        <v>8.52465753424658</v>
      </c>
      <c r="W533" s="64">
        <f>DATEVALUE(tblWorkPackages[[#This Row],[Request date]])</f>
        <v>45887.0</v>
      </c>
      <c r="X533" s="64">
        <f>DATEVALUE(tblWorkPackages[[#This Row],[Due date]])</f>
        <v>45900.0</v>
      </c>
      <c r="Y533" s="64">
        <f>DATEVALUE(tblWorkPackages[[#This Row],[Completion date]])</f>
        <v>45906.0</v>
      </c>
      <c r="Z533" s="64">
        <f>_xlfn.MINIFS(tblLaborEntries[Work date serial],tblLaborEntries[Work package ID],tblWorkPackages[[#This Row],[Work package ID]])</f>
        <v>45902.0</v>
      </c>
      <c r="AA533" s="64">
        <f>_xlfn.MAXIFS(tblLaborEntries[Work date serial],tblLaborEntries[Work package ID],tblWorkPackages[[#This Row],[Work package ID]])</f>
        <v>45903.0</v>
      </c>
      <c r="AB533" s="65">
        <f>IF(tblWorkPackages[[#This Row],[Completion date serial]]&gt;tblWorkPackages[[#This Row],[Due date serial]],1,0)</f>
        <v>1</v>
      </c>
      <c r="AC533" s="65">
        <f>MAX(0,tblWorkPackages[[#This Row],[Completion date serial]]-tblWorkPackages[[#This Row],[Due date serial]])</f>
        <v>6</v>
      </c>
      <c r="AD533" s="65">
        <f>tblWorkPackages[[#This Row],[First labor date]]-tblWorkPackages[[#This Row],[Request date serial]]</f>
        <v>15</v>
      </c>
      <c r="AE533" s="65">
        <f>tblWorkPackages[[#This Row],[Last labor date]]-tblWorkPackages[[#This Row],[First labor date]]</f>
        <v>1</v>
      </c>
      <c r="AF533" s="65">
        <f>tblWorkPackages[[#This Row],[Completion date serial]]-tblWorkPackages[[#This Row],[Last labor date]]</f>
        <v>3</v>
      </c>
      <c r="AG533" s="65">
        <f>tblWorkPackages[[#This Row],[Completion date serial]]-tblWorkPackages[[#This Row],[Request date serial]]</f>
        <v>19</v>
      </c>
      <c r="AH533" s="65">
        <f>IFERROR(INDEX(tblParts[Delay days],MATCH(tblWorkPackages[[#This Row],[Work package ID]],tblParts[Work package ID],0)),0)</f>
        <v>0</v>
      </c>
      <c r="AI533" s="51" t="str">
        <f>IFERROR(INDEX(tblDisruptions[Event type],MATCH(tblWorkPackages[[#This Row],[Work package ID]],tblDisruptions[Work package ID],0)),"None")</f>
        <v>None</v>
      </c>
      <c r="AJ533" s="51" t="str">
        <f>TEXT(tblWorkPackages[[#This Row],[Due date serial]],"yyyy-mm")</f>
        <v>2025-08</v>
      </c>
    </row>
    <row r="534" spans="1:36" ht="15" x14ac:dyDescent="0.25">
      <c r="A534" s="53" t="s">
        <v>1356</v>
      </c>
      <c r="B534" s="53" t="s">
        <v>168</v>
      </c>
      <c r="C534" s="53" t="s">
        <v>774</v>
      </c>
      <c r="D534" s="53" t="s">
        <v>317</v>
      </c>
      <c r="E534" s="53" t="s">
        <v>144</v>
      </c>
      <c r="F534" s="53" t="s">
        <v>145</v>
      </c>
      <c r="G534" s="53" t="s">
        <v>146</v>
      </c>
      <c r="H534" s="53">
        <v>1</v>
      </c>
      <c r="I534" s="53" t="s">
        <v>130</v>
      </c>
      <c r="J534" s="53">
        <v>0</v>
      </c>
      <c r="K534" s="53">
        <v>1</v>
      </c>
      <c r="L534" s="53">
        <v>7.8</v>
      </c>
      <c r="M534" s="53" t="s">
        <v>689</v>
      </c>
      <c r="N534" s="53">
        <v>6.8</v>
      </c>
      <c r="O534" s="51" t="str">
        <f>TEXT(tblWorkPackages[[#This Row],[Request date serial]]-WEEKDAY(tblWorkPackages[[#This Row],[Request date serial]],3),"yyyy-mm-dd")</f>
        <v>2024-03-25</v>
      </c>
      <c r="P534" s="51">
        <f>ABS(tblWorkPackages[[#This Row],[Actual labor hours]]-tblWorkPackages[[#This Row],[Estimated labor hours]])</f>
        <v>1</v>
      </c>
      <c r="Q534" s="51">
        <f>IF(tblWorkPackages[[#This Row],[Actual labor hours]]&gt;tblWorkPackages[[#This Row],[Estimated labor hours]],1,0)</f>
        <v>0</v>
      </c>
      <c r="R534" s="51">
        <f>tblWorkPackages[[#This Row],[Actual labor hours]]-tblWorkPackages[[#This Row],[Estimated labor hours]]</f>
        <v>-1</v>
      </c>
      <c r="S534" s="51" t="str">
        <f>IF(tblWorkPackages[[#This Row],[Request date serial]]&lt;ValidationStart,"Train 2024",IF(tblWorkPackages[[#This Row],[Request date serial]]&lt;HoldoutStart,"Validation H1","Holdout H2"))</f>
        <v>Train 2024</v>
      </c>
      <c r="T534" s="51" t="str">
        <f>IF(tblWorkPackages[[#This Row],[Time split]]="Train 2024","",tblWorkPackages[[#This Row],[Estimated labor hours]]+VLOOKUP(tblWorkPackages[[#This Row],[Task type]],'Forecast validation'!$A$14:$E$25,IF(tblWorkPackages[[#This Row],[Time split]]="Validation H1",4,5),FALSE()))</f>
        <v/>
      </c>
      <c r="U534" s="51" t="str">
        <f>IF(tblWorkPackages[[#This Row],[Calibrated forecast hours]]="","",ABS(tblWorkPackages[[#This Row],[Actual labor hours]]-tblWorkPackages[[#This Row],[Calibrated forecast hours]]))</f>
        <v/>
      </c>
      <c r="V534" s="51">
        <f>IF(tblWorkPackages[[#This Row],[Time split]]="Train 2024",tblWorkPackages[[#This Row],[Estimated labor hours]],tblWorkPackages[[#This Row],[Calibrated forecast hours]])</f>
        <v>7.8</v>
      </c>
      <c r="W534" s="64">
        <f>DATEVALUE(tblWorkPackages[[#This Row],[Request date]])</f>
        <v>45381.0</v>
      </c>
      <c r="X534" s="64">
        <f>DATEVALUE(tblWorkPackages[[#This Row],[Due date]])</f>
        <v>45394.0</v>
      </c>
      <c r="Y534" s="64">
        <f>DATEVALUE(tblWorkPackages[[#This Row],[Completion date]])</f>
        <v>45385.0</v>
      </c>
      <c r="Z534" s="64">
        <f>_xlfn.MINIFS(tblLaborEntries[Work date serial],tblLaborEntries[Work package ID],tblWorkPackages[[#This Row],[Work package ID]])</f>
        <v>45385.0</v>
      </c>
      <c r="AA534" s="64">
        <f>_xlfn.MAXIFS(tblLaborEntries[Work date serial],tblLaborEntries[Work package ID],tblWorkPackages[[#This Row],[Work package ID]])</f>
        <v>45385.0</v>
      </c>
      <c r="AB534" s="65">
        <f>IF(tblWorkPackages[[#This Row],[Completion date serial]]&gt;tblWorkPackages[[#This Row],[Due date serial]],1,0)</f>
        <v>0</v>
      </c>
      <c r="AC534" s="65">
        <f>MAX(0,tblWorkPackages[[#This Row],[Completion date serial]]-tblWorkPackages[[#This Row],[Due date serial]])</f>
        <v>0</v>
      </c>
      <c r="AD534" s="65">
        <f>tblWorkPackages[[#This Row],[First labor date]]-tblWorkPackages[[#This Row],[Request date serial]]</f>
        <v>4</v>
      </c>
      <c r="AE534" s="65">
        <f>tblWorkPackages[[#This Row],[Last labor date]]-tblWorkPackages[[#This Row],[First labor date]]</f>
        <v>0</v>
      </c>
      <c r="AF534" s="65">
        <f>tblWorkPackages[[#This Row],[Completion date serial]]-tblWorkPackages[[#This Row],[Last labor date]]</f>
        <v>0</v>
      </c>
      <c r="AG534" s="65">
        <f>tblWorkPackages[[#This Row],[Completion date serial]]-tblWorkPackages[[#This Row],[Request date serial]]</f>
        <v>4</v>
      </c>
      <c r="AH534" s="65">
        <f>IFERROR(INDEX(tblParts[Delay days],MATCH(tblWorkPackages[[#This Row],[Work package ID]],tblParts[Work package ID],0)),0)</f>
        <v>0</v>
      </c>
      <c r="AI534" s="51" t="str">
        <f>IFERROR(INDEX(tblDisruptions[Event type],MATCH(tblWorkPackages[[#This Row],[Work package ID]],tblDisruptions[Work package ID],0)),"None")</f>
        <v>None</v>
      </c>
      <c r="AJ534" s="51" t="str">
        <f>TEXT(tblWorkPackages[[#This Row],[Due date serial]],"yyyy-mm")</f>
        <v>2024-04</v>
      </c>
    </row>
    <row r="535" spans="1:36" ht="15" x14ac:dyDescent="0.25">
      <c r="A535" s="53" t="s">
        <v>1357</v>
      </c>
      <c r="B535" s="53" t="s">
        <v>124</v>
      </c>
      <c r="C535" s="53" t="s">
        <v>827</v>
      </c>
      <c r="D535" s="53" t="s">
        <v>1288</v>
      </c>
      <c r="E535" s="53" t="s">
        <v>272</v>
      </c>
      <c r="F535" s="53" t="s">
        <v>145</v>
      </c>
      <c r="G535" s="53" t="s">
        <v>273</v>
      </c>
      <c r="H535" s="53">
        <v>3</v>
      </c>
      <c r="I535" s="53" t="s">
        <v>147</v>
      </c>
      <c r="J535" s="53">
        <v>0</v>
      </c>
      <c r="K535" s="53">
        <v>1</v>
      </c>
      <c r="L535" s="53">
        <v>17.600000000000001</v>
      </c>
      <c r="M535" s="53" t="s">
        <v>1289</v>
      </c>
      <c r="N535" s="53">
        <v>18.8</v>
      </c>
      <c r="O535" s="51" t="str">
        <f>TEXT(tblWorkPackages[[#This Row],[Request date serial]]-WEEKDAY(tblWorkPackages[[#This Row],[Request date serial]],3),"yyyy-mm-dd")</f>
        <v>2025-02-24</v>
      </c>
      <c r="P535" s="51">
        <f>ABS(tblWorkPackages[[#This Row],[Actual labor hours]]-tblWorkPackages[[#This Row],[Estimated labor hours]])</f>
        <v>1.2</v>
      </c>
      <c r="Q535" s="51">
        <f>IF(tblWorkPackages[[#This Row],[Actual labor hours]]&gt;tblWorkPackages[[#This Row],[Estimated labor hours]],1,0)</f>
        <v>1</v>
      </c>
      <c r="R535" s="51">
        <f>tblWorkPackages[[#This Row],[Actual labor hours]]-tblWorkPackages[[#This Row],[Estimated labor hours]]</f>
        <v>1.2</v>
      </c>
      <c r="S535" s="51" t="str">
        <f>IF(tblWorkPackages[[#This Row],[Request date serial]]&lt;ValidationStart,"Train 2024",IF(tblWorkPackages[[#This Row],[Request date serial]]&lt;HoldoutStart,"Validation H1","Holdout H2"))</f>
        <v>Validation H1</v>
      </c>
      <c r="T535" s="51">
        <f>IF(tblWorkPackages[[#This Row],[Time split]]="Train 2024","",tblWorkPackages[[#This Row],[Estimated labor hours]]+VLOOKUP(tblWorkPackages[[#This Row],[Task type]],'Forecast validation'!$A$14:$E$25,IF(tblWorkPackages[[#This Row],[Time split]]="Validation H1",4,5),FALSE()))</f>
        <v>18.6320512820513</v>
      </c>
      <c r="U535" s="51">
        <f>IF(tblWorkPackages[[#This Row],[Calibrated forecast hours]]="","",ABS(tblWorkPackages[[#This Row],[Actual labor hours]]-tblWorkPackages[[#This Row],[Calibrated forecast hours]]))</f>
        <v>0.167948717948718</v>
      </c>
      <c r="V535" s="51">
        <f>IF(tblWorkPackages[[#This Row],[Time split]]="Train 2024",tblWorkPackages[[#This Row],[Estimated labor hours]],tblWorkPackages[[#This Row],[Calibrated forecast hours]])</f>
        <v>18.6320512820513</v>
      </c>
      <c r="W535" s="64">
        <f>DATEVALUE(tblWorkPackages[[#This Row],[Request date]])</f>
        <v>45718.0</v>
      </c>
      <c r="X535" s="64">
        <f>DATEVALUE(tblWorkPackages[[#This Row],[Due date]])</f>
        <v>45720.0</v>
      </c>
      <c r="Y535" s="64">
        <f>DATEVALUE(tblWorkPackages[[#This Row],[Completion date]])</f>
        <v>45722.0</v>
      </c>
      <c r="Z535" s="64">
        <f>_xlfn.MINIFS(tblLaborEntries[Work date serial],tblLaborEntries[Work package ID],tblWorkPackages[[#This Row],[Work package ID]])</f>
        <v>45719.0</v>
      </c>
      <c r="AA535" s="64">
        <f>_xlfn.MAXIFS(tblLaborEntries[Work date serial],tblLaborEntries[Work package ID],tblWorkPackages[[#This Row],[Work package ID]])</f>
        <v>45721.0</v>
      </c>
      <c r="AB535" s="65">
        <f>IF(tblWorkPackages[[#This Row],[Completion date serial]]&gt;tblWorkPackages[[#This Row],[Due date serial]],1,0)</f>
        <v>1</v>
      </c>
      <c r="AC535" s="65">
        <f>MAX(0,tblWorkPackages[[#This Row],[Completion date serial]]-tblWorkPackages[[#This Row],[Due date serial]])</f>
        <v>2</v>
      </c>
      <c r="AD535" s="65">
        <f>tblWorkPackages[[#This Row],[First labor date]]-tblWorkPackages[[#This Row],[Request date serial]]</f>
        <v>1</v>
      </c>
      <c r="AE535" s="65">
        <f>tblWorkPackages[[#This Row],[Last labor date]]-tblWorkPackages[[#This Row],[First labor date]]</f>
        <v>2</v>
      </c>
      <c r="AF535" s="65">
        <f>tblWorkPackages[[#This Row],[Completion date serial]]-tblWorkPackages[[#This Row],[Last labor date]]</f>
        <v>1</v>
      </c>
      <c r="AG535" s="65">
        <f>tblWorkPackages[[#This Row],[Completion date serial]]-tblWorkPackages[[#This Row],[Request date serial]]</f>
        <v>4</v>
      </c>
      <c r="AH535" s="65">
        <f>IFERROR(INDEX(tblParts[Delay days],MATCH(tblWorkPackages[[#This Row],[Work package ID]],tblParts[Work package ID],0)),0)</f>
        <v>0</v>
      </c>
      <c r="AI535" s="51" t="str">
        <f>IFERROR(INDEX(tblDisruptions[Event type],MATCH(tblWorkPackages[[#This Row],[Work package ID]],tblDisruptions[Work package ID],0)),"None")</f>
        <v>None</v>
      </c>
      <c r="AJ535" s="51" t="str">
        <f>TEXT(tblWorkPackages[[#This Row],[Due date serial]],"yyyy-mm")</f>
        <v>2025-03</v>
      </c>
    </row>
    <row r="536" spans="1:36" ht="15" x14ac:dyDescent="0.25">
      <c r="A536" s="53" t="s">
        <v>1358</v>
      </c>
      <c r="B536" s="53" t="s">
        <v>168</v>
      </c>
      <c r="C536" s="53" t="s">
        <v>1174</v>
      </c>
      <c r="D536" s="53" t="s">
        <v>369</v>
      </c>
      <c r="E536" s="53" t="s">
        <v>153</v>
      </c>
      <c r="F536" s="53" t="s">
        <v>128</v>
      </c>
      <c r="G536" s="53" t="s">
        <v>154</v>
      </c>
      <c r="H536" s="53">
        <v>3</v>
      </c>
      <c r="I536" s="53" t="s">
        <v>176</v>
      </c>
      <c r="J536" s="53">
        <v>0</v>
      </c>
      <c r="K536" s="53">
        <v>0</v>
      </c>
      <c r="L536" s="53">
        <v>14.1</v>
      </c>
      <c r="M536" s="53" t="s">
        <v>565</v>
      </c>
      <c r="N536" s="53">
        <v>17</v>
      </c>
      <c r="O536" s="51" t="str">
        <f>TEXT(tblWorkPackages[[#This Row],[Request date serial]]-WEEKDAY(tblWorkPackages[[#This Row],[Request date serial]],3),"yyyy-mm-dd")</f>
        <v>2024-06-03</v>
      </c>
      <c r="P536" s="51">
        <f>ABS(tblWorkPackages[[#This Row],[Actual labor hours]]-tblWorkPackages[[#This Row],[Estimated labor hours]])</f>
        <v>2.9</v>
      </c>
      <c r="Q536" s="51">
        <f>IF(tblWorkPackages[[#This Row],[Actual labor hours]]&gt;tblWorkPackages[[#This Row],[Estimated labor hours]],1,0)</f>
        <v>1</v>
      </c>
      <c r="R536" s="51">
        <f>tblWorkPackages[[#This Row],[Actual labor hours]]-tblWorkPackages[[#This Row],[Estimated labor hours]]</f>
        <v>2.9</v>
      </c>
      <c r="S536" s="51" t="str">
        <f>IF(tblWorkPackages[[#This Row],[Request date serial]]&lt;ValidationStart,"Train 2024",IF(tblWorkPackages[[#This Row],[Request date serial]]&lt;HoldoutStart,"Validation H1","Holdout H2"))</f>
        <v>Train 2024</v>
      </c>
      <c r="T536" s="51" t="str">
        <f>IF(tblWorkPackages[[#This Row],[Time split]]="Train 2024","",tblWorkPackages[[#This Row],[Estimated labor hours]]+VLOOKUP(tblWorkPackages[[#This Row],[Task type]],'Forecast validation'!$A$14:$E$25,IF(tblWorkPackages[[#This Row],[Time split]]="Validation H1",4,5),FALSE()))</f>
        <v/>
      </c>
      <c r="U536" s="51" t="str">
        <f>IF(tblWorkPackages[[#This Row],[Calibrated forecast hours]]="","",ABS(tblWorkPackages[[#This Row],[Actual labor hours]]-tblWorkPackages[[#This Row],[Calibrated forecast hours]]))</f>
        <v/>
      </c>
      <c r="V536" s="51">
        <f>IF(tblWorkPackages[[#This Row],[Time split]]="Train 2024",tblWorkPackages[[#This Row],[Estimated labor hours]],tblWorkPackages[[#This Row],[Calibrated forecast hours]])</f>
        <v>14.1</v>
      </c>
      <c r="W536" s="64">
        <f>DATEVALUE(tblWorkPackages[[#This Row],[Request date]])</f>
        <v>45449.0</v>
      </c>
      <c r="X536" s="64">
        <f>DATEVALUE(tblWorkPackages[[#This Row],[Due date]])</f>
        <v>45455.0</v>
      </c>
      <c r="Y536" s="64">
        <f>DATEVALUE(tblWorkPackages[[#This Row],[Completion date]])</f>
        <v>45462.0</v>
      </c>
      <c r="Z536" s="64">
        <f>_xlfn.MINIFS(tblLaborEntries[Work date serial],tblLaborEntries[Work package ID],tblWorkPackages[[#This Row],[Work package ID]])</f>
        <v>45459.0</v>
      </c>
      <c r="AA536" s="64">
        <f>_xlfn.MAXIFS(tblLaborEntries[Work date serial],tblLaborEntries[Work package ID],tblWorkPackages[[#This Row],[Work package ID]])</f>
        <v>45460.0</v>
      </c>
      <c r="AB536" s="65">
        <f>IF(tblWorkPackages[[#This Row],[Completion date serial]]&gt;tblWorkPackages[[#This Row],[Due date serial]],1,0)</f>
        <v>1</v>
      </c>
      <c r="AC536" s="65">
        <f>MAX(0,tblWorkPackages[[#This Row],[Completion date serial]]-tblWorkPackages[[#This Row],[Due date serial]])</f>
        <v>7</v>
      </c>
      <c r="AD536" s="65">
        <f>tblWorkPackages[[#This Row],[First labor date]]-tblWorkPackages[[#This Row],[Request date serial]]</f>
        <v>10</v>
      </c>
      <c r="AE536" s="65">
        <f>tblWorkPackages[[#This Row],[Last labor date]]-tblWorkPackages[[#This Row],[First labor date]]</f>
        <v>1</v>
      </c>
      <c r="AF536" s="65">
        <f>tblWorkPackages[[#This Row],[Completion date serial]]-tblWorkPackages[[#This Row],[Last labor date]]</f>
        <v>2</v>
      </c>
      <c r="AG536" s="65">
        <f>tblWorkPackages[[#This Row],[Completion date serial]]-tblWorkPackages[[#This Row],[Request date serial]]</f>
        <v>13</v>
      </c>
      <c r="AH536" s="65">
        <f>IFERROR(INDEX(tblParts[Delay days],MATCH(tblWorkPackages[[#This Row],[Work package ID]],tblParts[Work package ID],0)),0)</f>
        <v>0</v>
      </c>
      <c r="AI536" s="51" t="str">
        <f>IFERROR(INDEX(tblDisruptions[Event type],MATCH(tblWorkPackages[[#This Row],[Work package ID]],tblDisruptions[Work package ID],0)),"None")</f>
        <v>None</v>
      </c>
      <c r="AJ536" s="51" t="str">
        <f>TEXT(tblWorkPackages[[#This Row],[Due date serial]],"yyyy-mm")</f>
        <v>2024-06</v>
      </c>
    </row>
    <row r="537" spans="1:36" ht="15" x14ac:dyDescent="0.25">
      <c r="A537" s="53" t="s">
        <v>1359</v>
      </c>
      <c r="B537" s="53" t="s">
        <v>185</v>
      </c>
      <c r="C537" s="53" t="s">
        <v>717</v>
      </c>
      <c r="D537" s="53" t="s">
        <v>858</v>
      </c>
      <c r="E537" s="53" t="s">
        <v>153</v>
      </c>
      <c r="F537" s="53" t="s">
        <v>128</v>
      </c>
      <c r="G537" s="53" t="s">
        <v>154</v>
      </c>
      <c r="H537" s="53">
        <v>4</v>
      </c>
      <c r="I537" s="53" t="s">
        <v>176</v>
      </c>
      <c r="J537" s="53">
        <v>0</v>
      </c>
      <c r="K537" s="53">
        <v>0</v>
      </c>
      <c r="L537" s="53">
        <v>20.399999999999999</v>
      </c>
      <c r="M537" s="53" t="s">
        <v>685</v>
      </c>
      <c r="N537" s="53">
        <v>19.7</v>
      </c>
      <c r="O537" s="51" t="str">
        <f>TEXT(tblWorkPackages[[#This Row],[Request date serial]]-WEEKDAY(tblWorkPackages[[#This Row],[Request date serial]],3),"yyyy-mm-dd")</f>
        <v>2025-03-03</v>
      </c>
      <c r="P537" s="51">
        <f>ABS(tblWorkPackages[[#This Row],[Actual labor hours]]-tblWorkPackages[[#This Row],[Estimated labor hours]])</f>
        <v>0.699999999999999</v>
      </c>
      <c r="Q537" s="51">
        <f>IF(tblWorkPackages[[#This Row],[Actual labor hours]]&gt;tblWorkPackages[[#This Row],[Estimated labor hours]],1,0)</f>
        <v>0</v>
      </c>
      <c r="R537" s="51">
        <f>tblWorkPackages[[#This Row],[Actual labor hours]]-tblWorkPackages[[#This Row],[Estimated labor hours]]</f>
        <v>-0.699999999999999</v>
      </c>
      <c r="S537" s="51" t="str">
        <f>IF(tblWorkPackages[[#This Row],[Request date serial]]&lt;ValidationStart,"Train 2024",IF(tblWorkPackages[[#This Row],[Request date serial]]&lt;HoldoutStart,"Validation H1","Holdout H2"))</f>
        <v>Validation H1</v>
      </c>
      <c r="T537" s="51">
        <f>IF(tblWorkPackages[[#This Row],[Time split]]="Train 2024","",tblWorkPackages[[#This Row],[Estimated labor hours]]+VLOOKUP(tblWorkPackages[[#This Row],[Task type]],'Forecast validation'!$A$14:$E$25,IF(tblWorkPackages[[#This Row],[Time split]]="Validation H1",4,5),FALSE()))</f>
        <v>20.9462264150943</v>
      </c>
      <c r="U537" s="51">
        <f>IF(tblWorkPackages[[#This Row],[Calibrated forecast hours]]="","",ABS(tblWorkPackages[[#This Row],[Actual labor hours]]-tblWorkPackages[[#This Row],[Calibrated forecast hours]]))</f>
        <v>1.24622641509434</v>
      </c>
      <c r="V537" s="51">
        <f>IF(tblWorkPackages[[#This Row],[Time split]]="Train 2024",tblWorkPackages[[#This Row],[Estimated labor hours]],tblWorkPackages[[#This Row],[Calibrated forecast hours]])</f>
        <v>20.9462264150943</v>
      </c>
      <c r="W537" s="64">
        <f>DATEVALUE(tblWorkPackages[[#This Row],[Request date]])</f>
        <v>45723.0</v>
      </c>
      <c r="X537" s="64">
        <f>DATEVALUE(tblWorkPackages[[#This Row],[Due date]])</f>
        <v>45729.0</v>
      </c>
      <c r="Y537" s="64">
        <f>DATEVALUE(tblWorkPackages[[#This Row],[Completion date]])</f>
        <v>45730.0</v>
      </c>
      <c r="Z537" s="64">
        <f>_xlfn.MINIFS(tblLaborEntries[Work date serial],tblLaborEntries[Work package ID],tblWorkPackages[[#This Row],[Work package ID]])</f>
        <v>45726.0</v>
      </c>
      <c r="AA537" s="64">
        <f>_xlfn.MAXIFS(tblLaborEntries[Work date serial],tblLaborEntries[Work package ID],tblWorkPackages[[#This Row],[Work package ID]])</f>
        <v>45727.0</v>
      </c>
      <c r="AB537" s="65">
        <f>IF(tblWorkPackages[[#This Row],[Completion date serial]]&gt;tblWorkPackages[[#This Row],[Due date serial]],1,0)</f>
        <v>1</v>
      </c>
      <c r="AC537" s="65">
        <f>MAX(0,tblWorkPackages[[#This Row],[Completion date serial]]-tblWorkPackages[[#This Row],[Due date serial]])</f>
        <v>1</v>
      </c>
      <c r="AD537" s="65">
        <f>tblWorkPackages[[#This Row],[First labor date]]-tblWorkPackages[[#This Row],[Request date serial]]</f>
        <v>3</v>
      </c>
      <c r="AE537" s="65">
        <f>tblWorkPackages[[#This Row],[Last labor date]]-tblWorkPackages[[#This Row],[First labor date]]</f>
        <v>1</v>
      </c>
      <c r="AF537" s="65">
        <f>tblWorkPackages[[#This Row],[Completion date serial]]-tblWorkPackages[[#This Row],[Last labor date]]</f>
        <v>3</v>
      </c>
      <c r="AG537" s="65">
        <f>tblWorkPackages[[#This Row],[Completion date serial]]-tblWorkPackages[[#This Row],[Request date serial]]</f>
        <v>7</v>
      </c>
      <c r="AH537" s="65">
        <f>IFERROR(INDEX(tblParts[Delay days],MATCH(tblWorkPackages[[#This Row],[Work package ID]],tblParts[Work package ID],0)),0)</f>
        <v>0</v>
      </c>
      <c r="AI537" s="51" t="str">
        <f>IFERROR(INDEX(tblDisruptions[Event type],MATCH(tblWorkPackages[[#This Row],[Work package ID]],tblDisruptions[Work package ID],0)),"None")</f>
        <v>None</v>
      </c>
      <c r="AJ537" s="51" t="str">
        <f>TEXT(tblWorkPackages[[#This Row],[Due date serial]],"yyyy-mm")</f>
        <v>2025-03</v>
      </c>
    </row>
    <row r="538" spans="1:36" ht="15" x14ac:dyDescent="0.25">
      <c r="A538" s="53" t="s">
        <v>1360</v>
      </c>
      <c r="B538" s="53" t="s">
        <v>287</v>
      </c>
      <c r="C538" s="53" t="s">
        <v>611</v>
      </c>
      <c r="D538" s="53" t="s">
        <v>1361</v>
      </c>
      <c r="E538" s="53" t="s">
        <v>153</v>
      </c>
      <c r="F538" s="53" t="s">
        <v>128</v>
      </c>
      <c r="G538" s="53" t="s">
        <v>154</v>
      </c>
      <c r="H538" s="53">
        <v>4</v>
      </c>
      <c r="I538" s="53" t="s">
        <v>130</v>
      </c>
      <c r="J538" s="53">
        <v>0</v>
      </c>
      <c r="K538" s="53">
        <v>0</v>
      </c>
      <c r="L538" s="53">
        <v>16.8</v>
      </c>
      <c r="M538" s="53" t="s">
        <v>521</v>
      </c>
      <c r="N538" s="53">
        <v>20.8</v>
      </c>
      <c r="O538" s="51" t="str">
        <f>TEXT(tblWorkPackages[[#This Row],[Request date serial]]-WEEKDAY(tblWorkPackages[[#This Row],[Request date serial]],3),"yyyy-mm-dd")</f>
        <v>2025-08-04</v>
      </c>
      <c r="P538" s="51">
        <f>ABS(tblWorkPackages[[#This Row],[Actual labor hours]]-tblWorkPackages[[#This Row],[Estimated labor hours]])</f>
        <v>4</v>
      </c>
      <c r="Q538" s="51">
        <f>IF(tblWorkPackages[[#This Row],[Actual labor hours]]&gt;tblWorkPackages[[#This Row],[Estimated labor hours]],1,0)</f>
        <v>1</v>
      </c>
      <c r="R538" s="51">
        <f>tblWorkPackages[[#This Row],[Actual labor hours]]-tblWorkPackages[[#This Row],[Estimated labor hours]]</f>
        <v>4</v>
      </c>
      <c r="S538" s="51" t="str">
        <f>IF(tblWorkPackages[[#This Row],[Request date serial]]&lt;ValidationStart,"Train 2024",IF(tblWorkPackages[[#This Row],[Request date serial]]&lt;HoldoutStart,"Validation H1","Holdout H2"))</f>
        <v>Holdout H2</v>
      </c>
      <c r="T538" s="51">
        <f>IF(tblWorkPackages[[#This Row],[Time split]]="Train 2024","",tblWorkPackages[[#This Row],[Estimated labor hours]]+VLOOKUP(tblWorkPackages[[#This Row],[Task type]],'Forecast validation'!$A$14:$E$25,IF(tblWorkPackages[[#This Row],[Time split]]="Validation H1",4,5),FALSE()))</f>
        <v>17.4026666666667</v>
      </c>
      <c r="U538" s="51">
        <f>IF(tblWorkPackages[[#This Row],[Calibrated forecast hours]]="","",ABS(tblWorkPackages[[#This Row],[Actual labor hours]]-tblWorkPackages[[#This Row],[Calibrated forecast hours]]))</f>
        <v>3.39733333333333</v>
      </c>
      <c r="V538" s="51">
        <f>IF(tblWorkPackages[[#This Row],[Time split]]="Train 2024",tblWorkPackages[[#This Row],[Estimated labor hours]],tblWorkPackages[[#This Row],[Calibrated forecast hours]])</f>
        <v>17.4026666666667</v>
      </c>
      <c r="W538" s="64">
        <f>DATEVALUE(tblWorkPackages[[#This Row],[Request date]])</f>
        <v>45876.0</v>
      </c>
      <c r="X538" s="64">
        <f>DATEVALUE(tblWorkPackages[[#This Row],[Due date]])</f>
        <v>45889.0</v>
      </c>
      <c r="Y538" s="64">
        <f>DATEVALUE(tblWorkPackages[[#This Row],[Completion date]])</f>
        <v>45903.0</v>
      </c>
      <c r="Z538" s="64">
        <f>_xlfn.MINIFS(tblLaborEntries[Work date serial],tblLaborEntries[Work package ID],tblWorkPackages[[#This Row],[Work package ID]])</f>
        <v>45903.0</v>
      </c>
      <c r="AA538" s="64">
        <f>_xlfn.MAXIFS(tblLaborEntries[Work date serial],tblLaborEntries[Work package ID],tblWorkPackages[[#This Row],[Work package ID]])</f>
        <v>45903.0</v>
      </c>
      <c r="AB538" s="65">
        <f>IF(tblWorkPackages[[#This Row],[Completion date serial]]&gt;tblWorkPackages[[#This Row],[Due date serial]],1,0)</f>
        <v>1</v>
      </c>
      <c r="AC538" s="65">
        <f>MAX(0,tblWorkPackages[[#This Row],[Completion date serial]]-tblWorkPackages[[#This Row],[Due date serial]])</f>
        <v>14</v>
      </c>
      <c r="AD538" s="65">
        <f>tblWorkPackages[[#This Row],[First labor date]]-tblWorkPackages[[#This Row],[Request date serial]]</f>
        <v>27</v>
      </c>
      <c r="AE538" s="65">
        <f>tblWorkPackages[[#This Row],[Last labor date]]-tblWorkPackages[[#This Row],[First labor date]]</f>
        <v>0</v>
      </c>
      <c r="AF538" s="65">
        <f>tblWorkPackages[[#This Row],[Completion date serial]]-tblWorkPackages[[#This Row],[Last labor date]]</f>
        <v>0</v>
      </c>
      <c r="AG538" s="65">
        <f>tblWorkPackages[[#This Row],[Completion date serial]]-tblWorkPackages[[#This Row],[Request date serial]]</f>
        <v>27</v>
      </c>
      <c r="AH538" s="65">
        <f>IFERROR(INDEX(tblParts[Delay days],MATCH(tblWorkPackages[[#This Row],[Work package ID]],tblParts[Work package ID],0)),0)</f>
        <v>0</v>
      </c>
      <c r="AI538" s="51" t="str">
        <f>IFERROR(INDEX(tblDisruptions[Event type],MATCH(tblWorkPackages[[#This Row],[Work package ID]],tblDisruptions[Work package ID],0)),"None")</f>
        <v>None</v>
      </c>
      <c r="AJ538" s="51" t="str">
        <f>TEXT(tblWorkPackages[[#This Row],[Due date serial]],"yyyy-mm")</f>
        <v>2025-08</v>
      </c>
    </row>
    <row r="539" spans="1:36" ht="15" x14ac:dyDescent="0.25">
      <c r="A539" s="53" t="s">
        <v>1362</v>
      </c>
      <c r="B539" s="53" t="s">
        <v>287</v>
      </c>
      <c r="C539" s="53" t="s">
        <v>139</v>
      </c>
      <c r="D539" s="53" t="s">
        <v>903</v>
      </c>
      <c r="E539" s="53" t="s">
        <v>144</v>
      </c>
      <c r="F539" s="53" t="s">
        <v>145</v>
      </c>
      <c r="G539" s="53" t="s">
        <v>146</v>
      </c>
      <c r="H539" s="53">
        <v>2</v>
      </c>
      <c r="I539" s="53" t="s">
        <v>176</v>
      </c>
      <c r="J539" s="53">
        <v>0</v>
      </c>
      <c r="K539" s="53">
        <v>0</v>
      </c>
      <c r="L539" s="53">
        <v>9.6</v>
      </c>
      <c r="M539" s="53" t="s">
        <v>790</v>
      </c>
      <c r="N539" s="53">
        <v>11.3</v>
      </c>
      <c r="O539" s="51" t="str">
        <f>TEXT(tblWorkPackages[[#This Row],[Request date serial]]-WEEKDAY(tblWorkPackages[[#This Row],[Request date serial]],3),"yyyy-mm-dd")</f>
        <v>2025-09-08</v>
      </c>
      <c r="P539" s="51">
        <f>ABS(tblWorkPackages[[#This Row],[Actual labor hours]]-tblWorkPackages[[#This Row],[Estimated labor hours]])</f>
        <v>1.7</v>
      </c>
      <c r="Q539" s="51">
        <f>IF(tblWorkPackages[[#This Row],[Actual labor hours]]&gt;tblWorkPackages[[#This Row],[Estimated labor hours]],1,0)</f>
        <v>1</v>
      </c>
      <c r="R539" s="51">
        <f>tblWorkPackages[[#This Row],[Actual labor hours]]-tblWorkPackages[[#This Row],[Estimated labor hours]]</f>
        <v>1.7</v>
      </c>
      <c r="S539" s="51" t="str">
        <f>IF(tblWorkPackages[[#This Row],[Request date serial]]&lt;ValidationStart,"Train 2024",IF(tblWorkPackages[[#This Row],[Request date serial]]&lt;HoldoutStart,"Validation H1","Holdout H2"))</f>
        <v>Holdout H2</v>
      </c>
      <c r="T539" s="51">
        <f>IF(tblWorkPackages[[#This Row],[Time split]]="Train 2024","",tblWorkPackages[[#This Row],[Estimated labor hours]]+VLOOKUP(tblWorkPackages[[#This Row],[Task type]],'Forecast validation'!$A$14:$E$25,IF(tblWorkPackages[[#This Row],[Time split]]="Validation H1",4,5),FALSE()))</f>
        <v>10.5735483870968</v>
      </c>
      <c r="U539" s="51">
        <f>IF(tblWorkPackages[[#This Row],[Calibrated forecast hours]]="","",ABS(tblWorkPackages[[#This Row],[Actual labor hours]]-tblWorkPackages[[#This Row],[Calibrated forecast hours]]))</f>
        <v>0.726451612903226</v>
      </c>
      <c r="V539" s="51">
        <f>IF(tblWorkPackages[[#This Row],[Time split]]="Train 2024",tblWorkPackages[[#This Row],[Estimated labor hours]],tblWorkPackages[[#This Row],[Calibrated forecast hours]])</f>
        <v>10.5735483870968</v>
      </c>
      <c r="W539" s="64">
        <f>DATEVALUE(tblWorkPackages[[#This Row],[Request date]])</f>
        <v>45908.0</v>
      </c>
      <c r="X539" s="64">
        <f>DATEVALUE(tblWorkPackages[[#This Row],[Due date]])</f>
        <v>45914.0</v>
      </c>
      <c r="Y539" s="64">
        <f>DATEVALUE(tblWorkPackages[[#This Row],[Completion date]])</f>
        <v>45916.0</v>
      </c>
      <c r="Z539" s="64">
        <f>_xlfn.MINIFS(tblLaborEntries[Work date serial],tblLaborEntries[Work package ID],tblWorkPackages[[#This Row],[Work package ID]])</f>
        <v>45913.0</v>
      </c>
      <c r="AA539" s="64">
        <f>_xlfn.MAXIFS(tblLaborEntries[Work date serial],tblLaborEntries[Work package ID],tblWorkPackages[[#This Row],[Work package ID]])</f>
        <v>45915.0</v>
      </c>
      <c r="AB539" s="65">
        <f>IF(tblWorkPackages[[#This Row],[Completion date serial]]&gt;tblWorkPackages[[#This Row],[Due date serial]],1,0)</f>
        <v>1</v>
      </c>
      <c r="AC539" s="65">
        <f>MAX(0,tblWorkPackages[[#This Row],[Completion date serial]]-tblWorkPackages[[#This Row],[Due date serial]])</f>
        <v>2</v>
      </c>
      <c r="AD539" s="65">
        <f>tblWorkPackages[[#This Row],[First labor date]]-tblWorkPackages[[#This Row],[Request date serial]]</f>
        <v>5</v>
      </c>
      <c r="AE539" s="65">
        <f>tblWorkPackages[[#This Row],[Last labor date]]-tblWorkPackages[[#This Row],[First labor date]]</f>
        <v>2</v>
      </c>
      <c r="AF539" s="65">
        <f>tblWorkPackages[[#This Row],[Completion date serial]]-tblWorkPackages[[#This Row],[Last labor date]]</f>
        <v>1</v>
      </c>
      <c r="AG539" s="65">
        <f>tblWorkPackages[[#This Row],[Completion date serial]]-tblWorkPackages[[#This Row],[Request date serial]]</f>
        <v>8</v>
      </c>
      <c r="AH539" s="65">
        <f>IFERROR(INDEX(tblParts[Delay days],MATCH(tblWorkPackages[[#This Row],[Work package ID]],tblParts[Work package ID],0)),0)</f>
        <v>0</v>
      </c>
      <c r="AI539" s="51" t="str">
        <f>IFERROR(INDEX(tblDisruptions[Event type],MATCH(tblWorkPackages[[#This Row],[Work package ID]],tblDisruptions[Work package ID],0)),"None")</f>
        <v>None</v>
      </c>
      <c r="AJ539" s="51" t="str">
        <f>TEXT(tblWorkPackages[[#This Row],[Due date serial]],"yyyy-mm")</f>
        <v>2025-09</v>
      </c>
    </row>
    <row r="540" spans="1:36" ht="15" x14ac:dyDescent="0.25">
      <c r="A540" s="53" t="s">
        <v>1363</v>
      </c>
      <c r="B540" s="53" t="s">
        <v>203</v>
      </c>
      <c r="C540" s="53" t="s">
        <v>579</v>
      </c>
      <c r="D540" s="53" t="s">
        <v>580</v>
      </c>
      <c r="E540" s="53" t="s">
        <v>136</v>
      </c>
      <c r="F540" s="53" t="s">
        <v>137</v>
      </c>
      <c r="G540" s="53" t="s">
        <v>138</v>
      </c>
      <c r="H540" s="53">
        <v>4</v>
      </c>
      <c r="I540" s="53" t="s">
        <v>130</v>
      </c>
      <c r="J540" s="53">
        <v>0</v>
      </c>
      <c r="K540" s="53">
        <v>0</v>
      </c>
      <c r="L540" s="53">
        <v>22.8</v>
      </c>
      <c r="M540" s="53" t="s">
        <v>1048</v>
      </c>
      <c r="N540" s="53">
        <v>20.6</v>
      </c>
      <c r="O540" s="51" t="str">
        <f>TEXT(tblWorkPackages[[#This Row],[Request date serial]]-WEEKDAY(tblWorkPackages[[#This Row],[Request date serial]],3),"yyyy-mm-dd")</f>
        <v>2025-12-29</v>
      </c>
      <c r="P540" s="51">
        <f>ABS(tblWorkPackages[[#This Row],[Actual labor hours]]-tblWorkPackages[[#This Row],[Estimated labor hours]])</f>
        <v>2.2</v>
      </c>
      <c r="Q540" s="51">
        <f>IF(tblWorkPackages[[#This Row],[Actual labor hours]]&gt;tblWorkPackages[[#This Row],[Estimated labor hours]],1,0)</f>
        <v>0</v>
      </c>
      <c r="R540" s="51">
        <f>tblWorkPackages[[#This Row],[Actual labor hours]]-tblWorkPackages[[#This Row],[Estimated labor hours]]</f>
        <v>-2.2</v>
      </c>
      <c r="S540" s="51" t="str">
        <f>IF(tblWorkPackages[[#This Row],[Request date serial]]&lt;ValidationStart,"Train 2024",IF(tblWorkPackages[[#This Row],[Request date serial]]&lt;HoldoutStart,"Validation H1","Holdout H2"))</f>
        <v>Holdout H2</v>
      </c>
      <c r="T540" s="51">
        <f>IF(tblWorkPackages[[#This Row],[Time split]]="Train 2024","",tblWorkPackages[[#This Row],[Estimated labor hours]]+VLOOKUP(tblWorkPackages[[#This Row],[Task type]],'Forecast validation'!$A$14:$E$25,IF(tblWorkPackages[[#This Row],[Time split]]="Validation H1",4,5),FALSE()))</f>
        <v>23.7207547169811</v>
      </c>
      <c r="U540" s="51">
        <f>IF(tblWorkPackages[[#This Row],[Calibrated forecast hours]]="","",ABS(tblWorkPackages[[#This Row],[Actual labor hours]]-tblWorkPackages[[#This Row],[Calibrated forecast hours]]))</f>
        <v>3.12075471698113</v>
      </c>
      <c r="V540" s="51">
        <f>IF(tblWorkPackages[[#This Row],[Time split]]="Train 2024",tblWorkPackages[[#This Row],[Estimated labor hours]],tblWorkPackages[[#This Row],[Calibrated forecast hours]])</f>
        <v>23.7207547169811</v>
      </c>
      <c r="W540" s="64">
        <f>DATEVALUE(tblWorkPackages[[#This Row],[Request date]])</f>
        <v>46021.0</v>
      </c>
      <c r="X540" s="64">
        <f>DATEVALUE(tblWorkPackages[[#This Row],[Due date]])</f>
        <v>46034.0</v>
      </c>
      <c r="Y540" s="64">
        <f>DATEVALUE(tblWorkPackages[[#This Row],[Completion date]])</f>
        <v>46024.0</v>
      </c>
      <c r="Z540" s="64">
        <f>_xlfn.MINIFS(tblLaborEntries[Work date serial],tblLaborEntries[Work package ID],tblWorkPackages[[#This Row],[Work package ID]])</f>
        <v>46022.0</v>
      </c>
      <c r="AA540" s="64">
        <f>_xlfn.MAXIFS(tblLaborEntries[Work date serial],tblLaborEntries[Work package ID],tblWorkPackages[[#This Row],[Work package ID]])</f>
        <v>46022.0</v>
      </c>
      <c r="AB540" s="65">
        <f>IF(tblWorkPackages[[#This Row],[Completion date serial]]&gt;tblWorkPackages[[#This Row],[Due date serial]],1,0)</f>
        <v>0</v>
      </c>
      <c r="AC540" s="65">
        <f>MAX(0,tblWorkPackages[[#This Row],[Completion date serial]]-tblWorkPackages[[#This Row],[Due date serial]])</f>
        <v>0</v>
      </c>
      <c r="AD540" s="65">
        <f>tblWorkPackages[[#This Row],[First labor date]]-tblWorkPackages[[#This Row],[Request date serial]]</f>
        <v>1</v>
      </c>
      <c r="AE540" s="65">
        <f>tblWorkPackages[[#This Row],[Last labor date]]-tblWorkPackages[[#This Row],[First labor date]]</f>
        <v>0</v>
      </c>
      <c r="AF540" s="65">
        <f>tblWorkPackages[[#This Row],[Completion date serial]]-tblWorkPackages[[#This Row],[Last labor date]]</f>
        <v>2</v>
      </c>
      <c r="AG540" s="65">
        <f>tblWorkPackages[[#This Row],[Completion date serial]]-tblWorkPackages[[#This Row],[Request date serial]]</f>
        <v>3</v>
      </c>
      <c r="AH540" s="65">
        <f>IFERROR(INDEX(tblParts[Delay days],MATCH(tblWorkPackages[[#This Row],[Work package ID]],tblParts[Work package ID],0)),0)</f>
        <v>0</v>
      </c>
      <c r="AI540" s="51" t="str">
        <f>IFERROR(INDEX(tblDisruptions[Event type],MATCH(tblWorkPackages[[#This Row],[Work package ID]],tblDisruptions[Work package ID],0)),"None")</f>
        <v>None</v>
      </c>
      <c r="AJ540" s="51" t="str">
        <f>TEXT(tblWorkPackages[[#This Row],[Due date serial]],"yyyy-mm")</f>
        <v>2026-01</v>
      </c>
    </row>
    <row r="541" spans="1:36" ht="15" x14ac:dyDescent="0.25">
      <c r="A541" s="53" t="s">
        <v>1364</v>
      </c>
      <c r="B541" s="53" t="s">
        <v>163</v>
      </c>
      <c r="C541" s="53" t="s">
        <v>603</v>
      </c>
      <c r="D541" s="53" t="s">
        <v>502</v>
      </c>
      <c r="E541" s="53" t="s">
        <v>160</v>
      </c>
      <c r="F541" s="53" t="s">
        <v>128</v>
      </c>
      <c r="G541" s="53" t="s">
        <v>138</v>
      </c>
      <c r="H541" s="53">
        <v>2</v>
      </c>
      <c r="I541" s="53" t="s">
        <v>176</v>
      </c>
      <c r="J541" s="53">
        <v>0</v>
      </c>
      <c r="K541" s="53">
        <v>0</v>
      </c>
      <c r="L541" s="53">
        <v>4.5999999999999996</v>
      </c>
      <c r="M541" s="53" t="s">
        <v>431</v>
      </c>
      <c r="N541" s="53">
        <v>5.7</v>
      </c>
      <c r="O541" s="51" t="str">
        <f>TEXT(tblWorkPackages[[#This Row],[Request date serial]]-WEEKDAY(tblWorkPackages[[#This Row],[Request date serial]],3),"yyyy-mm-dd")</f>
        <v>2025-06-23</v>
      </c>
      <c r="P541" s="51">
        <f>ABS(tblWorkPackages[[#This Row],[Actual labor hours]]-tblWorkPackages[[#This Row],[Estimated labor hours]])</f>
        <v>1.1</v>
      </c>
      <c r="Q541" s="51">
        <f>IF(tblWorkPackages[[#This Row],[Actual labor hours]]&gt;tblWorkPackages[[#This Row],[Estimated labor hours]],1,0)</f>
        <v>1</v>
      </c>
      <c r="R541" s="51">
        <f>tblWorkPackages[[#This Row],[Actual labor hours]]-tblWorkPackages[[#This Row],[Estimated labor hours]]</f>
        <v>1.1</v>
      </c>
      <c r="S541" s="51" t="str">
        <f>IF(tblWorkPackages[[#This Row],[Request date serial]]&lt;ValidationStart,"Train 2024",IF(tblWorkPackages[[#This Row],[Request date serial]]&lt;HoldoutStart,"Validation H1","Holdout H2"))</f>
        <v>Validation H1</v>
      </c>
      <c r="T541" s="51">
        <f>IF(tblWorkPackages[[#This Row],[Time split]]="Train 2024","",tblWorkPackages[[#This Row],[Estimated labor hours]]+VLOOKUP(tblWorkPackages[[#This Row],[Task type]],'Forecast validation'!$A$14:$E$25,IF(tblWorkPackages[[#This Row],[Time split]]="Validation H1",4,5),FALSE()))</f>
        <v>5.04146341463415</v>
      </c>
      <c r="U541" s="51">
        <f>IF(tblWorkPackages[[#This Row],[Calibrated forecast hours]]="","",ABS(tblWorkPackages[[#This Row],[Actual labor hours]]-tblWorkPackages[[#This Row],[Calibrated forecast hours]]))</f>
        <v>0.658536585365854</v>
      </c>
      <c r="V541" s="51">
        <f>IF(tblWorkPackages[[#This Row],[Time split]]="Train 2024",tblWorkPackages[[#This Row],[Estimated labor hours]],tblWorkPackages[[#This Row],[Calibrated forecast hours]])</f>
        <v>5.04146341463415</v>
      </c>
      <c r="W541" s="64">
        <f>DATEVALUE(tblWorkPackages[[#This Row],[Request date]])</f>
        <v>45834.0</v>
      </c>
      <c r="X541" s="64">
        <f>DATEVALUE(tblWorkPackages[[#This Row],[Due date]])</f>
        <v>45840.0</v>
      </c>
      <c r="Y541" s="64">
        <f>DATEVALUE(tblWorkPackages[[#This Row],[Completion date]])</f>
        <v>45852.0</v>
      </c>
      <c r="Z541" s="64">
        <f>_xlfn.MINIFS(tblLaborEntries[Work date serial],tblLaborEntries[Work package ID],tblWorkPackages[[#This Row],[Work package ID]])</f>
        <v>45847.0</v>
      </c>
      <c r="AA541" s="64">
        <f>_xlfn.MAXIFS(tblLaborEntries[Work date serial],tblLaborEntries[Work package ID],tblWorkPackages[[#This Row],[Work package ID]])</f>
        <v>45849.0</v>
      </c>
      <c r="AB541" s="65">
        <f>IF(tblWorkPackages[[#This Row],[Completion date serial]]&gt;tblWorkPackages[[#This Row],[Due date serial]],1,0)</f>
        <v>1</v>
      </c>
      <c r="AC541" s="65">
        <f>MAX(0,tblWorkPackages[[#This Row],[Completion date serial]]-tblWorkPackages[[#This Row],[Due date serial]])</f>
        <v>12</v>
      </c>
      <c r="AD541" s="65">
        <f>tblWorkPackages[[#This Row],[First labor date]]-tblWorkPackages[[#This Row],[Request date serial]]</f>
        <v>13</v>
      </c>
      <c r="AE541" s="65">
        <f>tblWorkPackages[[#This Row],[Last labor date]]-tblWorkPackages[[#This Row],[First labor date]]</f>
        <v>2</v>
      </c>
      <c r="AF541" s="65">
        <f>tblWorkPackages[[#This Row],[Completion date serial]]-tblWorkPackages[[#This Row],[Last labor date]]</f>
        <v>3</v>
      </c>
      <c r="AG541" s="65">
        <f>tblWorkPackages[[#This Row],[Completion date serial]]-tblWorkPackages[[#This Row],[Request date serial]]</f>
        <v>18</v>
      </c>
      <c r="AH541" s="65">
        <f>IFERROR(INDEX(tblParts[Delay days],MATCH(tblWorkPackages[[#This Row],[Work package ID]],tblParts[Work package ID],0)),0)</f>
        <v>0</v>
      </c>
      <c r="AI541" s="51" t="str">
        <f>IFERROR(INDEX(tblDisruptions[Event type],MATCH(tblWorkPackages[[#This Row],[Work package ID]],tblDisruptions[Work package ID],0)),"None")</f>
        <v>None</v>
      </c>
      <c r="AJ541" s="51" t="str">
        <f>TEXT(tblWorkPackages[[#This Row],[Due date serial]],"yyyy-mm")</f>
        <v>2025-07</v>
      </c>
    </row>
    <row r="542" spans="1:36" ht="15" x14ac:dyDescent="0.25">
      <c r="A542" s="53" t="s">
        <v>1365</v>
      </c>
      <c r="B542" s="53" t="s">
        <v>173</v>
      </c>
      <c r="C542" s="53" t="s">
        <v>1152</v>
      </c>
      <c r="D542" s="53" t="s">
        <v>527</v>
      </c>
      <c r="E542" s="53" t="s">
        <v>181</v>
      </c>
      <c r="F542" s="53" t="s">
        <v>182</v>
      </c>
      <c r="G542" s="53" t="s">
        <v>138</v>
      </c>
      <c r="H542" s="53">
        <v>1</v>
      </c>
      <c r="I542" s="53" t="s">
        <v>130</v>
      </c>
      <c r="J542" s="53">
        <v>0</v>
      </c>
      <c r="K542" s="53">
        <v>0</v>
      </c>
      <c r="L542" s="53">
        <v>4.5</v>
      </c>
      <c r="M542" s="53" t="s">
        <v>1078</v>
      </c>
      <c r="N542" s="53">
        <v>4</v>
      </c>
      <c r="O542" s="51" t="str">
        <f>TEXT(tblWorkPackages[[#This Row],[Request date serial]]-WEEKDAY(tblWorkPackages[[#This Row],[Request date serial]],3),"yyyy-mm-dd")</f>
        <v>2025-08-18</v>
      </c>
      <c r="P542" s="51">
        <f>ABS(tblWorkPackages[[#This Row],[Actual labor hours]]-tblWorkPackages[[#This Row],[Estimated labor hours]])</f>
        <v>0.5</v>
      </c>
      <c r="Q542" s="51">
        <f>IF(tblWorkPackages[[#This Row],[Actual labor hours]]&gt;tblWorkPackages[[#This Row],[Estimated labor hours]],1,0)</f>
        <v>0</v>
      </c>
      <c r="R542" s="51">
        <f>tblWorkPackages[[#This Row],[Actual labor hours]]-tblWorkPackages[[#This Row],[Estimated labor hours]]</f>
        <v>-0.5</v>
      </c>
      <c r="S542" s="51" t="str">
        <f>IF(tblWorkPackages[[#This Row],[Request date serial]]&lt;ValidationStart,"Train 2024",IF(tblWorkPackages[[#This Row],[Request date serial]]&lt;HoldoutStart,"Validation H1","Holdout H2"))</f>
        <v>Holdout H2</v>
      </c>
      <c r="T542" s="51">
        <f>IF(tblWorkPackages[[#This Row],[Time split]]="Train 2024","",tblWorkPackages[[#This Row],[Estimated labor hours]]+VLOOKUP(tblWorkPackages[[#This Row],[Task type]],'Forecast validation'!$A$14:$E$25,IF(tblWorkPackages[[#This Row],[Time split]]="Validation H1",4,5),FALSE()))</f>
        <v>5.09160839160839</v>
      </c>
      <c r="U542" s="51">
        <f>IF(tblWorkPackages[[#This Row],[Calibrated forecast hours]]="","",ABS(tblWorkPackages[[#This Row],[Actual labor hours]]-tblWorkPackages[[#This Row],[Calibrated forecast hours]]))</f>
        <v>1.09160839160839</v>
      </c>
      <c r="V542" s="51">
        <f>IF(tblWorkPackages[[#This Row],[Time split]]="Train 2024",tblWorkPackages[[#This Row],[Estimated labor hours]],tblWorkPackages[[#This Row],[Calibrated forecast hours]])</f>
        <v>5.09160839160839</v>
      </c>
      <c r="W542" s="64">
        <f>DATEVALUE(tblWorkPackages[[#This Row],[Request date]])</f>
        <v>45893.0</v>
      </c>
      <c r="X542" s="64">
        <f>DATEVALUE(tblWorkPackages[[#This Row],[Due date]])</f>
        <v>45906.0</v>
      </c>
      <c r="Y542" s="64">
        <f>DATEVALUE(tblWorkPackages[[#This Row],[Completion date]])</f>
        <v>45898.0</v>
      </c>
      <c r="Z542" s="64">
        <f>_xlfn.MINIFS(tblLaborEntries[Work date serial],tblLaborEntries[Work package ID],tblWorkPackages[[#This Row],[Work package ID]])</f>
        <v>45896.0</v>
      </c>
      <c r="AA542" s="64">
        <f>_xlfn.MAXIFS(tblLaborEntries[Work date serial],tblLaborEntries[Work package ID],tblWorkPackages[[#This Row],[Work package ID]])</f>
        <v>45898.0</v>
      </c>
      <c r="AB542" s="65">
        <f>IF(tblWorkPackages[[#This Row],[Completion date serial]]&gt;tblWorkPackages[[#This Row],[Due date serial]],1,0)</f>
        <v>0</v>
      </c>
      <c r="AC542" s="65">
        <f>MAX(0,tblWorkPackages[[#This Row],[Completion date serial]]-tblWorkPackages[[#This Row],[Due date serial]])</f>
        <v>0</v>
      </c>
      <c r="AD542" s="65">
        <f>tblWorkPackages[[#This Row],[First labor date]]-tblWorkPackages[[#This Row],[Request date serial]]</f>
        <v>3</v>
      </c>
      <c r="AE542" s="65">
        <f>tblWorkPackages[[#This Row],[Last labor date]]-tblWorkPackages[[#This Row],[First labor date]]</f>
        <v>2</v>
      </c>
      <c r="AF542" s="65">
        <f>tblWorkPackages[[#This Row],[Completion date serial]]-tblWorkPackages[[#This Row],[Last labor date]]</f>
        <v>0</v>
      </c>
      <c r="AG542" s="65">
        <f>tblWorkPackages[[#This Row],[Completion date serial]]-tblWorkPackages[[#This Row],[Request date serial]]</f>
        <v>5</v>
      </c>
      <c r="AH542" s="65">
        <f>IFERROR(INDEX(tblParts[Delay days],MATCH(tblWorkPackages[[#This Row],[Work package ID]],tblParts[Work package ID],0)),0)</f>
        <v>0</v>
      </c>
      <c r="AI542" s="51" t="str">
        <f>IFERROR(INDEX(tblDisruptions[Event type],MATCH(tblWorkPackages[[#This Row],[Work package ID]],tblDisruptions[Work package ID],0)),"None")</f>
        <v>None</v>
      </c>
      <c r="AJ542" s="51" t="str">
        <f>TEXT(tblWorkPackages[[#This Row],[Due date serial]],"yyyy-mm")</f>
        <v>2025-09</v>
      </c>
    </row>
    <row r="543" spans="1:36" ht="15" x14ac:dyDescent="0.25">
      <c r="A543" s="53" t="s">
        <v>1366</v>
      </c>
      <c r="B543" s="53" t="s">
        <v>157</v>
      </c>
      <c r="C543" s="53" t="s">
        <v>1170</v>
      </c>
      <c r="D543" s="53" t="s">
        <v>620</v>
      </c>
      <c r="E543" s="53" t="s">
        <v>237</v>
      </c>
      <c r="F543" s="53" t="s">
        <v>182</v>
      </c>
      <c r="G543" s="53" t="s">
        <v>138</v>
      </c>
      <c r="H543" s="53">
        <v>1</v>
      </c>
      <c r="I543" s="53" t="s">
        <v>130</v>
      </c>
      <c r="J543" s="53">
        <v>0</v>
      </c>
      <c r="K543" s="53">
        <v>0</v>
      </c>
      <c r="L543" s="53">
        <v>3.2</v>
      </c>
      <c r="M543" s="53" t="s">
        <v>152</v>
      </c>
      <c r="N543" s="53">
        <v>3.1</v>
      </c>
      <c r="O543" s="51" t="str">
        <f>TEXT(tblWorkPackages[[#This Row],[Request date serial]]-WEEKDAY(tblWorkPackages[[#This Row],[Request date serial]],3),"yyyy-mm-dd")</f>
        <v>2024-07-01</v>
      </c>
      <c r="P543" s="51">
        <f>ABS(tblWorkPackages[[#This Row],[Actual labor hours]]-tblWorkPackages[[#This Row],[Estimated labor hours]])</f>
        <v>0.1</v>
      </c>
      <c r="Q543" s="51">
        <f>IF(tblWorkPackages[[#This Row],[Actual labor hours]]&gt;tblWorkPackages[[#This Row],[Estimated labor hours]],1,0)</f>
        <v>0</v>
      </c>
      <c r="R543" s="51">
        <f>tblWorkPackages[[#This Row],[Actual labor hours]]-tblWorkPackages[[#This Row],[Estimated labor hours]]</f>
        <v>-0.1</v>
      </c>
      <c r="S543" s="51" t="str">
        <f>IF(tblWorkPackages[[#This Row],[Request date serial]]&lt;ValidationStart,"Train 2024",IF(tblWorkPackages[[#This Row],[Request date serial]]&lt;HoldoutStart,"Validation H1","Holdout H2"))</f>
        <v>Train 2024</v>
      </c>
      <c r="T543" s="51" t="str">
        <f>IF(tblWorkPackages[[#This Row],[Time split]]="Train 2024","",tblWorkPackages[[#This Row],[Estimated labor hours]]+VLOOKUP(tblWorkPackages[[#This Row],[Task type]],'Forecast validation'!$A$14:$E$25,IF(tblWorkPackages[[#This Row],[Time split]]="Validation H1",4,5),FALSE()))</f>
        <v/>
      </c>
      <c r="U543" s="51" t="str">
        <f>IF(tblWorkPackages[[#This Row],[Calibrated forecast hours]]="","",ABS(tblWorkPackages[[#This Row],[Actual labor hours]]-tblWorkPackages[[#This Row],[Calibrated forecast hours]]))</f>
        <v/>
      </c>
      <c r="V543" s="51">
        <f>IF(tblWorkPackages[[#This Row],[Time split]]="Train 2024",tblWorkPackages[[#This Row],[Estimated labor hours]],tblWorkPackages[[#This Row],[Calibrated forecast hours]])</f>
        <v>3.2</v>
      </c>
      <c r="W543" s="64">
        <f>DATEVALUE(tblWorkPackages[[#This Row],[Request date]])</f>
        <v>45477.0</v>
      </c>
      <c r="X543" s="64">
        <f>DATEVALUE(tblWorkPackages[[#This Row],[Due date]])</f>
        <v>45490.0</v>
      </c>
      <c r="Y543" s="64">
        <f>DATEVALUE(tblWorkPackages[[#This Row],[Completion date]])</f>
        <v>45529.0</v>
      </c>
      <c r="Z543" s="64">
        <f>_xlfn.MINIFS(tblLaborEntries[Work date serial],tblLaborEntries[Work package ID],tblWorkPackages[[#This Row],[Work package ID]])</f>
        <v>45526.0</v>
      </c>
      <c r="AA543" s="64">
        <f>_xlfn.MAXIFS(tblLaborEntries[Work date serial],tblLaborEntries[Work package ID],tblWorkPackages[[#This Row],[Work package ID]])</f>
        <v>45528.0</v>
      </c>
      <c r="AB543" s="65">
        <f>IF(tblWorkPackages[[#This Row],[Completion date serial]]&gt;tblWorkPackages[[#This Row],[Due date serial]],1,0)</f>
        <v>1</v>
      </c>
      <c r="AC543" s="65">
        <f>MAX(0,tblWorkPackages[[#This Row],[Completion date serial]]-tblWorkPackages[[#This Row],[Due date serial]])</f>
        <v>39</v>
      </c>
      <c r="AD543" s="65">
        <f>tblWorkPackages[[#This Row],[First labor date]]-tblWorkPackages[[#This Row],[Request date serial]]</f>
        <v>49</v>
      </c>
      <c r="AE543" s="65">
        <f>tblWorkPackages[[#This Row],[Last labor date]]-tblWorkPackages[[#This Row],[First labor date]]</f>
        <v>2</v>
      </c>
      <c r="AF543" s="65">
        <f>tblWorkPackages[[#This Row],[Completion date serial]]-tblWorkPackages[[#This Row],[Last labor date]]</f>
        <v>1</v>
      </c>
      <c r="AG543" s="65">
        <f>tblWorkPackages[[#This Row],[Completion date serial]]-tblWorkPackages[[#This Row],[Request date serial]]</f>
        <v>52</v>
      </c>
      <c r="AH543" s="65">
        <f>IFERROR(INDEX(tblParts[Delay days],MATCH(tblWorkPackages[[#This Row],[Work package ID]],tblParts[Work package ID],0)),0)</f>
        <v>0</v>
      </c>
      <c r="AI543" s="51" t="str">
        <f>IFERROR(INDEX(tblDisruptions[Event type],MATCH(tblWorkPackages[[#This Row],[Work package ID]],tblDisruptions[Work package ID],0)),"None")</f>
        <v>None</v>
      </c>
      <c r="AJ543" s="51" t="str">
        <f>TEXT(tblWorkPackages[[#This Row],[Due date serial]],"yyyy-mm")</f>
        <v>2024-07</v>
      </c>
    </row>
    <row r="544" spans="1:36" ht="15" x14ac:dyDescent="0.25">
      <c r="A544" s="53" t="s">
        <v>1367</v>
      </c>
      <c r="B544" s="53" t="s">
        <v>141</v>
      </c>
      <c r="C544" s="53" t="s">
        <v>713</v>
      </c>
      <c r="D544" s="53" t="s">
        <v>174</v>
      </c>
      <c r="E544" s="53" t="s">
        <v>136</v>
      </c>
      <c r="F544" s="53" t="s">
        <v>137</v>
      </c>
      <c r="G544" s="53" t="s">
        <v>138</v>
      </c>
      <c r="H544" s="53">
        <v>1</v>
      </c>
      <c r="I544" s="53" t="s">
        <v>130</v>
      </c>
      <c r="J544" s="53">
        <v>0</v>
      </c>
      <c r="K544" s="53">
        <v>0</v>
      </c>
      <c r="L544" s="53">
        <v>9.9</v>
      </c>
      <c r="M544" s="53" t="s">
        <v>603</v>
      </c>
      <c r="N544" s="53">
        <v>9.4</v>
      </c>
      <c r="O544" s="51" t="str">
        <f>TEXT(tblWorkPackages[[#This Row],[Request date serial]]-WEEKDAY(tblWorkPackages[[#This Row],[Request date serial]],3),"yyyy-mm-dd")</f>
        <v>2025-06-09</v>
      </c>
      <c r="P544" s="51">
        <f>ABS(tblWorkPackages[[#This Row],[Actual labor hours]]-tblWorkPackages[[#This Row],[Estimated labor hours]])</f>
        <v>0.5</v>
      </c>
      <c r="Q544" s="51">
        <f>IF(tblWorkPackages[[#This Row],[Actual labor hours]]&gt;tblWorkPackages[[#This Row],[Estimated labor hours]],1,0)</f>
        <v>0</v>
      </c>
      <c r="R544" s="51">
        <f>tblWorkPackages[[#This Row],[Actual labor hours]]-tblWorkPackages[[#This Row],[Estimated labor hours]]</f>
        <v>-0.5</v>
      </c>
      <c r="S544" s="51" t="str">
        <f>IF(tblWorkPackages[[#This Row],[Request date serial]]&lt;ValidationStart,"Train 2024",IF(tblWorkPackages[[#This Row],[Request date serial]]&lt;HoldoutStart,"Validation H1","Holdout H2"))</f>
        <v>Validation H1</v>
      </c>
      <c r="T544" s="51">
        <f>IF(tblWorkPackages[[#This Row],[Time split]]="Train 2024","",tblWorkPackages[[#This Row],[Estimated labor hours]]+VLOOKUP(tblWorkPackages[[#This Row],[Task type]],'Forecast validation'!$A$14:$E$25,IF(tblWorkPackages[[#This Row],[Time split]]="Validation H1",4,5),FALSE()))</f>
        <v>10.7765306122449</v>
      </c>
      <c r="U544" s="51">
        <f>IF(tblWorkPackages[[#This Row],[Calibrated forecast hours]]="","",ABS(tblWorkPackages[[#This Row],[Actual labor hours]]-tblWorkPackages[[#This Row],[Calibrated forecast hours]]))</f>
        <v>1.3765306122449</v>
      </c>
      <c r="V544" s="51">
        <f>IF(tblWorkPackages[[#This Row],[Time split]]="Train 2024",tblWorkPackages[[#This Row],[Estimated labor hours]],tblWorkPackages[[#This Row],[Calibrated forecast hours]])</f>
        <v>10.7765306122449</v>
      </c>
      <c r="W544" s="64">
        <f>DATEVALUE(tblWorkPackages[[#This Row],[Request date]])</f>
        <v>45823.0</v>
      </c>
      <c r="X544" s="64">
        <f>DATEVALUE(tblWorkPackages[[#This Row],[Due date]])</f>
        <v>45836.0</v>
      </c>
      <c r="Y544" s="64">
        <f>DATEVALUE(tblWorkPackages[[#This Row],[Completion date]])</f>
        <v>45834.0</v>
      </c>
      <c r="Z544" s="64">
        <f>_xlfn.MINIFS(tblLaborEntries[Work date serial],tblLaborEntries[Work package ID],tblWorkPackages[[#This Row],[Work package ID]])</f>
        <v>45831.0</v>
      </c>
      <c r="AA544" s="64">
        <f>_xlfn.MAXIFS(tblLaborEntries[Work date serial],tblLaborEntries[Work package ID],tblWorkPackages[[#This Row],[Work package ID]])</f>
        <v>45832.0</v>
      </c>
      <c r="AB544" s="65">
        <f>IF(tblWorkPackages[[#This Row],[Completion date serial]]&gt;tblWorkPackages[[#This Row],[Due date serial]],1,0)</f>
        <v>0</v>
      </c>
      <c r="AC544" s="65">
        <f>MAX(0,tblWorkPackages[[#This Row],[Completion date serial]]-tblWorkPackages[[#This Row],[Due date serial]])</f>
        <v>0</v>
      </c>
      <c r="AD544" s="65">
        <f>tblWorkPackages[[#This Row],[First labor date]]-tblWorkPackages[[#This Row],[Request date serial]]</f>
        <v>8</v>
      </c>
      <c r="AE544" s="65">
        <f>tblWorkPackages[[#This Row],[Last labor date]]-tblWorkPackages[[#This Row],[First labor date]]</f>
        <v>1</v>
      </c>
      <c r="AF544" s="65">
        <f>tblWorkPackages[[#This Row],[Completion date serial]]-tblWorkPackages[[#This Row],[Last labor date]]</f>
        <v>2</v>
      </c>
      <c r="AG544" s="65">
        <f>tblWorkPackages[[#This Row],[Completion date serial]]-tblWorkPackages[[#This Row],[Request date serial]]</f>
        <v>11</v>
      </c>
      <c r="AH544" s="65">
        <f>IFERROR(INDEX(tblParts[Delay days],MATCH(tblWorkPackages[[#This Row],[Work package ID]],tblParts[Work package ID],0)),0)</f>
        <v>0</v>
      </c>
      <c r="AI544" s="51" t="str">
        <f>IFERROR(INDEX(tblDisruptions[Event type],MATCH(tblWorkPackages[[#This Row],[Work package ID]],tblDisruptions[Work package ID],0)),"None")</f>
        <v>None</v>
      </c>
      <c r="AJ544" s="51" t="str">
        <f>TEXT(tblWorkPackages[[#This Row],[Due date serial]],"yyyy-mm")</f>
        <v>2025-06</v>
      </c>
    </row>
    <row r="545" spans="1:36" ht="15" x14ac:dyDescent="0.25">
      <c r="A545" s="53" t="s">
        <v>1368</v>
      </c>
      <c r="B545" s="53" t="s">
        <v>157</v>
      </c>
      <c r="C545" s="53" t="s">
        <v>1205</v>
      </c>
      <c r="D545" s="53" t="s">
        <v>1369</v>
      </c>
      <c r="E545" s="53" t="s">
        <v>223</v>
      </c>
      <c r="F545" s="53" t="s">
        <v>182</v>
      </c>
      <c r="G545" s="53" t="s">
        <v>154</v>
      </c>
      <c r="H545" s="53">
        <v>4</v>
      </c>
      <c r="I545" s="53" t="s">
        <v>130</v>
      </c>
      <c r="J545" s="53">
        <v>0</v>
      </c>
      <c r="K545" s="53">
        <v>1</v>
      </c>
      <c r="L545" s="53">
        <v>21.1</v>
      </c>
      <c r="M545" s="53" t="s">
        <v>1370</v>
      </c>
      <c r="N545" s="53">
        <v>16.8</v>
      </c>
      <c r="O545" s="51" t="str">
        <f>TEXT(tblWorkPackages[[#This Row],[Request date serial]]-WEEKDAY(tblWorkPackages[[#This Row],[Request date serial]],3),"yyyy-mm-dd")</f>
        <v>2024-07-22</v>
      </c>
      <c r="P545" s="51">
        <f>ABS(tblWorkPackages[[#This Row],[Actual labor hours]]-tblWorkPackages[[#This Row],[Estimated labor hours]])</f>
        <v>4.3</v>
      </c>
      <c r="Q545" s="51">
        <f>IF(tblWorkPackages[[#This Row],[Actual labor hours]]&gt;tblWorkPackages[[#This Row],[Estimated labor hours]],1,0)</f>
        <v>0</v>
      </c>
      <c r="R545" s="51">
        <f>tblWorkPackages[[#This Row],[Actual labor hours]]-tblWorkPackages[[#This Row],[Estimated labor hours]]</f>
        <v>-4.3</v>
      </c>
      <c r="S545" s="51" t="str">
        <f>IF(tblWorkPackages[[#This Row],[Request date serial]]&lt;ValidationStart,"Train 2024",IF(tblWorkPackages[[#This Row],[Request date serial]]&lt;HoldoutStart,"Validation H1","Holdout H2"))</f>
        <v>Train 2024</v>
      </c>
      <c r="T545" s="51" t="str">
        <f>IF(tblWorkPackages[[#This Row],[Time split]]="Train 2024","",tblWorkPackages[[#This Row],[Estimated labor hours]]+VLOOKUP(tblWorkPackages[[#This Row],[Task type]],'Forecast validation'!$A$14:$E$25,IF(tblWorkPackages[[#This Row],[Time split]]="Validation H1",4,5),FALSE()))</f>
        <v/>
      </c>
      <c r="U545" s="51" t="str">
        <f>IF(tblWorkPackages[[#This Row],[Calibrated forecast hours]]="","",ABS(tblWorkPackages[[#This Row],[Actual labor hours]]-tblWorkPackages[[#This Row],[Calibrated forecast hours]]))</f>
        <v/>
      </c>
      <c r="V545" s="51">
        <f>IF(tblWorkPackages[[#This Row],[Time split]]="Train 2024",tblWorkPackages[[#This Row],[Estimated labor hours]],tblWorkPackages[[#This Row],[Calibrated forecast hours]])</f>
        <v>21.1</v>
      </c>
      <c r="W545" s="64">
        <f>DATEVALUE(tblWorkPackages[[#This Row],[Request date]])</f>
        <v>45500.0</v>
      </c>
      <c r="X545" s="64">
        <f>DATEVALUE(tblWorkPackages[[#This Row],[Due date]])</f>
        <v>45513.0</v>
      </c>
      <c r="Y545" s="64">
        <f>DATEVALUE(tblWorkPackages[[#This Row],[Completion date]])</f>
        <v>45507.0</v>
      </c>
      <c r="Z545" s="64">
        <f>_xlfn.MINIFS(tblLaborEntries[Work date serial],tblLaborEntries[Work package ID],tblWorkPackages[[#This Row],[Work package ID]])</f>
        <v>45502.0</v>
      </c>
      <c r="AA545" s="64">
        <f>_xlfn.MAXIFS(tblLaborEntries[Work date serial],tblLaborEntries[Work package ID],tblWorkPackages[[#This Row],[Work package ID]])</f>
        <v>45504.0</v>
      </c>
      <c r="AB545" s="65">
        <f>IF(tblWorkPackages[[#This Row],[Completion date serial]]&gt;tblWorkPackages[[#This Row],[Due date serial]],1,0)</f>
        <v>0</v>
      </c>
      <c r="AC545" s="65">
        <f>MAX(0,tblWorkPackages[[#This Row],[Completion date serial]]-tblWorkPackages[[#This Row],[Due date serial]])</f>
        <v>0</v>
      </c>
      <c r="AD545" s="65">
        <f>tblWorkPackages[[#This Row],[First labor date]]-tblWorkPackages[[#This Row],[Request date serial]]</f>
        <v>2</v>
      </c>
      <c r="AE545" s="65">
        <f>tblWorkPackages[[#This Row],[Last labor date]]-tblWorkPackages[[#This Row],[First labor date]]</f>
        <v>2</v>
      </c>
      <c r="AF545" s="65">
        <f>tblWorkPackages[[#This Row],[Completion date serial]]-tblWorkPackages[[#This Row],[Last labor date]]</f>
        <v>3</v>
      </c>
      <c r="AG545" s="65">
        <f>tblWorkPackages[[#This Row],[Completion date serial]]-tblWorkPackages[[#This Row],[Request date serial]]</f>
        <v>7</v>
      </c>
      <c r="AH545" s="65">
        <f>IFERROR(INDEX(tblParts[Delay days],MATCH(tblWorkPackages[[#This Row],[Work package ID]],tblParts[Work package ID],0)),0)</f>
        <v>0</v>
      </c>
      <c r="AI545" s="51" t="str">
        <f>IFERROR(INDEX(tblDisruptions[Event type],MATCH(tblWorkPackages[[#This Row],[Work package ID]],tblDisruptions[Work package ID],0)),"None")</f>
        <v>None</v>
      </c>
      <c r="AJ545" s="51" t="str">
        <f>TEXT(tblWorkPackages[[#This Row],[Due date serial]],"yyyy-mm")</f>
        <v>2024-08</v>
      </c>
    </row>
    <row r="546" spans="1:36" ht="15" x14ac:dyDescent="0.25">
      <c r="A546" s="53" t="s">
        <v>1371</v>
      </c>
      <c r="B546" s="53" t="s">
        <v>185</v>
      </c>
      <c r="C546" s="53" t="s">
        <v>155</v>
      </c>
      <c r="D546" s="53" t="s">
        <v>874</v>
      </c>
      <c r="E546" s="53" t="s">
        <v>144</v>
      </c>
      <c r="F546" s="53" t="s">
        <v>145</v>
      </c>
      <c r="G546" s="53" t="s">
        <v>146</v>
      </c>
      <c r="H546" s="53">
        <v>1</v>
      </c>
      <c r="I546" s="53" t="s">
        <v>130</v>
      </c>
      <c r="J546" s="53">
        <v>0</v>
      </c>
      <c r="K546" s="53">
        <v>1</v>
      </c>
      <c r="L546" s="53">
        <v>6.8</v>
      </c>
      <c r="M546" s="53" t="s">
        <v>953</v>
      </c>
      <c r="N546" s="53">
        <v>9.6999999999999993</v>
      </c>
      <c r="O546" s="51" t="str">
        <f>TEXT(tblWorkPackages[[#This Row],[Request date serial]]-WEEKDAY(tblWorkPackages[[#This Row],[Request date serial]],3),"yyyy-mm-dd")</f>
        <v>2024-08-26</v>
      </c>
      <c r="P546" s="51">
        <f>ABS(tblWorkPackages[[#This Row],[Actual labor hours]]-tblWorkPackages[[#This Row],[Estimated labor hours]])</f>
        <v>2.9</v>
      </c>
      <c r="Q546" s="51">
        <f>IF(tblWorkPackages[[#This Row],[Actual labor hours]]&gt;tblWorkPackages[[#This Row],[Estimated labor hours]],1,0)</f>
        <v>1</v>
      </c>
      <c r="R546" s="51">
        <f>tblWorkPackages[[#This Row],[Actual labor hours]]-tblWorkPackages[[#This Row],[Estimated labor hours]]</f>
        <v>2.9</v>
      </c>
      <c r="S546" s="51" t="str">
        <f>IF(tblWorkPackages[[#This Row],[Request date serial]]&lt;ValidationStart,"Train 2024",IF(tblWorkPackages[[#This Row],[Request date serial]]&lt;HoldoutStart,"Validation H1","Holdout H2"))</f>
        <v>Train 2024</v>
      </c>
      <c r="T546" s="51" t="str">
        <f>IF(tblWorkPackages[[#This Row],[Time split]]="Train 2024","",tblWorkPackages[[#This Row],[Estimated labor hours]]+VLOOKUP(tblWorkPackages[[#This Row],[Task type]],'Forecast validation'!$A$14:$E$25,IF(tblWorkPackages[[#This Row],[Time split]]="Validation H1",4,5),FALSE()))</f>
        <v/>
      </c>
      <c r="U546" s="51" t="str">
        <f>IF(tblWorkPackages[[#This Row],[Calibrated forecast hours]]="","",ABS(tblWorkPackages[[#This Row],[Actual labor hours]]-tblWorkPackages[[#This Row],[Calibrated forecast hours]]))</f>
        <v/>
      </c>
      <c r="V546" s="51">
        <f>IF(tblWorkPackages[[#This Row],[Time split]]="Train 2024",tblWorkPackages[[#This Row],[Estimated labor hours]],tblWorkPackages[[#This Row],[Calibrated forecast hours]])</f>
        <v>6.8</v>
      </c>
      <c r="W546" s="64">
        <f>DATEVALUE(tblWorkPackages[[#This Row],[Request date]])</f>
        <v>45535.0</v>
      </c>
      <c r="X546" s="64">
        <f>DATEVALUE(tblWorkPackages[[#This Row],[Due date]])</f>
        <v>45548.0</v>
      </c>
      <c r="Y546" s="64">
        <f>DATEVALUE(tblWorkPackages[[#This Row],[Completion date]])</f>
        <v>45568.0</v>
      </c>
      <c r="Z546" s="64">
        <f>_xlfn.MINIFS(tblLaborEntries[Work date serial],tblLaborEntries[Work package ID],tblWorkPackages[[#This Row],[Work package ID]])</f>
        <v>45568.0</v>
      </c>
      <c r="AA546" s="64">
        <f>_xlfn.MAXIFS(tblLaborEntries[Work date serial],tblLaborEntries[Work package ID],tblWorkPackages[[#This Row],[Work package ID]])</f>
        <v>45568.0</v>
      </c>
      <c r="AB546" s="65">
        <f>IF(tblWorkPackages[[#This Row],[Completion date serial]]&gt;tblWorkPackages[[#This Row],[Due date serial]],1,0)</f>
        <v>1</v>
      </c>
      <c r="AC546" s="65">
        <f>MAX(0,tblWorkPackages[[#This Row],[Completion date serial]]-tblWorkPackages[[#This Row],[Due date serial]])</f>
        <v>20</v>
      </c>
      <c r="AD546" s="65">
        <f>tblWorkPackages[[#This Row],[First labor date]]-tblWorkPackages[[#This Row],[Request date serial]]</f>
        <v>33</v>
      </c>
      <c r="AE546" s="65">
        <f>tblWorkPackages[[#This Row],[Last labor date]]-tblWorkPackages[[#This Row],[First labor date]]</f>
        <v>0</v>
      </c>
      <c r="AF546" s="65">
        <f>tblWorkPackages[[#This Row],[Completion date serial]]-tblWorkPackages[[#This Row],[Last labor date]]</f>
        <v>0</v>
      </c>
      <c r="AG546" s="65">
        <f>tblWorkPackages[[#This Row],[Completion date serial]]-tblWorkPackages[[#This Row],[Request date serial]]</f>
        <v>33</v>
      </c>
      <c r="AH546" s="65">
        <f>IFERROR(INDEX(tblParts[Delay days],MATCH(tblWorkPackages[[#This Row],[Work package ID]],tblParts[Work package ID],0)),0)</f>
        <v>14</v>
      </c>
      <c r="AI546" s="51" t="str">
        <f>IFERROR(INDEX(tblDisruptions[Event type],MATCH(tblWorkPackages[[#This Row],[Work package ID]],tblDisruptions[Work package ID],0)),"None")</f>
        <v>Part delay</v>
      </c>
      <c r="AJ546" s="51" t="str">
        <f>TEXT(tblWorkPackages[[#This Row],[Due date serial]],"yyyy-mm")</f>
        <v>2024-09</v>
      </c>
    </row>
    <row r="547" spans="1:36" ht="15" x14ac:dyDescent="0.25">
      <c r="A547" s="53" t="s">
        <v>1372</v>
      </c>
      <c r="B547" s="53" t="s">
        <v>168</v>
      </c>
      <c r="C547" s="53" t="s">
        <v>1221</v>
      </c>
      <c r="D547" s="53" t="s">
        <v>1087</v>
      </c>
      <c r="E547" s="53" t="s">
        <v>242</v>
      </c>
      <c r="F547" s="53" t="s">
        <v>243</v>
      </c>
      <c r="G547" s="53" t="s">
        <v>129</v>
      </c>
      <c r="H547" s="53">
        <v>1</v>
      </c>
      <c r="I547" s="53" t="s">
        <v>130</v>
      </c>
      <c r="J547" s="53">
        <v>0</v>
      </c>
      <c r="K547" s="53">
        <v>0</v>
      </c>
      <c r="L547" s="53">
        <v>6.5</v>
      </c>
      <c r="M547" s="53" t="s">
        <v>906</v>
      </c>
      <c r="N547" s="53">
        <v>7.3</v>
      </c>
      <c r="O547" s="51" t="str">
        <f>TEXT(tblWorkPackages[[#This Row],[Request date serial]]-WEEKDAY(tblWorkPackages[[#This Row],[Request date serial]],3),"yyyy-mm-dd")</f>
        <v>2025-04-21</v>
      </c>
      <c r="P547" s="51">
        <f>ABS(tblWorkPackages[[#This Row],[Actual labor hours]]-tblWorkPackages[[#This Row],[Estimated labor hours]])</f>
        <v>0.8</v>
      </c>
      <c r="Q547" s="51">
        <f>IF(tblWorkPackages[[#This Row],[Actual labor hours]]&gt;tblWorkPackages[[#This Row],[Estimated labor hours]],1,0)</f>
        <v>1</v>
      </c>
      <c r="R547" s="51">
        <f>tblWorkPackages[[#This Row],[Actual labor hours]]-tblWorkPackages[[#This Row],[Estimated labor hours]]</f>
        <v>0.8</v>
      </c>
      <c r="S547" s="51" t="str">
        <f>IF(tblWorkPackages[[#This Row],[Request date serial]]&lt;ValidationStart,"Train 2024",IF(tblWorkPackages[[#This Row],[Request date serial]]&lt;HoldoutStart,"Validation H1","Holdout H2"))</f>
        <v>Validation H1</v>
      </c>
      <c r="T547" s="51">
        <f>IF(tblWorkPackages[[#This Row],[Time split]]="Train 2024","",tblWorkPackages[[#This Row],[Estimated labor hours]]+VLOOKUP(tblWorkPackages[[#This Row],[Task type]],'Forecast validation'!$A$14:$E$25,IF(tblWorkPackages[[#This Row],[Time split]]="Validation H1",4,5),FALSE()))</f>
        <v>7.05612244897959</v>
      </c>
      <c r="U547" s="51">
        <f>IF(tblWorkPackages[[#This Row],[Calibrated forecast hours]]="","",ABS(tblWorkPackages[[#This Row],[Actual labor hours]]-tblWorkPackages[[#This Row],[Calibrated forecast hours]]))</f>
        <v>0.243877551020408</v>
      </c>
      <c r="V547" s="51">
        <f>IF(tblWorkPackages[[#This Row],[Time split]]="Train 2024",tblWorkPackages[[#This Row],[Estimated labor hours]],tblWorkPackages[[#This Row],[Calibrated forecast hours]])</f>
        <v>7.05612244897959</v>
      </c>
      <c r="W547" s="64">
        <f>DATEVALUE(tblWorkPackages[[#This Row],[Request date]])</f>
        <v>45774.0</v>
      </c>
      <c r="X547" s="64">
        <f>DATEVALUE(tblWorkPackages[[#This Row],[Due date]])</f>
        <v>45787.0</v>
      </c>
      <c r="Y547" s="64">
        <f>DATEVALUE(tblWorkPackages[[#This Row],[Completion date]])</f>
        <v>45781.0</v>
      </c>
      <c r="Z547" s="64">
        <f>_xlfn.MINIFS(tblLaborEntries[Work date serial],tblLaborEntries[Work package ID],tblWorkPackages[[#This Row],[Work package ID]])</f>
        <v>45778.0</v>
      </c>
      <c r="AA547" s="64">
        <f>_xlfn.MAXIFS(tblLaborEntries[Work date serial],tblLaborEntries[Work package ID],tblWorkPackages[[#This Row],[Work package ID]])</f>
        <v>45780.0</v>
      </c>
      <c r="AB547" s="65">
        <f>IF(tblWorkPackages[[#This Row],[Completion date serial]]&gt;tblWorkPackages[[#This Row],[Due date serial]],1,0)</f>
        <v>0</v>
      </c>
      <c r="AC547" s="65">
        <f>MAX(0,tblWorkPackages[[#This Row],[Completion date serial]]-tblWorkPackages[[#This Row],[Due date serial]])</f>
        <v>0</v>
      </c>
      <c r="AD547" s="65">
        <f>tblWorkPackages[[#This Row],[First labor date]]-tblWorkPackages[[#This Row],[Request date serial]]</f>
        <v>4</v>
      </c>
      <c r="AE547" s="65">
        <f>tblWorkPackages[[#This Row],[Last labor date]]-tblWorkPackages[[#This Row],[First labor date]]</f>
        <v>2</v>
      </c>
      <c r="AF547" s="65">
        <f>tblWorkPackages[[#This Row],[Completion date serial]]-tblWorkPackages[[#This Row],[Last labor date]]</f>
        <v>1</v>
      </c>
      <c r="AG547" s="65">
        <f>tblWorkPackages[[#This Row],[Completion date serial]]-tblWorkPackages[[#This Row],[Request date serial]]</f>
        <v>7</v>
      </c>
      <c r="AH547" s="65">
        <f>IFERROR(INDEX(tblParts[Delay days],MATCH(tblWorkPackages[[#This Row],[Work package ID]],tblParts[Work package ID],0)),0)</f>
        <v>0</v>
      </c>
      <c r="AI547" s="51" t="str">
        <f>IFERROR(INDEX(tblDisruptions[Event type],MATCH(tblWorkPackages[[#This Row],[Work package ID]],tblDisruptions[Work package ID],0)),"None")</f>
        <v>None</v>
      </c>
      <c r="AJ547" s="51" t="str">
        <f>TEXT(tblWorkPackages[[#This Row],[Due date serial]],"yyyy-mm")</f>
        <v>2025-05</v>
      </c>
    </row>
    <row r="548" spans="1:36" ht="15" x14ac:dyDescent="0.25">
      <c r="A548" s="53" t="s">
        <v>1373</v>
      </c>
      <c r="B548" s="53" t="s">
        <v>185</v>
      </c>
      <c r="C548" s="53" t="s">
        <v>1374</v>
      </c>
      <c r="D548" s="53" t="s">
        <v>169</v>
      </c>
      <c r="E548" s="53" t="s">
        <v>153</v>
      </c>
      <c r="F548" s="53" t="s">
        <v>128</v>
      </c>
      <c r="G548" s="53" t="s">
        <v>154</v>
      </c>
      <c r="H548" s="53">
        <v>3</v>
      </c>
      <c r="I548" s="53" t="s">
        <v>130</v>
      </c>
      <c r="J548" s="53">
        <v>0</v>
      </c>
      <c r="K548" s="53">
        <v>0</v>
      </c>
      <c r="L548" s="53">
        <v>12</v>
      </c>
      <c r="M548" s="53" t="s">
        <v>403</v>
      </c>
      <c r="N548" s="53">
        <v>12.1</v>
      </c>
      <c r="O548" s="51" t="str">
        <f>TEXT(tblWorkPackages[[#This Row],[Request date serial]]-WEEKDAY(tblWorkPackages[[#This Row],[Request date serial]],3),"yyyy-mm-dd")</f>
        <v>2024-10-07</v>
      </c>
      <c r="P548" s="51">
        <f>ABS(tblWorkPackages[[#This Row],[Actual labor hours]]-tblWorkPackages[[#This Row],[Estimated labor hours]])</f>
        <v>0.0999999999999996</v>
      </c>
      <c r="Q548" s="51">
        <f>IF(tblWorkPackages[[#This Row],[Actual labor hours]]&gt;tblWorkPackages[[#This Row],[Estimated labor hours]],1,0)</f>
        <v>1</v>
      </c>
      <c r="R548" s="51">
        <f>tblWorkPackages[[#This Row],[Actual labor hours]]-tblWorkPackages[[#This Row],[Estimated labor hours]]</f>
        <v>0.0999999999999996</v>
      </c>
      <c r="S548" s="51" t="str">
        <f>IF(tblWorkPackages[[#This Row],[Request date serial]]&lt;ValidationStart,"Train 2024",IF(tblWorkPackages[[#This Row],[Request date serial]]&lt;HoldoutStart,"Validation H1","Holdout H2"))</f>
        <v>Train 2024</v>
      </c>
      <c r="T548" s="51" t="str">
        <f>IF(tblWorkPackages[[#This Row],[Time split]]="Train 2024","",tblWorkPackages[[#This Row],[Estimated labor hours]]+VLOOKUP(tblWorkPackages[[#This Row],[Task type]],'Forecast validation'!$A$14:$E$25,IF(tblWorkPackages[[#This Row],[Time split]]="Validation H1",4,5),FALSE()))</f>
        <v/>
      </c>
      <c r="U548" s="51" t="str">
        <f>IF(tblWorkPackages[[#This Row],[Calibrated forecast hours]]="","",ABS(tblWorkPackages[[#This Row],[Actual labor hours]]-tblWorkPackages[[#This Row],[Calibrated forecast hours]]))</f>
        <v/>
      </c>
      <c r="V548" s="51">
        <f>IF(tblWorkPackages[[#This Row],[Time split]]="Train 2024",tblWorkPackages[[#This Row],[Estimated labor hours]],tblWorkPackages[[#This Row],[Calibrated forecast hours]])</f>
        <v>12</v>
      </c>
      <c r="W548" s="64">
        <f>DATEVALUE(tblWorkPackages[[#This Row],[Request date]])</f>
        <v>45572.0</v>
      </c>
      <c r="X548" s="64">
        <f>DATEVALUE(tblWorkPackages[[#This Row],[Due date]])</f>
        <v>45585.0</v>
      </c>
      <c r="Y548" s="64">
        <f>DATEVALUE(tblWorkPackages[[#This Row],[Completion date]])</f>
        <v>45577.0</v>
      </c>
      <c r="Z548" s="64">
        <f>_xlfn.MINIFS(tblLaborEntries[Work date serial],tblLaborEntries[Work package ID],tblWorkPackages[[#This Row],[Work package ID]])</f>
        <v>45573.0</v>
      </c>
      <c r="AA548" s="64">
        <f>_xlfn.MAXIFS(tblLaborEntries[Work date serial],tblLaborEntries[Work package ID],tblWorkPackages[[#This Row],[Work package ID]])</f>
        <v>45575.0</v>
      </c>
      <c r="AB548" s="65">
        <f>IF(tblWorkPackages[[#This Row],[Completion date serial]]&gt;tblWorkPackages[[#This Row],[Due date serial]],1,0)</f>
        <v>0</v>
      </c>
      <c r="AC548" s="65">
        <f>MAX(0,tblWorkPackages[[#This Row],[Completion date serial]]-tblWorkPackages[[#This Row],[Due date serial]])</f>
        <v>0</v>
      </c>
      <c r="AD548" s="65">
        <f>tblWorkPackages[[#This Row],[First labor date]]-tblWorkPackages[[#This Row],[Request date serial]]</f>
        <v>1</v>
      </c>
      <c r="AE548" s="65">
        <f>tblWorkPackages[[#This Row],[Last labor date]]-tblWorkPackages[[#This Row],[First labor date]]</f>
        <v>2</v>
      </c>
      <c r="AF548" s="65">
        <f>tblWorkPackages[[#This Row],[Completion date serial]]-tblWorkPackages[[#This Row],[Last labor date]]</f>
        <v>2</v>
      </c>
      <c r="AG548" s="65">
        <f>tblWorkPackages[[#This Row],[Completion date serial]]-tblWorkPackages[[#This Row],[Request date serial]]</f>
        <v>5</v>
      </c>
      <c r="AH548" s="65">
        <f>IFERROR(INDEX(tblParts[Delay days],MATCH(tblWorkPackages[[#This Row],[Work package ID]],tblParts[Work package ID],0)),0)</f>
        <v>0</v>
      </c>
      <c r="AI548" s="51" t="str">
        <f>IFERROR(INDEX(tblDisruptions[Event type],MATCH(tblWorkPackages[[#This Row],[Work package ID]],tblDisruptions[Work package ID],0)),"None")</f>
        <v>None</v>
      </c>
      <c r="AJ548" s="51" t="str">
        <f>TEXT(tblWorkPackages[[#This Row],[Due date serial]],"yyyy-mm")</f>
        <v>2024-10</v>
      </c>
    </row>
    <row r="549" spans="1:36" ht="15" x14ac:dyDescent="0.25">
      <c r="A549" s="53" t="s">
        <v>1375</v>
      </c>
      <c r="B549" s="53" t="s">
        <v>141</v>
      </c>
      <c r="C549" s="53" t="s">
        <v>658</v>
      </c>
      <c r="D549" s="53" t="s">
        <v>177</v>
      </c>
      <c r="E549" s="53" t="s">
        <v>242</v>
      </c>
      <c r="F549" s="53" t="s">
        <v>243</v>
      </c>
      <c r="G549" s="53" t="s">
        <v>129</v>
      </c>
      <c r="H549" s="53">
        <v>3</v>
      </c>
      <c r="I549" s="53" t="s">
        <v>130</v>
      </c>
      <c r="J549" s="53">
        <v>1</v>
      </c>
      <c r="K549" s="53">
        <v>0</v>
      </c>
      <c r="L549" s="53">
        <v>10.9</v>
      </c>
      <c r="M549" s="53" t="s">
        <v>1012</v>
      </c>
      <c r="N549" s="53">
        <v>14.2</v>
      </c>
      <c r="O549" s="51" t="str">
        <f>TEXT(tblWorkPackages[[#This Row],[Request date serial]]-WEEKDAY(tblWorkPackages[[#This Row],[Request date serial]],3),"yyyy-mm-dd")</f>
        <v>2025-08-04</v>
      </c>
      <c r="P549" s="51">
        <f>ABS(tblWorkPackages[[#This Row],[Actual labor hours]]-tblWorkPackages[[#This Row],[Estimated labor hours]])</f>
        <v>3.3</v>
      </c>
      <c r="Q549" s="51">
        <f>IF(tblWorkPackages[[#This Row],[Actual labor hours]]&gt;tblWorkPackages[[#This Row],[Estimated labor hours]],1,0)</f>
        <v>1</v>
      </c>
      <c r="R549" s="51">
        <f>tblWorkPackages[[#This Row],[Actual labor hours]]-tblWorkPackages[[#This Row],[Estimated labor hours]]</f>
        <v>3.3</v>
      </c>
      <c r="S549" s="51" t="str">
        <f>IF(tblWorkPackages[[#This Row],[Request date serial]]&lt;ValidationStart,"Train 2024",IF(tblWorkPackages[[#This Row],[Request date serial]]&lt;HoldoutStart,"Validation H1","Holdout H2"))</f>
        <v>Holdout H2</v>
      </c>
      <c r="T549" s="51">
        <f>IF(tblWorkPackages[[#This Row],[Time split]]="Train 2024","",tblWorkPackages[[#This Row],[Estimated labor hours]]+VLOOKUP(tblWorkPackages[[#This Row],[Task type]],'Forecast validation'!$A$14:$E$25,IF(tblWorkPackages[[#This Row],[Time split]]="Validation H1",4,5),FALSE()))</f>
        <v>11.7254545454545</v>
      </c>
      <c r="U549" s="51">
        <f>IF(tblWorkPackages[[#This Row],[Calibrated forecast hours]]="","",ABS(tblWorkPackages[[#This Row],[Actual labor hours]]-tblWorkPackages[[#This Row],[Calibrated forecast hours]]))</f>
        <v>2.47454545454545</v>
      </c>
      <c r="V549" s="51">
        <f>IF(tblWorkPackages[[#This Row],[Time split]]="Train 2024",tblWorkPackages[[#This Row],[Estimated labor hours]],tblWorkPackages[[#This Row],[Calibrated forecast hours]])</f>
        <v>11.7254545454545</v>
      </c>
      <c r="W549" s="64">
        <f>DATEVALUE(tblWorkPackages[[#This Row],[Request date]])</f>
        <v>45873.0</v>
      </c>
      <c r="X549" s="64">
        <f>DATEVALUE(tblWorkPackages[[#This Row],[Due date]])</f>
        <v>45886.0</v>
      </c>
      <c r="Y549" s="64">
        <f>DATEVALUE(tblWorkPackages[[#This Row],[Completion date]])</f>
        <v>45888.0</v>
      </c>
      <c r="Z549" s="64">
        <f>_xlfn.MINIFS(tblLaborEntries[Work date serial],tblLaborEntries[Work package ID],tblWorkPackages[[#This Row],[Work package ID]])</f>
        <v>45884.0</v>
      </c>
      <c r="AA549" s="64">
        <f>_xlfn.MAXIFS(tblLaborEntries[Work date serial],tblLaborEntries[Work package ID],tblWorkPackages[[#This Row],[Work package ID]])</f>
        <v>45885.0</v>
      </c>
      <c r="AB549" s="65">
        <f>IF(tblWorkPackages[[#This Row],[Completion date serial]]&gt;tblWorkPackages[[#This Row],[Due date serial]],1,0)</f>
        <v>1</v>
      </c>
      <c r="AC549" s="65">
        <f>MAX(0,tblWorkPackages[[#This Row],[Completion date serial]]-tblWorkPackages[[#This Row],[Due date serial]])</f>
        <v>2</v>
      </c>
      <c r="AD549" s="65">
        <f>tblWorkPackages[[#This Row],[First labor date]]-tblWorkPackages[[#This Row],[Request date serial]]</f>
        <v>11</v>
      </c>
      <c r="AE549" s="65">
        <f>tblWorkPackages[[#This Row],[Last labor date]]-tblWorkPackages[[#This Row],[First labor date]]</f>
        <v>1</v>
      </c>
      <c r="AF549" s="65">
        <f>tblWorkPackages[[#This Row],[Completion date serial]]-tblWorkPackages[[#This Row],[Last labor date]]</f>
        <v>3</v>
      </c>
      <c r="AG549" s="65">
        <f>tblWorkPackages[[#This Row],[Completion date serial]]-tblWorkPackages[[#This Row],[Request date serial]]</f>
        <v>15</v>
      </c>
      <c r="AH549" s="65">
        <f>IFERROR(INDEX(tblParts[Delay days],MATCH(tblWorkPackages[[#This Row],[Work package ID]],tblParts[Work package ID],0)),0)</f>
        <v>0</v>
      </c>
      <c r="AI549" s="51" t="str">
        <f>IFERROR(INDEX(tblDisruptions[Event type],MATCH(tblWorkPackages[[#This Row],[Work package ID]],tblDisruptions[Work package ID],0)),"None")</f>
        <v>None</v>
      </c>
      <c r="AJ549" s="51" t="str">
        <f>TEXT(tblWorkPackages[[#This Row],[Due date serial]],"yyyy-mm")</f>
        <v>2025-08</v>
      </c>
    </row>
    <row r="550" spans="1:36" ht="15" x14ac:dyDescent="0.25">
      <c r="A550" s="53" t="s">
        <v>1376</v>
      </c>
      <c r="B550" s="53" t="s">
        <v>235</v>
      </c>
      <c r="C550" s="53" t="s">
        <v>649</v>
      </c>
      <c r="D550" s="53" t="s">
        <v>399</v>
      </c>
      <c r="E550" s="53" t="s">
        <v>237</v>
      </c>
      <c r="F550" s="53" t="s">
        <v>182</v>
      </c>
      <c r="G550" s="53" t="s">
        <v>138</v>
      </c>
      <c r="H550" s="53">
        <v>3</v>
      </c>
      <c r="I550" s="53" t="s">
        <v>130</v>
      </c>
      <c r="J550" s="53">
        <v>0</v>
      </c>
      <c r="K550" s="53">
        <v>0</v>
      </c>
      <c r="L550" s="53">
        <v>7.8</v>
      </c>
      <c r="M550" s="53" t="s">
        <v>821</v>
      </c>
      <c r="N550" s="53">
        <v>6.1</v>
      </c>
      <c r="O550" s="51" t="str">
        <f>TEXT(tblWorkPackages[[#This Row],[Request date serial]]-WEEKDAY(tblWorkPackages[[#This Row],[Request date serial]],3),"yyyy-mm-dd")</f>
        <v>2024-05-06</v>
      </c>
      <c r="P550" s="51">
        <f>ABS(tblWorkPackages[[#This Row],[Actual labor hours]]-tblWorkPackages[[#This Row],[Estimated labor hours]])</f>
        <v>1.7</v>
      </c>
      <c r="Q550" s="51">
        <f>IF(tblWorkPackages[[#This Row],[Actual labor hours]]&gt;tblWorkPackages[[#This Row],[Estimated labor hours]],1,0)</f>
        <v>0</v>
      </c>
      <c r="R550" s="51">
        <f>tblWorkPackages[[#This Row],[Actual labor hours]]-tblWorkPackages[[#This Row],[Estimated labor hours]]</f>
        <v>-1.7</v>
      </c>
      <c r="S550" s="51" t="str">
        <f>IF(tblWorkPackages[[#This Row],[Request date serial]]&lt;ValidationStart,"Train 2024",IF(tblWorkPackages[[#This Row],[Request date serial]]&lt;HoldoutStart,"Validation H1","Holdout H2"))</f>
        <v>Train 2024</v>
      </c>
      <c r="T550" s="51" t="str">
        <f>IF(tblWorkPackages[[#This Row],[Time split]]="Train 2024","",tblWorkPackages[[#This Row],[Estimated labor hours]]+VLOOKUP(tblWorkPackages[[#This Row],[Task type]],'Forecast validation'!$A$14:$E$25,IF(tblWorkPackages[[#This Row],[Time split]]="Validation H1",4,5),FALSE()))</f>
        <v/>
      </c>
      <c r="U550" s="51" t="str">
        <f>IF(tblWorkPackages[[#This Row],[Calibrated forecast hours]]="","",ABS(tblWorkPackages[[#This Row],[Actual labor hours]]-tblWorkPackages[[#This Row],[Calibrated forecast hours]]))</f>
        <v/>
      </c>
      <c r="V550" s="51">
        <f>IF(tblWorkPackages[[#This Row],[Time split]]="Train 2024",tblWorkPackages[[#This Row],[Estimated labor hours]],tblWorkPackages[[#This Row],[Calibrated forecast hours]])</f>
        <v>7.8</v>
      </c>
      <c r="W550" s="64">
        <f>DATEVALUE(tblWorkPackages[[#This Row],[Request date]])</f>
        <v>45423.0</v>
      </c>
      <c r="X550" s="64">
        <f>DATEVALUE(tblWorkPackages[[#This Row],[Due date]])</f>
        <v>45436.0</v>
      </c>
      <c r="Y550" s="64">
        <f>DATEVALUE(tblWorkPackages[[#This Row],[Completion date]])</f>
        <v>45428.0</v>
      </c>
      <c r="Z550" s="64">
        <f>_xlfn.MINIFS(tblLaborEntries[Work date serial],tblLaborEntries[Work package ID],tblWorkPackages[[#This Row],[Work package ID]])</f>
        <v>45426.0</v>
      </c>
      <c r="AA550" s="64">
        <f>_xlfn.MAXIFS(tblLaborEntries[Work date serial],tblLaborEntries[Work package ID],tblWorkPackages[[#This Row],[Work package ID]])</f>
        <v>45428.0</v>
      </c>
      <c r="AB550" s="65">
        <f>IF(tblWorkPackages[[#This Row],[Completion date serial]]&gt;tblWorkPackages[[#This Row],[Due date serial]],1,0)</f>
        <v>0</v>
      </c>
      <c r="AC550" s="65">
        <f>MAX(0,tblWorkPackages[[#This Row],[Completion date serial]]-tblWorkPackages[[#This Row],[Due date serial]])</f>
        <v>0</v>
      </c>
      <c r="AD550" s="65">
        <f>tblWorkPackages[[#This Row],[First labor date]]-tblWorkPackages[[#This Row],[Request date serial]]</f>
        <v>3</v>
      </c>
      <c r="AE550" s="65">
        <f>tblWorkPackages[[#This Row],[Last labor date]]-tblWorkPackages[[#This Row],[First labor date]]</f>
        <v>2</v>
      </c>
      <c r="AF550" s="65">
        <f>tblWorkPackages[[#This Row],[Completion date serial]]-tblWorkPackages[[#This Row],[Last labor date]]</f>
        <v>0</v>
      </c>
      <c r="AG550" s="65">
        <f>tblWorkPackages[[#This Row],[Completion date serial]]-tblWorkPackages[[#This Row],[Request date serial]]</f>
        <v>5</v>
      </c>
      <c r="AH550" s="65">
        <f>IFERROR(INDEX(tblParts[Delay days],MATCH(tblWorkPackages[[#This Row],[Work package ID]],tblParts[Work package ID],0)),0)</f>
        <v>0</v>
      </c>
      <c r="AI550" s="51" t="str">
        <f>IFERROR(INDEX(tblDisruptions[Event type],MATCH(tblWorkPackages[[#This Row],[Work package ID]],tblDisruptions[Work package ID],0)),"None")</f>
        <v>None</v>
      </c>
      <c r="AJ550" s="51" t="str">
        <f>TEXT(tblWorkPackages[[#This Row],[Due date serial]],"yyyy-mm")</f>
        <v>2024-05</v>
      </c>
    </row>
    <row r="551" spans="1:36" ht="15" x14ac:dyDescent="0.25">
      <c r="A551" s="53" t="s">
        <v>1377</v>
      </c>
      <c r="B551" s="53" t="s">
        <v>124</v>
      </c>
      <c r="C551" s="53" t="s">
        <v>782</v>
      </c>
      <c r="D551" s="53" t="s">
        <v>296</v>
      </c>
      <c r="E551" s="53" t="s">
        <v>144</v>
      </c>
      <c r="F551" s="53" t="s">
        <v>145</v>
      </c>
      <c r="G551" s="53" t="s">
        <v>146</v>
      </c>
      <c r="H551" s="53">
        <v>1</v>
      </c>
      <c r="I551" s="53" t="s">
        <v>176</v>
      </c>
      <c r="J551" s="53">
        <v>0</v>
      </c>
      <c r="K551" s="53">
        <v>0</v>
      </c>
      <c r="L551" s="53">
        <v>6.6</v>
      </c>
      <c r="M551" s="53" t="s">
        <v>755</v>
      </c>
      <c r="N551" s="53">
        <v>8.1999999999999993</v>
      </c>
      <c r="O551" s="51" t="str">
        <f>TEXT(tblWorkPackages[[#This Row],[Request date serial]]-WEEKDAY(tblWorkPackages[[#This Row],[Request date serial]],3),"yyyy-mm-dd")</f>
        <v>2024-08-12</v>
      </c>
      <c r="P551" s="51">
        <f>ABS(tblWorkPackages[[#This Row],[Actual labor hours]]-tblWorkPackages[[#This Row],[Estimated labor hours]])</f>
        <v>1.6</v>
      </c>
      <c r="Q551" s="51">
        <f>IF(tblWorkPackages[[#This Row],[Actual labor hours]]&gt;tblWorkPackages[[#This Row],[Estimated labor hours]],1,0)</f>
        <v>1</v>
      </c>
      <c r="R551" s="51">
        <f>tblWorkPackages[[#This Row],[Actual labor hours]]-tblWorkPackages[[#This Row],[Estimated labor hours]]</f>
        <v>1.6</v>
      </c>
      <c r="S551" s="51" t="str">
        <f>IF(tblWorkPackages[[#This Row],[Request date serial]]&lt;ValidationStart,"Train 2024",IF(tblWorkPackages[[#This Row],[Request date serial]]&lt;HoldoutStart,"Validation H1","Holdout H2"))</f>
        <v>Train 2024</v>
      </c>
      <c r="T551" s="51" t="str">
        <f>IF(tblWorkPackages[[#This Row],[Time split]]="Train 2024","",tblWorkPackages[[#This Row],[Estimated labor hours]]+VLOOKUP(tblWorkPackages[[#This Row],[Task type]],'Forecast validation'!$A$14:$E$25,IF(tblWorkPackages[[#This Row],[Time split]]="Validation H1",4,5),FALSE()))</f>
        <v/>
      </c>
      <c r="U551" s="51" t="str">
        <f>IF(tblWorkPackages[[#This Row],[Calibrated forecast hours]]="","",ABS(tblWorkPackages[[#This Row],[Actual labor hours]]-tblWorkPackages[[#This Row],[Calibrated forecast hours]]))</f>
        <v/>
      </c>
      <c r="V551" s="51">
        <f>IF(tblWorkPackages[[#This Row],[Time split]]="Train 2024",tblWorkPackages[[#This Row],[Estimated labor hours]],tblWorkPackages[[#This Row],[Calibrated forecast hours]])</f>
        <v>6.6</v>
      </c>
      <c r="W551" s="64">
        <f>DATEVALUE(tblWorkPackages[[#This Row],[Request date]])</f>
        <v>45517.0</v>
      </c>
      <c r="X551" s="64">
        <f>DATEVALUE(tblWorkPackages[[#This Row],[Due date]])</f>
        <v>45523.0</v>
      </c>
      <c r="Y551" s="64">
        <f>DATEVALUE(tblWorkPackages[[#This Row],[Completion date]])</f>
        <v>45550.0</v>
      </c>
      <c r="Z551" s="64">
        <f>_xlfn.MINIFS(tblLaborEntries[Work date serial],tblLaborEntries[Work package ID],tblWorkPackages[[#This Row],[Work package ID]])</f>
        <v>45549.0</v>
      </c>
      <c r="AA551" s="64">
        <f>_xlfn.MAXIFS(tblLaborEntries[Work date serial],tblLaborEntries[Work package ID],tblWorkPackages[[#This Row],[Work package ID]])</f>
        <v>45549.0</v>
      </c>
      <c r="AB551" s="65">
        <f>IF(tblWorkPackages[[#This Row],[Completion date serial]]&gt;tblWorkPackages[[#This Row],[Due date serial]],1,0)</f>
        <v>1</v>
      </c>
      <c r="AC551" s="65">
        <f>MAX(0,tblWorkPackages[[#This Row],[Completion date serial]]-tblWorkPackages[[#This Row],[Due date serial]])</f>
        <v>27</v>
      </c>
      <c r="AD551" s="65">
        <f>tblWorkPackages[[#This Row],[First labor date]]-tblWorkPackages[[#This Row],[Request date serial]]</f>
        <v>32</v>
      </c>
      <c r="AE551" s="65">
        <f>tblWorkPackages[[#This Row],[Last labor date]]-tblWorkPackages[[#This Row],[First labor date]]</f>
        <v>0</v>
      </c>
      <c r="AF551" s="65">
        <f>tblWorkPackages[[#This Row],[Completion date serial]]-tblWorkPackages[[#This Row],[Last labor date]]</f>
        <v>1</v>
      </c>
      <c r="AG551" s="65">
        <f>tblWorkPackages[[#This Row],[Completion date serial]]-tblWorkPackages[[#This Row],[Request date serial]]</f>
        <v>33</v>
      </c>
      <c r="AH551" s="65">
        <f>IFERROR(INDEX(tblParts[Delay days],MATCH(tblWorkPackages[[#This Row],[Work package ID]],tblParts[Work package ID],0)),0)</f>
        <v>0</v>
      </c>
      <c r="AI551" s="51" t="str">
        <f>IFERROR(INDEX(tblDisruptions[Event type],MATCH(tblWorkPackages[[#This Row],[Work package ID]],tblDisruptions[Work package ID],0)),"None")</f>
        <v>Repeat inspection</v>
      </c>
      <c r="AJ551" s="51" t="str">
        <f>TEXT(tblWorkPackages[[#This Row],[Due date serial]],"yyyy-mm")</f>
        <v>2024-08</v>
      </c>
    </row>
    <row r="552" spans="1:36" ht="15" x14ac:dyDescent="0.25">
      <c r="A552" s="53" t="s">
        <v>1378</v>
      </c>
      <c r="B552" s="53" t="s">
        <v>250</v>
      </c>
      <c r="C552" s="53" t="s">
        <v>205</v>
      </c>
      <c r="D552" s="53" t="s">
        <v>555</v>
      </c>
      <c r="E552" s="53" t="s">
        <v>237</v>
      </c>
      <c r="F552" s="53" t="s">
        <v>182</v>
      </c>
      <c r="G552" s="53" t="s">
        <v>138</v>
      </c>
      <c r="H552" s="53">
        <v>1</v>
      </c>
      <c r="I552" s="53" t="s">
        <v>130</v>
      </c>
      <c r="J552" s="53">
        <v>0</v>
      </c>
      <c r="K552" s="53">
        <v>0</v>
      </c>
      <c r="L552" s="53">
        <v>3.1</v>
      </c>
      <c r="M552" s="53" t="s">
        <v>600</v>
      </c>
      <c r="N552" s="53">
        <v>3.9</v>
      </c>
      <c r="O552" s="51" t="str">
        <f>TEXT(tblWorkPackages[[#This Row],[Request date serial]]-WEEKDAY(tblWorkPackages[[#This Row],[Request date serial]],3),"yyyy-mm-dd")</f>
        <v>2024-11-11</v>
      </c>
      <c r="P552" s="51">
        <f>ABS(tblWorkPackages[[#This Row],[Actual labor hours]]-tblWorkPackages[[#This Row],[Estimated labor hours]])</f>
        <v>0.8</v>
      </c>
      <c r="Q552" s="51">
        <f>IF(tblWorkPackages[[#This Row],[Actual labor hours]]&gt;tblWorkPackages[[#This Row],[Estimated labor hours]],1,0)</f>
        <v>1</v>
      </c>
      <c r="R552" s="51">
        <f>tblWorkPackages[[#This Row],[Actual labor hours]]-tblWorkPackages[[#This Row],[Estimated labor hours]]</f>
        <v>0.8</v>
      </c>
      <c r="S552" s="51" t="str">
        <f>IF(tblWorkPackages[[#This Row],[Request date serial]]&lt;ValidationStart,"Train 2024",IF(tblWorkPackages[[#This Row],[Request date serial]]&lt;HoldoutStart,"Validation H1","Holdout H2"))</f>
        <v>Train 2024</v>
      </c>
      <c r="T552" s="51" t="str">
        <f>IF(tblWorkPackages[[#This Row],[Time split]]="Train 2024","",tblWorkPackages[[#This Row],[Estimated labor hours]]+VLOOKUP(tblWorkPackages[[#This Row],[Task type]],'Forecast validation'!$A$14:$E$25,IF(tblWorkPackages[[#This Row],[Time split]]="Validation H1",4,5),FALSE()))</f>
        <v/>
      </c>
      <c r="U552" s="51" t="str">
        <f>IF(tblWorkPackages[[#This Row],[Calibrated forecast hours]]="","",ABS(tblWorkPackages[[#This Row],[Actual labor hours]]-tblWorkPackages[[#This Row],[Calibrated forecast hours]]))</f>
        <v/>
      </c>
      <c r="V552" s="51">
        <f>IF(tblWorkPackages[[#This Row],[Time split]]="Train 2024",tblWorkPackages[[#This Row],[Estimated labor hours]],tblWorkPackages[[#This Row],[Calibrated forecast hours]])</f>
        <v>3.1</v>
      </c>
      <c r="W552" s="64">
        <f>DATEVALUE(tblWorkPackages[[#This Row],[Request date]])</f>
        <v>45609.0</v>
      </c>
      <c r="X552" s="64">
        <f>DATEVALUE(tblWorkPackages[[#This Row],[Due date]])</f>
        <v>45622.0</v>
      </c>
      <c r="Y552" s="64">
        <f>DATEVALUE(tblWorkPackages[[#This Row],[Completion date]])</f>
        <v>45618.0</v>
      </c>
      <c r="Z552" s="64">
        <f>_xlfn.MINIFS(tblLaborEntries[Work date serial],tblLaborEntries[Work package ID],tblWorkPackages[[#This Row],[Work package ID]])</f>
        <v>45615.0</v>
      </c>
      <c r="AA552" s="64">
        <f>_xlfn.MAXIFS(tblLaborEntries[Work date serial],tblLaborEntries[Work package ID],tblWorkPackages[[#This Row],[Work package ID]])</f>
        <v>45616.0</v>
      </c>
      <c r="AB552" s="65">
        <f>IF(tblWorkPackages[[#This Row],[Completion date serial]]&gt;tblWorkPackages[[#This Row],[Due date serial]],1,0)</f>
        <v>0</v>
      </c>
      <c r="AC552" s="65">
        <f>MAX(0,tblWorkPackages[[#This Row],[Completion date serial]]-tblWorkPackages[[#This Row],[Due date serial]])</f>
        <v>0</v>
      </c>
      <c r="AD552" s="65">
        <f>tblWorkPackages[[#This Row],[First labor date]]-tblWorkPackages[[#This Row],[Request date serial]]</f>
        <v>6</v>
      </c>
      <c r="AE552" s="65">
        <f>tblWorkPackages[[#This Row],[Last labor date]]-tblWorkPackages[[#This Row],[First labor date]]</f>
        <v>1</v>
      </c>
      <c r="AF552" s="65">
        <f>tblWorkPackages[[#This Row],[Completion date serial]]-tblWorkPackages[[#This Row],[Last labor date]]</f>
        <v>2</v>
      </c>
      <c r="AG552" s="65">
        <f>tblWorkPackages[[#This Row],[Completion date serial]]-tblWorkPackages[[#This Row],[Request date serial]]</f>
        <v>9</v>
      </c>
      <c r="AH552" s="65">
        <f>IFERROR(INDEX(tblParts[Delay days],MATCH(tblWorkPackages[[#This Row],[Work package ID]],tblParts[Work package ID],0)),0)</f>
        <v>0</v>
      </c>
      <c r="AI552" s="51" t="str">
        <f>IFERROR(INDEX(tblDisruptions[Event type],MATCH(tblWorkPackages[[#This Row],[Work package ID]],tblDisruptions[Work package ID],0)),"None")</f>
        <v>Technician absence</v>
      </c>
      <c r="AJ552" s="51" t="str">
        <f>TEXT(tblWorkPackages[[#This Row],[Due date serial]],"yyyy-mm")</f>
        <v>2024-11</v>
      </c>
    </row>
    <row r="553" spans="1:36" ht="15" x14ac:dyDescent="0.25">
      <c r="A553" s="53" t="s">
        <v>1379</v>
      </c>
      <c r="B553" s="53" t="s">
        <v>141</v>
      </c>
      <c r="C553" s="53" t="s">
        <v>472</v>
      </c>
      <c r="D553" s="53" t="s">
        <v>1115</v>
      </c>
      <c r="E553" s="53" t="s">
        <v>181</v>
      </c>
      <c r="F553" s="53" t="s">
        <v>182</v>
      </c>
      <c r="G553" s="53" t="s">
        <v>138</v>
      </c>
      <c r="H553" s="53">
        <v>1</v>
      </c>
      <c r="I553" s="53" t="s">
        <v>176</v>
      </c>
      <c r="J553" s="53">
        <v>0</v>
      </c>
      <c r="K553" s="53">
        <v>0</v>
      </c>
      <c r="L553" s="53">
        <v>5.6</v>
      </c>
      <c r="M553" s="53" t="s">
        <v>1380</v>
      </c>
      <c r="N553" s="53">
        <v>4.3</v>
      </c>
      <c r="O553" s="51" t="str">
        <f>TEXT(tblWorkPackages[[#This Row],[Request date serial]]-WEEKDAY(tblWorkPackages[[#This Row],[Request date serial]],3),"yyyy-mm-dd")</f>
        <v>2024-04-22</v>
      </c>
      <c r="P553" s="51">
        <f>ABS(tblWorkPackages[[#This Row],[Actual labor hours]]-tblWorkPackages[[#This Row],[Estimated labor hours]])</f>
        <v>1.3</v>
      </c>
      <c r="Q553" s="51">
        <f>IF(tblWorkPackages[[#This Row],[Actual labor hours]]&gt;tblWorkPackages[[#This Row],[Estimated labor hours]],1,0)</f>
        <v>0</v>
      </c>
      <c r="R553" s="51">
        <f>tblWorkPackages[[#This Row],[Actual labor hours]]-tblWorkPackages[[#This Row],[Estimated labor hours]]</f>
        <v>-1.3</v>
      </c>
      <c r="S553" s="51" t="str">
        <f>IF(tblWorkPackages[[#This Row],[Request date serial]]&lt;ValidationStart,"Train 2024",IF(tblWorkPackages[[#This Row],[Request date serial]]&lt;HoldoutStart,"Validation H1","Holdout H2"))</f>
        <v>Train 2024</v>
      </c>
      <c r="T553" s="51" t="str">
        <f>IF(tblWorkPackages[[#This Row],[Time split]]="Train 2024","",tblWorkPackages[[#This Row],[Estimated labor hours]]+VLOOKUP(tblWorkPackages[[#This Row],[Task type]],'Forecast validation'!$A$14:$E$25,IF(tblWorkPackages[[#This Row],[Time split]]="Validation H1",4,5),FALSE()))</f>
        <v/>
      </c>
      <c r="U553" s="51" t="str">
        <f>IF(tblWorkPackages[[#This Row],[Calibrated forecast hours]]="","",ABS(tblWorkPackages[[#This Row],[Actual labor hours]]-tblWorkPackages[[#This Row],[Calibrated forecast hours]]))</f>
        <v/>
      </c>
      <c r="V553" s="51">
        <f>IF(tblWorkPackages[[#This Row],[Time split]]="Train 2024",tblWorkPackages[[#This Row],[Estimated labor hours]],tblWorkPackages[[#This Row],[Calibrated forecast hours]])</f>
        <v>5.6</v>
      </c>
      <c r="W553" s="64">
        <f>DATEVALUE(tblWorkPackages[[#This Row],[Request date]])</f>
        <v>45408.0</v>
      </c>
      <c r="X553" s="64">
        <f>DATEVALUE(tblWorkPackages[[#This Row],[Due date]])</f>
        <v>45414.0</v>
      </c>
      <c r="Y553" s="64">
        <f>DATEVALUE(tblWorkPackages[[#This Row],[Completion date]])</f>
        <v>45415.0</v>
      </c>
      <c r="Z553" s="64">
        <f>_xlfn.MINIFS(tblLaborEntries[Work date serial],tblLaborEntries[Work package ID],tblWorkPackages[[#This Row],[Work package ID]])</f>
        <v>45410.0</v>
      </c>
      <c r="AA553" s="64">
        <f>_xlfn.MAXIFS(tblLaborEntries[Work date serial],tblLaborEntries[Work package ID],tblWorkPackages[[#This Row],[Work package ID]])</f>
        <v>45412.0</v>
      </c>
      <c r="AB553" s="65">
        <f>IF(tblWorkPackages[[#This Row],[Completion date serial]]&gt;tblWorkPackages[[#This Row],[Due date serial]],1,0)</f>
        <v>1</v>
      </c>
      <c r="AC553" s="65">
        <f>MAX(0,tblWorkPackages[[#This Row],[Completion date serial]]-tblWorkPackages[[#This Row],[Due date serial]])</f>
        <v>1</v>
      </c>
      <c r="AD553" s="65">
        <f>tblWorkPackages[[#This Row],[First labor date]]-tblWorkPackages[[#This Row],[Request date serial]]</f>
        <v>2</v>
      </c>
      <c r="AE553" s="65">
        <f>tblWorkPackages[[#This Row],[Last labor date]]-tblWorkPackages[[#This Row],[First labor date]]</f>
        <v>2</v>
      </c>
      <c r="AF553" s="65">
        <f>tblWorkPackages[[#This Row],[Completion date serial]]-tblWorkPackages[[#This Row],[Last labor date]]</f>
        <v>3</v>
      </c>
      <c r="AG553" s="65">
        <f>tblWorkPackages[[#This Row],[Completion date serial]]-tblWorkPackages[[#This Row],[Request date serial]]</f>
        <v>7</v>
      </c>
      <c r="AH553" s="65">
        <f>IFERROR(INDEX(tblParts[Delay days],MATCH(tblWorkPackages[[#This Row],[Work package ID]],tblParts[Work package ID],0)),0)</f>
        <v>0</v>
      </c>
      <c r="AI553" s="51" t="str">
        <f>IFERROR(INDEX(tblDisruptions[Event type],MATCH(tblWorkPackages[[#This Row],[Work package ID]],tblDisruptions[Work package ID],0)),"None")</f>
        <v>None</v>
      </c>
      <c r="AJ553" s="51" t="str">
        <f>TEXT(tblWorkPackages[[#This Row],[Due date serial]],"yyyy-mm")</f>
        <v>2024-05</v>
      </c>
    </row>
    <row r="554" spans="1:36" ht="15" x14ac:dyDescent="0.25">
      <c r="A554" s="53" t="s">
        <v>1381</v>
      </c>
      <c r="B554" s="53" t="s">
        <v>124</v>
      </c>
      <c r="C554" s="53" t="s">
        <v>933</v>
      </c>
      <c r="D554" s="53" t="s">
        <v>257</v>
      </c>
      <c r="E554" s="53" t="s">
        <v>181</v>
      </c>
      <c r="F554" s="53" t="s">
        <v>182</v>
      </c>
      <c r="G554" s="53" t="s">
        <v>138</v>
      </c>
      <c r="H554" s="53">
        <v>2</v>
      </c>
      <c r="I554" s="53" t="s">
        <v>130</v>
      </c>
      <c r="J554" s="53">
        <v>0</v>
      </c>
      <c r="K554" s="53">
        <v>0</v>
      </c>
      <c r="L554" s="53">
        <v>7</v>
      </c>
      <c r="M554" s="53" t="s">
        <v>512</v>
      </c>
      <c r="N554" s="53">
        <v>6</v>
      </c>
      <c r="O554" s="51" t="str">
        <f>TEXT(tblWorkPackages[[#This Row],[Request date serial]]-WEEKDAY(tblWorkPackages[[#This Row],[Request date serial]],3),"yyyy-mm-dd")</f>
        <v>2024-11-25</v>
      </c>
      <c r="P554" s="51">
        <f>ABS(tblWorkPackages[[#This Row],[Actual labor hours]]-tblWorkPackages[[#This Row],[Estimated labor hours]])</f>
        <v>1</v>
      </c>
      <c r="Q554" s="51">
        <f>IF(tblWorkPackages[[#This Row],[Actual labor hours]]&gt;tblWorkPackages[[#This Row],[Estimated labor hours]],1,0)</f>
        <v>0</v>
      </c>
      <c r="R554" s="51">
        <f>tblWorkPackages[[#This Row],[Actual labor hours]]-tblWorkPackages[[#This Row],[Estimated labor hours]]</f>
        <v>-1</v>
      </c>
      <c r="S554" s="51" t="str">
        <f>IF(tblWorkPackages[[#This Row],[Request date serial]]&lt;ValidationStart,"Train 2024",IF(tblWorkPackages[[#This Row],[Request date serial]]&lt;HoldoutStart,"Validation H1","Holdout H2"))</f>
        <v>Train 2024</v>
      </c>
      <c r="T554" s="51" t="str">
        <f>IF(tblWorkPackages[[#This Row],[Time split]]="Train 2024","",tblWorkPackages[[#This Row],[Estimated labor hours]]+VLOOKUP(tblWorkPackages[[#This Row],[Task type]],'Forecast validation'!$A$14:$E$25,IF(tblWorkPackages[[#This Row],[Time split]]="Validation H1",4,5),FALSE()))</f>
        <v/>
      </c>
      <c r="U554" s="51" t="str">
        <f>IF(tblWorkPackages[[#This Row],[Calibrated forecast hours]]="","",ABS(tblWorkPackages[[#This Row],[Actual labor hours]]-tblWorkPackages[[#This Row],[Calibrated forecast hours]]))</f>
        <v/>
      </c>
      <c r="V554" s="51">
        <f>IF(tblWorkPackages[[#This Row],[Time split]]="Train 2024",tblWorkPackages[[#This Row],[Estimated labor hours]],tblWorkPackages[[#This Row],[Calibrated forecast hours]])</f>
        <v>7</v>
      </c>
      <c r="W554" s="64">
        <f>DATEVALUE(tblWorkPackages[[#This Row],[Request date]])</f>
        <v>45625.0</v>
      </c>
      <c r="X554" s="64">
        <f>DATEVALUE(tblWorkPackages[[#This Row],[Due date]])</f>
        <v>45638.0</v>
      </c>
      <c r="Y554" s="64">
        <f>DATEVALUE(tblWorkPackages[[#This Row],[Completion date]])</f>
        <v>45641.0</v>
      </c>
      <c r="Z554" s="64">
        <f>_xlfn.MINIFS(tblLaborEntries[Work date serial],tblLaborEntries[Work package ID],tblWorkPackages[[#This Row],[Work package ID]])</f>
        <v>45640.0</v>
      </c>
      <c r="AA554" s="64">
        <f>_xlfn.MAXIFS(tblLaborEntries[Work date serial],tblLaborEntries[Work package ID],tblWorkPackages[[#This Row],[Work package ID]])</f>
        <v>45641.0</v>
      </c>
      <c r="AB554" s="65">
        <f>IF(tblWorkPackages[[#This Row],[Completion date serial]]&gt;tblWorkPackages[[#This Row],[Due date serial]],1,0)</f>
        <v>1</v>
      </c>
      <c r="AC554" s="65">
        <f>MAX(0,tblWorkPackages[[#This Row],[Completion date serial]]-tblWorkPackages[[#This Row],[Due date serial]])</f>
        <v>3</v>
      </c>
      <c r="AD554" s="65">
        <f>tblWorkPackages[[#This Row],[First labor date]]-tblWorkPackages[[#This Row],[Request date serial]]</f>
        <v>15</v>
      </c>
      <c r="AE554" s="65">
        <f>tblWorkPackages[[#This Row],[Last labor date]]-tblWorkPackages[[#This Row],[First labor date]]</f>
        <v>1</v>
      </c>
      <c r="AF554" s="65">
        <f>tblWorkPackages[[#This Row],[Completion date serial]]-tblWorkPackages[[#This Row],[Last labor date]]</f>
        <v>0</v>
      </c>
      <c r="AG554" s="65">
        <f>tblWorkPackages[[#This Row],[Completion date serial]]-tblWorkPackages[[#This Row],[Request date serial]]</f>
        <v>16</v>
      </c>
      <c r="AH554" s="65">
        <f>IFERROR(INDEX(tblParts[Delay days],MATCH(tblWorkPackages[[#This Row],[Work package ID]],tblParts[Work package ID],0)),0)</f>
        <v>0</v>
      </c>
      <c r="AI554" s="51" t="str">
        <f>IFERROR(INDEX(tblDisruptions[Event type],MATCH(tblWorkPackages[[#This Row],[Work package ID]],tblDisruptions[Work package ID],0)),"None")</f>
        <v>None</v>
      </c>
      <c r="AJ554" s="51" t="str">
        <f>TEXT(tblWorkPackages[[#This Row],[Due date serial]],"yyyy-mm")</f>
        <v>2024-12</v>
      </c>
    </row>
    <row r="555" spans="1:36" ht="15" x14ac:dyDescent="0.25">
      <c r="A555" s="53" t="s">
        <v>1382</v>
      </c>
      <c r="B555" s="53" t="s">
        <v>173</v>
      </c>
      <c r="C555" s="53" t="s">
        <v>1383</v>
      </c>
      <c r="D555" s="53" t="s">
        <v>698</v>
      </c>
      <c r="E555" s="53" t="s">
        <v>153</v>
      </c>
      <c r="F555" s="53" t="s">
        <v>128</v>
      </c>
      <c r="G555" s="53" t="s">
        <v>154</v>
      </c>
      <c r="H555" s="53">
        <v>4</v>
      </c>
      <c r="I555" s="53" t="s">
        <v>130</v>
      </c>
      <c r="J555" s="53">
        <v>0</v>
      </c>
      <c r="K555" s="53">
        <v>1</v>
      </c>
      <c r="L555" s="53">
        <v>16.8</v>
      </c>
      <c r="M555" s="53" t="s">
        <v>504</v>
      </c>
      <c r="N555" s="53">
        <v>13.5</v>
      </c>
      <c r="O555" s="51" t="str">
        <f>TEXT(tblWorkPackages[[#This Row],[Request date serial]]-WEEKDAY(tblWorkPackages[[#This Row],[Request date serial]],3),"yyyy-mm-dd")</f>
        <v>2025-01-20</v>
      </c>
      <c r="P555" s="51">
        <f>ABS(tblWorkPackages[[#This Row],[Actual labor hours]]-tblWorkPackages[[#This Row],[Estimated labor hours]])</f>
        <v>3.3</v>
      </c>
      <c r="Q555" s="51">
        <f>IF(tblWorkPackages[[#This Row],[Actual labor hours]]&gt;tblWorkPackages[[#This Row],[Estimated labor hours]],1,0)</f>
        <v>0</v>
      </c>
      <c r="R555" s="51">
        <f>tblWorkPackages[[#This Row],[Actual labor hours]]-tblWorkPackages[[#This Row],[Estimated labor hours]]</f>
        <v>-3.3</v>
      </c>
      <c r="S555" s="51" t="str">
        <f>IF(tblWorkPackages[[#This Row],[Request date serial]]&lt;ValidationStart,"Train 2024",IF(tblWorkPackages[[#This Row],[Request date serial]]&lt;HoldoutStart,"Validation H1","Holdout H2"))</f>
        <v>Validation H1</v>
      </c>
      <c r="T555" s="51">
        <f>IF(tblWorkPackages[[#This Row],[Time split]]="Train 2024","",tblWorkPackages[[#This Row],[Estimated labor hours]]+VLOOKUP(tblWorkPackages[[#This Row],[Task type]],'Forecast validation'!$A$14:$E$25,IF(tblWorkPackages[[#This Row],[Time split]]="Validation H1",4,5),FALSE()))</f>
        <v>17.3462264150943</v>
      </c>
      <c r="U555" s="51">
        <f>IF(tblWorkPackages[[#This Row],[Calibrated forecast hours]]="","",ABS(tblWorkPackages[[#This Row],[Actual labor hours]]-tblWorkPackages[[#This Row],[Calibrated forecast hours]]))</f>
        <v>3.84622641509434</v>
      </c>
      <c r="V555" s="51">
        <f>IF(tblWorkPackages[[#This Row],[Time split]]="Train 2024",tblWorkPackages[[#This Row],[Estimated labor hours]],tblWorkPackages[[#This Row],[Calibrated forecast hours]])</f>
        <v>17.3462264150943</v>
      </c>
      <c r="W555" s="64">
        <f>DATEVALUE(tblWorkPackages[[#This Row],[Request date]])</f>
        <v>45683.0</v>
      </c>
      <c r="X555" s="64">
        <f>DATEVALUE(tblWorkPackages[[#This Row],[Due date]])</f>
        <v>45696.0</v>
      </c>
      <c r="Y555" s="64">
        <f>DATEVALUE(tblWorkPackages[[#This Row],[Completion date]])</f>
        <v>45689.0</v>
      </c>
      <c r="Z555" s="64">
        <f>_xlfn.MINIFS(tblLaborEntries[Work date serial],tblLaborEntries[Work package ID],tblWorkPackages[[#This Row],[Work package ID]])</f>
        <v>45687.0</v>
      </c>
      <c r="AA555" s="64">
        <f>_xlfn.MAXIFS(tblLaborEntries[Work date serial],tblLaborEntries[Work package ID],tblWorkPackages[[#This Row],[Work package ID]])</f>
        <v>45688.0</v>
      </c>
      <c r="AB555" s="65">
        <f>IF(tblWorkPackages[[#This Row],[Completion date serial]]&gt;tblWorkPackages[[#This Row],[Due date serial]],1,0)</f>
        <v>0</v>
      </c>
      <c r="AC555" s="65">
        <f>MAX(0,tblWorkPackages[[#This Row],[Completion date serial]]-tblWorkPackages[[#This Row],[Due date serial]])</f>
        <v>0</v>
      </c>
      <c r="AD555" s="65">
        <f>tblWorkPackages[[#This Row],[First labor date]]-tblWorkPackages[[#This Row],[Request date serial]]</f>
        <v>4</v>
      </c>
      <c r="AE555" s="65">
        <f>tblWorkPackages[[#This Row],[Last labor date]]-tblWorkPackages[[#This Row],[First labor date]]</f>
        <v>1</v>
      </c>
      <c r="AF555" s="65">
        <f>tblWorkPackages[[#This Row],[Completion date serial]]-tblWorkPackages[[#This Row],[Last labor date]]</f>
        <v>1</v>
      </c>
      <c r="AG555" s="65">
        <f>tblWorkPackages[[#This Row],[Completion date serial]]-tblWorkPackages[[#This Row],[Request date serial]]</f>
        <v>6</v>
      </c>
      <c r="AH555" s="65">
        <f>IFERROR(INDEX(tblParts[Delay days],MATCH(tblWorkPackages[[#This Row],[Work package ID]],tblParts[Work package ID],0)),0)</f>
        <v>0</v>
      </c>
      <c r="AI555" s="51" t="str">
        <f>IFERROR(INDEX(tblDisruptions[Event type],MATCH(tblWorkPackages[[#This Row],[Work package ID]],tblDisruptions[Work package ID],0)),"None")</f>
        <v>None</v>
      </c>
      <c r="AJ555" s="51" t="str">
        <f>TEXT(tblWorkPackages[[#This Row],[Due date serial]],"yyyy-mm")</f>
        <v>2025-02</v>
      </c>
    </row>
    <row r="556" spans="1:36" ht="15" x14ac:dyDescent="0.25">
      <c r="A556" s="53" t="s">
        <v>1384</v>
      </c>
      <c r="B556" s="53" t="s">
        <v>203</v>
      </c>
      <c r="C556" s="53" t="s">
        <v>520</v>
      </c>
      <c r="D556" s="53" t="s">
        <v>521</v>
      </c>
      <c r="E556" s="53" t="s">
        <v>153</v>
      </c>
      <c r="F556" s="53" t="s">
        <v>128</v>
      </c>
      <c r="G556" s="53" t="s">
        <v>154</v>
      </c>
      <c r="H556" s="53">
        <v>2</v>
      </c>
      <c r="I556" s="53" t="s">
        <v>130</v>
      </c>
      <c r="J556" s="53">
        <v>0</v>
      </c>
      <c r="K556" s="53">
        <v>0</v>
      </c>
      <c r="L556" s="53">
        <v>8.3000000000000007</v>
      </c>
      <c r="M556" s="53" t="s">
        <v>522</v>
      </c>
      <c r="N556" s="53">
        <v>7</v>
      </c>
      <c r="O556" s="51" t="str">
        <f>TEXT(tblWorkPackages[[#This Row],[Request date serial]]-WEEKDAY(tblWorkPackages[[#This Row],[Request date serial]],3),"yyyy-mm-dd")</f>
        <v>2025-08-18</v>
      </c>
      <c r="P556" s="51">
        <f>ABS(tblWorkPackages[[#This Row],[Actual labor hours]]-tblWorkPackages[[#This Row],[Estimated labor hours]])</f>
        <v>1.3</v>
      </c>
      <c r="Q556" s="51">
        <f>IF(tblWorkPackages[[#This Row],[Actual labor hours]]&gt;tblWorkPackages[[#This Row],[Estimated labor hours]],1,0)</f>
        <v>0</v>
      </c>
      <c r="R556" s="51">
        <f>tblWorkPackages[[#This Row],[Actual labor hours]]-tblWorkPackages[[#This Row],[Estimated labor hours]]</f>
        <v>-1.3</v>
      </c>
      <c r="S556" s="51" t="str">
        <f>IF(tblWorkPackages[[#This Row],[Request date serial]]&lt;ValidationStart,"Train 2024",IF(tblWorkPackages[[#This Row],[Request date serial]]&lt;HoldoutStart,"Validation H1","Holdout H2"))</f>
        <v>Holdout H2</v>
      </c>
      <c r="T556" s="51">
        <f>IF(tblWorkPackages[[#This Row],[Time split]]="Train 2024","",tblWorkPackages[[#This Row],[Estimated labor hours]]+VLOOKUP(tblWorkPackages[[#This Row],[Task type]],'Forecast validation'!$A$14:$E$25,IF(tblWorkPackages[[#This Row],[Time split]]="Validation H1",4,5),FALSE()))</f>
        <v>8.90266666666667</v>
      </c>
      <c r="U556" s="51">
        <f>IF(tblWorkPackages[[#This Row],[Calibrated forecast hours]]="","",ABS(tblWorkPackages[[#This Row],[Actual labor hours]]-tblWorkPackages[[#This Row],[Calibrated forecast hours]]))</f>
        <v>1.90266666666667</v>
      </c>
      <c r="V556" s="51">
        <f>IF(tblWorkPackages[[#This Row],[Time split]]="Train 2024",tblWorkPackages[[#This Row],[Estimated labor hours]],tblWorkPackages[[#This Row],[Calibrated forecast hours]])</f>
        <v>8.90266666666667</v>
      </c>
      <c r="W556" s="64">
        <f>DATEVALUE(tblWorkPackages[[#This Row],[Request date]])</f>
        <v>45890.0</v>
      </c>
      <c r="X556" s="64">
        <f>DATEVALUE(tblWorkPackages[[#This Row],[Due date]])</f>
        <v>45903.0</v>
      </c>
      <c r="Y556" s="64">
        <f>DATEVALUE(tblWorkPackages[[#This Row],[Completion date]])</f>
        <v>45895.0</v>
      </c>
      <c r="Z556" s="64">
        <f>_xlfn.MINIFS(tblLaborEntries[Work date serial],tblLaborEntries[Work package ID],tblWorkPackages[[#This Row],[Work package ID]])</f>
        <v>45891.0</v>
      </c>
      <c r="AA556" s="64">
        <f>_xlfn.MAXIFS(tblLaborEntries[Work date serial],tblLaborEntries[Work package ID],tblWorkPackages[[#This Row],[Work package ID]])</f>
        <v>45893.0</v>
      </c>
      <c r="AB556" s="65">
        <f>IF(tblWorkPackages[[#This Row],[Completion date serial]]&gt;tblWorkPackages[[#This Row],[Due date serial]],1,0)</f>
        <v>0</v>
      </c>
      <c r="AC556" s="65">
        <f>MAX(0,tblWorkPackages[[#This Row],[Completion date serial]]-tblWorkPackages[[#This Row],[Due date serial]])</f>
        <v>0</v>
      </c>
      <c r="AD556" s="65">
        <f>tblWorkPackages[[#This Row],[First labor date]]-tblWorkPackages[[#This Row],[Request date serial]]</f>
        <v>1</v>
      </c>
      <c r="AE556" s="65">
        <f>tblWorkPackages[[#This Row],[Last labor date]]-tblWorkPackages[[#This Row],[First labor date]]</f>
        <v>2</v>
      </c>
      <c r="AF556" s="65">
        <f>tblWorkPackages[[#This Row],[Completion date serial]]-tblWorkPackages[[#This Row],[Last labor date]]</f>
        <v>2</v>
      </c>
      <c r="AG556" s="65">
        <f>tblWorkPackages[[#This Row],[Completion date serial]]-tblWorkPackages[[#This Row],[Request date serial]]</f>
        <v>5</v>
      </c>
      <c r="AH556" s="65">
        <f>IFERROR(INDEX(tblParts[Delay days],MATCH(tblWorkPackages[[#This Row],[Work package ID]],tblParts[Work package ID],0)),0)</f>
        <v>0</v>
      </c>
      <c r="AI556" s="51" t="str">
        <f>IFERROR(INDEX(tblDisruptions[Event type],MATCH(tblWorkPackages[[#This Row],[Work package ID]],tblDisruptions[Work package ID],0)),"None")</f>
        <v>None</v>
      </c>
      <c r="AJ556" s="51" t="str">
        <f>TEXT(tblWorkPackages[[#This Row],[Due date serial]],"yyyy-mm")</f>
        <v>2025-09</v>
      </c>
    </row>
    <row r="557" spans="1:36" ht="15" x14ac:dyDescent="0.25">
      <c r="A557" s="53" t="s">
        <v>1385</v>
      </c>
      <c r="B557" s="53" t="s">
        <v>250</v>
      </c>
      <c r="C557" s="53" t="s">
        <v>188</v>
      </c>
      <c r="D557" s="53" t="s">
        <v>413</v>
      </c>
      <c r="E557" s="53" t="s">
        <v>209</v>
      </c>
      <c r="F557" s="53" t="s">
        <v>145</v>
      </c>
      <c r="G557" s="53" t="s">
        <v>210</v>
      </c>
      <c r="H557" s="53">
        <v>1</v>
      </c>
      <c r="I557" s="53" t="s">
        <v>176</v>
      </c>
      <c r="J557" s="53">
        <v>0</v>
      </c>
      <c r="K557" s="53">
        <v>1</v>
      </c>
      <c r="L557" s="53">
        <v>14.5</v>
      </c>
      <c r="M557" s="53" t="s">
        <v>717</v>
      </c>
      <c r="N557" s="53">
        <v>13.7</v>
      </c>
      <c r="O557" s="51" t="str">
        <f>TEXT(tblWorkPackages[[#This Row],[Request date serial]]-WEEKDAY(tblWorkPackages[[#This Row],[Request date serial]],3),"yyyy-mm-dd")</f>
        <v>2025-02-17</v>
      </c>
      <c r="P557" s="51">
        <f>ABS(tblWorkPackages[[#This Row],[Actual labor hours]]-tblWorkPackages[[#This Row],[Estimated labor hours]])</f>
        <v>0.800000000000001</v>
      </c>
      <c r="Q557" s="51">
        <f>IF(tblWorkPackages[[#This Row],[Actual labor hours]]&gt;tblWorkPackages[[#This Row],[Estimated labor hours]],1,0)</f>
        <v>0</v>
      </c>
      <c r="R557" s="51">
        <f>tblWorkPackages[[#This Row],[Actual labor hours]]-tblWorkPackages[[#This Row],[Estimated labor hours]]</f>
        <v>-0.800000000000001</v>
      </c>
      <c r="S557" s="51" t="str">
        <f>IF(tblWorkPackages[[#This Row],[Request date serial]]&lt;ValidationStart,"Train 2024",IF(tblWorkPackages[[#This Row],[Request date serial]]&lt;HoldoutStart,"Validation H1","Holdout H2"))</f>
        <v>Validation H1</v>
      </c>
      <c r="T557" s="51">
        <f>IF(tblWorkPackages[[#This Row],[Time split]]="Train 2024","",tblWorkPackages[[#This Row],[Estimated labor hours]]+VLOOKUP(tblWorkPackages[[#This Row],[Task type]],'Forecast validation'!$A$14:$E$25,IF(tblWorkPackages[[#This Row],[Time split]]="Validation H1",4,5),FALSE()))</f>
        <v>15.6029850746269</v>
      </c>
      <c r="U557" s="51">
        <f>IF(tblWorkPackages[[#This Row],[Calibrated forecast hours]]="","",ABS(tblWorkPackages[[#This Row],[Actual labor hours]]-tblWorkPackages[[#This Row],[Calibrated forecast hours]]))</f>
        <v>1.90298507462687</v>
      </c>
      <c r="V557" s="51">
        <f>IF(tblWorkPackages[[#This Row],[Time split]]="Train 2024",tblWorkPackages[[#This Row],[Estimated labor hours]],tblWorkPackages[[#This Row],[Calibrated forecast hours]])</f>
        <v>15.6029850746269</v>
      </c>
      <c r="W557" s="64">
        <f>DATEVALUE(tblWorkPackages[[#This Row],[Request date]])</f>
        <v>45711.0</v>
      </c>
      <c r="X557" s="64">
        <f>DATEVALUE(tblWorkPackages[[#This Row],[Due date]])</f>
        <v>45717.0</v>
      </c>
      <c r="Y557" s="64">
        <f>DATEVALUE(tblWorkPackages[[#This Row],[Completion date]])</f>
        <v>45723.0</v>
      </c>
      <c r="Z557" s="64">
        <f>_xlfn.MINIFS(tblLaborEntries[Work date serial],tblLaborEntries[Work package ID],tblWorkPackages[[#This Row],[Work package ID]])</f>
        <v>45720.0</v>
      </c>
      <c r="AA557" s="64">
        <f>_xlfn.MAXIFS(tblLaborEntries[Work date serial],tblLaborEntries[Work package ID],tblWorkPackages[[#This Row],[Work package ID]])</f>
        <v>45720.0</v>
      </c>
      <c r="AB557" s="65">
        <f>IF(tblWorkPackages[[#This Row],[Completion date serial]]&gt;tblWorkPackages[[#This Row],[Due date serial]],1,0)</f>
        <v>1</v>
      </c>
      <c r="AC557" s="65">
        <f>MAX(0,tblWorkPackages[[#This Row],[Completion date serial]]-tblWorkPackages[[#This Row],[Due date serial]])</f>
        <v>6</v>
      </c>
      <c r="AD557" s="65">
        <f>tblWorkPackages[[#This Row],[First labor date]]-tblWorkPackages[[#This Row],[Request date serial]]</f>
        <v>9</v>
      </c>
      <c r="AE557" s="65">
        <f>tblWorkPackages[[#This Row],[Last labor date]]-tblWorkPackages[[#This Row],[First labor date]]</f>
        <v>0</v>
      </c>
      <c r="AF557" s="65">
        <f>tblWorkPackages[[#This Row],[Completion date serial]]-tblWorkPackages[[#This Row],[Last labor date]]</f>
        <v>3</v>
      </c>
      <c r="AG557" s="65">
        <f>tblWorkPackages[[#This Row],[Completion date serial]]-tblWorkPackages[[#This Row],[Request date serial]]</f>
        <v>12</v>
      </c>
      <c r="AH557" s="65">
        <f>IFERROR(INDEX(tblParts[Delay days],MATCH(tblWorkPackages[[#This Row],[Work package ID]],tblParts[Work package ID],0)),0)</f>
        <v>0</v>
      </c>
      <c r="AI557" s="51" t="str">
        <f>IFERROR(INDEX(tblDisruptions[Event type],MATCH(tblWorkPackages[[#This Row],[Work package ID]],tblDisruptions[Work package ID],0)),"None")</f>
        <v>None</v>
      </c>
      <c r="AJ557" s="51" t="str">
        <f>TEXT(tblWorkPackages[[#This Row],[Due date serial]],"yyyy-mm")</f>
        <v>2025-03</v>
      </c>
    </row>
    <row r="558" spans="1:36" ht="15" x14ac:dyDescent="0.25">
      <c r="A558" s="53" t="s">
        <v>1386</v>
      </c>
      <c r="B558" s="53" t="s">
        <v>168</v>
      </c>
      <c r="C558" s="53" t="s">
        <v>1249</v>
      </c>
      <c r="D558" s="53" t="s">
        <v>468</v>
      </c>
      <c r="E558" s="53" t="s">
        <v>200</v>
      </c>
      <c r="F558" s="53" t="s">
        <v>128</v>
      </c>
      <c r="G558" s="53" t="s">
        <v>129</v>
      </c>
      <c r="H558" s="53">
        <v>1</v>
      </c>
      <c r="I558" s="53" t="s">
        <v>130</v>
      </c>
      <c r="J558" s="53">
        <v>0</v>
      </c>
      <c r="K558" s="53">
        <v>0</v>
      </c>
      <c r="L558" s="53">
        <v>2.2999999999999998</v>
      </c>
      <c r="M558" s="53" t="s">
        <v>784</v>
      </c>
      <c r="N558" s="53">
        <v>2.6</v>
      </c>
      <c r="O558" s="51" t="str">
        <f>TEXT(tblWorkPackages[[#This Row],[Request date serial]]-WEEKDAY(tblWorkPackages[[#This Row],[Request date serial]],3),"yyyy-mm-dd")</f>
        <v>2025-04-14</v>
      </c>
      <c r="P558" s="51">
        <f>ABS(tblWorkPackages[[#This Row],[Actual labor hours]]-tblWorkPackages[[#This Row],[Estimated labor hours]])</f>
        <v>0.3</v>
      </c>
      <c r="Q558" s="51">
        <f>IF(tblWorkPackages[[#This Row],[Actual labor hours]]&gt;tblWorkPackages[[#This Row],[Estimated labor hours]],1,0)</f>
        <v>1</v>
      </c>
      <c r="R558" s="51">
        <f>tblWorkPackages[[#This Row],[Actual labor hours]]-tblWorkPackages[[#This Row],[Estimated labor hours]]</f>
        <v>0.3</v>
      </c>
      <c r="S558" s="51" t="str">
        <f>IF(tblWorkPackages[[#This Row],[Request date serial]]&lt;ValidationStart,"Train 2024",IF(tblWorkPackages[[#This Row],[Request date serial]]&lt;HoldoutStart,"Validation H1","Holdout H2"))</f>
        <v>Validation H1</v>
      </c>
      <c r="T558" s="51">
        <f>IF(tblWorkPackages[[#This Row],[Time split]]="Train 2024","",tblWorkPackages[[#This Row],[Estimated labor hours]]+VLOOKUP(tblWorkPackages[[#This Row],[Task type]],'Forecast validation'!$A$14:$E$25,IF(tblWorkPackages[[#This Row],[Time split]]="Validation H1",4,5),FALSE()))</f>
        <v>2.63069306930693</v>
      </c>
      <c r="U558" s="51">
        <f>IF(tblWorkPackages[[#This Row],[Calibrated forecast hours]]="","",ABS(tblWorkPackages[[#This Row],[Actual labor hours]]-tblWorkPackages[[#This Row],[Calibrated forecast hours]]))</f>
        <v>0.0306930693069303</v>
      </c>
      <c r="V558" s="51">
        <f>IF(tblWorkPackages[[#This Row],[Time split]]="Train 2024",tblWorkPackages[[#This Row],[Estimated labor hours]],tblWorkPackages[[#This Row],[Calibrated forecast hours]])</f>
        <v>2.63069306930693</v>
      </c>
      <c r="W558" s="64">
        <f>DATEVALUE(tblWorkPackages[[#This Row],[Request date]])</f>
        <v>45762.0</v>
      </c>
      <c r="X558" s="64">
        <f>DATEVALUE(tblWorkPackages[[#This Row],[Due date]])</f>
        <v>45775.0</v>
      </c>
      <c r="Y558" s="64">
        <f>DATEVALUE(tblWorkPackages[[#This Row],[Completion date]])</f>
        <v>45765.0</v>
      </c>
      <c r="Z558" s="64">
        <f>_xlfn.MINIFS(tblLaborEntries[Work date serial],tblLaborEntries[Work package ID],tblWorkPackages[[#This Row],[Work package ID]])</f>
        <v>45764.0</v>
      </c>
      <c r="AA558" s="64">
        <f>_xlfn.MAXIFS(tblLaborEntries[Work date serial],tblLaborEntries[Work package ID],tblWorkPackages[[#This Row],[Work package ID]])</f>
        <v>45765.0</v>
      </c>
      <c r="AB558" s="65">
        <f>IF(tblWorkPackages[[#This Row],[Completion date serial]]&gt;tblWorkPackages[[#This Row],[Due date serial]],1,0)</f>
        <v>0</v>
      </c>
      <c r="AC558" s="65">
        <f>MAX(0,tblWorkPackages[[#This Row],[Completion date serial]]-tblWorkPackages[[#This Row],[Due date serial]])</f>
        <v>0</v>
      </c>
      <c r="AD558" s="65">
        <f>tblWorkPackages[[#This Row],[First labor date]]-tblWorkPackages[[#This Row],[Request date serial]]</f>
        <v>2</v>
      </c>
      <c r="AE558" s="65">
        <f>tblWorkPackages[[#This Row],[Last labor date]]-tblWorkPackages[[#This Row],[First labor date]]</f>
        <v>1</v>
      </c>
      <c r="AF558" s="65">
        <f>tblWorkPackages[[#This Row],[Completion date serial]]-tblWorkPackages[[#This Row],[Last labor date]]</f>
        <v>0</v>
      </c>
      <c r="AG558" s="65">
        <f>tblWorkPackages[[#This Row],[Completion date serial]]-tblWorkPackages[[#This Row],[Request date serial]]</f>
        <v>3</v>
      </c>
      <c r="AH558" s="65">
        <f>IFERROR(INDEX(tblParts[Delay days],MATCH(tblWorkPackages[[#This Row],[Work package ID]],tblParts[Work package ID],0)),0)</f>
        <v>0</v>
      </c>
      <c r="AI558" s="51" t="str">
        <f>IFERROR(INDEX(tblDisruptions[Event type],MATCH(tblWorkPackages[[#This Row],[Work package ID]],tblDisruptions[Work package ID],0)),"None")</f>
        <v>None</v>
      </c>
      <c r="AJ558" s="51" t="str">
        <f>TEXT(tblWorkPackages[[#This Row],[Due date serial]],"yyyy-mm")</f>
        <v>2025-04</v>
      </c>
    </row>
    <row r="559" spans="1:36" ht="15" x14ac:dyDescent="0.25">
      <c r="A559" s="53" t="s">
        <v>1387</v>
      </c>
      <c r="B559" s="53" t="s">
        <v>150</v>
      </c>
      <c r="C559" s="53" t="s">
        <v>995</v>
      </c>
      <c r="D559" s="53" t="s">
        <v>726</v>
      </c>
      <c r="E559" s="53" t="s">
        <v>144</v>
      </c>
      <c r="F559" s="53" t="s">
        <v>145</v>
      </c>
      <c r="G559" s="53" t="s">
        <v>146</v>
      </c>
      <c r="H559" s="53">
        <v>1</v>
      </c>
      <c r="I559" s="53" t="s">
        <v>130</v>
      </c>
      <c r="J559" s="53">
        <v>0</v>
      </c>
      <c r="K559" s="53">
        <v>0</v>
      </c>
      <c r="L559" s="53">
        <v>8</v>
      </c>
      <c r="M559" s="53" t="s">
        <v>1107</v>
      </c>
      <c r="N559" s="53">
        <v>9.4</v>
      </c>
      <c r="O559" s="51" t="str">
        <f>TEXT(tblWorkPackages[[#This Row],[Request date serial]]-WEEKDAY(tblWorkPackages[[#This Row],[Request date serial]],3),"yyyy-mm-dd")</f>
        <v>2024-05-06</v>
      </c>
      <c r="P559" s="51">
        <f>ABS(tblWorkPackages[[#This Row],[Actual labor hours]]-tblWorkPackages[[#This Row],[Estimated labor hours]])</f>
        <v>1.4</v>
      </c>
      <c r="Q559" s="51">
        <f>IF(tblWorkPackages[[#This Row],[Actual labor hours]]&gt;tblWorkPackages[[#This Row],[Estimated labor hours]],1,0)</f>
        <v>1</v>
      </c>
      <c r="R559" s="51">
        <f>tblWorkPackages[[#This Row],[Actual labor hours]]-tblWorkPackages[[#This Row],[Estimated labor hours]]</f>
        <v>1.4</v>
      </c>
      <c r="S559" s="51" t="str">
        <f>IF(tblWorkPackages[[#This Row],[Request date serial]]&lt;ValidationStart,"Train 2024",IF(tblWorkPackages[[#This Row],[Request date serial]]&lt;HoldoutStart,"Validation H1","Holdout H2"))</f>
        <v>Train 2024</v>
      </c>
      <c r="T559" s="51" t="str">
        <f>IF(tblWorkPackages[[#This Row],[Time split]]="Train 2024","",tblWorkPackages[[#This Row],[Estimated labor hours]]+VLOOKUP(tblWorkPackages[[#This Row],[Task type]],'Forecast validation'!$A$14:$E$25,IF(tblWorkPackages[[#This Row],[Time split]]="Validation H1",4,5),FALSE()))</f>
        <v/>
      </c>
      <c r="U559" s="51" t="str">
        <f>IF(tblWorkPackages[[#This Row],[Calibrated forecast hours]]="","",ABS(tblWorkPackages[[#This Row],[Actual labor hours]]-tblWorkPackages[[#This Row],[Calibrated forecast hours]]))</f>
        <v/>
      </c>
      <c r="V559" s="51">
        <f>IF(tblWorkPackages[[#This Row],[Time split]]="Train 2024",tblWorkPackages[[#This Row],[Estimated labor hours]],tblWorkPackages[[#This Row],[Calibrated forecast hours]])</f>
        <v>8</v>
      </c>
      <c r="W559" s="64">
        <f>DATEVALUE(tblWorkPackages[[#This Row],[Request date]])</f>
        <v>45419.0</v>
      </c>
      <c r="X559" s="64">
        <f>DATEVALUE(tblWorkPackages[[#This Row],[Due date]])</f>
        <v>45432.0</v>
      </c>
      <c r="Y559" s="64">
        <f>DATEVALUE(tblWorkPackages[[#This Row],[Completion date]])</f>
        <v>45444.0</v>
      </c>
      <c r="Z559" s="64">
        <f>_xlfn.MINIFS(tblLaborEntries[Work date serial],tblLaborEntries[Work package ID],tblWorkPackages[[#This Row],[Work package ID]])</f>
        <v>45443.0</v>
      </c>
      <c r="AA559" s="64">
        <f>_xlfn.MAXIFS(tblLaborEntries[Work date serial],tblLaborEntries[Work package ID],tblWorkPackages[[#This Row],[Work package ID]])</f>
        <v>45443.0</v>
      </c>
      <c r="AB559" s="65">
        <f>IF(tblWorkPackages[[#This Row],[Completion date serial]]&gt;tblWorkPackages[[#This Row],[Due date serial]],1,0)</f>
        <v>1</v>
      </c>
      <c r="AC559" s="65">
        <f>MAX(0,tblWorkPackages[[#This Row],[Completion date serial]]-tblWorkPackages[[#This Row],[Due date serial]])</f>
        <v>12</v>
      </c>
      <c r="AD559" s="65">
        <f>tblWorkPackages[[#This Row],[First labor date]]-tblWorkPackages[[#This Row],[Request date serial]]</f>
        <v>24</v>
      </c>
      <c r="AE559" s="65">
        <f>tblWorkPackages[[#This Row],[Last labor date]]-tblWorkPackages[[#This Row],[First labor date]]</f>
        <v>0</v>
      </c>
      <c r="AF559" s="65">
        <f>tblWorkPackages[[#This Row],[Completion date serial]]-tblWorkPackages[[#This Row],[Last labor date]]</f>
        <v>1</v>
      </c>
      <c r="AG559" s="65">
        <f>tblWorkPackages[[#This Row],[Completion date serial]]-tblWorkPackages[[#This Row],[Request date serial]]</f>
        <v>25</v>
      </c>
      <c r="AH559" s="65">
        <f>IFERROR(INDEX(tblParts[Delay days],MATCH(tblWorkPackages[[#This Row],[Work package ID]],tblParts[Work package ID],0)),0)</f>
        <v>0</v>
      </c>
      <c r="AI559" s="51" t="str">
        <f>IFERROR(INDEX(tblDisruptions[Event type],MATCH(tblWorkPackages[[#This Row],[Work package ID]],tblDisruptions[Work package ID],0)),"None")</f>
        <v>None</v>
      </c>
      <c r="AJ559" s="51" t="str">
        <f>TEXT(tblWorkPackages[[#This Row],[Due date serial]],"yyyy-mm")</f>
        <v>2024-05</v>
      </c>
    </row>
    <row r="560" spans="1:36" ht="15" x14ac:dyDescent="0.25">
      <c r="A560" s="53" t="s">
        <v>1388</v>
      </c>
      <c r="B560" s="53" t="s">
        <v>133</v>
      </c>
      <c r="C560" s="53" t="s">
        <v>400</v>
      </c>
      <c r="D560" s="53" t="s">
        <v>563</v>
      </c>
      <c r="E560" s="53" t="s">
        <v>153</v>
      </c>
      <c r="F560" s="53" t="s">
        <v>128</v>
      </c>
      <c r="G560" s="53" t="s">
        <v>154</v>
      </c>
      <c r="H560" s="53">
        <v>1</v>
      </c>
      <c r="I560" s="53" t="s">
        <v>130</v>
      </c>
      <c r="J560" s="53">
        <v>0</v>
      </c>
      <c r="K560" s="53">
        <v>1</v>
      </c>
      <c r="L560" s="53">
        <v>6.6</v>
      </c>
      <c r="M560" s="53" t="s">
        <v>1125</v>
      </c>
      <c r="N560" s="53">
        <v>8.1</v>
      </c>
      <c r="O560" s="51" t="str">
        <f>TEXT(tblWorkPackages[[#This Row],[Request date serial]]-WEEKDAY(tblWorkPackages[[#This Row],[Request date serial]],3),"yyyy-mm-dd")</f>
        <v>2024-05-20</v>
      </c>
      <c r="P560" s="51">
        <f>ABS(tblWorkPackages[[#This Row],[Actual labor hours]]-tblWorkPackages[[#This Row],[Estimated labor hours]])</f>
        <v>1.5</v>
      </c>
      <c r="Q560" s="51">
        <f>IF(tblWorkPackages[[#This Row],[Actual labor hours]]&gt;tblWorkPackages[[#This Row],[Estimated labor hours]],1,0)</f>
        <v>1</v>
      </c>
      <c r="R560" s="51">
        <f>tblWorkPackages[[#This Row],[Actual labor hours]]-tblWorkPackages[[#This Row],[Estimated labor hours]]</f>
        <v>1.5</v>
      </c>
      <c r="S560" s="51" t="str">
        <f>IF(tblWorkPackages[[#This Row],[Request date serial]]&lt;ValidationStart,"Train 2024",IF(tblWorkPackages[[#This Row],[Request date serial]]&lt;HoldoutStart,"Validation H1","Holdout H2"))</f>
        <v>Train 2024</v>
      </c>
      <c r="T560" s="51" t="str">
        <f>IF(tblWorkPackages[[#This Row],[Time split]]="Train 2024","",tblWorkPackages[[#This Row],[Estimated labor hours]]+VLOOKUP(tblWorkPackages[[#This Row],[Task type]],'Forecast validation'!$A$14:$E$25,IF(tblWorkPackages[[#This Row],[Time split]]="Validation H1",4,5),FALSE()))</f>
        <v/>
      </c>
      <c r="U560" s="51" t="str">
        <f>IF(tblWorkPackages[[#This Row],[Calibrated forecast hours]]="","",ABS(tblWorkPackages[[#This Row],[Actual labor hours]]-tblWorkPackages[[#This Row],[Calibrated forecast hours]]))</f>
        <v/>
      </c>
      <c r="V560" s="51">
        <f>IF(tblWorkPackages[[#This Row],[Time split]]="Train 2024",tblWorkPackages[[#This Row],[Estimated labor hours]],tblWorkPackages[[#This Row],[Calibrated forecast hours]])</f>
        <v>6.6</v>
      </c>
      <c r="W560" s="64">
        <f>DATEVALUE(tblWorkPackages[[#This Row],[Request date]])</f>
        <v>45434.0</v>
      </c>
      <c r="X560" s="64">
        <f>DATEVALUE(tblWorkPackages[[#This Row],[Due date]])</f>
        <v>45447.0</v>
      </c>
      <c r="Y560" s="64">
        <f>DATEVALUE(tblWorkPackages[[#This Row],[Completion date]])</f>
        <v>45440.0</v>
      </c>
      <c r="Z560" s="64">
        <f>_xlfn.MINIFS(tblLaborEntries[Work date serial],tblLaborEntries[Work package ID],tblWorkPackages[[#This Row],[Work package ID]])</f>
        <v>45438.0</v>
      </c>
      <c r="AA560" s="64">
        <f>_xlfn.MAXIFS(tblLaborEntries[Work date serial],tblLaborEntries[Work package ID],tblWorkPackages[[#This Row],[Work package ID]])</f>
        <v>45438.0</v>
      </c>
      <c r="AB560" s="65">
        <f>IF(tblWorkPackages[[#This Row],[Completion date serial]]&gt;tblWorkPackages[[#This Row],[Due date serial]],1,0)</f>
        <v>0</v>
      </c>
      <c r="AC560" s="65">
        <f>MAX(0,tblWorkPackages[[#This Row],[Completion date serial]]-tblWorkPackages[[#This Row],[Due date serial]])</f>
        <v>0</v>
      </c>
      <c r="AD560" s="65">
        <f>tblWorkPackages[[#This Row],[First labor date]]-tblWorkPackages[[#This Row],[Request date serial]]</f>
        <v>4</v>
      </c>
      <c r="AE560" s="65">
        <f>tblWorkPackages[[#This Row],[Last labor date]]-tblWorkPackages[[#This Row],[First labor date]]</f>
        <v>0</v>
      </c>
      <c r="AF560" s="65">
        <f>tblWorkPackages[[#This Row],[Completion date serial]]-tblWorkPackages[[#This Row],[Last labor date]]</f>
        <v>2</v>
      </c>
      <c r="AG560" s="65">
        <f>tblWorkPackages[[#This Row],[Completion date serial]]-tblWorkPackages[[#This Row],[Request date serial]]</f>
        <v>6</v>
      </c>
      <c r="AH560" s="65">
        <f>IFERROR(INDEX(tblParts[Delay days],MATCH(tblWorkPackages[[#This Row],[Work package ID]],tblParts[Work package ID],0)),0)</f>
        <v>0</v>
      </c>
      <c r="AI560" s="51" t="str">
        <f>IFERROR(INDEX(tblDisruptions[Event type],MATCH(tblWorkPackages[[#This Row],[Work package ID]],tblDisruptions[Work package ID],0)),"None")</f>
        <v>Scope change</v>
      </c>
      <c r="AJ560" s="51" t="str">
        <f>TEXT(tblWorkPackages[[#This Row],[Due date serial]],"yyyy-mm")</f>
        <v>2024-06</v>
      </c>
    </row>
    <row r="561" spans="1:36" ht="15" x14ac:dyDescent="0.25">
      <c r="A561" s="53" t="s">
        <v>1389</v>
      </c>
      <c r="B561" s="53" t="s">
        <v>150</v>
      </c>
      <c r="C561" s="53" t="s">
        <v>331</v>
      </c>
      <c r="D561" s="53" t="s">
        <v>325</v>
      </c>
      <c r="E561" s="53" t="s">
        <v>160</v>
      </c>
      <c r="F561" s="53" t="s">
        <v>128</v>
      </c>
      <c r="G561" s="53" t="s">
        <v>138</v>
      </c>
      <c r="H561" s="53">
        <v>1</v>
      </c>
      <c r="I561" s="53" t="s">
        <v>130</v>
      </c>
      <c r="J561" s="53">
        <v>0</v>
      </c>
      <c r="K561" s="53">
        <v>0</v>
      </c>
      <c r="L561" s="53">
        <v>2.8</v>
      </c>
      <c r="M561" s="53" t="s">
        <v>332</v>
      </c>
      <c r="N561" s="53">
        <v>2.8</v>
      </c>
      <c r="O561" s="51" t="str">
        <f>TEXT(tblWorkPackages[[#This Row],[Request date serial]]-WEEKDAY(tblWorkPackages[[#This Row],[Request date serial]],3),"yyyy-mm-dd")</f>
        <v>2025-10-13</v>
      </c>
      <c r="P561" s="51">
        <f>ABS(tblWorkPackages[[#This Row],[Actual labor hours]]-tblWorkPackages[[#This Row],[Estimated labor hours]])</f>
        <v>0</v>
      </c>
      <c r="Q561" s="51">
        <f>IF(tblWorkPackages[[#This Row],[Actual labor hours]]&gt;tblWorkPackages[[#This Row],[Estimated labor hours]],1,0)</f>
        <v>0</v>
      </c>
      <c r="R561" s="51">
        <f>tblWorkPackages[[#This Row],[Actual labor hours]]-tblWorkPackages[[#This Row],[Estimated labor hours]]</f>
        <v>0</v>
      </c>
      <c r="S561" s="51" t="str">
        <f>IF(tblWorkPackages[[#This Row],[Request date serial]]&lt;ValidationStart,"Train 2024",IF(tblWorkPackages[[#This Row],[Request date serial]]&lt;HoldoutStart,"Validation H1","Holdout H2"))</f>
        <v>Holdout H2</v>
      </c>
      <c r="T561" s="51">
        <f>IF(tblWorkPackages[[#This Row],[Time split]]="Train 2024","",tblWorkPackages[[#This Row],[Estimated labor hours]]+VLOOKUP(tblWorkPackages[[#This Row],[Task type]],'Forecast validation'!$A$14:$E$25,IF(tblWorkPackages[[#This Row],[Time split]]="Validation H1",4,5),FALSE()))</f>
        <v>3.23739837398374</v>
      </c>
      <c r="U561" s="51">
        <f>IF(tblWorkPackages[[#This Row],[Calibrated forecast hours]]="","",ABS(tblWorkPackages[[#This Row],[Actual labor hours]]-tblWorkPackages[[#This Row],[Calibrated forecast hours]]))</f>
        <v>0.43739837398374</v>
      </c>
      <c r="V561" s="51">
        <f>IF(tblWorkPackages[[#This Row],[Time split]]="Train 2024",tblWorkPackages[[#This Row],[Estimated labor hours]],tblWorkPackages[[#This Row],[Calibrated forecast hours]])</f>
        <v>3.23739837398374</v>
      </c>
      <c r="W561" s="64">
        <f>DATEVALUE(tblWorkPackages[[#This Row],[Request date]])</f>
        <v>45949.0</v>
      </c>
      <c r="X561" s="64">
        <f>DATEVALUE(tblWorkPackages[[#This Row],[Due date]])</f>
        <v>45962.0</v>
      </c>
      <c r="Y561" s="64">
        <f>DATEVALUE(tblWorkPackages[[#This Row],[Completion date]])</f>
        <v>45954.0</v>
      </c>
      <c r="Z561" s="64">
        <f>_xlfn.MINIFS(tblLaborEntries[Work date serial],tblLaborEntries[Work package ID],tblWorkPackages[[#This Row],[Work package ID]])</f>
        <v>45950.0</v>
      </c>
      <c r="AA561" s="64">
        <f>_xlfn.MAXIFS(tblLaborEntries[Work date serial],tblLaborEntries[Work package ID],tblWorkPackages[[#This Row],[Work package ID]])</f>
        <v>45951.0</v>
      </c>
      <c r="AB561" s="65">
        <f>IF(tblWorkPackages[[#This Row],[Completion date serial]]&gt;tblWorkPackages[[#This Row],[Due date serial]],1,0)</f>
        <v>0</v>
      </c>
      <c r="AC561" s="65">
        <f>MAX(0,tblWorkPackages[[#This Row],[Completion date serial]]-tblWorkPackages[[#This Row],[Due date serial]])</f>
        <v>0</v>
      </c>
      <c r="AD561" s="65">
        <f>tblWorkPackages[[#This Row],[First labor date]]-tblWorkPackages[[#This Row],[Request date serial]]</f>
        <v>1</v>
      </c>
      <c r="AE561" s="65">
        <f>tblWorkPackages[[#This Row],[Last labor date]]-tblWorkPackages[[#This Row],[First labor date]]</f>
        <v>1</v>
      </c>
      <c r="AF561" s="65">
        <f>tblWorkPackages[[#This Row],[Completion date serial]]-tblWorkPackages[[#This Row],[Last labor date]]</f>
        <v>3</v>
      </c>
      <c r="AG561" s="65">
        <f>tblWorkPackages[[#This Row],[Completion date serial]]-tblWorkPackages[[#This Row],[Request date serial]]</f>
        <v>5</v>
      </c>
      <c r="AH561" s="65">
        <f>IFERROR(INDEX(tblParts[Delay days],MATCH(tblWorkPackages[[#This Row],[Work package ID]],tblParts[Work package ID],0)),0)</f>
        <v>0</v>
      </c>
      <c r="AI561" s="51" t="str">
        <f>IFERROR(INDEX(tblDisruptions[Event type],MATCH(tblWorkPackages[[#This Row],[Work package ID]],tblDisruptions[Work package ID],0)),"None")</f>
        <v>None</v>
      </c>
      <c r="AJ561" s="51" t="str">
        <f>TEXT(tblWorkPackages[[#This Row],[Due date serial]],"yyyy-mm")</f>
        <v>2025-11</v>
      </c>
    </row>
    <row r="562" spans="1:36" ht="15" x14ac:dyDescent="0.25">
      <c r="A562" s="53" t="s">
        <v>1390</v>
      </c>
      <c r="B562" s="53" t="s">
        <v>150</v>
      </c>
      <c r="C562" s="53" t="s">
        <v>1274</v>
      </c>
      <c r="D562" s="53" t="s">
        <v>332</v>
      </c>
      <c r="E562" s="53" t="s">
        <v>209</v>
      </c>
      <c r="F562" s="53" t="s">
        <v>145</v>
      </c>
      <c r="G562" s="53" t="s">
        <v>210</v>
      </c>
      <c r="H562" s="53">
        <v>4</v>
      </c>
      <c r="I562" s="53" t="s">
        <v>130</v>
      </c>
      <c r="J562" s="53">
        <v>0</v>
      </c>
      <c r="K562" s="53">
        <v>0</v>
      </c>
      <c r="L562" s="53">
        <v>35.799999999999997</v>
      </c>
      <c r="M562" s="53" t="s">
        <v>480</v>
      </c>
      <c r="N562" s="53">
        <v>41.1</v>
      </c>
      <c r="O562" s="51" t="str">
        <f>TEXT(tblWorkPackages[[#This Row],[Request date serial]]-WEEKDAY(tblWorkPackages[[#This Row],[Request date serial]],3),"yyyy-mm-dd")</f>
        <v>2025-10-06</v>
      </c>
      <c r="P562" s="51">
        <f>ABS(tblWorkPackages[[#This Row],[Actual labor hours]]-tblWorkPackages[[#This Row],[Estimated labor hours]])</f>
        <v>5.3</v>
      </c>
      <c r="Q562" s="51">
        <f>IF(tblWorkPackages[[#This Row],[Actual labor hours]]&gt;tblWorkPackages[[#This Row],[Estimated labor hours]],1,0)</f>
        <v>1</v>
      </c>
      <c r="R562" s="51">
        <f>tblWorkPackages[[#This Row],[Actual labor hours]]-tblWorkPackages[[#This Row],[Estimated labor hours]]</f>
        <v>5.3</v>
      </c>
      <c r="S562" s="51" t="str">
        <f>IF(tblWorkPackages[[#This Row],[Request date serial]]&lt;ValidationStart,"Train 2024",IF(tblWorkPackages[[#This Row],[Request date serial]]&lt;HoldoutStart,"Validation H1","Holdout H2"))</f>
        <v>Holdout H2</v>
      </c>
      <c r="T562" s="51">
        <f>IF(tblWorkPackages[[#This Row],[Time split]]="Train 2024","",tblWorkPackages[[#This Row],[Estimated labor hours]]+VLOOKUP(tblWorkPackages[[#This Row],[Task type]],'Forecast validation'!$A$14:$E$25,IF(tblWorkPackages[[#This Row],[Time split]]="Validation H1",4,5),FALSE()))</f>
        <v>37.595652173913</v>
      </c>
      <c r="U562" s="51">
        <f>IF(tblWorkPackages[[#This Row],[Calibrated forecast hours]]="","",ABS(tblWorkPackages[[#This Row],[Actual labor hours]]-tblWorkPackages[[#This Row],[Calibrated forecast hours]]))</f>
        <v>3.50434782608696</v>
      </c>
      <c r="V562" s="51">
        <f>IF(tblWorkPackages[[#This Row],[Time split]]="Train 2024",tblWorkPackages[[#This Row],[Estimated labor hours]],tblWorkPackages[[#This Row],[Calibrated forecast hours]])</f>
        <v>37.595652173913</v>
      </c>
      <c r="W562" s="64">
        <f>DATEVALUE(tblWorkPackages[[#This Row],[Request date]])</f>
        <v>45941.0</v>
      </c>
      <c r="X562" s="64">
        <f>DATEVALUE(tblWorkPackages[[#This Row],[Due date]])</f>
        <v>45954.0</v>
      </c>
      <c r="Y562" s="64">
        <f>DATEVALUE(tblWorkPackages[[#This Row],[Completion date]])</f>
        <v>45955.0</v>
      </c>
      <c r="Z562" s="64">
        <f>_xlfn.MINIFS(tblLaborEntries[Work date serial],tblLaborEntries[Work package ID],tblWorkPackages[[#This Row],[Work package ID]])</f>
        <v>45953.0</v>
      </c>
      <c r="AA562" s="64">
        <f>_xlfn.MAXIFS(tblLaborEntries[Work date serial],tblLaborEntries[Work package ID],tblWorkPackages[[#This Row],[Work package ID]])</f>
        <v>45955.0</v>
      </c>
      <c r="AB562" s="65">
        <f>IF(tblWorkPackages[[#This Row],[Completion date serial]]&gt;tblWorkPackages[[#This Row],[Due date serial]],1,0)</f>
        <v>1</v>
      </c>
      <c r="AC562" s="65">
        <f>MAX(0,tblWorkPackages[[#This Row],[Completion date serial]]-tblWorkPackages[[#This Row],[Due date serial]])</f>
        <v>1</v>
      </c>
      <c r="AD562" s="65">
        <f>tblWorkPackages[[#This Row],[First labor date]]-tblWorkPackages[[#This Row],[Request date serial]]</f>
        <v>12</v>
      </c>
      <c r="AE562" s="65">
        <f>tblWorkPackages[[#This Row],[Last labor date]]-tblWorkPackages[[#This Row],[First labor date]]</f>
        <v>2</v>
      </c>
      <c r="AF562" s="65">
        <f>tblWorkPackages[[#This Row],[Completion date serial]]-tblWorkPackages[[#This Row],[Last labor date]]</f>
        <v>0</v>
      </c>
      <c r="AG562" s="65">
        <f>tblWorkPackages[[#This Row],[Completion date serial]]-tblWorkPackages[[#This Row],[Request date serial]]</f>
        <v>14</v>
      </c>
      <c r="AH562" s="65">
        <f>IFERROR(INDEX(tblParts[Delay days],MATCH(tblWorkPackages[[#This Row],[Work package ID]],tblParts[Work package ID],0)),0)</f>
        <v>0</v>
      </c>
      <c r="AI562" s="51" t="str">
        <f>IFERROR(INDEX(tblDisruptions[Event type],MATCH(tblWorkPackages[[#This Row],[Work package ID]],tblDisruptions[Work package ID],0)),"None")</f>
        <v>None</v>
      </c>
      <c r="AJ562" s="51" t="str">
        <f>TEXT(tblWorkPackages[[#This Row],[Due date serial]],"yyyy-mm")</f>
        <v>2025-10</v>
      </c>
    </row>
    <row r="563" spans="1:36" ht="15" x14ac:dyDescent="0.25">
      <c r="A563" s="53" t="s">
        <v>1391</v>
      </c>
      <c r="B563" s="53" t="s">
        <v>250</v>
      </c>
      <c r="C563" s="53" t="s">
        <v>361</v>
      </c>
      <c r="D563" s="53" t="s">
        <v>1392</v>
      </c>
      <c r="E563" s="53" t="s">
        <v>144</v>
      </c>
      <c r="F563" s="53" t="s">
        <v>145</v>
      </c>
      <c r="G563" s="53" t="s">
        <v>146</v>
      </c>
      <c r="H563" s="53">
        <v>2</v>
      </c>
      <c r="I563" s="53" t="s">
        <v>176</v>
      </c>
      <c r="J563" s="53">
        <v>0</v>
      </c>
      <c r="K563" s="53">
        <v>1</v>
      </c>
      <c r="L563" s="53">
        <v>10.4</v>
      </c>
      <c r="M563" s="53" t="s">
        <v>1393</v>
      </c>
      <c r="N563" s="53">
        <v>12.8</v>
      </c>
      <c r="O563" s="51" t="str">
        <f>TEXT(tblWorkPackages[[#This Row],[Request date serial]]-WEEKDAY(tblWorkPackages[[#This Row],[Request date serial]],3),"yyyy-mm-dd")</f>
        <v>2024-07-29</v>
      </c>
      <c r="P563" s="51">
        <f>ABS(tblWorkPackages[[#This Row],[Actual labor hours]]-tblWorkPackages[[#This Row],[Estimated labor hours]])</f>
        <v>2.4</v>
      </c>
      <c r="Q563" s="51">
        <f>IF(tblWorkPackages[[#This Row],[Actual labor hours]]&gt;tblWorkPackages[[#This Row],[Estimated labor hours]],1,0)</f>
        <v>1</v>
      </c>
      <c r="R563" s="51">
        <f>tblWorkPackages[[#This Row],[Actual labor hours]]-tblWorkPackages[[#This Row],[Estimated labor hours]]</f>
        <v>2.4</v>
      </c>
      <c r="S563" s="51" t="str">
        <f>IF(tblWorkPackages[[#This Row],[Request date serial]]&lt;ValidationStart,"Train 2024",IF(tblWorkPackages[[#This Row],[Request date serial]]&lt;HoldoutStart,"Validation H1","Holdout H2"))</f>
        <v>Train 2024</v>
      </c>
      <c r="T563" s="51" t="str">
        <f>IF(tblWorkPackages[[#This Row],[Time split]]="Train 2024","",tblWorkPackages[[#This Row],[Estimated labor hours]]+VLOOKUP(tblWorkPackages[[#This Row],[Task type]],'Forecast validation'!$A$14:$E$25,IF(tblWorkPackages[[#This Row],[Time split]]="Validation H1",4,5),FALSE()))</f>
        <v/>
      </c>
      <c r="U563" s="51" t="str">
        <f>IF(tblWorkPackages[[#This Row],[Calibrated forecast hours]]="","",ABS(tblWorkPackages[[#This Row],[Actual labor hours]]-tblWorkPackages[[#This Row],[Calibrated forecast hours]]))</f>
        <v/>
      </c>
      <c r="V563" s="51">
        <f>IF(tblWorkPackages[[#This Row],[Time split]]="Train 2024",tblWorkPackages[[#This Row],[Estimated labor hours]],tblWorkPackages[[#This Row],[Calibrated forecast hours]])</f>
        <v>10.4</v>
      </c>
      <c r="W563" s="64">
        <f>DATEVALUE(tblWorkPackages[[#This Row],[Request date]])</f>
        <v>45502.0</v>
      </c>
      <c r="X563" s="64">
        <f>DATEVALUE(tblWorkPackages[[#This Row],[Due date]])</f>
        <v>45508.0</v>
      </c>
      <c r="Y563" s="64">
        <f>DATEVALUE(tblWorkPackages[[#This Row],[Completion date]])</f>
        <v>45506.0</v>
      </c>
      <c r="Z563" s="64">
        <f>_xlfn.MINIFS(tblLaborEntries[Work date serial],tblLaborEntries[Work package ID],tblWorkPackages[[#This Row],[Work package ID]])</f>
        <v>45505.0</v>
      </c>
      <c r="AA563" s="64">
        <f>_xlfn.MAXIFS(tblLaborEntries[Work date serial],tblLaborEntries[Work package ID],tblWorkPackages[[#This Row],[Work package ID]])</f>
        <v>45505.0</v>
      </c>
      <c r="AB563" s="65">
        <f>IF(tblWorkPackages[[#This Row],[Completion date serial]]&gt;tblWorkPackages[[#This Row],[Due date serial]],1,0)</f>
        <v>0</v>
      </c>
      <c r="AC563" s="65">
        <f>MAX(0,tblWorkPackages[[#This Row],[Completion date serial]]-tblWorkPackages[[#This Row],[Due date serial]])</f>
        <v>0</v>
      </c>
      <c r="AD563" s="65">
        <f>tblWorkPackages[[#This Row],[First labor date]]-tblWorkPackages[[#This Row],[Request date serial]]</f>
        <v>3</v>
      </c>
      <c r="AE563" s="65">
        <f>tblWorkPackages[[#This Row],[Last labor date]]-tblWorkPackages[[#This Row],[First labor date]]</f>
        <v>0</v>
      </c>
      <c r="AF563" s="65">
        <f>tblWorkPackages[[#This Row],[Completion date serial]]-tblWorkPackages[[#This Row],[Last labor date]]</f>
        <v>1</v>
      </c>
      <c r="AG563" s="65">
        <f>tblWorkPackages[[#This Row],[Completion date serial]]-tblWorkPackages[[#This Row],[Request date serial]]</f>
        <v>4</v>
      </c>
      <c r="AH563" s="65">
        <f>IFERROR(INDEX(tblParts[Delay days],MATCH(tblWorkPackages[[#This Row],[Work package ID]],tblParts[Work package ID],0)),0)</f>
        <v>0</v>
      </c>
      <c r="AI563" s="51" t="str">
        <f>IFERROR(INDEX(tblDisruptions[Event type],MATCH(tblWorkPackages[[#This Row],[Work package ID]],tblDisruptions[Work package ID],0)),"None")</f>
        <v>None</v>
      </c>
      <c r="AJ563" s="51" t="str">
        <f>TEXT(tblWorkPackages[[#This Row],[Due date serial]],"yyyy-mm")</f>
        <v>2024-08</v>
      </c>
    </row>
    <row r="564" spans="1:36" ht="15" x14ac:dyDescent="0.25">
      <c r="A564" s="53" t="s">
        <v>1394</v>
      </c>
      <c r="B564" s="53" t="s">
        <v>185</v>
      </c>
      <c r="C564" s="53" t="s">
        <v>198</v>
      </c>
      <c r="D564" s="53" t="s">
        <v>323</v>
      </c>
      <c r="E564" s="53" t="s">
        <v>237</v>
      </c>
      <c r="F564" s="53" t="s">
        <v>182</v>
      </c>
      <c r="G564" s="53" t="s">
        <v>138</v>
      </c>
      <c r="H564" s="53">
        <v>4</v>
      </c>
      <c r="I564" s="53" t="s">
        <v>130</v>
      </c>
      <c r="J564" s="53">
        <v>0</v>
      </c>
      <c r="K564" s="53">
        <v>0</v>
      </c>
      <c r="L564" s="53">
        <v>10.8</v>
      </c>
      <c r="M564" s="53" t="s">
        <v>228</v>
      </c>
      <c r="N564" s="53">
        <v>11.3</v>
      </c>
      <c r="O564" s="51" t="str">
        <f>TEXT(tblWorkPackages[[#This Row],[Request date serial]]-WEEKDAY(tblWorkPackages[[#This Row],[Request date serial]],3),"yyyy-mm-dd")</f>
        <v>2025-06-23</v>
      </c>
      <c r="P564" s="51">
        <f>ABS(tblWorkPackages[[#This Row],[Actual labor hours]]-tblWorkPackages[[#This Row],[Estimated labor hours]])</f>
        <v>0.5</v>
      </c>
      <c r="Q564" s="51">
        <f>IF(tblWorkPackages[[#This Row],[Actual labor hours]]&gt;tblWorkPackages[[#This Row],[Estimated labor hours]],1,0)</f>
        <v>1</v>
      </c>
      <c r="R564" s="51">
        <f>tblWorkPackages[[#This Row],[Actual labor hours]]-tblWorkPackages[[#This Row],[Estimated labor hours]]</f>
        <v>0.5</v>
      </c>
      <c r="S564" s="51" t="str">
        <f>IF(tblWorkPackages[[#This Row],[Request date serial]]&lt;ValidationStart,"Train 2024",IF(tblWorkPackages[[#This Row],[Request date serial]]&lt;HoldoutStart,"Validation H1","Holdout H2"))</f>
        <v>Validation H1</v>
      </c>
      <c r="T564" s="51">
        <f>IF(tblWorkPackages[[#This Row],[Time split]]="Train 2024","",tblWorkPackages[[#This Row],[Estimated labor hours]]+VLOOKUP(tblWorkPackages[[#This Row],[Task type]],'Forecast validation'!$A$14:$E$25,IF(tblWorkPackages[[#This Row],[Time split]]="Validation H1",4,5),FALSE()))</f>
        <v>11.3037037037037</v>
      </c>
      <c r="U564" s="51">
        <f>IF(tblWorkPackages[[#This Row],[Calibrated forecast hours]]="","",ABS(tblWorkPackages[[#This Row],[Actual labor hours]]-tblWorkPackages[[#This Row],[Calibrated forecast hours]]))</f>
        <v>0.0037037037037031</v>
      </c>
      <c r="V564" s="51">
        <f>IF(tblWorkPackages[[#This Row],[Time split]]="Train 2024",tblWorkPackages[[#This Row],[Estimated labor hours]],tblWorkPackages[[#This Row],[Calibrated forecast hours]])</f>
        <v>11.3037037037037</v>
      </c>
      <c r="W564" s="64">
        <f>DATEVALUE(tblWorkPackages[[#This Row],[Request date]])</f>
        <v>45832.0</v>
      </c>
      <c r="X564" s="64">
        <f>DATEVALUE(tblWorkPackages[[#This Row],[Due date]])</f>
        <v>45845.0</v>
      </c>
      <c r="Y564" s="64">
        <f>DATEVALUE(tblWorkPackages[[#This Row],[Completion date]])</f>
        <v>45872.0</v>
      </c>
      <c r="Z564" s="64">
        <f>_xlfn.MINIFS(tblLaborEntries[Work date serial],tblLaborEntries[Work package ID],tblWorkPackages[[#This Row],[Work package ID]])</f>
        <v>45870.0</v>
      </c>
      <c r="AA564" s="64">
        <f>_xlfn.MAXIFS(tblLaborEntries[Work date serial],tblLaborEntries[Work package ID],tblWorkPackages[[#This Row],[Work package ID]])</f>
        <v>45870.0</v>
      </c>
      <c r="AB564" s="65">
        <f>IF(tblWorkPackages[[#This Row],[Completion date serial]]&gt;tblWorkPackages[[#This Row],[Due date serial]],1,0)</f>
        <v>1</v>
      </c>
      <c r="AC564" s="65">
        <f>MAX(0,tblWorkPackages[[#This Row],[Completion date serial]]-tblWorkPackages[[#This Row],[Due date serial]])</f>
        <v>27</v>
      </c>
      <c r="AD564" s="65">
        <f>tblWorkPackages[[#This Row],[First labor date]]-tblWorkPackages[[#This Row],[Request date serial]]</f>
        <v>38</v>
      </c>
      <c r="AE564" s="65">
        <f>tblWorkPackages[[#This Row],[Last labor date]]-tblWorkPackages[[#This Row],[First labor date]]</f>
        <v>0</v>
      </c>
      <c r="AF564" s="65">
        <f>tblWorkPackages[[#This Row],[Completion date serial]]-tblWorkPackages[[#This Row],[Last labor date]]</f>
        <v>2</v>
      </c>
      <c r="AG564" s="65">
        <f>tblWorkPackages[[#This Row],[Completion date serial]]-tblWorkPackages[[#This Row],[Request date serial]]</f>
        <v>40</v>
      </c>
      <c r="AH564" s="65">
        <f>IFERROR(INDEX(tblParts[Delay days],MATCH(tblWorkPackages[[#This Row],[Work package ID]],tblParts[Work package ID],0)),0)</f>
        <v>0</v>
      </c>
      <c r="AI564" s="51" t="str">
        <f>IFERROR(INDEX(tblDisruptions[Event type],MATCH(tblWorkPackages[[#This Row],[Work package ID]],tblDisruptions[Work package ID],0)),"None")</f>
        <v>None</v>
      </c>
      <c r="AJ564" s="51" t="str">
        <f>TEXT(tblWorkPackages[[#This Row],[Due date serial]],"yyyy-mm")</f>
        <v>2025-07</v>
      </c>
    </row>
    <row r="565" spans="1:36" ht="15" x14ac:dyDescent="0.25">
      <c r="A565" s="53" t="s">
        <v>1395</v>
      </c>
      <c r="B565" s="53" t="s">
        <v>250</v>
      </c>
      <c r="C565" s="53" t="s">
        <v>584</v>
      </c>
      <c r="D565" s="53" t="s">
        <v>459</v>
      </c>
      <c r="E565" s="53" t="s">
        <v>272</v>
      </c>
      <c r="F565" s="53" t="s">
        <v>145</v>
      </c>
      <c r="G565" s="53" t="s">
        <v>273</v>
      </c>
      <c r="H565" s="53">
        <v>4</v>
      </c>
      <c r="I565" s="53" t="s">
        <v>130</v>
      </c>
      <c r="J565" s="53">
        <v>0</v>
      </c>
      <c r="K565" s="53">
        <v>1</v>
      </c>
      <c r="L565" s="53">
        <v>19.600000000000001</v>
      </c>
      <c r="M565" s="53" t="s">
        <v>520</v>
      </c>
      <c r="N565" s="53">
        <v>24.7</v>
      </c>
      <c r="O565" s="51" t="str">
        <f>TEXT(tblWorkPackages[[#This Row],[Request date serial]]-WEEKDAY(tblWorkPackages[[#This Row],[Request date serial]],3),"yyyy-mm-dd")</f>
        <v>2025-08-04</v>
      </c>
      <c r="P565" s="51">
        <f>ABS(tblWorkPackages[[#This Row],[Actual labor hours]]-tblWorkPackages[[#This Row],[Estimated labor hours]])</f>
        <v>5.1</v>
      </c>
      <c r="Q565" s="51">
        <f>IF(tblWorkPackages[[#This Row],[Actual labor hours]]&gt;tblWorkPackages[[#This Row],[Estimated labor hours]],1,0)</f>
        <v>1</v>
      </c>
      <c r="R565" s="51">
        <f>tblWorkPackages[[#This Row],[Actual labor hours]]-tblWorkPackages[[#This Row],[Estimated labor hours]]</f>
        <v>5.1</v>
      </c>
      <c r="S565" s="51" t="str">
        <f>IF(tblWorkPackages[[#This Row],[Request date serial]]&lt;ValidationStart,"Train 2024",IF(tblWorkPackages[[#This Row],[Request date serial]]&lt;HoldoutStart,"Validation H1","Holdout H2"))</f>
        <v>Holdout H2</v>
      </c>
      <c r="T565" s="51">
        <f>IF(tblWorkPackages[[#This Row],[Time split]]="Train 2024","",tblWorkPackages[[#This Row],[Estimated labor hours]]+VLOOKUP(tblWorkPackages[[#This Row],[Task type]],'Forecast validation'!$A$14:$E$25,IF(tblWorkPackages[[#This Row],[Time split]]="Validation H1",4,5),FALSE()))</f>
        <v>20.58515625</v>
      </c>
      <c r="U565" s="51">
        <f>IF(tblWorkPackages[[#This Row],[Calibrated forecast hours]]="","",ABS(tblWorkPackages[[#This Row],[Actual labor hours]]-tblWorkPackages[[#This Row],[Calibrated forecast hours]]))</f>
        <v>4.11484375</v>
      </c>
      <c r="V565" s="51">
        <f>IF(tblWorkPackages[[#This Row],[Time split]]="Train 2024",tblWorkPackages[[#This Row],[Estimated labor hours]],tblWorkPackages[[#This Row],[Calibrated forecast hours]])</f>
        <v>20.58515625</v>
      </c>
      <c r="W565" s="64">
        <f>DATEVALUE(tblWorkPackages[[#This Row],[Request date]])</f>
        <v>45879.0</v>
      </c>
      <c r="X565" s="64">
        <f>DATEVALUE(tblWorkPackages[[#This Row],[Due date]])</f>
        <v>45892.0</v>
      </c>
      <c r="Y565" s="64">
        <f>DATEVALUE(tblWorkPackages[[#This Row],[Completion date]])</f>
        <v>45890.0</v>
      </c>
      <c r="Z565" s="64">
        <f>_xlfn.MINIFS(tblLaborEntries[Work date serial],tblLaborEntries[Work package ID],tblWorkPackages[[#This Row],[Work package ID]])</f>
        <v>45886.0</v>
      </c>
      <c r="AA565" s="64">
        <f>_xlfn.MAXIFS(tblLaborEntries[Work date serial],tblLaborEntries[Work package ID],tblWorkPackages[[#This Row],[Work package ID]])</f>
        <v>45887.0</v>
      </c>
      <c r="AB565" s="65">
        <f>IF(tblWorkPackages[[#This Row],[Completion date serial]]&gt;tblWorkPackages[[#This Row],[Due date serial]],1,0)</f>
        <v>0</v>
      </c>
      <c r="AC565" s="65">
        <f>MAX(0,tblWorkPackages[[#This Row],[Completion date serial]]-tblWorkPackages[[#This Row],[Due date serial]])</f>
        <v>0</v>
      </c>
      <c r="AD565" s="65">
        <f>tblWorkPackages[[#This Row],[First labor date]]-tblWorkPackages[[#This Row],[Request date serial]]</f>
        <v>7</v>
      </c>
      <c r="AE565" s="65">
        <f>tblWorkPackages[[#This Row],[Last labor date]]-tblWorkPackages[[#This Row],[First labor date]]</f>
        <v>1</v>
      </c>
      <c r="AF565" s="65">
        <f>tblWorkPackages[[#This Row],[Completion date serial]]-tblWorkPackages[[#This Row],[Last labor date]]</f>
        <v>3</v>
      </c>
      <c r="AG565" s="65">
        <f>tblWorkPackages[[#This Row],[Completion date serial]]-tblWorkPackages[[#This Row],[Request date serial]]</f>
        <v>11</v>
      </c>
      <c r="AH565" s="65">
        <f>IFERROR(INDEX(tblParts[Delay days],MATCH(tblWorkPackages[[#This Row],[Work package ID]],tblParts[Work package ID],0)),0)</f>
        <v>0</v>
      </c>
      <c r="AI565" s="51" t="str">
        <f>IFERROR(INDEX(tblDisruptions[Event type],MATCH(tblWorkPackages[[#This Row],[Work package ID]],tblDisruptions[Work package ID],0)),"None")</f>
        <v>None</v>
      </c>
      <c r="AJ565" s="51" t="str">
        <f>TEXT(tblWorkPackages[[#This Row],[Due date serial]],"yyyy-mm")</f>
        <v>2025-08</v>
      </c>
    </row>
    <row r="566" spans="1:36" ht="15" x14ac:dyDescent="0.25">
      <c r="A566" s="53" t="s">
        <v>1396</v>
      </c>
      <c r="B566" s="53" t="s">
        <v>157</v>
      </c>
      <c r="C566" s="53" t="s">
        <v>457</v>
      </c>
      <c r="D566" s="53" t="s">
        <v>1062</v>
      </c>
      <c r="E566" s="53" t="s">
        <v>181</v>
      </c>
      <c r="F566" s="53" t="s">
        <v>182</v>
      </c>
      <c r="G566" s="53" t="s">
        <v>138</v>
      </c>
      <c r="H566" s="53">
        <v>3</v>
      </c>
      <c r="I566" s="53" t="s">
        <v>130</v>
      </c>
      <c r="J566" s="53">
        <v>0</v>
      </c>
      <c r="K566" s="53">
        <v>0</v>
      </c>
      <c r="L566" s="53">
        <v>9.6</v>
      </c>
      <c r="M566" s="53" t="s">
        <v>587</v>
      </c>
      <c r="N566" s="53">
        <v>10.199999999999999</v>
      </c>
      <c r="O566" s="51" t="str">
        <f>TEXT(tblWorkPackages[[#This Row],[Request date serial]]-WEEKDAY(tblWorkPackages[[#This Row],[Request date serial]],3),"yyyy-mm-dd")</f>
        <v>2025-01-06</v>
      </c>
      <c r="P566" s="51">
        <f>ABS(tblWorkPackages[[#This Row],[Actual labor hours]]-tblWorkPackages[[#This Row],[Estimated labor hours]])</f>
        <v>0.6</v>
      </c>
      <c r="Q566" s="51">
        <f>IF(tblWorkPackages[[#This Row],[Actual labor hours]]&gt;tblWorkPackages[[#This Row],[Estimated labor hours]],1,0)</f>
        <v>1</v>
      </c>
      <c r="R566" s="51">
        <f>tblWorkPackages[[#This Row],[Actual labor hours]]-tblWorkPackages[[#This Row],[Estimated labor hours]]</f>
        <v>0.6</v>
      </c>
      <c r="S566" s="51" t="str">
        <f>IF(tblWorkPackages[[#This Row],[Request date serial]]&lt;ValidationStart,"Train 2024",IF(tblWorkPackages[[#This Row],[Request date serial]]&lt;HoldoutStart,"Validation H1","Holdout H2"))</f>
        <v>Validation H1</v>
      </c>
      <c r="T566" s="51">
        <f>IF(tblWorkPackages[[#This Row],[Time split]]="Train 2024","",tblWorkPackages[[#This Row],[Estimated labor hours]]+VLOOKUP(tblWorkPackages[[#This Row],[Task type]],'Forecast validation'!$A$14:$E$25,IF(tblWorkPackages[[#This Row],[Time split]]="Validation H1",4,5),FALSE()))</f>
        <v>10.1840909090909</v>
      </c>
      <c r="U566" s="51">
        <f>IF(tblWorkPackages[[#This Row],[Calibrated forecast hours]]="","",ABS(tblWorkPackages[[#This Row],[Actual labor hours]]-tblWorkPackages[[#This Row],[Calibrated forecast hours]]))</f>
        <v>0.0159090909090907</v>
      </c>
      <c r="V566" s="51">
        <f>IF(tblWorkPackages[[#This Row],[Time split]]="Train 2024",tblWorkPackages[[#This Row],[Estimated labor hours]],tblWorkPackages[[#This Row],[Calibrated forecast hours]])</f>
        <v>10.1840909090909</v>
      </c>
      <c r="W566" s="64">
        <f>DATEVALUE(tblWorkPackages[[#This Row],[Request date]])</f>
        <v>45669.0</v>
      </c>
      <c r="X566" s="64">
        <f>DATEVALUE(tblWorkPackages[[#This Row],[Due date]])</f>
        <v>45682.0</v>
      </c>
      <c r="Y566" s="64">
        <f>DATEVALUE(tblWorkPackages[[#This Row],[Completion date]])</f>
        <v>45671.0</v>
      </c>
      <c r="Z566" s="64">
        <f>_xlfn.MINIFS(tblLaborEntries[Work date serial],tblLaborEntries[Work package ID],tblWorkPackages[[#This Row],[Work package ID]])</f>
        <v>45671.0</v>
      </c>
      <c r="AA566" s="64">
        <f>_xlfn.MAXIFS(tblLaborEntries[Work date serial],tblLaborEntries[Work package ID],tblWorkPackages[[#This Row],[Work package ID]])</f>
        <v>45671.0</v>
      </c>
      <c r="AB566" s="65">
        <f>IF(tblWorkPackages[[#This Row],[Completion date serial]]&gt;tblWorkPackages[[#This Row],[Due date serial]],1,0)</f>
        <v>0</v>
      </c>
      <c r="AC566" s="65">
        <f>MAX(0,tblWorkPackages[[#This Row],[Completion date serial]]-tblWorkPackages[[#This Row],[Due date serial]])</f>
        <v>0</v>
      </c>
      <c r="AD566" s="65">
        <f>tblWorkPackages[[#This Row],[First labor date]]-tblWorkPackages[[#This Row],[Request date serial]]</f>
        <v>2</v>
      </c>
      <c r="AE566" s="65">
        <f>tblWorkPackages[[#This Row],[Last labor date]]-tblWorkPackages[[#This Row],[First labor date]]</f>
        <v>0</v>
      </c>
      <c r="AF566" s="65">
        <f>tblWorkPackages[[#This Row],[Completion date serial]]-tblWorkPackages[[#This Row],[Last labor date]]</f>
        <v>0</v>
      </c>
      <c r="AG566" s="65">
        <f>tblWorkPackages[[#This Row],[Completion date serial]]-tblWorkPackages[[#This Row],[Request date serial]]</f>
        <v>2</v>
      </c>
      <c r="AH566" s="65">
        <f>IFERROR(INDEX(tblParts[Delay days],MATCH(tblWorkPackages[[#This Row],[Work package ID]],tblParts[Work package ID],0)),0)</f>
        <v>0</v>
      </c>
      <c r="AI566" s="51" t="str">
        <f>IFERROR(INDEX(tblDisruptions[Event type],MATCH(tblWorkPackages[[#This Row],[Work package ID]],tblDisruptions[Work package ID],0)),"None")</f>
        <v>None</v>
      </c>
      <c r="AJ566" s="51" t="str">
        <f>TEXT(tblWorkPackages[[#This Row],[Due date serial]],"yyyy-mm")</f>
        <v>2025-01</v>
      </c>
    </row>
    <row r="567" spans="1:36" ht="15" x14ac:dyDescent="0.25">
      <c r="A567" s="53" t="s">
        <v>1397</v>
      </c>
      <c r="B567" s="53" t="s">
        <v>203</v>
      </c>
      <c r="C567" s="53" t="s">
        <v>1398</v>
      </c>
      <c r="D567" s="53" t="s">
        <v>217</v>
      </c>
      <c r="E567" s="53" t="s">
        <v>223</v>
      </c>
      <c r="F567" s="53" t="s">
        <v>182</v>
      </c>
      <c r="G567" s="53" t="s">
        <v>154</v>
      </c>
      <c r="H567" s="53">
        <v>4</v>
      </c>
      <c r="I567" s="53" t="s">
        <v>176</v>
      </c>
      <c r="J567" s="53">
        <v>0</v>
      </c>
      <c r="K567" s="53">
        <v>0</v>
      </c>
      <c r="L567" s="53">
        <v>19.8</v>
      </c>
      <c r="M567" s="53" t="s">
        <v>779</v>
      </c>
      <c r="N567" s="53">
        <v>20.2</v>
      </c>
      <c r="O567" s="51" t="str">
        <f>TEXT(tblWorkPackages[[#This Row],[Request date serial]]-WEEKDAY(tblWorkPackages[[#This Row],[Request date serial]],3),"yyyy-mm-dd")</f>
        <v>2025-12-01</v>
      </c>
      <c r="P567" s="51">
        <f>ABS(tblWorkPackages[[#This Row],[Actual labor hours]]-tblWorkPackages[[#This Row],[Estimated labor hours]])</f>
        <v>0.399999999999999</v>
      </c>
      <c r="Q567" s="51">
        <f>IF(tblWorkPackages[[#This Row],[Actual labor hours]]&gt;tblWorkPackages[[#This Row],[Estimated labor hours]],1,0)</f>
        <v>1</v>
      </c>
      <c r="R567" s="51">
        <f>tblWorkPackages[[#This Row],[Actual labor hours]]-tblWorkPackages[[#This Row],[Estimated labor hours]]</f>
        <v>0.399999999999999</v>
      </c>
      <c r="S567" s="51" t="str">
        <f>IF(tblWorkPackages[[#This Row],[Request date serial]]&lt;ValidationStart,"Train 2024",IF(tblWorkPackages[[#This Row],[Request date serial]]&lt;HoldoutStart,"Validation H1","Holdout H2"))</f>
        <v>Holdout H2</v>
      </c>
      <c r="T567" s="51">
        <f>IF(tblWorkPackages[[#This Row],[Time split]]="Train 2024","",tblWorkPackages[[#This Row],[Estimated labor hours]]+VLOOKUP(tblWorkPackages[[#This Row],[Task type]],'Forecast validation'!$A$14:$E$25,IF(tblWorkPackages[[#This Row],[Time split]]="Validation H1",4,5),FALSE()))</f>
        <v>20.7246575342466</v>
      </c>
      <c r="U567" s="51">
        <f>IF(tblWorkPackages[[#This Row],[Calibrated forecast hours]]="","",ABS(tblWorkPackages[[#This Row],[Actual labor hours]]-tblWorkPackages[[#This Row],[Calibrated forecast hours]]))</f>
        <v>0.524657534246575</v>
      </c>
      <c r="V567" s="51">
        <f>IF(tblWorkPackages[[#This Row],[Time split]]="Train 2024",tblWorkPackages[[#This Row],[Estimated labor hours]],tblWorkPackages[[#This Row],[Calibrated forecast hours]])</f>
        <v>20.7246575342466</v>
      </c>
      <c r="W567" s="64">
        <f>DATEVALUE(tblWorkPackages[[#This Row],[Request date]])</f>
        <v>45998.0</v>
      </c>
      <c r="X567" s="64">
        <f>DATEVALUE(tblWorkPackages[[#This Row],[Due date]])</f>
        <v>46004.0</v>
      </c>
      <c r="Y567" s="64">
        <f>DATEVALUE(tblWorkPackages[[#This Row],[Completion date]])</f>
        <v>46018.0</v>
      </c>
      <c r="Z567" s="64">
        <f>_xlfn.MINIFS(tblLaborEntries[Work date serial],tblLaborEntries[Work package ID],tblWorkPackages[[#This Row],[Work package ID]])</f>
        <v>46015.0</v>
      </c>
      <c r="AA567" s="64">
        <f>_xlfn.MAXIFS(tblLaborEntries[Work date serial],tblLaborEntries[Work package ID],tblWorkPackages[[#This Row],[Work package ID]])</f>
        <v>46017.0</v>
      </c>
      <c r="AB567" s="65">
        <f>IF(tblWorkPackages[[#This Row],[Completion date serial]]&gt;tblWorkPackages[[#This Row],[Due date serial]],1,0)</f>
        <v>1</v>
      </c>
      <c r="AC567" s="65">
        <f>MAX(0,tblWorkPackages[[#This Row],[Completion date serial]]-tblWorkPackages[[#This Row],[Due date serial]])</f>
        <v>14</v>
      </c>
      <c r="AD567" s="65">
        <f>tblWorkPackages[[#This Row],[First labor date]]-tblWorkPackages[[#This Row],[Request date serial]]</f>
        <v>17</v>
      </c>
      <c r="AE567" s="65">
        <f>tblWorkPackages[[#This Row],[Last labor date]]-tblWorkPackages[[#This Row],[First labor date]]</f>
        <v>2</v>
      </c>
      <c r="AF567" s="65">
        <f>tblWorkPackages[[#This Row],[Completion date serial]]-tblWorkPackages[[#This Row],[Last labor date]]</f>
        <v>1</v>
      </c>
      <c r="AG567" s="65">
        <f>tblWorkPackages[[#This Row],[Completion date serial]]-tblWorkPackages[[#This Row],[Request date serial]]</f>
        <v>20</v>
      </c>
      <c r="AH567" s="65">
        <f>IFERROR(INDEX(tblParts[Delay days],MATCH(tblWorkPackages[[#This Row],[Work package ID]],tblParts[Work package ID],0)),0)</f>
        <v>0</v>
      </c>
      <c r="AI567" s="51" t="str">
        <f>IFERROR(INDEX(tblDisruptions[Event type],MATCH(tblWorkPackages[[#This Row],[Work package ID]],tblDisruptions[Work package ID],0)),"None")</f>
        <v>None</v>
      </c>
      <c r="AJ567" s="51" t="str">
        <f>TEXT(tblWorkPackages[[#This Row],[Due date serial]],"yyyy-mm")</f>
        <v>2025-12</v>
      </c>
    </row>
    <row r="568" spans="1:36" ht="15" x14ac:dyDescent="0.25">
      <c r="A568" s="53" t="s">
        <v>1399</v>
      </c>
      <c r="B568" s="53" t="s">
        <v>168</v>
      </c>
      <c r="C568" s="53" t="s">
        <v>482</v>
      </c>
      <c r="D568" s="53" t="s">
        <v>1400</v>
      </c>
      <c r="E568" s="53" t="s">
        <v>242</v>
      </c>
      <c r="F568" s="53" t="s">
        <v>243</v>
      </c>
      <c r="G568" s="53" t="s">
        <v>129</v>
      </c>
      <c r="H568" s="53">
        <v>2</v>
      </c>
      <c r="I568" s="53" t="s">
        <v>130</v>
      </c>
      <c r="J568" s="53">
        <v>0</v>
      </c>
      <c r="K568" s="53">
        <v>0</v>
      </c>
      <c r="L568" s="53">
        <v>7.8</v>
      </c>
      <c r="M568" s="53" t="s">
        <v>334</v>
      </c>
      <c r="N568" s="53">
        <v>8.3000000000000007</v>
      </c>
      <c r="O568" s="51" t="str">
        <f>TEXT(tblWorkPackages[[#This Row],[Request date serial]]-WEEKDAY(tblWorkPackages[[#This Row],[Request date serial]],3),"yyyy-mm-dd")</f>
        <v>2025-11-17</v>
      </c>
      <c r="P568" s="51">
        <f>ABS(tblWorkPackages[[#This Row],[Actual labor hours]]-tblWorkPackages[[#This Row],[Estimated labor hours]])</f>
        <v>0.500000000000001</v>
      </c>
      <c r="Q568" s="51">
        <f>IF(tblWorkPackages[[#This Row],[Actual labor hours]]&gt;tblWorkPackages[[#This Row],[Estimated labor hours]],1,0)</f>
        <v>1</v>
      </c>
      <c r="R568" s="51">
        <f>tblWorkPackages[[#This Row],[Actual labor hours]]-tblWorkPackages[[#This Row],[Estimated labor hours]]</f>
        <v>0.500000000000001</v>
      </c>
      <c r="S568" s="51" t="str">
        <f>IF(tblWorkPackages[[#This Row],[Request date serial]]&lt;ValidationStart,"Train 2024",IF(tblWorkPackages[[#This Row],[Request date serial]]&lt;HoldoutStart,"Validation H1","Holdout H2"))</f>
        <v>Holdout H2</v>
      </c>
      <c r="T568" s="51">
        <f>IF(tblWorkPackages[[#This Row],[Time split]]="Train 2024","",tblWorkPackages[[#This Row],[Estimated labor hours]]+VLOOKUP(tblWorkPackages[[#This Row],[Task type]],'Forecast validation'!$A$14:$E$25,IF(tblWorkPackages[[#This Row],[Time split]]="Validation H1",4,5),FALSE()))</f>
        <v>8.62545454545455</v>
      </c>
      <c r="U568" s="51">
        <f>IF(tblWorkPackages[[#This Row],[Calibrated forecast hours]]="","",ABS(tblWorkPackages[[#This Row],[Actual labor hours]]-tblWorkPackages[[#This Row],[Calibrated forecast hours]]))</f>
        <v>0.325454545454544</v>
      </c>
      <c r="V568" s="51">
        <f>IF(tblWorkPackages[[#This Row],[Time split]]="Train 2024",tblWorkPackages[[#This Row],[Estimated labor hours]],tblWorkPackages[[#This Row],[Calibrated forecast hours]])</f>
        <v>8.62545454545455</v>
      </c>
      <c r="W568" s="64">
        <f>DATEVALUE(tblWorkPackages[[#This Row],[Request date]])</f>
        <v>45983.0</v>
      </c>
      <c r="X568" s="64">
        <f>DATEVALUE(tblWorkPackages[[#This Row],[Due date]])</f>
        <v>45996.0</v>
      </c>
      <c r="Y568" s="64">
        <f>DATEVALUE(tblWorkPackages[[#This Row],[Completion date]])</f>
        <v>45990.0</v>
      </c>
      <c r="Z568" s="64">
        <f>_xlfn.MINIFS(tblLaborEntries[Work date serial],tblLaborEntries[Work package ID],tblWorkPackages[[#This Row],[Work package ID]])</f>
        <v>45987.0</v>
      </c>
      <c r="AA568" s="64">
        <f>_xlfn.MAXIFS(tblLaborEntries[Work date serial],tblLaborEntries[Work package ID],tblWorkPackages[[#This Row],[Work package ID]])</f>
        <v>45988.0</v>
      </c>
      <c r="AB568" s="65">
        <f>IF(tblWorkPackages[[#This Row],[Completion date serial]]&gt;tblWorkPackages[[#This Row],[Due date serial]],1,0)</f>
        <v>0</v>
      </c>
      <c r="AC568" s="65">
        <f>MAX(0,tblWorkPackages[[#This Row],[Completion date serial]]-tblWorkPackages[[#This Row],[Due date serial]])</f>
        <v>0</v>
      </c>
      <c r="AD568" s="65">
        <f>tblWorkPackages[[#This Row],[First labor date]]-tblWorkPackages[[#This Row],[Request date serial]]</f>
        <v>4</v>
      </c>
      <c r="AE568" s="65">
        <f>tblWorkPackages[[#This Row],[Last labor date]]-tblWorkPackages[[#This Row],[First labor date]]</f>
        <v>1</v>
      </c>
      <c r="AF568" s="65">
        <f>tblWorkPackages[[#This Row],[Completion date serial]]-tblWorkPackages[[#This Row],[Last labor date]]</f>
        <v>2</v>
      </c>
      <c r="AG568" s="65">
        <f>tblWorkPackages[[#This Row],[Completion date serial]]-tblWorkPackages[[#This Row],[Request date serial]]</f>
        <v>7</v>
      </c>
      <c r="AH568" s="65">
        <f>IFERROR(INDEX(tblParts[Delay days],MATCH(tblWorkPackages[[#This Row],[Work package ID]],tblParts[Work package ID],0)),0)</f>
        <v>0</v>
      </c>
      <c r="AI568" s="51" t="str">
        <f>IFERROR(INDEX(tblDisruptions[Event type],MATCH(tblWorkPackages[[#This Row],[Work package ID]],tblDisruptions[Work package ID],0)),"None")</f>
        <v>None</v>
      </c>
      <c r="AJ568" s="51" t="str">
        <f>TEXT(tblWorkPackages[[#This Row],[Due date serial]],"yyyy-mm")</f>
        <v>2025-12</v>
      </c>
    </row>
    <row r="569" spans="1:36" ht="15" x14ac:dyDescent="0.25">
      <c r="A569" s="53" t="s">
        <v>1401</v>
      </c>
      <c r="B569" s="53" t="s">
        <v>133</v>
      </c>
      <c r="C569" s="53" t="s">
        <v>312</v>
      </c>
      <c r="D569" s="53" t="s">
        <v>192</v>
      </c>
      <c r="E569" s="53" t="s">
        <v>223</v>
      </c>
      <c r="F569" s="53" t="s">
        <v>182</v>
      </c>
      <c r="G569" s="53" t="s">
        <v>154</v>
      </c>
      <c r="H569" s="53">
        <v>1</v>
      </c>
      <c r="I569" s="53" t="s">
        <v>130</v>
      </c>
      <c r="J569" s="53">
        <v>0</v>
      </c>
      <c r="K569" s="53">
        <v>0</v>
      </c>
      <c r="L569" s="53">
        <v>7.3</v>
      </c>
      <c r="M569" s="53" t="s">
        <v>1402</v>
      </c>
      <c r="N569" s="53">
        <v>5.9</v>
      </c>
      <c r="O569" s="51" t="str">
        <f>TEXT(tblWorkPackages[[#This Row],[Request date serial]]-WEEKDAY(tblWorkPackages[[#This Row],[Request date serial]],3),"yyyy-mm-dd")</f>
        <v>2025-08-18</v>
      </c>
      <c r="P569" s="51">
        <f>ABS(tblWorkPackages[[#This Row],[Actual labor hours]]-tblWorkPackages[[#This Row],[Estimated labor hours]])</f>
        <v>1.4</v>
      </c>
      <c r="Q569" s="51">
        <f>IF(tblWorkPackages[[#This Row],[Actual labor hours]]&gt;tblWorkPackages[[#This Row],[Estimated labor hours]],1,0)</f>
        <v>0</v>
      </c>
      <c r="R569" s="51">
        <f>tblWorkPackages[[#This Row],[Actual labor hours]]-tblWorkPackages[[#This Row],[Estimated labor hours]]</f>
        <v>-1.4</v>
      </c>
      <c r="S569" s="51" t="str">
        <f>IF(tblWorkPackages[[#This Row],[Request date serial]]&lt;ValidationStart,"Train 2024",IF(tblWorkPackages[[#This Row],[Request date serial]]&lt;HoldoutStart,"Validation H1","Holdout H2"))</f>
        <v>Holdout H2</v>
      </c>
      <c r="T569" s="51">
        <f>IF(tblWorkPackages[[#This Row],[Time split]]="Train 2024","",tblWorkPackages[[#This Row],[Estimated labor hours]]+VLOOKUP(tblWorkPackages[[#This Row],[Task type]],'Forecast validation'!$A$14:$E$25,IF(tblWorkPackages[[#This Row],[Time split]]="Validation H1",4,5),FALSE()))</f>
        <v>8.22465753424658</v>
      </c>
      <c r="U569" s="51">
        <f>IF(tblWorkPackages[[#This Row],[Calibrated forecast hours]]="","",ABS(tblWorkPackages[[#This Row],[Actual labor hours]]-tblWorkPackages[[#This Row],[Calibrated forecast hours]]))</f>
        <v>2.32465753424657</v>
      </c>
      <c r="V569" s="51">
        <f>IF(tblWorkPackages[[#This Row],[Time split]]="Train 2024",tblWorkPackages[[#This Row],[Estimated labor hours]],tblWorkPackages[[#This Row],[Calibrated forecast hours]])</f>
        <v>8.22465753424658</v>
      </c>
      <c r="W569" s="64">
        <f>DATEVALUE(tblWorkPackages[[#This Row],[Request date]])</f>
        <v>45887.0</v>
      </c>
      <c r="X569" s="64">
        <f>DATEVALUE(tblWorkPackages[[#This Row],[Due date]])</f>
        <v>45900.0</v>
      </c>
      <c r="Y569" s="64">
        <f>DATEVALUE(tblWorkPackages[[#This Row],[Completion date]])</f>
        <v>45891.0</v>
      </c>
      <c r="Z569" s="64">
        <f>_xlfn.MINIFS(tblLaborEntries[Work date serial],tblLaborEntries[Work package ID],tblWorkPackages[[#This Row],[Work package ID]])</f>
        <v>45888.0</v>
      </c>
      <c r="AA569" s="64">
        <f>_xlfn.MAXIFS(tblLaborEntries[Work date serial],tblLaborEntries[Work package ID],tblWorkPackages[[#This Row],[Work package ID]])</f>
        <v>45888.0</v>
      </c>
      <c r="AB569" s="65">
        <f>IF(tblWorkPackages[[#This Row],[Completion date serial]]&gt;tblWorkPackages[[#This Row],[Due date serial]],1,0)</f>
        <v>0</v>
      </c>
      <c r="AC569" s="65">
        <f>MAX(0,tblWorkPackages[[#This Row],[Completion date serial]]-tblWorkPackages[[#This Row],[Due date serial]])</f>
        <v>0</v>
      </c>
      <c r="AD569" s="65">
        <f>tblWorkPackages[[#This Row],[First labor date]]-tblWorkPackages[[#This Row],[Request date serial]]</f>
        <v>1</v>
      </c>
      <c r="AE569" s="65">
        <f>tblWorkPackages[[#This Row],[Last labor date]]-tblWorkPackages[[#This Row],[First labor date]]</f>
        <v>0</v>
      </c>
      <c r="AF569" s="65">
        <f>tblWorkPackages[[#This Row],[Completion date serial]]-tblWorkPackages[[#This Row],[Last labor date]]</f>
        <v>3</v>
      </c>
      <c r="AG569" s="65">
        <f>tblWorkPackages[[#This Row],[Completion date serial]]-tblWorkPackages[[#This Row],[Request date serial]]</f>
        <v>4</v>
      </c>
      <c r="AH569" s="65">
        <f>IFERROR(INDEX(tblParts[Delay days],MATCH(tblWorkPackages[[#This Row],[Work package ID]],tblParts[Work package ID],0)),0)</f>
        <v>0</v>
      </c>
      <c r="AI569" s="51" t="str">
        <f>IFERROR(INDEX(tblDisruptions[Event type],MATCH(tblWorkPackages[[#This Row],[Work package ID]],tblDisruptions[Work package ID],0)),"None")</f>
        <v>None</v>
      </c>
      <c r="AJ569" s="51" t="str">
        <f>TEXT(tblWorkPackages[[#This Row],[Due date serial]],"yyyy-mm")</f>
        <v>2025-08</v>
      </c>
    </row>
    <row r="570" spans="1:36" ht="15" x14ac:dyDescent="0.25">
      <c r="A570" s="53" t="s">
        <v>1403</v>
      </c>
      <c r="B570" s="53" t="s">
        <v>250</v>
      </c>
      <c r="C570" s="53" t="s">
        <v>387</v>
      </c>
      <c r="D570" s="53" t="s">
        <v>1404</v>
      </c>
      <c r="E570" s="53" t="s">
        <v>242</v>
      </c>
      <c r="F570" s="53" t="s">
        <v>243</v>
      </c>
      <c r="G570" s="53" t="s">
        <v>129</v>
      </c>
      <c r="H570" s="53">
        <v>2</v>
      </c>
      <c r="I570" s="53" t="s">
        <v>130</v>
      </c>
      <c r="J570" s="53">
        <v>0</v>
      </c>
      <c r="K570" s="53">
        <v>1</v>
      </c>
      <c r="L570" s="53">
        <v>7.6</v>
      </c>
      <c r="M570" s="53" t="s">
        <v>770</v>
      </c>
      <c r="N570" s="53">
        <v>8</v>
      </c>
      <c r="O570" s="51" t="str">
        <f>TEXT(tblWorkPackages[[#This Row],[Request date serial]]-WEEKDAY(tblWorkPackages[[#This Row],[Request date serial]],3),"yyyy-mm-dd")</f>
        <v>2024-09-09</v>
      </c>
      <c r="P570" s="51">
        <f>ABS(tblWorkPackages[[#This Row],[Actual labor hours]]-tblWorkPackages[[#This Row],[Estimated labor hours]])</f>
        <v>0.4</v>
      </c>
      <c r="Q570" s="51">
        <f>IF(tblWorkPackages[[#This Row],[Actual labor hours]]&gt;tblWorkPackages[[#This Row],[Estimated labor hours]],1,0)</f>
        <v>1</v>
      </c>
      <c r="R570" s="51">
        <f>tblWorkPackages[[#This Row],[Actual labor hours]]-tblWorkPackages[[#This Row],[Estimated labor hours]]</f>
        <v>0.4</v>
      </c>
      <c r="S570" s="51" t="str">
        <f>IF(tblWorkPackages[[#This Row],[Request date serial]]&lt;ValidationStart,"Train 2024",IF(tblWorkPackages[[#This Row],[Request date serial]]&lt;HoldoutStart,"Validation H1","Holdout H2"))</f>
        <v>Train 2024</v>
      </c>
      <c r="T570" s="51" t="str">
        <f>IF(tblWorkPackages[[#This Row],[Time split]]="Train 2024","",tblWorkPackages[[#This Row],[Estimated labor hours]]+VLOOKUP(tblWorkPackages[[#This Row],[Task type]],'Forecast validation'!$A$14:$E$25,IF(tblWorkPackages[[#This Row],[Time split]]="Validation H1",4,5),FALSE()))</f>
        <v/>
      </c>
      <c r="U570" s="51" t="str">
        <f>IF(tblWorkPackages[[#This Row],[Calibrated forecast hours]]="","",ABS(tblWorkPackages[[#This Row],[Actual labor hours]]-tblWorkPackages[[#This Row],[Calibrated forecast hours]]))</f>
        <v/>
      </c>
      <c r="V570" s="51">
        <f>IF(tblWorkPackages[[#This Row],[Time split]]="Train 2024",tblWorkPackages[[#This Row],[Estimated labor hours]],tblWorkPackages[[#This Row],[Calibrated forecast hours]])</f>
        <v>7.6</v>
      </c>
      <c r="W570" s="64">
        <f>DATEVALUE(tblWorkPackages[[#This Row],[Request date]])</f>
        <v>45546.0</v>
      </c>
      <c r="X570" s="64">
        <f>DATEVALUE(tblWorkPackages[[#This Row],[Due date]])</f>
        <v>45559.0</v>
      </c>
      <c r="Y570" s="64">
        <f>DATEVALUE(tblWorkPackages[[#This Row],[Completion date]])</f>
        <v>45558.0</v>
      </c>
      <c r="Z570" s="64">
        <f>_xlfn.MINIFS(tblLaborEntries[Work date serial],tblLaborEntries[Work package ID],tblWorkPackages[[#This Row],[Work package ID]])</f>
        <v>45556.0</v>
      </c>
      <c r="AA570" s="64">
        <f>_xlfn.MAXIFS(tblLaborEntries[Work date serial],tblLaborEntries[Work package ID],tblWorkPackages[[#This Row],[Work package ID]])</f>
        <v>45558.0</v>
      </c>
      <c r="AB570" s="65">
        <f>IF(tblWorkPackages[[#This Row],[Completion date serial]]&gt;tblWorkPackages[[#This Row],[Due date serial]],1,0)</f>
        <v>0</v>
      </c>
      <c r="AC570" s="65">
        <f>MAX(0,tblWorkPackages[[#This Row],[Completion date serial]]-tblWorkPackages[[#This Row],[Due date serial]])</f>
        <v>0</v>
      </c>
      <c r="AD570" s="65">
        <f>tblWorkPackages[[#This Row],[First labor date]]-tblWorkPackages[[#This Row],[Request date serial]]</f>
        <v>10</v>
      </c>
      <c r="AE570" s="65">
        <f>tblWorkPackages[[#This Row],[Last labor date]]-tblWorkPackages[[#This Row],[First labor date]]</f>
        <v>2</v>
      </c>
      <c r="AF570" s="65">
        <f>tblWorkPackages[[#This Row],[Completion date serial]]-tblWorkPackages[[#This Row],[Last labor date]]</f>
        <v>0</v>
      </c>
      <c r="AG570" s="65">
        <f>tblWorkPackages[[#This Row],[Completion date serial]]-tblWorkPackages[[#This Row],[Request date serial]]</f>
        <v>12</v>
      </c>
      <c r="AH570" s="65">
        <f>IFERROR(INDEX(tblParts[Delay days],MATCH(tblWorkPackages[[#This Row],[Work package ID]],tblParts[Work package ID],0)),0)</f>
        <v>0</v>
      </c>
      <c r="AI570" s="51" t="str">
        <f>IFERROR(INDEX(tblDisruptions[Event type],MATCH(tblWorkPackages[[#This Row],[Work package ID]],tblDisruptions[Work package ID],0)),"None")</f>
        <v>None</v>
      </c>
      <c r="AJ570" s="51" t="str">
        <f>TEXT(tblWorkPackages[[#This Row],[Due date serial]],"yyyy-mm")</f>
        <v>2024-09</v>
      </c>
    </row>
    <row r="571" spans="1:36" ht="15" x14ac:dyDescent="0.25">
      <c r="A571" s="53" t="s">
        <v>1405</v>
      </c>
      <c r="B571" s="53" t="s">
        <v>141</v>
      </c>
      <c r="C571" s="53" t="s">
        <v>134</v>
      </c>
      <c r="D571" s="53" t="s">
        <v>135</v>
      </c>
      <c r="E571" s="53" t="s">
        <v>136</v>
      </c>
      <c r="F571" s="53" t="s">
        <v>137</v>
      </c>
      <c r="G571" s="53" t="s">
        <v>138</v>
      </c>
      <c r="H571" s="53">
        <v>1</v>
      </c>
      <c r="I571" s="53" t="s">
        <v>130</v>
      </c>
      <c r="J571" s="53">
        <v>0</v>
      </c>
      <c r="K571" s="53">
        <v>0</v>
      </c>
      <c r="L571" s="53">
        <v>8.3000000000000007</v>
      </c>
      <c r="M571" s="53" t="s">
        <v>284</v>
      </c>
      <c r="N571" s="53">
        <v>8.6</v>
      </c>
      <c r="O571" s="51" t="str">
        <f>TEXT(tblWorkPackages[[#This Row],[Request date serial]]-WEEKDAY(tblWorkPackages[[#This Row],[Request date serial]],3),"yyyy-mm-dd")</f>
        <v>2025-09-01</v>
      </c>
      <c r="P571" s="51">
        <f>ABS(tblWorkPackages[[#This Row],[Actual labor hours]]-tblWorkPackages[[#This Row],[Estimated labor hours]])</f>
        <v>0.299999999999999</v>
      </c>
      <c r="Q571" s="51">
        <f>IF(tblWorkPackages[[#This Row],[Actual labor hours]]&gt;tblWorkPackages[[#This Row],[Estimated labor hours]],1,0)</f>
        <v>1</v>
      </c>
      <c r="R571" s="51">
        <f>tblWorkPackages[[#This Row],[Actual labor hours]]-tblWorkPackages[[#This Row],[Estimated labor hours]]</f>
        <v>0.299999999999999</v>
      </c>
      <c r="S571" s="51" t="str">
        <f>IF(tblWorkPackages[[#This Row],[Request date serial]]&lt;ValidationStart,"Train 2024",IF(tblWorkPackages[[#This Row],[Request date serial]]&lt;HoldoutStart,"Validation H1","Holdout H2"))</f>
        <v>Holdout H2</v>
      </c>
      <c r="T571" s="51">
        <f>IF(tblWorkPackages[[#This Row],[Time split]]="Train 2024","",tblWorkPackages[[#This Row],[Estimated labor hours]]+VLOOKUP(tblWorkPackages[[#This Row],[Task type]],'Forecast validation'!$A$14:$E$25,IF(tblWorkPackages[[#This Row],[Time split]]="Validation H1",4,5),FALSE()))</f>
        <v>9.22075471698113</v>
      </c>
      <c r="U571" s="51">
        <f>IF(tblWorkPackages[[#This Row],[Calibrated forecast hours]]="","",ABS(tblWorkPackages[[#This Row],[Actual labor hours]]-tblWorkPackages[[#This Row],[Calibrated forecast hours]]))</f>
        <v>0.620754716981132</v>
      </c>
      <c r="V571" s="51">
        <f>IF(tblWorkPackages[[#This Row],[Time split]]="Train 2024",tblWorkPackages[[#This Row],[Estimated labor hours]],tblWorkPackages[[#This Row],[Calibrated forecast hours]])</f>
        <v>9.22075471698113</v>
      </c>
      <c r="W571" s="64">
        <f>DATEVALUE(tblWorkPackages[[#This Row],[Request date]])</f>
        <v>45905.0</v>
      </c>
      <c r="X571" s="64">
        <f>DATEVALUE(tblWorkPackages[[#This Row],[Due date]])</f>
        <v>45918.0</v>
      </c>
      <c r="Y571" s="64">
        <f>DATEVALUE(tblWorkPackages[[#This Row],[Completion date]])</f>
        <v>45910.0</v>
      </c>
      <c r="Z571" s="64">
        <f>_xlfn.MINIFS(tblLaborEntries[Work date serial],tblLaborEntries[Work package ID],tblWorkPackages[[#This Row],[Work package ID]])</f>
        <v>45908.0</v>
      </c>
      <c r="AA571" s="64">
        <f>_xlfn.MAXIFS(tblLaborEntries[Work date serial],tblLaborEntries[Work package ID],tblWorkPackages[[#This Row],[Work package ID]])</f>
        <v>45909.0</v>
      </c>
      <c r="AB571" s="65">
        <f>IF(tblWorkPackages[[#This Row],[Completion date serial]]&gt;tblWorkPackages[[#This Row],[Due date serial]],1,0)</f>
        <v>0</v>
      </c>
      <c r="AC571" s="65">
        <f>MAX(0,tblWorkPackages[[#This Row],[Completion date serial]]-tblWorkPackages[[#This Row],[Due date serial]])</f>
        <v>0</v>
      </c>
      <c r="AD571" s="65">
        <f>tblWorkPackages[[#This Row],[First labor date]]-tblWorkPackages[[#This Row],[Request date serial]]</f>
        <v>3</v>
      </c>
      <c r="AE571" s="65">
        <f>tblWorkPackages[[#This Row],[Last labor date]]-tblWorkPackages[[#This Row],[First labor date]]</f>
        <v>1</v>
      </c>
      <c r="AF571" s="65">
        <f>tblWorkPackages[[#This Row],[Completion date serial]]-tblWorkPackages[[#This Row],[Last labor date]]</f>
        <v>1</v>
      </c>
      <c r="AG571" s="65">
        <f>tblWorkPackages[[#This Row],[Completion date serial]]-tblWorkPackages[[#This Row],[Request date serial]]</f>
        <v>5</v>
      </c>
      <c r="AH571" s="65">
        <f>IFERROR(INDEX(tblParts[Delay days],MATCH(tblWorkPackages[[#This Row],[Work package ID]],tblParts[Work package ID],0)),0)</f>
        <v>0</v>
      </c>
      <c r="AI571" s="51" t="str">
        <f>IFERROR(INDEX(tblDisruptions[Event type],MATCH(tblWorkPackages[[#This Row],[Work package ID]],tblDisruptions[Work package ID],0)),"None")</f>
        <v>None</v>
      </c>
      <c r="AJ571" s="51" t="str">
        <f>TEXT(tblWorkPackages[[#This Row],[Due date serial]],"yyyy-mm")</f>
        <v>2025-09</v>
      </c>
    </row>
    <row r="572" spans="1:36" ht="15" x14ac:dyDescent="0.25">
      <c r="A572" s="53" t="s">
        <v>1406</v>
      </c>
      <c r="B572" s="53" t="s">
        <v>185</v>
      </c>
      <c r="C572" s="53" t="s">
        <v>1092</v>
      </c>
      <c r="D572" s="53" t="s">
        <v>164</v>
      </c>
      <c r="E572" s="53" t="s">
        <v>127</v>
      </c>
      <c r="F572" s="53" t="s">
        <v>128</v>
      </c>
      <c r="G572" s="53" t="s">
        <v>129</v>
      </c>
      <c r="H572" s="53">
        <v>4</v>
      </c>
      <c r="I572" s="53" t="s">
        <v>130</v>
      </c>
      <c r="J572" s="53">
        <v>0</v>
      </c>
      <c r="K572" s="53">
        <v>0</v>
      </c>
      <c r="L572" s="53">
        <v>14.7</v>
      </c>
      <c r="M572" s="53" t="s">
        <v>620</v>
      </c>
      <c r="N572" s="53">
        <v>17</v>
      </c>
      <c r="O572" s="51" t="str">
        <f>TEXT(tblWorkPackages[[#This Row],[Request date serial]]-WEEKDAY(tblWorkPackages[[#This Row],[Request date serial]],3),"yyyy-mm-dd")</f>
        <v>2024-06-10</v>
      </c>
      <c r="P572" s="51">
        <f>ABS(tblWorkPackages[[#This Row],[Actual labor hours]]-tblWorkPackages[[#This Row],[Estimated labor hours]])</f>
        <v>2.3</v>
      </c>
      <c r="Q572" s="51">
        <f>IF(tblWorkPackages[[#This Row],[Actual labor hours]]&gt;tblWorkPackages[[#This Row],[Estimated labor hours]],1,0)</f>
        <v>1</v>
      </c>
      <c r="R572" s="51">
        <f>tblWorkPackages[[#This Row],[Actual labor hours]]-tblWorkPackages[[#This Row],[Estimated labor hours]]</f>
        <v>2.3</v>
      </c>
      <c r="S572" s="51" t="str">
        <f>IF(tblWorkPackages[[#This Row],[Request date serial]]&lt;ValidationStart,"Train 2024",IF(tblWorkPackages[[#This Row],[Request date serial]]&lt;HoldoutStart,"Validation H1","Holdout H2"))</f>
        <v>Train 2024</v>
      </c>
      <c r="T572" s="51" t="str">
        <f>IF(tblWorkPackages[[#This Row],[Time split]]="Train 2024","",tblWorkPackages[[#This Row],[Estimated labor hours]]+VLOOKUP(tblWorkPackages[[#This Row],[Task type]],'Forecast validation'!$A$14:$E$25,IF(tblWorkPackages[[#This Row],[Time split]]="Validation H1",4,5),FALSE()))</f>
        <v/>
      </c>
      <c r="U572" s="51" t="str">
        <f>IF(tblWorkPackages[[#This Row],[Calibrated forecast hours]]="","",ABS(tblWorkPackages[[#This Row],[Actual labor hours]]-tblWorkPackages[[#This Row],[Calibrated forecast hours]]))</f>
        <v/>
      </c>
      <c r="V572" s="51">
        <f>IF(tblWorkPackages[[#This Row],[Time split]]="Train 2024",tblWorkPackages[[#This Row],[Estimated labor hours]],tblWorkPackages[[#This Row],[Calibrated forecast hours]])</f>
        <v>14.7</v>
      </c>
      <c r="W572" s="64">
        <f>DATEVALUE(tblWorkPackages[[#This Row],[Request date]])</f>
        <v>45459.0</v>
      </c>
      <c r="X572" s="64">
        <f>DATEVALUE(tblWorkPackages[[#This Row],[Due date]])</f>
        <v>45472.0</v>
      </c>
      <c r="Y572" s="64">
        <f>DATEVALUE(tblWorkPackages[[#This Row],[Completion date]])</f>
        <v>45490.0</v>
      </c>
      <c r="Z572" s="64">
        <f>_xlfn.MINIFS(tblLaborEntries[Work date serial],tblLaborEntries[Work package ID],tblWorkPackages[[#This Row],[Work package ID]])</f>
        <v>45488.0</v>
      </c>
      <c r="AA572" s="64">
        <f>_xlfn.MAXIFS(tblLaborEntries[Work date serial],tblLaborEntries[Work package ID],tblWorkPackages[[#This Row],[Work package ID]])</f>
        <v>45488.0</v>
      </c>
      <c r="AB572" s="65">
        <f>IF(tblWorkPackages[[#This Row],[Completion date serial]]&gt;tblWorkPackages[[#This Row],[Due date serial]],1,0)</f>
        <v>1</v>
      </c>
      <c r="AC572" s="65">
        <f>MAX(0,tblWorkPackages[[#This Row],[Completion date serial]]-tblWorkPackages[[#This Row],[Due date serial]])</f>
        <v>18</v>
      </c>
      <c r="AD572" s="65">
        <f>tblWorkPackages[[#This Row],[First labor date]]-tblWorkPackages[[#This Row],[Request date serial]]</f>
        <v>29</v>
      </c>
      <c r="AE572" s="65">
        <f>tblWorkPackages[[#This Row],[Last labor date]]-tblWorkPackages[[#This Row],[First labor date]]</f>
        <v>0</v>
      </c>
      <c r="AF572" s="65">
        <f>tblWorkPackages[[#This Row],[Completion date serial]]-tblWorkPackages[[#This Row],[Last labor date]]</f>
        <v>2</v>
      </c>
      <c r="AG572" s="65">
        <f>tblWorkPackages[[#This Row],[Completion date serial]]-tblWorkPackages[[#This Row],[Request date serial]]</f>
        <v>31</v>
      </c>
      <c r="AH572" s="65">
        <f>IFERROR(INDEX(tblParts[Delay days],MATCH(tblWorkPackages[[#This Row],[Work package ID]],tblParts[Work package ID],0)),0)</f>
        <v>0</v>
      </c>
      <c r="AI572" s="51" t="str">
        <f>IFERROR(INDEX(tblDisruptions[Event type],MATCH(tblWorkPackages[[#This Row],[Work package ID]],tblDisruptions[Work package ID],0)),"None")</f>
        <v>None</v>
      </c>
      <c r="AJ572" s="51" t="str">
        <f>TEXT(tblWorkPackages[[#This Row],[Due date serial]],"yyyy-mm")</f>
        <v>2024-06</v>
      </c>
    </row>
    <row r="573" spans="1:36" ht="15" x14ac:dyDescent="0.25">
      <c r="A573" s="53" t="s">
        <v>1407</v>
      </c>
      <c r="B573" s="53" t="s">
        <v>250</v>
      </c>
      <c r="C573" s="53" t="s">
        <v>1019</v>
      </c>
      <c r="D573" s="53" t="s">
        <v>520</v>
      </c>
      <c r="E573" s="53" t="s">
        <v>237</v>
      </c>
      <c r="F573" s="53" t="s">
        <v>182</v>
      </c>
      <c r="G573" s="53" t="s">
        <v>138</v>
      </c>
      <c r="H573" s="53">
        <v>2</v>
      </c>
      <c r="I573" s="53" t="s">
        <v>176</v>
      </c>
      <c r="J573" s="53">
        <v>0</v>
      </c>
      <c r="K573" s="53">
        <v>0</v>
      </c>
      <c r="L573" s="53">
        <v>4.9000000000000004</v>
      </c>
      <c r="M573" s="53" t="s">
        <v>492</v>
      </c>
      <c r="N573" s="53">
        <v>5.8</v>
      </c>
      <c r="O573" s="51" t="str">
        <f>TEXT(tblWorkPackages[[#This Row],[Request date serial]]-WEEKDAY(tblWorkPackages[[#This Row],[Request date serial]],3),"yyyy-mm-dd")</f>
        <v>2025-08-11</v>
      </c>
      <c r="P573" s="51">
        <f>ABS(tblWorkPackages[[#This Row],[Actual labor hours]]-tblWorkPackages[[#This Row],[Estimated labor hours]])</f>
        <v>0.9</v>
      </c>
      <c r="Q573" s="51">
        <f>IF(tblWorkPackages[[#This Row],[Actual labor hours]]&gt;tblWorkPackages[[#This Row],[Estimated labor hours]],1,0)</f>
        <v>1</v>
      </c>
      <c r="R573" s="51">
        <f>tblWorkPackages[[#This Row],[Actual labor hours]]-tblWorkPackages[[#This Row],[Estimated labor hours]]</f>
        <v>0.9</v>
      </c>
      <c r="S573" s="51" t="str">
        <f>IF(tblWorkPackages[[#This Row],[Request date serial]]&lt;ValidationStart,"Train 2024",IF(tblWorkPackages[[#This Row],[Request date serial]]&lt;HoldoutStart,"Validation H1","Holdout H2"))</f>
        <v>Holdout H2</v>
      </c>
      <c r="T573" s="51">
        <f>IF(tblWorkPackages[[#This Row],[Time split]]="Train 2024","",tblWorkPackages[[#This Row],[Estimated labor hours]]+VLOOKUP(tblWorkPackages[[#This Row],[Task type]],'Forecast validation'!$A$14:$E$25,IF(tblWorkPackages[[#This Row],[Time split]]="Validation H1",4,5),FALSE()))</f>
        <v>5.353125</v>
      </c>
      <c r="U573" s="51">
        <f>IF(tblWorkPackages[[#This Row],[Calibrated forecast hours]]="","",ABS(tblWorkPackages[[#This Row],[Actual labor hours]]-tblWorkPackages[[#This Row],[Calibrated forecast hours]]))</f>
        <v>0.446874999999999</v>
      </c>
      <c r="V573" s="51">
        <f>IF(tblWorkPackages[[#This Row],[Time split]]="Train 2024",tblWorkPackages[[#This Row],[Estimated labor hours]],tblWorkPackages[[#This Row],[Calibrated forecast hours]])</f>
        <v>5.353125</v>
      </c>
      <c r="W573" s="64">
        <f>DATEVALUE(tblWorkPackages[[#This Row],[Request date]])</f>
        <v>45884.0</v>
      </c>
      <c r="X573" s="64">
        <f>DATEVALUE(tblWorkPackages[[#This Row],[Due date]])</f>
        <v>45890.0</v>
      </c>
      <c r="Y573" s="64">
        <f>DATEVALUE(tblWorkPackages[[#This Row],[Completion date]])</f>
        <v>45894.0</v>
      </c>
      <c r="Z573" s="64">
        <f>_xlfn.MINIFS(tblLaborEntries[Work date serial],tblLaborEntries[Work package ID],tblWorkPackages[[#This Row],[Work package ID]])</f>
        <v>45889.0</v>
      </c>
      <c r="AA573" s="64">
        <f>_xlfn.MAXIFS(tblLaborEntries[Work date serial],tblLaborEntries[Work package ID],tblWorkPackages[[#This Row],[Work package ID]])</f>
        <v>45891.0</v>
      </c>
      <c r="AB573" s="65">
        <f>IF(tblWorkPackages[[#This Row],[Completion date serial]]&gt;tblWorkPackages[[#This Row],[Due date serial]],1,0)</f>
        <v>1</v>
      </c>
      <c r="AC573" s="65">
        <f>MAX(0,tblWorkPackages[[#This Row],[Completion date serial]]-tblWorkPackages[[#This Row],[Due date serial]])</f>
        <v>4</v>
      </c>
      <c r="AD573" s="65">
        <f>tblWorkPackages[[#This Row],[First labor date]]-tblWorkPackages[[#This Row],[Request date serial]]</f>
        <v>5</v>
      </c>
      <c r="AE573" s="65">
        <f>tblWorkPackages[[#This Row],[Last labor date]]-tblWorkPackages[[#This Row],[First labor date]]</f>
        <v>2</v>
      </c>
      <c r="AF573" s="65">
        <f>tblWorkPackages[[#This Row],[Completion date serial]]-tblWorkPackages[[#This Row],[Last labor date]]</f>
        <v>3</v>
      </c>
      <c r="AG573" s="65">
        <f>tblWorkPackages[[#This Row],[Completion date serial]]-tblWorkPackages[[#This Row],[Request date serial]]</f>
        <v>10</v>
      </c>
      <c r="AH573" s="65">
        <f>IFERROR(INDEX(tblParts[Delay days],MATCH(tblWorkPackages[[#This Row],[Work package ID]],tblParts[Work package ID],0)),0)</f>
        <v>0</v>
      </c>
      <c r="AI573" s="51" t="str">
        <f>IFERROR(INDEX(tblDisruptions[Event type],MATCH(tblWorkPackages[[#This Row],[Work package ID]],tblDisruptions[Work package ID],0)),"None")</f>
        <v>None</v>
      </c>
      <c r="AJ573" s="51" t="str">
        <f>TEXT(tblWorkPackages[[#This Row],[Due date serial]],"yyyy-mm")</f>
        <v>2025-08</v>
      </c>
    </row>
    <row r="574" spans="1:36" ht="15" x14ac:dyDescent="0.25">
      <c r="A574" s="53" t="s">
        <v>1408</v>
      </c>
      <c r="B574" s="53" t="s">
        <v>124</v>
      </c>
      <c r="C574" s="53" t="s">
        <v>658</v>
      </c>
      <c r="D574" s="53" t="s">
        <v>177</v>
      </c>
      <c r="E574" s="53" t="s">
        <v>272</v>
      </c>
      <c r="F574" s="53" t="s">
        <v>145</v>
      </c>
      <c r="G574" s="53" t="s">
        <v>273</v>
      </c>
      <c r="H574" s="53">
        <v>4</v>
      </c>
      <c r="I574" s="53" t="s">
        <v>130</v>
      </c>
      <c r="J574" s="53">
        <v>0</v>
      </c>
      <c r="K574" s="53">
        <v>1</v>
      </c>
      <c r="L574" s="53">
        <v>20.2</v>
      </c>
      <c r="M574" s="53" t="s">
        <v>1409</v>
      </c>
      <c r="N574" s="53">
        <v>21.6</v>
      </c>
      <c r="O574" s="51" t="str">
        <f>TEXT(tblWorkPackages[[#This Row],[Request date serial]]-WEEKDAY(tblWorkPackages[[#This Row],[Request date serial]],3),"yyyy-mm-dd")</f>
        <v>2025-08-04</v>
      </c>
      <c r="P574" s="51">
        <f>ABS(tblWorkPackages[[#This Row],[Actual labor hours]]-tblWorkPackages[[#This Row],[Estimated labor hours]])</f>
        <v>1.4</v>
      </c>
      <c r="Q574" s="51">
        <f>IF(tblWorkPackages[[#This Row],[Actual labor hours]]&gt;tblWorkPackages[[#This Row],[Estimated labor hours]],1,0)</f>
        <v>1</v>
      </c>
      <c r="R574" s="51">
        <f>tblWorkPackages[[#This Row],[Actual labor hours]]-tblWorkPackages[[#This Row],[Estimated labor hours]]</f>
        <v>1.4</v>
      </c>
      <c r="S574" s="51" t="str">
        <f>IF(tblWorkPackages[[#This Row],[Request date serial]]&lt;ValidationStart,"Train 2024",IF(tblWorkPackages[[#This Row],[Request date serial]]&lt;HoldoutStart,"Validation H1","Holdout H2"))</f>
        <v>Holdout H2</v>
      </c>
      <c r="T574" s="51">
        <f>IF(tblWorkPackages[[#This Row],[Time split]]="Train 2024","",tblWorkPackages[[#This Row],[Estimated labor hours]]+VLOOKUP(tblWorkPackages[[#This Row],[Task type]],'Forecast validation'!$A$14:$E$25,IF(tblWorkPackages[[#This Row],[Time split]]="Validation H1",4,5),FALSE()))</f>
        <v>21.18515625</v>
      </c>
      <c r="U574" s="51">
        <f>IF(tblWorkPackages[[#This Row],[Calibrated forecast hours]]="","",ABS(tblWorkPackages[[#This Row],[Actual labor hours]]-tblWorkPackages[[#This Row],[Calibrated forecast hours]]))</f>
        <v>0.414843750000003</v>
      </c>
      <c r="V574" s="51">
        <f>IF(tblWorkPackages[[#This Row],[Time split]]="Train 2024",tblWorkPackages[[#This Row],[Estimated labor hours]],tblWorkPackages[[#This Row],[Calibrated forecast hours]])</f>
        <v>21.18515625</v>
      </c>
      <c r="W574" s="64">
        <f>DATEVALUE(tblWorkPackages[[#This Row],[Request date]])</f>
        <v>45873.0</v>
      </c>
      <c r="X574" s="64">
        <f>DATEVALUE(tblWorkPackages[[#This Row],[Due date]])</f>
        <v>45886.0</v>
      </c>
      <c r="Y574" s="64">
        <f>DATEVALUE(tblWorkPackages[[#This Row],[Completion date]])</f>
        <v>45875.0</v>
      </c>
      <c r="Z574" s="64">
        <f>_xlfn.MINIFS(tblLaborEntries[Work date serial],tblLaborEntries[Work package ID],tblWorkPackages[[#This Row],[Work package ID]])</f>
        <v>45875.0</v>
      </c>
      <c r="AA574" s="64">
        <f>_xlfn.MAXIFS(tblLaborEntries[Work date serial],tblLaborEntries[Work package ID],tblWorkPackages[[#This Row],[Work package ID]])</f>
        <v>45875.0</v>
      </c>
      <c r="AB574" s="65">
        <f>IF(tblWorkPackages[[#This Row],[Completion date serial]]&gt;tblWorkPackages[[#This Row],[Due date serial]],1,0)</f>
        <v>0</v>
      </c>
      <c r="AC574" s="65">
        <f>MAX(0,tblWorkPackages[[#This Row],[Completion date serial]]-tblWorkPackages[[#This Row],[Due date serial]])</f>
        <v>0</v>
      </c>
      <c r="AD574" s="65">
        <f>tblWorkPackages[[#This Row],[First labor date]]-tblWorkPackages[[#This Row],[Request date serial]]</f>
        <v>2</v>
      </c>
      <c r="AE574" s="65">
        <f>tblWorkPackages[[#This Row],[Last labor date]]-tblWorkPackages[[#This Row],[First labor date]]</f>
        <v>0</v>
      </c>
      <c r="AF574" s="65">
        <f>tblWorkPackages[[#This Row],[Completion date serial]]-tblWorkPackages[[#This Row],[Last labor date]]</f>
        <v>0</v>
      </c>
      <c r="AG574" s="65">
        <f>tblWorkPackages[[#This Row],[Completion date serial]]-tblWorkPackages[[#This Row],[Request date serial]]</f>
        <v>2</v>
      </c>
      <c r="AH574" s="65">
        <f>IFERROR(INDEX(tblParts[Delay days],MATCH(tblWorkPackages[[#This Row],[Work package ID]],tblParts[Work package ID],0)),0)</f>
        <v>0</v>
      </c>
      <c r="AI574" s="51" t="str">
        <f>IFERROR(INDEX(tblDisruptions[Event type],MATCH(tblWorkPackages[[#This Row],[Work package ID]],tblDisruptions[Work package ID],0)),"None")</f>
        <v>Equipment unavailable</v>
      </c>
      <c r="AJ574" s="51" t="str">
        <f>TEXT(tblWorkPackages[[#This Row],[Due date serial]],"yyyy-mm")</f>
        <v>2025-08</v>
      </c>
    </row>
    <row r="575" spans="1:36" ht="15" x14ac:dyDescent="0.25">
      <c r="A575" s="53" t="s">
        <v>1410</v>
      </c>
      <c r="B575" s="53" t="s">
        <v>230</v>
      </c>
      <c r="C575" s="53" t="s">
        <v>447</v>
      </c>
      <c r="D575" s="53" t="s">
        <v>592</v>
      </c>
      <c r="E575" s="53" t="s">
        <v>209</v>
      </c>
      <c r="F575" s="53" t="s">
        <v>145</v>
      </c>
      <c r="G575" s="53" t="s">
        <v>210</v>
      </c>
      <c r="H575" s="53">
        <v>2</v>
      </c>
      <c r="I575" s="53" t="s">
        <v>130</v>
      </c>
      <c r="J575" s="53">
        <v>0</v>
      </c>
      <c r="K575" s="53">
        <v>1</v>
      </c>
      <c r="L575" s="53">
        <v>24.4</v>
      </c>
      <c r="M575" s="53" t="s">
        <v>271</v>
      </c>
      <c r="N575" s="53">
        <v>28.5</v>
      </c>
      <c r="O575" s="51" t="str">
        <f>TEXT(tblWorkPackages[[#This Row],[Request date serial]]-WEEKDAY(tblWorkPackages[[#This Row],[Request date serial]],3),"yyyy-mm-dd")</f>
        <v>2025-03-24</v>
      </c>
      <c r="P575" s="51">
        <f>ABS(tblWorkPackages[[#This Row],[Actual labor hours]]-tblWorkPackages[[#This Row],[Estimated labor hours]])</f>
        <v>4.1</v>
      </c>
      <c r="Q575" s="51">
        <f>IF(tblWorkPackages[[#This Row],[Actual labor hours]]&gt;tblWorkPackages[[#This Row],[Estimated labor hours]],1,0)</f>
        <v>1</v>
      </c>
      <c r="R575" s="51">
        <f>tblWorkPackages[[#This Row],[Actual labor hours]]-tblWorkPackages[[#This Row],[Estimated labor hours]]</f>
        <v>4.1</v>
      </c>
      <c r="S575" s="51" t="str">
        <f>IF(tblWorkPackages[[#This Row],[Request date serial]]&lt;ValidationStart,"Train 2024",IF(tblWorkPackages[[#This Row],[Request date serial]]&lt;HoldoutStart,"Validation H1","Holdout H2"))</f>
        <v>Validation H1</v>
      </c>
      <c r="T575" s="51">
        <f>IF(tblWorkPackages[[#This Row],[Time split]]="Train 2024","",tblWorkPackages[[#This Row],[Estimated labor hours]]+VLOOKUP(tblWorkPackages[[#This Row],[Task type]],'Forecast validation'!$A$14:$E$25,IF(tblWorkPackages[[#This Row],[Time split]]="Validation H1",4,5),FALSE()))</f>
        <v>25.5029850746269</v>
      </c>
      <c r="U575" s="51">
        <f>IF(tblWorkPackages[[#This Row],[Calibrated forecast hours]]="","",ABS(tblWorkPackages[[#This Row],[Actual labor hours]]-tblWorkPackages[[#This Row],[Calibrated forecast hours]]))</f>
        <v>2.99701492537314</v>
      </c>
      <c r="V575" s="51">
        <f>IF(tblWorkPackages[[#This Row],[Time split]]="Train 2024",tblWorkPackages[[#This Row],[Estimated labor hours]],tblWorkPackages[[#This Row],[Calibrated forecast hours]])</f>
        <v>25.5029850746269</v>
      </c>
      <c r="W575" s="64">
        <f>DATEVALUE(tblWorkPackages[[#This Row],[Request date]])</f>
        <v>45744.0</v>
      </c>
      <c r="X575" s="64">
        <f>DATEVALUE(tblWorkPackages[[#This Row],[Due date]])</f>
        <v>45757.0</v>
      </c>
      <c r="Y575" s="64">
        <f>DATEVALUE(tblWorkPackages[[#This Row],[Completion date]])</f>
        <v>45761.0</v>
      </c>
      <c r="Z575" s="64">
        <f>_xlfn.MINIFS(tblLaborEntries[Work date serial],tblLaborEntries[Work package ID],tblWorkPackages[[#This Row],[Work package ID]])</f>
        <v>45758.0</v>
      </c>
      <c r="AA575" s="64">
        <f>_xlfn.MAXIFS(tblLaborEntries[Work date serial],tblLaborEntries[Work package ID],tblWorkPackages[[#This Row],[Work package ID]])</f>
        <v>45760.0</v>
      </c>
      <c r="AB575" s="65">
        <f>IF(tblWorkPackages[[#This Row],[Completion date serial]]&gt;tblWorkPackages[[#This Row],[Due date serial]],1,0)</f>
        <v>1</v>
      </c>
      <c r="AC575" s="65">
        <f>MAX(0,tblWorkPackages[[#This Row],[Completion date serial]]-tblWorkPackages[[#This Row],[Due date serial]])</f>
        <v>4</v>
      </c>
      <c r="AD575" s="65">
        <f>tblWorkPackages[[#This Row],[First labor date]]-tblWorkPackages[[#This Row],[Request date serial]]</f>
        <v>14</v>
      </c>
      <c r="AE575" s="65">
        <f>tblWorkPackages[[#This Row],[Last labor date]]-tblWorkPackages[[#This Row],[First labor date]]</f>
        <v>2</v>
      </c>
      <c r="AF575" s="65">
        <f>tblWorkPackages[[#This Row],[Completion date serial]]-tblWorkPackages[[#This Row],[Last labor date]]</f>
        <v>1</v>
      </c>
      <c r="AG575" s="65">
        <f>tblWorkPackages[[#This Row],[Completion date serial]]-tblWorkPackages[[#This Row],[Request date serial]]</f>
        <v>17</v>
      </c>
      <c r="AH575" s="65">
        <f>IFERROR(INDEX(tblParts[Delay days],MATCH(tblWorkPackages[[#This Row],[Work package ID]],tblParts[Work package ID],0)),0)</f>
        <v>0</v>
      </c>
      <c r="AI575" s="51" t="str">
        <f>IFERROR(INDEX(tblDisruptions[Event type],MATCH(tblWorkPackages[[#This Row],[Work package ID]],tblDisruptions[Work package ID],0)),"None")</f>
        <v>None</v>
      </c>
      <c r="AJ575" s="51" t="str">
        <f>TEXT(tblWorkPackages[[#This Row],[Due date serial]],"yyyy-mm")</f>
        <v>2025-04</v>
      </c>
    </row>
    <row r="576" spans="1:36" ht="15" x14ac:dyDescent="0.25">
      <c r="A576" s="53" t="s">
        <v>1411</v>
      </c>
      <c r="B576" s="53" t="s">
        <v>150</v>
      </c>
      <c r="C576" s="53" t="s">
        <v>204</v>
      </c>
      <c r="D576" s="53" t="s">
        <v>205</v>
      </c>
      <c r="E576" s="53" t="s">
        <v>160</v>
      </c>
      <c r="F576" s="53" t="s">
        <v>128</v>
      </c>
      <c r="G576" s="53" t="s">
        <v>138</v>
      </c>
      <c r="H576" s="53">
        <v>1</v>
      </c>
      <c r="I576" s="53" t="s">
        <v>130</v>
      </c>
      <c r="J576" s="53">
        <v>0</v>
      </c>
      <c r="K576" s="53">
        <v>0</v>
      </c>
      <c r="L576" s="53">
        <v>2.8</v>
      </c>
      <c r="M576" s="53" t="s">
        <v>535</v>
      </c>
      <c r="N576" s="53">
        <v>3.1</v>
      </c>
      <c r="O576" s="51" t="str">
        <f>TEXT(tblWorkPackages[[#This Row],[Request date serial]]-WEEKDAY(tblWorkPackages[[#This Row],[Request date serial]],3),"yyyy-mm-dd")</f>
        <v>2024-10-28</v>
      </c>
      <c r="P576" s="51">
        <f>ABS(tblWorkPackages[[#This Row],[Actual labor hours]]-tblWorkPackages[[#This Row],[Estimated labor hours]])</f>
        <v>0.3</v>
      </c>
      <c r="Q576" s="51">
        <f>IF(tblWorkPackages[[#This Row],[Actual labor hours]]&gt;tblWorkPackages[[#This Row],[Estimated labor hours]],1,0)</f>
        <v>1</v>
      </c>
      <c r="R576" s="51">
        <f>tblWorkPackages[[#This Row],[Actual labor hours]]-tblWorkPackages[[#This Row],[Estimated labor hours]]</f>
        <v>0.3</v>
      </c>
      <c r="S576" s="51" t="str">
        <f>IF(tblWorkPackages[[#This Row],[Request date serial]]&lt;ValidationStart,"Train 2024",IF(tblWorkPackages[[#This Row],[Request date serial]]&lt;HoldoutStart,"Validation H1","Holdout H2"))</f>
        <v>Train 2024</v>
      </c>
      <c r="T576" s="51" t="str">
        <f>IF(tblWorkPackages[[#This Row],[Time split]]="Train 2024","",tblWorkPackages[[#This Row],[Estimated labor hours]]+VLOOKUP(tblWorkPackages[[#This Row],[Task type]],'Forecast validation'!$A$14:$E$25,IF(tblWorkPackages[[#This Row],[Time split]]="Validation H1",4,5),FALSE()))</f>
        <v/>
      </c>
      <c r="U576" s="51" t="str">
        <f>IF(tblWorkPackages[[#This Row],[Calibrated forecast hours]]="","",ABS(tblWorkPackages[[#This Row],[Actual labor hours]]-tblWorkPackages[[#This Row],[Calibrated forecast hours]]))</f>
        <v/>
      </c>
      <c r="V576" s="51">
        <f>IF(tblWorkPackages[[#This Row],[Time split]]="Train 2024",tblWorkPackages[[#This Row],[Estimated labor hours]],tblWorkPackages[[#This Row],[Calibrated forecast hours]])</f>
        <v>2.8</v>
      </c>
      <c r="W576" s="64">
        <f>DATEVALUE(tblWorkPackages[[#This Row],[Request date]])</f>
        <v>45596.0</v>
      </c>
      <c r="X576" s="64">
        <f>DATEVALUE(tblWorkPackages[[#This Row],[Due date]])</f>
        <v>45609.0</v>
      </c>
      <c r="Y576" s="64">
        <f>DATEVALUE(tblWorkPackages[[#This Row],[Completion date]])</f>
        <v>45602.0</v>
      </c>
      <c r="Z576" s="64">
        <f>_xlfn.MINIFS(tblLaborEntries[Work date serial],tblLaborEntries[Work package ID],tblWorkPackages[[#This Row],[Work package ID]])</f>
        <v>45599.0</v>
      </c>
      <c r="AA576" s="64">
        <f>_xlfn.MAXIFS(tblLaborEntries[Work date serial],tblLaborEntries[Work package ID],tblWorkPackages[[#This Row],[Work package ID]])</f>
        <v>45600.0</v>
      </c>
      <c r="AB576" s="65">
        <f>IF(tblWorkPackages[[#This Row],[Completion date serial]]&gt;tblWorkPackages[[#This Row],[Due date serial]],1,0)</f>
        <v>0</v>
      </c>
      <c r="AC576" s="65">
        <f>MAX(0,tblWorkPackages[[#This Row],[Completion date serial]]-tblWorkPackages[[#This Row],[Due date serial]])</f>
        <v>0</v>
      </c>
      <c r="AD576" s="65">
        <f>tblWorkPackages[[#This Row],[First labor date]]-tblWorkPackages[[#This Row],[Request date serial]]</f>
        <v>3</v>
      </c>
      <c r="AE576" s="65">
        <f>tblWorkPackages[[#This Row],[Last labor date]]-tblWorkPackages[[#This Row],[First labor date]]</f>
        <v>1</v>
      </c>
      <c r="AF576" s="65">
        <f>tblWorkPackages[[#This Row],[Completion date serial]]-tblWorkPackages[[#This Row],[Last labor date]]</f>
        <v>2</v>
      </c>
      <c r="AG576" s="65">
        <f>tblWorkPackages[[#This Row],[Completion date serial]]-tblWorkPackages[[#This Row],[Request date serial]]</f>
        <v>6</v>
      </c>
      <c r="AH576" s="65">
        <f>IFERROR(INDEX(tblParts[Delay days],MATCH(tblWorkPackages[[#This Row],[Work package ID]],tblParts[Work package ID],0)),0)</f>
        <v>0</v>
      </c>
      <c r="AI576" s="51" t="str">
        <f>IFERROR(INDEX(tblDisruptions[Event type],MATCH(tblWorkPackages[[#This Row],[Work package ID]],tblDisruptions[Work package ID],0)),"None")</f>
        <v>None</v>
      </c>
      <c r="AJ576" s="51" t="str">
        <f>TEXT(tblWorkPackages[[#This Row],[Due date serial]],"yyyy-mm")</f>
        <v>2024-11</v>
      </c>
    </row>
    <row r="577" spans="1:36" ht="15" x14ac:dyDescent="0.25">
      <c r="A577" s="53" t="s">
        <v>1412</v>
      </c>
      <c r="B577" s="53" t="s">
        <v>185</v>
      </c>
      <c r="C577" s="53" t="s">
        <v>545</v>
      </c>
      <c r="D577" s="53" t="s">
        <v>546</v>
      </c>
      <c r="E577" s="53" t="s">
        <v>200</v>
      </c>
      <c r="F577" s="53" t="s">
        <v>128</v>
      </c>
      <c r="G577" s="53" t="s">
        <v>129</v>
      </c>
      <c r="H577" s="53">
        <v>2</v>
      </c>
      <c r="I577" s="53" t="s">
        <v>130</v>
      </c>
      <c r="J577" s="53">
        <v>0</v>
      </c>
      <c r="K577" s="53">
        <v>0</v>
      </c>
      <c r="L577" s="53">
        <v>3.2</v>
      </c>
      <c r="M577" s="53" t="s">
        <v>475</v>
      </c>
      <c r="N577" s="53">
        <v>2.9</v>
      </c>
      <c r="O577" s="51" t="str">
        <f>TEXT(tblWorkPackages[[#This Row],[Request date serial]]-WEEKDAY(tblWorkPackages[[#This Row],[Request date serial]],3),"yyyy-mm-dd")</f>
        <v>2024-01-01</v>
      </c>
      <c r="P577" s="51">
        <f>ABS(tblWorkPackages[[#This Row],[Actual labor hours]]-tblWorkPackages[[#This Row],[Estimated labor hours]])</f>
        <v>0.3</v>
      </c>
      <c r="Q577" s="51">
        <f>IF(tblWorkPackages[[#This Row],[Actual labor hours]]&gt;tblWorkPackages[[#This Row],[Estimated labor hours]],1,0)</f>
        <v>0</v>
      </c>
      <c r="R577" s="51">
        <f>tblWorkPackages[[#This Row],[Actual labor hours]]-tblWorkPackages[[#This Row],[Estimated labor hours]]</f>
        <v>-0.3</v>
      </c>
      <c r="S577" s="51" t="str">
        <f>IF(tblWorkPackages[[#This Row],[Request date serial]]&lt;ValidationStart,"Train 2024",IF(tblWorkPackages[[#This Row],[Request date serial]]&lt;HoldoutStart,"Validation H1","Holdout H2"))</f>
        <v>Train 2024</v>
      </c>
      <c r="T577" s="51" t="str">
        <f>IF(tblWorkPackages[[#This Row],[Time split]]="Train 2024","",tblWorkPackages[[#This Row],[Estimated labor hours]]+VLOOKUP(tblWorkPackages[[#This Row],[Task type]],'Forecast validation'!$A$14:$E$25,IF(tblWorkPackages[[#This Row],[Time split]]="Validation H1",4,5),FALSE()))</f>
        <v/>
      </c>
      <c r="U577" s="51" t="str">
        <f>IF(tblWorkPackages[[#This Row],[Calibrated forecast hours]]="","",ABS(tblWorkPackages[[#This Row],[Actual labor hours]]-tblWorkPackages[[#This Row],[Calibrated forecast hours]]))</f>
        <v/>
      </c>
      <c r="V577" s="51">
        <f>IF(tblWorkPackages[[#This Row],[Time split]]="Train 2024",tblWorkPackages[[#This Row],[Estimated labor hours]],tblWorkPackages[[#This Row],[Calibrated forecast hours]])</f>
        <v>3.2</v>
      </c>
      <c r="W577" s="64">
        <f>DATEVALUE(tblWorkPackages[[#This Row],[Request date]])</f>
        <v>45293.0</v>
      </c>
      <c r="X577" s="64">
        <f>DATEVALUE(tblWorkPackages[[#This Row],[Due date]])</f>
        <v>45306.0</v>
      </c>
      <c r="Y577" s="64">
        <f>DATEVALUE(tblWorkPackages[[#This Row],[Completion date]])</f>
        <v>45353.0</v>
      </c>
      <c r="Z577" s="64">
        <f>_xlfn.MINIFS(tblLaborEntries[Work date serial],tblLaborEntries[Work package ID],tblWorkPackages[[#This Row],[Work package ID]])</f>
        <v>45348.0</v>
      </c>
      <c r="AA577" s="64">
        <f>_xlfn.MAXIFS(tblLaborEntries[Work date serial],tblLaborEntries[Work package ID],tblWorkPackages[[#This Row],[Work package ID]])</f>
        <v>45350.0</v>
      </c>
      <c r="AB577" s="65">
        <f>IF(tblWorkPackages[[#This Row],[Completion date serial]]&gt;tblWorkPackages[[#This Row],[Due date serial]],1,0)</f>
        <v>1</v>
      </c>
      <c r="AC577" s="65">
        <f>MAX(0,tblWorkPackages[[#This Row],[Completion date serial]]-tblWorkPackages[[#This Row],[Due date serial]])</f>
        <v>47</v>
      </c>
      <c r="AD577" s="65">
        <f>tblWorkPackages[[#This Row],[First labor date]]-tblWorkPackages[[#This Row],[Request date serial]]</f>
        <v>55</v>
      </c>
      <c r="AE577" s="65">
        <f>tblWorkPackages[[#This Row],[Last labor date]]-tblWorkPackages[[#This Row],[First labor date]]</f>
        <v>2</v>
      </c>
      <c r="AF577" s="65">
        <f>tblWorkPackages[[#This Row],[Completion date serial]]-tblWorkPackages[[#This Row],[Last labor date]]</f>
        <v>3</v>
      </c>
      <c r="AG577" s="65">
        <f>tblWorkPackages[[#This Row],[Completion date serial]]-tblWorkPackages[[#This Row],[Request date serial]]</f>
        <v>60</v>
      </c>
      <c r="AH577" s="65">
        <f>IFERROR(INDEX(tblParts[Delay days],MATCH(tblWorkPackages[[#This Row],[Work package ID]],tblParts[Work package ID],0)),0)</f>
        <v>0</v>
      </c>
      <c r="AI577" s="51" t="str">
        <f>IFERROR(INDEX(tblDisruptions[Event type],MATCH(tblWorkPackages[[#This Row],[Work package ID]],tblDisruptions[Work package ID],0)),"None")</f>
        <v>None</v>
      </c>
      <c r="AJ577" s="51" t="str">
        <f>TEXT(tblWorkPackages[[#This Row],[Due date serial]],"yyyy-mm")</f>
        <v>2024-01</v>
      </c>
    </row>
    <row r="578" spans="1:36" ht="15" x14ac:dyDescent="0.25">
      <c r="A578" s="53" t="s">
        <v>1413</v>
      </c>
      <c r="B578" s="53" t="s">
        <v>133</v>
      </c>
      <c r="C578" s="53" t="s">
        <v>824</v>
      </c>
      <c r="D578" s="53" t="s">
        <v>555</v>
      </c>
      <c r="E578" s="53" t="s">
        <v>160</v>
      </c>
      <c r="F578" s="53" t="s">
        <v>128</v>
      </c>
      <c r="G578" s="53" t="s">
        <v>138</v>
      </c>
      <c r="H578" s="53">
        <v>3</v>
      </c>
      <c r="I578" s="53" t="s">
        <v>147</v>
      </c>
      <c r="J578" s="53">
        <v>1</v>
      </c>
      <c r="K578" s="53">
        <v>1</v>
      </c>
      <c r="L578" s="53">
        <v>5.3</v>
      </c>
      <c r="M578" s="53" t="s">
        <v>161</v>
      </c>
      <c r="N578" s="53">
        <v>6.6</v>
      </c>
      <c r="O578" s="51" t="str">
        <f>TEXT(tblWorkPackages[[#This Row],[Request date serial]]-WEEKDAY(tblWorkPackages[[#This Row],[Request date serial]],3),"yyyy-mm-dd")</f>
        <v>2024-11-18</v>
      </c>
      <c r="P578" s="51">
        <f>ABS(tblWorkPackages[[#This Row],[Actual labor hours]]-tblWorkPackages[[#This Row],[Estimated labor hours]])</f>
        <v>1.3</v>
      </c>
      <c r="Q578" s="51">
        <f>IF(tblWorkPackages[[#This Row],[Actual labor hours]]&gt;tblWorkPackages[[#This Row],[Estimated labor hours]],1,0)</f>
        <v>1</v>
      </c>
      <c r="R578" s="51">
        <f>tblWorkPackages[[#This Row],[Actual labor hours]]-tblWorkPackages[[#This Row],[Estimated labor hours]]</f>
        <v>1.3</v>
      </c>
      <c r="S578" s="51" t="str">
        <f>IF(tblWorkPackages[[#This Row],[Request date serial]]&lt;ValidationStart,"Train 2024",IF(tblWorkPackages[[#This Row],[Request date serial]]&lt;HoldoutStart,"Validation H1","Holdout H2"))</f>
        <v>Train 2024</v>
      </c>
      <c r="T578" s="51" t="str">
        <f>IF(tblWorkPackages[[#This Row],[Time split]]="Train 2024","",tblWorkPackages[[#This Row],[Estimated labor hours]]+VLOOKUP(tblWorkPackages[[#This Row],[Task type]],'Forecast validation'!$A$14:$E$25,IF(tblWorkPackages[[#This Row],[Time split]]="Validation H1",4,5),FALSE()))</f>
        <v/>
      </c>
      <c r="U578" s="51" t="str">
        <f>IF(tblWorkPackages[[#This Row],[Calibrated forecast hours]]="","",ABS(tblWorkPackages[[#This Row],[Actual labor hours]]-tblWorkPackages[[#This Row],[Calibrated forecast hours]]))</f>
        <v/>
      </c>
      <c r="V578" s="51">
        <f>IF(tblWorkPackages[[#This Row],[Time split]]="Train 2024",tblWorkPackages[[#This Row],[Estimated labor hours]],tblWorkPackages[[#This Row],[Calibrated forecast hours]])</f>
        <v>5.3</v>
      </c>
      <c r="W578" s="64">
        <f>DATEVALUE(tblWorkPackages[[#This Row],[Request date]])</f>
        <v>45620.0</v>
      </c>
      <c r="X578" s="64">
        <f>DATEVALUE(tblWorkPackages[[#This Row],[Due date]])</f>
        <v>45622.0</v>
      </c>
      <c r="Y578" s="64">
        <f>DATEVALUE(tblWorkPackages[[#This Row],[Completion date]])</f>
        <v>45628.0</v>
      </c>
      <c r="Z578" s="64">
        <f>_xlfn.MINIFS(tblLaborEntries[Work date serial],tblLaborEntries[Work package ID],tblWorkPackages[[#This Row],[Work package ID]])</f>
        <v>45628.0</v>
      </c>
      <c r="AA578" s="64">
        <f>_xlfn.MAXIFS(tblLaborEntries[Work date serial],tblLaborEntries[Work package ID],tblWorkPackages[[#This Row],[Work package ID]])</f>
        <v>45628.0</v>
      </c>
      <c r="AB578" s="65">
        <f>IF(tblWorkPackages[[#This Row],[Completion date serial]]&gt;tblWorkPackages[[#This Row],[Due date serial]],1,0)</f>
        <v>1</v>
      </c>
      <c r="AC578" s="65">
        <f>MAX(0,tblWorkPackages[[#This Row],[Completion date serial]]-tblWorkPackages[[#This Row],[Due date serial]])</f>
        <v>6</v>
      </c>
      <c r="AD578" s="65">
        <f>tblWorkPackages[[#This Row],[First labor date]]-tblWorkPackages[[#This Row],[Request date serial]]</f>
        <v>8</v>
      </c>
      <c r="AE578" s="65">
        <f>tblWorkPackages[[#This Row],[Last labor date]]-tblWorkPackages[[#This Row],[First labor date]]</f>
        <v>0</v>
      </c>
      <c r="AF578" s="65">
        <f>tblWorkPackages[[#This Row],[Completion date serial]]-tblWorkPackages[[#This Row],[Last labor date]]</f>
        <v>0</v>
      </c>
      <c r="AG578" s="65">
        <f>tblWorkPackages[[#This Row],[Completion date serial]]-tblWorkPackages[[#This Row],[Request date serial]]</f>
        <v>8</v>
      </c>
      <c r="AH578" s="65">
        <f>IFERROR(INDEX(tblParts[Delay days],MATCH(tblWorkPackages[[#This Row],[Work package ID]],tblParts[Work package ID],0)),0)</f>
        <v>0</v>
      </c>
      <c r="AI578" s="51" t="str">
        <f>IFERROR(INDEX(tblDisruptions[Event type],MATCH(tblWorkPackages[[#This Row],[Work package ID]],tblDisruptions[Work package ID],0)),"None")</f>
        <v>None</v>
      </c>
      <c r="AJ578" s="51" t="str">
        <f>TEXT(tblWorkPackages[[#This Row],[Due date serial]],"yyyy-mm")</f>
        <v>2024-11</v>
      </c>
    </row>
    <row r="579" spans="1:36" ht="15" x14ac:dyDescent="0.25">
      <c r="A579" s="53" t="s">
        <v>1414</v>
      </c>
      <c r="B579" s="53" t="s">
        <v>133</v>
      </c>
      <c r="C579" s="53" t="s">
        <v>1409</v>
      </c>
      <c r="D579" s="53" t="s">
        <v>1012</v>
      </c>
      <c r="E579" s="53" t="s">
        <v>160</v>
      </c>
      <c r="F579" s="53" t="s">
        <v>128</v>
      </c>
      <c r="G579" s="53" t="s">
        <v>138</v>
      </c>
      <c r="H579" s="53">
        <v>2</v>
      </c>
      <c r="I579" s="53" t="s">
        <v>130</v>
      </c>
      <c r="J579" s="53">
        <v>1</v>
      </c>
      <c r="K579" s="53">
        <v>0</v>
      </c>
      <c r="L579" s="53">
        <v>4.0999999999999996</v>
      </c>
      <c r="M579" s="53" t="s">
        <v>1151</v>
      </c>
      <c r="N579" s="53">
        <v>6.1</v>
      </c>
      <c r="O579" s="51" t="str">
        <f>TEXT(tblWorkPackages[[#This Row],[Request date serial]]-WEEKDAY(tblWorkPackages[[#This Row],[Request date serial]],3),"yyyy-mm-dd")</f>
        <v>2025-08-04</v>
      </c>
      <c r="P579" s="51">
        <f>ABS(tblWorkPackages[[#This Row],[Actual labor hours]]-tblWorkPackages[[#This Row],[Estimated labor hours]])</f>
        <v>2</v>
      </c>
      <c r="Q579" s="51">
        <f>IF(tblWorkPackages[[#This Row],[Actual labor hours]]&gt;tblWorkPackages[[#This Row],[Estimated labor hours]],1,0)</f>
        <v>1</v>
      </c>
      <c r="R579" s="51">
        <f>tblWorkPackages[[#This Row],[Actual labor hours]]-tblWorkPackages[[#This Row],[Estimated labor hours]]</f>
        <v>2</v>
      </c>
      <c r="S579" s="51" t="str">
        <f>IF(tblWorkPackages[[#This Row],[Request date serial]]&lt;ValidationStart,"Train 2024",IF(tblWorkPackages[[#This Row],[Request date serial]]&lt;HoldoutStart,"Validation H1","Holdout H2"))</f>
        <v>Holdout H2</v>
      </c>
      <c r="T579" s="51">
        <f>IF(tblWorkPackages[[#This Row],[Time split]]="Train 2024","",tblWorkPackages[[#This Row],[Estimated labor hours]]+VLOOKUP(tblWorkPackages[[#This Row],[Task type]],'Forecast validation'!$A$14:$E$25,IF(tblWorkPackages[[#This Row],[Time split]]="Validation H1",4,5),FALSE()))</f>
        <v>4.53739837398374</v>
      </c>
      <c r="U579" s="51">
        <f>IF(tblWorkPackages[[#This Row],[Calibrated forecast hours]]="","",ABS(tblWorkPackages[[#This Row],[Actual labor hours]]-tblWorkPackages[[#This Row],[Calibrated forecast hours]]))</f>
        <v>1.56260162601626</v>
      </c>
      <c r="V579" s="51">
        <f>IF(tblWorkPackages[[#This Row],[Time split]]="Train 2024",tblWorkPackages[[#This Row],[Estimated labor hours]],tblWorkPackages[[#This Row],[Calibrated forecast hours]])</f>
        <v>4.53739837398374</v>
      </c>
      <c r="W579" s="64">
        <f>DATEVALUE(tblWorkPackages[[#This Row],[Request date]])</f>
        <v>45875.0</v>
      </c>
      <c r="X579" s="64">
        <f>DATEVALUE(tblWorkPackages[[#This Row],[Due date]])</f>
        <v>45888.0</v>
      </c>
      <c r="Y579" s="64">
        <f>DATEVALUE(tblWorkPackages[[#This Row],[Completion date]])</f>
        <v>45880.0</v>
      </c>
      <c r="Z579" s="64">
        <f>_xlfn.MINIFS(tblLaborEntries[Work date serial],tblLaborEntries[Work package ID],tblWorkPackages[[#This Row],[Work package ID]])</f>
        <v>45877.0</v>
      </c>
      <c r="AA579" s="64">
        <f>_xlfn.MAXIFS(tblLaborEntries[Work date serial],tblLaborEntries[Work package ID],tblWorkPackages[[#This Row],[Work package ID]])</f>
        <v>45879.0</v>
      </c>
      <c r="AB579" s="65">
        <f>IF(tblWorkPackages[[#This Row],[Completion date serial]]&gt;tblWorkPackages[[#This Row],[Due date serial]],1,0)</f>
        <v>0</v>
      </c>
      <c r="AC579" s="65">
        <f>MAX(0,tblWorkPackages[[#This Row],[Completion date serial]]-tblWorkPackages[[#This Row],[Due date serial]])</f>
        <v>0</v>
      </c>
      <c r="AD579" s="65">
        <f>tblWorkPackages[[#This Row],[First labor date]]-tblWorkPackages[[#This Row],[Request date serial]]</f>
        <v>2</v>
      </c>
      <c r="AE579" s="65">
        <f>tblWorkPackages[[#This Row],[Last labor date]]-tblWorkPackages[[#This Row],[First labor date]]</f>
        <v>2</v>
      </c>
      <c r="AF579" s="65">
        <f>tblWorkPackages[[#This Row],[Completion date serial]]-tblWorkPackages[[#This Row],[Last labor date]]</f>
        <v>1</v>
      </c>
      <c r="AG579" s="65">
        <f>tblWorkPackages[[#This Row],[Completion date serial]]-tblWorkPackages[[#This Row],[Request date serial]]</f>
        <v>5</v>
      </c>
      <c r="AH579" s="65">
        <f>IFERROR(INDEX(tblParts[Delay days],MATCH(tblWorkPackages[[#This Row],[Work package ID]],tblParts[Work package ID],0)),0)</f>
        <v>0</v>
      </c>
      <c r="AI579" s="51" t="str">
        <f>IFERROR(INDEX(tblDisruptions[Event type],MATCH(tblWorkPackages[[#This Row],[Work package ID]],tblDisruptions[Work package ID],0)),"None")</f>
        <v>None</v>
      </c>
      <c r="AJ579" s="51" t="str">
        <f>TEXT(tblWorkPackages[[#This Row],[Due date serial]],"yyyy-mm")</f>
        <v>2025-08</v>
      </c>
    </row>
    <row r="580" spans="1:36" ht="15" x14ac:dyDescent="0.25">
      <c r="A580" s="53" t="s">
        <v>1415</v>
      </c>
      <c r="B580" s="53" t="s">
        <v>124</v>
      </c>
      <c r="C580" s="53" t="s">
        <v>1289</v>
      </c>
      <c r="D580" s="53" t="s">
        <v>900</v>
      </c>
      <c r="E580" s="53" t="s">
        <v>136</v>
      </c>
      <c r="F580" s="53" t="s">
        <v>137</v>
      </c>
      <c r="G580" s="53" t="s">
        <v>138</v>
      </c>
      <c r="H580" s="53">
        <v>4</v>
      </c>
      <c r="I580" s="53" t="s">
        <v>176</v>
      </c>
      <c r="J580" s="53">
        <v>0</v>
      </c>
      <c r="K580" s="53">
        <v>1</v>
      </c>
      <c r="L580" s="53">
        <v>29.6</v>
      </c>
      <c r="M580" s="53" t="s">
        <v>590</v>
      </c>
      <c r="N580" s="53">
        <v>37</v>
      </c>
      <c r="O580" s="51" t="str">
        <f>TEXT(tblWorkPackages[[#This Row],[Request date serial]]-WEEKDAY(tblWorkPackages[[#This Row],[Request date serial]],3),"yyyy-mm-dd")</f>
        <v>2025-03-03</v>
      </c>
      <c r="P580" s="51">
        <f>ABS(tblWorkPackages[[#This Row],[Actual labor hours]]-tblWorkPackages[[#This Row],[Estimated labor hours]])</f>
        <v>7.4</v>
      </c>
      <c r="Q580" s="51">
        <f>IF(tblWorkPackages[[#This Row],[Actual labor hours]]&gt;tblWorkPackages[[#This Row],[Estimated labor hours]],1,0)</f>
        <v>1</v>
      </c>
      <c r="R580" s="51">
        <f>tblWorkPackages[[#This Row],[Actual labor hours]]-tblWorkPackages[[#This Row],[Estimated labor hours]]</f>
        <v>7.4</v>
      </c>
      <c r="S580" s="51" t="str">
        <f>IF(tblWorkPackages[[#This Row],[Request date serial]]&lt;ValidationStart,"Train 2024",IF(tblWorkPackages[[#This Row],[Request date serial]]&lt;HoldoutStart,"Validation H1","Holdout H2"))</f>
        <v>Validation H1</v>
      </c>
      <c r="T580" s="51">
        <f>IF(tblWorkPackages[[#This Row],[Time split]]="Train 2024","",tblWorkPackages[[#This Row],[Estimated labor hours]]+VLOOKUP(tblWorkPackages[[#This Row],[Task type]],'Forecast validation'!$A$14:$E$25,IF(tblWorkPackages[[#This Row],[Time split]]="Validation H1",4,5),FALSE()))</f>
        <v>30.4765306122449</v>
      </c>
      <c r="U580" s="51">
        <f>IF(tblWorkPackages[[#This Row],[Calibrated forecast hours]]="","",ABS(tblWorkPackages[[#This Row],[Actual labor hours]]-tblWorkPackages[[#This Row],[Calibrated forecast hours]]))</f>
        <v>6.5234693877551</v>
      </c>
      <c r="V580" s="51">
        <f>IF(tblWorkPackages[[#This Row],[Time split]]="Train 2024",tblWorkPackages[[#This Row],[Estimated labor hours]],tblWorkPackages[[#This Row],[Calibrated forecast hours]])</f>
        <v>30.4765306122449</v>
      </c>
      <c r="W580" s="64">
        <f>DATEVALUE(tblWorkPackages[[#This Row],[Request date]])</f>
        <v>45722.0</v>
      </c>
      <c r="X580" s="64">
        <f>DATEVALUE(tblWorkPackages[[#This Row],[Due date]])</f>
        <v>45728.0</v>
      </c>
      <c r="Y580" s="64">
        <f>DATEVALUE(tblWorkPackages[[#This Row],[Completion date]])</f>
        <v>45745.0</v>
      </c>
      <c r="Z580" s="64">
        <f>_xlfn.MINIFS(tblLaborEntries[Work date serial],tblLaborEntries[Work package ID],tblWorkPackages[[#This Row],[Work package ID]])</f>
        <v>45742.0</v>
      </c>
      <c r="AA580" s="64">
        <f>_xlfn.MAXIFS(tblLaborEntries[Work date serial],tblLaborEntries[Work package ID],tblWorkPackages[[#This Row],[Work package ID]])</f>
        <v>45743.0</v>
      </c>
      <c r="AB580" s="65">
        <f>IF(tblWorkPackages[[#This Row],[Completion date serial]]&gt;tblWorkPackages[[#This Row],[Due date serial]],1,0)</f>
        <v>1</v>
      </c>
      <c r="AC580" s="65">
        <f>MAX(0,tblWorkPackages[[#This Row],[Completion date serial]]-tblWorkPackages[[#This Row],[Due date serial]])</f>
        <v>17</v>
      </c>
      <c r="AD580" s="65">
        <f>tblWorkPackages[[#This Row],[First labor date]]-tblWorkPackages[[#This Row],[Request date serial]]</f>
        <v>20</v>
      </c>
      <c r="AE580" s="65">
        <f>tblWorkPackages[[#This Row],[Last labor date]]-tblWorkPackages[[#This Row],[First labor date]]</f>
        <v>1</v>
      </c>
      <c r="AF580" s="65">
        <f>tblWorkPackages[[#This Row],[Completion date serial]]-tblWorkPackages[[#This Row],[Last labor date]]</f>
        <v>2</v>
      </c>
      <c r="AG580" s="65">
        <f>tblWorkPackages[[#This Row],[Completion date serial]]-tblWorkPackages[[#This Row],[Request date serial]]</f>
        <v>23</v>
      </c>
      <c r="AH580" s="65">
        <f>IFERROR(INDEX(tblParts[Delay days],MATCH(tblWorkPackages[[#This Row],[Work package ID]],tblParts[Work package ID],0)),0)</f>
        <v>0</v>
      </c>
      <c r="AI580" s="51" t="str">
        <f>IFERROR(INDEX(tblDisruptions[Event type],MATCH(tblWorkPackages[[#This Row],[Work package ID]],tblDisruptions[Work package ID],0)),"None")</f>
        <v>None</v>
      </c>
      <c r="AJ580" s="51" t="str">
        <f>TEXT(tblWorkPackages[[#This Row],[Due date serial]],"yyyy-mm")</f>
        <v>2025-03</v>
      </c>
    </row>
    <row r="581" spans="1:36" ht="15" x14ac:dyDescent="0.25">
      <c r="A581" s="53" t="s">
        <v>1416</v>
      </c>
      <c r="B581" s="53" t="s">
        <v>157</v>
      </c>
      <c r="C581" s="53" t="s">
        <v>1417</v>
      </c>
      <c r="D581" s="53" t="s">
        <v>457</v>
      </c>
      <c r="E581" s="53" t="s">
        <v>242</v>
      </c>
      <c r="F581" s="53" t="s">
        <v>243</v>
      </c>
      <c r="G581" s="53" t="s">
        <v>129</v>
      </c>
      <c r="H581" s="53">
        <v>3</v>
      </c>
      <c r="I581" s="53" t="s">
        <v>130</v>
      </c>
      <c r="J581" s="53">
        <v>0</v>
      </c>
      <c r="K581" s="53">
        <v>0</v>
      </c>
      <c r="L581" s="53">
        <v>10.199999999999999</v>
      </c>
      <c r="M581" s="53" t="s">
        <v>837</v>
      </c>
      <c r="N581" s="53">
        <v>12.7</v>
      </c>
      <c r="O581" s="51" t="str">
        <f>TEXT(tblWorkPackages[[#This Row],[Request date serial]]-WEEKDAY(tblWorkPackages[[#This Row],[Request date serial]],3),"yyyy-mm-dd")</f>
        <v>2024-12-30</v>
      </c>
      <c r="P581" s="51">
        <f>ABS(tblWorkPackages[[#This Row],[Actual labor hours]]-tblWorkPackages[[#This Row],[Estimated labor hours]])</f>
        <v>2.5</v>
      </c>
      <c r="Q581" s="51">
        <f>IF(tblWorkPackages[[#This Row],[Actual labor hours]]&gt;tblWorkPackages[[#This Row],[Estimated labor hours]],1,0)</f>
        <v>1</v>
      </c>
      <c r="R581" s="51">
        <f>tblWorkPackages[[#This Row],[Actual labor hours]]-tblWorkPackages[[#This Row],[Estimated labor hours]]</f>
        <v>2.5</v>
      </c>
      <c r="S581" s="51" t="str">
        <f>IF(tblWorkPackages[[#This Row],[Request date serial]]&lt;ValidationStart,"Train 2024",IF(tblWorkPackages[[#This Row],[Request date serial]]&lt;HoldoutStart,"Validation H1","Holdout H2"))</f>
        <v>Train 2024</v>
      </c>
      <c r="T581" s="51" t="str">
        <f>IF(tblWorkPackages[[#This Row],[Time split]]="Train 2024","",tblWorkPackages[[#This Row],[Estimated labor hours]]+VLOOKUP(tblWorkPackages[[#This Row],[Task type]],'Forecast validation'!$A$14:$E$25,IF(tblWorkPackages[[#This Row],[Time split]]="Validation H1",4,5),FALSE()))</f>
        <v/>
      </c>
      <c r="U581" s="51" t="str">
        <f>IF(tblWorkPackages[[#This Row],[Calibrated forecast hours]]="","",ABS(tblWorkPackages[[#This Row],[Actual labor hours]]-tblWorkPackages[[#This Row],[Calibrated forecast hours]]))</f>
        <v/>
      </c>
      <c r="V581" s="51">
        <f>IF(tblWorkPackages[[#This Row],[Time split]]="Train 2024",tblWorkPackages[[#This Row],[Estimated labor hours]],tblWorkPackages[[#This Row],[Calibrated forecast hours]])</f>
        <v>10.2</v>
      </c>
      <c r="W581" s="64">
        <f>DATEVALUE(tblWorkPackages[[#This Row],[Request date]])</f>
        <v>45656.0</v>
      </c>
      <c r="X581" s="64">
        <f>DATEVALUE(tblWorkPackages[[#This Row],[Due date]])</f>
        <v>45669.0</v>
      </c>
      <c r="Y581" s="64">
        <f>DATEVALUE(tblWorkPackages[[#This Row],[Completion date]])</f>
        <v>45665.0</v>
      </c>
      <c r="Z581" s="64">
        <f>_xlfn.MINIFS(tblLaborEntries[Work date serial],tblLaborEntries[Work package ID],tblWorkPackages[[#This Row],[Work package ID]])</f>
        <v>45660.0</v>
      </c>
      <c r="AA581" s="64">
        <f>_xlfn.MAXIFS(tblLaborEntries[Work date serial],tblLaborEntries[Work package ID],tblWorkPackages[[#This Row],[Work package ID]])</f>
        <v>45662.0</v>
      </c>
      <c r="AB581" s="65">
        <f>IF(tblWorkPackages[[#This Row],[Completion date serial]]&gt;tblWorkPackages[[#This Row],[Due date serial]],1,0)</f>
        <v>0</v>
      </c>
      <c r="AC581" s="65">
        <f>MAX(0,tblWorkPackages[[#This Row],[Completion date serial]]-tblWorkPackages[[#This Row],[Due date serial]])</f>
        <v>0</v>
      </c>
      <c r="AD581" s="65">
        <f>tblWorkPackages[[#This Row],[First labor date]]-tblWorkPackages[[#This Row],[Request date serial]]</f>
        <v>4</v>
      </c>
      <c r="AE581" s="65">
        <f>tblWorkPackages[[#This Row],[Last labor date]]-tblWorkPackages[[#This Row],[First labor date]]</f>
        <v>2</v>
      </c>
      <c r="AF581" s="65">
        <f>tblWorkPackages[[#This Row],[Completion date serial]]-tblWorkPackages[[#This Row],[Last labor date]]</f>
        <v>3</v>
      </c>
      <c r="AG581" s="65">
        <f>tblWorkPackages[[#This Row],[Completion date serial]]-tblWorkPackages[[#This Row],[Request date serial]]</f>
        <v>9</v>
      </c>
      <c r="AH581" s="65">
        <f>IFERROR(INDEX(tblParts[Delay days],MATCH(tblWorkPackages[[#This Row],[Work package ID]],tblParts[Work package ID],0)),0)</f>
        <v>0</v>
      </c>
      <c r="AI581" s="51" t="str">
        <f>IFERROR(INDEX(tblDisruptions[Event type],MATCH(tblWorkPackages[[#This Row],[Work package ID]],tblDisruptions[Work package ID],0)),"None")</f>
        <v>None</v>
      </c>
      <c r="AJ581" s="51" t="str">
        <f>TEXT(tblWorkPackages[[#This Row],[Due date serial]],"yyyy-mm")</f>
        <v>2025-01</v>
      </c>
    </row>
    <row r="582" spans="1:36" ht="15" x14ac:dyDescent="0.25">
      <c r="A582" s="53" t="s">
        <v>1418</v>
      </c>
      <c r="B582" s="53" t="s">
        <v>133</v>
      </c>
      <c r="C582" s="53" t="s">
        <v>277</v>
      </c>
      <c r="D582" s="53" t="s">
        <v>1419</v>
      </c>
      <c r="E582" s="53" t="s">
        <v>136</v>
      </c>
      <c r="F582" s="53" t="s">
        <v>137</v>
      </c>
      <c r="G582" s="53" t="s">
        <v>138</v>
      </c>
      <c r="H582" s="53">
        <v>4</v>
      </c>
      <c r="I582" s="53" t="s">
        <v>176</v>
      </c>
      <c r="J582" s="53">
        <v>0</v>
      </c>
      <c r="K582" s="53">
        <v>0</v>
      </c>
      <c r="L582" s="53">
        <v>22.1</v>
      </c>
      <c r="M582" s="53" t="s">
        <v>594</v>
      </c>
      <c r="N582" s="53">
        <v>24.8</v>
      </c>
      <c r="O582" s="51" t="str">
        <f>TEXT(tblWorkPackages[[#This Row],[Request date serial]]-WEEKDAY(tblWorkPackages[[#This Row],[Request date serial]],3),"yyyy-mm-dd")</f>
        <v>2024-10-21</v>
      </c>
      <c r="P582" s="51">
        <f>ABS(tblWorkPackages[[#This Row],[Actual labor hours]]-tblWorkPackages[[#This Row],[Estimated labor hours]])</f>
        <v>2.7</v>
      </c>
      <c r="Q582" s="51">
        <f>IF(tblWorkPackages[[#This Row],[Actual labor hours]]&gt;tblWorkPackages[[#This Row],[Estimated labor hours]],1,0)</f>
        <v>1</v>
      </c>
      <c r="R582" s="51">
        <f>tblWorkPackages[[#This Row],[Actual labor hours]]-tblWorkPackages[[#This Row],[Estimated labor hours]]</f>
        <v>2.7</v>
      </c>
      <c r="S582" s="51" t="str">
        <f>IF(tblWorkPackages[[#This Row],[Request date serial]]&lt;ValidationStart,"Train 2024",IF(tblWorkPackages[[#This Row],[Request date serial]]&lt;HoldoutStart,"Validation H1","Holdout H2"))</f>
        <v>Train 2024</v>
      </c>
      <c r="T582" s="51" t="str">
        <f>IF(tblWorkPackages[[#This Row],[Time split]]="Train 2024","",tblWorkPackages[[#This Row],[Estimated labor hours]]+VLOOKUP(tblWorkPackages[[#This Row],[Task type]],'Forecast validation'!$A$14:$E$25,IF(tblWorkPackages[[#This Row],[Time split]]="Validation H1",4,5),FALSE()))</f>
        <v/>
      </c>
      <c r="U582" s="51" t="str">
        <f>IF(tblWorkPackages[[#This Row],[Calibrated forecast hours]]="","",ABS(tblWorkPackages[[#This Row],[Actual labor hours]]-tblWorkPackages[[#This Row],[Calibrated forecast hours]]))</f>
        <v/>
      </c>
      <c r="V582" s="51">
        <f>IF(tblWorkPackages[[#This Row],[Time split]]="Train 2024",tblWorkPackages[[#This Row],[Estimated labor hours]],tblWorkPackages[[#This Row],[Calibrated forecast hours]])</f>
        <v>22.1</v>
      </c>
      <c r="W582" s="64">
        <f>DATEVALUE(tblWorkPackages[[#This Row],[Request date]])</f>
        <v>45592.0</v>
      </c>
      <c r="X582" s="64">
        <f>DATEVALUE(tblWorkPackages[[#This Row],[Due date]])</f>
        <v>45598.0</v>
      </c>
      <c r="Y582" s="64">
        <f>DATEVALUE(tblWorkPackages[[#This Row],[Completion date]])</f>
        <v>45593.0</v>
      </c>
      <c r="Z582" s="64">
        <f>_xlfn.MINIFS(tblLaborEntries[Work date serial],tblLaborEntries[Work package ID],tblWorkPackages[[#This Row],[Work package ID]])</f>
        <v>45593.0</v>
      </c>
      <c r="AA582" s="64">
        <f>_xlfn.MAXIFS(tblLaborEntries[Work date serial],tblLaborEntries[Work package ID],tblWorkPackages[[#This Row],[Work package ID]])</f>
        <v>45593.0</v>
      </c>
      <c r="AB582" s="65">
        <f>IF(tblWorkPackages[[#This Row],[Completion date serial]]&gt;tblWorkPackages[[#This Row],[Due date serial]],1,0)</f>
        <v>0</v>
      </c>
      <c r="AC582" s="65">
        <f>MAX(0,tblWorkPackages[[#This Row],[Completion date serial]]-tblWorkPackages[[#This Row],[Due date serial]])</f>
        <v>0</v>
      </c>
      <c r="AD582" s="65">
        <f>tblWorkPackages[[#This Row],[First labor date]]-tblWorkPackages[[#This Row],[Request date serial]]</f>
        <v>1</v>
      </c>
      <c r="AE582" s="65">
        <f>tblWorkPackages[[#This Row],[Last labor date]]-tblWorkPackages[[#This Row],[First labor date]]</f>
        <v>0</v>
      </c>
      <c r="AF582" s="65">
        <f>tblWorkPackages[[#This Row],[Completion date serial]]-tblWorkPackages[[#This Row],[Last labor date]]</f>
        <v>0</v>
      </c>
      <c r="AG582" s="65">
        <f>tblWorkPackages[[#This Row],[Completion date serial]]-tblWorkPackages[[#This Row],[Request date serial]]</f>
        <v>1</v>
      </c>
      <c r="AH582" s="65">
        <f>IFERROR(INDEX(tblParts[Delay days],MATCH(tblWorkPackages[[#This Row],[Work package ID]],tblParts[Work package ID],0)),0)</f>
        <v>0</v>
      </c>
      <c r="AI582" s="51" t="str">
        <f>IFERROR(INDEX(tblDisruptions[Event type],MATCH(tblWorkPackages[[#This Row],[Work package ID]],tblDisruptions[Work package ID],0)),"None")</f>
        <v>None</v>
      </c>
      <c r="AJ582" s="51" t="str">
        <f>TEXT(tblWorkPackages[[#This Row],[Due date serial]],"yyyy-mm")</f>
        <v>2024-11</v>
      </c>
    </row>
    <row r="583" spans="1:36" ht="15" x14ac:dyDescent="0.25">
      <c r="A583" s="53" t="s">
        <v>1420</v>
      </c>
      <c r="B583" s="53" t="s">
        <v>163</v>
      </c>
      <c r="C583" s="53" t="s">
        <v>371</v>
      </c>
      <c r="D583" s="53" t="s">
        <v>372</v>
      </c>
      <c r="E583" s="53" t="s">
        <v>200</v>
      </c>
      <c r="F583" s="53" t="s">
        <v>128</v>
      </c>
      <c r="G583" s="53" t="s">
        <v>129</v>
      </c>
      <c r="H583" s="53">
        <v>1</v>
      </c>
      <c r="I583" s="53" t="s">
        <v>130</v>
      </c>
      <c r="J583" s="53">
        <v>0</v>
      </c>
      <c r="K583" s="53">
        <v>0</v>
      </c>
      <c r="L583" s="53">
        <v>1.7</v>
      </c>
      <c r="M583" s="53" t="s">
        <v>170</v>
      </c>
      <c r="N583" s="53">
        <v>1.9</v>
      </c>
      <c r="O583" s="51" t="str">
        <f>TEXT(tblWorkPackages[[#This Row],[Request date serial]]-WEEKDAY(tblWorkPackages[[#This Row],[Request date serial]],3),"yyyy-mm-dd")</f>
        <v>2024-10-07</v>
      </c>
      <c r="P583" s="51">
        <f>ABS(tblWorkPackages[[#This Row],[Actual labor hours]]-tblWorkPackages[[#This Row],[Estimated labor hours]])</f>
        <v>0.2</v>
      </c>
      <c r="Q583" s="51">
        <f>IF(tblWorkPackages[[#This Row],[Actual labor hours]]&gt;tblWorkPackages[[#This Row],[Estimated labor hours]],1,0)</f>
        <v>1</v>
      </c>
      <c r="R583" s="51">
        <f>tblWorkPackages[[#This Row],[Actual labor hours]]-tblWorkPackages[[#This Row],[Estimated labor hours]]</f>
        <v>0.2</v>
      </c>
      <c r="S583" s="51" t="str">
        <f>IF(tblWorkPackages[[#This Row],[Request date serial]]&lt;ValidationStart,"Train 2024",IF(tblWorkPackages[[#This Row],[Request date serial]]&lt;HoldoutStart,"Validation H1","Holdout H2"))</f>
        <v>Train 2024</v>
      </c>
      <c r="T583" s="51" t="str">
        <f>IF(tblWorkPackages[[#This Row],[Time split]]="Train 2024","",tblWorkPackages[[#This Row],[Estimated labor hours]]+VLOOKUP(tblWorkPackages[[#This Row],[Task type]],'Forecast validation'!$A$14:$E$25,IF(tblWorkPackages[[#This Row],[Time split]]="Validation H1",4,5),FALSE()))</f>
        <v/>
      </c>
      <c r="U583" s="51" t="str">
        <f>IF(tblWorkPackages[[#This Row],[Calibrated forecast hours]]="","",ABS(tblWorkPackages[[#This Row],[Actual labor hours]]-tblWorkPackages[[#This Row],[Calibrated forecast hours]]))</f>
        <v/>
      </c>
      <c r="V583" s="51">
        <f>IF(tblWorkPackages[[#This Row],[Time split]]="Train 2024",tblWorkPackages[[#This Row],[Estimated labor hours]],tblWorkPackages[[#This Row],[Calibrated forecast hours]])</f>
        <v>1.7</v>
      </c>
      <c r="W583" s="64">
        <f>DATEVALUE(tblWorkPackages[[#This Row],[Request date]])</f>
        <v>45573.0</v>
      </c>
      <c r="X583" s="64">
        <f>DATEVALUE(tblWorkPackages[[#This Row],[Due date]])</f>
        <v>45586.0</v>
      </c>
      <c r="Y583" s="64">
        <f>DATEVALUE(tblWorkPackages[[#This Row],[Completion date]])</f>
        <v>45587.0</v>
      </c>
      <c r="Z583" s="64">
        <f>_xlfn.MINIFS(tblLaborEntries[Work date serial],tblLaborEntries[Work package ID],tblWorkPackages[[#This Row],[Work package ID]])</f>
        <v>45585.0</v>
      </c>
      <c r="AA583" s="64">
        <f>_xlfn.MAXIFS(tblLaborEntries[Work date serial],tblLaborEntries[Work package ID],tblWorkPackages[[#This Row],[Work package ID]])</f>
        <v>45586.0</v>
      </c>
      <c r="AB583" s="65">
        <f>IF(tblWorkPackages[[#This Row],[Completion date serial]]&gt;tblWorkPackages[[#This Row],[Due date serial]],1,0)</f>
        <v>1</v>
      </c>
      <c r="AC583" s="65">
        <f>MAX(0,tblWorkPackages[[#This Row],[Completion date serial]]-tblWorkPackages[[#This Row],[Due date serial]])</f>
        <v>1</v>
      </c>
      <c r="AD583" s="65">
        <f>tblWorkPackages[[#This Row],[First labor date]]-tblWorkPackages[[#This Row],[Request date serial]]</f>
        <v>12</v>
      </c>
      <c r="AE583" s="65">
        <f>tblWorkPackages[[#This Row],[Last labor date]]-tblWorkPackages[[#This Row],[First labor date]]</f>
        <v>1</v>
      </c>
      <c r="AF583" s="65">
        <f>tblWorkPackages[[#This Row],[Completion date serial]]-tblWorkPackages[[#This Row],[Last labor date]]</f>
        <v>1</v>
      </c>
      <c r="AG583" s="65">
        <f>tblWorkPackages[[#This Row],[Completion date serial]]-tblWorkPackages[[#This Row],[Request date serial]]</f>
        <v>14</v>
      </c>
      <c r="AH583" s="65">
        <f>IFERROR(INDEX(tblParts[Delay days],MATCH(tblWorkPackages[[#This Row],[Work package ID]],tblParts[Work package ID],0)),0)</f>
        <v>0</v>
      </c>
      <c r="AI583" s="51" t="str">
        <f>IFERROR(INDEX(tblDisruptions[Event type],MATCH(tblWorkPackages[[#This Row],[Work package ID]],tblDisruptions[Work package ID],0)),"None")</f>
        <v>Equipment unavailable</v>
      </c>
      <c r="AJ583" s="51" t="str">
        <f>TEXT(tblWorkPackages[[#This Row],[Due date serial]],"yyyy-mm")</f>
        <v>2024-10</v>
      </c>
    </row>
    <row r="584" spans="1:36" ht="15" x14ac:dyDescent="0.25">
      <c r="A584" s="53" t="s">
        <v>1421</v>
      </c>
      <c r="B584" s="53" t="s">
        <v>150</v>
      </c>
      <c r="C584" s="53" t="s">
        <v>568</v>
      </c>
      <c r="D584" s="53" t="s">
        <v>672</v>
      </c>
      <c r="E584" s="53" t="s">
        <v>181</v>
      </c>
      <c r="F584" s="53" t="s">
        <v>182</v>
      </c>
      <c r="G584" s="53" t="s">
        <v>138</v>
      </c>
      <c r="H584" s="53">
        <v>2</v>
      </c>
      <c r="I584" s="53" t="s">
        <v>130</v>
      </c>
      <c r="J584" s="53">
        <v>1</v>
      </c>
      <c r="K584" s="53">
        <v>0</v>
      </c>
      <c r="L584" s="53">
        <v>8.5</v>
      </c>
      <c r="M584" s="53" t="s">
        <v>1211</v>
      </c>
      <c r="N584" s="53">
        <v>10.199999999999999</v>
      </c>
      <c r="O584" s="51" t="str">
        <f>TEXT(tblWorkPackages[[#This Row],[Request date serial]]-WEEKDAY(tblWorkPackages[[#This Row],[Request date serial]],3),"yyyy-mm-dd")</f>
        <v>2025-06-02</v>
      </c>
      <c r="P584" s="51">
        <f>ABS(tblWorkPackages[[#This Row],[Actual labor hours]]-tblWorkPackages[[#This Row],[Estimated labor hours]])</f>
        <v>1.7</v>
      </c>
      <c r="Q584" s="51">
        <f>IF(tblWorkPackages[[#This Row],[Actual labor hours]]&gt;tblWorkPackages[[#This Row],[Estimated labor hours]],1,0)</f>
        <v>1</v>
      </c>
      <c r="R584" s="51">
        <f>tblWorkPackages[[#This Row],[Actual labor hours]]-tblWorkPackages[[#This Row],[Estimated labor hours]]</f>
        <v>1.7</v>
      </c>
      <c r="S584" s="51" t="str">
        <f>IF(tblWorkPackages[[#This Row],[Request date serial]]&lt;ValidationStart,"Train 2024",IF(tblWorkPackages[[#This Row],[Request date serial]]&lt;HoldoutStart,"Validation H1","Holdout H2"))</f>
        <v>Validation H1</v>
      </c>
      <c r="T584" s="51">
        <f>IF(tblWorkPackages[[#This Row],[Time split]]="Train 2024","",tblWorkPackages[[#This Row],[Estimated labor hours]]+VLOOKUP(tblWorkPackages[[#This Row],[Task type]],'Forecast validation'!$A$14:$E$25,IF(tblWorkPackages[[#This Row],[Time split]]="Validation H1",4,5),FALSE()))</f>
        <v>9.08409090909091</v>
      </c>
      <c r="U584" s="51">
        <f>IF(tblWorkPackages[[#This Row],[Calibrated forecast hours]]="","",ABS(tblWorkPackages[[#This Row],[Actual labor hours]]-tblWorkPackages[[#This Row],[Calibrated forecast hours]]))</f>
        <v>1.11590909090909</v>
      </c>
      <c r="V584" s="51">
        <f>IF(tblWorkPackages[[#This Row],[Time split]]="Train 2024",tblWorkPackages[[#This Row],[Estimated labor hours]],tblWorkPackages[[#This Row],[Calibrated forecast hours]])</f>
        <v>9.08409090909091</v>
      </c>
      <c r="W584" s="64">
        <f>DATEVALUE(tblWorkPackages[[#This Row],[Request date]])</f>
        <v>45813.0</v>
      </c>
      <c r="X584" s="64">
        <f>DATEVALUE(tblWorkPackages[[#This Row],[Due date]])</f>
        <v>45826.0</v>
      </c>
      <c r="Y584" s="64">
        <f>DATEVALUE(tblWorkPackages[[#This Row],[Completion date]])</f>
        <v>45818.0</v>
      </c>
      <c r="Z584" s="64">
        <f>_xlfn.MINIFS(tblLaborEntries[Work date serial],tblLaborEntries[Work package ID],tblWorkPackages[[#This Row],[Work package ID]])</f>
        <v>45816.0</v>
      </c>
      <c r="AA584" s="64">
        <f>_xlfn.MAXIFS(tblLaborEntries[Work date serial],tblLaborEntries[Work package ID],tblWorkPackages[[#This Row],[Work package ID]])</f>
        <v>45816.0</v>
      </c>
      <c r="AB584" s="65">
        <f>IF(tblWorkPackages[[#This Row],[Completion date serial]]&gt;tblWorkPackages[[#This Row],[Due date serial]],1,0)</f>
        <v>0</v>
      </c>
      <c r="AC584" s="65">
        <f>MAX(0,tblWorkPackages[[#This Row],[Completion date serial]]-tblWorkPackages[[#This Row],[Due date serial]])</f>
        <v>0</v>
      </c>
      <c r="AD584" s="65">
        <f>tblWorkPackages[[#This Row],[First labor date]]-tblWorkPackages[[#This Row],[Request date serial]]</f>
        <v>3</v>
      </c>
      <c r="AE584" s="65">
        <f>tblWorkPackages[[#This Row],[Last labor date]]-tblWorkPackages[[#This Row],[First labor date]]</f>
        <v>0</v>
      </c>
      <c r="AF584" s="65">
        <f>tblWorkPackages[[#This Row],[Completion date serial]]-tblWorkPackages[[#This Row],[Last labor date]]</f>
        <v>2</v>
      </c>
      <c r="AG584" s="65">
        <f>tblWorkPackages[[#This Row],[Completion date serial]]-tblWorkPackages[[#This Row],[Request date serial]]</f>
        <v>5</v>
      </c>
      <c r="AH584" s="65">
        <f>IFERROR(INDEX(tblParts[Delay days],MATCH(tblWorkPackages[[#This Row],[Work package ID]],tblParts[Work package ID],0)),0)</f>
        <v>0</v>
      </c>
      <c r="AI584" s="51" t="str">
        <f>IFERROR(INDEX(tblDisruptions[Event type],MATCH(tblWorkPackages[[#This Row],[Work package ID]],tblDisruptions[Work package ID],0)),"None")</f>
        <v>None</v>
      </c>
      <c r="AJ584" s="51" t="str">
        <f>TEXT(tblWorkPackages[[#This Row],[Due date serial]],"yyyy-mm")</f>
        <v>2025-06</v>
      </c>
    </row>
    <row r="585" spans="1:36" ht="15" x14ac:dyDescent="0.25">
      <c r="A585" s="53" t="s">
        <v>1422</v>
      </c>
      <c r="B585" s="53" t="s">
        <v>203</v>
      </c>
      <c r="C585" s="53" t="s">
        <v>388</v>
      </c>
      <c r="D585" s="53" t="s">
        <v>755</v>
      </c>
      <c r="E585" s="53" t="s">
        <v>144</v>
      </c>
      <c r="F585" s="53" t="s">
        <v>145</v>
      </c>
      <c r="G585" s="53" t="s">
        <v>146</v>
      </c>
      <c r="H585" s="53">
        <v>2</v>
      </c>
      <c r="I585" s="53" t="s">
        <v>130</v>
      </c>
      <c r="J585" s="53">
        <v>0</v>
      </c>
      <c r="K585" s="53">
        <v>1</v>
      </c>
      <c r="L585" s="53">
        <v>8.6999999999999993</v>
      </c>
      <c r="M585" s="53" t="s">
        <v>194</v>
      </c>
      <c r="N585" s="53">
        <v>7.5</v>
      </c>
      <c r="O585" s="51" t="str">
        <f>TEXT(tblWorkPackages[[#This Row],[Request date serial]]-WEEKDAY(tblWorkPackages[[#This Row],[Request date serial]],3),"yyyy-mm-dd")</f>
        <v>2024-09-02</v>
      </c>
      <c r="P585" s="51">
        <f>ABS(tblWorkPackages[[#This Row],[Actual labor hours]]-tblWorkPackages[[#This Row],[Estimated labor hours]])</f>
        <v>1.2</v>
      </c>
      <c r="Q585" s="51">
        <f>IF(tblWorkPackages[[#This Row],[Actual labor hours]]&gt;tblWorkPackages[[#This Row],[Estimated labor hours]],1,0)</f>
        <v>0</v>
      </c>
      <c r="R585" s="51">
        <f>tblWorkPackages[[#This Row],[Actual labor hours]]-tblWorkPackages[[#This Row],[Estimated labor hours]]</f>
        <v>-1.2</v>
      </c>
      <c r="S585" s="51" t="str">
        <f>IF(tblWorkPackages[[#This Row],[Request date serial]]&lt;ValidationStart,"Train 2024",IF(tblWorkPackages[[#This Row],[Request date serial]]&lt;HoldoutStart,"Validation H1","Holdout H2"))</f>
        <v>Train 2024</v>
      </c>
      <c r="T585" s="51" t="str">
        <f>IF(tblWorkPackages[[#This Row],[Time split]]="Train 2024","",tblWorkPackages[[#This Row],[Estimated labor hours]]+VLOOKUP(tblWorkPackages[[#This Row],[Task type]],'Forecast validation'!$A$14:$E$25,IF(tblWorkPackages[[#This Row],[Time split]]="Validation H1",4,5),FALSE()))</f>
        <v/>
      </c>
      <c r="U585" s="51" t="str">
        <f>IF(tblWorkPackages[[#This Row],[Calibrated forecast hours]]="","",ABS(tblWorkPackages[[#This Row],[Actual labor hours]]-tblWorkPackages[[#This Row],[Calibrated forecast hours]]))</f>
        <v/>
      </c>
      <c r="V585" s="51">
        <f>IF(tblWorkPackages[[#This Row],[Time split]]="Train 2024",tblWorkPackages[[#This Row],[Estimated labor hours]],tblWorkPackages[[#This Row],[Calibrated forecast hours]])</f>
        <v>8.7</v>
      </c>
      <c r="W585" s="64">
        <f>DATEVALUE(tblWorkPackages[[#This Row],[Request date]])</f>
        <v>45537.0</v>
      </c>
      <c r="X585" s="64">
        <f>DATEVALUE(tblWorkPackages[[#This Row],[Due date]])</f>
        <v>45550.0</v>
      </c>
      <c r="Y585" s="64">
        <f>DATEVALUE(tblWorkPackages[[#This Row],[Completion date]])</f>
        <v>45574.0</v>
      </c>
      <c r="Z585" s="64">
        <f>_xlfn.MINIFS(tblLaborEntries[Work date serial],tblLaborEntries[Work package ID],tblWorkPackages[[#This Row],[Work package ID]])</f>
        <v>45571.0</v>
      </c>
      <c r="AA585" s="64">
        <f>_xlfn.MAXIFS(tblLaborEntries[Work date serial],tblLaborEntries[Work package ID],tblWorkPackages[[#This Row],[Work package ID]])</f>
        <v>45571.0</v>
      </c>
      <c r="AB585" s="65">
        <f>IF(tblWorkPackages[[#This Row],[Completion date serial]]&gt;tblWorkPackages[[#This Row],[Due date serial]],1,0)</f>
        <v>1</v>
      </c>
      <c r="AC585" s="65">
        <f>MAX(0,tblWorkPackages[[#This Row],[Completion date serial]]-tblWorkPackages[[#This Row],[Due date serial]])</f>
        <v>24</v>
      </c>
      <c r="AD585" s="65">
        <f>tblWorkPackages[[#This Row],[First labor date]]-tblWorkPackages[[#This Row],[Request date serial]]</f>
        <v>34</v>
      </c>
      <c r="AE585" s="65">
        <f>tblWorkPackages[[#This Row],[Last labor date]]-tblWorkPackages[[#This Row],[First labor date]]</f>
        <v>0</v>
      </c>
      <c r="AF585" s="65">
        <f>tblWorkPackages[[#This Row],[Completion date serial]]-tblWorkPackages[[#This Row],[Last labor date]]</f>
        <v>3</v>
      </c>
      <c r="AG585" s="65">
        <f>tblWorkPackages[[#This Row],[Completion date serial]]-tblWorkPackages[[#This Row],[Request date serial]]</f>
        <v>37</v>
      </c>
      <c r="AH585" s="65">
        <f>IFERROR(INDEX(tblParts[Delay days],MATCH(tblWorkPackages[[#This Row],[Work package ID]],tblParts[Work package ID],0)),0)</f>
        <v>0</v>
      </c>
      <c r="AI585" s="51" t="str">
        <f>IFERROR(INDEX(tblDisruptions[Event type],MATCH(tblWorkPackages[[#This Row],[Work package ID]],tblDisruptions[Work package ID],0)),"None")</f>
        <v>None</v>
      </c>
      <c r="AJ585" s="51" t="str">
        <f>TEXT(tblWorkPackages[[#This Row],[Due date serial]],"yyyy-mm")</f>
        <v>2024-09</v>
      </c>
    </row>
    <row r="586" spans="1:36" ht="15" x14ac:dyDescent="0.25">
      <c r="A586" s="53" t="s">
        <v>1423</v>
      </c>
      <c r="B586" s="53" t="s">
        <v>150</v>
      </c>
      <c r="C586" s="53" t="s">
        <v>681</v>
      </c>
      <c r="D586" s="53" t="s">
        <v>962</v>
      </c>
      <c r="E586" s="53" t="s">
        <v>272</v>
      </c>
      <c r="F586" s="53" t="s">
        <v>145</v>
      </c>
      <c r="G586" s="53" t="s">
        <v>273</v>
      </c>
      <c r="H586" s="53">
        <v>2</v>
      </c>
      <c r="I586" s="53" t="s">
        <v>130</v>
      </c>
      <c r="J586" s="53">
        <v>0</v>
      </c>
      <c r="K586" s="53">
        <v>0</v>
      </c>
      <c r="L586" s="53">
        <v>12</v>
      </c>
      <c r="M586" s="53" t="s">
        <v>504</v>
      </c>
      <c r="N586" s="53">
        <v>13</v>
      </c>
      <c r="O586" s="51" t="str">
        <f>TEXT(tblWorkPackages[[#This Row],[Request date serial]]-WEEKDAY(tblWorkPackages[[#This Row],[Request date serial]],3),"yyyy-mm-dd")</f>
        <v>2025-01-20</v>
      </c>
      <c r="P586" s="51">
        <f>ABS(tblWorkPackages[[#This Row],[Actual labor hours]]-tblWorkPackages[[#This Row],[Estimated labor hours]])</f>
        <v>1</v>
      </c>
      <c r="Q586" s="51">
        <f>IF(tblWorkPackages[[#This Row],[Actual labor hours]]&gt;tblWorkPackages[[#This Row],[Estimated labor hours]],1,0)</f>
        <v>1</v>
      </c>
      <c r="R586" s="51">
        <f>tblWorkPackages[[#This Row],[Actual labor hours]]-tblWorkPackages[[#This Row],[Estimated labor hours]]</f>
        <v>1</v>
      </c>
      <c r="S586" s="51" t="str">
        <f>IF(tblWorkPackages[[#This Row],[Request date serial]]&lt;ValidationStart,"Train 2024",IF(tblWorkPackages[[#This Row],[Request date serial]]&lt;HoldoutStart,"Validation H1","Holdout H2"))</f>
        <v>Validation H1</v>
      </c>
      <c r="T586" s="51">
        <f>IF(tblWorkPackages[[#This Row],[Time split]]="Train 2024","",tblWorkPackages[[#This Row],[Estimated labor hours]]+VLOOKUP(tblWorkPackages[[#This Row],[Task type]],'Forecast validation'!$A$14:$E$25,IF(tblWorkPackages[[#This Row],[Time split]]="Validation H1",4,5),FALSE()))</f>
        <v>13.0320512820513</v>
      </c>
      <c r="U586" s="51">
        <f>IF(tblWorkPackages[[#This Row],[Calibrated forecast hours]]="","",ABS(tblWorkPackages[[#This Row],[Actual labor hours]]-tblWorkPackages[[#This Row],[Calibrated forecast hours]]))</f>
        <v>0.0320512820512811</v>
      </c>
      <c r="V586" s="51">
        <f>IF(tblWorkPackages[[#This Row],[Time split]]="Train 2024",tblWorkPackages[[#This Row],[Estimated labor hours]],tblWorkPackages[[#This Row],[Calibrated forecast hours]])</f>
        <v>13.0320512820513</v>
      </c>
      <c r="W586" s="64">
        <f>DATEVALUE(tblWorkPackages[[#This Row],[Request date]])</f>
        <v>45681.0</v>
      </c>
      <c r="X586" s="64">
        <f>DATEVALUE(tblWorkPackages[[#This Row],[Due date]])</f>
        <v>45694.0</v>
      </c>
      <c r="Y586" s="64">
        <f>DATEVALUE(tblWorkPackages[[#This Row],[Completion date]])</f>
        <v>45689.0</v>
      </c>
      <c r="Z586" s="64">
        <f>_xlfn.MINIFS(tblLaborEntries[Work date serial],tblLaborEntries[Work package ID],tblWorkPackages[[#This Row],[Work package ID]])</f>
        <v>45687.0</v>
      </c>
      <c r="AA586" s="64">
        <f>_xlfn.MAXIFS(tblLaborEntries[Work date serial],tblLaborEntries[Work package ID],tblWorkPackages[[#This Row],[Work package ID]])</f>
        <v>45689.0</v>
      </c>
      <c r="AB586" s="65">
        <f>IF(tblWorkPackages[[#This Row],[Completion date serial]]&gt;tblWorkPackages[[#This Row],[Due date serial]],1,0)</f>
        <v>0</v>
      </c>
      <c r="AC586" s="65">
        <f>MAX(0,tblWorkPackages[[#This Row],[Completion date serial]]-tblWorkPackages[[#This Row],[Due date serial]])</f>
        <v>0</v>
      </c>
      <c r="AD586" s="65">
        <f>tblWorkPackages[[#This Row],[First labor date]]-tblWorkPackages[[#This Row],[Request date serial]]</f>
        <v>6</v>
      </c>
      <c r="AE586" s="65">
        <f>tblWorkPackages[[#This Row],[Last labor date]]-tblWorkPackages[[#This Row],[First labor date]]</f>
        <v>2</v>
      </c>
      <c r="AF586" s="65">
        <f>tblWorkPackages[[#This Row],[Completion date serial]]-tblWorkPackages[[#This Row],[Last labor date]]</f>
        <v>0</v>
      </c>
      <c r="AG586" s="65">
        <f>tblWorkPackages[[#This Row],[Completion date serial]]-tblWorkPackages[[#This Row],[Request date serial]]</f>
        <v>8</v>
      </c>
      <c r="AH586" s="65">
        <f>IFERROR(INDEX(tblParts[Delay days],MATCH(tblWorkPackages[[#This Row],[Work package ID]],tblParts[Work package ID],0)),0)</f>
        <v>0</v>
      </c>
      <c r="AI586" s="51" t="str">
        <f>IFERROR(INDEX(tblDisruptions[Event type],MATCH(tblWorkPackages[[#This Row],[Work package ID]],tblDisruptions[Work package ID],0)),"None")</f>
        <v>None</v>
      </c>
      <c r="AJ586" s="51" t="str">
        <f>TEXT(tblWorkPackages[[#This Row],[Due date serial]],"yyyy-mm")</f>
        <v>2025-02</v>
      </c>
    </row>
    <row r="587" spans="1:36" ht="15" x14ac:dyDescent="0.25">
      <c r="A587" s="53" t="s">
        <v>1424</v>
      </c>
      <c r="B587" s="53" t="s">
        <v>235</v>
      </c>
      <c r="C587" s="53" t="s">
        <v>1281</v>
      </c>
      <c r="D587" s="53" t="s">
        <v>812</v>
      </c>
      <c r="E587" s="53" t="s">
        <v>242</v>
      </c>
      <c r="F587" s="53" t="s">
        <v>243</v>
      </c>
      <c r="G587" s="53" t="s">
        <v>129</v>
      </c>
      <c r="H587" s="53">
        <v>3</v>
      </c>
      <c r="I587" s="53" t="s">
        <v>147</v>
      </c>
      <c r="J587" s="53">
        <v>0</v>
      </c>
      <c r="K587" s="53">
        <v>0</v>
      </c>
      <c r="L587" s="53">
        <v>10.4</v>
      </c>
      <c r="M587" s="53" t="s">
        <v>1425</v>
      </c>
      <c r="N587" s="53">
        <v>13.2</v>
      </c>
      <c r="O587" s="51" t="str">
        <f>TEXT(tblWorkPackages[[#This Row],[Request date serial]]-WEEKDAY(tblWorkPackages[[#This Row],[Request date serial]],3),"yyyy-mm-dd")</f>
        <v>2025-11-24</v>
      </c>
      <c r="P587" s="51">
        <f>ABS(tblWorkPackages[[#This Row],[Actual labor hours]]-tblWorkPackages[[#This Row],[Estimated labor hours]])</f>
        <v>2.8</v>
      </c>
      <c r="Q587" s="51">
        <f>IF(tblWorkPackages[[#This Row],[Actual labor hours]]&gt;tblWorkPackages[[#This Row],[Estimated labor hours]],1,0)</f>
        <v>1</v>
      </c>
      <c r="R587" s="51">
        <f>tblWorkPackages[[#This Row],[Actual labor hours]]-tblWorkPackages[[#This Row],[Estimated labor hours]]</f>
        <v>2.8</v>
      </c>
      <c r="S587" s="51" t="str">
        <f>IF(tblWorkPackages[[#This Row],[Request date serial]]&lt;ValidationStart,"Train 2024",IF(tblWorkPackages[[#This Row],[Request date serial]]&lt;HoldoutStart,"Validation H1","Holdout H2"))</f>
        <v>Holdout H2</v>
      </c>
      <c r="T587" s="51">
        <f>IF(tblWorkPackages[[#This Row],[Time split]]="Train 2024","",tblWorkPackages[[#This Row],[Estimated labor hours]]+VLOOKUP(tblWorkPackages[[#This Row],[Task type]],'Forecast validation'!$A$14:$E$25,IF(tblWorkPackages[[#This Row],[Time split]]="Validation H1",4,5),FALSE()))</f>
        <v>11.2254545454545</v>
      </c>
      <c r="U587" s="51">
        <f>IF(tblWorkPackages[[#This Row],[Calibrated forecast hours]]="","",ABS(tblWorkPackages[[#This Row],[Actual labor hours]]-tblWorkPackages[[#This Row],[Calibrated forecast hours]]))</f>
        <v>1.97454545454545</v>
      </c>
      <c r="V587" s="51">
        <f>IF(tblWorkPackages[[#This Row],[Time split]]="Train 2024",tblWorkPackages[[#This Row],[Estimated labor hours]],tblWorkPackages[[#This Row],[Calibrated forecast hours]])</f>
        <v>11.2254545454545</v>
      </c>
      <c r="W587" s="64">
        <f>DATEVALUE(tblWorkPackages[[#This Row],[Request date]])</f>
        <v>45991.0</v>
      </c>
      <c r="X587" s="64">
        <f>DATEVALUE(tblWorkPackages[[#This Row],[Due date]])</f>
        <v>45993.0</v>
      </c>
      <c r="Y587" s="64">
        <f>DATEVALUE(tblWorkPackages[[#This Row],[Completion date]])</f>
        <v>45994.0</v>
      </c>
      <c r="Z587" s="64">
        <f>_xlfn.MINIFS(tblLaborEntries[Work date serial],tblLaborEntries[Work package ID],tblWorkPackages[[#This Row],[Work package ID]])</f>
        <v>45993.0</v>
      </c>
      <c r="AA587" s="64">
        <f>_xlfn.MAXIFS(tblLaborEntries[Work date serial],tblLaborEntries[Work package ID],tblWorkPackages[[#This Row],[Work package ID]])</f>
        <v>45993.0</v>
      </c>
      <c r="AB587" s="65">
        <f>IF(tblWorkPackages[[#This Row],[Completion date serial]]&gt;tblWorkPackages[[#This Row],[Due date serial]],1,0)</f>
        <v>1</v>
      </c>
      <c r="AC587" s="65">
        <f>MAX(0,tblWorkPackages[[#This Row],[Completion date serial]]-tblWorkPackages[[#This Row],[Due date serial]])</f>
        <v>1</v>
      </c>
      <c r="AD587" s="65">
        <f>tblWorkPackages[[#This Row],[First labor date]]-tblWorkPackages[[#This Row],[Request date serial]]</f>
        <v>2</v>
      </c>
      <c r="AE587" s="65">
        <f>tblWorkPackages[[#This Row],[Last labor date]]-tblWorkPackages[[#This Row],[First labor date]]</f>
        <v>0</v>
      </c>
      <c r="AF587" s="65">
        <f>tblWorkPackages[[#This Row],[Completion date serial]]-tblWorkPackages[[#This Row],[Last labor date]]</f>
        <v>1</v>
      </c>
      <c r="AG587" s="65">
        <f>tblWorkPackages[[#This Row],[Completion date serial]]-tblWorkPackages[[#This Row],[Request date serial]]</f>
        <v>3</v>
      </c>
      <c r="AH587" s="65">
        <f>IFERROR(INDEX(tblParts[Delay days],MATCH(tblWorkPackages[[#This Row],[Work package ID]],tblParts[Work package ID],0)),0)</f>
        <v>0</v>
      </c>
      <c r="AI587" s="51" t="str">
        <f>IFERROR(INDEX(tblDisruptions[Event type],MATCH(tblWorkPackages[[#This Row],[Work package ID]],tblDisruptions[Work package ID],0)),"None")</f>
        <v>None</v>
      </c>
      <c r="AJ587" s="51" t="str">
        <f>TEXT(tblWorkPackages[[#This Row],[Due date serial]],"yyyy-mm")</f>
        <v>2025-12</v>
      </c>
    </row>
    <row r="588" spans="1:36" ht="15" x14ac:dyDescent="0.25">
      <c r="A588" s="53" t="s">
        <v>1426</v>
      </c>
      <c r="B588" s="53" t="s">
        <v>173</v>
      </c>
      <c r="C588" s="53" t="s">
        <v>560</v>
      </c>
      <c r="D588" s="53" t="s">
        <v>482</v>
      </c>
      <c r="E588" s="53" t="s">
        <v>153</v>
      </c>
      <c r="F588" s="53" t="s">
        <v>128</v>
      </c>
      <c r="G588" s="53" t="s">
        <v>154</v>
      </c>
      <c r="H588" s="53">
        <v>3</v>
      </c>
      <c r="I588" s="53" t="s">
        <v>130</v>
      </c>
      <c r="J588" s="53">
        <v>0</v>
      </c>
      <c r="K588" s="53">
        <v>0</v>
      </c>
      <c r="L588" s="53">
        <v>11.1</v>
      </c>
      <c r="M588" s="53" t="s">
        <v>1427</v>
      </c>
      <c r="N588" s="53">
        <v>12.7</v>
      </c>
      <c r="O588" s="51" t="str">
        <f>TEXT(tblWorkPackages[[#This Row],[Request date serial]]-WEEKDAY(tblWorkPackages[[#This Row],[Request date serial]],3),"yyyy-mm-dd")</f>
        <v>2025-11-03</v>
      </c>
      <c r="P588" s="51">
        <f>ABS(tblWorkPackages[[#This Row],[Actual labor hours]]-tblWorkPackages[[#This Row],[Estimated labor hours]])</f>
        <v>1.6</v>
      </c>
      <c r="Q588" s="51">
        <f>IF(tblWorkPackages[[#This Row],[Actual labor hours]]&gt;tblWorkPackages[[#This Row],[Estimated labor hours]],1,0)</f>
        <v>1</v>
      </c>
      <c r="R588" s="51">
        <f>tblWorkPackages[[#This Row],[Actual labor hours]]-tblWorkPackages[[#This Row],[Estimated labor hours]]</f>
        <v>1.6</v>
      </c>
      <c r="S588" s="51" t="str">
        <f>IF(tblWorkPackages[[#This Row],[Request date serial]]&lt;ValidationStart,"Train 2024",IF(tblWorkPackages[[#This Row],[Request date serial]]&lt;HoldoutStart,"Validation H1","Holdout H2"))</f>
        <v>Holdout H2</v>
      </c>
      <c r="T588" s="51">
        <f>IF(tblWorkPackages[[#This Row],[Time split]]="Train 2024","",tblWorkPackages[[#This Row],[Estimated labor hours]]+VLOOKUP(tblWorkPackages[[#This Row],[Task type]],'Forecast validation'!$A$14:$E$25,IF(tblWorkPackages[[#This Row],[Time split]]="Validation H1",4,5),FALSE()))</f>
        <v>11.7026666666667</v>
      </c>
      <c r="U588" s="51">
        <f>IF(tblWorkPackages[[#This Row],[Calibrated forecast hours]]="","",ABS(tblWorkPackages[[#This Row],[Actual labor hours]]-tblWorkPackages[[#This Row],[Calibrated forecast hours]]))</f>
        <v>0.997333333333334</v>
      </c>
      <c r="V588" s="51">
        <f>IF(tblWorkPackages[[#This Row],[Time split]]="Train 2024",tblWorkPackages[[#This Row],[Estimated labor hours]],tblWorkPackages[[#This Row],[Calibrated forecast hours]])</f>
        <v>11.7026666666667</v>
      </c>
      <c r="W588" s="64">
        <f>DATEVALUE(tblWorkPackages[[#This Row],[Request date]])</f>
        <v>45970.0</v>
      </c>
      <c r="X588" s="64">
        <f>DATEVALUE(tblWorkPackages[[#This Row],[Due date]])</f>
        <v>45983.0</v>
      </c>
      <c r="Y588" s="64">
        <f>DATEVALUE(tblWorkPackages[[#This Row],[Completion date]])</f>
        <v>45987.0</v>
      </c>
      <c r="Z588" s="64">
        <f>_xlfn.MINIFS(tblLaborEntries[Work date serial],tblLaborEntries[Work package ID],tblWorkPackages[[#This Row],[Work package ID]])</f>
        <v>45985.0</v>
      </c>
      <c r="AA588" s="64">
        <f>_xlfn.MAXIFS(tblLaborEntries[Work date serial],tblLaborEntries[Work package ID],tblWorkPackages[[#This Row],[Work package ID]])</f>
        <v>45985.0</v>
      </c>
      <c r="AB588" s="65">
        <f>IF(tblWorkPackages[[#This Row],[Completion date serial]]&gt;tblWorkPackages[[#This Row],[Due date serial]],1,0)</f>
        <v>1</v>
      </c>
      <c r="AC588" s="65">
        <f>MAX(0,tblWorkPackages[[#This Row],[Completion date serial]]-tblWorkPackages[[#This Row],[Due date serial]])</f>
        <v>4</v>
      </c>
      <c r="AD588" s="65">
        <f>tblWorkPackages[[#This Row],[First labor date]]-tblWorkPackages[[#This Row],[Request date serial]]</f>
        <v>15</v>
      </c>
      <c r="AE588" s="65">
        <f>tblWorkPackages[[#This Row],[Last labor date]]-tblWorkPackages[[#This Row],[First labor date]]</f>
        <v>0</v>
      </c>
      <c r="AF588" s="65">
        <f>tblWorkPackages[[#This Row],[Completion date serial]]-tblWorkPackages[[#This Row],[Last labor date]]</f>
        <v>2</v>
      </c>
      <c r="AG588" s="65">
        <f>tblWorkPackages[[#This Row],[Completion date serial]]-tblWorkPackages[[#This Row],[Request date serial]]</f>
        <v>17</v>
      </c>
      <c r="AH588" s="65">
        <f>IFERROR(INDEX(tblParts[Delay days],MATCH(tblWorkPackages[[#This Row],[Work package ID]],tblParts[Work package ID],0)),0)</f>
        <v>0</v>
      </c>
      <c r="AI588" s="51" t="str">
        <f>IFERROR(INDEX(tblDisruptions[Event type],MATCH(tblWorkPackages[[#This Row],[Work package ID]],tblDisruptions[Work package ID],0)),"None")</f>
        <v>None</v>
      </c>
      <c r="AJ588" s="51" t="str">
        <f>TEXT(tblWorkPackages[[#This Row],[Due date serial]],"yyyy-mm")</f>
        <v>2025-11</v>
      </c>
    </row>
    <row r="589" spans="1:36" ht="15" x14ac:dyDescent="0.25">
      <c r="A589" s="53" t="s">
        <v>1428</v>
      </c>
      <c r="B589" s="53" t="s">
        <v>250</v>
      </c>
      <c r="C589" s="53" t="s">
        <v>1429</v>
      </c>
      <c r="D589" s="53" t="s">
        <v>976</v>
      </c>
      <c r="E589" s="53" t="s">
        <v>209</v>
      </c>
      <c r="F589" s="53" t="s">
        <v>145</v>
      </c>
      <c r="G589" s="53" t="s">
        <v>210</v>
      </c>
      <c r="H589" s="53">
        <v>2</v>
      </c>
      <c r="I589" s="53" t="s">
        <v>176</v>
      </c>
      <c r="J589" s="53">
        <v>0</v>
      </c>
      <c r="K589" s="53">
        <v>1</v>
      </c>
      <c r="L589" s="53">
        <v>19.5</v>
      </c>
      <c r="M589" s="53" t="s">
        <v>1162</v>
      </c>
      <c r="N589" s="53">
        <v>19.399999999999999</v>
      </c>
      <c r="O589" s="51" t="str">
        <f>TEXT(tblWorkPackages[[#This Row],[Request date serial]]-WEEKDAY(tblWorkPackages[[#This Row],[Request date serial]],3),"yyyy-mm-dd")</f>
        <v>2025-12-22</v>
      </c>
      <c r="P589" s="51">
        <f>ABS(tblWorkPackages[[#This Row],[Actual labor hours]]-tblWorkPackages[[#This Row],[Estimated labor hours]])</f>
        <v>0.100000000000001</v>
      </c>
      <c r="Q589" s="51">
        <f>IF(tblWorkPackages[[#This Row],[Actual labor hours]]&gt;tblWorkPackages[[#This Row],[Estimated labor hours]],1,0)</f>
        <v>0</v>
      </c>
      <c r="R589" s="51">
        <f>tblWorkPackages[[#This Row],[Actual labor hours]]-tblWorkPackages[[#This Row],[Estimated labor hours]]</f>
        <v>-0.100000000000001</v>
      </c>
      <c r="S589" s="51" t="str">
        <f>IF(tblWorkPackages[[#This Row],[Request date serial]]&lt;ValidationStart,"Train 2024",IF(tblWorkPackages[[#This Row],[Request date serial]]&lt;HoldoutStart,"Validation H1","Holdout H2"))</f>
        <v>Holdout H2</v>
      </c>
      <c r="T589" s="51">
        <f>IF(tblWorkPackages[[#This Row],[Time split]]="Train 2024","",tblWorkPackages[[#This Row],[Estimated labor hours]]+VLOOKUP(tblWorkPackages[[#This Row],[Task type]],'Forecast validation'!$A$14:$E$25,IF(tblWorkPackages[[#This Row],[Time split]]="Validation H1",4,5),FALSE()))</f>
        <v>21.295652173913</v>
      </c>
      <c r="U589" s="51">
        <f>IF(tblWorkPackages[[#This Row],[Calibrated forecast hours]]="","",ABS(tblWorkPackages[[#This Row],[Actual labor hours]]-tblWorkPackages[[#This Row],[Calibrated forecast hours]]))</f>
        <v>1.89565217391305</v>
      </c>
      <c r="V589" s="51">
        <f>IF(tblWorkPackages[[#This Row],[Time split]]="Train 2024",tblWorkPackages[[#This Row],[Estimated labor hours]],tblWorkPackages[[#This Row],[Calibrated forecast hours]])</f>
        <v>21.295652173913</v>
      </c>
      <c r="W589" s="64">
        <f>DATEVALUE(tblWorkPackages[[#This Row],[Request date]])</f>
        <v>46016.0</v>
      </c>
      <c r="X589" s="64">
        <f>DATEVALUE(tblWorkPackages[[#This Row],[Due date]])</f>
        <v>46022.0</v>
      </c>
      <c r="Y589" s="64">
        <f>DATEVALUE(tblWorkPackages[[#This Row],[Completion date]])</f>
        <v>46023.0</v>
      </c>
      <c r="Z589" s="64">
        <f>_xlfn.MINIFS(tblLaborEntries[Work date serial],tblLaborEntries[Work package ID],tblWorkPackages[[#This Row],[Work package ID]])</f>
        <v>46020.0</v>
      </c>
      <c r="AA589" s="64">
        <f>_xlfn.MAXIFS(tblLaborEntries[Work date serial],tblLaborEntries[Work package ID],tblWorkPackages[[#This Row],[Work package ID]])</f>
        <v>46020.0</v>
      </c>
      <c r="AB589" s="65">
        <f>IF(tblWorkPackages[[#This Row],[Completion date serial]]&gt;tblWorkPackages[[#This Row],[Due date serial]],1,0)</f>
        <v>1</v>
      </c>
      <c r="AC589" s="65">
        <f>MAX(0,tblWorkPackages[[#This Row],[Completion date serial]]-tblWorkPackages[[#This Row],[Due date serial]])</f>
        <v>1</v>
      </c>
      <c r="AD589" s="65">
        <f>tblWorkPackages[[#This Row],[First labor date]]-tblWorkPackages[[#This Row],[Request date serial]]</f>
        <v>4</v>
      </c>
      <c r="AE589" s="65">
        <f>tblWorkPackages[[#This Row],[Last labor date]]-tblWorkPackages[[#This Row],[First labor date]]</f>
        <v>0</v>
      </c>
      <c r="AF589" s="65">
        <f>tblWorkPackages[[#This Row],[Completion date serial]]-tblWorkPackages[[#This Row],[Last labor date]]</f>
        <v>3</v>
      </c>
      <c r="AG589" s="65">
        <f>tblWorkPackages[[#This Row],[Completion date serial]]-tblWorkPackages[[#This Row],[Request date serial]]</f>
        <v>7</v>
      </c>
      <c r="AH589" s="65">
        <f>IFERROR(INDEX(tblParts[Delay days],MATCH(tblWorkPackages[[#This Row],[Work package ID]],tblParts[Work package ID],0)),0)</f>
        <v>0</v>
      </c>
      <c r="AI589" s="51" t="str">
        <f>IFERROR(INDEX(tblDisruptions[Event type],MATCH(tblWorkPackages[[#This Row],[Work package ID]],tblDisruptions[Work package ID],0)),"None")</f>
        <v>None</v>
      </c>
      <c r="AJ589" s="51" t="str">
        <f>TEXT(tblWorkPackages[[#This Row],[Due date serial]],"yyyy-mm")</f>
        <v>2025-12</v>
      </c>
    </row>
    <row r="590" spans="1:36" ht="15" x14ac:dyDescent="0.25">
      <c r="A590" s="53" t="s">
        <v>1430</v>
      </c>
      <c r="B590" s="53" t="s">
        <v>133</v>
      </c>
      <c r="C590" s="53" t="s">
        <v>361</v>
      </c>
      <c r="D590" s="53" t="s">
        <v>1392</v>
      </c>
      <c r="E590" s="53" t="s">
        <v>136</v>
      </c>
      <c r="F590" s="53" t="s">
        <v>137</v>
      </c>
      <c r="G590" s="53" t="s">
        <v>138</v>
      </c>
      <c r="H590" s="53">
        <v>1</v>
      </c>
      <c r="I590" s="53" t="s">
        <v>176</v>
      </c>
      <c r="J590" s="53">
        <v>0</v>
      </c>
      <c r="K590" s="53">
        <v>1</v>
      </c>
      <c r="L590" s="53">
        <v>9</v>
      </c>
      <c r="M590" s="53" t="s">
        <v>1354</v>
      </c>
      <c r="N590" s="53">
        <v>11.1</v>
      </c>
      <c r="O590" s="51" t="str">
        <f>TEXT(tblWorkPackages[[#This Row],[Request date serial]]-WEEKDAY(tblWorkPackages[[#This Row],[Request date serial]],3),"yyyy-mm-dd")</f>
        <v>2024-07-29</v>
      </c>
      <c r="P590" s="51">
        <f>ABS(tblWorkPackages[[#This Row],[Actual labor hours]]-tblWorkPackages[[#This Row],[Estimated labor hours]])</f>
        <v>2.1</v>
      </c>
      <c r="Q590" s="51">
        <f>IF(tblWorkPackages[[#This Row],[Actual labor hours]]&gt;tblWorkPackages[[#This Row],[Estimated labor hours]],1,0)</f>
        <v>1</v>
      </c>
      <c r="R590" s="51">
        <f>tblWorkPackages[[#This Row],[Actual labor hours]]-tblWorkPackages[[#This Row],[Estimated labor hours]]</f>
        <v>2.1</v>
      </c>
      <c r="S590" s="51" t="str">
        <f>IF(tblWorkPackages[[#This Row],[Request date serial]]&lt;ValidationStart,"Train 2024",IF(tblWorkPackages[[#This Row],[Request date serial]]&lt;HoldoutStart,"Validation H1","Holdout H2"))</f>
        <v>Train 2024</v>
      </c>
      <c r="T590" s="51" t="str">
        <f>IF(tblWorkPackages[[#This Row],[Time split]]="Train 2024","",tblWorkPackages[[#This Row],[Estimated labor hours]]+VLOOKUP(tblWorkPackages[[#This Row],[Task type]],'Forecast validation'!$A$14:$E$25,IF(tblWorkPackages[[#This Row],[Time split]]="Validation H1",4,5),FALSE()))</f>
        <v/>
      </c>
      <c r="U590" s="51" t="str">
        <f>IF(tblWorkPackages[[#This Row],[Calibrated forecast hours]]="","",ABS(tblWorkPackages[[#This Row],[Actual labor hours]]-tblWorkPackages[[#This Row],[Calibrated forecast hours]]))</f>
        <v/>
      </c>
      <c r="V590" s="51">
        <f>IF(tblWorkPackages[[#This Row],[Time split]]="Train 2024",tblWorkPackages[[#This Row],[Estimated labor hours]],tblWorkPackages[[#This Row],[Calibrated forecast hours]])</f>
        <v>9</v>
      </c>
      <c r="W590" s="64">
        <f>DATEVALUE(tblWorkPackages[[#This Row],[Request date]])</f>
        <v>45502.0</v>
      </c>
      <c r="X590" s="64">
        <f>DATEVALUE(tblWorkPackages[[#This Row],[Due date]])</f>
        <v>45508.0</v>
      </c>
      <c r="Y590" s="64">
        <f>DATEVALUE(tblWorkPackages[[#This Row],[Completion date]])</f>
        <v>45504.0</v>
      </c>
      <c r="Z590" s="64">
        <f>_xlfn.MINIFS(tblLaborEntries[Work date serial],tblLaborEntries[Work package ID],tblWorkPackages[[#This Row],[Work package ID]])</f>
        <v>45503.0</v>
      </c>
      <c r="AA590" s="64">
        <f>_xlfn.MAXIFS(tblLaborEntries[Work date serial],tblLaborEntries[Work package ID],tblWorkPackages[[#This Row],[Work package ID]])</f>
        <v>45504.0</v>
      </c>
      <c r="AB590" s="65">
        <f>IF(tblWorkPackages[[#This Row],[Completion date serial]]&gt;tblWorkPackages[[#This Row],[Due date serial]],1,0)</f>
        <v>0</v>
      </c>
      <c r="AC590" s="65">
        <f>MAX(0,tblWorkPackages[[#This Row],[Completion date serial]]-tblWorkPackages[[#This Row],[Due date serial]])</f>
        <v>0</v>
      </c>
      <c r="AD590" s="65">
        <f>tblWorkPackages[[#This Row],[First labor date]]-tblWorkPackages[[#This Row],[Request date serial]]</f>
        <v>1</v>
      </c>
      <c r="AE590" s="65">
        <f>tblWorkPackages[[#This Row],[Last labor date]]-tblWorkPackages[[#This Row],[First labor date]]</f>
        <v>1</v>
      </c>
      <c r="AF590" s="65">
        <f>tblWorkPackages[[#This Row],[Completion date serial]]-tblWorkPackages[[#This Row],[Last labor date]]</f>
        <v>0</v>
      </c>
      <c r="AG590" s="65">
        <f>tblWorkPackages[[#This Row],[Completion date serial]]-tblWorkPackages[[#This Row],[Request date serial]]</f>
        <v>2</v>
      </c>
      <c r="AH590" s="65">
        <f>IFERROR(INDEX(tblParts[Delay days],MATCH(tblWorkPackages[[#This Row],[Work package ID]],tblParts[Work package ID],0)),0)</f>
        <v>0</v>
      </c>
      <c r="AI590" s="51" t="str">
        <f>IFERROR(INDEX(tblDisruptions[Event type],MATCH(tblWorkPackages[[#This Row],[Work package ID]],tblDisruptions[Work package ID],0)),"None")</f>
        <v>Scope change</v>
      </c>
      <c r="AJ590" s="51" t="str">
        <f>TEXT(tblWorkPackages[[#This Row],[Due date serial]],"yyyy-mm")</f>
        <v>2024-08</v>
      </c>
    </row>
    <row r="591" spans="1:36" ht="15" x14ac:dyDescent="0.25">
      <c r="A591" s="53" t="s">
        <v>1431</v>
      </c>
      <c r="B591" s="53" t="s">
        <v>235</v>
      </c>
      <c r="C591" s="53" t="s">
        <v>606</v>
      </c>
      <c r="D591" s="53" t="s">
        <v>607</v>
      </c>
      <c r="E591" s="53" t="s">
        <v>136</v>
      </c>
      <c r="F591" s="53" t="s">
        <v>137</v>
      </c>
      <c r="G591" s="53" t="s">
        <v>138</v>
      </c>
      <c r="H591" s="53">
        <v>3</v>
      </c>
      <c r="I591" s="53" t="s">
        <v>130</v>
      </c>
      <c r="J591" s="53">
        <v>0</v>
      </c>
      <c r="K591" s="53">
        <v>1</v>
      </c>
      <c r="L591" s="53">
        <v>21.3</v>
      </c>
      <c r="M591" s="53" t="s">
        <v>870</v>
      </c>
      <c r="N591" s="53">
        <v>19.100000000000001</v>
      </c>
      <c r="O591" s="51" t="str">
        <f>TEXT(tblWorkPackages[[#This Row],[Request date serial]]-WEEKDAY(tblWorkPackages[[#This Row],[Request date serial]],3),"yyyy-mm-dd")</f>
        <v>2025-03-03</v>
      </c>
      <c r="P591" s="51">
        <f>ABS(tblWorkPackages[[#This Row],[Actual labor hours]]-tblWorkPackages[[#This Row],[Estimated labor hours]])</f>
        <v>2.2</v>
      </c>
      <c r="Q591" s="51">
        <f>IF(tblWorkPackages[[#This Row],[Actual labor hours]]&gt;tblWorkPackages[[#This Row],[Estimated labor hours]],1,0)</f>
        <v>0</v>
      </c>
      <c r="R591" s="51">
        <f>tblWorkPackages[[#This Row],[Actual labor hours]]-tblWorkPackages[[#This Row],[Estimated labor hours]]</f>
        <v>-2.2</v>
      </c>
      <c r="S591" s="51" t="str">
        <f>IF(tblWorkPackages[[#This Row],[Request date serial]]&lt;ValidationStart,"Train 2024",IF(tblWorkPackages[[#This Row],[Request date serial]]&lt;HoldoutStart,"Validation H1","Holdout H2"))</f>
        <v>Validation H1</v>
      </c>
      <c r="T591" s="51">
        <f>IF(tblWorkPackages[[#This Row],[Time split]]="Train 2024","",tblWorkPackages[[#This Row],[Estimated labor hours]]+VLOOKUP(tblWorkPackages[[#This Row],[Task type]],'Forecast validation'!$A$14:$E$25,IF(tblWorkPackages[[#This Row],[Time split]]="Validation H1",4,5),FALSE()))</f>
        <v>22.1765306122449</v>
      </c>
      <c r="U591" s="51">
        <f>IF(tblWorkPackages[[#This Row],[Calibrated forecast hours]]="","",ABS(tblWorkPackages[[#This Row],[Actual labor hours]]-tblWorkPackages[[#This Row],[Calibrated forecast hours]]))</f>
        <v>3.0765306122449</v>
      </c>
      <c r="V591" s="51">
        <f>IF(tblWorkPackages[[#This Row],[Time split]]="Train 2024",tblWorkPackages[[#This Row],[Estimated labor hours]],tblWorkPackages[[#This Row],[Calibrated forecast hours]])</f>
        <v>22.1765306122449</v>
      </c>
      <c r="W591" s="64">
        <f>DATEVALUE(tblWorkPackages[[#This Row],[Request date]])</f>
        <v>45721.0</v>
      </c>
      <c r="X591" s="64">
        <f>DATEVALUE(tblWorkPackages[[#This Row],[Due date]])</f>
        <v>45734.0</v>
      </c>
      <c r="Y591" s="64">
        <f>DATEVALUE(tblWorkPackages[[#This Row],[Completion date]])</f>
        <v>45732.0</v>
      </c>
      <c r="Z591" s="64">
        <f>_xlfn.MINIFS(tblLaborEntries[Work date serial],tblLaborEntries[Work package ID],tblWorkPackages[[#This Row],[Work package ID]])</f>
        <v>45731.0</v>
      </c>
      <c r="AA591" s="64">
        <f>_xlfn.MAXIFS(tblLaborEntries[Work date serial],tblLaborEntries[Work package ID],tblWorkPackages[[#This Row],[Work package ID]])</f>
        <v>45731.0</v>
      </c>
      <c r="AB591" s="65">
        <f>IF(tblWorkPackages[[#This Row],[Completion date serial]]&gt;tblWorkPackages[[#This Row],[Due date serial]],1,0)</f>
        <v>0</v>
      </c>
      <c r="AC591" s="65">
        <f>MAX(0,tblWorkPackages[[#This Row],[Completion date serial]]-tblWorkPackages[[#This Row],[Due date serial]])</f>
        <v>0</v>
      </c>
      <c r="AD591" s="65">
        <f>tblWorkPackages[[#This Row],[First labor date]]-tblWorkPackages[[#This Row],[Request date serial]]</f>
        <v>10</v>
      </c>
      <c r="AE591" s="65">
        <f>tblWorkPackages[[#This Row],[Last labor date]]-tblWorkPackages[[#This Row],[First labor date]]</f>
        <v>0</v>
      </c>
      <c r="AF591" s="65">
        <f>tblWorkPackages[[#This Row],[Completion date serial]]-tblWorkPackages[[#This Row],[Last labor date]]</f>
        <v>1</v>
      </c>
      <c r="AG591" s="65">
        <f>tblWorkPackages[[#This Row],[Completion date serial]]-tblWorkPackages[[#This Row],[Request date serial]]</f>
        <v>11</v>
      </c>
      <c r="AH591" s="65">
        <f>IFERROR(INDEX(tblParts[Delay days],MATCH(tblWorkPackages[[#This Row],[Work package ID]],tblParts[Work package ID],0)),0)</f>
        <v>0</v>
      </c>
      <c r="AI591" s="51" t="str">
        <f>IFERROR(INDEX(tblDisruptions[Event type],MATCH(tblWorkPackages[[#This Row],[Work package ID]],tblDisruptions[Work package ID],0)),"None")</f>
        <v>None</v>
      </c>
      <c r="AJ591" s="51" t="str">
        <f>TEXT(tblWorkPackages[[#This Row],[Due date serial]],"yyyy-mm")</f>
        <v>2025-03</v>
      </c>
    </row>
    <row r="592" spans="1:36" ht="15" x14ac:dyDescent="0.25">
      <c r="A592" s="53" t="s">
        <v>1432</v>
      </c>
      <c r="B592" s="53" t="s">
        <v>124</v>
      </c>
      <c r="C592" s="53" t="s">
        <v>565</v>
      </c>
      <c r="D592" s="53" t="s">
        <v>305</v>
      </c>
      <c r="E592" s="53" t="s">
        <v>144</v>
      </c>
      <c r="F592" s="53" t="s">
        <v>145</v>
      </c>
      <c r="G592" s="53" t="s">
        <v>146</v>
      </c>
      <c r="H592" s="53">
        <v>3</v>
      </c>
      <c r="I592" s="53" t="s">
        <v>130</v>
      </c>
      <c r="J592" s="53">
        <v>0</v>
      </c>
      <c r="K592" s="53">
        <v>1</v>
      </c>
      <c r="L592" s="53">
        <v>15.5</v>
      </c>
      <c r="M592" s="53" t="s">
        <v>704</v>
      </c>
      <c r="N592" s="53">
        <v>12.8</v>
      </c>
      <c r="O592" s="51" t="str">
        <f>TEXT(tblWorkPackages[[#This Row],[Request date serial]]-WEEKDAY(tblWorkPackages[[#This Row],[Request date serial]],3),"yyyy-mm-dd")</f>
        <v>2024-06-17</v>
      </c>
      <c r="P592" s="51">
        <f>ABS(tblWorkPackages[[#This Row],[Actual labor hours]]-tblWorkPackages[[#This Row],[Estimated labor hours]])</f>
        <v>2.7</v>
      </c>
      <c r="Q592" s="51">
        <f>IF(tblWorkPackages[[#This Row],[Actual labor hours]]&gt;tblWorkPackages[[#This Row],[Estimated labor hours]],1,0)</f>
        <v>0</v>
      </c>
      <c r="R592" s="51">
        <f>tblWorkPackages[[#This Row],[Actual labor hours]]-tblWorkPackages[[#This Row],[Estimated labor hours]]</f>
        <v>-2.7</v>
      </c>
      <c r="S592" s="51" t="str">
        <f>IF(tblWorkPackages[[#This Row],[Request date serial]]&lt;ValidationStart,"Train 2024",IF(tblWorkPackages[[#This Row],[Request date serial]]&lt;HoldoutStart,"Validation H1","Holdout H2"))</f>
        <v>Train 2024</v>
      </c>
      <c r="T592" s="51" t="str">
        <f>IF(tblWorkPackages[[#This Row],[Time split]]="Train 2024","",tblWorkPackages[[#This Row],[Estimated labor hours]]+VLOOKUP(tblWorkPackages[[#This Row],[Task type]],'Forecast validation'!$A$14:$E$25,IF(tblWorkPackages[[#This Row],[Time split]]="Validation H1",4,5),FALSE()))</f>
        <v/>
      </c>
      <c r="U592" s="51" t="str">
        <f>IF(tblWorkPackages[[#This Row],[Calibrated forecast hours]]="","",ABS(tblWorkPackages[[#This Row],[Actual labor hours]]-tblWorkPackages[[#This Row],[Calibrated forecast hours]]))</f>
        <v/>
      </c>
      <c r="V592" s="51">
        <f>IF(tblWorkPackages[[#This Row],[Time split]]="Train 2024",tblWorkPackages[[#This Row],[Estimated labor hours]],tblWorkPackages[[#This Row],[Calibrated forecast hours]])</f>
        <v>15.5</v>
      </c>
      <c r="W592" s="64">
        <f>DATEVALUE(tblWorkPackages[[#This Row],[Request date]])</f>
        <v>45462.0</v>
      </c>
      <c r="X592" s="64">
        <f>DATEVALUE(tblWorkPackages[[#This Row],[Due date]])</f>
        <v>45475.0</v>
      </c>
      <c r="Y592" s="64">
        <f>DATEVALUE(tblWorkPackages[[#This Row],[Completion date]])</f>
        <v>45467.0</v>
      </c>
      <c r="Z592" s="64">
        <f>_xlfn.MINIFS(tblLaborEntries[Work date serial],tblLaborEntries[Work package ID],tblWorkPackages[[#This Row],[Work package ID]])</f>
        <v>45465.0</v>
      </c>
      <c r="AA592" s="64">
        <f>_xlfn.MAXIFS(tblLaborEntries[Work date serial],tblLaborEntries[Work package ID],tblWorkPackages[[#This Row],[Work package ID]])</f>
        <v>45465.0</v>
      </c>
      <c r="AB592" s="65">
        <f>IF(tblWorkPackages[[#This Row],[Completion date serial]]&gt;tblWorkPackages[[#This Row],[Due date serial]],1,0)</f>
        <v>0</v>
      </c>
      <c r="AC592" s="65">
        <f>MAX(0,tblWorkPackages[[#This Row],[Completion date serial]]-tblWorkPackages[[#This Row],[Due date serial]])</f>
        <v>0</v>
      </c>
      <c r="AD592" s="65">
        <f>tblWorkPackages[[#This Row],[First labor date]]-tblWorkPackages[[#This Row],[Request date serial]]</f>
        <v>3</v>
      </c>
      <c r="AE592" s="65">
        <f>tblWorkPackages[[#This Row],[Last labor date]]-tblWorkPackages[[#This Row],[First labor date]]</f>
        <v>0</v>
      </c>
      <c r="AF592" s="65">
        <f>tblWorkPackages[[#This Row],[Completion date serial]]-tblWorkPackages[[#This Row],[Last labor date]]</f>
        <v>2</v>
      </c>
      <c r="AG592" s="65">
        <f>tblWorkPackages[[#This Row],[Completion date serial]]-tblWorkPackages[[#This Row],[Request date serial]]</f>
        <v>5</v>
      </c>
      <c r="AH592" s="65">
        <f>IFERROR(INDEX(tblParts[Delay days],MATCH(tblWorkPackages[[#This Row],[Work package ID]],tblParts[Work package ID],0)),0)</f>
        <v>0</v>
      </c>
      <c r="AI592" s="51" t="str">
        <f>IFERROR(INDEX(tblDisruptions[Event type],MATCH(tblWorkPackages[[#This Row],[Work package ID]],tblDisruptions[Work package ID],0)),"None")</f>
        <v>None</v>
      </c>
      <c r="AJ592" s="51" t="str">
        <f>TEXT(tblWorkPackages[[#This Row],[Due date serial]],"yyyy-mm")</f>
        <v>2024-07</v>
      </c>
    </row>
    <row r="593" spans="1:36" ht="15" x14ac:dyDescent="0.25">
      <c r="A593" s="53" t="s">
        <v>1433</v>
      </c>
      <c r="B593" s="53" t="s">
        <v>230</v>
      </c>
      <c r="C593" s="53" t="s">
        <v>1017</v>
      </c>
      <c r="D593" s="53" t="s">
        <v>559</v>
      </c>
      <c r="E593" s="53" t="s">
        <v>160</v>
      </c>
      <c r="F593" s="53" t="s">
        <v>128</v>
      </c>
      <c r="G593" s="53" t="s">
        <v>138</v>
      </c>
      <c r="H593" s="53">
        <v>1</v>
      </c>
      <c r="I593" s="53" t="s">
        <v>147</v>
      </c>
      <c r="J593" s="53">
        <v>0</v>
      </c>
      <c r="K593" s="53">
        <v>0</v>
      </c>
      <c r="L593" s="53">
        <v>2.8</v>
      </c>
      <c r="M593" s="53" t="s">
        <v>645</v>
      </c>
      <c r="N593" s="53">
        <v>3.4</v>
      </c>
      <c r="O593" s="51" t="str">
        <f>TEXT(tblWorkPackages[[#This Row],[Request date serial]]-WEEKDAY(tblWorkPackages[[#This Row],[Request date serial]],3),"yyyy-mm-dd")</f>
        <v>2025-11-10</v>
      </c>
      <c r="P593" s="51">
        <f>ABS(tblWorkPackages[[#This Row],[Actual labor hours]]-tblWorkPackages[[#This Row],[Estimated labor hours]])</f>
        <v>0.6</v>
      </c>
      <c r="Q593" s="51">
        <f>IF(tblWorkPackages[[#This Row],[Actual labor hours]]&gt;tblWorkPackages[[#This Row],[Estimated labor hours]],1,0)</f>
        <v>1</v>
      </c>
      <c r="R593" s="51">
        <f>tblWorkPackages[[#This Row],[Actual labor hours]]-tblWorkPackages[[#This Row],[Estimated labor hours]]</f>
        <v>0.6</v>
      </c>
      <c r="S593" s="51" t="str">
        <f>IF(tblWorkPackages[[#This Row],[Request date serial]]&lt;ValidationStart,"Train 2024",IF(tblWorkPackages[[#This Row],[Request date serial]]&lt;HoldoutStart,"Validation H1","Holdout H2"))</f>
        <v>Holdout H2</v>
      </c>
      <c r="T593" s="51">
        <f>IF(tblWorkPackages[[#This Row],[Time split]]="Train 2024","",tblWorkPackages[[#This Row],[Estimated labor hours]]+VLOOKUP(tblWorkPackages[[#This Row],[Task type]],'Forecast validation'!$A$14:$E$25,IF(tblWorkPackages[[#This Row],[Time split]]="Validation H1",4,5),FALSE()))</f>
        <v>3.23739837398374</v>
      </c>
      <c r="U593" s="51">
        <f>IF(tblWorkPackages[[#This Row],[Calibrated forecast hours]]="","",ABS(tblWorkPackages[[#This Row],[Actual labor hours]]-tblWorkPackages[[#This Row],[Calibrated forecast hours]]))</f>
        <v>0.16260162601626</v>
      </c>
      <c r="V593" s="51">
        <f>IF(tblWorkPackages[[#This Row],[Time split]]="Train 2024",tblWorkPackages[[#This Row],[Estimated labor hours]],tblWorkPackages[[#This Row],[Calibrated forecast hours]])</f>
        <v>3.23739837398374</v>
      </c>
      <c r="W593" s="64">
        <f>DATEVALUE(tblWorkPackages[[#This Row],[Request date]])</f>
        <v>45972.0</v>
      </c>
      <c r="X593" s="64">
        <f>DATEVALUE(tblWorkPackages[[#This Row],[Due date]])</f>
        <v>45974.0</v>
      </c>
      <c r="Y593" s="64">
        <f>DATEVALUE(tblWorkPackages[[#This Row],[Completion date]])</f>
        <v>46002.0</v>
      </c>
      <c r="Z593" s="64">
        <f>_xlfn.MINIFS(tblLaborEntries[Work date serial],tblLaborEntries[Work package ID],tblWorkPackages[[#This Row],[Work package ID]])</f>
        <v>45998.0</v>
      </c>
      <c r="AA593" s="64">
        <f>_xlfn.MAXIFS(tblLaborEntries[Work date serial],tblLaborEntries[Work package ID],tblWorkPackages[[#This Row],[Work package ID]])</f>
        <v>45999.0</v>
      </c>
      <c r="AB593" s="65">
        <f>IF(tblWorkPackages[[#This Row],[Completion date serial]]&gt;tblWorkPackages[[#This Row],[Due date serial]],1,0)</f>
        <v>1</v>
      </c>
      <c r="AC593" s="65">
        <f>MAX(0,tblWorkPackages[[#This Row],[Completion date serial]]-tblWorkPackages[[#This Row],[Due date serial]])</f>
        <v>28</v>
      </c>
      <c r="AD593" s="65">
        <f>tblWorkPackages[[#This Row],[First labor date]]-tblWorkPackages[[#This Row],[Request date serial]]</f>
        <v>26</v>
      </c>
      <c r="AE593" s="65">
        <f>tblWorkPackages[[#This Row],[Last labor date]]-tblWorkPackages[[#This Row],[First labor date]]</f>
        <v>1</v>
      </c>
      <c r="AF593" s="65">
        <f>tblWorkPackages[[#This Row],[Completion date serial]]-tblWorkPackages[[#This Row],[Last labor date]]</f>
        <v>3</v>
      </c>
      <c r="AG593" s="65">
        <f>tblWorkPackages[[#This Row],[Completion date serial]]-tblWorkPackages[[#This Row],[Request date serial]]</f>
        <v>30</v>
      </c>
      <c r="AH593" s="65">
        <f>IFERROR(INDEX(tblParts[Delay days],MATCH(tblWorkPackages[[#This Row],[Work package ID]],tblParts[Work package ID],0)),0)</f>
        <v>0</v>
      </c>
      <c r="AI593" s="51" t="str">
        <f>IFERROR(INDEX(tblDisruptions[Event type],MATCH(tblWorkPackages[[#This Row],[Work package ID]],tblDisruptions[Work package ID],0)),"None")</f>
        <v>None</v>
      </c>
      <c r="AJ593" s="51" t="str">
        <f>TEXT(tblWorkPackages[[#This Row],[Due date serial]],"yyyy-mm")</f>
        <v>2025-11</v>
      </c>
    </row>
    <row r="594" spans="1:36" ht="15" x14ac:dyDescent="0.25">
      <c r="A594" s="53" t="s">
        <v>1434</v>
      </c>
      <c r="B594" s="53" t="s">
        <v>250</v>
      </c>
      <c r="C594" s="53" t="s">
        <v>549</v>
      </c>
      <c r="D594" s="53" t="s">
        <v>550</v>
      </c>
      <c r="E594" s="53" t="s">
        <v>223</v>
      </c>
      <c r="F594" s="53" t="s">
        <v>182</v>
      </c>
      <c r="G594" s="53" t="s">
        <v>154</v>
      </c>
      <c r="H594" s="53">
        <v>1</v>
      </c>
      <c r="I594" s="53" t="s">
        <v>130</v>
      </c>
      <c r="J594" s="53">
        <v>0</v>
      </c>
      <c r="K594" s="53">
        <v>0</v>
      </c>
      <c r="L594" s="53">
        <v>8.6</v>
      </c>
      <c r="M594" s="53" t="s">
        <v>165</v>
      </c>
      <c r="N594" s="53">
        <v>9.6999999999999993</v>
      </c>
      <c r="O594" s="51" t="str">
        <f>TEXT(tblWorkPackages[[#This Row],[Request date serial]]-WEEKDAY(tblWorkPackages[[#This Row],[Request date serial]],3),"yyyy-mm-dd")</f>
        <v>2024-06-24</v>
      </c>
      <c r="P594" s="51">
        <f>ABS(tblWorkPackages[[#This Row],[Actual labor hours]]-tblWorkPackages[[#This Row],[Estimated labor hours]])</f>
        <v>1.1</v>
      </c>
      <c r="Q594" s="51">
        <f>IF(tblWorkPackages[[#This Row],[Actual labor hours]]&gt;tblWorkPackages[[#This Row],[Estimated labor hours]],1,0)</f>
        <v>1</v>
      </c>
      <c r="R594" s="51">
        <f>tblWorkPackages[[#This Row],[Actual labor hours]]-tblWorkPackages[[#This Row],[Estimated labor hours]]</f>
        <v>1.1</v>
      </c>
      <c r="S594" s="51" t="str">
        <f>IF(tblWorkPackages[[#This Row],[Request date serial]]&lt;ValidationStart,"Train 2024",IF(tblWorkPackages[[#This Row],[Request date serial]]&lt;HoldoutStart,"Validation H1","Holdout H2"))</f>
        <v>Train 2024</v>
      </c>
      <c r="T594" s="51" t="str">
        <f>IF(tblWorkPackages[[#This Row],[Time split]]="Train 2024","",tblWorkPackages[[#This Row],[Estimated labor hours]]+VLOOKUP(tblWorkPackages[[#This Row],[Task type]],'Forecast validation'!$A$14:$E$25,IF(tblWorkPackages[[#This Row],[Time split]]="Validation H1",4,5),FALSE()))</f>
        <v/>
      </c>
      <c r="U594" s="51" t="str">
        <f>IF(tblWorkPackages[[#This Row],[Calibrated forecast hours]]="","",ABS(tblWorkPackages[[#This Row],[Actual labor hours]]-tblWorkPackages[[#This Row],[Calibrated forecast hours]]))</f>
        <v/>
      </c>
      <c r="V594" s="51">
        <f>IF(tblWorkPackages[[#This Row],[Time split]]="Train 2024",tblWorkPackages[[#This Row],[Estimated labor hours]],tblWorkPackages[[#This Row],[Calibrated forecast hours]])</f>
        <v>8.6</v>
      </c>
      <c r="W594" s="64">
        <f>DATEVALUE(tblWorkPackages[[#This Row],[Request date]])</f>
        <v>45469.0</v>
      </c>
      <c r="X594" s="64">
        <f>DATEVALUE(tblWorkPackages[[#This Row],[Due date]])</f>
        <v>45482.0</v>
      </c>
      <c r="Y594" s="64">
        <f>DATEVALUE(tblWorkPackages[[#This Row],[Completion date]])</f>
        <v>45474.0</v>
      </c>
      <c r="Z594" s="64">
        <f>_xlfn.MINIFS(tblLaborEntries[Work date serial],tblLaborEntries[Work package ID],tblWorkPackages[[#This Row],[Work package ID]])</f>
        <v>45473.0</v>
      </c>
      <c r="AA594" s="64">
        <f>_xlfn.MAXIFS(tblLaborEntries[Work date serial],tblLaborEntries[Work package ID],tblWorkPackages[[#This Row],[Work package ID]])</f>
        <v>45474.0</v>
      </c>
      <c r="AB594" s="65">
        <f>IF(tblWorkPackages[[#This Row],[Completion date serial]]&gt;tblWorkPackages[[#This Row],[Due date serial]],1,0)</f>
        <v>0</v>
      </c>
      <c r="AC594" s="65">
        <f>MAX(0,tblWorkPackages[[#This Row],[Completion date serial]]-tblWorkPackages[[#This Row],[Due date serial]])</f>
        <v>0</v>
      </c>
      <c r="AD594" s="65">
        <f>tblWorkPackages[[#This Row],[First labor date]]-tblWorkPackages[[#This Row],[Request date serial]]</f>
        <v>4</v>
      </c>
      <c r="AE594" s="65">
        <f>tblWorkPackages[[#This Row],[Last labor date]]-tblWorkPackages[[#This Row],[First labor date]]</f>
        <v>1</v>
      </c>
      <c r="AF594" s="65">
        <f>tblWorkPackages[[#This Row],[Completion date serial]]-tblWorkPackages[[#This Row],[Last labor date]]</f>
        <v>0</v>
      </c>
      <c r="AG594" s="65">
        <f>tblWorkPackages[[#This Row],[Completion date serial]]-tblWorkPackages[[#This Row],[Request date serial]]</f>
        <v>5</v>
      </c>
      <c r="AH594" s="65">
        <f>IFERROR(INDEX(tblParts[Delay days],MATCH(tblWorkPackages[[#This Row],[Work package ID]],tblParts[Work package ID],0)),0)</f>
        <v>0</v>
      </c>
      <c r="AI594" s="51" t="str">
        <f>IFERROR(INDEX(tblDisruptions[Event type],MATCH(tblWorkPackages[[#This Row],[Work package ID]],tblDisruptions[Work package ID],0)),"None")</f>
        <v>None</v>
      </c>
      <c r="AJ594" s="51" t="str">
        <f>TEXT(tblWorkPackages[[#This Row],[Due date serial]],"yyyy-mm")</f>
        <v>2024-07</v>
      </c>
    </row>
    <row r="595" spans="1:36" ht="15" x14ac:dyDescent="0.25">
      <c r="A595" s="53" t="s">
        <v>1435</v>
      </c>
      <c r="B595" s="53" t="s">
        <v>203</v>
      </c>
      <c r="C595" s="53" t="s">
        <v>255</v>
      </c>
      <c r="D595" s="53" t="s">
        <v>221</v>
      </c>
      <c r="E595" s="53" t="s">
        <v>136</v>
      </c>
      <c r="F595" s="53" t="s">
        <v>137</v>
      </c>
      <c r="G595" s="53" t="s">
        <v>138</v>
      </c>
      <c r="H595" s="53">
        <v>3</v>
      </c>
      <c r="I595" s="53" t="s">
        <v>130</v>
      </c>
      <c r="J595" s="53">
        <v>0</v>
      </c>
      <c r="K595" s="53">
        <v>0</v>
      </c>
      <c r="L595" s="53">
        <v>16.899999999999999</v>
      </c>
      <c r="M595" s="53" t="s">
        <v>256</v>
      </c>
      <c r="N595" s="53">
        <v>13.2</v>
      </c>
      <c r="O595" s="51" t="str">
        <f>TEXT(tblWorkPackages[[#This Row],[Request date serial]]-WEEKDAY(tblWorkPackages[[#This Row],[Request date serial]],3),"yyyy-mm-dd")</f>
        <v>2024-12-02</v>
      </c>
      <c r="P595" s="51">
        <f>ABS(tblWorkPackages[[#This Row],[Actual labor hours]]-tblWorkPackages[[#This Row],[Estimated labor hours]])</f>
        <v>3.7</v>
      </c>
      <c r="Q595" s="51">
        <f>IF(tblWorkPackages[[#This Row],[Actual labor hours]]&gt;tblWorkPackages[[#This Row],[Estimated labor hours]],1,0)</f>
        <v>0</v>
      </c>
      <c r="R595" s="51">
        <f>tblWorkPackages[[#This Row],[Actual labor hours]]-tblWorkPackages[[#This Row],[Estimated labor hours]]</f>
        <v>-3.7</v>
      </c>
      <c r="S595" s="51" t="str">
        <f>IF(tblWorkPackages[[#This Row],[Request date serial]]&lt;ValidationStart,"Train 2024",IF(tblWorkPackages[[#This Row],[Request date serial]]&lt;HoldoutStart,"Validation H1","Holdout H2"))</f>
        <v>Train 2024</v>
      </c>
      <c r="T595" s="51" t="str">
        <f>IF(tblWorkPackages[[#This Row],[Time split]]="Train 2024","",tblWorkPackages[[#This Row],[Estimated labor hours]]+VLOOKUP(tblWorkPackages[[#This Row],[Task type]],'Forecast validation'!$A$14:$E$25,IF(tblWorkPackages[[#This Row],[Time split]]="Validation H1",4,5),FALSE()))</f>
        <v/>
      </c>
      <c r="U595" s="51" t="str">
        <f>IF(tblWorkPackages[[#This Row],[Calibrated forecast hours]]="","",ABS(tblWorkPackages[[#This Row],[Actual labor hours]]-tblWorkPackages[[#This Row],[Calibrated forecast hours]]))</f>
        <v/>
      </c>
      <c r="V595" s="51">
        <f>IF(tblWorkPackages[[#This Row],[Time split]]="Train 2024",tblWorkPackages[[#This Row],[Estimated labor hours]],tblWorkPackages[[#This Row],[Calibrated forecast hours]])</f>
        <v>16.9</v>
      </c>
      <c r="W595" s="64">
        <f>DATEVALUE(tblWorkPackages[[#This Row],[Request date]])</f>
        <v>45632.0</v>
      </c>
      <c r="X595" s="64">
        <f>DATEVALUE(tblWorkPackages[[#This Row],[Due date]])</f>
        <v>45645.0</v>
      </c>
      <c r="Y595" s="64">
        <f>DATEVALUE(tblWorkPackages[[#This Row],[Completion date]])</f>
        <v>45634.0</v>
      </c>
      <c r="Z595" s="64">
        <f>_xlfn.MINIFS(tblLaborEntries[Work date serial],tblLaborEntries[Work package ID],tblWorkPackages[[#This Row],[Work package ID]])</f>
        <v>45633.0</v>
      </c>
      <c r="AA595" s="64">
        <f>_xlfn.MAXIFS(tblLaborEntries[Work date serial],tblLaborEntries[Work package ID],tblWorkPackages[[#This Row],[Work package ID]])</f>
        <v>45633.0</v>
      </c>
      <c r="AB595" s="65">
        <f>IF(tblWorkPackages[[#This Row],[Completion date serial]]&gt;tblWorkPackages[[#This Row],[Due date serial]],1,0)</f>
        <v>0</v>
      </c>
      <c r="AC595" s="65">
        <f>MAX(0,tblWorkPackages[[#This Row],[Completion date serial]]-tblWorkPackages[[#This Row],[Due date serial]])</f>
        <v>0</v>
      </c>
      <c r="AD595" s="65">
        <f>tblWorkPackages[[#This Row],[First labor date]]-tblWorkPackages[[#This Row],[Request date serial]]</f>
        <v>1</v>
      </c>
      <c r="AE595" s="65">
        <f>tblWorkPackages[[#This Row],[Last labor date]]-tblWorkPackages[[#This Row],[First labor date]]</f>
        <v>0</v>
      </c>
      <c r="AF595" s="65">
        <f>tblWorkPackages[[#This Row],[Completion date serial]]-tblWorkPackages[[#This Row],[Last labor date]]</f>
        <v>1</v>
      </c>
      <c r="AG595" s="65">
        <f>tblWorkPackages[[#This Row],[Completion date serial]]-tblWorkPackages[[#This Row],[Request date serial]]</f>
        <v>2</v>
      </c>
      <c r="AH595" s="65">
        <f>IFERROR(INDEX(tblParts[Delay days],MATCH(tblWorkPackages[[#This Row],[Work package ID]],tblParts[Work package ID],0)),0)</f>
        <v>0</v>
      </c>
      <c r="AI595" s="51" t="str">
        <f>IFERROR(INDEX(tblDisruptions[Event type],MATCH(tblWorkPackages[[#This Row],[Work package ID]],tblDisruptions[Work package ID],0)),"None")</f>
        <v>None</v>
      </c>
      <c r="AJ595" s="51" t="str">
        <f>TEXT(tblWorkPackages[[#This Row],[Due date serial]],"yyyy-mm")</f>
        <v>2024-12</v>
      </c>
    </row>
    <row r="596" spans="1:36" ht="15" x14ac:dyDescent="0.25">
      <c r="A596" s="53" t="s">
        <v>1436</v>
      </c>
      <c r="B596" s="53" t="s">
        <v>250</v>
      </c>
      <c r="C596" s="53" t="s">
        <v>1437</v>
      </c>
      <c r="D596" s="53" t="s">
        <v>892</v>
      </c>
      <c r="E596" s="53" t="s">
        <v>153</v>
      </c>
      <c r="F596" s="53" t="s">
        <v>128</v>
      </c>
      <c r="G596" s="53" t="s">
        <v>154</v>
      </c>
      <c r="H596" s="53">
        <v>1</v>
      </c>
      <c r="I596" s="53" t="s">
        <v>130</v>
      </c>
      <c r="J596" s="53">
        <v>0</v>
      </c>
      <c r="K596" s="53">
        <v>0</v>
      </c>
      <c r="L596" s="53">
        <v>5.8</v>
      </c>
      <c r="M596" s="53" t="s">
        <v>232</v>
      </c>
      <c r="N596" s="53">
        <v>6.1</v>
      </c>
      <c r="O596" s="51" t="str">
        <f>TEXT(tblWorkPackages[[#This Row],[Request date serial]]-WEEKDAY(tblWorkPackages[[#This Row],[Request date serial]],3),"yyyy-mm-dd")</f>
        <v>2024-12-23</v>
      </c>
      <c r="P596" s="51">
        <f>ABS(tblWorkPackages[[#This Row],[Actual labor hours]]-tblWorkPackages[[#This Row],[Estimated labor hours]])</f>
        <v>0.3</v>
      </c>
      <c r="Q596" s="51">
        <f>IF(tblWorkPackages[[#This Row],[Actual labor hours]]&gt;tblWorkPackages[[#This Row],[Estimated labor hours]],1,0)</f>
        <v>1</v>
      </c>
      <c r="R596" s="51">
        <f>tblWorkPackages[[#This Row],[Actual labor hours]]-tblWorkPackages[[#This Row],[Estimated labor hours]]</f>
        <v>0.3</v>
      </c>
      <c r="S596" s="51" t="str">
        <f>IF(tblWorkPackages[[#This Row],[Request date serial]]&lt;ValidationStart,"Train 2024",IF(tblWorkPackages[[#This Row],[Request date serial]]&lt;HoldoutStart,"Validation H1","Holdout H2"))</f>
        <v>Train 2024</v>
      </c>
      <c r="T596" s="51" t="str">
        <f>IF(tblWorkPackages[[#This Row],[Time split]]="Train 2024","",tblWorkPackages[[#This Row],[Estimated labor hours]]+VLOOKUP(tblWorkPackages[[#This Row],[Task type]],'Forecast validation'!$A$14:$E$25,IF(tblWorkPackages[[#This Row],[Time split]]="Validation H1",4,5),FALSE()))</f>
        <v/>
      </c>
      <c r="U596" s="51" t="str">
        <f>IF(tblWorkPackages[[#This Row],[Calibrated forecast hours]]="","",ABS(tblWorkPackages[[#This Row],[Actual labor hours]]-tblWorkPackages[[#This Row],[Calibrated forecast hours]]))</f>
        <v/>
      </c>
      <c r="V596" s="51">
        <f>IF(tblWorkPackages[[#This Row],[Time split]]="Train 2024",tblWorkPackages[[#This Row],[Estimated labor hours]],tblWorkPackages[[#This Row],[Calibrated forecast hours]])</f>
        <v>5.8</v>
      </c>
      <c r="W596" s="64">
        <f>DATEVALUE(tblWorkPackages[[#This Row],[Request date]])</f>
        <v>45653.0</v>
      </c>
      <c r="X596" s="64">
        <f>DATEVALUE(tblWorkPackages[[#This Row],[Due date]])</f>
        <v>45666.0</v>
      </c>
      <c r="Y596" s="64">
        <f>DATEVALUE(tblWorkPackages[[#This Row],[Completion date]])</f>
        <v>45668.0</v>
      </c>
      <c r="Z596" s="64">
        <f>_xlfn.MINIFS(tblLaborEntries[Work date serial],tblLaborEntries[Work package ID],tblWorkPackages[[#This Row],[Work package ID]])</f>
        <v>45666.0</v>
      </c>
      <c r="AA596" s="64">
        <f>_xlfn.MAXIFS(tblLaborEntries[Work date serial],tblLaborEntries[Work package ID],tblWorkPackages[[#This Row],[Work package ID]])</f>
        <v>45666.0</v>
      </c>
      <c r="AB596" s="65">
        <f>IF(tblWorkPackages[[#This Row],[Completion date serial]]&gt;tblWorkPackages[[#This Row],[Due date serial]],1,0)</f>
        <v>1</v>
      </c>
      <c r="AC596" s="65">
        <f>MAX(0,tblWorkPackages[[#This Row],[Completion date serial]]-tblWorkPackages[[#This Row],[Due date serial]])</f>
        <v>2</v>
      </c>
      <c r="AD596" s="65">
        <f>tblWorkPackages[[#This Row],[First labor date]]-tblWorkPackages[[#This Row],[Request date serial]]</f>
        <v>13</v>
      </c>
      <c r="AE596" s="65">
        <f>tblWorkPackages[[#This Row],[Last labor date]]-tblWorkPackages[[#This Row],[First labor date]]</f>
        <v>0</v>
      </c>
      <c r="AF596" s="65">
        <f>tblWorkPackages[[#This Row],[Completion date serial]]-tblWorkPackages[[#This Row],[Last labor date]]</f>
        <v>2</v>
      </c>
      <c r="AG596" s="65">
        <f>tblWorkPackages[[#This Row],[Completion date serial]]-tblWorkPackages[[#This Row],[Request date serial]]</f>
        <v>15</v>
      </c>
      <c r="AH596" s="65">
        <f>IFERROR(INDEX(tblParts[Delay days],MATCH(tblWorkPackages[[#This Row],[Work package ID]],tblParts[Work package ID],0)),0)</f>
        <v>0</v>
      </c>
      <c r="AI596" s="51" t="str">
        <f>IFERROR(INDEX(tblDisruptions[Event type],MATCH(tblWorkPackages[[#This Row],[Work package ID]],tblDisruptions[Work package ID],0)),"None")</f>
        <v>None</v>
      </c>
      <c r="AJ596" s="51" t="str">
        <f>TEXT(tblWorkPackages[[#This Row],[Due date serial]],"yyyy-mm")</f>
        <v>2025-01</v>
      </c>
    </row>
    <row r="597" spans="1:36" ht="15" x14ac:dyDescent="0.25">
      <c r="A597" s="53" t="s">
        <v>1438</v>
      </c>
      <c r="B597" s="53" t="s">
        <v>157</v>
      </c>
      <c r="C597" s="53" t="s">
        <v>1439</v>
      </c>
      <c r="D597" s="53" t="s">
        <v>846</v>
      </c>
      <c r="E597" s="53" t="s">
        <v>160</v>
      </c>
      <c r="F597" s="53" t="s">
        <v>128</v>
      </c>
      <c r="G597" s="53" t="s">
        <v>138</v>
      </c>
      <c r="H597" s="53">
        <v>1</v>
      </c>
      <c r="I597" s="53" t="s">
        <v>147</v>
      </c>
      <c r="J597" s="53">
        <v>0</v>
      </c>
      <c r="K597" s="53">
        <v>0</v>
      </c>
      <c r="L597" s="53">
        <v>2.5</v>
      </c>
      <c r="M597" s="53" t="s">
        <v>874</v>
      </c>
      <c r="N597" s="53">
        <v>2.2000000000000002</v>
      </c>
      <c r="O597" s="51" t="str">
        <f>TEXT(tblWorkPackages[[#This Row],[Request date serial]]-WEEKDAY(tblWorkPackages[[#This Row],[Request date serial]],3),"yyyy-mm-dd")</f>
        <v>2024-09-02</v>
      </c>
      <c r="P597" s="51">
        <f>ABS(tblWorkPackages[[#This Row],[Actual labor hours]]-tblWorkPackages[[#This Row],[Estimated labor hours]])</f>
        <v>0.3</v>
      </c>
      <c r="Q597" s="51">
        <f>IF(tblWorkPackages[[#This Row],[Actual labor hours]]&gt;tblWorkPackages[[#This Row],[Estimated labor hours]],1,0)</f>
        <v>0</v>
      </c>
      <c r="R597" s="51">
        <f>tblWorkPackages[[#This Row],[Actual labor hours]]-tblWorkPackages[[#This Row],[Estimated labor hours]]</f>
        <v>-0.3</v>
      </c>
      <c r="S597" s="51" t="str">
        <f>IF(tblWorkPackages[[#This Row],[Request date serial]]&lt;ValidationStart,"Train 2024",IF(tblWorkPackages[[#This Row],[Request date serial]]&lt;HoldoutStart,"Validation H1","Holdout H2"))</f>
        <v>Train 2024</v>
      </c>
      <c r="T597" s="51" t="str">
        <f>IF(tblWorkPackages[[#This Row],[Time split]]="Train 2024","",tblWorkPackages[[#This Row],[Estimated labor hours]]+VLOOKUP(tblWorkPackages[[#This Row],[Task type]],'Forecast validation'!$A$14:$E$25,IF(tblWorkPackages[[#This Row],[Time split]]="Validation H1",4,5),FALSE()))</f>
        <v/>
      </c>
      <c r="U597" s="51" t="str">
        <f>IF(tblWorkPackages[[#This Row],[Calibrated forecast hours]]="","",ABS(tblWorkPackages[[#This Row],[Actual labor hours]]-tblWorkPackages[[#This Row],[Calibrated forecast hours]]))</f>
        <v/>
      </c>
      <c r="V597" s="51">
        <f>IF(tblWorkPackages[[#This Row],[Time split]]="Train 2024",tblWorkPackages[[#This Row],[Estimated labor hours]],tblWorkPackages[[#This Row],[Calibrated forecast hours]])</f>
        <v>2.5</v>
      </c>
      <c r="W597" s="64">
        <f>DATEVALUE(tblWorkPackages[[#This Row],[Request date]])</f>
        <v>45540.0</v>
      </c>
      <c r="X597" s="64">
        <f>DATEVALUE(tblWorkPackages[[#This Row],[Due date]])</f>
        <v>45542.0</v>
      </c>
      <c r="Y597" s="64">
        <f>DATEVALUE(tblWorkPackages[[#This Row],[Completion date]])</f>
        <v>45548.0</v>
      </c>
      <c r="Z597" s="64">
        <f>_xlfn.MINIFS(tblLaborEntries[Work date serial],tblLaborEntries[Work package ID],tblWorkPackages[[#This Row],[Work package ID]])</f>
        <v>45543.0</v>
      </c>
      <c r="AA597" s="64">
        <f>_xlfn.MAXIFS(tblLaborEntries[Work date serial],tblLaborEntries[Work package ID],tblWorkPackages[[#This Row],[Work package ID]])</f>
        <v>45545.0</v>
      </c>
      <c r="AB597" s="65">
        <f>IF(tblWorkPackages[[#This Row],[Completion date serial]]&gt;tblWorkPackages[[#This Row],[Due date serial]],1,0)</f>
        <v>1</v>
      </c>
      <c r="AC597" s="65">
        <f>MAX(0,tblWorkPackages[[#This Row],[Completion date serial]]-tblWorkPackages[[#This Row],[Due date serial]])</f>
        <v>6</v>
      </c>
      <c r="AD597" s="65">
        <f>tblWorkPackages[[#This Row],[First labor date]]-tblWorkPackages[[#This Row],[Request date serial]]</f>
        <v>3</v>
      </c>
      <c r="AE597" s="65">
        <f>tblWorkPackages[[#This Row],[Last labor date]]-tblWorkPackages[[#This Row],[First labor date]]</f>
        <v>2</v>
      </c>
      <c r="AF597" s="65">
        <f>tblWorkPackages[[#This Row],[Completion date serial]]-tblWorkPackages[[#This Row],[Last labor date]]</f>
        <v>3</v>
      </c>
      <c r="AG597" s="65">
        <f>tblWorkPackages[[#This Row],[Completion date serial]]-tblWorkPackages[[#This Row],[Request date serial]]</f>
        <v>8</v>
      </c>
      <c r="AH597" s="65">
        <f>IFERROR(INDEX(tblParts[Delay days],MATCH(tblWorkPackages[[#This Row],[Work package ID]],tblParts[Work package ID],0)),0)</f>
        <v>0</v>
      </c>
      <c r="AI597" s="51" t="str">
        <f>IFERROR(INDEX(tblDisruptions[Event type],MATCH(tblWorkPackages[[#This Row],[Work package ID]],tblDisruptions[Work package ID],0)),"None")</f>
        <v>None</v>
      </c>
      <c r="AJ597" s="51" t="str">
        <f>TEXT(tblWorkPackages[[#This Row],[Due date serial]],"yyyy-mm")</f>
        <v>2024-09</v>
      </c>
    </row>
    <row r="598" spans="1:36" ht="15" x14ac:dyDescent="0.25">
      <c r="A598" s="53" t="s">
        <v>1440</v>
      </c>
      <c r="B598" s="53" t="s">
        <v>150</v>
      </c>
      <c r="C598" s="53" t="s">
        <v>957</v>
      </c>
      <c r="D598" s="53" t="s">
        <v>304</v>
      </c>
      <c r="E598" s="53" t="s">
        <v>242</v>
      </c>
      <c r="F598" s="53" t="s">
        <v>243</v>
      </c>
      <c r="G598" s="53" t="s">
        <v>129</v>
      </c>
      <c r="H598" s="53">
        <v>1</v>
      </c>
      <c r="I598" s="53" t="s">
        <v>176</v>
      </c>
      <c r="J598" s="53">
        <v>0</v>
      </c>
      <c r="K598" s="53">
        <v>0</v>
      </c>
      <c r="L598" s="53">
        <v>6.3</v>
      </c>
      <c r="M598" s="53" t="s">
        <v>391</v>
      </c>
      <c r="N598" s="53">
        <v>7.2</v>
      </c>
      <c r="O598" s="51" t="str">
        <f>TEXT(tblWorkPackages[[#This Row],[Request date serial]]-WEEKDAY(tblWorkPackages[[#This Row],[Request date serial]],3),"yyyy-mm-dd")</f>
        <v>2024-06-17</v>
      </c>
      <c r="P598" s="51">
        <f>ABS(tblWorkPackages[[#This Row],[Actual labor hours]]-tblWorkPackages[[#This Row],[Estimated labor hours]])</f>
        <v>0.9</v>
      </c>
      <c r="Q598" s="51">
        <f>IF(tblWorkPackages[[#This Row],[Actual labor hours]]&gt;tblWorkPackages[[#This Row],[Estimated labor hours]],1,0)</f>
        <v>1</v>
      </c>
      <c r="R598" s="51">
        <f>tblWorkPackages[[#This Row],[Actual labor hours]]-tblWorkPackages[[#This Row],[Estimated labor hours]]</f>
        <v>0.9</v>
      </c>
      <c r="S598" s="51" t="str">
        <f>IF(tblWorkPackages[[#This Row],[Request date serial]]&lt;ValidationStart,"Train 2024",IF(tblWorkPackages[[#This Row],[Request date serial]]&lt;HoldoutStart,"Validation H1","Holdout H2"))</f>
        <v>Train 2024</v>
      </c>
      <c r="T598" s="51" t="str">
        <f>IF(tblWorkPackages[[#This Row],[Time split]]="Train 2024","",tblWorkPackages[[#This Row],[Estimated labor hours]]+VLOOKUP(tblWorkPackages[[#This Row],[Task type]],'Forecast validation'!$A$14:$E$25,IF(tblWorkPackages[[#This Row],[Time split]]="Validation H1",4,5),FALSE()))</f>
        <v/>
      </c>
      <c r="U598" s="51" t="str">
        <f>IF(tblWorkPackages[[#This Row],[Calibrated forecast hours]]="","",ABS(tblWorkPackages[[#This Row],[Actual labor hours]]-tblWorkPackages[[#This Row],[Calibrated forecast hours]]))</f>
        <v/>
      </c>
      <c r="V598" s="51">
        <f>IF(tblWorkPackages[[#This Row],[Time split]]="Train 2024",tblWorkPackages[[#This Row],[Estimated labor hours]],tblWorkPackages[[#This Row],[Calibrated forecast hours]])</f>
        <v>6.3</v>
      </c>
      <c r="W598" s="64">
        <f>DATEVALUE(tblWorkPackages[[#This Row],[Request date]])</f>
        <v>45464.0</v>
      </c>
      <c r="X598" s="64">
        <f>DATEVALUE(tblWorkPackages[[#This Row],[Due date]])</f>
        <v>45470.0</v>
      </c>
      <c r="Y598" s="64">
        <f>DATEVALUE(tblWorkPackages[[#This Row],[Completion date]])</f>
        <v>45510.0</v>
      </c>
      <c r="Z598" s="64">
        <f>_xlfn.MINIFS(tblLaborEntries[Work date serial],tblLaborEntries[Work package ID],tblWorkPackages[[#This Row],[Work package ID]])</f>
        <v>45509.0</v>
      </c>
      <c r="AA598" s="64">
        <f>_xlfn.MAXIFS(tblLaborEntries[Work date serial],tblLaborEntries[Work package ID],tblWorkPackages[[#This Row],[Work package ID]])</f>
        <v>45510.0</v>
      </c>
      <c r="AB598" s="65">
        <f>IF(tblWorkPackages[[#This Row],[Completion date serial]]&gt;tblWorkPackages[[#This Row],[Due date serial]],1,0)</f>
        <v>1</v>
      </c>
      <c r="AC598" s="65">
        <f>MAX(0,tblWorkPackages[[#This Row],[Completion date serial]]-tblWorkPackages[[#This Row],[Due date serial]])</f>
        <v>40</v>
      </c>
      <c r="AD598" s="65">
        <f>tblWorkPackages[[#This Row],[First labor date]]-tblWorkPackages[[#This Row],[Request date serial]]</f>
        <v>45</v>
      </c>
      <c r="AE598" s="65">
        <f>tblWorkPackages[[#This Row],[Last labor date]]-tblWorkPackages[[#This Row],[First labor date]]</f>
        <v>1</v>
      </c>
      <c r="AF598" s="65">
        <f>tblWorkPackages[[#This Row],[Completion date serial]]-tblWorkPackages[[#This Row],[Last labor date]]</f>
        <v>0</v>
      </c>
      <c r="AG598" s="65">
        <f>tblWorkPackages[[#This Row],[Completion date serial]]-tblWorkPackages[[#This Row],[Request date serial]]</f>
        <v>46</v>
      </c>
      <c r="AH598" s="65">
        <f>IFERROR(INDEX(tblParts[Delay days],MATCH(tblWorkPackages[[#This Row],[Work package ID]],tblParts[Work package ID],0)),0)</f>
        <v>0</v>
      </c>
      <c r="AI598" s="51" t="str">
        <f>IFERROR(INDEX(tblDisruptions[Event type],MATCH(tblWorkPackages[[#This Row],[Work package ID]],tblDisruptions[Work package ID],0)),"None")</f>
        <v>None</v>
      </c>
      <c r="AJ598" s="51" t="str">
        <f>TEXT(tblWorkPackages[[#This Row],[Due date serial]],"yyyy-mm")</f>
        <v>2024-06</v>
      </c>
    </row>
    <row r="599" spans="1:36" ht="15" x14ac:dyDescent="0.25">
      <c r="A599" s="53" t="s">
        <v>1441</v>
      </c>
      <c r="B599" s="53" t="s">
        <v>203</v>
      </c>
      <c r="C599" s="53" t="s">
        <v>553</v>
      </c>
      <c r="D599" s="53" t="s">
        <v>782</v>
      </c>
      <c r="E599" s="53" t="s">
        <v>136</v>
      </c>
      <c r="F599" s="53" t="s">
        <v>137</v>
      </c>
      <c r="G599" s="53" t="s">
        <v>138</v>
      </c>
      <c r="H599" s="53">
        <v>1</v>
      </c>
      <c r="I599" s="53" t="s">
        <v>176</v>
      </c>
      <c r="J599" s="53">
        <v>0</v>
      </c>
      <c r="K599" s="53">
        <v>0</v>
      </c>
      <c r="L599" s="53">
        <v>8.1999999999999993</v>
      </c>
      <c r="M599" s="53" t="s">
        <v>1442</v>
      </c>
      <c r="N599" s="53">
        <v>10</v>
      </c>
      <c r="O599" s="51" t="str">
        <f>TEXT(tblWorkPackages[[#This Row],[Request date serial]]-WEEKDAY(tblWorkPackages[[#This Row],[Request date serial]],3),"yyyy-mm-dd")</f>
        <v>2024-08-05</v>
      </c>
      <c r="P599" s="51">
        <f>ABS(tblWorkPackages[[#This Row],[Actual labor hours]]-tblWorkPackages[[#This Row],[Estimated labor hours]])</f>
        <v>1.8</v>
      </c>
      <c r="Q599" s="51">
        <f>IF(tblWorkPackages[[#This Row],[Actual labor hours]]&gt;tblWorkPackages[[#This Row],[Estimated labor hours]],1,0)</f>
        <v>1</v>
      </c>
      <c r="R599" s="51">
        <f>tblWorkPackages[[#This Row],[Actual labor hours]]-tblWorkPackages[[#This Row],[Estimated labor hours]]</f>
        <v>1.8</v>
      </c>
      <c r="S599" s="51" t="str">
        <f>IF(tblWorkPackages[[#This Row],[Request date serial]]&lt;ValidationStart,"Train 2024",IF(tblWorkPackages[[#This Row],[Request date serial]]&lt;HoldoutStart,"Validation H1","Holdout H2"))</f>
        <v>Train 2024</v>
      </c>
      <c r="T599" s="51" t="str">
        <f>IF(tblWorkPackages[[#This Row],[Time split]]="Train 2024","",tblWorkPackages[[#This Row],[Estimated labor hours]]+VLOOKUP(tblWorkPackages[[#This Row],[Task type]],'Forecast validation'!$A$14:$E$25,IF(tblWorkPackages[[#This Row],[Time split]]="Validation H1",4,5),FALSE()))</f>
        <v/>
      </c>
      <c r="U599" s="51" t="str">
        <f>IF(tblWorkPackages[[#This Row],[Calibrated forecast hours]]="","",ABS(tblWorkPackages[[#This Row],[Actual labor hours]]-tblWorkPackages[[#This Row],[Calibrated forecast hours]]))</f>
        <v/>
      </c>
      <c r="V599" s="51">
        <f>IF(tblWorkPackages[[#This Row],[Time split]]="Train 2024",tblWorkPackages[[#This Row],[Estimated labor hours]],tblWorkPackages[[#This Row],[Calibrated forecast hours]])</f>
        <v>8.2</v>
      </c>
      <c r="W599" s="64">
        <f>DATEVALUE(tblWorkPackages[[#This Row],[Request date]])</f>
        <v>45511.0</v>
      </c>
      <c r="X599" s="64">
        <f>DATEVALUE(tblWorkPackages[[#This Row],[Due date]])</f>
        <v>45517.0</v>
      </c>
      <c r="Y599" s="64">
        <f>DATEVALUE(tblWorkPackages[[#This Row],[Completion date]])</f>
        <v>45520.0</v>
      </c>
      <c r="Z599" s="64">
        <f>_xlfn.MINIFS(tblLaborEntries[Work date serial],tblLaborEntries[Work package ID],tblWorkPackages[[#This Row],[Work package ID]])</f>
        <v>45519.0</v>
      </c>
      <c r="AA599" s="64">
        <f>_xlfn.MAXIFS(tblLaborEntries[Work date serial],tblLaborEntries[Work package ID],tblWorkPackages[[#This Row],[Work package ID]])</f>
        <v>45519.0</v>
      </c>
      <c r="AB599" s="65">
        <f>IF(tblWorkPackages[[#This Row],[Completion date serial]]&gt;tblWorkPackages[[#This Row],[Due date serial]],1,0)</f>
        <v>1</v>
      </c>
      <c r="AC599" s="65">
        <f>MAX(0,tblWorkPackages[[#This Row],[Completion date serial]]-tblWorkPackages[[#This Row],[Due date serial]])</f>
        <v>3</v>
      </c>
      <c r="AD599" s="65">
        <f>tblWorkPackages[[#This Row],[First labor date]]-tblWorkPackages[[#This Row],[Request date serial]]</f>
        <v>8</v>
      </c>
      <c r="AE599" s="65">
        <f>tblWorkPackages[[#This Row],[Last labor date]]-tblWorkPackages[[#This Row],[First labor date]]</f>
        <v>0</v>
      </c>
      <c r="AF599" s="65">
        <f>tblWorkPackages[[#This Row],[Completion date serial]]-tblWorkPackages[[#This Row],[Last labor date]]</f>
        <v>1</v>
      </c>
      <c r="AG599" s="65">
        <f>tblWorkPackages[[#This Row],[Completion date serial]]-tblWorkPackages[[#This Row],[Request date serial]]</f>
        <v>9</v>
      </c>
      <c r="AH599" s="65">
        <f>IFERROR(INDEX(tblParts[Delay days],MATCH(tblWorkPackages[[#This Row],[Work package ID]],tblParts[Work package ID],0)),0)</f>
        <v>0</v>
      </c>
      <c r="AI599" s="51" t="str">
        <f>IFERROR(INDEX(tblDisruptions[Event type],MATCH(tblWorkPackages[[#This Row],[Work package ID]],tblDisruptions[Work package ID],0)),"None")</f>
        <v>None</v>
      </c>
      <c r="AJ599" s="51" t="str">
        <f>TEXT(tblWorkPackages[[#This Row],[Due date serial]],"yyyy-mm")</f>
        <v>2024-08</v>
      </c>
    </row>
    <row r="600" spans="1:36" ht="15" x14ac:dyDescent="0.25">
      <c r="A600" s="53" t="s">
        <v>1443</v>
      </c>
      <c r="B600" s="53" t="s">
        <v>250</v>
      </c>
      <c r="C600" s="53" t="s">
        <v>717</v>
      </c>
      <c r="D600" s="53" t="s">
        <v>1246</v>
      </c>
      <c r="E600" s="53" t="s">
        <v>242</v>
      </c>
      <c r="F600" s="53" t="s">
        <v>243</v>
      </c>
      <c r="G600" s="53" t="s">
        <v>129</v>
      </c>
      <c r="H600" s="53">
        <v>4</v>
      </c>
      <c r="I600" s="53" t="s">
        <v>147</v>
      </c>
      <c r="J600" s="53">
        <v>0</v>
      </c>
      <c r="K600" s="53">
        <v>0</v>
      </c>
      <c r="L600" s="53">
        <v>17.2</v>
      </c>
      <c r="M600" s="53" t="s">
        <v>900</v>
      </c>
      <c r="N600" s="53">
        <v>21.3</v>
      </c>
      <c r="O600" s="51" t="str">
        <f>TEXT(tblWorkPackages[[#This Row],[Request date serial]]-WEEKDAY(tblWorkPackages[[#This Row],[Request date serial]],3),"yyyy-mm-dd")</f>
        <v>2025-03-03</v>
      </c>
      <c r="P600" s="51">
        <f>ABS(tblWorkPackages[[#This Row],[Actual labor hours]]-tblWorkPackages[[#This Row],[Estimated labor hours]])</f>
        <v>4.1</v>
      </c>
      <c r="Q600" s="51">
        <f>IF(tblWorkPackages[[#This Row],[Actual labor hours]]&gt;tblWorkPackages[[#This Row],[Estimated labor hours]],1,0)</f>
        <v>1</v>
      </c>
      <c r="R600" s="51">
        <f>tblWorkPackages[[#This Row],[Actual labor hours]]-tblWorkPackages[[#This Row],[Estimated labor hours]]</f>
        <v>4.1</v>
      </c>
      <c r="S600" s="51" t="str">
        <f>IF(tblWorkPackages[[#This Row],[Request date serial]]&lt;ValidationStart,"Train 2024",IF(tblWorkPackages[[#This Row],[Request date serial]]&lt;HoldoutStart,"Validation H1","Holdout H2"))</f>
        <v>Validation H1</v>
      </c>
      <c r="T600" s="51">
        <f>IF(tblWorkPackages[[#This Row],[Time split]]="Train 2024","",tblWorkPackages[[#This Row],[Estimated labor hours]]+VLOOKUP(tblWorkPackages[[#This Row],[Task type]],'Forecast validation'!$A$14:$E$25,IF(tblWorkPackages[[#This Row],[Time split]]="Validation H1",4,5),FALSE()))</f>
        <v>17.7561224489796</v>
      </c>
      <c r="U600" s="51">
        <f>IF(tblWorkPackages[[#This Row],[Calibrated forecast hours]]="","",ABS(tblWorkPackages[[#This Row],[Actual labor hours]]-tblWorkPackages[[#This Row],[Calibrated forecast hours]]))</f>
        <v>3.54387755102041</v>
      </c>
      <c r="V600" s="51">
        <f>IF(tblWorkPackages[[#This Row],[Time split]]="Train 2024",tblWorkPackages[[#This Row],[Estimated labor hours]],tblWorkPackages[[#This Row],[Calibrated forecast hours]])</f>
        <v>17.7561224489796</v>
      </c>
      <c r="W600" s="64">
        <f>DATEVALUE(tblWorkPackages[[#This Row],[Request date]])</f>
        <v>45723.0</v>
      </c>
      <c r="X600" s="64">
        <f>DATEVALUE(tblWorkPackages[[#This Row],[Due date]])</f>
        <v>45725.0</v>
      </c>
      <c r="Y600" s="64">
        <f>DATEVALUE(tblWorkPackages[[#This Row],[Completion date]])</f>
        <v>45728.0</v>
      </c>
      <c r="Z600" s="64">
        <f>_xlfn.MINIFS(tblLaborEntries[Work date serial],tblLaborEntries[Work package ID],tblWorkPackages[[#This Row],[Work package ID]])</f>
        <v>45725.0</v>
      </c>
      <c r="AA600" s="64">
        <f>_xlfn.MAXIFS(tblLaborEntries[Work date serial],tblLaborEntries[Work package ID],tblWorkPackages[[#This Row],[Work package ID]])</f>
        <v>45726.0</v>
      </c>
      <c r="AB600" s="65">
        <f>IF(tblWorkPackages[[#This Row],[Completion date serial]]&gt;tblWorkPackages[[#This Row],[Due date serial]],1,0)</f>
        <v>1</v>
      </c>
      <c r="AC600" s="65">
        <f>MAX(0,tblWorkPackages[[#This Row],[Completion date serial]]-tblWorkPackages[[#This Row],[Due date serial]])</f>
        <v>3</v>
      </c>
      <c r="AD600" s="65">
        <f>tblWorkPackages[[#This Row],[First labor date]]-tblWorkPackages[[#This Row],[Request date serial]]</f>
        <v>2</v>
      </c>
      <c r="AE600" s="65">
        <f>tblWorkPackages[[#This Row],[Last labor date]]-tblWorkPackages[[#This Row],[First labor date]]</f>
        <v>1</v>
      </c>
      <c r="AF600" s="65">
        <f>tblWorkPackages[[#This Row],[Completion date serial]]-tblWorkPackages[[#This Row],[Last labor date]]</f>
        <v>2</v>
      </c>
      <c r="AG600" s="65">
        <f>tblWorkPackages[[#This Row],[Completion date serial]]-tblWorkPackages[[#This Row],[Request date serial]]</f>
        <v>5</v>
      </c>
      <c r="AH600" s="65">
        <f>IFERROR(INDEX(tblParts[Delay days],MATCH(tblWorkPackages[[#This Row],[Work package ID]],tblParts[Work package ID],0)),0)</f>
        <v>0</v>
      </c>
      <c r="AI600" s="51" t="str">
        <f>IFERROR(INDEX(tblDisruptions[Event type],MATCH(tblWorkPackages[[#This Row],[Work package ID]],tblDisruptions[Work package ID],0)),"None")</f>
        <v>None</v>
      </c>
      <c r="AJ600" s="51" t="str">
        <f>TEXT(tblWorkPackages[[#This Row],[Due date serial]],"yyyy-mm")</f>
        <v>2025-03</v>
      </c>
    </row>
    <row r="601" spans="1:36" ht="15" x14ac:dyDescent="0.25">
      <c r="A601" s="53" t="s">
        <v>1444</v>
      </c>
      <c r="B601" s="53" t="s">
        <v>150</v>
      </c>
      <c r="C601" s="53" t="s">
        <v>717</v>
      </c>
      <c r="D601" s="53" t="s">
        <v>1445</v>
      </c>
      <c r="E601" s="53" t="s">
        <v>237</v>
      </c>
      <c r="F601" s="53" t="s">
        <v>182</v>
      </c>
      <c r="G601" s="53" t="s">
        <v>138</v>
      </c>
      <c r="H601" s="53">
        <v>2</v>
      </c>
      <c r="I601" s="53" t="s">
        <v>130</v>
      </c>
      <c r="J601" s="53">
        <v>0</v>
      </c>
      <c r="K601" s="53">
        <v>1</v>
      </c>
      <c r="L601" s="53">
        <v>6.1</v>
      </c>
      <c r="M601" s="53" t="s">
        <v>1446</v>
      </c>
      <c r="N601" s="53">
        <v>9</v>
      </c>
      <c r="O601" s="51" t="str">
        <f>TEXT(tblWorkPackages[[#This Row],[Request date serial]]-WEEKDAY(tblWorkPackages[[#This Row],[Request date serial]],3),"yyyy-mm-dd")</f>
        <v>2025-03-03</v>
      </c>
      <c r="P601" s="51">
        <f>ABS(tblWorkPackages[[#This Row],[Actual labor hours]]-tblWorkPackages[[#This Row],[Estimated labor hours]])</f>
        <v>2.9</v>
      </c>
      <c r="Q601" s="51">
        <f>IF(tblWorkPackages[[#This Row],[Actual labor hours]]&gt;tblWorkPackages[[#This Row],[Estimated labor hours]],1,0)</f>
        <v>1</v>
      </c>
      <c r="R601" s="51">
        <f>tblWorkPackages[[#This Row],[Actual labor hours]]-tblWorkPackages[[#This Row],[Estimated labor hours]]</f>
        <v>2.9</v>
      </c>
      <c r="S601" s="51" t="str">
        <f>IF(tblWorkPackages[[#This Row],[Request date serial]]&lt;ValidationStart,"Train 2024",IF(tblWorkPackages[[#This Row],[Request date serial]]&lt;HoldoutStart,"Validation H1","Holdout H2"))</f>
        <v>Validation H1</v>
      </c>
      <c r="T601" s="51">
        <f>IF(tblWorkPackages[[#This Row],[Time split]]="Train 2024","",tblWorkPackages[[#This Row],[Estimated labor hours]]+VLOOKUP(tblWorkPackages[[#This Row],[Task type]],'Forecast validation'!$A$14:$E$25,IF(tblWorkPackages[[#This Row],[Time split]]="Validation H1",4,5),FALSE()))</f>
        <v>6.6037037037037</v>
      </c>
      <c r="U601" s="51">
        <f>IF(tblWorkPackages[[#This Row],[Calibrated forecast hours]]="","",ABS(tblWorkPackages[[#This Row],[Actual labor hours]]-tblWorkPackages[[#This Row],[Calibrated forecast hours]]))</f>
        <v>2.3962962962963</v>
      </c>
      <c r="V601" s="51">
        <f>IF(tblWorkPackages[[#This Row],[Time split]]="Train 2024",tblWorkPackages[[#This Row],[Estimated labor hours]],tblWorkPackages[[#This Row],[Calibrated forecast hours]])</f>
        <v>6.6037037037037</v>
      </c>
      <c r="W601" s="64">
        <f>DATEVALUE(tblWorkPackages[[#This Row],[Request date]])</f>
        <v>45723.0</v>
      </c>
      <c r="X601" s="64">
        <f>DATEVALUE(tblWorkPackages[[#This Row],[Due date]])</f>
        <v>45736.0</v>
      </c>
      <c r="Y601" s="64">
        <f>DATEVALUE(tblWorkPackages[[#This Row],[Completion date]])</f>
        <v>45751.0</v>
      </c>
      <c r="Z601" s="64">
        <f>_xlfn.MINIFS(tblLaborEntries[Work date serial],tblLaborEntries[Work package ID],tblWorkPackages[[#This Row],[Work package ID]])</f>
        <v>45746.0</v>
      </c>
      <c r="AA601" s="64">
        <f>_xlfn.MAXIFS(tblLaborEntries[Work date serial],tblLaborEntries[Work package ID],tblWorkPackages[[#This Row],[Work package ID]])</f>
        <v>45748.0</v>
      </c>
      <c r="AB601" s="65">
        <f>IF(tblWorkPackages[[#This Row],[Completion date serial]]&gt;tblWorkPackages[[#This Row],[Due date serial]],1,0)</f>
        <v>1</v>
      </c>
      <c r="AC601" s="65">
        <f>MAX(0,tblWorkPackages[[#This Row],[Completion date serial]]-tblWorkPackages[[#This Row],[Due date serial]])</f>
        <v>15</v>
      </c>
      <c r="AD601" s="65">
        <f>tblWorkPackages[[#This Row],[First labor date]]-tblWorkPackages[[#This Row],[Request date serial]]</f>
        <v>23</v>
      </c>
      <c r="AE601" s="65">
        <f>tblWorkPackages[[#This Row],[Last labor date]]-tblWorkPackages[[#This Row],[First labor date]]</f>
        <v>2</v>
      </c>
      <c r="AF601" s="65">
        <f>tblWorkPackages[[#This Row],[Completion date serial]]-tblWorkPackages[[#This Row],[Last labor date]]</f>
        <v>3</v>
      </c>
      <c r="AG601" s="65">
        <f>tblWorkPackages[[#This Row],[Completion date serial]]-tblWorkPackages[[#This Row],[Request date serial]]</f>
        <v>28</v>
      </c>
      <c r="AH601" s="65">
        <f>IFERROR(INDEX(tblParts[Delay days],MATCH(tblWorkPackages[[#This Row],[Work package ID]],tblParts[Work package ID],0)),0)</f>
        <v>5</v>
      </c>
      <c r="AI601" s="51" t="str">
        <f>IFERROR(INDEX(tblDisruptions[Event type],MATCH(tblWorkPackages[[#This Row],[Work package ID]],tblDisruptions[Work package ID],0)),"None")</f>
        <v>Part delay</v>
      </c>
      <c r="AJ601" s="51" t="str">
        <f>TEXT(tblWorkPackages[[#This Row],[Due date serial]],"yyyy-mm")</f>
        <v>2025-03</v>
      </c>
    </row>
    <row r="602" spans="1:36" ht="15" x14ac:dyDescent="0.25">
      <c r="A602" s="53" t="s">
        <v>1447</v>
      </c>
      <c r="B602" s="53" t="s">
        <v>173</v>
      </c>
      <c r="C602" s="53" t="s">
        <v>675</v>
      </c>
      <c r="D602" s="53" t="s">
        <v>920</v>
      </c>
      <c r="E602" s="53" t="s">
        <v>136</v>
      </c>
      <c r="F602" s="53" t="s">
        <v>137</v>
      </c>
      <c r="G602" s="53" t="s">
        <v>138</v>
      </c>
      <c r="H602" s="53">
        <v>3</v>
      </c>
      <c r="I602" s="53" t="s">
        <v>147</v>
      </c>
      <c r="J602" s="53">
        <v>0</v>
      </c>
      <c r="K602" s="53">
        <v>0</v>
      </c>
      <c r="L602" s="53">
        <v>20.9</v>
      </c>
      <c r="M602" s="53" t="s">
        <v>676</v>
      </c>
      <c r="N602" s="53">
        <v>21.3</v>
      </c>
      <c r="O602" s="51" t="str">
        <f>TEXT(tblWorkPackages[[#This Row],[Request date serial]]-WEEKDAY(tblWorkPackages[[#This Row],[Request date serial]],3),"yyyy-mm-dd")</f>
        <v>2024-04-15</v>
      </c>
      <c r="P602" s="51">
        <f>ABS(tblWorkPackages[[#This Row],[Actual labor hours]]-tblWorkPackages[[#This Row],[Estimated labor hours]])</f>
        <v>0.400000000000002</v>
      </c>
      <c r="Q602" s="51">
        <f>IF(tblWorkPackages[[#This Row],[Actual labor hours]]&gt;tblWorkPackages[[#This Row],[Estimated labor hours]],1,0)</f>
        <v>1</v>
      </c>
      <c r="R602" s="51">
        <f>tblWorkPackages[[#This Row],[Actual labor hours]]-tblWorkPackages[[#This Row],[Estimated labor hours]]</f>
        <v>0.400000000000002</v>
      </c>
      <c r="S602" s="51" t="str">
        <f>IF(tblWorkPackages[[#This Row],[Request date serial]]&lt;ValidationStart,"Train 2024",IF(tblWorkPackages[[#This Row],[Request date serial]]&lt;HoldoutStart,"Validation H1","Holdout H2"))</f>
        <v>Train 2024</v>
      </c>
      <c r="T602" s="51" t="str">
        <f>IF(tblWorkPackages[[#This Row],[Time split]]="Train 2024","",tblWorkPackages[[#This Row],[Estimated labor hours]]+VLOOKUP(tblWorkPackages[[#This Row],[Task type]],'Forecast validation'!$A$14:$E$25,IF(tblWorkPackages[[#This Row],[Time split]]="Validation H1",4,5),FALSE()))</f>
        <v/>
      </c>
      <c r="U602" s="51" t="str">
        <f>IF(tblWorkPackages[[#This Row],[Calibrated forecast hours]]="","",ABS(tblWorkPackages[[#This Row],[Actual labor hours]]-tblWorkPackages[[#This Row],[Calibrated forecast hours]]))</f>
        <v/>
      </c>
      <c r="V602" s="51">
        <f>IF(tblWorkPackages[[#This Row],[Time split]]="Train 2024",tblWorkPackages[[#This Row],[Estimated labor hours]],tblWorkPackages[[#This Row],[Calibrated forecast hours]])</f>
        <v>20.9</v>
      </c>
      <c r="W602" s="64">
        <f>DATEVALUE(tblWorkPackages[[#This Row],[Request date]])</f>
        <v>45399.0</v>
      </c>
      <c r="X602" s="64">
        <f>DATEVALUE(tblWorkPackages[[#This Row],[Due date]])</f>
        <v>45401.0</v>
      </c>
      <c r="Y602" s="64">
        <f>DATEVALUE(tblWorkPackages[[#This Row],[Completion date]])</f>
        <v>45405.0</v>
      </c>
      <c r="Z602" s="64">
        <f>_xlfn.MINIFS(tblLaborEntries[Work date serial],tblLaborEntries[Work package ID],tblWorkPackages[[#This Row],[Work package ID]])</f>
        <v>45403.0</v>
      </c>
      <c r="AA602" s="64">
        <f>_xlfn.MAXIFS(tblLaborEntries[Work date serial],tblLaborEntries[Work package ID],tblWorkPackages[[#This Row],[Work package ID]])</f>
        <v>45405.0</v>
      </c>
      <c r="AB602" s="65">
        <f>IF(tblWorkPackages[[#This Row],[Completion date serial]]&gt;tblWorkPackages[[#This Row],[Due date serial]],1,0)</f>
        <v>1</v>
      </c>
      <c r="AC602" s="65">
        <f>MAX(0,tblWorkPackages[[#This Row],[Completion date serial]]-tblWorkPackages[[#This Row],[Due date serial]])</f>
        <v>4</v>
      </c>
      <c r="AD602" s="65">
        <f>tblWorkPackages[[#This Row],[First labor date]]-tblWorkPackages[[#This Row],[Request date serial]]</f>
        <v>4</v>
      </c>
      <c r="AE602" s="65">
        <f>tblWorkPackages[[#This Row],[Last labor date]]-tblWorkPackages[[#This Row],[First labor date]]</f>
        <v>2</v>
      </c>
      <c r="AF602" s="65">
        <f>tblWorkPackages[[#This Row],[Completion date serial]]-tblWorkPackages[[#This Row],[Last labor date]]</f>
        <v>0</v>
      </c>
      <c r="AG602" s="65">
        <f>tblWorkPackages[[#This Row],[Completion date serial]]-tblWorkPackages[[#This Row],[Request date serial]]</f>
        <v>6</v>
      </c>
      <c r="AH602" s="65">
        <f>IFERROR(INDEX(tblParts[Delay days],MATCH(tblWorkPackages[[#This Row],[Work package ID]],tblParts[Work package ID],0)),0)</f>
        <v>0</v>
      </c>
      <c r="AI602" s="51" t="str">
        <f>IFERROR(INDEX(tblDisruptions[Event type],MATCH(tblWorkPackages[[#This Row],[Work package ID]],tblDisruptions[Work package ID],0)),"None")</f>
        <v>None</v>
      </c>
      <c r="AJ602" s="51" t="str">
        <f>TEXT(tblWorkPackages[[#This Row],[Due date serial]],"yyyy-mm")</f>
        <v>2024-04</v>
      </c>
    </row>
    <row r="603" spans="1:36" ht="15" x14ac:dyDescent="0.25">
      <c r="A603" s="53" t="s">
        <v>1448</v>
      </c>
      <c r="B603" s="53" t="s">
        <v>230</v>
      </c>
      <c r="C603" s="53" t="s">
        <v>922</v>
      </c>
      <c r="D603" s="53" t="s">
        <v>456</v>
      </c>
      <c r="E603" s="53" t="s">
        <v>209</v>
      </c>
      <c r="F603" s="53" t="s">
        <v>145</v>
      </c>
      <c r="G603" s="53" t="s">
        <v>210</v>
      </c>
      <c r="H603" s="53">
        <v>2</v>
      </c>
      <c r="I603" s="53" t="s">
        <v>130</v>
      </c>
      <c r="J603" s="53">
        <v>0</v>
      </c>
      <c r="K603" s="53">
        <v>0</v>
      </c>
      <c r="L603" s="53">
        <v>20.7</v>
      </c>
      <c r="M603" s="53" t="s">
        <v>231</v>
      </c>
      <c r="N603" s="53">
        <v>31.3</v>
      </c>
      <c r="O603" s="51" t="str">
        <f>TEXT(tblWorkPackages[[#This Row],[Request date serial]]-WEEKDAY(tblWorkPackages[[#This Row],[Request date serial]],3),"yyyy-mm-dd")</f>
        <v>2024-12-23</v>
      </c>
      <c r="P603" s="51">
        <f>ABS(tblWorkPackages[[#This Row],[Actual labor hours]]-tblWorkPackages[[#This Row],[Estimated labor hours]])</f>
        <v>10.6</v>
      </c>
      <c r="Q603" s="51">
        <f>IF(tblWorkPackages[[#This Row],[Actual labor hours]]&gt;tblWorkPackages[[#This Row],[Estimated labor hours]],1,0)</f>
        <v>1</v>
      </c>
      <c r="R603" s="51">
        <f>tblWorkPackages[[#This Row],[Actual labor hours]]-tblWorkPackages[[#This Row],[Estimated labor hours]]</f>
        <v>10.6</v>
      </c>
      <c r="S603" s="51" t="str">
        <f>IF(tblWorkPackages[[#This Row],[Request date serial]]&lt;ValidationStart,"Train 2024",IF(tblWorkPackages[[#This Row],[Request date serial]]&lt;HoldoutStart,"Validation H1","Holdout H2"))</f>
        <v>Train 2024</v>
      </c>
      <c r="T603" s="51" t="str">
        <f>IF(tblWorkPackages[[#This Row],[Time split]]="Train 2024","",tblWorkPackages[[#This Row],[Estimated labor hours]]+VLOOKUP(tblWorkPackages[[#This Row],[Task type]],'Forecast validation'!$A$14:$E$25,IF(tblWorkPackages[[#This Row],[Time split]]="Validation H1",4,5),FALSE()))</f>
        <v/>
      </c>
      <c r="U603" s="51" t="str">
        <f>IF(tblWorkPackages[[#This Row],[Calibrated forecast hours]]="","",ABS(tblWorkPackages[[#This Row],[Actual labor hours]]-tblWorkPackages[[#This Row],[Calibrated forecast hours]]))</f>
        <v/>
      </c>
      <c r="V603" s="51">
        <f>IF(tblWorkPackages[[#This Row],[Time split]]="Train 2024",tblWorkPackages[[#This Row],[Estimated labor hours]],tblWorkPackages[[#This Row],[Calibrated forecast hours]])</f>
        <v>20.7</v>
      </c>
      <c r="W603" s="64">
        <f>DATEVALUE(tblWorkPackages[[#This Row],[Request date]])</f>
        <v>45651.0</v>
      </c>
      <c r="X603" s="64">
        <f>DATEVALUE(tblWorkPackages[[#This Row],[Due date]])</f>
        <v>45664.0</v>
      </c>
      <c r="Y603" s="64">
        <f>DATEVALUE(tblWorkPackages[[#This Row],[Completion date]])</f>
        <v>45655.0</v>
      </c>
      <c r="Z603" s="64">
        <f>_xlfn.MINIFS(tblLaborEntries[Work date serial],tblLaborEntries[Work package ID],tblWorkPackages[[#This Row],[Work package ID]])</f>
        <v>45652.0</v>
      </c>
      <c r="AA603" s="64">
        <f>_xlfn.MAXIFS(tblLaborEntries[Work date serial],tblLaborEntries[Work package ID],tblWorkPackages[[#This Row],[Work package ID]])</f>
        <v>45654.0</v>
      </c>
      <c r="AB603" s="65">
        <f>IF(tblWorkPackages[[#This Row],[Completion date serial]]&gt;tblWorkPackages[[#This Row],[Due date serial]],1,0)</f>
        <v>0</v>
      </c>
      <c r="AC603" s="65">
        <f>MAX(0,tblWorkPackages[[#This Row],[Completion date serial]]-tblWorkPackages[[#This Row],[Due date serial]])</f>
        <v>0</v>
      </c>
      <c r="AD603" s="65">
        <f>tblWorkPackages[[#This Row],[First labor date]]-tblWorkPackages[[#This Row],[Request date serial]]</f>
        <v>1</v>
      </c>
      <c r="AE603" s="65">
        <f>tblWorkPackages[[#This Row],[Last labor date]]-tblWorkPackages[[#This Row],[First labor date]]</f>
        <v>2</v>
      </c>
      <c r="AF603" s="65">
        <f>tblWorkPackages[[#This Row],[Completion date serial]]-tblWorkPackages[[#This Row],[Last labor date]]</f>
        <v>1</v>
      </c>
      <c r="AG603" s="65">
        <f>tblWorkPackages[[#This Row],[Completion date serial]]-tblWorkPackages[[#This Row],[Request date serial]]</f>
        <v>4</v>
      </c>
      <c r="AH603" s="65">
        <f>IFERROR(INDEX(tblParts[Delay days],MATCH(tblWorkPackages[[#This Row],[Work package ID]],tblParts[Work package ID],0)),0)</f>
        <v>0</v>
      </c>
      <c r="AI603" s="51" t="str">
        <f>IFERROR(INDEX(tblDisruptions[Event type],MATCH(tblWorkPackages[[#This Row],[Work package ID]],tblDisruptions[Work package ID],0)),"None")</f>
        <v>Repeat inspection</v>
      </c>
      <c r="AJ603" s="51" t="str">
        <f>TEXT(tblWorkPackages[[#This Row],[Due date serial]],"yyyy-mm")</f>
        <v>2025-01</v>
      </c>
    </row>
    <row r="604" spans="1:36" ht="15" x14ac:dyDescent="0.25">
      <c r="A604" s="53" t="s">
        <v>1449</v>
      </c>
      <c r="B604" s="53" t="s">
        <v>203</v>
      </c>
      <c r="C604" s="53" t="s">
        <v>1044</v>
      </c>
      <c r="D604" s="53" t="s">
        <v>201</v>
      </c>
      <c r="E604" s="53" t="s">
        <v>144</v>
      </c>
      <c r="F604" s="53" t="s">
        <v>145</v>
      </c>
      <c r="G604" s="53" t="s">
        <v>146</v>
      </c>
      <c r="H604" s="53">
        <v>3</v>
      </c>
      <c r="I604" s="53" t="s">
        <v>130</v>
      </c>
      <c r="J604" s="53">
        <v>0</v>
      </c>
      <c r="K604" s="53">
        <v>0</v>
      </c>
      <c r="L604" s="53">
        <v>14</v>
      </c>
      <c r="M604" s="53" t="s">
        <v>174</v>
      </c>
      <c r="N604" s="53">
        <v>14.4</v>
      </c>
      <c r="O604" s="51" t="str">
        <f>TEXT(tblWorkPackages[[#This Row],[Request date serial]]-WEEKDAY(tblWorkPackages[[#This Row],[Request date serial]],3),"yyyy-mm-dd")</f>
        <v>2025-06-09</v>
      </c>
      <c r="P604" s="51">
        <f>ABS(tblWorkPackages[[#This Row],[Actual labor hours]]-tblWorkPackages[[#This Row],[Estimated labor hours]])</f>
        <v>0.4</v>
      </c>
      <c r="Q604" s="51">
        <f>IF(tblWorkPackages[[#This Row],[Actual labor hours]]&gt;tblWorkPackages[[#This Row],[Estimated labor hours]],1,0)</f>
        <v>1</v>
      </c>
      <c r="R604" s="51">
        <f>tblWorkPackages[[#This Row],[Actual labor hours]]-tblWorkPackages[[#This Row],[Estimated labor hours]]</f>
        <v>0.4</v>
      </c>
      <c r="S604" s="51" t="str">
        <f>IF(tblWorkPackages[[#This Row],[Request date serial]]&lt;ValidationStart,"Train 2024",IF(tblWorkPackages[[#This Row],[Request date serial]]&lt;HoldoutStart,"Validation H1","Holdout H2"))</f>
        <v>Validation H1</v>
      </c>
      <c r="T604" s="51">
        <f>IF(tblWorkPackages[[#This Row],[Time split]]="Train 2024","",tblWorkPackages[[#This Row],[Estimated labor hours]]+VLOOKUP(tblWorkPackages[[#This Row],[Task type]],'Forecast validation'!$A$14:$E$25,IF(tblWorkPackages[[#This Row],[Time split]]="Validation H1",4,5),FALSE()))</f>
        <v>14.7547368421053</v>
      </c>
      <c r="U604" s="51">
        <f>IF(tblWorkPackages[[#This Row],[Calibrated forecast hours]]="","",ABS(tblWorkPackages[[#This Row],[Actual labor hours]]-tblWorkPackages[[#This Row],[Calibrated forecast hours]]))</f>
        <v>0.354736842105263</v>
      </c>
      <c r="V604" s="51">
        <f>IF(tblWorkPackages[[#This Row],[Time split]]="Train 2024",tblWorkPackages[[#This Row],[Estimated labor hours]],tblWorkPackages[[#This Row],[Calibrated forecast hours]])</f>
        <v>14.7547368421053</v>
      </c>
      <c r="W604" s="64">
        <f>DATEVALUE(tblWorkPackages[[#This Row],[Request date]])</f>
        <v>45822.0</v>
      </c>
      <c r="X604" s="64">
        <f>DATEVALUE(tblWorkPackages[[#This Row],[Due date]])</f>
        <v>45835.0</v>
      </c>
      <c r="Y604" s="64">
        <f>DATEVALUE(tblWorkPackages[[#This Row],[Completion date]])</f>
        <v>45836.0</v>
      </c>
      <c r="Z604" s="64">
        <f>_xlfn.MINIFS(tblLaborEntries[Work date serial],tblLaborEntries[Work package ID],tblWorkPackages[[#This Row],[Work package ID]])</f>
        <v>45833.0</v>
      </c>
      <c r="AA604" s="64">
        <f>_xlfn.MAXIFS(tblLaborEntries[Work date serial],tblLaborEntries[Work package ID],tblWorkPackages[[#This Row],[Work package ID]])</f>
        <v>45834.0</v>
      </c>
      <c r="AB604" s="65">
        <f>IF(tblWorkPackages[[#This Row],[Completion date serial]]&gt;tblWorkPackages[[#This Row],[Due date serial]],1,0)</f>
        <v>1</v>
      </c>
      <c r="AC604" s="65">
        <f>MAX(0,tblWorkPackages[[#This Row],[Completion date serial]]-tblWorkPackages[[#This Row],[Due date serial]])</f>
        <v>1</v>
      </c>
      <c r="AD604" s="65">
        <f>tblWorkPackages[[#This Row],[First labor date]]-tblWorkPackages[[#This Row],[Request date serial]]</f>
        <v>11</v>
      </c>
      <c r="AE604" s="65">
        <f>tblWorkPackages[[#This Row],[Last labor date]]-tblWorkPackages[[#This Row],[First labor date]]</f>
        <v>1</v>
      </c>
      <c r="AF604" s="65">
        <f>tblWorkPackages[[#This Row],[Completion date serial]]-tblWorkPackages[[#This Row],[Last labor date]]</f>
        <v>2</v>
      </c>
      <c r="AG604" s="65">
        <f>tblWorkPackages[[#This Row],[Completion date serial]]-tblWorkPackages[[#This Row],[Request date serial]]</f>
        <v>14</v>
      </c>
      <c r="AH604" s="65">
        <f>IFERROR(INDEX(tblParts[Delay days],MATCH(tblWorkPackages[[#This Row],[Work package ID]],tblParts[Work package ID],0)),0)</f>
        <v>0</v>
      </c>
      <c r="AI604" s="51" t="str">
        <f>IFERROR(INDEX(tblDisruptions[Event type],MATCH(tblWorkPackages[[#This Row],[Work package ID]],tblDisruptions[Work package ID],0)),"None")</f>
        <v>None</v>
      </c>
      <c r="AJ604" s="51" t="str">
        <f>TEXT(tblWorkPackages[[#This Row],[Due date serial]],"yyyy-mm")</f>
        <v>2025-06</v>
      </c>
    </row>
    <row r="605" spans="1:36" ht="15" x14ac:dyDescent="0.25">
      <c r="A605" s="53" t="s">
        <v>1450</v>
      </c>
      <c r="B605" s="53" t="s">
        <v>157</v>
      </c>
      <c r="C605" s="53" t="s">
        <v>515</v>
      </c>
      <c r="D605" s="53" t="s">
        <v>158</v>
      </c>
      <c r="E605" s="53" t="s">
        <v>181</v>
      </c>
      <c r="F605" s="53" t="s">
        <v>182</v>
      </c>
      <c r="G605" s="53" t="s">
        <v>138</v>
      </c>
      <c r="H605" s="53">
        <v>1</v>
      </c>
      <c r="I605" s="53" t="s">
        <v>176</v>
      </c>
      <c r="J605" s="53">
        <v>0</v>
      </c>
      <c r="K605" s="53">
        <v>0</v>
      </c>
      <c r="L605" s="53">
        <v>4.2</v>
      </c>
      <c r="M605" s="53" t="s">
        <v>161</v>
      </c>
      <c r="N605" s="53">
        <v>5.3</v>
      </c>
      <c r="O605" s="51" t="str">
        <f>TEXT(tblWorkPackages[[#This Row],[Request date serial]]-WEEKDAY(tblWorkPackages[[#This Row],[Request date serial]],3),"yyyy-mm-dd")</f>
        <v>2024-11-25</v>
      </c>
      <c r="P605" s="51">
        <f>ABS(tblWorkPackages[[#This Row],[Actual labor hours]]-tblWorkPackages[[#This Row],[Estimated labor hours]])</f>
        <v>1.1</v>
      </c>
      <c r="Q605" s="51">
        <f>IF(tblWorkPackages[[#This Row],[Actual labor hours]]&gt;tblWorkPackages[[#This Row],[Estimated labor hours]],1,0)</f>
        <v>1</v>
      </c>
      <c r="R605" s="51">
        <f>tblWorkPackages[[#This Row],[Actual labor hours]]-tblWorkPackages[[#This Row],[Estimated labor hours]]</f>
        <v>1.1</v>
      </c>
      <c r="S605" s="51" t="str">
        <f>IF(tblWorkPackages[[#This Row],[Request date serial]]&lt;ValidationStart,"Train 2024",IF(tblWorkPackages[[#This Row],[Request date serial]]&lt;HoldoutStart,"Validation H1","Holdout H2"))</f>
        <v>Train 2024</v>
      </c>
      <c r="T605" s="51" t="str">
        <f>IF(tblWorkPackages[[#This Row],[Time split]]="Train 2024","",tblWorkPackages[[#This Row],[Estimated labor hours]]+VLOOKUP(tblWorkPackages[[#This Row],[Task type]],'Forecast validation'!$A$14:$E$25,IF(tblWorkPackages[[#This Row],[Time split]]="Validation H1",4,5),FALSE()))</f>
        <v/>
      </c>
      <c r="U605" s="51" t="str">
        <f>IF(tblWorkPackages[[#This Row],[Calibrated forecast hours]]="","",ABS(tblWorkPackages[[#This Row],[Actual labor hours]]-tblWorkPackages[[#This Row],[Calibrated forecast hours]]))</f>
        <v/>
      </c>
      <c r="V605" s="51">
        <f>IF(tblWorkPackages[[#This Row],[Time split]]="Train 2024",tblWorkPackages[[#This Row],[Estimated labor hours]],tblWorkPackages[[#This Row],[Calibrated forecast hours]])</f>
        <v>4.2</v>
      </c>
      <c r="W605" s="64">
        <f>DATEVALUE(tblWorkPackages[[#This Row],[Request date]])</f>
        <v>45621.0</v>
      </c>
      <c r="X605" s="64">
        <f>DATEVALUE(tblWorkPackages[[#This Row],[Due date]])</f>
        <v>45627.0</v>
      </c>
      <c r="Y605" s="64">
        <f>DATEVALUE(tblWorkPackages[[#This Row],[Completion date]])</f>
        <v>45628.0</v>
      </c>
      <c r="Z605" s="64">
        <f>_xlfn.MINIFS(tblLaborEntries[Work date serial],tblLaborEntries[Work package ID],tblWorkPackages[[#This Row],[Work package ID]])</f>
        <v>45624.0</v>
      </c>
      <c r="AA605" s="64">
        <f>_xlfn.MAXIFS(tblLaborEntries[Work date serial],tblLaborEntries[Work package ID],tblWorkPackages[[#This Row],[Work package ID]])</f>
        <v>45625.0</v>
      </c>
      <c r="AB605" s="65">
        <f>IF(tblWorkPackages[[#This Row],[Completion date serial]]&gt;tblWorkPackages[[#This Row],[Due date serial]],1,0)</f>
        <v>1</v>
      </c>
      <c r="AC605" s="65">
        <f>MAX(0,tblWorkPackages[[#This Row],[Completion date serial]]-tblWorkPackages[[#This Row],[Due date serial]])</f>
        <v>1</v>
      </c>
      <c r="AD605" s="65">
        <f>tblWorkPackages[[#This Row],[First labor date]]-tblWorkPackages[[#This Row],[Request date serial]]</f>
        <v>3</v>
      </c>
      <c r="AE605" s="65">
        <f>tblWorkPackages[[#This Row],[Last labor date]]-tblWorkPackages[[#This Row],[First labor date]]</f>
        <v>1</v>
      </c>
      <c r="AF605" s="65">
        <f>tblWorkPackages[[#This Row],[Completion date serial]]-tblWorkPackages[[#This Row],[Last labor date]]</f>
        <v>3</v>
      </c>
      <c r="AG605" s="65">
        <f>tblWorkPackages[[#This Row],[Completion date serial]]-tblWorkPackages[[#This Row],[Request date serial]]</f>
        <v>7</v>
      </c>
      <c r="AH605" s="65">
        <f>IFERROR(INDEX(tblParts[Delay days],MATCH(tblWorkPackages[[#This Row],[Work package ID]],tblParts[Work package ID],0)),0)</f>
        <v>0</v>
      </c>
      <c r="AI605" s="51" t="str">
        <f>IFERROR(INDEX(tblDisruptions[Event type],MATCH(tblWorkPackages[[#This Row],[Work package ID]],tblDisruptions[Work package ID],0)),"None")</f>
        <v>None</v>
      </c>
      <c r="AJ605" s="51" t="str">
        <f>TEXT(tblWorkPackages[[#This Row],[Due date serial]],"yyyy-mm")</f>
        <v>2024-12</v>
      </c>
    </row>
    <row r="606" spans="1:36" ht="15" x14ac:dyDescent="0.25">
      <c r="A606" s="53" t="s">
        <v>1451</v>
      </c>
      <c r="B606" s="53" t="s">
        <v>203</v>
      </c>
      <c r="C606" s="53" t="s">
        <v>963</v>
      </c>
      <c r="D606" s="53" t="s">
        <v>187</v>
      </c>
      <c r="E606" s="53" t="s">
        <v>237</v>
      </c>
      <c r="F606" s="53" t="s">
        <v>182</v>
      </c>
      <c r="G606" s="53" t="s">
        <v>138</v>
      </c>
      <c r="H606" s="53">
        <v>4</v>
      </c>
      <c r="I606" s="53" t="s">
        <v>130</v>
      </c>
      <c r="J606" s="53">
        <v>0</v>
      </c>
      <c r="K606" s="53">
        <v>1</v>
      </c>
      <c r="L606" s="53">
        <v>9.4</v>
      </c>
      <c r="M606" s="53" t="s">
        <v>966</v>
      </c>
      <c r="N606" s="53">
        <v>7.4</v>
      </c>
      <c r="O606" s="51" t="str">
        <f>TEXT(tblWorkPackages[[#This Row],[Request date serial]]-WEEKDAY(tblWorkPackages[[#This Row],[Request date serial]],3),"yyyy-mm-dd")</f>
        <v>2025-02-10</v>
      </c>
      <c r="P606" s="51">
        <f>ABS(tblWorkPackages[[#This Row],[Actual labor hours]]-tblWorkPackages[[#This Row],[Estimated labor hours]])</f>
        <v>2</v>
      </c>
      <c r="Q606" s="51">
        <f>IF(tblWorkPackages[[#This Row],[Actual labor hours]]&gt;tblWorkPackages[[#This Row],[Estimated labor hours]],1,0)</f>
        <v>0</v>
      </c>
      <c r="R606" s="51">
        <f>tblWorkPackages[[#This Row],[Actual labor hours]]-tblWorkPackages[[#This Row],[Estimated labor hours]]</f>
        <v>-2</v>
      </c>
      <c r="S606" s="51" t="str">
        <f>IF(tblWorkPackages[[#This Row],[Request date serial]]&lt;ValidationStart,"Train 2024",IF(tblWorkPackages[[#This Row],[Request date serial]]&lt;HoldoutStart,"Validation H1","Holdout H2"))</f>
        <v>Validation H1</v>
      </c>
      <c r="T606" s="51">
        <f>IF(tblWorkPackages[[#This Row],[Time split]]="Train 2024","",tblWorkPackages[[#This Row],[Estimated labor hours]]+VLOOKUP(tblWorkPackages[[#This Row],[Task type]],'Forecast validation'!$A$14:$E$25,IF(tblWorkPackages[[#This Row],[Time split]]="Validation H1",4,5),FALSE()))</f>
        <v>9.9037037037037</v>
      </c>
      <c r="U606" s="51">
        <f>IF(tblWorkPackages[[#This Row],[Calibrated forecast hours]]="","",ABS(tblWorkPackages[[#This Row],[Actual labor hours]]-tblWorkPackages[[#This Row],[Calibrated forecast hours]]))</f>
        <v>2.5037037037037</v>
      </c>
      <c r="V606" s="51">
        <f>IF(tblWorkPackages[[#This Row],[Time split]]="Train 2024",tblWorkPackages[[#This Row],[Estimated labor hours]],tblWorkPackages[[#This Row],[Calibrated forecast hours]])</f>
        <v>9.9037037037037</v>
      </c>
      <c r="W606" s="64">
        <f>DATEVALUE(tblWorkPackages[[#This Row],[Request date]])</f>
        <v>45700.0</v>
      </c>
      <c r="X606" s="64">
        <f>DATEVALUE(tblWorkPackages[[#This Row],[Due date]])</f>
        <v>45713.0</v>
      </c>
      <c r="Y606" s="64">
        <f>DATEVALUE(tblWorkPackages[[#This Row],[Completion date]])</f>
        <v>45733.0</v>
      </c>
      <c r="Z606" s="64">
        <f>_xlfn.MINIFS(tblLaborEntries[Work date serial],tblLaborEntries[Work package ID],tblWorkPackages[[#This Row],[Work package ID]])</f>
        <v>45731.0</v>
      </c>
      <c r="AA606" s="64">
        <f>_xlfn.MAXIFS(tblLaborEntries[Work date serial],tblLaborEntries[Work package ID],tblWorkPackages[[#This Row],[Work package ID]])</f>
        <v>45733.0</v>
      </c>
      <c r="AB606" s="65">
        <f>IF(tblWorkPackages[[#This Row],[Completion date serial]]&gt;tblWorkPackages[[#This Row],[Due date serial]],1,0)</f>
        <v>1</v>
      </c>
      <c r="AC606" s="65">
        <f>MAX(0,tblWorkPackages[[#This Row],[Completion date serial]]-tblWorkPackages[[#This Row],[Due date serial]])</f>
        <v>20</v>
      </c>
      <c r="AD606" s="65">
        <f>tblWorkPackages[[#This Row],[First labor date]]-tblWorkPackages[[#This Row],[Request date serial]]</f>
        <v>31</v>
      </c>
      <c r="AE606" s="65">
        <f>tblWorkPackages[[#This Row],[Last labor date]]-tblWorkPackages[[#This Row],[First labor date]]</f>
        <v>2</v>
      </c>
      <c r="AF606" s="65">
        <f>tblWorkPackages[[#This Row],[Completion date serial]]-tblWorkPackages[[#This Row],[Last labor date]]</f>
        <v>0</v>
      </c>
      <c r="AG606" s="65">
        <f>tblWorkPackages[[#This Row],[Completion date serial]]-tblWorkPackages[[#This Row],[Request date serial]]</f>
        <v>33</v>
      </c>
      <c r="AH606" s="65">
        <f>IFERROR(INDEX(tblParts[Delay days],MATCH(tblWorkPackages[[#This Row],[Work package ID]],tblParts[Work package ID],0)),0)</f>
        <v>0</v>
      </c>
      <c r="AI606" s="51" t="str">
        <f>IFERROR(INDEX(tblDisruptions[Event type],MATCH(tblWorkPackages[[#This Row],[Work package ID]],tblDisruptions[Work package ID],0)),"None")</f>
        <v>None</v>
      </c>
      <c r="AJ606" s="51" t="str">
        <f>TEXT(tblWorkPackages[[#This Row],[Due date serial]],"yyyy-mm")</f>
        <v>2025-02</v>
      </c>
    </row>
    <row r="607" spans="1:36" ht="15" x14ac:dyDescent="0.25">
      <c r="A607" s="53" t="s">
        <v>1452</v>
      </c>
      <c r="B607" s="53" t="s">
        <v>124</v>
      </c>
      <c r="C607" s="53" t="s">
        <v>1453</v>
      </c>
      <c r="D607" s="53" t="s">
        <v>854</v>
      </c>
      <c r="E607" s="53" t="s">
        <v>181</v>
      </c>
      <c r="F607" s="53" t="s">
        <v>182</v>
      </c>
      <c r="G607" s="53" t="s">
        <v>138</v>
      </c>
      <c r="H607" s="53">
        <v>2</v>
      </c>
      <c r="I607" s="53" t="s">
        <v>130</v>
      </c>
      <c r="J607" s="53">
        <v>0</v>
      </c>
      <c r="K607" s="53">
        <v>1</v>
      </c>
      <c r="L607" s="53">
        <v>7.8</v>
      </c>
      <c r="M607" s="53" t="s">
        <v>450</v>
      </c>
      <c r="N607" s="53">
        <v>7.5</v>
      </c>
      <c r="O607" s="51" t="str">
        <f>TEXT(tblWorkPackages[[#This Row],[Request date serial]]-WEEKDAY(tblWorkPackages[[#This Row],[Request date serial]],3),"yyyy-mm-dd")</f>
        <v>2024-07-01</v>
      </c>
      <c r="P607" s="51">
        <f>ABS(tblWorkPackages[[#This Row],[Actual labor hours]]-tblWorkPackages[[#This Row],[Estimated labor hours]])</f>
        <v>0.3</v>
      </c>
      <c r="Q607" s="51">
        <f>IF(tblWorkPackages[[#This Row],[Actual labor hours]]&gt;tblWorkPackages[[#This Row],[Estimated labor hours]],1,0)</f>
        <v>0</v>
      </c>
      <c r="R607" s="51">
        <f>tblWorkPackages[[#This Row],[Actual labor hours]]-tblWorkPackages[[#This Row],[Estimated labor hours]]</f>
        <v>-0.3</v>
      </c>
      <c r="S607" s="51" t="str">
        <f>IF(tblWorkPackages[[#This Row],[Request date serial]]&lt;ValidationStart,"Train 2024",IF(tblWorkPackages[[#This Row],[Request date serial]]&lt;HoldoutStart,"Validation H1","Holdout H2"))</f>
        <v>Train 2024</v>
      </c>
      <c r="T607" s="51" t="str">
        <f>IF(tblWorkPackages[[#This Row],[Time split]]="Train 2024","",tblWorkPackages[[#This Row],[Estimated labor hours]]+VLOOKUP(tblWorkPackages[[#This Row],[Task type]],'Forecast validation'!$A$14:$E$25,IF(tblWorkPackages[[#This Row],[Time split]]="Validation H1",4,5),FALSE()))</f>
        <v/>
      </c>
      <c r="U607" s="51" t="str">
        <f>IF(tblWorkPackages[[#This Row],[Calibrated forecast hours]]="","",ABS(tblWorkPackages[[#This Row],[Actual labor hours]]-tblWorkPackages[[#This Row],[Calibrated forecast hours]]))</f>
        <v/>
      </c>
      <c r="V607" s="51">
        <f>IF(tblWorkPackages[[#This Row],[Time split]]="Train 2024",tblWorkPackages[[#This Row],[Estimated labor hours]],tblWorkPackages[[#This Row],[Calibrated forecast hours]])</f>
        <v>7.8</v>
      </c>
      <c r="W607" s="64">
        <f>DATEVALUE(tblWorkPackages[[#This Row],[Request date]])</f>
        <v>45479.0</v>
      </c>
      <c r="X607" s="64">
        <f>DATEVALUE(tblWorkPackages[[#This Row],[Due date]])</f>
        <v>45492.0</v>
      </c>
      <c r="Y607" s="64">
        <f>DATEVALUE(tblWorkPackages[[#This Row],[Completion date]])</f>
        <v>45487.0</v>
      </c>
      <c r="Z607" s="64">
        <f>_xlfn.MINIFS(tblLaborEntries[Work date serial],tblLaborEntries[Work package ID],tblWorkPackages[[#This Row],[Work package ID]])</f>
        <v>45485.0</v>
      </c>
      <c r="AA607" s="64">
        <f>_xlfn.MAXIFS(tblLaborEntries[Work date serial],tblLaborEntries[Work package ID],tblWorkPackages[[#This Row],[Work package ID]])</f>
        <v>45486.0</v>
      </c>
      <c r="AB607" s="65">
        <f>IF(tblWorkPackages[[#This Row],[Completion date serial]]&gt;tblWorkPackages[[#This Row],[Due date serial]],1,0)</f>
        <v>0</v>
      </c>
      <c r="AC607" s="65">
        <f>MAX(0,tblWorkPackages[[#This Row],[Completion date serial]]-tblWorkPackages[[#This Row],[Due date serial]])</f>
        <v>0</v>
      </c>
      <c r="AD607" s="65">
        <f>tblWorkPackages[[#This Row],[First labor date]]-tblWorkPackages[[#This Row],[Request date serial]]</f>
        <v>6</v>
      </c>
      <c r="AE607" s="65">
        <f>tblWorkPackages[[#This Row],[Last labor date]]-tblWorkPackages[[#This Row],[First labor date]]</f>
        <v>1</v>
      </c>
      <c r="AF607" s="65">
        <f>tblWorkPackages[[#This Row],[Completion date serial]]-tblWorkPackages[[#This Row],[Last labor date]]</f>
        <v>1</v>
      </c>
      <c r="AG607" s="65">
        <f>tblWorkPackages[[#This Row],[Completion date serial]]-tblWorkPackages[[#This Row],[Request date serial]]</f>
        <v>8</v>
      </c>
      <c r="AH607" s="65">
        <f>IFERROR(INDEX(tblParts[Delay days],MATCH(tblWorkPackages[[#This Row],[Work package ID]],tblParts[Work package ID],0)),0)</f>
        <v>0</v>
      </c>
      <c r="AI607" s="51" t="str">
        <f>IFERROR(INDEX(tblDisruptions[Event type],MATCH(tblWorkPackages[[#This Row],[Work package ID]],tblDisruptions[Work package ID],0)),"None")</f>
        <v>None</v>
      </c>
      <c r="AJ607" s="51" t="str">
        <f>TEXT(tblWorkPackages[[#This Row],[Due date serial]],"yyyy-mm")</f>
        <v>2024-07</v>
      </c>
    </row>
    <row r="608" spans="1:36" ht="15" x14ac:dyDescent="0.25">
      <c r="A608" s="53" t="s">
        <v>1454</v>
      </c>
      <c r="B608" s="53" t="s">
        <v>185</v>
      </c>
      <c r="C608" s="53" t="s">
        <v>681</v>
      </c>
      <c r="D608" s="53" t="s">
        <v>1455</v>
      </c>
      <c r="E608" s="53" t="s">
        <v>144</v>
      </c>
      <c r="F608" s="53" t="s">
        <v>145</v>
      </c>
      <c r="G608" s="53" t="s">
        <v>146</v>
      </c>
      <c r="H608" s="53">
        <v>4</v>
      </c>
      <c r="I608" s="53" t="s">
        <v>176</v>
      </c>
      <c r="J608" s="53">
        <v>1</v>
      </c>
      <c r="K608" s="53">
        <v>1</v>
      </c>
      <c r="L608" s="53">
        <v>20.3</v>
      </c>
      <c r="M608" s="53" t="s">
        <v>1455</v>
      </c>
      <c r="N608" s="53">
        <v>26.4</v>
      </c>
      <c r="O608" s="51" t="str">
        <f>TEXT(tblWorkPackages[[#This Row],[Request date serial]]-WEEKDAY(tblWorkPackages[[#This Row],[Request date serial]],3),"yyyy-mm-dd")</f>
        <v>2025-01-20</v>
      </c>
      <c r="P608" s="51">
        <f>ABS(tblWorkPackages[[#This Row],[Actual labor hours]]-tblWorkPackages[[#This Row],[Estimated labor hours]])</f>
        <v>6.1</v>
      </c>
      <c r="Q608" s="51">
        <f>IF(tblWorkPackages[[#This Row],[Actual labor hours]]&gt;tblWorkPackages[[#This Row],[Estimated labor hours]],1,0)</f>
        <v>1</v>
      </c>
      <c r="R608" s="51">
        <f>tblWorkPackages[[#This Row],[Actual labor hours]]-tblWorkPackages[[#This Row],[Estimated labor hours]]</f>
        <v>6.1</v>
      </c>
      <c r="S608" s="51" t="str">
        <f>IF(tblWorkPackages[[#This Row],[Request date serial]]&lt;ValidationStart,"Train 2024",IF(tblWorkPackages[[#This Row],[Request date serial]]&lt;HoldoutStart,"Validation H1","Holdout H2"))</f>
        <v>Validation H1</v>
      </c>
      <c r="T608" s="51">
        <f>IF(tblWorkPackages[[#This Row],[Time split]]="Train 2024","",tblWorkPackages[[#This Row],[Estimated labor hours]]+VLOOKUP(tblWorkPackages[[#This Row],[Task type]],'Forecast validation'!$A$14:$E$25,IF(tblWorkPackages[[#This Row],[Time split]]="Validation H1",4,5),FALSE()))</f>
        <v>21.0547368421053</v>
      </c>
      <c r="U608" s="51">
        <f>IF(tblWorkPackages[[#This Row],[Calibrated forecast hours]]="","",ABS(tblWorkPackages[[#This Row],[Actual labor hours]]-tblWorkPackages[[#This Row],[Calibrated forecast hours]]))</f>
        <v>5.34526315789474</v>
      </c>
      <c r="V608" s="51">
        <f>IF(tblWorkPackages[[#This Row],[Time split]]="Train 2024",tblWorkPackages[[#This Row],[Estimated labor hours]],tblWorkPackages[[#This Row],[Calibrated forecast hours]])</f>
        <v>21.0547368421053</v>
      </c>
      <c r="W608" s="64">
        <f>DATEVALUE(tblWorkPackages[[#This Row],[Request date]])</f>
        <v>45681.0</v>
      </c>
      <c r="X608" s="64">
        <f>DATEVALUE(tblWorkPackages[[#This Row],[Due date]])</f>
        <v>45687.0</v>
      </c>
      <c r="Y608" s="64">
        <f>DATEVALUE(tblWorkPackages[[#This Row],[Completion date]])</f>
        <v>45687.0</v>
      </c>
      <c r="Z608" s="64">
        <f>_xlfn.MINIFS(tblLaborEntries[Work date serial],tblLaborEntries[Work package ID],tblWorkPackages[[#This Row],[Work package ID]])</f>
        <v>45683.0</v>
      </c>
      <c r="AA608" s="64">
        <f>_xlfn.MAXIFS(tblLaborEntries[Work date serial],tblLaborEntries[Work package ID],tblWorkPackages[[#This Row],[Work package ID]])</f>
        <v>45685.0</v>
      </c>
      <c r="AB608" s="65">
        <f>IF(tblWorkPackages[[#This Row],[Completion date serial]]&gt;tblWorkPackages[[#This Row],[Due date serial]],1,0)</f>
        <v>0</v>
      </c>
      <c r="AC608" s="65">
        <f>MAX(0,tblWorkPackages[[#This Row],[Completion date serial]]-tblWorkPackages[[#This Row],[Due date serial]])</f>
        <v>0</v>
      </c>
      <c r="AD608" s="65">
        <f>tblWorkPackages[[#This Row],[First labor date]]-tblWorkPackages[[#This Row],[Request date serial]]</f>
        <v>2</v>
      </c>
      <c r="AE608" s="65">
        <f>tblWorkPackages[[#This Row],[Last labor date]]-tblWorkPackages[[#This Row],[First labor date]]</f>
        <v>2</v>
      </c>
      <c r="AF608" s="65">
        <f>tblWorkPackages[[#This Row],[Completion date serial]]-tblWorkPackages[[#This Row],[Last labor date]]</f>
        <v>2</v>
      </c>
      <c r="AG608" s="65">
        <f>tblWorkPackages[[#This Row],[Completion date serial]]-tblWorkPackages[[#This Row],[Request date serial]]</f>
        <v>6</v>
      </c>
      <c r="AH608" s="65">
        <f>IFERROR(INDEX(tblParts[Delay days],MATCH(tblWorkPackages[[#This Row],[Work package ID]],tblParts[Work package ID],0)),0)</f>
        <v>0</v>
      </c>
      <c r="AI608" s="51" t="str">
        <f>IFERROR(INDEX(tblDisruptions[Event type],MATCH(tblWorkPackages[[#This Row],[Work package ID]],tblDisruptions[Work package ID],0)),"None")</f>
        <v>None</v>
      </c>
      <c r="AJ608" s="51" t="str">
        <f>TEXT(tblWorkPackages[[#This Row],[Due date serial]],"yyyy-mm")</f>
        <v>2025-01</v>
      </c>
    </row>
    <row r="609" spans="1:36" ht="15" x14ac:dyDescent="0.25">
      <c r="A609" s="53" t="s">
        <v>1456</v>
      </c>
      <c r="B609" s="53" t="s">
        <v>150</v>
      </c>
      <c r="C609" s="53" t="s">
        <v>1457</v>
      </c>
      <c r="D609" s="53" t="s">
        <v>319</v>
      </c>
      <c r="E609" s="53" t="s">
        <v>160</v>
      </c>
      <c r="F609" s="53" t="s">
        <v>128</v>
      </c>
      <c r="G609" s="53" t="s">
        <v>138</v>
      </c>
      <c r="H609" s="53">
        <v>2</v>
      </c>
      <c r="I609" s="53" t="s">
        <v>130</v>
      </c>
      <c r="J609" s="53">
        <v>0</v>
      </c>
      <c r="K609" s="53">
        <v>0</v>
      </c>
      <c r="L609" s="53">
        <v>5.0999999999999996</v>
      </c>
      <c r="M609" s="53" t="s">
        <v>443</v>
      </c>
      <c r="N609" s="53">
        <v>5.7</v>
      </c>
      <c r="O609" s="51" t="str">
        <f>TEXT(tblWorkPackages[[#This Row],[Request date serial]]-WEEKDAY(tblWorkPackages[[#This Row],[Request date serial]],3),"yyyy-mm-dd")</f>
        <v>2024-02-12</v>
      </c>
      <c r="P609" s="51">
        <f>ABS(tblWorkPackages[[#This Row],[Actual labor hours]]-tblWorkPackages[[#This Row],[Estimated labor hours]])</f>
        <v>0.600000000000001</v>
      </c>
      <c r="Q609" s="51">
        <f>IF(tblWorkPackages[[#This Row],[Actual labor hours]]&gt;tblWorkPackages[[#This Row],[Estimated labor hours]],1,0)</f>
        <v>1</v>
      </c>
      <c r="R609" s="51">
        <f>tblWorkPackages[[#This Row],[Actual labor hours]]-tblWorkPackages[[#This Row],[Estimated labor hours]]</f>
        <v>0.600000000000001</v>
      </c>
      <c r="S609" s="51" t="str">
        <f>IF(tblWorkPackages[[#This Row],[Request date serial]]&lt;ValidationStart,"Train 2024",IF(tblWorkPackages[[#This Row],[Request date serial]]&lt;HoldoutStart,"Validation H1","Holdout H2"))</f>
        <v>Train 2024</v>
      </c>
      <c r="T609" s="51" t="str">
        <f>IF(tblWorkPackages[[#This Row],[Time split]]="Train 2024","",tblWorkPackages[[#This Row],[Estimated labor hours]]+VLOOKUP(tblWorkPackages[[#This Row],[Task type]],'Forecast validation'!$A$14:$E$25,IF(tblWorkPackages[[#This Row],[Time split]]="Validation H1",4,5),FALSE()))</f>
        <v/>
      </c>
      <c r="U609" s="51" t="str">
        <f>IF(tblWorkPackages[[#This Row],[Calibrated forecast hours]]="","",ABS(tblWorkPackages[[#This Row],[Actual labor hours]]-tblWorkPackages[[#This Row],[Calibrated forecast hours]]))</f>
        <v/>
      </c>
      <c r="V609" s="51">
        <f>IF(tblWorkPackages[[#This Row],[Time split]]="Train 2024",tblWorkPackages[[#This Row],[Estimated labor hours]],tblWorkPackages[[#This Row],[Calibrated forecast hours]])</f>
        <v>5.1</v>
      </c>
      <c r="W609" s="64">
        <f>DATEVALUE(tblWorkPackages[[#This Row],[Request date]])</f>
        <v>45334.0</v>
      </c>
      <c r="X609" s="64">
        <f>DATEVALUE(tblWorkPackages[[#This Row],[Due date]])</f>
        <v>45347.0</v>
      </c>
      <c r="Y609" s="64">
        <f>DATEVALUE(tblWorkPackages[[#This Row],[Completion date]])</f>
        <v>45351.0</v>
      </c>
      <c r="Z609" s="64">
        <f>_xlfn.MINIFS(tblLaborEntries[Work date serial],tblLaborEntries[Work package ID],tblWorkPackages[[#This Row],[Work package ID]])</f>
        <v>45348.0</v>
      </c>
      <c r="AA609" s="64">
        <f>_xlfn.MAXIFS(tblLaborEntries[Work date serial],tblLaborEntries[Work package ID],tblWorkPackages[[#This Row],[Work package ID]])</f>
        <v>45348.0</v>
      </c>
      <c r="AB609" s="65">
        <f>IF(tblWorkPackages[[#This Row],[Completion date serial]]&gt;tblWorkPackages[[#This Row],[Due date serial]],1,0)</f>
        <v>1</v>
      </c>
      <c r="AC609" s="65">
        <f>MAX(0,tblWorkPackages[[#This Row],[Completion date serial]]-tblWorkPackages[[#This Row],[Due date serial]])</f>
        <v>4</v>
      </c>
      <c r="AD609" s="65">
        <f>tblWorkPackages[[#This Row],[First labor date]]-tblWorkPackages[[#This Row],[Request date serial]]</f>
        <v>14</v>
      </c>
      <c r="AE609" s="65">
        <f>tblWorkPackages[[#This Row],[Last labor date]]-tblWorkPackages[[#This Row],[First labor date]]</f>
        <v>0</v>
      </c>
      <c r="AF609" s="65">
        <f>tblWorkPackages[[#This Row],[Completion date serial]]-tblWorkPackages[[#This Row],[Last labor date]]</f>
        <v>3</v>
      </c>
      <c r="AG609" s="65">
        <f>tblWorkPackages[[#This Row],[Completion date serial]]-tblWorkPackages[[#This Row],[Request date serial]]</f>
        <v>17</v>
      </c>
      <c r="AH609" s="65">
        <f>IFERROR(INDEX(tblParts[Delay days],MATCH(tblWorkPackages[[#This Row],[Work package ID]],tblParts[Work package ID],0)),0)</f>
        <v>0</v>
      </c>
      <c r="AI609" s="51" t="str">
        <f>IFERROR(INDEX(tblDisruptions[Event type],MATCH(tblWorkPackages[[#This Row],[Work package ID]],tblDisruptions[Work package ID],0)),"None")</f>
        <v>None</v>
      </c>
      <c r="AJ609" s="51" t="str">
        <f>TEXT(tblWorkPackages[[#This Row],[Due date serial]],"yyyy-mm")</f>
        <v>2024-02</v>
      </c>
    </row>
    <row r="610" spans="1:36" ht="15" x14ac:dyDescent="0.25">
      <c r="A610" s="53" t="s">
        <v>1458</v>
      </c>
      <c r="B610" s="53" t="s">
        <v>185</v>
      </c>
      <c r="C610" s="53" t="s">
        <v>710</v>
      </c>
      <c r="D610" s="53" t="s">
        <v>711</v>
      </c>
      <c r="E610" s="53" t="s">
        <v>181</v>
      </c>
      <c r="F610" s="53" t="s">
        <v>182</v>
      </c>
      <c r="G610" s="53" t="s">
        <v>138</v>
      </c>
      <c r="H610" s="53">
        <v>3</v>
      </c>
      <c r="I610" s="53" t="s">
        <v>176</v>
      </c>
      <c r="J610" s="53">
        <v>0</v>
      </c>
      <c r="K610" s="53">
        <v>0</v>
      </c>
      <c r="L610" s="53">
        <v>11.6</v>
      </c>
      <c r="M610" s="53" t="s">
        <v>711</v>
      </c>
      <c r="N610" s="53">
        <v>9</v>
      </c>
      <c r="O610" s="51" t="str">
        <f>TEXT(tblWorkPackages[[#This Row],[Request date serial]]-WEEKDAY(tblWorkPackages[[#This Row],[Request date serial]],3),"yyyy-mm-dd")</f>
        <v>2025-06-09</v>
      </c>
      <c r="P610" s="51">
        <f>ABS(tblWorkPackages[[#This Row],[Actual labor hours]]-tblWorkPackages[[#This Row],[Estimated labor hours]])</f>
        <v>2.6</v>
      </c>
      <c r="Q610" s="51">
        <f>IF(tblWorkPackages[[#This Row],[Actual labor hours]]&gt;tblWorkPackages[[#This Row],[Estimated labor hours]],1,0)</f>
        <v>0</v>
      </c>
      <c r="R610" s="51">
        <f>tblWorkPackages[[#This Row],[Actual labor hours]]-tblWorkPackages[[#This Row],[Estimated labor hours]]</f>
        <v>-2.6</v>
      </c>
      <c r="S610" s="51" t="str">
        <f>IF(tblWorkPackages[[#This Row],[Request date serial]]&lt;ValidationStart,"Train 2024",IF(tblWorkPackages[[#This Row],[Request date serial]]&lt;HoldoutStart,"Validation H1","Holdout H2"))</f>
        <v>Validation H1</v>
      </c>
      <c r="T610" s="51">
        <f>IF(tblWorkPackages[[#This Row],[Time split]]="Train 2024","",tblWorkPackages[[#This Row],[Estimated labor hours]]+VLOOKUP(tblWorkPackages[[#This Row],[Task type]],'Forecast validation'!$A$14:$E$25,IF(tblWorkPackages[[#This Row],[Time split]]="Validation H1",4,5),FALSE()))</f>
        <v>12.1840909090909</v>
      </c>
      <c r="U610" s="51">
        <f>IF(tblWorkPackages[[#This Row],[Calibrated forecast hours]]="","",ABS(tblWorkPackages[[#This Row],[Actual labor hours]]-tblWorkPackages[[#This Row],[Calibrated forecast hours]]))</f>
        <v>3.18409090909091</v>
      </c>
      <c r="V610" s="51">
        <f>IF(tblWorkPackages[[#This Row],[Time split]]="Train 2024",tblWorkPackages[[#This Row],[Estimated labor hours]],tblWorkPackages[[#This Row],[Calibrated forecast hours]])</f>
        <v>12.1840909090909</v>
      </c>
      <c r="W610" s="64">
        <f>DATEVALUE(tblWorkPackages[[#This Row],[Request date]])</f>
        <v>45821.0</v>
      </c>
      <c r="X610" s="64">
        <f>DATEVALUE(tblWorkPackages[[#This Row],[Due date]])</f>
        <v>45827.0</v>
      </c>
      <c r="Y610" s="64">
        <f>DATEVALUE(tblWorkPackages[[#This Row],[Completion date]])</f>
        <v>45827.0</v>
      </c>
      <c r="Z610" s="64">
        <f>_xlfn.MINIFS(tblLaborEntries[Work date serial],tblLaborEntries[Work package ID],tblWorkPackages[[#This Row],[Work package ID]])</f>
        <v>45825.0</v>
      </c>
      <c r="AA610" s="64">
        <f>_xlfn.MAXIFS(tblLaborEntries[Work date serial],tblLaborEntries[Work package ID],tblWorkPackages[[#This Row],[Work package ID]])</f>
        <v>45827.0</v>
      </c>
      <c r="AB610" s="65">
        <f>IF(tblWorkPackages[[#This Row],[Completion date serial]]&gt;tblWorkPackages[[#This Row],[Due date serial]],1,0)</f>
        <v>0</v>
      </c>
      <c r="AC610" s="65">
        <f>MAX(0,tblWorkPackages[[#This Row],[Completion date serial]]-tblWorkPackages[[#This Row],[Due date serial]])</f>
        <v>0</v>
      </c>
      <c r="AD610" s="65">
        <f>tblWorkPackages[[#This Row],[First labor date]]-tblWorkPackages[[#This Row],[Request date serial]]</f>
        <v>4</v>
      </c>
      <c r="AE610" s="65">
        <f>tblWorkPackages[[#This Row],[Last labor date]]-tblWorkPackages[[#This Row],[First labor date]]</f>
        <v>2</v>
      </c>
      <c r="AF610" s="65">
        <f>tblWorkPackages[[#This Row],[Completion date serial]]-tblWorkPackages[[#This Row],[Last labor date]]</f>
        <v>0</v>
      </c>
      <c r="AG610" s="65">
        <f>tblWorkPackages[[#This Row],[Completion date serial]]-tblWorkPackages[[#This Row],[Request date serial]]</f>
        <v>6</v>
      </c>
      <c r="AH610" s="65">
        <f>IFERROR(INDEX(tblParts[Delay days],MATCH(tblWorkPackages[[#This Row],[Work package ID]],tblParts[Work package ID],0)),0)</f>
        <v>0</v>
      </c>
      <c r="AI610" s="51" t="str">
        <f>IFERROR(INDEX(tblDisruptions[Event type],MATCH(tblWorkPackages[[#This Row],[Work package ID]],tblDisruptions[Work package ID],0)),"None")</f>
        <v>None</v>
      </c>
      <c r="AJ610" s="51" t="str">
        <f>TEXT(tblWorkPackages[[#This Row],[Due date serial]],"yyyy-mm")</f>
        <v>2025-06</v>
      </c>
    </row>
    <row r="611" spans="1:36" ht="15" x14ac:dyDescent="0.25">
      <c r="A611" s="53" t="s">
        <v>1459</v>
      </c>
      <c r="B611" s="53" t="s">
        <v>185</v>
      </c>
      <c r="C611" s="53" t="s">
        <v>765</v>
      </c>
      <c r="D611" s="53" t="s">
        <v>358</v>
      </c>
      <c r="E611" s="53" t="s">
        <v>272</v>
      </c>
      <c r="F611" s="53" t="s">
        <v>145</v>
      </c>
      <c r="G611" s="53" t="s">
        <v>273</v>
      </c>
      <c r="H611" s="53">
        <v>2</v>
      </c>
      <c r="I611" s="53" t="s">
        <v>176</v>
      </c>
      <c r="J611" s="53">
        <v>0</v>
      </c>
      <c r="K611" s="53">
        <v>1</v>
      </c>
      <c r="L611" s="53">
        <v>11.3</v>
      </c>
      <c r="M611" s="53" t="s">
        <v>1162</v>
      </c>
      <c r="N611" s="53">
        <v>13.2</v>
      </c>
      <c r="O611" s="51" t="str">
        <f>TEXT(tblWorkPackages[[#This Row],[Request date serial]]-WEEKDAY(tblWorkPackages[[#This Row],[Request date serial]],3),"yyyy-mm-dd")</f>
        <v>2025-12-29</v>
      </c>
      <c r="P611" s="51">
        <f>ABS(tblWorkPackages[[#This Row],[Actual labor hours]]-tblWorkPackages[[#This Row],[Estimated labor hours]])</f>
        <v>1.9</v>
      </c>
      <c r="Q611" s="51">
        <f>IF(tblWorkPackages[[#This Row],[Actual labor hours]]&gt;tblWorkPackages[[#This Row],[Estimated labor hours]],1,0)</f>
        <v>1</v>
      </c>
      <c r="R611" s="51">
        <f>tblWorkPackages[[#This Row],[Actual labor hours]]-tblWorkPackages[[#This Row],[Estimated labor hours]]</f>
        <v>1.9</v>
      </c>
      <c r="S611" s="51" t="str">
        <f>IF(tblWorkPackages[[#This Row],[Request date serial]]&lt;ValidationStart,"Train 2024",IF(tblWorkPackages[[#This Row],[Request date serial]]&lt;HoldoutStart,"Validation H1","Holdout H2"))</f>
        <v>Holdout H2</v>
      </c>
      <c r="T611" s="51">
        <f>IF(tblWorkPackages[[#This Row],[Time split]]="Train 2024","",tblWorkPackages[[#This Row],[Estimated labor hours]]+VLOOKUP(tblWorkPackages[[#This Row],[Task type]],'Forecast validation'!$A$14:$E$25,IF(tblWorkPackages[[#This Row],[Time split]]="Validation H1",4,5),FALSE()))</f>
        <v>12.28515625</v>
      </c>
      <c r="U611" s="51">
        <f>IF(tblWorkPackages[[#This Row],[Calibrated forecast hours]]="","",ABS(tblWorkPackages[[#This Row],[Actual labor hours]]-tblWorkPackages[[#This Row],[Calibrated forecast hours]]))</f>
        <v>0.914843749999999</v>
      </c>
      <c r="V611" s="51">
        <f>IF(tblWorkPackages[[#This Row],[Time split]]="Train 2024",tblWorkPackages[[#This Row],[Estimated labor hours]],tblWorkPackages[[#This Row],[Calibrated forecast hours]])</f>
        <v>12.28515625</v>
      </c>
      <c r="W611" s="64">
        <f>DATEVALUE(tblWorkPackages[[#This Row],[Request date]])</f>
        <v>46020.0</v>
      </c>
      <c r="X611" s="64">
        <f>DATEVALUE(tblWorkPackages[[#This Row],[Due date]])</f>
        <v>46026.0</v>
      </c>
      <c r="Y611" s="64">
        <f>DATEVALUE(tblWorkPackages[[#This Row],[Completion date]])</f>
        <v>46023.0</v>
      </c>
      <c r="Z611" s="64">
        <f>_xlfn.MINIFS(tblLaborEntries[Work date serial],tblLaborEntries[Work package ID],tblWorkPackages[[#This Row],[Work package ID]])</f>
        <v>46021.0</v>
      </c>
      <c r="AA611" s="64">
        <f>_xlfn.MAXIFS(tblLaborEntries[Work date serial],tblLaborEntries[Work package ID],tblWorkPackages[[#This Row],[Work package ID]])</f>
        <v>46022.0</v>
      </c>
      <c r="AB611" s="65">
        <f>IF(tblWorkPackages[[#This Row],[Completion date serial]]&gt;tblWorkPackages[[#This Row],[Due date serial]],1,0)</f>
        <v>0</v>
      </c>
      <c r="AC611" s="65">
        <f>MAX(0,tblWorkPackages[[#This Row],[Completion date serial]]-tblWorkPackages[[#This Row],[Due date serial]])</f>
        <v>0</v>
      </c>
      <c r="AD611" s="65">
        <f>tblWorkPackages[[#This Row],[First labor date]]-tblWorkPackages[[#This Row],[Request date serial]]</f>
        <v>1</v>
      </c>
      <c r="AE611" s="65">
        <f>tblWorkPackages[[#This Row],[Last labor date]]-tblWorkPackages[[#This Row],[First labor date]]</f>
        <v>1</v>
      </c>
      <c r="AF611" s="65">
        <f>tblWorkPackages[[#This Row],[Completion date serial]]-tblWorkPackages[[#This Row],[Last labor date]]</f>
        <v>1</v>
      </c>
      <c r="AG611" s="65">
        <f>tblWorkPackages[[#This Row],[Completion date serial]]-tblWorkPackages[[#This Row],[Request date serial]]</f>
        <v>3</v>
      </c>
      <c r="AH611" s="65">
        <f>IFERROR(INDEX(tblParts[Delay days],MATCH(tblWorkPackages[[#This Row],[Work package ID]],tblParts[Work package ID],0)),0)</f>
        <v>0</v>
      </c>
      <c r="AI611" s="51" t="str">
        <f>IFERROR(INDEX(tblDisruptions[Event type],MATCH(tblWorkPackages[[#This Row],[Work package ID]],tblDisruptions[Work package ID],0)),"None")</f>
        <v>None</v>
      </c>
      <c r="AJ611" s="51" t="str">
        <f>TEXT(tblWorkPackages[[#This Row],[Due date serial]],"yyyy-mm")</f>
        <v>2026-01</v>
      </c>
    </row>
    <row r="612" spans="1:36" ht="15" x14ac:dyDescent="0.25">
      <c r="A612" s="53" t="s">
        <v>1460</v>
      </c>
      <c r="B612" s="53" t="s">
        <v>185</v>
      </c>
      <c r="C612" s="53" t="s">
        <v>311</v>
      </c>
      <c r="D612" s="53" t="s">
        <v>492</v>
      </c>
      <c r="E612" s="53" t="s">
        <v>209</v>
      </c>
      <c r="F612" s="53" t="s">
        <v>145</v>
      </c>
      <c r="G612" s="53" t="s">
        <v>210</v>
      </c>
      <c r="H612" s="53">
        <v>1</v>
      </c>
      <c r="I612" s="53" t="s">
        <v>130</v>
      </c>
      <c r="J612" s="53">
        <v>1</v>
      </c>
      <c r="K612" s="53">
        <v>0</v>
      </c>
      <c r="L612" s="53">
        <v>13.7</v>
      </c>
      <c r="M612" s="53" t="s">
        <v>492</v>
      </c>
      <c r="N612" s="53">
        <v>13.1</v>
      </c>
      <c r="O612" s="51" t="str">
        <f>TEXT(tblWorkPackages[[#This Row],[Request date serial]]-WEEKDAY(tblWorkPackages[[#This Row],[Request date serial]],3),"yyyy-mm-dd")</f>
        <v>2025-08-11</v>
      </c>
      <c r="P612" s="51">
        <f>ABS(tblWorkPackages[[#This Row],[Actual labor hours]]-tblWorkPackages[[#This Row],[Estimated labor hours]])</f>
        <v>0.6</v>
      </c>
      <c r="Q612" s="51">
        <f>IF(tblWorkPackages[[#This Row],[Actual labor hours]]&gt;tblWorkPackages[[#This Row],[Estimated labor hours]],1,0)</f>
        <v>0</v>
      </c>
      <c r="R612" s="51">
        <f>tblWorkPackages[[#This Row],[Actual labor hours]]-tblWorkPackages[[#This Row],[Estimated labor hours]]</f>
        <v>-0.6</v>
      </c>
      <c r="S612" s="51" t="str">
        <f>IF(tblWorkPackages[[#This Row],[Request date serial]]&lt;ValidationStart,"Train 2024",IF(tblWorkPackages[[#This Row],[Request date serial]]&lt;HoldoutStart,"Validation H1","Holdout H2"))</f>
        <v>Holdout H2</v>
      </c>
      <c r="T612" s="51">
        <f>IF(tblWorkPackages[[#This Row],[Time split]]="Train 2024","",tblWorkPackages[[#This Row],[Estimated labor hours]]+VLOOKUP(tblWorkPackages[[#This Row],[Task type]],'Forecast validation'!$A$14:$E$25,IF(tblWorkPackages[[#This Row],[Time split]]="Validation H1",4,5),FALSE()))</f>
        <v>15.495652173913</v>
      </c>
      <c r="U612" s="51">
        <f>IF(tblWorkPackages[[#This Row],[Calibrated forecast hours]]="","",ABS(tblWorkPackages[[#This Row],[Actual labor hours]]-tblWorkPackages[[#This Row],[Calibrated forecast hours]]))</f>
        <v>2.39565217391304</v>
      </c>
      <c r="V612" s="51">
        <f>IF(tblWorkPackages[[#This Row],[Time split]]="Train 2024",tblWorkPackages[[#This Row],[Estimated labor hours]],tblWorkPackages[[#This Row],[Calibrated forecast hours]])</f>
        <v>15.495652173913</v>
      </c>
      <c r="W612" s="64">
        <f>DATEVALUE(tblWorkPackages[[#This Row],[Request date]])</f>
        <v>45881.0</v>
      </c>
      <c r="X612" s="64">
        <f>DATEVALUE(tblWorkPackages[[#This Row],[Due date]])</f>
        <v>45894.0</v>
      </c>
      <c r="Y612" s="64">
        <f>DATEVALUE(tblWorkPackages[[#This Row],[Completion date]])</f>
        <v>45894.0</v>
      </c>
      <c r="Z612" s="64">
        <f>_xlfn.MINIFS(tblLaborEntries[Work date serial],tblLaborEntries[Work package ID],tblWorkPackages[[#This Row],[Work package ID]])</f>
        <v>45890.0</v>
      </c>
      <c r="AA612" s="64">
        <f>_xlfn.MAXIFS(tblLaborEntries[Work date serial],tblLaborEntries[Work package ID],tblWorkPackages[[#This Row],[Work package ID]])</f>
        <v>45892.0</v>
      </c>
      <c r="AB612" s="65">
        <f>IF(tblWorkPackages[[#This Row],[Completion date serial]]&gt;tblWorkPackages[[#This Row],[Due date serial]],1,0)</f>
        <v>0</v>
      </c>
      <c r="AC612" s="65">
        <f>MAX(0,tblWorkPackages[[#This Row],[Completion date serial]]-tblWorkPackages[[#This Row],[Due date serial]])</f>
        <v>0</v>
      </c>
      <c r="AD612" s="65">
        <f>tblWorkPackages[[#This Row],[First labor date]]-tblWorkPackages[[#This Row],[Request date serial]]</f>
        <v>9</v>
      </c>
      <c r="AE612" s="65">
        <f>tblWorkPackages[[#This Row],[Last labor date]]-tblWorkPackages[[#This Row],[First labor date]]</f>
        <v>2</v>
      </c>
      <c r="AF612" s="65">
        <f>tblWorkPackages[[#This Row],[Completion date serial]]-tblWorkPackages[[#This Row],[Last labor date]]</f>
        <v>2</v>
      </c>
      <c r="AG612" s="65">
        <f>tblWorkPackages[[#This Row],[Completion date serial]]-tblWorkPackages[[#This Row],[Request date serial]]</f>
        <v>13</v>
      </c>
      <c r="AH612" s="65">
        <f>IFERROR(INDEX(tblParts[Delay days],MATCH(tblWorkPackages[[#This Row],[Work package ID]],tblParts[Work package ID],0)),0)</f>
        <v>0</v>
      </c>
      <c r="AI612" s="51" t="str">
        <f>IFERROR(INDEX(tblDisruptions[Event type],MATCH(tblWorkPackages[[#This Row],[Work package ID]],tblDisruptions[Work package ID],0)),"None")</f>
        <v>None</v>
      </c>
      <c r="AJ612" s="51" t="str">
        <f>TEXT(tblWorkPackages[[#This Row],[Due date serial]],"yyyy-mm")</f>
        <v>2025-08</v>
      </c>
    </row>
    <row r="613" spans="1:36" ht="15" x14ac:dyDescent="0.25">
      <c r="A613" s="53" t="s">
        <v>1461</v>
      </c>
      <c r="B613" s="53" t="s">
        <v>157</v>
      </c>
      <c r="C613" s="53" t="s">
        <v>232</v>
      </c>
      <c r="D613" s="53" t="s">
        <v>681</v>
      </c>
      <c r="E613" s="53" t="s">
        <v>237</v>
      </c>
      <c r="F613" s="53" t="s">
        <v>182</v>
      </c>
      <c r="G613" s="53" t="s">
        <v>138</v>
      </c>
      <c r="H613" s="53">
        <v>4</v>
      </c>
      <c r="I613" s="53" t="s">
        <v>130</v>
      </c>
      <c r="J613" s="53">
        <v>0</v>
      </c>
      <c r="K613" s="53">
        <v>0</v>
      </c>
      <c r="L613" s="53">
        <v>8.9</v>
      </c>
      <c r="M613" s="53" t="s">
        <v>571</v>
      </c>
      <c r="N613" s="53">
        <v>10.1</v>
      </c>
      <c r="O613" s="51" t="str">
        <f>TEXT(tblWorkPackages[[#This Row],[Request date serial]]-WEEKDAY(tblWorkPackages[[#This Row],[Request date serial]],3),"yyyy-mm-dd")</f>
        <v>2025-01-06</v>
      </c>
      <c r="P613" s="51">
        <f>ABS(tblWorkPackages[[#This Row],[Actual labor hours]]-tblWorkPackages[[#This Row],[Estimated labor hours]])</f>
        <v>1.2</v>
      </c>
      <c r="Q613" s="51">
        <f>IF(tblWorkPackages[[#This Row],[Actual labor hours]]&gt;tblWorkPackages[[#This Row],[Estimated labor hours]],1,0)</f>
        <v>1</v>
      </c>
      <c r="R613" s="51">
        <f>tblWorkPackages[[#This Row],[Actual labor hours]]-tblWorkPackages[[#This Row],[Estimated labor hours]]</f>
        <v>1.2</v>
      </c>
      <c r="S613" s="51" t="str">
        <f>IF(tblWorkPackages[[#This Row],[Request date serial]]&lt;ValidationStart,"Train 2024",IF(tblWorkPackages[[#This Row],[Request date serial]]&lt;HoldoutStart,"Validation H1","Holdout H2"))</f>
        <v>Validation H1</v>
      </c>
      <c r="T613" s="51">
        <f>IF(tblWorkPackages[[#This Row],[Time split]]="Train 2024","",tblWorkPackages[[#This Row],[Estimated labor hours]]+VLOOKUP(tblWorkPackages[[#This Row],[Task type]],'Forecast validation'!$A$14:$E$25,IF(tblWorkPackages[[#This Row],[Time split]]="Validation H1",4,5),FALSE()))</f>
        <v>9.4037037037037</v>
      </c>
      <c r="U613" s="51">
        <f>IF(tblWorkPackages[[#This Row],[Calibrated forecast hours]]="","",ABS(tblWorkPackages[[#This Row],[Actual labor hours]]-tblWorkPackages[[#This Row],[Calibrated forecast hours]]))</f>
        <v>0.696296296296296</v>
      </c>
      <c r="V613" s="51">
        <f>IF(tblWorkPackages[[#This Row],[Time split]]="Train 2024",tblWorkPackages[[#This Row],[Estimated labor hours]],tblWorkPackages[[#This Row],[Calibrated forecast hours]])</f>
        <v>9.4037037037037</v>
      </c>
      <c r="W613" s="64">
        <f>DATEVALUE(tblWorkPackages[[#This Row],[Request date]])</f>
        <v>45668.0</v>
      </c>
      <c r="X613" s="64">
        <f>DATEVALUE(tblWorkPackages[[#This Row],[Due date]])</f>
        <v>45681.0</v>
      </c>
      <c r="Y613" s="64">
        <f>DATEVALUE(tblWorkPackages[[#This Row],[Completion date]])</f>
        <v>45674.0</v>
      </c>
      <c r="Z613" s="64">
        <f>_xlfn.MINIFS(tblLaborEntries[Work date serial],tblLaborEntries[Work package ID],tblWorkPackages[[#This Row],[Work package ID]])</f>
        <v>45670.0</v>
      </c>
      <c r="AA613" s="64">
        <f>_xlfn.MAXIFS(tblLaborEntries[Work date serial],tblLaborEntries[Work package ID],tblWorkPackages[[#This Row],[Work package ID]])</f>
        <v>45671.0</v>
      </c>
      <c r="AB613" s="65">
        <f>IF(tblWorkPackages[[#This Row],[Completion date serial]]&gt;tblWorkPackages[[#This Row],[Due date serial]],1,0)</f>
        <v>0</v>
      </c>
      <c r="AC613" s="65">
        <f>MAX(0,tblWorkPackages[[#This Row],[Completion date serial]]-tblWorkPackages[[#This Row],[Due date serial]])</f>
        <v>0</v>
      </c>
      <c r="AD613" s="65">
        <f>tblWorkPackages[[#This Row],[First labor date]]-tblWorkPackages[[#This Row],[Request date serial]]</f>
        <v>2</v>
      </c>
      <c r="AE613" s="65">
        <f>tblWorkPackages[[#This Row],[Last labor date]]-tblWorkPackages[[#This Row],[First labor date]]</f>
        <v>1</v>
      </c>
      <c r="AF613" s="65">
        <f>tblWorkPackages[[#This Row],[Completion date serial]]-tblWorkPackages[[#This Row],[Last labor date]]</f>
        <v>3</v>
      </c>
      <c r="AG613" s="65">
        <f>tblWorkPackages[[#This Row],[Completion date serial]]-tblWorkPackages[[#This Row],[Request date serial]]</f>
        <v>6</v>
      </c>
      <c r="AH613" s="65">
        <f>IFERROR(INDEX(tblParts[Delay days],MATCH(tblWorkPackages[[#This Row],[Work package ID]],tblParts[Work package ID],0)),0)</f>
        <v>0</v>
      </c>
      <c r="AI613" s="51" t="str">
        <f>IFERROR(INDEX(tblDisruptions[Event type],MATCH(tblWorkPackages[[#This Row],[Work package ID]],tblDisruptions[Work package ID],0)),"None")</f>
        <v>None</v>
      </c>
      <c r="AJ613" s="51" t="str">
        <f>TEXT(tblWorkPackages[[#This Row],[Due date serial]],"yyyy-mm")</f>
        <v>2025-01</v>
      </c>
    </row>
    <row r="614" spans="1:36" ht="15" x14ac:dyDescent="0.25">
      <c r="A614" s="53" t="s">
        <v>1462</v>
      </c>
      <c r="B614" s="53" t="s">
        <v>203</v>
      </c>
      <c r="C614" s="53" t="s">
        <v>691</v>
      </c>
      <c r="D614" s="53" t="s">
        <v>428</v>
      </c>
      <c r="E614" s="53" t="s">
        <v>153</v>
      </c>
      <c r="F614" s="53" t="s">
        <v>128</v>
      </c>
      <c r="G614" s="53" t="s">
        <v>154</v>
      </c>
      <c r="H614" s="53">
        <v>3</v>
      </c>
      <c r="I614" s="53" t="s">
        <v>130</v>
      </c>
      <c r="J614" s="53">
        <v>0</v>
      </c>
      <c r="K614" s="53">
        <v>1</v>
      </c>
      <c r="L614" s="53">
        <v>13.4</v>
      </c>
      <c r="M614" s="53" t="s">
        <v>471</v>
      </c>
      <c r="N614" s="53">
        <v>11.1</v>
      </c>
      <c r="O614" s="51" t="str">
        <f>TEXT(tblWorkPackages[[#This Row],[Request date serial]]-WEEKDAY(tblWorkPackages[[#This Row],[Request date serial]],3),"yyyy-mm-dd")</f>
        <v>2024-04-01</v>
      </c>
      <c r="P614" s="51">
        <f>ABS(tblWorkPackages[[#This Row],[Actual labor hours]]-tblWorkPackages[[#This Row],[Estimated labor hours]])</f>
        <v>2.3</v>
      </c>
      <c r="Q614" s="51">
        <f>IF(tblWorkPackages[[#This Row],[Actual labor hours]]&gt;tblWorkPackages[[#This Row],[Estimated labor hours]],1,0)</f>
        <v>0</v>
      </c>
      <c r="R614" s="51">
        <f>tblWorkPackages[[#This Row],[Actual labor hours]]-tblWorkPackages[[#This Row],[Estimated labor hours]]</f>
        <v>-2.3</v>
      </c>
      <c r="S614" s="51" t="str">
        <f>IF(tblWorkPackages[[#This Row],[Request date serial]]&lt;ValidationStart,"Train 2024",IF(tblWorkPackages[[#This Row],[Request date serial]]&lt;HoldoutStart,"Validation H1","Holdout H2"))</f>
        <v>Train 2024</v>
      </c>
      <c r="T614" s="51" t="str">
        <f>IF(tblWorkPackages[[#This Row],[Time split]]="Train 2024","",tblWorkPackages[[#This Row],[Estimated labor hours]]+VLOOKUP(tblWorkPackages[[#This Row],[Task type]],'Forecast validation'!$A$14:$E$25,IF(tblWorkPackages[[#This Row],[Time split]]="Validation H1",4,5),FALSE()))</f>
        <v/>
      </c>
      <c r="U614" s="51" t="str">
        <f>IF(tblWorkPackages[[#This Row],[Calibrated forecast hours]]="","",ABS(tblWorkPackages[[#This Row],[Actual labor hours]]-tblWorkPackages[[#This Row],[Calibrated forecast hours]]))</f>
        <v/>
      </c>
      <c r="V614" s="51">
        <f>IF(tblWorkPackages[[#This Row],[Time split]]="Train 2024",tblWorkPackages[[#This Row],[Estimated labor hours]],tblWorkPackages[[#This Row],[Calibrated forecast hours]])</f>
        <v>13.4</v>
      </c>
      <c r="W614" s="64">
        <f>DATEVALUE(tblWorkPackages[[#This Row],[Request date]])</f>
        <v>45389.0</v>
      </c>
      <c r="X614" s="64">
        <f>DATEVALUE(tblWorkPackages[[#This Row],[Due date]])</f>
        <v>45402.0</v>
      </c>
      <c r="Y614" s="64">
        <f>DATEVALUE(tblWorkPackages[[#This Row],[Completion date]])</f>
        <v>45413.0</v>
      </c>
      <c r="Z614" s="64">
        <f>_xlfn.MINIFS(tblLaborEntries[Work date serial],tblLaborEntries[Work package ID],tblWorkPackages[[#This Row],[Work package ID]])</f>
        <v>45412.0</v>
      </c>
      <c r="AA614" s="64">
        <f>_xlfn.MAXIFS(tblLaborEntries[Work date serial],tblLaborEntries[Work package ID],tblWorkPackages[[#This Row],[Work package ID]])</f>
        <v>45413.0</v>
      </c>
      <c r="AB614" s="65">
        <f>IF(tblWorkPackages[[#This Row],[Completion date serial]]&gt;tblWorkPackages[[#This Row],[Due date serial]],1,0)</f>
        <v>1</v>
      </c>
      <c r="AC614" s="65">
        <f>MAX(0,tblWorkPackages[[#This Row],[Completion date serial]]-tblWorkPackages[[#This Row],[Due date serial]])</f>
        <v>11</v>
      </c>
      <c r="AD614" s="65">
        <f>tblWorkPackages[[#This Row],[First labor date]]-tblWorkPackages[[#This Row],[Request date serial]]</f>
        <v>23</v>
      </c>
      <c r="AE614" s="65">
        <f>tblWorkPackages[[#This Row],[Last labor date]]-tblWorkPackages[[#This Row],[First labor date]]</f>
        <v>1</v>
      </c>
      <c r="AF614" s="65">
        <f>tblWorkPackages[[#This Row],[Completion date serial]]-tblWorkPackages[[#This Row],[Last labor date]]</f>
        <v>0</v>
      </c>
      <c r="AG614" s="65">
        <f>tblWorkPackages[[#This Row],[Completion date serial]]-tblWorkPackages[[#This Row],[Request date serial]]</f>
        <v>24</v>
      </c>
      <c r="AH614" s="65">
        <f>IFERROR(INDEX(tblParts[Delay days],MATCH(tblWorkPackages[[#This Row],[Work package ID]],tblParts[Work package ID],0)),0)</f>
        <v>0</v>
      </c>
      <c r="AI614" s="51" t="str">
        <f>IFERROR(INDEX(tblDisruptions[Event type],MATCH(tblWorkPackages[[#This Row],[Work package ID]],tblDisruptions[Work package ID],0)),"None")</f>
        <v>None</v>
      </c>
      <c r="AJ614" s="51" t="str">
        <f>TEXT(tblWorkPackages[[#This Row],[Due date serial]],"yyyy-mm")</f>
        <v>2024-04</v>
      </c>
    </row>
    <row r="615" spans="1:36" ht="15" x14ac:dyDescent="0.25">
      <c r="A615" s="53" t="s">
        <v>1463</v>
      </c>
      <c r="B615" s="53" t="s">
        <v>133</v>
      </c>
      <c r="C615" s="53" t="s">
        <v>867</v>
      </c>
      <c r="D615" s="53" t="s">
        <v>576</v>
      </c>
      <c r="E615" s="53" t="s">
        <v>272</v>
      </c>
      <c r="F615" s="53" t="s">
        <v>145</v>
      </c>
      <c r="G615" s="53" t="s">
        <v>273</v>
      </c>
      <c r="H615" s="53">
        <v>3</v>
      </c>
      <c r="I615" s="53" t="s">
        <v>176</v>
      </c>
      <c r="J615" s="53">
        <v>0</v>
      </c>
      <c r="K615" s="53">
        <v>1</v>
      </c>
      <c r="L615" s="53">
        <v>15.8</v>
      </c>
      <c r="M615" s="53" t="s">
        <v>304</v>
      </c>
      <c r="N615" s="53">
        <v>17.399999999999999</v>
      </c>
      <c r="O615" s="51" t="str">
        <f>TEXT(tblWorkPackages[[#This Row],[Request date serial]]-WEEKDAY(tblWorkPackages[[#This Row],[Request date serial]],3),"yyyy-mm-dd")</f>
        <v>2024-06-17</v>
      </c>
      <c r="P615" s="51">
        <f>ABS(tblWorkPackages[[#This Row],[Actual labor hours]]-tblWorkPackages[[#This Row],[Estimated labor hours]])</f>
        <v>1.6</v>
      </c>
      <c r="Q615" s="51">
        <f>IF(tblWorkPackages[[#This Row],[Actual labor hours]]&gt;tblWorkPackages[[#This Row],[Estimated labor hours]],1,0)</f>
        <v>1</v>
      </c>
      <c r="R615" s="51">
        <f>tblWorkPackages[[#This Row],[Actual labor hours]]-tblWorkPackages[[#This Row],[Estimated labor hours]]</f>
        <v>1.6</v>
      </c>
      <c r="S615" s="51" t="str">
        <f>IF(tblWorkPackages[[#This Row],[Request date serial]]&lt;ValidationStart,"Train 2024",IF(tblWorkPackages[[#This Row],[Request date serial]]&lt;HoldoutStart,"Validation H1","Holdout H2"))</f>
        <v>Train 2024</v>
      </c>
      <c r="T615" s="51" t="str">
        <f>IF(tblWorkPackages[[#This Row],[Time split]]="Train 2024","",tblWorkPackages[[#This Row],[Estimated labor hours]]+VLOOKUP(tblWorkPackages[[#This Row],[Task type]],'Forecast validation'!$A$14:$E$25,IF(tblWorkPackages[[#This Row],[Time split]]="Validation H1",4,5),FALSE()))</f>
        <v/>
      </c>
      <c r="U615" s="51" t="str">
        <f>IF(tblWorkPackages[[#This Row],[Calibrated forecast hours]]="","",ABS(tblWorkPackages[[#This Row],[Actual labor hours]]-tblWorkPackages[[#This Row],[Calibrated forecast hours]]))</f>
        <v/>
      </c>
      <c r="V615" s="51">
        <f>IF(tblWorkPackages[[#This Row],[Time split]]="Train 2024",tblWorkPackages[[#This Row],[Estimated labor hours]],tblWorkPackages[[#This Row],[Calibrated forecast hours]])</f>
        <v>15.8</v>
      </c>
      <c r="W615" s="64">
        <f>DATEVALUE(tblWorkPackages[[#This Row],[Request date]])</f>
        <v>45465.0</v>
      </c>
      <c r="X615" s="64">
        <f>DATEVALUE(tblWorkPackages[[#This Row],[Due date]])</f>
        <v>45471.0</v>
      </c>
      <c r="Y615" s="64">
        <f>DATEVALUE(tblWorkPackages[[#This Row],[Completion date]])</f>
        <v>45470.0</v>
      </c>
      <c r="Z615" s="64">
        <f>_xlfn.MINIFS(tblLaborEntries[Work date serial],tblLaborEntries[Work package ID],tblWorkPackages[[#This Row],[Work package ID]])</f>
        <v>45469.0</v>
      </c>
      <c r="AA615" s="64">
        <f>_xlfn.MAXIFS(tblLaborEntries[Work date serial],tblLaborEntries[Work package ID],tblWorkPackages[[#This Row],[Work package ID]])</f>
        <v>45469.0</v>
      </c>
      <c r="AB615" s="65">
        <f>IF(tblWorkPackages[[#This Row],[Completion date serial]]&gt;tblWorkPackages[[#This Row],[Due date serial]],1,0)</f>
        <v>0</v>
      </c>
      <c r="AC615" s="65">
        <f>MAX(0,tblWorkPackages[[#This Row],[Completion date serial]]-tblWorkPackages[[#This Row],[Due date serial]])</f>
        <v>0</v>
      </c>
      <c r="AD615" s="65">
        <f>tblWorkPackages[[#This Row],[First labor date]]-tblWorkPackages[[#This Row],[Request date serial]]</f>
        <v>4</v>
      </c>
      <c r="AE615" s="65">
        <f>tblWorkPackages[[#This Row],[Last labor date]]-tblWorkPackages[[#This Row],[First labor date]]</f>
        <v>0</v>
      </c>
      <c r="AF615" s="65">
        <f>tblWorkPackages[[#This Row],[Completion date serial]]-tblWorkPackages[[#This Row],[Last labor date]]</f>
        <v>1</v>
      </c>
      <c r="AG615" s="65">
        <f>tblWorkPackages[[#This Row],[Completion date serial]]-tblWorkPackages[[#This Row],[Request date serial]]</f>
        <v>5</v>
      </c>
      <c r="AH615" s="65">
        <f>IFERROR(INDEX(tblParts[Delay days],MATCH(tblWorkPackages[[#This Row],[Work package ID]],tblParts[Work package ID],0)),0)</f>
        <v>0</v>
      </c>
      <c r="AI615" s="51" t="str">
        <f>IFERROR(INDEX(tblDisruptions[Event type],MATCH(tblWorkPackages[[#This Row],[Work package ID]],tblDisruptions[Work package ID],0)),"None")</f>
        <v>None</v>
      </c>
      <c r="AJ615" s="51" t="str">
        <f>TEXT(tblWorkPackages[[#This Row],[Due date serial]],"yyyy-mm")</f>
        <v>2024-06</v>
      </c>
    </row>
    <row r="616" spans="1:36" ht="15" x14ac:dyDescent="0.25">
      <c r="A616" s="53" t="s">
        <v>1464</v>
      </c>
      <c r="B616" s="53" t="s">
        <v>150</v>
      </c>
      <c r="C616" s="53" t="s">
        <v>177</v>
      </c>
      <c r="D616" s="53" t="s">
        <v>313</v>
      </c>
      <c r="E616" s="53" t="s">
        <v>160</v>
      </c>
      <c r="F616" s="53" t="s">
        <v>128</v>
      </c>
      <c r="G616" s="53" t="s">
        <v>138</v>
      </c>
      <c r="H616" s="53">
        <v>2</v>
      </c>
      <c r="I616" s="53" t="s">
        <v>130</v>
      </c>
      <c r="J616" s="53">
        <v>0</v>
      </c>
      <c r="K616" s="53">
        <v>0</v>
      </c>
      <c r="L616" s="53">
        <v>4.5</v>
      </c>
      <c r="M616" s="53" t="s">
        <v>1402</v>
      </c>
      <c r="N616" s="53">
        <v>4.4000000000000004</v>
      </c>
      <c r="O616" s="51" t="str">
        <f>TEXT(tblWorkPackages[[#This Row],[Request date serial]]-WEEKDAY(tblWorkPackages[[#This Row],[Request date serial]],3),"yyyy-mm-dd")</f>
        <v>2025-08-11</v>
      </c>
      <c r="P616" s="51">
        <f>ABS(tblWorkPackages[[#This Row],[Actual labor hours]]-tblWorkPackages[[#This Row],[Estimated labor hours]])</f>
        <v>0.0999999999999996</v>
      </c>
      <c r="Q616" s="51">
        <f>IF(tblWorkPackages[[#This Row],[Actual labor hours]]&gt;tblWorkPackages[[#This Row],[Estimated labor hours]],1,0)</f>
        <v>0</v>
      </c>
      <c r="R616" s="51">
        <f>tblWorkPackages[[#This Row],[Actual labor hours]]-tblWorkPackages[[#This Row],[Estimated labor hours]]</f>
        <v>-0.0999999999999996</v>
      </c>
      <c r="S616" s="51" t="str">
        <f>IF(tblWorkPackages[[#This Row],[Request date serial]]&lt;ValidationStart,"Train 2024",IF(tblWorkPackages[[#This Row],[Request date serial]]&lt;HoldoutStart,"Validation H1","Holdout H2"))</f>
        <v>Holdout H2</v>
      </c>
      <c r="T616" s="51">
        <f>IF(tblWorkPackages[[#This Row],[Time split]]="Train 2024","",tblWorkPackages[[#This Row],[Estimated labor hours]]+VLOOKUP(tblWorkPackages[[#This Row],[Task type]],'Forecast validation'!$A$14:$E$25,IF(tblWorkPackages[[#This Row],[Time split]]="Validation H1",4,5),FALSE()))</f>
        <v>4.93739837398374</v>
      </c>
      <c r="U616" s="51">
        <f>IF(tblWorkPackages[[#This Row],[Calibrated forecast hours]]="","",ABS(tblWorkPackages[[#This Row],[Actual labor hours]]-tblWorkPackages[[#This Row],[Calibrated forecast hours]]))</f>
        <v>0.53739837398374</v>
      </c>
      <c r="V616" s="51">
        <f>IF(tblWorkPackages[[#This Row],[Time split]]="Train 2024",tblWorkPackages[[#This Row],[Estimated labor hours]],tblWorkPackages[[#This Row],[Calibrated forecast hours]])</f>
        <v>4.93739837398374</v>
      </c>
      <c r="W616" s="64">
        <f>DATEVALUE(tblWorkPackages[[#This Row],[Request date]])</f>
        <v>45886.0</v>
      </c>
      <c r="X616" s="64">
        <f>DATEVALUE(tblWorkPackages[[#This Row],[Due date]])</f>
        <v>45899.0</v>
      </c>
      <c r="Y616" s="64">
        <f>DATEVALUE(tblWorkPackages[[#This Row],[Completion date]])</f>
        <v>45891.0</v>
      </c>
      <c r="Z616" s="64">
        <f>_xlfn.MINIFS(tblLaborEntries[Work date serial],tblLaborEntries[Work package ID],tblWorkPackages[[#This Row],[Work package ID]])</f>
        <v>45887.0</v>
      </c>
      <c r="AA616" s="64">
        <f>_xlfn.MAXIFS(tblLaborEntries[Work date serial],tblLaborEntries[Work package ID],tblWorkPackages[[#This Row],[Work package ID]])</f>
        <v>45889.0</v>
      </c>
      <c r="AB616" s="65">
        <f>IF(tblWorkPackages[[#This Row],[Completion date serial]]&gt;tblWorkPackages[[#This Row],[Due date serial]],1,0)</f>
        <v>0</v>
      </c>
      <c r="AC616" s="65">
        <f>MAX(0,tblWorkPackages[[#This Row],[Completion date serial]]-tblWorkPackages[[#This Row],[Due date serial]])</f>
        <v>0</v>
      </c>
      <c r="AD616" s="65">
        <f>tblWorkPackages[[#This Row],[First labor date]]-tblWorkPackages[[#This Row],[Request date serial]]</f>
        <v>1</v>
      </c>
      <c r="AE616" s="65">
        <f>tblWorkPackages[[#This Row],[Last labor date]]-tblWorkPackages[[#This Row],[First labor date]]</f>
        <v>2</v>
      </c>
      <c r="AF616" s="65">
        <f>tblWorkPackages[[#This Row],[Completion date serial]]-tblWorkPackages[[#This Row],[Last labor date]]</f>
        <v>2</v>
      </c>
      <c r="AG616" s="65">
        <f>tblWorkPackages[[#This Row],[Completion date serial]]-tblWorkPackages[[#This Row],[Request date serial]]</f>
        <v>5</v>
      </c>
      <c r="AH616" s="65">
        <f>IFERROR(INDEX(tblParts[Delay days],MATCH(tblWorkPackages[[#This Row],[Work package ID]],tblParts[Work package ID],0)),0)</f>
        <v>0</v>
      </c>
      <c r="AI616" s="51" t="str">
        <f>IFERROR(INDEX(tblDisruptions[Event type],MATCH(tblWorkPackages[[#This Row],[Work package ID]],tblDisruptions[Work package ID],0)),"None")</f>
        <v>None</v>
      </c>
      <c r="AJ616" s="51" t="str">
        <f>TEXT(tblWorkPackages[[#This Row],[Due date serial]],"yyyy-mm")</f>
        <v>2025-08</v>
      </c>
    </row>
    <row r="617" spans="1:36" ht="15" x14ac:dyDescent="0.25">
      <c r="A617" s="53" t="s">
        <v>1465</v>
      </c>
      <c r="B617" s="53" t="s">
        <v>124</v>
      </c>
      <c r="C617" s="53" t="s">
        <v>615</v>
      </c>
      <c r="D617" s="53" t="s">
        <v>616</v>
      </c>
      <c r="E617" s="53" t="s">
        <v>136</v>
      </c>
      <c r="F617" s="53" t="s">
        <v>137</v>
      </c>
      <c r="G617" s="53" t="s">
        <v>138</v>
      </c>
      <c r="H617" s="53">
        <v>1</v>
      </c>
      <c r="I617" s="53" t="s">
        <v>130</v>
      </c>
      <c r="J617" s="53">
        <v>0</v>
      </c>
      <c r="K617" s="53">
        <v>0</v>
      </c>
      <c r="L617" s="53">
        <v>9.6</v>
      </c>
      <c r="M617" s="53" t="s">
        <v>1466</v>
      </c>
      <c r="N617" s="53">
        <v>9.5</v>
      </c>
      <c r="O617" s="51" t="str">
        <f>TEXT(tblWorkPackages[[#This Row],[Request date serial]]-WEEKDAY(tblWorkPackages[[#This Row],[Request date serial]],3),"yyyy-mm-dd")</f>
        <v>2024-01-22</v>
      </c>
      <c r="P617" s="51">
        <f>ABS(tblWorkPackages[[#This Row],[Actual labor hours]]-tblWorkPackages[[#This Row],[Estimated labor hours]])</f>
        <v>0.0999999999999996</v>
      </c>
      <c r="Q617" s="51">
        <f>IF(tblWorkPackages[[#This Row],[Actual labor hours]]&gt;tblWorkPackages[[#This Row],[Estimated labor hours]],1,0)</f>
        <v>0</v>
      </c>
      <c r="R617" s="51">
        <f>tblWorkPackages[[#This Row],[Actual labor hours]]-tblWorkPackages[[#This Row],[Estimated labor hours]]</f>
        <v>-0.0999999999999996</v>
      </c>
      <c r="S617" s="51" t="str">
        <f>IF(tblWorkPackages[[#This Row],[Request date serial]]&lt;ValidationStart,"Train 2024",IF(tblWorkPackages[[#This Row],[Request date serial]]&lt;HoldoutStart,"Validation H1","Holdout H2"))</f>
        <v>Train 2024</v>
      </c>
      <c r="T617" s="51" t="str">
        <f>IF(tblWorkPackages[[#This Row],[Time split]]="Train 2024","",tblWorkPackages[[#This Row],[Estimated labor hours]]+VLOOKUP(tblWorkPackages[[#This Row],[Task type]],'Forecast validation'!$A$14:$E$25,IF(tblWorkPackages[[#This Row],[Time split]]="Validation H1",4,5),FALSE()))</f>
        <v/>
      </c>
      <c r="U617" s="51" t="str">
        <f>IF(tblWorkPackages[[#This Row],[Calibrated forecast hours]]="","",ABS(tblWorkPackages[[#This Row],[Actual labor hours]]-tblWorkPackages[[#This Row],[Calibrated forecast hours]]))</f>
        <v/>
      </c>
      <c r="V617" s="51">
        <f>IF(tblWorkPackages[[#This Row],[Time split]]="Train 2024",tblWorkPackages[[#This Row],[Estimated labor hours]],tblWorkPackages[[#This Row],[Calibrated forecast hours]])</f>
        <v>9.6</v>
      </c>
      <c r="W617" s="64">
        <f>DATEVALUE(tblWorkPackages[[#This Row],[Request date]])</f>
        <v>45316.0</v>
      </c>
      <c r="X617" s="64">
        <f>DATEVALUE(tblWorkPackages[[#This Row],[Due date]])</f>
        <v>45329.0</v>
      </c>
      <c r="Y617" s="64">
        <f>DATEVALUE(tblWorkPackages[[#This Row],[Completion date]])</f>
        <v>45333.0</v>
      </c>
      <c r="Z617" s="64">
        <f>_xlfn.MINIFS(tblLaborEntries[Work date serial],tblLaborEntries[Work package ID],tblWorkPackages[[#This Row],[Work package ID]])</f>
        <v>45328.0</v>
      </c>
      <c r="AA617" s="64">
        <f>_xlfn.MAXIFS(tblLaborEntries[Work date serial],tblLaborEntries[Work package ID],tblWorkPackages[[#This Row],[Work package ID]])</f>
        <v>45330.0</v>
      </c>
      <c r="AB617" s="65">
        <f>IF(tblWorkPackages[[#This Row],[Completion date serial]]&gt;tblWorkPackages[[#This Row],[Due date serial]],1,0)</f>
        <v>1</v>
      </c>
      <c r="AC617" s="65">
        <f>MAX(0,tblWorkPackages[[#This Row],[Completion date serial]]-tblWorkPackages[[#This Row],[Due date serial]])</f>
        <v>4</v>
      </c>
      <c r="AD617" s="65">
        <f>tblWorkPackages[[#This Row],[First labor date]]-tblWorkPackages[[#This Row],[Request date serial]]</f>
        <v>12</v>
      </c>
      <c r="AE617" s="65">
        <f>tblWorkPackages[[#This Row],[Last labor date]]-tblWorkPackages[[#This Row],[First labor date]]</f>
        <v>2</v>
      </c>
      <c r="AF617" s="65">
        <f>tblWorkPackages[[#This Row],[Completion date serial]]-tblWorkPackages[[#This Row],[Last labor date]]</f>
        <v>3</v>
      </c>
      <c r="AG617" s="65">
        <f>tblWorkPackages[[#This Row],[Completion date serial]]-tblWorkPackages[[#This Row],[Request date serial]]</f>
        <v>17</v>
      </c>
      <c r="AH617" s="65">
        <f>IFERROR(INDEX(tblParts[Delay days],MATCH(tblWorkPackages[[#This Row],[Work package ID]],tblParts[Work package ID],0)),0)</f>
        <v>0</v>
      </c>
      <c r="AI617" s="51" t="str">
        <f>IFERROR(INDEX(tblDisruptions[Event type],MATCH(tblWorkPackages[[#This Row],[Work package ID]],tblDisruptions[Work package ID],0)),"None")</f>
        <v>None</v>
      </c>
      <c r="AJ617" s="51" t="str">
        <f>TEXT(tblWorkPackages[[#This Row],[Due date serial]],"yyyy-mm")</f>
        <v>2024-02</v>
      </c>
    </row>
    <row r="618" spans="1:36" ht="15" x14ac:dyDescent="0.25">
      <c r="A618" s="53" t="s">
        <v>1467</v>
      </c>
      <c r="B618" s="53" t="s">
        <v>173</v>
      </c>
      <c r="C618" s="53" t="s">
        <v>924</v>
      </c>
      <c r="D618" s="53" t="s">
        <v>751</v>
      </c>
      <c r="E618" s="53" t="s">
        <v>200</v>
      </c>
      <c r="F618" s="53" t="s">
        <v>128</v>
      </c>
      <c r="G618" s="53" t="s">
        <v>129</v>
      </c>
      <c r="H618" s="53">
        <v>1</v>
      </c>
      <c r="I618" s="53" t="s">
        <v>176</v>
      </c>
      <c r="J618" s="53">
        <v>0</v>
      </c>
      <c r="K618" s="53">
        <v>0</v>
      </c>
      <c r="L618" s="53">
        <v>2.1</v>
      </c>
      <c r="M618" s="53" t="s">
        <v>179</v>
      </c>
      <c r="N618" s="53">
        <v>2.5</v>
      </c>
      <c r="O618" s="51" t="str">
        <f>TEXT(tblWorkPackages[[#This Row],[Request date serial]]-WEEKDAY(tblWorkPackages[[#This Row],[Request date serial]],3),"yyyy-mm-dd")</f>
        <v>2025-05-12</v>
      </c>
      <c r="P618" s="51">
        <f>ABS(tblWorkPackages[[#This Row],[Actual labor hours]]-tblWorkPackages[[#This Row],[Estimated labor hours]])</f>
        <v>0.4</v>
      </c>
      <c r="Q618" s="51">
        <f>IF(tblWorkPackages[[#This Row],[Actual labor hours]]&gt;tblWorkPackages[[#This Row],[Estimated labor hours]],1,0)</f>
        <v>1</v>
      </c>
      <c r="R618" s="51">
        <f>tblWorkPackages[[#This Row],[Actual labor hours]]-tblWorkPackages[[#This Row],[Estimated labor hours]]</f>
        <v>0.4</v>
      </c>
      <c r="S618" s="51" t="str">
        <f>IF(tblWorkPackages[[#This Row],[Request date serial]]&lt;ValidationStart,"Train 2024",IF(tblWorkPackages[[#This Row],[Request date serial]]&lt;HoldoutStart,"Validation H1","Holdout H2"))</f>
        <v>Validation H1</v>
      </c>
      <c r="T618" s="51">
        <f>IF(tblWorkPackages[[#This Row],[Time split]]="Train 2024","",tblWorkPackages[[#This Row],[Estimated labor hours]]+VLOOKUP(tblWorkPackages[[#This Row],[Task type]],'Forecast validation'!$A$14:$E$25,IF(tblWorkPackages[[#This Row],[Time split]]="Validation H1",4,5),FALSE()))</f>
        <v>2.43069306930693</v>
      </c>
      <c r="U618" s="51">
        <f>IF(tblWorkPackages[[#This Row],[Calibrated forecast hours]]="","",ABS(tblWorkPackages[[#This Row],[Actual labor hours]]-tblWorkPackages[[#This Row],[Calibrated forecast hours]]))</f>
        <v>0.0693069306930694</v>
      </c>
      <c r="V618" s="51">
        <f>IF(tblWorkPackages[[#This Row],[Time split]]="Train 2024",tblWorkPackages[[#This Row],[Estimated labor hours]],tblWorkPackages[[#This Row],[Calibrated forecast hours]])</f>
        <v>2.43069306930693</v>
      </c>
      <c r="W618" s="64">
        <f>DATEVALUE(tblWorkPackages[[#This Row],[Request date]])</f>
        <v>45789.0</v>
      </c>
      <c r="X618" s="64">
        <f>DATEVALUE(tblWorkPackages[[#This Row],[Due date]])</f>
        <v>45795.0</v>
      </c>
      <c r="Y618" s="64">
        <f>DATEVALUE(tblWorkPackages[[#This Row],[Completion date]])</f>
        <v>45792.0</v>
      </c>
      <c r="Z618" s="64">
        <f>_xlfn.MINIFS(tblLaborEntries[Work date serial],tblLaborEntries[Work package ID],tblWorkPackages[[#This Row],[Work package ID]])</f>
        <v>45792.0</v>
      </c>
      <c r="AA618" s="64">
        <f>_xlfn.MAXIFS(tblLaborEntries[Work date serial],tblLaborEntries[Work package ID],tblWorkPackages[[#This Row],[Work package ID]])</f>
        <v>45792.0</v>
      </c>
      <c r="AB618" s="65">
        <f>IF(tblWorkPackages[[#This Row],[Completion date serial]]&gt;tblWorkPackages[[#This Row],[Due date serial]],1,0)</f>
        <v>0</v>
      </c>
      <c r="AC618" s="65">
        <f>MAX(0,tblWorkPackages[[#This Row],[Completion date serial]]-tblWorkPackages[[#This Row],[Due date serial]])</f>
        <v>0</v>
      </c>
      <c r="AD618" s="65">
        <f>tblWorkPackages[[#This Row],[First labor date]]-tblWorkPackages[[#This Row],[Request date serial]]</f>
        <v>3</v>
      </c>
      <c r="AE618" s="65">
        <f>tblWorkPackages[[#This Row],[Last labor date]]-tblWorkPackages[[#This Row],[First labor date]]</f>
        <v>0</v>
      </c>
      <c r="AF618" s="65">
        <f>tblWorkPackages[[#This Row],[Completion date serial]]-tblWorkPackages[[#This Row],[Last labor date]]</f>
        <v>0</v>
      </c>
      <c r="AG618" s="65">
        <f>tblWorkPackages[[#This Row],[Completion date serial]]-tblWorkPackages[[#This Row],[Request date serial]]</f>
        <v>3</v>
      </c>
      <c r="AH618" s="65">
        <f>IFERROR(INDEX(tblParts[Delay days],MATCH(tblWorkPackages[[#This Row],[Work package ID]],tblParts[Work package ID],0)),0)</f>
        <v>0</v>
      </c>
      <c r="AI618" s="51" t="str">
        <f>IFERROR(INDEX(tblDisruptions[Event type],MATCH(tblWorkPackages[[#This Row],[Work package ID]],tblDisruptions[Work package ID],0)),"None")</f>
        <v>None</v>
      </c>
      <c r="AJ618" s="51" t="str">
        <f>TEXT(tblWorkPackages[[#This Row],[Due date serial]],"yyyy-mm")</f>
        <v>2025-05</v>
      </c>
    </row>
    <row r="619" spans="1:36" ht="15" x14ac:dyDescent="0.25">
      <c r="A619" s="53" t="s">
        <v>1468</v>
      </c>
      <c r="B619" s="53" t="s">
        <v>168</v>
      </c>
      <c r="C619" s="53" t="s">
        <v>995</v>
      </c>
      <c r="D619" s="53" t="s">
        <v>1469</v>
      </c>
      <c r="E619" s="53" t="s">
        <v>209</v>
      </c>
      <c r="F619" s="53" t="s">
        <v>145</v>
      </c>
      <c r="G619" s="53" t="s">
        <v>210</v>
      </c>
      <c r="H619" s="53">
        <v>4</v>
      </c>
      <c r="I619" s="53" t="s">
        <v>147</v>
      </c>
      <c r="J619" s="53">
        <v>0</v>
      </c>
      <c r="K619" s="53">
        <v>0</v>
      </c>
      <c r="L619" s="53">
        <v>43.5</v>
      </c>
      <c r="M619" s="53" t="s">
        <v>419</v>
      </c>
      <c r="N619" s="53">
        <v>42.8</v>
      </c>
      <c r="O619" s="51" t="str">
        <f>TEXT(tblWorkPackages[[#This Row],[Request date serial]]-WEEKDAY(tblWorkPackages[[#This Row],[Request date serial]],3),"yyyy-mm-dd")</f>
        <v>2024-05-06</v>
      </c>
      <c r="P619" s="51">
        <f>ABS(tblWorkPackages[[#This Row],[Actual labor hours]]-tblWorkPackages[[#This Row],[Estimated labor hours]])</f>
        <v>0.700000000000003</v>
      </c>
      <c r="Q619" s="51">
        <f>IF(tblWorkPackages[[#This Row],[Actual labor hours]]&gt;tblWorkPackages[[#This Row],[Estimated labor hours]],1,0)</f>
        <v>0</v>
      </c>
      <c r="R619" s="51">
        <f>tblWorkPackages[[#This Row],[Actual labor hours]]-tblWorkPackages[[#This Row],[Estimated labor hours]]</f>
        <v>-0.700000000000003</v>
      </c>
      <c r="S619" s="51" t="str">
        <f>IF(tblWorkPackages[[#This Row],[Request date serial]]&lt;ValidationStart,"Train 2024",IF(tblWorkPackages[[#This Row],[Request date serial]]&lt;HoldoutStart,"Validation H1","Holdout H2"))</f>
        <v>Train 2024</v>
      </c>
      <c r="T619" s="51" t="str">
        <f>IF(tblWorkPackages[[#This Row],[Time split]]="Train 2024","",tblWorkPackages[[#This Row],[Estimated labor hours]]+VLOOKUP(tblWorkPackages[[#This Row],[Task type]],'Forecast validation'!$A$14:$E$25,IF(tblWorkPackages[[#This Row],[Time split]]="Validation H1",4,5),FALSE()))</f>
        <v/>
      </c>
      <c r="U619" s="51" t="str">
        <f>IF(tblWorkPackages[[#This Row],[Calibrated forecast hours]]="","",ABS(tblWorkPackages[[#This Row],[Actual labor hours]]-tblWorkPackages[[#This Row],[Calibrated forecast hours]]))</f>
        <v/>
      </c>
      <c r="V619" s="51">
        <f>IF(tblWorkPackages[[#This Row],[Time split]]="Train 2024",tblWorkPackages[[#This Row],[Estimated labor hours]],tblWorkPackages[[#This Row],[Calibrated forecast hours]])</f>
        <v>43.5</v>
      </c>
      <c r="W619" s="64">
        <f>DATEVALUE(tblWorkPackages[[#This Row],[Request date]])</f>
        <v>45419.0</v>
      </c>
      <c r="X619" s="64">
        <f>DATEVALUE(tblWorkPackages[[#This Row],[Due date]])</f>
        <v>45421.0</v>
      </c>
      <c r="Y619" s="64">
        <f>DATEVALUE(tblWorkPackages[[#This Row],[Completion date]])</f>
        <v>45457.0</v>
      </c>
      <c r="Z619" s="64">
        <f>_xlfn.MINIFS(tblLaborEntries[Work date serial],tblLaborEntries[Work package ID],tblWorkPackages[[#This Row],[Work package ID]])</f>
        <v>45455.0</v>
      </c>
      <c r="AA619" s="64">
        <f>_xlfn.MAXIFS(tblLaborEntries[Work date serial],tblLaborEntries[Work package ID],tblWorkPackages[[#This Row],[Work package ID]])</f>
        <v>45456.0</v>
      </c>
      <c r="AB619" s="65">
        <f>IF(tblWorkPackages[[#This Row],[Completion date serial]]&gt;tblWorkPackages[[#This Row],[Due date serial]],1,0)</f>
        <v>1</v>
      </c>
      <c r="AC619" s="65">
        <f>MAX(0,tblWorkPackages[[#This Row],[Completion date serial]]-tblWorkPackages[[#This Row],[Due date serial]])</f>
        <v>36</v>
      </c>
      <c r="AD619" s="65">
        <f>tblWorkPackages[[#This Row],[First labor date]]-tblWorkPackages[[#This Row],[Request date serial]]</f>
        <v>36</v>
      </c>
      <c r="AE619" s="65">
        <f>tblWorkPackages[[#This Row],[Last labor date]]-tblWorkPackages[[#This Row],[First labor date]]</f>
        <v>1</v>
      </c>
      <c r="AF619" s="65">
        <f>tblWorkPackages[[#This Row],[Completion date serial]]-tblWorkPackages[[#This Row],[Last labor date]]</f>
        <v>1</v>
      </c>
      <c r="AG619" s="65">
        <f>tblWorkPackages[[#This Row],[Completion date serial]]-tblWorkPackages[[#This Row],[Request date serial]]</f>
        <v>38</v>
      </c>
      <c r="AH619" s="65">
        <f>IFERROR(INDEX(tblParts[Delay days],MATCH(tblWorkPackages[[#This Row],[Work package ID]],tblParts[Work package ID],0)),0)</f>
        <v>0</v>
      </c>
      <c r="AI619" s="51" t="str">
        <f>IFERROR(INDEX(tblDisruptions[Event type],MATCH(tblWorkPackages[[#This Row],[Work package ID]],tblDisruptions[Work package ID],0)),"None")</f>
        <v>None</v>
      </c>
      <c r="AJ619" s="51" t="str">
        <f>TEXT(tblWorkPackages[[#This Row],[Due date serial]],"yyyy-mm")</f>
        <v>2024-05</v>
      </c>
    </row>
    <row r="620" spans="1:36" ht="15" x14ac:dyDescent="0.25">
      <c r="A620" s="53" t="s">
        <v>1470</v>
      </c>
      <c r="B620" s="53" t="s">
        <v>141</v>
      </c>
      <c r="C620" s="53" t="s">
        <v>1471</v>
      </c>
      <c r="D620" s="53" t="s">
        <v>1249</v>
      </c>
      <c r="E620" s="53" t="s">
        <v>136</v>
      </c>
      <c r="F620" s="53" t="s">
        <v>137</v>
      </c>
      <c r="G620" s="53" t="s">
        <v>138</v>
      </c>
      <c r="H620" s="53">
        <v>3</v>
      </c>
      <c r="I620" s="53" t="s">
        <v>130</v>
      </c>
      <c r="J620" s="53">
        <v>1</v>
      </c>
      <c r="K620" s="53">
        <v>0</v>
      </c>
      <c r="L620" s="53">
        <v>21.6</v>
      </c>
      <c r="M620" s="53" t="s">
        <v>967</v>
      </c>
      <c r="N620" s="53">
        <v>20.9</v>
      </c>
      <c r="O620" s="51" t="str">
        <f>TEXT(tblWorkPackages[[#This Row],[Request date serial]]-WEEKDAY(tblWorkPackages[[#This Row],[Request date serial]],3),"yyyy-mm-dd")</f>
        <v>2025-03-31</v>
      </c>
      <c r="P620" s="51">
        <f>ABS(tblWorkPackages[[#This Row],[Actual labor hours]]-tblWorkPackages[[#This Row],[Estimated labor hours]])</f>
        <v>0.700000000000003</v>
      </c>
      <c r="Q620" s="51">
        <f>IF(tblWorkPackages[[#This Row],[Actual labor hours]]&gt;tblWorkPackages[[#This Row],[Estimated labor hours]],1,0)</f>
        <v>0</v>
      </c>
      <c r="R620" s="51">
        <f>tblWorkPackages[[#This Row],[Actual labor hours]]-tblWorkPackages[[#This Row],[Estimated labor hours]]</f>
        <v>-0.700000000000003</v>
      </c>
      <c r="S620" s="51" t="str">
        <f>IF(tblWorkPackages[[#This Row],[Request date serial]]&lt;ValidationStart,"Train 2024",IF(tblWorkPackages[[#This Row],[Request date serial]]&lt;HoldoutStart,"Validation H1","Holdout H2"))</f>
        <v>Validation H1</v>
      </c>
      <c r="T620" s="51">
        <f>IF(tblWorkPackages[[#This Row],[Time split]]="Train 2024","",tblWorkPackages[[#This Row],[Estimated labor hours]]+VLOOKUP(tblWorkPackages[[#This Row],[Task type]],'Forecast validation'!$A$14:$E$25,IF(tblWorkPackages[[#This Row],[Time split]]="Validation H1",4,5),FALSE()))</f>
        <v>22.4765306122449</v>
      </c>
      <c r="U620" s="51">
        <f>IF(tblWorkPackages[[#This Row],[Calibrated forecast hours]]="","",ABS(tblWorkPackages[[#This Row],[Actual labor hours]]-tblWorkPackages[[#This Row],[Calibrated forecast hours]]))</f>
        <v>1.5765306122449</v>
      </c>
      <c r="V620" s="51">
        <f>IF(tblWorkPackages[[#This Row],[Time split]]="Train 2024",tblWorkPackages[[#This Row],[Estimated labor hours]],tblWorkPackages[[#This Row],[Calibrated forecast hours]])</f>
        <v>22.4765306122449</v>
      </c>
      <c r="W620" s="64">
        <f>DATEVALUE(tblWorkPackages[[#This Row],[Request date]])</f>
        <v>45749.0</v>
      </c>
      <c r="X620" s="64">
        <f>DATEVALUE(tblWorkPackages[[#This Row],[Due date]])</f>
        <v>45762.0</v>
      </c>
      <c r="Y620" s="64">
        <f>DATEVALUE(tblWorkPackages[[#This Row],[Completion date]])</f>
        <v>45758.0</v>
      </c>
      <c r="Z620" s="64">
        <f>_xlfn.MINIFS(tblLaborEntries[Work date serial],tblLaborEntries[Work package ID],tblWorkPackages[[#This Row],[Work package ID]])</f>
        <v>45756.0</v>
      </c>
      <c r="AA620" s="64">
        <f>_xlfn.MAXIFS(tblLaborEntries[Work date serial],tblLaborEntries[Work package ID],tblWorkPackages[[#This Row],[Work package ID]])</f>
        <v>45756.0</v>
      </c>
      <c r="AB620" s="65">
        <f>IF(tblWorkPackages[[#This Row],[Completion date serial]]&gt;tblWorkPackages[[#This Row],[Due date serial]],1,0)</f>
        <v>0</v>
      </c>
      <c r="AC620" s="65">
        <f>MAX(0,tblWorkPackages[[#This Row],[Completion date serial]]-tblWorkPackages[[#This Row],[Due date serial]])</f>
        <v>0</v>
      </c>
      <c r="AD620" s="65">
        <f>tblWorkPackages[[#This Row],[First labor date]]-tblWorkPackages[[#This Row],[Request date serial]]</f>
        <v>7</v>
      </c>
      <c r="AE620" s="65">
        <f>tblWorkPackages[[#This Row],[Last labor date]]-tblWorkPackages[[#This Row],[First labor date]]</f>
        <v>0</v>
      </c>
      <c r="AF620" s="65">
        <f>tblWorkPackages[[#This Row],[Completion date serial]]-tblWorkPackages[[#This Row],[Last labor date]]</f>
        <v>2</v>
      </c>
      <c r="AG620" s="65">
        <f>tblWorkPackages[[#This Row],[Completion date serial]]-tblWorkPackages[[#This Row],[Request date serial]]</f>
        <v>9</v>
      </c>
      <c r="AH620" s="65">
        <f>IFERROR(INDEX(tblParts[Delay days],MATCH(tblWorkPackages[[#This Row],[Work package ID]],tblParts[Work package ID],0)),0)</f>
        <v>0</v>
      </c>
      <c r="AI620" s="51" t="str">
        <f>IFERROR(INDEX(tblDisruptions[Event type],MATCH(tblWorkPackages[[#This Row],[Work package ID]],tblDisruptions[Work package ID],0)),"None")</f>
        <v>None</v>
      </c>
      <c r="AJ620" s="51" t="str">
        <f>TEXT(tblWorkPackages[[#This Row],[Due date serial]],"yyyy-mm")</f>
        <v>2025-04</v>
      </c>
    </row>
    <row r="621" spans="1:36" ht="15" x14ac:dyDescent="0.25">
      <c r="A621" s="53" t="s">
        <v>1472</v>
      </c>
      <c r="B621" s="53" t="s">
        <v>250</v>
      </c>
      <c r="C621" s="53" t="s">
        <v>1473</v>
      </c>
      <c r="D621" s="53" t="s">
        <v>211</v>
      </c>
      <c r="E621" s="53" t="s">
        <v>272</v>
      </c>
      <c r="F621" s="53" t="s">
        <v>145</v>
      </c>
      <c r="G621" s="53" t="s">
        <v>273</v>
      </c>
      <c r="H621" s="53">
        <v>1</v>
      </c>
      <c r="I621" s="53" t="s">
        <v>130</v>
      </c>
      <c r="J621" s="53">
        <v>0</v>
      </c>
      <c r="K621" s="53">
        <v>0</v>
      </c>
      <c r="L621" s="53">
        <v>7.4</v>
      </c>
      <c r="M621" s="53" t="s">
        <v>1409</v>
      </c>
      <c r="N621" s="53">
        <v>7.8</v>
      </c>
      <c r="O621" s="51" t="str">
        <f>TEXT(tblWorkPackages[[#This Row],[Request date serial]]-WEEKDAY(tblWorkPackages[[#This Row],[Request date serial]],3),"yyyy-mm-dd")</f>
        <v>2025-07-28</v>
      </c>
      <c r="P621" s="51">
        <f>ABS(tblWorkPackages[[#This Row],[Actual labor hours]]-tblWorkPackages[[#This Row],[Estimated labor hours]])</f>
        <v>0.399999999999999</v>
      </c>
      <c r="Q621" s="51">
        <f>IF(tblWorkPackages[[#This Row],[Actual labor hours]]&gt;tblWorkPackages[[#This Row],[Estimated labor hours]],1,0)</f>
        <v>1</v>
      </c>
      <c r="R621" s="51">
        <f>tblWorkPackages[[#This Row],[Actual labor hours]]-tblWorkPackages[[#This Row],[Estimated labor hours]]</f>
        <v>0.399999999999999</v>
      </c>
      <c r="S621" s="51" t="str">
        <f>IF(tblWorkPackages[[#This Row],[Request date serial]]&lt;ValidationStart,"Train 2024",IF(tblWorkPackages[[#This Row],[Request date serial]]&lt;HoldoutStart,"Validation H1","Holdout H2"))</f>
        <v>Holdout H2</v>
      </c>
      <c r="T621" s="51">
        <f>IF(tblWorkPackages[[#This Row],[Time split]]="Train 2024","",tblWorkPackages[[#This Row],[Estimated labor hours]]+VLOOKUP(tblWorkPackages[[#This Row],[Task type]],'Forecast validation'!$A$14:$E$25,IF(tblWorkPackages[[#This Row],[Time split]]="Validation H1",4,5),FALSE()))</f>
        <v>8.38515625</v>
      </c>
      <c r="U621" s="51">
        <f>IF(tblWorkPackages[[#This Row],[Calibrated forecast hours]]="","",ABS(tblWorkPackages[[#This Row],[Actual labor hours]]-tblWorkPackages[[#This Row],[Calibrated forecast hours]]))</f>
        <v>0.58515625</v>
      </c>
      <c r="V621" s="51">
        <f>IF(tblWorkPackages[[#This Row],[Time split]]="Train 2024",tblWorkPackages[[#This Row],[Estimated labor hours]],tblWorkPackages[[#This Row],[Calibrated forecast hours]])</f>
        <v>8.38515625</v>
      </c>
      <c r="W621" s="64">
        <f>DATEVALUE(tblWorkPackages[[#This Row],[Request date]])</f>
        <v>45869.0</v>
      </c>
      <c r="X621" s="64">
        <f>DATEVALUE(tblWorkPackages[[#This Row],[Due date]])</f>
        <v>45882.0</v>
      </c>
      <c r="Y621" s="64">
        <f>DATEVALUE(tblWorkPackages[[#This Row],[Completion date]])</f>
        <v>45875.0</v>
      </c>
      <c r="Z621" s="64">
        <f>_xlfn.MINIFS(tblLaborEntries[Work date serial],tblLaborEntries[Work package ID],tblWorkPackages[[#This Row],[Work package ID]])</f>
        <v>45871.0</v>
      </c>
      <c r="AA621" s="64">
        <f>_xlfn.MAXIFS(tblLaborEntries[Work date serial],tblLaborEntries[Work package ID],tblWorkPackages[[#This Row],[Work package ID]])</f>
        <v>45872.0</v>
      </c>
      <c r="AB621" s="65">
        <f>IF(tblWorkPackages[[#This Row],[Completion date serial]]&gt;tblWorkPackages[[#This Row],[Due date serial]],1,0)</f>
        <v>0</v>
      </c>
      <c r="AC621" s="65">
        <f>MAX(0,tblWorkPackages[[#This Row],[Completion date serial]]-tblWorkPackages[[#This Row],[Due date serial]])</f>
        <v>0</v>
      </c>
      <c r="AD621" s="65">
        <f>tblWorkPackages[[#This Row],[First labor date]]-tblWorkPackages[[#This Row],[Request date serial]]</f>
        <v>2</v>
      </c>
      <c r="AE621" s="65">
        <f>tblWorkPackages[[#This Row],[Last labor date]]-tblWorkPackages[[#This Row],[First labor date]]</f>
        <v>1</v>
      </c>
      <c r="AF621" s="65">
        <f>tblWorkPackages[[#This Row],[Completion date serial]]-tblWorkPackages[[#This Row],[Last labor date]]</f>
        <v>3</v>
      </c>
      <c r="AG621" s="65">
        <f>tblWorkPackages[[#This Row],[Completion date serial]]-tblWorkPackages[[#This Row],[Request date serial]]</f>
        <v>6</v>
      </c>
      <c r="AH621" s="65">
        <f>IFERROR(INDEX(tblParts[Delay days],MATCH(tblWorkPackages[[#This Row],[Work package ID]],tblParts[Work package ID],0)),0)</f>
        <v>0</v>
      </c>
      <c r="AI621" s="51" t="str">
        <f>IFERROR(INDEX(tblDisruptions[Event type],MATCH(tblWorkPackages[[#This Row],[Work package ID]],tblDisruptions[Work package ID],0)),"None")</f>
        <v>None</v>
      </c>
      <c r="AJ621" s="51" t="str">
        <f>TEXT(tblWorkPackages[[#This Row],[Due date serial]],"yyyy-mm")</f>
        <v>2025-08</v>
      </c>
    </row>
    <row r="622" spans="1:36" ht="15" x14ac:dyDescent="0.25">
      <c r="A622" s="53" t="s">
        <v>1474</v>
      </c>
      <c r="B622" s="53" t="s">
        <v>168</v>
      </c>
      <c r="C622" s="53" t="s">
        <v>1001</v>
      </c>
      <c r="D622" s="53" t="s">
        <v>1026</v>
      </c>
      <c r="E622" s="53" t="s">
        <v>223</v>
      </c>
      <c r="F622" s="53" t="s">
        <v>182</v>
      </c>
      <c r="G622" s="53" t="s">
        <v>154</v>
      </c>
      <c r="H622" s="53">
        <v>4</v>
      </c>
      <c r="I622" s="53" t="s">
        <v>176</v>
      </c>
      <c r="J622" s="53">
        <v>0</v>
      </c>
      <c r="K622" s="53">
        <v>0</v>
      </c>
      <c r="L622" s="53">
        <v>25.7</v>
      </c>
      <c r="M622" s="53" t="s">
        <v>631</v>
      </c>
      <c r="N622" s="53">
        <v>26.9</v>
      </c>
      <c r="O622" s="51" t="str">
        <f>TEXT(tblWorkPackages[[#This Row],[Request date serial]]-WEEKDAY(tblWorkPackages[[#This Row],[Request date serial]],3),"yyyy-mm-dd")</f>
        <v>2024-03-11</v>
      </c>
      <c r="P622" s="51">
        <f>ABS(tblWorkPackages[[#This Row],[Actual labor hours]]-tblWorkPackages[[#This Row],[Estimated labor hours]])</f>
        <v>1.2</v>
      </c>
      <c r="Q622" s="51">
        <f>IF(tblWorkPackages[[#This Row],[Actual labor hours]]&gt;tblWorkPackages[[#This Row],[Estimated labor hours]],1,0)</f>
        <v>1</v>
      </c>
      <c r="R622" s="51">
        <f>tblWorkPackages[[#This Row],[Actual labor hours]]-tblWorkPackages[[#This Row],[Estimated labor hours]]</f>
        <v>1.2</v>
      </c>
      <c r="S622" s="51" t="str">
        <f>IF(tblWorkPackages[[#This Row],[Request date serial]]&lt;ValidationStart,"Train 2024",IF(tblWorkPackages[[#This Row],[Request date serial]]&lt;HoldoutStart,"Validation H1","Holdout H2"))</f>
        <v>Train 2024</v>
      </c>
      <c r="T622" s="51" t="str">
        <f>IF(tblWorkPackages[[#This Row],[Time split]]="Train 2024","",tblWorkPackages[[#This Row],[Estimated labor hours]]+VLOOKUP(tblWorkPackages[[#This Row],[Task type]],'Forecast validation'!$A$14:$E$25,IF(tblWorkPackages[[#This Row],[Time split]]="Validation H1",4,5),FALSE()))</f>
        <v/>
      </c>
      <c r="U622" s="51" t="str">
        <f>IF(tblWorkPackages[[#This Row],[Calibrated forecast hours]]="","",ABS(tblWorkPackages[[#This Row],[Actual labor hours]]-tblWorkPackages[[#This Row],[Calibrated forecast hours]]))</f>
        <v/>
      </c>
      <c r="V622" s="51">
        <f>IF(tblWorkPackages[[#This Row],[Time split]]="Train 2024",tblWorkPackages[[#This Row],[Estimated labor hours]],tblWorkPackages[[#This Row],[Calibrated forecast hours]])</f>
        <v>25.7</v>
      </c>
      <c r="W622" s="64">
        <f>DATEVALUE(tblWorkPackages[[#This Row],[Request date]])</f>
        <v>45365.0</v>
      </c>
      <c r="X622" s="64">
        <f>DATEVALUE(tblWorkPackages[[#This Row],[Due date]])</f>
        <v>45371.0</v>
      </c>
      <c r="Y622" s="64">
        <f>DATEVALUE(tblWorkPackages[[#This Row],[Completion date]])</f>
        <v>45382.0</v>
      </c>
      <c r="Z622" s="64">
        <f>_xlfn.MINIFS(tblLaborEntries[Work date serial],tblLaborEntries[Work package ID],tblWorkPackages[[#This Row],[Work package ID]])</f>
        <v>45380.0</v>
      </c>
      <c r="AA622" s="64">
        <f>_xlfn.MAXIFS(tblLaborEntries[Work date serial],tblLaborEntries[Work package ID],tblWorkPackages[[#This Row],[Work package ID]])</f>
        <v>45382.0</v>
      </c>
      <c r="AB622" s="65">
        <f>IF(tblWorkPackages[[#This Row],[Completion date serial]]&gt;tblWorkPackages[[#This Row],[Due date serial]],1,0)</f>
        <v>1</v>
      </c>
      <c r="AC622" s="65">
        <f>MAX(0,tblWorkPackages[[#This Row],[Completion date serial]]-tblWorkPackages[[#This Row],[Due date serial]])</f>
        <v>11</v>
      </c>
      <c r="AD622" s="65">
        <f>tblWorkPackages[[#This Row],[First labor date]]-tblWorkPackages[[#This Row],[Request date serial]]</f>
        <v>15</v>
      </c>
      <c r="AE622" s="65">
        <f>tblWorkPackages[[#This Row],[Last labor date]]-tblWorkPackages[[#This Row],[First labor date]]</f>
        <v>2</v>
      </c>
      <c r="AF622" s="65">
        <f>tblWorkPackages[[#This Row],[Completion date serial]]-tblWorkPackages[[#This Row],[Last labor date]]</f>
        <v>0</v>
      </c>
      <c r="AG622" s="65">
        <f>tblWorkPackages[[#This Row],[Completion date serial]]-tblWorkPackages[[#This Row],[Request date serial]]</f>
        <v>17</v>
      </c>
      <c r="AH622" s="65">
        <f>IFERROR(INDEX(tblParts[Delay days],MATCH(tblWorkPackages[[#This Row],[Work package ID]],tblParts[Work package ID],0)),0)</f>
        <v>0</v>
      </c>
      <c r="AI622" s="51" t="str">
        <f>IFERROR(INDEX(tblDisruptions[Event type],MATCH(tblWorkPackages[[#This Row],[Work package ID]],tblDisruptions[Work package ID],0)),"None")</f>
        <v>None</v>
      </c>
      <c r="AJ622" s="51" t="str">
        <f>TEXT(tblWorkPackages[[#This Row],[Due date serial]],"yyyy-mm")</f>
        <v>2024-03</v>
      </c>
    </row>
    <row r="623" spans="1:36" ht="15" x14ac:dyDescent="0.25">
      <c r="A623" s="53" t="s">
        <v>1475</v>
      </c>
      <c r="B623" s="53" t="s">
        <v>250</v>
      </c>
      <c r="C623" s="53" t="s">
        <v>195</v>
      </c>
      <c r="D623" s="53" t="s">
        <v>196</v>
      </c>
      <c r="E623" s="53" t="s">
        <v>237</v>
      </c>
      <c r="F623" s="53" t="s">
        <v>182</v>
      </c>
      <c r="G623" s="53" t="s">
        <v>138</v>
      </c>
      <c r="H623" s="53">
        <v>2</v>
      </c>
      <c r="I623" s="53" t="s">
        <v>147</v>
      </c>
      <c r="J623" s="53">
        <v>0</v>
      </c>
      <c r="K623" s="53">
        <v>1</v>
      </c>
      <c r="L623" s="53">
        <v>4.5999999999999996</v>
      </c>
      <c r="M623" s="53" t="s">
        <v>170</v>
      </c>
      <c r="N623" s="53">
        <v>4.4000000000000004</v>
      </c>
      <c r="O623" s="51" t="str">
        <f>TEXT(tblWorkPackages[[#This Row],[Request date serial]]-WEEKDAY(tblWorkPackages[[#This Row],[Request date serial]],3),"yyyy-mm-dd")</f>
        <v>2024-10-14</v>
      </c>
      <c r="P623" s="51">
        <f>ABS(tblWorkPackages[[#This Row],[Actual labor hours]]-tblWorkPackages[[#This Row],[Estimated labor hours]])</f>
        <v>0.199999999999999</v>
      </c>
      <c r="Q623" s="51">
        <f>IF(tblWorkPackages[[#This Row],[Actual labor hours]]&gt;tblWorkPackages[[#This Row],[Estimated labor hours]],1,0)</f>
        <v>0</v>
      </c>
      <c r="R623" s="51">
        <f>tblWorkPackages[[#This Row],[Actual labor hours]]-tblWorkPackages[[#This Row],[Estimated labor hours]]</f>
        <v>-0.199999999999999</v>
      </c>
      <c r="S623" s="51" t="str">
        <f>IF(tblWorkPackages[[#This Row],[Request date serial]]&lt;ValidationStart,"Train 2024",IF(tblWorkPackages[[#This Row],[Request date serial]]&lt;HoldoutStart,"Validation H1","Holdout H2"))</f>
        <v>Train 2024</v>
      </c>
      <c r="T623" s="51" t="str">
        <f>IF(tblWorkPackages[[#This Row],[Time split]]="Train 2024","",tblWorkPackages[[#This Row],[Estimated labor hours]]+VLOOKUP(tblWorkPackages[[#This Row],[Task type]],'Forecast validation'!$A$14:$E$25,IF(tblWorkPackages[[#This Row],[Time split]]="Validation H1",4,5),FALSE()))</f>
        <v/>
      </c>
      <c r="U623" s="51" t="str">
        <f>IF(tblWorkPackages[[#This Row],[Calibrated forecast hours]]="","",ABS(tblWorkPackages[[#This Row],[Actual labor hours]]-tblWorkPackages[[#This Row],[Calibrated forecast hours]]))</f>
        <v/>
      </c>
      <c r="V623" s="51">
        <f>IF(tblWorkPackages[[#This Row],[Time split]]="Train 2024",tblWorkPackages[[#This Row],[Estimated labor hours]],tblWorkPackages[[#This Row],[Calibrated forecast hours]])</f>
        <v>4.6</v>
      </c>
      <c r="W623" s="64">
        <f>DATEVALUE(tblWorkPackages[[#This Row],[Request date]])</f>
        <v>45580.0</v>
      </c>
      <c r="X623" s="64">
        <f>DATEVALUE(tblWorkPackages[[#This Row],[Due date]])</f>
        <v>45582.0</v>
      </c>
      <c r="Y623" s="64">
        <f>DATEVALUE(tblWorkPackages[[#This Row],[Completion date]])</f>
        <v>45587.0</v>
      </c>
      <c r="Z623" s="64">
        <f>_xlfn.MINIFS(tblLaborEntries[Work date serial],tblLaborEntries[Work package ID],tblWorkPackages[[#This Row],[Work package ID]])</f>
        <v>45584.0</v>
      </c>
      <c r="AA623" s="64">
        <f>_xlfn.MAXIFS(tblLaborEntries[Work date serial],tblLaborEntries[Work package ID],tblWorkPackages[[#This Row],[Work package ID]])</f>
        <v>45586.0</v>
      </c>
      <c r="AB623" s="65">
        <f>IF(tblWorkPackages[[#This Row],[Completion date serial]]&gt;tblWorkPackages[[#This Row],[Due date serial]],1,0)</f>
        <v>1</v>
      </c>
      <c r="AC623" s="65">
        <f>MAX(0,tblWorkPackages[[#This Row],[Completion date serial]]-tblWorkPackages[[#This Row],[Due date serial]])</f>
        <v>5</v>
      </c>
      <c r="AD623" s="65">
        <f>tblWorkPackages[[#This Row],[First labor date]]-tblWorkPackages[[#This Row],[Request date serial]]</f>
        <v>4</v>
      </c>
      <c r="AE623" s="65">
        <f>tblWorkPackages[[#This Row],[Last labor date]]-tblWorkPackages[[#This Row],[First labor date]]</f>
        <v>2</v>
      </c>
      <c r="AF623" s="65">
        <f>tblWorkPackages[[#This Row],[Completion date serial]]-tblWorkPackages[[#This Row],[Last labor date]]</f>
        <v>1</v>
      </c>
      <c r="AG623" s="65">
        <f>tblWorkPackages[[#This Row],[Completion date serial]]-tblWorkPackages[[#This Row],[Request date serial]]</f>
        <v>7</v>
      </c>
      <c r="AH623" s="65">
        <f>IFERROR(INDEX(tblParts[Delay days],MATCH(tblWorkPackages[[#This Row],[Work package ID]],tblParts[Work package ID],0)),0)</f>
        <v>0</v>
      </c>
      <c r="AI623" s="51" t="str">
        <f>IFERROR(INDEX(tblDisruptions[Event type],MATCH(tblWorkPackages[[#This Row],[Work package ID]],tblDisruptions[Work package ID],0)),"None")</f>
        <v>None</v>
      </c>
      <c r="AJ623" s="51" t="str">
        <f>TEXT(tblWorkPackages[[#This Row],[Due date serial]],"yyyy-mm")</f>
        <v>2024-10</v>
      </c>
    </row>
    <row r="624" spans="1:36" ht="15" x14ac:dyDescent="0.25">
      <c r="A624" s="53" t="s">
        <v>1476</v>
      </c>
      <c r="B624" s="53" t="s">
        <v>133</v>
      </c>
      <c r="C624" s="53" t="s">
        <v>1230</v>
      </c>
      <c r="D624" s="53" t="s">
        <v>515</v>
      </c>
      <c r="E624" s="53" t="s">
        <v>181</v>
      </c>
      <c r="F624" s="53" t="s">
        <v>182</v>
      </c>
      <c r="G624" s="53" t="s">
        <v>138</v>
      </c>
      <c r="H624" s="53">
        <v>1</v>
      </c>
      <c r="I624" s="53" t="s">
        <v>176</v>
      </c>
      <c r="J624" s="53">
        <v>0</v>
      </c>
      <c r="K624" s="53">
        <v>0</v>
      </c>
      <c r="L624" s="53">
        <v>4.3</v>
      </c>
      <c r="M624" s="53" t="s">
        <v>1200</v>
      </c>
      <c r="N624" s="53">
        <v>4.0999999999999996</v>
      </c>
      <c r="O624" s="51" t="str">
        <f>TEXT(tblWorkPackages[[#This Row],[Request date serial]]-WEEKDAY(tblWorkPackages[[#This Row],[Request date serial]],3),"yyyy-mm-dd")</f>
        <v>2024-11-18</v>
      </c>
      <c r="P624" s="51">
        <f>ABS(tblWorkPackages[[#This Row],[Actual labor hours]]-tblWorkPackages[[#This Row],[Estimated labor hours]])</f>
        <v>0.2</v>
      </c>
      <c r="Q624" s="51">
        <f>IF(tblWorkPackages[[#This Row],[Actual labor hours]]&gt;tblWorkPackages[[#This Row],[Estimated labor hours]],1,0)</f>
        <v>0</v>
      </c>
      <c r="R624" s="51">
        <f>tblWorkPackages[[#This Row],[Actual labor hours]]-tblWorkPackages[[#This Row],[Estimated labor hours]]</f>
        <v>-0.2</v>
      </c>
      <c r="S624" s="51" t="str">
        <f>IF(tblWorkPackages[[#This Row],[Request date serial]]&lt;ValidationStart,"Train 2024",IF(tblWorkPackages[[#This Row],[Request date serial]]&lt;HoldoutStart,"Validation H1","Holdout H2"))</f>
        <v>Train 2024</v>
      </c>
      <c r="T624" s="51" t="str">
        <f>IF(tblWorkPackages[[#This Row],[Time split]]="Train 2024","",tblWorkPackages[[#This Row],[Estimated labor hours]]+VLOOKUP(tblWorkPackages[[#This Row],[Task type]],'Forecast validation'!$A$14:$E$25,IF(tblWorkPackages[[#This Row],[Time split]]="Validation H1",4,5),FALSE()))</f>
        <v/>
      </c>
      <c r="U624" s="51" t="str">
        <f>IF(tblWorkPackages[[#This Row],[Calibrated forecast hours]]="","",ABS(tblWorkPackages[[#This Row],[Actual labor hours]]-tblWorkPackages[[#This Row],[Calibrated forecast hours]]))</f>
        <v/>
      </c>
      <c r="V624" s="51">
        <f>IF(tblWorkPackages[[#This Row],[Time split]]="Train 2024",tblWorkPackages[[#This Row],[Estimated labor hours]],tblWorkPackages[[#This Row],[Calibrated forecast hours]])</f>
        <v>4.3</v>
      </c>
      <c r="W624" s="64">
        <f>DATEVALUE(tblWorkPackages[[#This Row],[Request date]])</f>
        <v>45615.0</v>
      </c>
      <c r="X624" s="64">
        <f>DATEVALUE(tblWorkPackages[[#This Row],[Due date]])</f>
        <v>45621.0</v>
      </c>
      <c r="Y624" s="64">
        <f>DATEVALUE(tblWorkPackages[[#This Row],[Completion date]])</f>
        <v>45619.0</v>
      </c>
      <c r="Z624" s="64">
        <f>_xlfn.MINIFS(tblLaborEntries[Work date serial],tblLaborEntries[Work package ID],tblWorkPackages[[#This Row],[Work package ID]])</f>
        <v>45616.0</v>
      </c>
      <c r="AA624" s="64">
        <f>_xlfn.MAXIFS(tblLaborEntries[Work date serial],tblLaborEntries[Work package ID],tblWorkPackages[[#This Row],[Work package ID]])</f>
        <v>45617.0</v>
      </c>
      <c r="AB624" s="65">
        <f>IF(tblWorkPackages[[#This Row],[Completion date serial]]&gt;tblWorkPackages[[#This Row],[Due date serial]],1,0)</f>
        <v>0</v>
      </c>
      <c r="AC624" s="65">
        <f>MAX(0,tblWorkPackages[[#This Row],[Completion date serial]]-tblWorkPackages[[#This Row],[Due date serial]])</f>
        <v>0</v>
      </c>
      <c r="AD624" s="65">
        <f>tblWorkPackages[[#This Row],[First labor date]]-tblWorkPackages[[#This Row],[Request date serial]]</f>
        <v>1</v>
      </c>
      <c r="AE624" s="65">
        <f>tblWorkPackages[[#This Row],[Last labor date]]-tblWorkPackages[[#This Row],[First labor date]]</f>
        <v>1</v>
      </c>
      <c r="AF624" s="65">
        <f>tblWorkPackages[[#This Row],[Completion date serial]]-tblWorkPackages[[#This Row],[Last labor date]]</f>
        <v>2</v>
      </c>
      <c r="AG624" s="65">
        <f>tblWorkPackages[[#This Row],[Completion date serial]]-tblWorkPackages[[#This Row],[Request date serial]]</f>
        <v>4</v>
      </c>
      <c r="AH624" s="65">
        <f>IFERROR(INDEX(tblParts[Delay days],MATCH(tblWorkPackages[[#This Row],[Work package ID]],tblParts[Work package ID],0)),0)</f>
        <v>0</v>
      </c>
      <c r="AI624" s="51" t="str">
        <f>IFERROR(INDEX(tblDisruptions[Event type],MATCH(tblWorkPackages[[#This Row],[Work package ID]],tblDisruptions[Work package ID],0)),"None")</f>
        <v>None</v>
      </c>
      <c r="AJ624" s="51" t="str">
        <f>TEXT(tblWorkPackages[[#This Row],[Due date serial]],"yyyy-mm")</f>
        <v>2024-11</v>
      </c>
    </row>
    <row r="625" spans="1:36" ht="15" x14ac:dyDescent="0.25">
      <c r="A625" s="53" t="s">
        <v>1477</v>
      </c>
      <c r="B625" s="53" t="s">
        <v>235</v>
      </c>
      <c r="C625" s="53" t="s">
        <v>170</v>
      </c>
      <c r="D625" s="53" t="s">
        <v>594</v>
      </c>
      <c r="E625" s="53" t="s">
        <v>160</v>
      </c>
      <c r="F625" s="53" t="s">
        <v>128</v>
      </c>
      <c r="G625" s="53" t="s">
        <v>138</v>
      </c>
      <c r="H625" s="53">
        <v>2</v>
      </c>
      <c r="I625" s="53" t="s">
        <v>176</v>
      </c>
      <c r="J625" s="53">
        <v>0</v>
      </c>
      <c r="K625" s="53">
        <v>0</v>
      </c>
      <c r="L625" s="53">
        <v>4</v>
      </c>
      <c r="M625" s="53" t="s">
        <v>981</v>
      </c>
      <c r="N625" s="53">
        <v>4</v>
      </c>
      <c r="O625" s="51" t="str">
        <f>TEXT(tblWorkPackages[[#This Row],[Request date serial]]-WEEKDAY(tblWorkPackages[[#This Row],[Request date serial]],3),"yyyy-mm-dd")</f>
        <v>2024-10-21</v>
      </c>
      <c r="P625" s="51">
        <f>ABS(tblWorkPackages[[#This Row],[Actual labor hours]]-tblWorkPackages[[#This Row],[Estimated labor hours]])</f>
        <v>0</v>
      </c>
      <c r="Q625" s="51">
        <f>IF(tblWorkPackages[[#This Row],[Actual labor hours]]&gt;tblWorkPackages[[#This Row],[Estimated labor hours]],1,0)</f>
        <v>0</v>
      </c>
      <c r="R625" s="51">
        <f>tblWorkPackages[[#This Row],[Actual labor hours]]-tblWorkPackages[[#This Row],[Estimated labor hours]]</f>
        <v>0</v>
      </c>
      <c r="S625" s="51" t="str">
        <f>IF(tblWorkPackages[[#This Row],[Request date serial]]&lt;ValidationStart,"Train 2024",IF(tblWorkPackages[[#This Row],[Request date serial]]&lt;HoldoutStart,"Validation H1","Holdout H2"))</f>
        <v>Train 2024</v>
      </c>
      <c r="T625" s="51" t="str">
        <f>IF(tblWorkPackages[[#This Row],[Time split]]="Train 2024","",tblWorkPackages[[#This Row],[Estimated labor hours]]+VLOOKUP(tblWorkPackages[[#This Row],[Task type]],'Forecast validation'!$A$14:$E$25,IF(tblWorkPackages[[#This Row],[Time split]]="Validation H1",4,5),FALSE()))</f>
        <v/>
      </c>
      <c r="U625" s="51" t="str">
        <f>IF(tblWorkPackages[[#This Row],[Calibrated forecast hours]]="","",ABS(tblWorkPackages[[#This Row],[Actual labor hours]]-tblWorkPackages[[#This Row],[Calibrated forecast hours]]))</f>
        <v/>
      </c>
      <c r="V625" s="51">
        <f>IF(tblWorkPackages[[#This Row],[Time split]]="Train 2024",tblWorkPackages[[#This Row],[Estimated labor hours]],tblWorkPackages[[#This Row],[Calibrated forecast hours]])</f>
        <v>4</v>
      </c>
      <c r="W625" s="64">
        <f>DATEVALUE(tblWorkPackages[[#This Row],[Request date]])</f>
        <v>45587.0</v>
      </c>
      <c r="X625" s="64">
        <f>DATEVALUE(tblWorkPackages[[#This Row],[Due date]])</f>
        <v>45593.0</v>
      </c>
      <c r="Y625" s="64">
        <f>DATEVALUE(tblWorkPackages[[#This Row],[Completion date]])</f>
        <v>45601.0</v>
      </c>
      <c r="Z625" s="64">
        <f>_xlfn.MINIFS(tblLaborEntries[Work date serial],tblLaborEntries[Work package ID],tblWorkPackages[[#This Row],[Work package ID]])</f>
        <v>45597.0</v>
      </c>
      <c r="AA625" s="64">
        <f>_xlfn.MAXIFS(tblLaborEntries[Work date serial],tblLaborEntries[Work package ID],tblWorkPackages[[#This Row],[Work package ID]])</f>
        <v>45598.0</v>
      </c>
      <c r="AB625" s="65">
        <f>IF(tblWorkPackages[[#This Row],[Completion date serial]]&gt;tblWorkPackages[[#This Row],[Due date serial]],1,0)</f>
        <v>1</v>
      </c>
      <c r="AC625" s="65">
        <f>MAX(0,tblWorkPackages[[#This Row],[Completion date serial]]-tblWorkPackages[[#This Row],[Due date serial]])</f>
        <v>8</v>
      </c>
      <c r="AD625" s="65">
        <f>tblWorkPackages[[#This Row],[First labor date]]-tblWorkPackages[[#This Row],[Request date serial]]</f>
        <v>10</v>
      </c>
      <c r="AE625" s="65">
        <f>tblWorkPackages[[#This Row],[Last labor date]]-tblWorkPackages[[#This Row],[First labor date]]</f>
        <v>1</v>
      </c>
      <c r="AF625" s="65">
        <f>tblWorkPackages[[#This Row],[Completion date serial]]-tblWorkPackages[[#This Row],[Last labor date]]</f>
        <v>3</v>
      </c>
      <c r="AG625" s="65">
        <f>tblWorkPackages[[#This Row],[Completion date serial]]-tblWorkPackages[[#This Row],[Request date serial]]</f>
        <v>14</v>
      </c>
      <c r="AH625" s="65">
        <f>IFERROR(INDEX(tblParts[Delay days],MATCH(tblWorkPackages[[#This Row],[Work package ID]],tblParts[Work package ID],0)),0)</f>
        <v>0</v>
      </c>
      <c r="AI625" s="51" t="str">
        <f>IFERROR(INDEX(tblDisruptions[Event type],MATCH(tblWorkPackages[[#This Row],[Work package ID]],tblDisruptions[Work package ID],0)),"None")</f>
        <v>None</v>
      </c>
      <c r="AJ625" s="51" t="str">
        <f>TEXT(tblWorkPackages[[#This Row],[Due date serial]],"yyyy-mm")</f>
        <v>2024-10</v>
      </c>
    </row>
    <row r="626" spans="1:36" ht="15" x14ac:dyDescent="0.25">
      <c r="A626" s="53" t="s">
        <v>1478</v>
      </c>
      <c r="B626" s="53" t="s">
        <v>163</v>
      </c>
      <c r="C626" s="53" t="s">
        <v>428</v>
      </c>
      <c r="D626" s="53" t="s">
        <v>472</v>
      </c>
      <c r="E626" s="53" t="s">
        <v>237</v>
      </c>
      <c r="F626" s="53" t="s">
        <v>182</v>
      </c>
      <c r="G626" s="53" t="s">
        <v>138</v>
      </c>
      <c r="H626" s="53">
        <v>1</v>
      </c>
      <c r="I626" s="53" t="s">
        <v>176</v>
      </c>
      <c r="J626" s="53">
        <v>1</v>
      </c>
      <c r="K626" s="53">
        <v>0</v>
      </c>
      <c r="L626" s="53">
        <v>3.7</v>
      </c>
      <c r="M626" s="53" t="s">
        <v>1202</v>
      </c>
      <c r="N626" s="53">
        <v>3.5</v>
      </c>
      <c r="O626" s="51" t="str">
        <f>TEXT(tblWorkPackages[[#This Row],[Request date serial]]-WEEKDAY(tblWorkPackages[[#This Row],[Request date serial]],3),"yyyy-mm-dd")</f>
        <v>2024-04-15</v>
      </c>
      <c r="P626" s="51">
        <f>ABS(tblWorkPackages[[#This Row],[Actual labor hours]]-tblWorkPackages[[#This Row],[Estimated labor hours]])</f>
        <v>0.2</v>
      </c>
      <c r="Q626" s="51">
        <f>IF(tblWorkPackages[[#This Row],[Actual labor hours]]&gt;tblWorkPackages[[#This Row],[Estimated labor hours]],1,0)</f>
        <v>0</v>
      </c>
      <c r="R626" s="51">
        <f>tblWorkPackages[[#This Row],[Actual labor hours]]-tblWorkPackages[[#This Row],[Estimated labor hours]]</f>
        <v>-0.2</v>
      </c>
      <c r="S626" s="51" t="str">
        <f>IF(tblWorkPackages[[#This Row],[Request date serial]]&lt;ValidationStart,"Train 2024",IF(tblWorkPackages[[#This Row],[Request date serial]]&lt;HoldoutStart,"Validation H1","Holdout H2"))</f>
        <v>Train 2024</v>
      </c>
      <c r="T626" s="51" t="str">
        <f>IF(tblWorkPackages[[#This Row],[Time split]]="Train 2024","",tblWorkPackages[[#This Row],[Estimated labor hours]]+VLOOKUP(tblWorkPackages[[#This Row],[Task type]],'Forecast validation'!$A$14:$E$25,IF(tblWorkPackages[[#This Row],[Time split]]="Validation H1",4,5),FALSE()))</f>
        <v/>
      </c>
      <c r="U626" s="51" t="str">
        <f>IF(tblWorkPackages[[#This Row],[Calibrated forecast hours]]="","",ABS(tblWorkPackages[[#This Row],[Actual labor hours]]-tblWorkPackages[[#This Row],[Calibrated forecast hours]]))</f>
        <v/>
      </c>
      <c r="V626" s="51">
        <f>IF(tblWorkPackages[[#This Row],[Time split]]="Train 2024",tblWorkPackages[[#This Row],[Estimated labor hours]],tblWorkPackages[[#This Row],[Calibrated forecast hours]])</f>
        <v>3.7</v>
      </c>
      <c r="W626" s="64">
        <f>DATEVALUE(tblWorkPackages[[#This Row],[Request date]])</f>
        <v>45402.0</v>
      </c>
      <c r="X626" s="64">
        <f>DATEVALUE(tblWorkPackages[[#This Row],[Due date]])</f>
        <v>45408.0</v>
      </c>
      <c r="Y626" s="64">
        <f>DATEVALUE(tblWorkPackages[[#This Row],[Completion date]])</f>
        <v>45407.0</v>
      </c>
      <c r="Z626" s="64">
        <f>_xlfn.MINIFS(tblLaborEntries[Work date serial],tblLaborEntries[Work package ID],tblWorkPackages[[#This Row],[Work package ID]])</f>
        <v>45405.0</v>
      </c>
      <c r="AA626" s="64">
        <f>_xlfn.MAXIFS(tblLaborEntries[Work date serial],tblLaborEntries[Work package ID],tblWorkPackages[[#This Row],[Work package ID]])</f>
        <v>45407.0</v>
      </c>
      <c r="AB626" s="65">
        <f>IF(tblWorkPackages[[#This Row],[Completion date serial]]&gt;tblWorkPackages[[#This Row],[Due date serial]],1,0)</f>
        <v>0</v>
      </c>
      <c r="AC626" s="65">
        <f>MAX(0,tblWorkPackages[[#This Row],[Completion date serial]]-tblWorkPackages[[#This Row],[Due date serial]])</f>
        <v>0</v>
      </c>
      <c r="AD626" s="65">
        <f>tblWorkPackages[[#This Row],[First labor date]]-tblWorkPackages[[#This Row],[Request date serial]]</f>
        <v>3</v>
      </c>
      <c r="AE626" s="65">
        <f>tblWorkPackages[[#This Row],[Last labor date]]-tblWorkPackages[[#This Row],[First labor date]]</f>
        <v>2</v>
      </c>
      <c r="AF626" s="65">
        <f>tblWorkPackages[[#This Row],[Completion date serial]]-tblWorkPackages[[#This Row],[Last labor date]]</f>
        <v>0</v>
      </c>
      <c r="AG626" s="65">
        <f>tblWorkPackages[[#This Row],[Completion date serial]]-tblWorkPackages[[#This Row],[Request date serial]]</f>
        <v>5</v>
      </c>
      <c r="AH626" s="65">
        <f>IFERROR(INDEX(tblParts[Delay days],MATCH(tblWorkPackages[[#This Row],[Work package ID]],tblParts[Work package ID],0)),0)</f>
        <v>0</v>
      </c>
      <c r="AI626" s="51" t="str">
        <f>IFERROR(INDEX(tblDisruptions[Event type],MATCH(tblWorkPackages[[#This Row],[Work package ID]],tblDisruptions[Work package ID],0)),"None")</f>
        <v>None</v>
      </c>
      <c r="AJ626" s="51" t="str">
        <f>TEXT(tblWorkPackages[[#This Row],[Due date serial]],"yyyy-mm")</f>
        <v>2024-04</v>
      </c>
    </row>
    <row r="627" spans="1:36" ht="15" x14ac:dyDescent="0.25">
      <c r="A627" s="53" t="s">
        <v>1479</v>
      </c>
      <c r="B627" s="53" t="s">
        <v>185</v>
      </c>
      <c r="C627" s="53" t="s">
        <v>1246</v>
      </c>
      <c r="D627" s="53" t="s">
        <v>871</v>
      </c>
      <c r="E627" s="53" t="s">
        <v>127</v>
      </c>
      <c r="F627" s="53" t="s">
        <v>128</v>
      </c>
      <c r="G627" s="53" t="s">
        <v>129</v>
      </c>
      <c r="H627" s="53">
        <v>3</v>
      </c>
      <c r="I627" s="53" t="s">
        <v>130</v>
      </c>
      <c r="J627" s="53">
        <v>0</v>
      </c>
      <c r="K627" s="53">
        <v>0</v>
      </c>
      <c r="L627" s="53">
        <v>11.3</v>
      </c>
      <c r="M627" s="53" t="s">
        <v>1480</v>
      </c>
      <c r="N627" s="53">
        <v>10</v>
      </c>
      <c r="O627" s="51" t="str">
        <f>TEXT(tblWorkPackages[[#This Row],[Request date serial]]-WEEKDAY(tblWorkPackages[[#This Row],[Request date serial]],3),"yyyy-mm-dd")</f>
        <v>2025-03-03</v>
      </c>
      <c r="P627" s="51">
        <f>ABS(tblWorkPackages[[#This Row],[Actual labor hours]]-tblWorkPackages[[#This Row],[Estimated labor hours]])</f>
        <v>1.3</v>
      </c>
      <c r="Q627" s="51">
        <f>IF(tblWorkPackages[[#This Row],[Actual labor hours]]&gt;tblWorkPackages[[#This Row],[Estimated labor hours]],1,0)</f>
        <v>0</v>
      </c>
      <c r="R627" s="51">
        <f>tblWorkPackages[[#This Row],[Actual labor hours]]-tblWorkPackages[[#This Row],[Estimated labor hours]]</f>
        <v>-1.3</v>
      </c>
      <c r="S627" s="51" t="str">
        <f>IF(tblWorkPackages[[#This Row],[Request date serial]]&lt;ValidationStart,"Train 2024",IF(tblWorkPackages[[#This Row],[Request date serial]]&lt;HoldoutStart,"Validation H1","Holdout H2"))</f>
        <v>Validation H1</v>
      </c>
      <c r="T627" s="51">
        <f>IF(tblWorkPackages[[#This Row],[Time split]]="Train 2024","",tblWorkPackages[[#This Row],[Estimated labor hours]]+VLOOKUP(tblWorkPackages[[#This Row],[Task type]],'Forecast validation'!$A$14:$E$25,IF(tblWorkPackages[[#This Row],[Time split]]="Validation H1",4,5),FALSE()))</f>
        <v>11.775641025641</v>
      </c>
      <c r="U627" s="51">
        <f>IF(tblWorkPackages[[#This Row],[Calibrated forecast hours]]="","",ABS(tblWorkPackages[[#This Row],[Actual labor hours]]-tblWorkPackages[[#This Row],[Calibrated forecast hours]]))</f>
        <v>1.77564102564103</v>
      </c>
      <c r="V627" s="51">
        <f>IF(tblWorkPackages[[#This Row],[Time split]]="Train 2024",tblWorkPackages[[#This Row],[Estimated labor hours]],tblWorkPackages[[#This Row],[Calibrated forecast hours]])</f>
        <v>11.775641025641</v>
      </c>
      <c r="W627" s="64">
        <f>DATEVALUE(tblWorkPackages[[#This Row],[Request date]])</f>
        <v>45725.0</v>
      </c>
      <c r="X627" s="64">
        <f>DATEVALUE(tblWorkPackages[[#This Row],[Due date]])</f>
        <v>45738.0</v>
      </c>
      <c r="Y627" s="64">
        <f>DATEVALUE(tblWorkPackages[[#This Row],[Completion date]])</f>
        <v>45754.0</v>
      </c>
      <c r="Z627" s="64">
        <f>_xlfn.MINIFS(tblLaborEntries[Work date serial],tblLaborEntries[Work package ID],tblWorkPackages[[#This Row],[Work package ID]])</f>
        <v>45753.0</v>
      </c>
      <c r="AA627" s="64">
        <f>_xlfn.MAXIFS(tblLaborEntries[Work date serial],tblLaborEntries[Work package ID],tblWorkPackages[[#This Row],[Work package ID]])</f>
        <v>45753.0</v>
      </c>
      <c r="AB627" s="65">
        <f>IF(tblWorkPackages[[#This Row],[Completion date serial]]&gt;tblWorkPackages[[#This Row],[Due date serial]],1,0)</f>
        <v>1</v>
      </c>
      <c r="AC627" s="65">
        <f>MAX(0,tblWorkPackages[[#This Row],[Completion date serial]]-tblWorkPackages[[#This Row],[Due date serial]])</f>
        <v>16</v>
      </c>
      <c r="AD627" s="65">
        <f>tblWorkPackages[[#This Row],[First labor date]]-tblWorkPackages[[#This Row],[Request date serial]]</f>
        <v>28</v>
      </c>
      <c r="AE627" s="65">
        <f>tblWorkPackages[[#This Row],[Last labor date]]-tblWorkPackages[[#This Row],[First labor date]]</f>
        <v>0</v>
      </c>
      <c r="AF627" s="65">
        <f>tblWorkPackages[[#This Row],[Completion date serial]]-tblWorkPackages[[#This Row],[Last labor date]]</f>
        <v>1</v>
      </c>
      <c r="AG627" s="65">
        <f>tblWorkPackages[[#This Row],[Completion date serial]]-tblWorkPackages[[#This Row],[Request date serial]]</f>
        <v>29</v>
      </c>
      <c r="AH627" s="65">
        <f>IFERROR(INDEX(tblParts[Delay days],MATCH(tblWorkPackages[[#This Row],[Work package ID]],tblParts[Work package ID],0)),0)</f>
        <v>0</v>
      </c>
      <c r="AI627" s="51" t="str">
        <f>IFERROR(INDEX(tblDisruptions[Event type],MATCH(tblWorkPackages[[#This Row],[Work package ID]],tblDisruptions[Work package ID],0)),"None")</f>
        <v>None</v>
      </c>
      <c r="AJ627" s="51" t="str">
        <f>TEXT(tblWorkPackages[[#This Row],[Due date serial]],"yyyy-mm")</f>
        <v>2025-03</v>
      </c>
    </row>
    <row r="628" spans="1:36" ht="15" x14ac:dyDescent="0.25">
      <c r="A628" s="53" t="s">
        <v>1481</v>
      </c>
      <c r="B628" s="53" t="s">
        <v>287</v>
      </c>
      <c r="C628" s="53" t="s">
        <v>843</v>
      </c>
      <c r="D628" s="53" t="s">
        <v>1402</v>
      </c>
      <c r="E628" s="53" t="s">
        <v>272</v>
      </c>
      <c r="F628" s="53" t="s">
        <v>145</v>
      </c>
      <c r="G628" s="53" t="s">
        <v>273</v>
      </c>
      <c r="H628" s="53">
        <v>3</v>
      </c>
      <c r="I628" s="53" t="s">
        <v>130</v>
      </c>
      <c r="J628" s="53">
        <v>0</v>
      </c>
      <c r="K628" s="53">
        <v>1</v>
      </c>
      <c r="L628" s="53">
        <v>15</v>
      </c>
      <c r="M628" s="53" t="s">
        <v>177</v>
      </c>
      <c r="N628" s="53">
        <v>14.4</v>
      </c>
      <c r="O628" s="51" t="str">
        <f>TEXT(tblWorkPackages[[#This Row],[Request date serial]]-WEEKDAY(tblWorkPackages[[#This Row],[Request date serial]],3),"yyyy-mm-dd")</f>
        <v>2025-08-04</v>
      </c>
      <c r="P628" s="51">
        <f>ABS(tblWorkPackages[[#This Row],[Actual labor hours]]-tblWorkPackages[[#This Row],[Estimated labor hours]])</f>
        <v>0.6</v>
      </c>
      <c r="Q628" s="51">
        <f>IF(tblWorkPackages[[#This Row],[Actual labor hours]]&gt;tblWorkPackages[[#This Row],[Estimated labor hours]],1,0)</f>
        <v>0</v>
      </c>
      <c r="R628" s="51">
        <f>tblWorkPackages[[#This Row],[Actual labor hours]]-tblWorkPackages[[#This Row],[Estimated labor hours]]</f>
        <v>-0.6</v>
      </c>
      <c r="S628" s="51" t="str">
        <f>IF(tblWorkPackages[[#This Row],[Request date serial]]&lt;ValidationStart,"Train 2024",IF(tblWorkPackages[[#This Row],[Request date serial]]&lt;HoldoutStart,"Validation H1","Holdout H2"))</f>
        <v>Holdout H2</v>
      </c>
      <c r="T628" s="51">
        <f>IF(tblWorkPackages[[#This Row],[Time split]]="Train 2024","",tblWorkPackages[[#This Row],[Estimated labor hours]]+VLOOKUP(tblWorkPackages[[#This Row],[Task type]],'Forecast validation'!$A$14:$E$25,IF(tblWorkPackages[[#This Row],[Time split]]="Validation H1",4,5),FALSE()))</f>
        <v>15.98515625</v>
      </c>
      <c r="U628" s="51">
        <f>IF(tblWorkPackages[[#This Row],[Calibrated forecast hours]]="","",ABS(tblWorkPackages[[#This Row],[Actual labor hours]]-tblWorkPackages[[#This Row],[Calibrated forecast hours]]))</f>
        <v>1.58515625</v>
      </c>
      <c r="V628" s="51">
        <f>IF(tblWorkPackages[[#This Row],[Time split]]="Train 2024",tblWorkPackages[[#This Row],[Estimated labor hours]],tblWorkPackages[[#This Row],[Calibrated forecast hours]])</f>
        <v>15.98515625</v>
      </c>
      <c r="W628" s="64">
        <f>DATEVALUE(tblWorkPackages[[#This Row],[Request date]])</f>
        <v>45878.0</v>
      </c>
      <c r="X628" s="64">
        <f>DATEVALUE(tblWorkPackages[[#This Row],[Due date]])</f>
        <v>45891.0</v>
      </c>
      <c r="Y628" s="64">
        <f>DATEVALUE(tblWorkPackages[[#This Row],[Completion date]])</f>
        <v>45886.0</v>
      </c>
      <c r="Z628" s="64">
        <f>_xlfn.MINIFS(tblLaborEntries[Work date serial],tblLaborEntries[Work package ID],tblWorkPackages[[#This Row],[Work package ID]])</f>
        <v>45883.0</v>
      </c>
      <c r="AA628" s="64">
        <f>_xlfn.MAXIFS(tblLaborEntries[Work date serial],tblLaborEntries[Work package ID],tblWorkPackages[[#This Row],[Work package ID]])</f>
        <v>45884.0</v>
      </c>
      <c r="AB628" s="65">
        <f>IF(tblWorkPackages[[#This Row],[Completion date serial]]&gt;tblWorkPackages[[#This Row],[Due date serial]],1,0)</f>
        <v>0</v>
      </c>
      <c r="AC628" s="65">
        <f>MAX(0,tblWorkPackages[[#This Row],[Completion date serial]]-tblWorkPackages[[#This Row],[Due date serial]])</f>
        <v>0</v>
      </c>
      <c r="AD628" s="65">
        <f>tblWorkPackages[[#This Row],[First labor date]]-tblWorkPackages[[#This Row],[Request date serial]]</f>
        <v>5</v>
      </c>
      <c r="AE628" s="65">
        <f>tblWorkPackages[[#This Row],[Last labor date]]-tblWorkPackages[[#This Row],[First labor date]]</f>
        <v>1</v>
      </c>
      <c r="AF628" s="65">
        <f>tblWorkPackages[[#This Row],[Completion date serial]]-tblWorkPackages[[#This Row],[Last labor date]]</f>
        <v>2</v>
      </c>
      <c r="AG628" s="65">
        <f>tblWorkPackages[[#This Row],[Completion date serial]]-tblWorkPackages[[#This Row],[Request date serial]]</f>
        <v>8</v>
      </c>
      <c r="AH628" s="65">
        <f>IFERROR(INDEX(tblParts[Delay days],MATCH(tblWorkPackages[[#This Row],[Work package ID]],tblParts[Work package ID],0)),0)</f>
        <v>0</v>
      </c>
      <c r="AI628" s="51" t="str">
        <f>IFERROR(INDEX(tblDisruptions[Event type],MATCH(tblWorkPackages[[#This Row],[Work package ID]],tblDisruptions[Work package ID],0)),"None")</f>
        <v>None</v>
      </c>
      <c r="AJ628" s="51" t="str">
        <f>TEXT(tblWorkPackages[[#This Row],[Due date serial]],"yyyy-mm")</f>
        <v>2025-08</v>
      </c>
    </row>
    <row r="629" spans="1:36" ht="15" x14ac:dyDescent="0.25">
      <c r="A629" s="53" t="s">
        <v>1482</v>
      </c>
      <c r="B629" s="53" t="s">
        <v>173</v>
      </c>
      <c r="C629" s="53" t="s">
        <v>219</v>
      </c>
      <c r="D629" s="53" t="s">
        <v>218</v>
      </c>
      <c r="E629" s="53" t="s">
        <v>200</v>
      </c>
      <c r="F629" s="53" t="s">
        <v>128</v>
      </c>
      <c r="G629" s="53" t="s">
        <v>129</v>
      </c>
      <c r="H629" s="53">
        <v>3</v>
      </c>
      <c r="I629" s="53" t="s">
        <v>176</v>
      </c>
      <c r="J629" s="53">
        <v>1</v>
      </c>
      <c r="K629" s="53">
        <v>0</v>
      </c>
      <c r="L629" s="53">
        <v>3.7</v>
      </c>
      <c r="M629" s="53" t="s">
        <v>1429</v>
      </c>
      <c r="N629" s="53">
        <v>5.3</v>
      </c>
      <c r="O629" s="51" t="str">
        <f>TEXT(tblWorkPackages[[#This Row],[Request date serial]]-WEEKDAY(tblWorkPackages[[#This Row],[Request date serial]],3),"yyyy-mm-dd")</f>
        <v>2025-12-15</v>
      </c>
      <c r="P629" s="51">
        <f>ABS(tblWorkPackages[[#This Row],[Actual labor hours]]-tblWorkPackages[[#This Row],[Estimated labor hours]])</f>
        <v>1.6</v>
      </c>
      <c r="Q629" s="51">
        <f>IF(tblWorkPackages[[#This Row],[Actual labor hours]]&gt;tblWorkPackages[[#This Row],[Estimated labor hours]],1,0)</f>
        <v>1</v>
      </c>
      <c r="R629" s="51">
        <f>tblWorkPackages[[#This Row],[Actual labor hours]]-tblWorkPackages[[#This Row],[Estimated labor hours]]</f>
        <v>1.6</v>
      </c>
      <c r="S629" s="51" t="str">
        <f>IF(tblWorkPackages[[#This Row],[Request date serial]]&lt;ValidationStart,"Train 2024",IF(tblWorkPackages[[#This Row],[Request date serial]]&lt;HoldoutStart,"Validation H1","Holdout H2"))</f>
        <v>Holdout H2</v>
      </c>
      <c r="T629" s="51">
        <f>IF(tblWorkPackages[[#This Row],[Time split]]="Train 2024","",tblWorkPackages[[#This Row],[Estimated labor hours]]+VLOOKUP(tblWorkPackages[[#This Row],[Task type]],'Forecast validation'!$A$14:$E$25,IF(tblWorkPackages[[#This Row],[Time split]]="Validation H1",4,5),FALSE()))</f>
        <v>4.02893081761006</v>
      </c>
      <c r="U629" s="51">
        <f>IF(tblWorkPackages[[#This Row],[Calibrated forecast hours]]="","",ABS(tblWorkPackages[[#This Row],[Actual labor hours]]-tblWorkPackages[[#This Row],[Calibrated forecast hours]]))</f>
        <v>1.27106918238994</v>
      </c>
      <c r="V629" s="51">
        <f>IF(tblWorkPackages[[#This Row],[Time split]]="Train 2024",tblWorkPackages[[#This Row],[Estimated labor hours]],tblWorkPackages[[#This Row],[Calibrated forecast hours]])</f>
        <v>4.02893081761006</v>
      </c>
      <c r="W629" s="64">
        <f>DATEVALUE(tblWorkPackages[[#This Row],[Request date]])</f>
        <v>46011.0</v>
      </c>
      <c r="X629" s="64">
        <f>DATEVALUE(tblWorkPackages[[#This Row],[Due date]])</f>
        <v>46017.0</v>
      </c>
      <c r="Y629" s="64">
        <f>DATEVALUE(tblWorkPackages[[#This Row],[Completion date]])</f>
        <v>46016.0</v>
      </c>
      <c r="Z629" s="64">
        <f>_xlfn.MINIFS(tblLaborEntries[Work date serial],tblLaborEntries[Work package ID],tblWorkPackages[[#This Row],[Work package ID]])</f>
        <v>46013.0</v>
      </c>
      <c r="AA629" s="64">
        <f>_xlfn.MAXIFS(tblLaborEntries[Work date serial],tblLaborEntries[Work package ID],tblWorkPackages[[#This Row],[Work package ID]])</f>
        <v>46013.0</v>
      </c>
      <c r="AB629" s="65">
        <f>IF(tblWorkPackages[[#This Row],[Completion date serial]]&gt;tblWorkPackages[[#This Row],[Due date serial]],1,0)</f>
        <v>0</v>
      </c>
      <c r="AC629" s="65">
        <f>MAX(0,tblWorkPackages[[#This Row],[Completion date serial]]-tblWorkPackages[[#This Row],[Due date serial]])</f>
        <v>0</v>
      </c>
      <c r="AD629" s="65">
        <f>tblWorkPackages[[#This Row],[First labor date]]-tblWorkPackages[[#This Row],[Request date serial]]</f>
        <v>2</v>
      </c>
      <c r="AE629" s="65">
        <f>tblWorkPackages[[#This Row],[Last labor date]]-tblWorkPackages[[#This Row],[First labor date]]</f>
        <v>0</v>
      </c>
      <c r="AF629" s="65">
        <f>tblWorkPackages[[#This Row],[Completion date serial]]-tblWorkPackages[[#This Row],[Last labor date]]</f>
        <v>3</v>
      </c>
      <c r="AG629" s="65">
        <f>tblWorkPackages[[#This Row],[Completion date serial]]-tblWorkPackages[[#This Row],[Request date serial]]</f>
        <v>5</v>
      </c>
      <c r="AH629" s="65">
        <f>IFERROR(INDEX(tblParts[Delay days],MATCH(tblWorkPackages[[#This Row],[Work package ID]],tblParts[Work package ID],0)),0)</f>
        <v>0</v>
      </c>
      <c r="AI629" s="51" t="str">
        <f>IFERROR(INDEX(tblDisruptions[Event type],MATCH(tblWorkPackages[[#This Row],[Work package ID]],tblDisruptions[Work package ID],0)),"None")</f>
        <v>None</v>
      </c>
      <c r="AJ629" s="51" t="str">
        <f>TEXT(tblWorkPackages[[#This Row],[Due date serial]],"yyyy-mm")</f>
        <v>2025-12</v>
      </c>
    </row>
    <row r="630" spans="1:36" ht="15" x14ac:dyDescent="0.25">
      <c r="A630" s="53" t="s">
        <v>1483</v>
      </c>
      <c r="B630" s="53" t="s">
        <v>250</v>
      </c>
      <c r="C630" s="53" t="s">
        <v>1484</v>
      </c>
      <c r="D630" s="53" t="s">
        <v>376</v>
      </c>
      <c r="E630" s="53" t="s">
        <v>223</v>
      </c>
      <c r="F630" s="53" t="s">
        <v>182</v>
      </c>
      <c r="G630" s="53" t="s">
        <v>154</v>
      </c>
      <c r="H630" s="53">
        <v>4</v>
      </c>
      <c r="I630" s="53" t="s">
        <v>130</v>
      </c>
      <c r="J630" s="53">
        <v>0</v>
      </c>
      <c r="K630" s="53">
        <v>1</v>
      </c>
      <c r="L630" s="53">
        <v>25.2</v>
      </c>
      <c r="M630" s="53" t="s">
        <v>179</v>
      </c>
      <c r="N630" s="53">
        <v>37.6</v>
      </c>
      <c r="O630" s="51" t="str">
        <f>TEXT(tblWorkPackages[[#This Row],[Request date serial]]-WEEKDAY(tblWorkPackages[[#This Row],[Request date serial]],3),"yyyy-mm-dd")</f>
        <v>2025-04-14</v>
      </c>
      <c r="P630" s="51">
        <f>ABS(tblWorkPackages[[#This Row],[Actual labor hours]]-tblWorkPackages[[#This Row],[Estimated labor hours]])</f>
        <v>12.4</v>
      </c>
      <c r="Q630" s="51">
        <f>IF(tblWorkPackages[[#This Row],[Actual labor hours]]&gt;tblWorkPackages[[#This Row],[Estimated labor hours]],1,0)</f>
        <v>1</v>
      </c>
      <c r="R630" s="51">
        <f>tblWorkPackages[[#This Row],[Actual labor hours]]-tblWorkPackages[[#This Row],[Estimated labor hours]]</f>
        <v>12.4</v>
      </c>
      <c r="S630" s="51" t="str">
        <f>IF(tblWorkPackages[[#This Row],[Request date serial]]&lt;ValidationStart,"Train 2024",IF(tblWorkPackages[[#This Row],[Request date serial]]&lt;HoldoutStart,"Validation H1","Holdout H2"))</f>
        <v>Validation H1</v>
      </c>
      <c r="T630" s="51">
        <f>IF(tblWorkPackages[[#This Row],[Time split]]="Train 2024","",tblWorkPackages[[#This Row],[Estimated labor hours]]+VLOOKUP(tblWorkPackages[[#This Row],[Task type]],'Forecast validation'!$A$14:$E$25,IF(tblWorkPackages[[#This Row],[Time split]]="Validation H1",4,5),FALSE()))</f>
        <v>26.0824175824176</v>
      </c>
      <c r="U630" s="51">
        <f>IF(tblWorkPackages[[#This Row],[Calibrated forecast hours]]="","",ABS(tblWorkPackages[[#This Row],[Actual labor hours]]-tblWorkPackages[[#This Row],[Calibrated forecast hours]]))</f>
        <v>11.5175824175824</v>
      </c>
      <c r="V630" s="51">
        <f>IF(tblWorkPackages[[#This Row],[Time split]]="Train 2024",tblWorkPackages[[#This Row],[Estimated labor hours]],tblWorkPackages[[#This Row],[Calibrated forecast hours]])</f>
        <v>26.0824175824176</v>
      </c>
      <c r="W630" s="64">
        <f>DATEVALUE(tblWorkPackages[[#This Row],[Request date]])</f>
        <v>45763.0</v>
      </c>
      <c r="X630" s="64">
        <f>DATEVALUE(tblWorkPackages[[#This Row],[Due date]])</f>
        <v>45776.0</v>
      </c>
      <c r="Y630" s="64">
        <f>DATEVALUE(tblWorkPackages[[#This Row],[Completion date]])</f>
        <v>45792.0</v>
      </c>
      <c r="Z630" s="64">
        <f>_xlfn.MINIFS(tblLaborEntries[Work date serial],tblLaborEntries[Work package ID],tblWorkPackages[[#This Row],[Work package ID]])</f>
        <v>45790.0</v>
      </c>
      <c r="AA630" s="64">
        <f>_xlfn.MAXIFS(tblLaborEntries[Work date serial],tblLaborEntries[Work package ID],tblWorkPackages[[#This Row],[Work package ID]])</f>
        <v>45792.0</v>
      </c>
      <c r="AB630" s="65">
        <f>IF(tblWorkPackages[[#This Row],[Completion date serial]]&gt;tblWorkPackages[[#This Row],[Due date serial]],1,0)</f>
        <v>1</v>
      </c>
      <c r="AC630" s="65">
        <f>MAX(0,tblWorkPackages[[#This Row],[Completion date serial]]-tblWorkPackages[[#This Row],[Due date serial]])</f>
        <v>16</v>
      </c>
      <c r="AD630" s="65">
        <f>tblWorkPackages[[#This Row],[First labor date]]-tblWorkPackages[[#This Row],[Request date serial]]</f>
        <v>27</v>
      </c>
      <c r="AE630" s="65">
        <f>tblWorkPackages[[#This Row],[Last labor date]]-tblWorkPackages[[#This Row],[First labor date]]</f>
        <v>2</v>
      </c>
      <c r="AF630" s="65">
        <f>tblWorkPackages[[#This Row],[Completion date serial]]-tblWorkPackages[[#This Row],[Last labor date]]</f>
        <v>0</v>
      </c>
      <c r="AG630" s="65">
        <f>tblWorkPackages[[#This Row],[Completion date serial]]-tblWorkPackages[[#This Row],[Request date serial]]</f>
        <v>29</v>
      </c>
      <c r="AH630" s="65">
        <f>IFERROR(INDEX(tblParts[Delay days],MATCH(tblWorkPackages[[#This Row],[Work package ID]],tblParts[Work package ID],0)),0)</f>
        <v>14</v>
      </c>
      <c r="AI630" s="51" t="str">
        <f>IFERROR(INDEX(tblDisruptions[Event type],MATCH(tblWorkPackages[[#This Row],[Work package ID]],tblDisruptions[Work package ID],0)),"None")</f>
        <v>Part delay</v>
      </c>
      <c r="AJ630" s="51" t="str">
        <f>TEXT(tblWorkPackages[[#This Row],[Due date serial]],"yyyy-mm")</f>
        <v>2025-04</v>
      </c>
    </row>
    <row r="631" spans="1:36" ht="15" x14ac:dyDescent="0.25">
      <c r="A631" s="53" t="s">
        <v>1485</v>
      </c>
      <c r="B631" s="53" t="s">
        <v>124</v>
      </c>
      <c r="C631" s="53" t="s">
        <v>159</v>
      </c>
      <c r="D631" s="53" t="s">
        <v>1437</v>
      </c>
      <c r="E631" s="53" t="s">
        <v>237</v>
      </c>
      <c r="F631" s="53" t="s">
        <v>182</v>
      </c>
      <c r="G631" s="53" t="s">
        <v>138</v>
      </c>
      <c r="H631" s="53">
        <v>3</v>
      </c>
      <c r="I631" s="53" t="s">
        <v>130</v>
      </c>
      <c r="J631" s="53">
        <v>0</v>
      </c>
      <c r="K631" s="53">
        <v>0</v>
      </c>
      <c r="L631" s="53">
        <v>6.9</v>
      </c>
      <c r="M631" s="53" t="s">
        <v>268</v>
      </c>
      <c r="N631" s="53">
        <v>5.4</v>
      </c>
      <c r="O631" s="51" t="str">
        <f>TEXT(tblWorkPackages[[#This Row],[Request date serial]]-WEEKDAY(tblWorkPackages[[#This Row],[Request date serial]],3),"yyyy-mm-dd")</f>
        <v>2024-12-09</v>
      </c>
      <c r="P631" s="51">
        <f>ABS(tblWorkPackages[[#This Row],[Actual labor hours]]-tblWorkPackages[[#This Row],[Estimated labor hours]])</f>
        <v>1.5</v>
      </c>
      <c r="Q631" s="51">
        <f>IF(tblWorkPackages[[#This Row],[Actual labor hours]]&gt;tblWorkPackages[[#This Row],[Estimated labor hours]],1,0)</f>
        <v>0</v>
      </c>
      <c r="R631" s="51">
        <f>tblWorkPackages[[#This Row],[Actual labor hours]]-tblWorkPackages[[#This Row],[Estimated labor hours]]</f>
        <v>-1.5</v>
      </c>
      <c r="S631" s="51" t="str">
        <f>IF(tblWorkPackages[[#This Row],[Request date serial]]&lt;ValidationStart,"Train 2024",IF(tblWorkPackages[[#This Row],[Request date serial]]&lt;HoldoutStart,"Validation H1","Holdout H2"))</f>
        <v>Train 2024</v>
      </c>
      <c r="T631" s="51" t="str">
        <f>IF(tblWorkPackages[[#This Row],[Time split]]="Train 2024","",tblWorkPackages[[#This Row],[Estimated labor hours]]+VLOOKUP(tblWorkPackages[[#This Row],[Task type]],'Forecast validation'!$A$14:$E$25,IF(tblWorkPackages[[#This Row],[Time split]]="Validation H1",4,5),FALSE()))</f>
        <v/>
      </c>
      <c r="U631" s="51" t="str">
        <f>IF(tblWorkPackages[[#This Row],[Calibrated forecast hours]]="","",ABS(tblWorkPackages[[#This Row],[Actual labor hours]]-tblWorkPackages[[#This Row],[Calibrated forecast hours]]))</f>
        <v/>
      </c>
      <c r="V631" s="51">
        <f>IF(tblWorkPackages[[#This Row],[Time split]]="Train 2024",tblWorkPackages[[#This Row],[Estimated labor hours]],tblWorkPackages[[#This Row],[Calibrated forecast hours]])</f>
        <v>6.9</v>
      </c>
      <c r="W631" s="64">
        <f>DATEVALUE(tblWorkPackages[[#This Row],[Request date]])</f>
        <v>45640.0</v>
      </c>
      <c r="X631" s="64">
        <f>DATEVALUE(tblWorkPackages[[#This Row],[Due date]])</f>
        <v>45653.0</v>
      </c>
      <c r="Y631" s="64">
        <f>DATEVALUE(tblWorkPackages[[#This Row],[Completion date]])</f>
        <v>45644.0</v>
      </c>
      <c r="Z631" s="64">
        <f>_xlfn.MINIFS(tblLaborEntries[Work date serial],tblLaborEntries[Work package ID],tblWorkPackages[[#This Row],[Work package ID]])</f>
        <v>45643.0</v>
      </c>
      <c r="AA631" s="64">
        <f>_xlfn.MAXIFS(tblLaborEntries[Work date serial],tblLaborEntries[Work package ID],tblWorkPackages[[#This Row],[Work package ID]])</f>
        <v>45643.0</v>
      </c>
      <c r="AB631" s="65">
        <f>IF(tblWorkPackages[[#This Row],[Completion date serial]]&gt;tblWorkPackages[[#This Row],[Due date serial]],1,0)</f>
        <v>0</v>
      </c>
      <c r="AC631" s="65">
        <f>MAX(0,tblWorkPackages[[#This Row],[Completion date serial]]-tblWorkPackages[[#This Row],[Due date serial]])</f>
        <v>0</v>
      </c>
      <c r="AD631" s="65">
        <f>tblWorkPackages[[#This Row],[First labor date]]-tblWorkPackages[[#This Row],[Request date serial]]</f>
        <v>3</v>
      </c>
      <c r="AE631" s="65">
        <f>tblWorkPackages[[#This Row],[Last labor date]]-tblWorkPackages[[#This Row],[First labor date]]</f>
        <v>0</v>
      </c>
      <c r="AF631" s="65">
        <f>tblWorkPackages[[#This Row],[Completion date serial]]-tblWorkPackages[[#This Row],[Last labor date]]</f>
        <v>1</v>
      </c>
      <c r="AG631" s="65">
        <f>tblWorkPackages[[#This Row],[Completion date serial]]-tblWorkPackages[[#This Row],[Request date serial]]</f>
        <v>4</v>
      </c>
      <c r="AH631" s="65">
        <f>IFERROR(INDEX(tblParts[Delay days],MATCH(tblWorkPackages[[#This Row],[Work package ID]],tblParts[Work package ID],0)),0)</f>
        <v>0</v>
      </c>
      <c r="AI631" s="51" t="str">
        <f>IFERROR(INDEX(tblDisruptions[Event type],MATCH(tblWorkPackages[[#This Row],[Work package ID]],tblDisruptions[Work package ID],0)),"None")</f>
        <v>None</v>
      </c>
      <c r="AJ631" s="51" t="str">
        <f>TEXT(tblWorkPackages[[#This Row],[Due date serial]],"yyyy-mm")</f>
        <v>2024-12</v>
      </c>
    </row>
    <row r="632" spans="1:36" ht="15" x14ac:dyDescent="0.25">
      <c r="A632" s="53" t="s">
        <v>1486</v>
      </c>
      <c r="B632" s="53" t="s">
        <v>163</v>
      </c>
      <c r="C632" s="53" t="s">
        <v>518</v>
      </c>
      <c r="D632" s="53" t="s">
        <v>567</v>
      </c>
      <c r="E632" s="53" t="s">
        <v>200</v>
      </c>
      <c r="F632" s="53" t="s">
        <v>128</v>
      </c>
      <c r="G632" s="53" t="s">
        <v>129</v>
      </c>
      <c r="H632" s="53">
        <v>3</v>
      </c>
      <c r="I632" s="53" t="s">
        <v>176</v>
      </c>
      <c r="J632" s="53">
        <v>0</v>
      </c>
      <c r="K632" s="53">
        <v>0</v>
      </c>
      <c r="L632" s="53">
        <v>4.4000000000000004</v>
      </c>
      <c r="M632" s="53" t="s">
        <v>1156</v>
      </c>
      <c r="N632" s="53">
        <v>3.7</v>
      </c>
      <c r="O632" s="51" t="str">
        <f>TEXT(tblWorkPackages[[#This Row],[Request date serial]]-WEEKDAY(tblWorkPackages[[#This Row],[Request date serial]],3),"yyyy-mm-dd")</f>
        <v>2025-05-12</v>
      </c>
      <c r="P632" s="51">
        <f>ABS(tblWorkPackages[[#This Row],[Actual labor hours]]-tblWorkPackages[[#This Row],[Estimated labor hours]])</f>
        <v>0.7</v>
      </c>
      <c r="Q632" s="51">
        <f>IF(tblWorkPackages[[#This Row],[Actual labor hours]]&gt;tblWorkPackages[[#This Row],[Estimated labor hours]],1,0)</f>
        <v>0</v>
      </c>
      <c r="R632" s="51">
        <f>tblWorkPackages[[#This Row],[Actual labor hours]]-tblWorkPackages[[#This Row],[Estimated labor hours]]</f>
        <v>-0.7</v>
      </c>
      <c r="S632" s="51" t="str">
        <f>IF(tblWorkPackages[[#This Row],[Request date serial]]&lt;ValidationStart,"Train 2024",IF(tblWorkPackages[[#This Row],[Request date serial]]&lt;HoldoutStart,"Validation H1","Holdout H2"))</f>
        <v>Validation H1</v>
      </c>
      <c r="T632" s="51">
        <f>IF(tblWorkPackages[[#This Row],[Time split]]="Train 2024","",tblWorkPackages[[#This Row],[Estimated labor hours]]+VLOOKUP(tblWorkPackages[[#This Row],[Task type]],'Forecast validation'!$A$14:$E$25,IF(tblWorkPackages[[#This Row],[Time split]]="Validation H1",4,5),FALSE()))</f>
        <v>4.73069306930693</v>
      </c>
      <c r="U632" s="51">
        <f>IF(tblWorkPackages[[#This Row],[Calibrated forecast hours]]="","",ABS(tblWorkPackages[[#This Row],[Actual labor hours]]-tblWorkPackages[[#This Row],[Calibrated forecast hours]]))</f>
        <v>1.03069306930693</v>
      </c>
      <c r="V632" s="51">
        <f>IF(tblWorkPackages[[#This Row],[Time split]]="Train 2024",tblWorkPackages[[#This Row],[Estimated labor hours]],tblWorkPackages[[#This Row],[Calibrated forecast hours]])</f>
        <v>4.73069306930693</v>
      </c>
      <c r="W632" s="64">
        <f>DATEVALUE(tblWorkPackages[[#This Row],[Request date]])</f>
        <v>45794.0</v>
      </c>
      <c r="X632" s="64">
        <f>DATEVALUE(tblWorkPackages[[#This Row],[Due date]])</f>
        <v>45800.0</v>
      </c>
      <c r="Y632" s="64">
        <f>DATEVALUE(tblWorkPackages[[#This Row],[Completion date]])</f>
        <v>45847.0</v>
      </c>
      <c r="Z632" s="64">
        <f>_xlfn.MINIFS(tblLaborEntries[Work date serial],tblLaborEntries[Work package ID],tblWorkPackages[[#This Row],[Work package ID]])</f>
        <v>45845.0</v>
      </c>
      <c r="AA632" s="64">
        <f>_xlfn.MAXIFS(tblLaborEntries[Work date serial],tblLaborEntries[Work package ID],tblWorkPackages[[#This Row],[Work package ID]])</f>
        <v>45845.0</v>
      </c>
      <c r="AB632" s="65">
        <f>IF(tblWorkPackages[[#This Row],[Completion date serial]]&gt;tblWorkPackages[[#This Row],[Due date serial]],1,0)</f>
        <v>1</v>
      </c>
      <c r="AC632" s="65">
        <f>MAX(0,tblWorkPackages[[#This Row],[Completion date serial]]-tblWorkPackages[[#This Row],[Due date serial]])</f>
        <v>47</v>
      </c>
      <c r="AD632" s="65">
        <f>tblWorkPackages[[#This Row],[First labor date]]-tblWorkPackages[[#This Row],[Request date serial]]</f>
        <v>51</v>
      </c>
      <c r="AE632" s="65">
        <f>tblWorkPackages[[#This Row],[Last labor date]]-tblWorkPackages[[#This Row],[First labor date]]</f>
        <v>0</v>
      </c>
      <c r="AF632" s="65">
        <f>tblWorkPackages[[#This Row],[Completion date serial]]-tblWorkPackages[[#This Row],[Last labor date]]</f>
        <v>2</v>
      </c>
      <c r="AG632" s="65">
        <f>tblWorkPackages[[#This Row],[Completion date serial]]-tblWorkPackages[[#This Row],[Request date serial]]</f>
        <v>53</v>
      </c>
      <c r="AH632" s="65">
        <f>IFERROR(INDEX(tblParts[Delay days],MATCH(tblWorkPackages[[#This Row],[Work package ID]],tblParts[Work package ID],0)),0)</f>
        <v>0</v>
      </c>
      <c r="AI632" s="51" t="str">
        <f>IFERROR(INDEX(tblDisruptions[Event type],MATCH(tblWorkPackages[[#This Row],[Work package ID]],tblDisruptions[Work package ID],0)),"None")</f>
        <v>None</v>
      </c>
      <c r="AJ632" s="51" t="str">
        <f>TEXT(tblWorkPackages[[#This Row],[Due date serial]],"yyyy-mm")</f>
        <v>2025-05</v>
      </c>
    </row>
    <row r="633" spans="1:36" ht="15" x14ac:dyDescent="0.25">
      <c r="A633" s="53" t="s">
        <v>1487</v>
      </c>
      <c r="B633" s="53" t="s">
        <v>287</v>
      </c>
      <c r="C633" s="53" t="s">
        <v>413</v>
      </c>
      <c r="D633" s="53" t="s">
        <v>717</v>
      </c>
      <c r="E633" s="53" t="s">
        <v>272</v>
      </c>
      <c r="F633" s="53" t="s">
        <v>145</v>
      </c>
      <c r="G633" s="53" t="s">
        <v>273</v>
      </c>
      <c r="H633" s="53">
        <v>4</v>
      </c>
      <c r="I633" s="53" t="s">
        <v>176</v>
      </c>
      <c r="J633" s="53">
        <v>0</v>
      </c>
      <c r="K633" s="53">
        <v>0</v>
      </c>
      <c r="L633" s="53">
        <v>23.7</v>
      </c>
      <c r="M633" s="53" t="s">
        <v>900</v>
      </c>
      <c r="N633" s="53">
        <v>20.6</v>
      </c>
      <c r="O633" s="51" t="str">
        <f>TEXT(tblWorkPackages[[#This Row],[Request date serial]]-WEEKDAY(tblWorkPackages[[#This Row],[Request date serial]],3),"yyyy-mm-dd")</f>
        <v>2025-02-24</v>
      </c>
      <c r="P633" s="51">
        <f>ABS(tblWorkPackages[[#This Row],[Actual labor hours]]-tblWorkPackages[[#This Row],[Estimated labor hours]])</f>
        <v>3.1</v>
      </c>
      <c r="Q633" s="51">
        <f>IF(tblWorkPackages[[#This Row],[Actual labor hours]]&gt;tblWorkPackages[[#This Row],[Estimated labor hours]],1,0)</f>
        <v>0</v>
      </c>
      <c r="R633" s="51">
        <f>tblWorkPackages[[#This Row],[Actual labor hours]]-tblWorkPackages[[#This Row],[Estimated labor hours]]</f>
        <v>-3.1</v>
      </c>
      <c r="S633" s="51" t="str">
        <f>IF(tblWorkPackages[[#This Row],[Request date serial]]&lt;ValidationStart,"Train 2024",IF(tblWorkPackages[[#This Row],[Request date serial]]&lt;HoldoutStart,"Validation H1","Holdout H2"))</f>
        <v>Validation H1</v>
      </c>
      <c r="T633" s="51">
        <f>IF(tblWorkPackages[[#This Row],[Time split]]="Train 2024","",tblWorkPackages[[#This Row],[Estimated labor hours]]+VLOOKUP(tblWorkPackages[[#This Row],[Task type]],'Forecast validation'!$A$14:$E$25,IF(tblWorkPackages[[#This Row],[Time split]]="Validation H1",4,5),FALSE()))</f>
        <v>24.7320512820513</v>
      </c>
      <c r="U633" s="51">
        <f>IF(tblWorkPackages[[#This Row],[Calibrated forecast hours]]="","",ABS(tblWorkPackages[[#This Row],[Actual labor hours]]-tblWorkPackages[[#This Row],[Calibrated forecast hours]]))</f>
        <v>4.13205128205128</v>
      </c>
      <c r="V633" s="51">
        <f>IF(tblWorkPackages[[#This Row],[Time split]]="Train 2024",tblWorkPackages[[#This Row],[Estimated labor hours]],tblWorkPackages[[#This Row],[Calibrated forecast hours]])</f>
        <v>24.7320512820513</v>
      </c>
      <c r="W633" s="64">
        <f>DATEVALUE(tblWorkPackages[[#This Row],[Request date]])</f>
        <v>45717.0</v>
      </c>
      <c r="X633" s="64">
        <f>DATEVALUE(tblWorkPackages[[#This Row],[Due date]])</f>
        <v>45723.0</v>
      </c>
      <c r="Y633" s="64">
        <f>DATEVALUE(tblWorkPackages[[#This Row],[Completion date]])</f>
        <v>45728.0</v>
      </c>
      <c r="Z633" s="64">
        <f>_xlfn.MINIFS(tblLaborEntries[Work date serial],tblLaborEntries[Work package ID],tblWorkPackages[[#This Row],[Work package ID]])</f>
        <v>45725.0</v>
      </c>
      <c r="AA633" s="64">
        <f>_xlfn.MAXIFS(tblLaborEntries[Work date serial],tblLaborEntries[Work package ID],tblWorkPackages[[#This Row],[Work package ID]])</f>
        <v>45725.0</v>
      </c>
      <c r="AB633" s="65">
        <f>IF(tblWorkPackages[[#This Row],[Completion date serial]]&gt;tblWorkPackages[[#This Row],[Due date serial]],1,0)</f>
        <v>1</v>
      </c>
      <c r="AC633" s="65">
        <f>MAX(0,tblWorkPackages[[#This Row],[Completion date serial]]-tblWorkPackages[[#This Row],[Due date serial]])</f>
        <v>5</v>
      </c>
      <c r="AD633" s="65">
        <f>tblWorkPackages[[#This Row],[First labor date]]-tblWorkPackages[[#This Row],[Request date serial]]</f>
        <v>8</v>
      </c>
      <c r="AE633" s="65">
        <f>tblWorkPackages[[#This Row],[Last labor date]]-tblWorkPackages[[#This Row],[First labor date]]</f>
        <v>0</v>
      </c>
      <c r="AF633" s="65">
        <f>tblWorkPackages[[#This Row],[Completion date serial]]-tblWorkPackages[[#This Row],[Last labor date]]</f>
        <v>3</v>
      </c>
      <c r="AG633" s="65">
        <f>tblWorkPackages[[#This Row],[Completion date serial]]-tblWorkPackages[[#This Row],[Request date serial]]</f>
        <v>11</v>
      </c>
      <c r="AH633" s="65">
        <f>IFERROR(INDEX(tblParts[Delay days],MATCH(tblWorkPackages[[#This Row],[Work package ID]],tblParts[Work package ID],0)),0)</f>
        <v>0</v>
      </c>
      <c r="AI633" s="51" t="str">
        <f>IFERROR(INDEX(tblDisruptions[Event type],MATCH(tblWorkPackages[[#This Row],[Work package ID]],tblDisruptions[Work package ID],0)),"None")</f>
        <v>None</v>
      </c>
      <c r="AJ633" s="51" t="str">
        <f>TEXT(tblWorkPackages[[#This Row],[Due date serial]],"yyyy-mm")</f>
        <v>2025-03</v>
      </c>
    </row>
    <row r="634" spans="1:36" ht="15" x14ac:dyDescent="0.25">
      <c r="A634" s="53" t="s">
        <v>1488</v>
      </c>
      <c r="B634" s="53" t="s">
        <v>141</v>
      </c>
      <c r="C634" s="53" t="s">
        <v>942</v>
      </c>
      <c r="D634" s="53" t="s">
        <v>978</v>
      </c>
      <c r="E634" s="53" t="s">
        <v>136</v>
      </c>
      <c r="F634" s="53" t="s">
        <v>137</v>
      </c>
      <c r="G634" s="53" t="s">
        <v>138</v>
      </c>
      <c r="H634" s="53">
        <v>3</v>
      </c>
      <c r="I634" s="53" t="s">
        <v>130</v>
      </c>
      <c r="J634" s="53">
        <v>0</v>
      </c>
      <c r="K634" s="53">
        <v>1</v>
      </c>
      <c r="L634" s="53">
        <v>16.899999999999999</v>
      </c>
      <c r="M634" s="53" t="s">
        <v>331</v>
      </c>
      <c r="N634" s="53">
        <v>13.6</v>
      </c>
      <c r="O634" s="51" t="str">
        <f>TEXT(tblWorkPackages[[#This Row],[Request date serial]]-WEEKDAY(tblWorkPackages[[#This Row],[Request date serial]],3),"yyyy-mm-dd")</f>
        <v>2025-10-13</v>
      </c>
      <c r="P634" s="51">
        <f>ABS(tblWorkPackages[[#This Row],[Actual labor hours]]-tblWorkPackages[[#This Row],[Estimated labor hours]])</f>
        <v>3.3</v>
      </c>
      <c r="Q634" s="51">
        <f>IF(tblWorkPackages[[#This Row],[Actual labor hours]]&gt;tblWorkPackages[[#This Row],[Estimated labor hours]],1,0)</f>
        <v>0</v>
      </c>
      <c r="R634" s="51">
        <f>tblWorkPackages[[#This Row],[Actual labor hours]]-tblWorkPackages[[#This Row],[Estimated labor hours]]</f>
        <v>-3.3</v>
      </c>
      <c r="S634" s="51" t="str">
        <f>IF(tblWorkPackages[[#This Row],[Request date serial]]&lt;ValidationStart,"Train 2024",IF(tblWorkPackages[[#This Row],[Request date serial]]&lt;HoldoutStart,"Validation H1","Holdout H2"))</f>
        <v>Holdout H2</v>
      </c>
      <c r="T634" s="51">
        <f>IF(tblWorkPackages[[#This Row],[Time split]]="Train 2024","",tblWorkPackages[[#This Row],[Estimated labor hours]]+VLOOKUP(tblWorkPackages[[#This Row],[Task type]],'Forecast validation'!$A$14:$E$25,IF(tblWorkPackages[[#This Row],[Time split]]="Validation H1",4,5),FALSE()))</f>
        <v>17.8207547169811</v>
      </c>
      <c r="U634" s="51">
        <f>IF(tblWorkPackages[[#This Row],[Calibrated forecast hours]]="","",ABS(tblWorkPackages[[#This Row],[Actual labor hours]]-tblWorkPackages[[#This Row],[Calibrated forecast hours]]))</f>
        <v>4.22075471698113</v>
      </c>
      <c r="V634" s="51">
        <f>IF(tblWorkPackages[[#This Row],[Time split]]="Train 2024",tblWorkPackages[[#This Row],[Estimated labor hours]],tblWorkPackages[[#This Row],[Calibrated forecast hours]])</f>
        <v>17.8207547169811</v>
      </c>
      <c r="W634" s="64">
        <f>DATEVALUE(tblWorkPackages[[#This Row],[Request date]])</f>
        <v>45946.0</v>
      </c>
      <c r="X634" s="64">
        <f>DATEVALUE(tblWorkPackages[[#This Row],[Due date]])</f>
        <v>45959.0</v>
      </c>
      <c r="Y634" s="64">
        <f>DATEVALUE(tblWorkPackages[[#This Row],[Completion date]])</f>
        <v>45949.0</v>
      </c>
      <c r="Z634" s="64">
        <f>_xlfn.MINIFS(tblLaborEntries[Work date serial],tblLaborEntries[Work package ID],tblWorkPackages[[#This Row],[Work package ID]])</f>
        <v>45948.0</v>
      </c>
      <c r="AA634" s="64">
        <f>_xlfn.MAXIFS(tblLaborEntries[Work date serial],tblLaborEntries[Work package ID],tblWorkPackages[[#This Row],[Work package ID]])</f>
        <v>45949.0</v>
      </c>
      <c r="AB634" s="65">
        <f>IF(tblWorkPackages[[#This Row],[Completion date serial]]&gt;tblWorkPackages[[#This Row],[Due date serial]],1,0)</f>
        <v>0</v>
      </c>
      <c r="AC634" s="65">
        <f>MAX(0,tblWorkPackages[[#This Row],[Completion date serial]]-tblWorkPackages[[#This Row],[Due date serial]])</f>
        <v>0</v>
      </c>
      <c r="AD634" s="65">
        <f>tblWorkPackages[[#This Row],[First labor date]]-tblWorkPackages[[#This Row],[Request date serial]]</f>
        <v>2</v>
      </c>
      <c r="AE634" s="65">
        <f>tblWorkPackages[[#This Row],[Last labor date]]-tblWorkPackages[[#This Row],[First labor date]]</f>
        <v>1</v>
      </c>
      <c r="AF634" s="65">
        <f>tblWorkPackages[[#This Row],[Completion date serial]]-tblWorkPackages[[#This Row],[Last labor date]]</f>
        <v>0</v>
      </c>
      <c r="AG634" s="65">
        <f>tblWorkPackages[[#This Row],[Completion date serial]]-tblWorkPackages[[#This Row],[Request date serial]]</f>
        <v>3</v>
      </c>
      <c r="AH634" s="65">
        <f>IFERROR(INDEX(tblParts[Delay days],MATCH(tblWorkPackages[[#This Row],[Work package ID]],tblParts[Work package ID],0)),0)</f>
        <v>0</v>
      </c>
      <c r="AI634" s="51" t="str">
        <f>IFERROR(INDEX(tblDisruptions[Event type],MATCH(tblWorkPackages[[#This Row],[Work package ID]],tblDisruptions[Work package ID],0)),"None")</f>
        <v>None</v>
      </c>
      <c r="AJ634" s="51" t="str">
        <f>TEXT(tblWorkPackages[[#This Row],[Due date serial]],"yyyy-mm")</f>
        <v>2025-10</v>
      </c>
    </row>
    <row r="635" spans="1:36" ht="15" x14ac:dyDescent="0.25">
      <c r="A635" s="53" t="s">
        <v>1489</v>
      </c>
      <c r="B635" s="53" t="s">
        <v>203</v>
      </c>
      <c r="C635" s="53" t="s">
        <v>158</v>
      </c>
      <c r="D635" s="53" t="s">
        <v>159</v>
      </c>
      <c r="E635" s="53" t="s">
        <v>136</v>
      </c>
      <c r="F635" s="53" t="s">
        <v>137</v>
      </c>
      <c r="G635" s="53" t="s">
        <v>138</v>
      </c>
      <c r="H635" s="53">
        <v>3</v>
      </c>
      <c r="I635" s="53" t="s">
        <v>130</v>
      </c>
      <c r="J635" s="53">
        <v>0</v>
      </c>
      <c r="K635" s="53">
        <v>0</v>
      </c>
      <c r="L635" s="53">
        <v>16.899999999999999</v>
      </c>
      <c r="M635" s="53" t="s">
        <v>224</v>
      </c>
      <c r="N635" s="53">
        <v>21.5</v>
      </c>
      <c r="O635" s="51" t="str">
        <f>TEXT(tblWorkPackages[[#This Row],[Request date serial]]-WEEKDAY(tblWorkPackages[[#This Row],[Request date serial]],3),"yyyy-mm-dd")</f>
        <v>2024-11-25</v>
      </c>
      <c r="P635" s="51">
        <f>ABS(tblWorkPackages[[#This Row],[Actual labor hours]]-tblWorkPackages[[#This Row],[Estimated labor hours]])</f>
        <v>4.6</v>
      </c>
      <c r="Q635" s="51">
        <f>IF(tblWorkPackages[[#This Row],[Actual labor hours]]&gt;tblWorkPackages[[#This Row],[Estimated labor hours]],1,0)</f>
        <v>1</v>
      </c>
      <c r="R635" s="51">
        <f>tblWorkPackages[[#This Row],[Actual labor hours]]-tblWorkPackages[[#This Row],[Estimated labor hours]]</f>
        <v>4.6</v>
      </c>
      <c r="S635" s="51" t="str">
        <f>IF(tblWorkPackages[[#This Row],[Request date serial]]&lt;ValidationStart,"Train 2024",IF(tblWorkPackages[[#This Row],[Request date serial]]&lt;HoldoutStart,"Validation H1","Holdout H2"))</f>
        <v>Train 2024</v>
      </c>
      <c r="T635" s="51" t="str">
        <f>IF(tblWorkPackages[[#This Row],[Time split]]="Train 2024","",tblWorkPackages[[#This Row],[Estimated labor hours]]+VLOOKUP(tblWorkPackages[[#This Row],[Task type]],'Forecast validation'!$A$14:$E$25,IF(tblWorkPackages[[#This Row],[Time split]]="Validation H1",4,5),FALSE()))</f>
        <v/>
      </c>
      <c r="U635" s="51" t="str">
        <f>IF(tblWorkPackages[[#This Row],[Calibrated forecast hours]]="","",ABS(tblWorkPackages[[#This Row],[Actual labor hours]]-tblWorkPackages[[#This Row],[Calibrated forecast hours]]))</f>
        <v/>
      </c>
      <c r="V635" s="51">
        <f>IF(tblWorkPackages[[#This Row],[Time split]]="Train 2024",tblWorkPackages[[#This Row],[Estimated labor hours]],tblWorkPackages[[#This Row],[Calibrated forecast hours]])</f>
        <v>16.9</v>
      </c>
      <c r="W635" s="64">
        <f>DATEVALUE(tblWorkPackages[[#This Row],[Request date]])</f>
        <v>45627.0</v>
      </c>
      <c r="X635" s="64">
        <f>DATEVALUE(tblWorkPackages[[#This Row],[Due date]])</f>
        <v>45640.0</v>
      </c>
      <c r="Y635" s="64">
        <f>DATEVALUE(tblWorkPackages[[#This Row],[Completion date]])</f>
        <v>45648.0</v>
      </c>
      <c r="Z635" s="64">
        <f>_xlfn.MINIFS(tblLaborEntries[Work date serial],tblLaborEntries[Work package ID],tblWorkPackages[[#This Row],[Work package ID]])</f>
        <v>45647.0</v>
      </c>
      <c r="AA635" s="64">
        <f>_xlfn.MAXIFS(tblLaborEntries[Work date serial],tblLaborEntries[Work package ID],tblWorkPackages[[#This Row],[Work package ID]])</f>
        <v>45647.0</v>
      </c>
      <c r="AB635" s="65">
        <f>IF(tblWorkPackages[[#This Row],[Completion date serial]]&gt;tblWorkPackages[[#This Row],[Due date serial]],1,0)</f>
        <v>1</v>
      </c>
      <c r="AC635" s="65">
        <f>MAX(0,tblWorkPackages[[#This Row],[Completion date serial]]-tblWorkPackages[[#This Row],[Due date serial]])</f>
        <v>8</v>
      </c>
      <c r="AD635" s="65">
        <f>tblWorkPackages[[#This Row],[First labor date]]-tblWorkPackages[[#This Row],[Request date serial]]</f>
        <v>20</v>
      </c>
      <c r="AE635" s="65">
        <f>tblWorkPackages[[#This Row],[Last labor date]]-tblWorkPackages[[#This Row],[First labor date]]</f>
        <v>0</v>
      </c>
      <c r="AF635" s="65">
        <f>tblWorkPackages[[#This Row],[Completion date serial]]-tblWorkPackages[[#This Row],[Last labor date]]</f>
        <v>1</v>
      </c>
      <c r="AG635" s="65">
        <f>tblWorkPackages[[#This Row],[Completion date serial]]-tblWorkPackages[[#This Row],[Request date serial]]</f>
        <v>21</v>
      </c>
      <c r="AH635" s="65">
        <f>IFERROR(INDEX(tblParts[Delay days],MATCH(tblWorkPackages[[#This Row],[Work package ID]],tblParts[Work package ID],0)),0)</f>
        <v>0</v>
      </c>
      <c r="AI635" s="51" t="str">
        <f>IFERROR(INDEX(tblDisruptions[Event type],MATCH(tblWorkPackages[[#This Row],[Work package ID]],tblDisruptions[Work package ID],0)),"None")</f>
        <v>None</v>
      </c>
      <c r="AJ635" s="51" t="str">
        <f>TEXT(tblWorkPackages[[#This Row],[Due date serial]],"yyyy-mm")</f>
        <v>2024-12</v>
      </c>
    </row>
    <row r="636" spans="1:36" ht="15" x14ac:dyDescent="0.25">
      <c r="A636" s="53" t="s">
        <v>1490</v>
      </c>
      <c r="B636" s="53" t="s">
        <v>173</v>
      </c>
      <c r="C636" s="53" t="s">
        <v>151</v>
      </c>
      <c r="D636" s="53" t="s">
        <v>1439</v>
      </c>
      <c r="E636" s="53" t="s">
        <v>272</v>
      </c>
      <c r="F636" s="53" t="s">
        <v>145</v>
      </c>
      <c r="G636" s="53" t="s">
        <v>273</v>
      </c>
      <c r="H636" s="53">
        <v>4</v>
      </c>
      <c r="I636" s="53" t="s">
        <v>130</v>
      </c>
      <c r="J636" s="53">
        <v>1</v>
      </c>
      <c r="K636" s="53">
        <v>1</v>
      </c>
      <c r="L636" s="53">
        <v>18.899999999999999</v>
      </c>
      <c r="M636" s="53" t="s">
        <v>155</v>
      </c>
      <c r="N636" s="53">
        <v>27.6</v>
      </c>
      <c r="O636" s="51" t="str">
        <f>TEXT(tblWorkPackages[[#This Row],[Request date serial]]-WEEKDAY(tblWorkPackages[[#This Row],[Request date serial]],3),"yyyy-mm-dd")</f>
        <v>2024-08-19</v>
      </c>
      <c r="P636" s="51">
        <f>ABS(tblWorkPackages[[#This Row],[Actual labor hours]]-tblWorkPackages[[#This Row],[Estimated labor hours]])</f>
        <v>8.7</v>
      </c>
      <c r="Q636" s="51">
        <f>IF(tblWorkPackages[[#This Row],[Actual labor hours]]&gt;tblWorkPackages[[#This Row],[Estimated labor hours]],1,0)</f>
        <v>1</v>
      </c>
      <c r="R636" s="51">
        <f>tblWorkPackages[[#This Row],[Actual labor hours]]-tblWorkPackages[[#This Row],[Estimated labor hours]]</f>
        <v>8.7</v>
      </c>
      <c r="S636" s="51" t="str">
        <f>IF(tblWorkPackages[[#This Row],[Request date serial]]&lt;ValidationStart,"Train 2024",IF(tblWorkPackages[[#This Row],[Request date serial]]&lt;HoldoutStart,"Validation H1","Holdout H2"))</f>
        <v>Train 2024</v>
      </c>
      <c r="T636" s="51" t="str">
        <f>IF(tblWorkPackages[[#This Row],[Time split]]="Train 2024","",tblWorkPackages[[#This Row],[Estimated labor hours]]+VLOOKUP(tblWorkPackages[[#This Row],[Task type]],'Forecast validation'!$A$14:$E$25,IF(tblWorkPackages[[#This Row],[Time split]]="Validation H1",4,5),FALSE()))</f>
        <v/>
      </c>
      <c r="U636" s="51" t="str">
        <f>IF(tblWorkPackages[[#This Row],[Calibrated forecast hours]]="","",ABS(tblWorkPackages[[#This Row],[Actual labor hours]]-tblWorkPackages[[#This Row],[Calibrated forecast hours]]))</f>
        <v/>
      </c>
      <c r="V636" s="51">
        <f>IF(tblWorkPackages[[#This Row],[Time split]]="Train 2024",tblWorkPackages[[#This Row],[Estimated labor hours]],tblWorkPackages[[#This Row],[Calibrated forecast hours]])</f>
        <v>18.9</v>
      </c>
      <c r="W636" s="64">
        <f>DATEVALUE(tblWorkPackages[[#This Row],[Request date]])</f>
        <v>45527.0</v>
      </c>
      <c r="X636" s="64">
        <f>DATEVALUE(tblWorkPackages[[#This Row],[Due date]])</f>
        <v>45540.0</v>
      </c>
      <c r="Y636" s="64">
        <f>DATEVALUE(tblWorkPackages[[#This Row],[Completion date]])</f>
        <v>45535.0</v>
      </c>
      <c r="Z636" s="64">
        <f>_xlfn.MINIFS(tblLaborEntries[Work date serial],tblLaborEntries[Work package ID],tblWorkPackages[[#This Row],[Work package ID]])</f>
        <v>45531.0</v>
      </c>
      <c r="AA636" s="64">
        <f>_xlfn.MAXIFS(tblLaborEntries[Work date serial],tblLaborEntries[Work package ID],tblWorkPackages[[#This Row],[Work package ID]])</f>
        <v>45533.0</v>
      </c>
      <c r="AB636" s="65">
        <f>IF(tblWorkPackages[[#This Row],[Completion date serial]]&gt;tblWorkPackages[[#This Row],[Due date serial]],1,0)</f>
        <v>0</v>
      </c>
      <c r="AC636" s="65">
        <f>MAX(0,tblWorkPackages[[#This Row],[Completion date serial]]-tblWorkPackages[[#This Row],[Due date serial]])</f>
        <v>0</v>
      </c>
      <c r="AD636" s="65">
        <f>tblWorkPackages[[#This Row],[First labor date]]-tblWorkPackages[[#This Row],[Request date serial]]</f>
        <v>4</v>
      </c>
      <c r="AE636" s="65">
        <f>tblWorkPackages[[#This Row],[Last labor date]]-tblWorkPackages[[#This Row],[First labor date]]</f>
        <v>2</v>
      </c>
      <c r="AF636" s="65">
        <f>tblWorkPackages[[#This Row],[Completion date serial]]-tblWorkPackages[[#This Row],[Last labor date]]</f>
        <v>2</v>
      </c>
      <c r="AG636" s="65">
        <f>tblWorkPackages[[#This Row],[Completion date serial]]-tblWorkPackages[[#This Row],[Request date serial]]</f>
        <v>8</v>
      </c>
      <c r="AH636" s="65">
        <f>IFERROR(INDEX(tblParts[Delay days],MATCH(tblWorkPackages[[#This Row],[Work package ID]],tblParts[Work package ID],0)),0)</f>
        <v>0</v>
      </c>
      <c r="AI636" s="51" t="str">
        <f>IFERROR(INDEX(tblDisruptions[Event type],MATCH(tblWorkPackages[[#This Row],[Work package ID]],tblDisruptions[Work package ID],0)),"None")</f>
        <v>None</v>
      </c>
      <c r="AJ636" s="51" t="str">
        <f>TEXT(tblWorkPackages[[#This Row],[Due date serial]],"yyyy-mm")</f>
        <v>2024-09</v>
      </c>
    </row>
    <row r="637" spans="1:36" ht="15" x14ac:dyDescent="0.25">
      <c r="A637" s="53" t="s">
        <v>1491</v>
      </c>
      <c r="B637" s="53" t="s">
        <v>287</v>
      </c>
      <c r="C637" s="53" t="s">
        <v>791</v>
      </c>
      <c r="D637" s="53" t="s">
        <v>625</v>
      </c>
      <c r="E637" s="53" t="s">
        <v>272</v>
      </c>
      <c r="F637" s="53" t="s">
        <v>145</v>
      </c>
      <c r="G637" s="53" t="s">
        <v>273</v>
      </c>
      <c r="H637" s="53">
        <v>1</v>
      </c>
      <c r="I637" s="53" t="s">
        <v>147</v>
      </c>
      <c r="J637" s="53">
        <v>0</v>
      </c>
      <c r="K637" s="53">
        <v>0</v>
      </c>
      <c r="L637" s="53">
        <v>6.9</v>
      </c>
      <c r="M637" s="53" t="s">
        <v>1158</v>
      </c>
      <c r="N637" s="53">
        <v>6.5</v>
      </c>
      <c r="O637" s="51" t="str">
        <f>TEXT(tblWorkPackages[[#This Row],[Request date serial]]-WEEKDAY(tblWorkPackages[[#This Row],[Request date serial]],3),"yyyy-mm-dd")</f>
        <v>2025-09-22</v>
      </c>
      <c r="P637" s="51">
        <f>ABS(tblWorkPackages[[#This Row],[Actual labor hours]]-tblWorkPackages[[#This Row],[Estimated labor hours]])</f>
        <v>0.4</v>
      </c>
      <c r="Q637" s="51">
        <f>IF(tblWorkPackages[[#This Row],[Actual labor hours]]&gt;tblWorkPackages[[#This Row],[Estimated labor hours]],1,0)</f>
        <v>0</v>
      </c>
      <c r="R637" s="51">
        <f>tblWorkPackages[[#This Row],[Actual labor hours]]-tblWorkPackages[[#This Row],[Estimated labor hours]]</f>
        <v>-0.4</v>
      </c>
      <c r="S637" s="51" t="str">
        <f>IF(tblWorkPackages[[#This Row],[Request date serial]]&lt;ValidationStart,"Train 2024",IF(tblWorkPackages[[#This Row],[Request date serial]]&lt;HoldoutStart,"Validation H1","Holdout H2"))</f>
        <v>Holdout H2</v>
      </c>
      <c r="T637" s="51">
        <f>IF(tblWorkPackages[[#This Row],[Time split]]="Train 2024","",tblWorkPackages[[#This Row],[Estimated labor hours]]+VLOOKUP(tblWorkPackages[[#This Row],[Task type]],'Forecast validation'!$A$14:$E$25,IF(tblWorkPackages[[#This Row],[Time split]]="Validation H1",4,5),FALSE()))</f>
        <v>7.88515625</v>
      </c>
      <c r="U637" s="51">
        <f>IF(tblWorkPackages[[#This Row],[Calibrated forecast hours]]="","",ABS(tblWorkPackages[[#This Row],[Actual labor hours]]-tblWorkPackages[[#This Row],[Calibrated forecast hours]]))</f>
        <v>1.38515625</v>
      </c>
      <c r="V637" s="51">
        <f>IF(tblWorkPackages[[#This Row],[Time split]]="Train 2024",tblWorkPackages[[#This Row],[Estimated labor hours]],tblWorkPackages[[#This Row],[Calibrated forecast hours]])</f>
        <v>7.88515625</v>
      </c>
      <c r="W637" s="64">
        <f>DATEVALUE(tblWorkPackages[[#This Row],[Request date]])</f>
        <v>45922.0</v>
      </c>
      <c r="X637" s="64">
        <f>DATEVALUE(tblWorkPackages[[#This Row],[Due date]])</f>
        <v>45924.0</v>
      </c>
      <c r="Y637" s="64">
        <f>DATEVALUE(tblWorkPackages[[#This Row],[Completion date]])</f>
        <v>45927.0</v>
      </c>
      <c r="Z637" s="64">
        <f>_xlfn.MINIFS(tblLaborEntries[Work date serial],tblLaborEntries[Work package ID],tblWorkPackages[[#This Row],[Work package ID]])</f>
        <v>45923.0</v>
      </c>
      <c r="AA637" s="64">
        <f>_xlfn.MAXIFS(tblLaborEntries[Work date serial],tblLaborEntries[Work package ID],tblWorkPackages[[#This Row],[Work package ID]])</f>
        <v>45924.0</v>
      </c>
      <c r="AB637" s="65">
        <f>IF(tblWorkPackages[[#This Row],[Completion date serial]]&gt;tblWorkPackages[[#This Row],[Due date serial]],1,0)</f>
        <v>1</v>
      </c>
      <c r="AC637" s="65">
        <f>MAX(0,tblWorkPackages[[#This Row],[Completion date serial]]-tblWorkPackages[[#This Row],[Due date serial]])</f>
        <v>3</v>
      </c>
      <c r="AD637" s="65">
        <f>tblWorkPackages[[#This Row],[First labor date]]-tblWorkPackages[[#This Row],[Request date serial]]</f>
        <v>1</v>
      </c>
      <c r="AE637" s="65">
        <f>tblWorkPackages[[#This Row],[Last labor date]]-tblWorkPackages[[#This Row],[First labor date]]</f>
        <v>1</v>
      </c>
      <c r="AF637" s="65">
        <f>tblWorkPackages[[#This Row],[Completion date serial]]-tblWorkPackages[[#This Row],[Last labor date]]</f>
        <v>3</v>
      </c>
      <c r="AG637" s="65">
        <f>tblWorkPackages[[#This Row],[Completion date serial]]-tblWorkPackages[[#This Row],[Request date serial]]</f>
        <v>5</v>
      </c>
      <c r="AH637" s="65">
        <f>IFERROR(INDEX(tblParts[Delay days],MATCH(tblWorkPackages[[#This Row],[Work package ID]],tblParts[Work package ID],0)),0)</f>
        <v>0</v>
      </c>
      <c r="AI637" s="51" t="str">
        <f>IFERROR(INDEX(tblDisruptions[Event type],MATCH(tblWorkPackages[[#This Row],[Work package ID]],tblDisruptions[Work package ID],0)),"None")</f>
        <v>None</v>
      </c>
      <c r="AJ637" s="51" t="str">
        <f>TEXT(tblWorkPackages[[#This Row],[Due date serial]],"yyyy-mm")</f>
        <v>2025-09</v>
      </c>
    </row>
    <row r="638" spans="1:36" ht="15" x14ac:dyDescent="0.25">
      <c r="A638" s="53" t="s">
        <v>1492</v>
      </c>
      <c r="B638" s="53" t="s">
        <v>163</v>
      </c>
      <c r="C638" s="53" t="s">
        <v>228</v>
      </c>
      <c r="D638" s="53" t="s">
        <v>583</v>
      </c>
      <c r="E638" s="53" t="s">
        <v>200</v>
      </c>
      <c r="F638" s="53" t="s">
        <v>128</v>
      </c>
      <c r="G638" s="53" t="s">
        <v>129</v>
      </c>
      <c r="H638" s="53">
        <v>1</v>
      </c>
      <c r="I638" s="53" t="s">
        <v>130</v>
      </c>
      <c r="J638" s="53">
        <v>0</v>
      </c>
      <c r="K638" s="53">
        <v>0</v>
      </c>
      <c r="L638" s="53">
        <v>1.8</v>
      </c>
      <c r="M638" s="53" t="s">
        <v>190</v>
      </c>
      <c r="N638" s="53">
        <v>2.7</v>
      </c>
      <c r="O638" s="51" t="str">
        <f>TEXT(tblWorkPackages[[#This Row],[Request date serial]]-WEEKDAY(tblWorkPackages[[#This Row],[Request date serial]],3),"yyyy-mm-dd")</f>
        <v>2025-07-28</v>
      </c>
      <c r="P638" s="51">
        <f>ABS(tblWorkPackages[[#This Row],[Actual labor hours]]-tblWorkPackages[[#This Row],[Estimated labor hours]])</f>
        <v>0.9</v>
      </c>
      <c r="Q638" s="51">
        <f>IF(tblWorkPackages[[#This Row],[Actual labor hours]]&gt;tblWorkPackages[[#This Row],[Estimated labor hours]],1,0)</f>
        <v>1</v>
      </c>
      <c r="R638" s="51">
        <f>tblWorkPackages[[#This Row],[Actual labor hours]]-tblWorkPackages[[#This Row],[Estimated labor hours]]</f>
        <v>0.9</v>
      </c>
      <c r="S638" s="51" t="str">
        <f>IF(tblWorkPackages[[#This Row],[Request date serial]]&lt;ValidationStart,"Train 2024",IF(tblWorkPackages[[#This Row],[Request date serial]]&lt;HoldoutStart,"Validation H1","Holdout H2"))</f>
        <v>Holdout H2</v>
      </c>
      <c r="T638" s="51">
        <f>IF(tblWorkPackages[[#This Row],[Time split]]="Train 2024","",tblWorkPackages[[#This Row],[Estimated labor hours]]+VLOOKUP(tblWorkPackages[[#This Row],[Task type]],'Forecast validation'!$A$14:$E$25,IF(tblWorkPackages[[#This Row],[Time split]]="Validation H1",4,5),FALSE()))</f>
        <v>2.12893081761006</v>
      </c>
      <c r="U638" s="51">
        <f>IF(tblWorkPackages[[#This Row],[Calibrated forecast hours]]="","",ABS(tblWorkPackages[[#This Row],[Actual labor hours]]-tblWorkPackages[[#This Row],[Calibrated forecast hours]]))</f>
        <v>0.571069182389937</v>
      </c>
      <c r="V638" s="51">
        <f>IF(tblWorkPackages[[#This Row],[Time split]]="Train 2024",tblWorkPackages[[#This Row],[Estimated labor hours]],tblWorkPackages[[#This Row],[Calibrated forecast hours]])</f>
        <v>2.12893081761006</v>
      </c>
      <c r="W638" s="64">
        <f>DATEVALUE(tblWorkPackages[[#This Row],[Request date]])</f>
        <v>45872.0</v>
      </c>
      <c r="X638" s="64">
        <f>DATEVALUE(tblWorkPackages[[#This Row],[Due date]])</f>
        <v>45885.0</v>
      </c>
      <c r="Y638" s="64">
        <f>DATEVALUE(tblWorkPackages[[#This Row],[Completion date]])</f>
        <v>45883.0</v>
      </c>
      <c r="Z638" s="64">
        <f>_xlfn.MINIFS(tblLaborEntries[Work date serial],tblLaborEntries[Work package ID],tblWorkPackages[[#This Row],[Work package ID]])</f>
        <v>45883.0</v>
      </c>
      <c r="AA638" s="64">
        <f>_xlfn.MAXIFS(tblLaborEntries[Work date serial],tblLaborEntries[Work package ID],tblWorkPackages[[#This Row],[Work package ID]])</f>
        <v>45883.0</v>
      </c>
      <c r="AB638" s="65">
        <f>IF(tblWorkPackages[[#This Row],[Completion date serial]]&gt;tblWorkPackages[[#This Row],[Due date serial]],1,0)</f>
        <v>0</v>
      </c>
      <c r="AC638" s="65">
        <f>MAX(0,tblWorkPackages[[#This Row],[Completion date serial]]-tblWorkPackages[[#This Row],[Due date serial]])</f>
        <v>0</v>
      </c>
      <c r="AD638" s="65">
        <f>tblWorkPackages[[#This Row],[First labor date]]-tblWorkPackages[[#This Row],[Request date serial]]</f>
        <v>11</v>
      </c>
      <c r="AE638" s="65">
        <f>tblWorkPackages[[#This Row],[Last labor date]]-tblWorkPackages[[#This Row],[First labor date]]</f>
        <v>0</v>
      </c>
      <c r="AF638" s="65">
        <f>tblWorkPackages[[#This Row],[Completion date serial]]-tblWorkPackages[[#This Row],[Last labor date]]</f>
        <v>0</v>
      </c>
      <c r="AG638" s="65">
        <f>tblWorkPackages[[#This Row],[Completion date serial]]-tblWorkPackages[[#This Row],[Request date serial]]</f>
        <v>11</v>
      </c>
      <c r="AH638" s="65">
        <f>IFERROR(INDEX(tblParts[Delay days],MATCH(tblWorkPackages[[#This Row],[Work package ID]],tblParts[Work package ID],0)),0)</f>
        <v>0</v>
      </c>
      <c r="AI638" s="51" t="str">
        <f>IFERROR(INDEX(tblDisruptions[Event type],MATCH(tblWorkPackages[[#This Row],[Work package ID]],tblDisruptions[Work package ID],0)),"None")</f>
        <v>Technician absence</v>
      </c>
      <c r="AJ638" s="51" t="str">
        <f>TEXT(tblWorkPackages[[#This Row],[Due date serial]],"yyyy-mm")</f>
        <v>2025-08</v>
      </c>
    </row>
    <row r="639" spans="1:36" ht="15" x14ac:dyDescent="0.25">
      <c r="A639" s="53" t="s">
        <v>1493</v>
      </c>
      <c r="B639" s="53" t="s">
        <v>287</v>
      </c>
      <c r="C639" s="53" t="s">
        <v>1445</v>
      </c>
      <c r="D639" s="53" t="s">
        <v>993</v>
      </c>
      <c r="E639" s="53" t="s">
        <v>200</v>
      </c>
      <c r="F639" s="53" t="s">
        <v>128</v>
      </c>
      <c r="G639" s="53" t="s">
        <v>129</v>
      </c>
      <c r="H639" s="53">
        <v>4</v>
      </c>
      <c r="I639" s="53" t="s">
        <v>176</v>
      </c>
      <c r="J639" s="53">
        <v>0</v>
      </c>
      <c r="K639" s="53">
        <v>0</v>
      </c>
      <c r="L639" s="53">
        <v>6.3</v>
      </c>
      <c r="M639" s="53" t="s">
        <v>993</v>
      </c>
      <c r="N639" s="53">
        <v>7.8</v>
      </c>
      <c r="O639" s="51" t="str">
        <f>TEXT(tblWorkPackages[[#This Row],[Request date serial]]-WEEKDAY(tblWorkPackages[[#This Row],[Request date serial]],3),"yyyy-mm-dd")</f>
        <v>2025-03-17</v>
      </c>
      <c r="P639" s="51">
        <f>ABS(tblWorkPackages[[#This Row],[Actual labor hours]]-tblWorkPackages[[#This Row],[Estimated labor hours]])</f>
        <v>1.5</v>
      </c>
      <c r="Q639" s="51">
        <f>IF(tblWorkPackages[[#This Row],[Actual labor hours]]&gt;tblWorkPackages[[#This Row],[Estimated labor hours]],1,0)</f>
        <v>1</v>
      </c>
      <c r="R639" s="51">
        <f>tblWorkPackages[[#This Row],[Actual labor hours]]-tblWorkPackages[[#This Row],[Estimated labor hours]]</f>
        <v>1.5</v>
      </c>
      <c r="S639" s="51" t="str">
        <f>IF(tblWorkPackages[[#This Row],[Request date serial]]&lt;ValidationStart,"Train 2024",IF(tblWorkPackages[[#This Row],[Request date serial]]&lt;HoldoutStart,"Validation H1","Holdout H2"))</f>
        <v>Validation H1</v>
      </c>
      <c r="T639" s="51">
        <f>IF(tblWorkPackages[[#This Row],[Time split]]="Train 2024","",tblWorkPackages[[#This Row],[Estimated labor hours]]+VLOOKUP(tblWorkPackages[[#This Row],[Task type]],'Forecast validation'!$A$14:$E$25,IF(tblWorkPackages[[#This Row],[Time split]]="Validation H1",4,5),FALSE()))</f>
        <v>6.63069306930693</v>
      </c>
      <c r="U639" s="51">
        <f>IF(tblWorkPackages[[#This Row],[Calibrated forecast hours]]="","",ABS(tblWorkPackages[[#This Row],[Actual labor hours]]-tblWorkPackages[[#This Row],[Calibrated forecast hours]]))</f>
        <v>1.16930693069307</v>
      </c>
      <c r="V639" s="51">
        <f>IF(tblWorkPackages[[#This Row],[Time split]]="Train 2024",tblWorkPackages[[#This Row],[Estimated labor hours]],tblWorkPackages[[#This Row],[Calibrated forecast hours]])</f>
        <v>6.63069306930693</v>
      </c>
      <c r="W639" s="64">
        <f>DATEVALUE(tblWorkPackages[[#This Row],[Request date]])</f>
        <v>45736.0</v>
      </c>
      <c r="X639" s="64">
        <f>DATEVALUE(tblWorkPackages[[#This Row],[Due date]])</f>
        <v>45742.0</v>
      </c>
      <c r="Y639" s="64">
        <f>DATEVALUE(tblWorkPackages[[#This Row],[Completion date]])</f>
        <v>45742.0</v>
      </c>
      <c r="Z639" s="64">
        <f>_xlfn.MINIFS(tblLaborEntries[Work date serial],tblLaborEntries[Work package ID],tblWorkPackages[[#This Row],[Work package ID]])</f>
        <v>45739.0</v>
      </c>
      <c r="AA639" s="64">
        <f>_xlfn.MAXIFS(tblLaborEntries[Work date serial],tblLaborEntries[Work package ID],tblWorkPackages[[#This Row],[Work package ID]])</f>
        <v>45741.0</v>
      </c>
      <c r="AB639" s="65">
        <f>IF(tblWorkPackages[[#This Row],[Completion date serial]]&gt;tblWorkPackages[[#This Row],[Due date serial]],1,0)</f>
        <v>0</v>
      </c>
      <c r="AC639" s="65">
        <f>MAX(0,tblWorkPackages[[#This Row],[Completion date serial]]-tblWorkPackages[[#This Row],[Due date serial]])</f>
        <v>0</v>
      </c>
      <c r="AD639" s="65">
        <f>tblWorkPackages[[#This Row],[First labor date]]-tblWorkPackages[[#This Row],[Request date serial]]</f>
        <v>3</v>
      </c>
      <c r="AE639" s="65">
        <f>tblWorkPackages[[#This Row],[Last labor date]]-tblWorkPackages[[#This Row],[First labor date]]</f>
        <v>2</v>
      </c>
      <c r="AF639" s="65">
        <f>tblWorkPackages[[#This Row],[Completion date serial]]-tblWorkPackages[[#This Row],[Last labor date]]</f>
        <v>1</v>
      </c>
      <c r="AG639" s="65">
        <f>tblWorkPackages[[#This Row],[Completion date serial]]-tblWorkPackages[[#This Row],[Request date serial]]</f>
        <v>6</v>
      </c>
      <c r="AH639" s="65">
        <f>IFERROR(INDEX(tblParts[Delay days],MATCH(tblWorkPackages[[#This Row],[Work package ID]],tblParts[Work package ID],0)),0)</f>
        <v>0</v>
      </c>
      <c r="AI639" s="51" t="str">
        <f>IFERROR(INDEX(tblDisruptions[Event type],MATCH(tblWorkPackages[[#This Row],[Work package ID]],tblDisruptions[Work package ID],0)),"None")</f>
        <v>None</v>
      </c>
      <c r="AJ639" s="51" t="str">
        <f>TEXT(tblWorkPackages[[#This Row],[Due date serial]],"yyyy-mm")</f>
        <v>2025-03</v>
      </c>
    </row>
    <row r="640" spans="1:36" ht="15" x14ac:dyDescent="0.25">
      <c r="A640" s="53" t="s">
        <v>1494</v>
      </c>
      <c r="B640" s="53" t="s">
        <v>124</v>
      </c>
      <c r="C640" s="53" t="s">
        <v>667</v>
      </c>
      <c r="D640" s="53" t="s">
        <v>879</v>
      </c>
      <c r="E640" s="53" t="s">
        <v>153</v>
      </c>
      <c r="F640" s="53" t="s">
        <v>128</v>
      </c>
      <c r="G640" s="53" t="s">
        <v>154</v>
      </c>
      <c r="H640" s="53">
        <v>3</v>
      </c>
      <c r="I640" s="53" t="s">
        <v>130</v>
      </c>
      <c r="J640" s="53">
        <v>0</v>
      </c>
      <c r="K640" s="53">
        <v>0</v>
      </c>
      <c r="L640" s="53">
        <v>14.6</v>
      </c>
      <c r="M640" s="53" t="s">
        <v>1008</v>
      </c>
      <c r="N640" s="53">
        <v>11.4</v>
      </c>
      <c r="O640" s="51" t="str">
        <f>TEXT(tblWorkPackages[[#This Row],[Request date serial]]-WEEKDAY(tblWorkPackages[[#This Row],[Request date serial]],3),"yyyy-mm-dd")</f>
        <v>2024-03-18</v>
      </c>
      <c r="P640" s="51">
        <f>ABS(tblWorkPackages[[#This Row],[Actual labor hours]]-tblWorkPackages[[#This Row],[Estimated labor hours]])</f>
        <v>3.2</v>
      </c>
      <c r="Q640" s="51">
        <f>IF(tblWorkPackages[[#This Row],[Actual labor hours]]&gt;tblWorkPackages[[#This Row],[Estimated labor hours]],1,0)</f>
        <v>0</v>
      </c>
      <c r="R640" s="51">
        <f>tblWorkPackages[[#This Row],[Actual labor hours]]-tblWorkPackages[[#This Row],[Estimated labor hours]]</f>
        <v>-3.2</v>
      </c>
      <c r="S640" s="51" t="str">
        <f>IF(tblWorkPackages[[#This Row],[Request date serial]]&lt;ValidationStart,"Train 2024",IF(tblWorkPackages[[#This Row],[Request date serial]]&lt;HoldoutStart,"Validation H1","Holdout H2"))</f>
        <v>Train 2024</v>
      </c>
      <c r="T640" s="51" t="str">
        <f>IF(tblWorkPackages[[#This Row],[Time split]]="Train 2024","",tblWorkPackages[[#This Row],[Estimated labor hours]]+VLOOKUP(tblWorkPackages[[#This Row],[Task type]],'Forecast validation'!$A$14:$E$25,IF(tblWorkPackages[[#This Row],[Time split]]="Validation H1",4,5),FALSE()))</f>
        <v/>
      </c>
      <c r="U640" s="51" t="str">
        <f>IF(tblWorkPackages[[#This Row],[Calibrated forecast hours]]="","",ABS(tblWorkPackages[[#This Row],[Actual labor hours]]-tblWorkPackages[[#This Row],[Calibrated forecast hours]]))</f>
        <v/>
      </c>
      <c r="V640" s="51">
        <f>IF(tblWorkPackages[[#This Row],[Time split]]="Train 2024",tblWorkPackages[[#This Row],[Estimated labor hours]],tblWorkPackages[[#This Row],[Calibrated forecast hours]])</f>
        <v>14.6</v>
      </c>
      <c r="W640" s="64">
        <f>DATEVALUE(tblWorkPackages[[#This Row],[Request date]])</f>
        <v>45373.0</v>
      </c>
      <c r="X640" s="64">
        <f>DATEVALUE(tblWorkPackages[[#This Row],[Due date]])</f>
        <v>45386.0</v>
      </c>
      <c r="Y640" s="64">
        <f>DATEVALUE(tblWorkPackages[[#This Row],[Completion date]])</f>
        <v>45409.0</v>
      </c>
      <c r="Z640" s="64">
        <f>_xlfn.MINIFS(tblLaborEntries[Work date serial],tblLaborEntries[Work package ID],tblWorkPackages[[#This Row],[Work package ID]])</f>
        <v>45406.0</v>
      </c>
      <c r="AA640" s="64">
        <f>_xlfn.MAXIFS(tblLaborEntries[Work date serial],tblLaborEntries[Work package ID],tblWorkPackages[[#This Row],[Work package ID]])</f>
        <v>45407.0</v>
      </c>
      <c r="AB640" s="65">
        <f>IF(tblWorkPackages[[#This Row],[Completion date serial]]&gt;tblWorkPackages[[#This Row],[Due date serial]],1,0)</f>
        <v>1</v>
      </c>
      <c r="AC640" s="65">
        <f>MAX(0,tblWorkPackages[[#This Row],[Completion date serial]]-tblWorkPackages[[#This Row],[Due date serial]])</f>
        <v>23</v>
      </c>
      <c r="AD640" s="65">
        <f>tblWorkPackages[[#This Row],[First labor date]]-tblWorkPackages[[#This Row],[Request date serial]]</f>
        <v>33</v>
      </c>
      <c r="AE640" s="65">
        <f>tblWorkPackages[[#This Row],[Last labor date]]-tblWorkPackages[[#This Row],[First labor date]]</f>
        <v>1</v>
      </c>
      <c r="AF640" s="65">
        <f>tblWorkPackages[[#This Row],[Completion date serial]]-tblWorkPackages[[#This Row],[Last labor date]]</f>
        <v>2</v>
      </c>
      <c r="AG640" s="65">
        <f>tblWorkPackages[[#This Row],[Completion date serial]]-tblWorkPackages[[#This Row],[Request date serial]]</f>
        <v>36</v>
      </c>
      <c r="AH640" s="65">
        <f>IFERROR(INDEX(tblParts[Delay days],MATCH(tblWorkPackages[[#This Row],[Work package ID]],tblParts[Work package ID],0)),0)</f>
        <v>0</v>
      </c>
      <c r="AI640" s="51" t="str">
        <f>IFERROR(INDEX(tblDisruptions[Event type],MATCH(tblWorkPackages[[#This Row],[Work package ID]],tblDisruptions[Work package ID],0)),"None")</f>
        <v>None</v>
      </c>
      <c r="AJ640" s="51" t="str">
        <f>TEXT(tblWorkPackages[[#This Row],[Due date serial]],"yyyy-mm")</f>
        <v>2024-04</v>
      </c>
    </row>
    <row r="641" spans="1:36" ht="15" x14ac:dyDescent="0.25">
      <c r="A641" s="53" t="s">
        <v>1495</v>
      </c>
      <c r="B641" s="53" t="s">
        <v>150</v>
      </c>
      <c r="C641" s="53" t="s">
        <v>785</v>
      </c>
      <c r="D641" s="53" t="s">
        <v>729</v>
      </c>
      <c r="E641" s="53" t="s">
        <v>242</v>
      </c>
      <c r="F641" s="53" t="s">
        <v>243</v>
      </c>
      <c r="G641" s="53" t="s">
        <v>129</v>
      </c>
      <c r="H641" s="53">
        <v>4</v>
      </c>
      <c r="I641" s="53" t="s">
        <v>130</v>
      </c>
      <c r="J641" s="53">
        <v>0</v>
      </c>
      <c r="K641" s="53">
        <v>1</v>
      </c>
      <c r="L641" s="53">
        <v>18.600000000000001</v>
      </c>
      <c r="M641" s="53" t="s">
        <v>125</v>
      </c>
      <c r="N641" s="53">
        <v>23.1</v>
      </c>
      <c r="O641" s="51" t="str">
        <f>TEXT(tblWorkPackages[[#This Row],[Request date serial]]-WEEKDAY(tblWorkPackages[[#This Row],[Request date serial]],3),"yyyy-mm-dd")</f>
        <v>2025-04-21</v>
      </c>
      <c r="P641" s="51">
        <f>ABS(tblWorkPackages[[#This Row],[Actual labor hours]]-tblWorkPackages[[#This Row],[Estimated labor hours]])</f>
        <v>4.5</v>
      </c>
      <c r="Q641" s="51">
        <f>IF(tblWorkPackages[[#This Row],[Actual labor hours]]&gt;tblWorkPackages[[#This Row],[Estimated labor hours]],1,0)</f>
        <v>1</v>
      </c>
      <c r="R641" s="51">
        <f>tblWorkPackages[[#This Row],[Actual labor hours]]-tblWorkPackages[[#This Row],[Estimated labor hours]]</f>
        <v>4.5</v>
      </c>
      <c r="S641" s="51" t="str">
        <f>IF(tblWorkPackages[[#This Row],[Request date serial]]&lt;ValidationStart,"Train 2024",IF(tblWorkPackages[[#This Row],[Request date serial]]&lt;HoldoutStart,"Validation H1","Holdout H2"))</f>
        <v>Validation H1</v>
      </c>
      <c r="T641" s="51">
        <f>IF(tblWorkPackages[[#This Row],[Time split]]="Train 2024","",tblWorkPackages[[#This Row],[Estimated labor hours]]+VLOOKUP(tblWorkPackages[[#This Row],[Task type]],'Forecast validation'!$A$14:$E$25,IF(tblWorkPackages[[#This Row],[Time split]]="Validation H1",4,5),FALSE()))</f>
        <v>19.1561224489796</v>
      </c>
      <c r="U641" s="51">
        <f>IF(tblWorkPackages[[#This Row],[Calibrated forecast hours]]="","",ABS(tblWorkPackages[[#This Row],[Actual labor hours]]-tblWorkPackages[[#This Row],[Calibrated forecast hours]]))</f>
        <v>3.94387755102041</v>
      </c>
      <c r="V641" s="51">
        <f>IF(tblWorkPackages[[#This Row],[Time split]]="Train 2024",tblWorkPackages[[#This Row],[Estimated labor hours]],tblWorkPackages[[#This Row],[Calibrated forecast hours]])</f>
        <v>19.1561224489796</v>
      </c>
      <c r="W641" s="64">
        <f>DATEVALUE(tblWorkPackages[[#This Row],[Request date]])</f>
        <v>45771.0</v>
      </c>
      <c r="X641" s="64">
        <f>DATEVALUE(tblWorkPackages[[#This Row],[Due date]])</f>
        <v>45784.0</v>
      </c>
      <c r="Y641" s="64">
        <f>DATEVALUE(tblWorkPackages[[#This Row],[Completion date]])</f>
        <v>45780.0</v>
      </c>
      <c r="Z641" s="64">
        <f>_xlfn.MINIFS(tblLaborEntries[Work date serial],tblLaborEntries[Work package ID],tblWorkPackages[[#This Row],[Work package ID]])</f>
        <v>45777.0</v>
      </c>
      <c r="AA641" s="64">
        <f>_xlfn.MAXIFS(tblLaborEntries[Work date serial],tblLaborEntries[Work package ID],tblWorkPackages[[#This Row],[Work package ID]])</f>
        <v>45777.0</v>
      </c>
      <c r="AB641" s="65">
        <f>IF(tblWorkPackages[[#This Row],[Completion date serial]]&gt;tblWorkPackages[[#This Row],[Due date serial]],1,0)</f>
        <v>0</v>
      </c>
      <c r="AC641" s="65">
        <f>MAX(0,tblWorkPackages[[#This Row],[Completion date serial]]-tblWorkPackages[[#This Row],[Due date serial]])</f>
        <v>0</v>
      </c>
      <c r="AD641" s="65">
        <f>tblWorkPackages[[#This Row],[First labor date]]-tblWorkPackages[[#This Row],[Request date serial]]</f>
        <v>6</v>
      </c>
      <c r="AE641" s="65">
        <f>tblWorkPackages[[#This Row],[Last labor date]]-tblWorkPackages[[#This Row],[First labor date]]</f>
        <v>0</v>
      </c>
      <c r="AF641" s="65">
        <f>tblWorkPackages[[#This Row],[Completion date serial]]-tblWorkPackages[[#This Row],[Last labor date]]</f>
        <v>3</v>
      </c>
      <c r="AG641" s="65">
        <f>tblWorkPackages[[#This Row],[Completion date serial]]-tblWorkPackages[[#This Row],[Request date serial]]</f>
        <v>9</v>
      </c>
      <c r="AH641" s="65">
        <f>IFERROR(INDEX(tblParts[Delay days],MATCH(tblWorkPackages[[#This Row],[Work package ID]],tblParts[Work package ID],0)),0)</f>
        <v>0</v>
      </c>
      <c r="AI641" s="51" t="str">
        <f>IFERROR(INDEX(tblDisruptions[Event type],MATCH(tblWorkPackages[[#This Row],[Work package ID]],tblDisruptions[Work package ID],0)),"None")</f>
        <v>None</v>
      </c>
      <c r="AJ641" s="51" t="str">
        <f>TEXT(tblWorkPackages[[#This Row],[Due date serial]],"yyyy-mm")</f>
        <v>2025-05</v>
      </c>
    </row>
    <row r="642" spans="1:36" ht="15" x14ac:dyDescent="0.25">
      <c r="A642" s="53" t="s">
        <v>1496</v>
      </c>
      <c r="B642" s="53" t="s">
        <v>230</v>
      </c>
      <c r="C642" s="53" t="s">
        <v>1017</v>
      </c>
      <c r="D642" s="53" t="s">
        <v>973</v>
      </c>
      <c r="E642" s="53" t="s">
        <v>209</v>
      </c>
      <c r="F642" s="53" t="s">
        <v>145</v>
      </c>
      <c r="G642" s="53" t="s">
        <v>210</v>
      </c>
      <c r="H642" s="53">
        <v>3</v>
      </c>
      <c r="I642" s="53" t="s">
        <v>130</v>
      </c>
      <c r="J642" s="53">
        <v>0</v>
      </c>
      <c r="K642" s="53">
        <v>1</v>
      </c>
      <c r="L642" s="53">
        <v>27</v>
      </c>
      <c r="M642" s="53" t="s">
        <v>326</v>
      </c>
      <c r="N642" s="53">
        <v>27.6</v>
      </c>
      <c r="O642" s="51" t="str">
        <f>TEXT(tblWorkPackages[[#This Row],[Request date serial]]-WEEKDAY(tblWorkPackages[[#This Row],[Request date serial]],3),"yyyy-mm-dd")</f>
        <v>2025-11-10</v>
      </c>
      <c r="P642" s="51">
        <f>ABS(tblWorkPackages[[#This Row],[Actual labor hours]]-tblWorkPackages[[#This Row],[Estimated labor hours]])</f>
        <v>0.600000000000001</v>
      </c>
      <c r="Q642" s="51">
        <f>IF(tblWorkPackages[[#This Row],[Actual labor hours]]&gt;tblWorkPackages[[#This Row],[Estimated labor hours]],1,0)</f>
        <v>1</v>
      </c>
      <c r="R642" s="51">
        <f>tblWorkPackages[[#This Row],[Actual labor hours]]-tblWorkPackages[[#This Row],[Estimated labor hours]]</f>
        <v>0.600000000000001</v>
      </c>
      <c r="S642" s="51" t="str">
        <f>IF(tblWorkPackages[[#This Row],[Request date serial]]&lt;ValidationStart,"Train 2024",IF(tblWorkPackages[[#This Row],[Request date serial]]&lt;HoldoutStart,"Validation H1","Holdout H2"))</f>
        <v>Holdout H2</v>
      </c>
      <c r="T642" s="51">
        <f>IF(tblWorkPackages[[#This Row],[Time split]]="Train 2024","",tblWorkPackages[[#This Row],[Estimated labor hours]]+VLOOKUP(tblWorkPackages[[#This Row],[Task type]],'Forecast validation'!$A$14:$E$25,IF(tblWorkPackages[[#This Row],[Time split]]="Validation H1",4,5),FALSE()))</f>
        <v>28.795652173913</v>
      </c>
      <c r="U642" s="51">
        <f>IF(tblWorkPackages[[#This Row],[Calibrated forecast hours]]="","",ABS(tblWorkPackages[[#This Row],[Actual labor hours]]-tblWorkPackages[[#This Row],[Calibrated forecast hours]]))</f>
        <v>1.19565217391304</v>
      </c>
      <c r="V642" s="51">
        <f>IF(tblWorkPackages[[#This Row],[Time split]]="Train 2024",tblWorkPackages[[#This Row],[Estimated labor hours]],tblWorkPackages[[#This Row],[Calibrated forecast hours]])</f>
        <v>28.795652173913</v>
      </c>
      <c r="W642" s="64">
        <f>DATEVALUE(tblWorkPackages[[#This Row],[Request date]])</f>
        <v>45972.0</v>
      </c>
      <c r="X642" s="64">
        <f>DATEVALUE(tblWorkPackages[[#This Row],[Due date]])</f>
        <v>45985.0</v>
      </c>
      <c r="Y642" s="64">
        <f>DATEVALUE(tblWorkPackages[[#This Row],[Completion date]])</f>
        <v>45975.0</v>
      </c>
      <c r="Z642" s="64">
        <f>_xlfn.MINIFS(tblLaborEntries[Work date serial],tblLaborEntries[Work package ID],tblWorkPackages[[#This Row],[Work package ID]])</f>
        <v>45974.0</v>
      </c>
      <c r="AA642" s="64">
        <f>_xlfn.MAXIFS(tblLaborEntries[Work date serial],tblLaborEntries[Work package ID],tblWorkPackages[[#This Row],[Work package ID]])</f>
        <v>45975.0</v>
      </c>
      <c r="AB642" s="65">
        <f>IF(tblWorkPackages[[#This Row],[Completion date serial]]&gt;tblWorkPackages[[#This Row],[Due date serial]],1,0)</f>
        <v>0</v>
      </c>
      <c r="AC642" s="65">
        <f>MAX(0,tblWorkPackages[[#This Row],[Completion date serial]]-tblWorkPackages[[#This Row],[Due date serial]])</f>
        <v>0</v>
      </c>
      <c r="AD642" s="65">
        <f>tblWorkPackages[[#This Row],[First labor date]]-tblWorkPackages[[#This Row],[Request date serial]]</f>
        <v>2</v>
      </c>
      <c r="AE642" s="65">
        <f>tblWorkPackages[[#This Row],[Last labor date]]-tblWorkPackages[[#This Row],[First labor date]]</f>
        <v>1</v>
      </c>
      <c r="AF642" s="65">
        <f>tblWorkPackages[[#This Row],[Completion date serial]]-tblWorkPackages[[#This Row],[Last labor date]]</f>
        <v>0</v>
      </c>
      <c r="AG642" s="65">
        <f>tblWorkPackages[[#This Row],[Completion date serial]]-tblWorkPackages[[#This Row],[Request date serial]]</f>
        <v>3</v>
      </c>
      <c r="AH642" s="65">
        <f>IFERROR(INDEX(tblParts[Delay days],MATCH(tblWorkPackages[[#This Row],[Work package ID]],tblParts[Work package ID],0)),0)</f>
        <v>0</v>
      </c>
      <c r="AI642" s="51" t="str">
        <f>IFERROR(INDEX(tblDisruptions[Event type],MATCH(tblWorkPackages[[#This Row],[Work package ID]],tblDisruptions[Work package ID],0)),"None")</f>
        <v>Repeat inspection</v>
      </c>
      <c r="AJ642" s="51" t="str">
        <f>TEXT(tblWorkPackages[[#This Row],[Due date serial]],"yyyy-mm")</f>
        <v>2025-11</v>
      </c>
    </row>
    <row r="643" spans="1:36" ht="15" x14ac:dyDescent="0.25">
      <c r="A643" s="53" t="s">
        <v>1497</v>
      </c>
      <c r="B643" s="53" t="s">
        <v>250</v>
      </c>
      <c r="C643" s="53" t="s">
        <v>933</v>
      </c>
      <c r="D643" s="53" t="s">
        <v>257</v>
      </c>
      <c r="E643" s="53" t="s">
        <v>136</v>
      </c>
      <c r="F643" s="53" t="s">
        <v>137</v>
      </c>
      <c r="G643" s="53" t="s">
        <v>138</v>
      </c>
      <c r="H643" s="53">
        <v>1</v>
      </c>
      <c r="I643" s="53" t="s">
        <v>130</v>
      </c>
      <c r="J643" s="53">
        <v>0</v>
      </c>
      <c r="K643" s="53">
        <v>0</v>
      </c>
      <c r="L643" s="53">
        <v>8.3000000000000007</v>
      </c>
      <c r="M643" s="53" t="s">
        <v>818</v>
      </c>
      <c r="N643" s="53">
        <v>8.8000000000000007</v>
      </c>
      <c r="O643" s="51" t="str">
        <f>TEXT(tblWorkPackages[[#This Row],[Request date serial]]-WEEKDAY(tblWorkPackages[[#This Row],[Request date serial]],3),"yyyy-mm-dd")</f>
        <v>2024-11-25</v>
      </c>
      <c r="P643" s="51">
        <f>ABS(tblWorkPackages[[#This Row],[Actual labor hours]]-tblWorkPackages[[#This Row],[Estimated labor hours]])</f>
        <v>0.5</v>
      </c>
      <c r="Q643" s="51">
        <f>IF(tblWorkPackages[[#This Row],[Actual labor hours]]&gt;tblWorkPackages[[#This Row],[Estimated labor hours]],1,0)</f>
        <v>1</v>
      </c>
      <c r="R643" s="51">
        <f>tblWorkPackages[[#This Row],[Actual labor hours]]-tblWorkPackages[[#This Row],[Estimated labor hours]]</f>
        <v>0.5</v>
      </c>
      <c r="S643" s="51" t="str">
        <f>IF(tblWorkPackages[[#This Row],[Request date serial]]&lt;ValidationStart,"Train 2024",IF(tblWorkPackages[[#This Row],[Request date serial]]&lt;HoldoutStart,"Validation H1","Holdout H2"))</f>
        <v>Train 2024</v>
      </c>
      <c r="T643" s="51" t="str">
        <f>IF(tblWorkPackages[[#This Row],[Time split]]="Train 2024","",tblWorkPackages[[#This Row],[Estimated labor hours]]+VLOOKUP(tblWorkPackages[[#This Row],[Task type]],'Forecast validation'!$A$14:$E$25,IF(tblWorkPackages[[#This Row],[Time split]]="Validation H1",4,5),FALSE()))</f>
        <v/>
      </c>
      <c r="U643" s="51" t="str">
        <f>IF(tblWorkPackages[[#This Row],[Calibrated forecast hours]]="","",ABS(tblWorkPackages[[#This Row],[Actual labor hours]]-tblWorkPackages[[#This Row],[Calibrated forecast hours]]))</f>
        <v/>
      </c>
      <c r="V643" s="51">
        <f>IF(tblWorkPackages[[#This Row],[Time split]]="Train 2024",tblWorkPackages[[#This Row],[Estimated labor hours]],tblWorkPackages[[#This Row],[Calibrated forecast hours]])</f>
        <v>8.3</v>
      </c>
      <c r="W643" s="64">
        <f>DATEVALUE(tblWorkPackages[[#This Row],[Request date]])</f>
        <v>45625.0</v>
      </c>
      <c r="X643" s="64">
        <f>DATEVALUE(tblWorkPackages[[#This Row],[Due date]])</f>
        <v>45638.0</v>
      </c>
      <c r="Y643" s="64">
        <f>DATEVALUE(tblWorkPackages[[#This Row],[Completion date]])</f>
        <v>45643.0</v>
      </c>
      <c r="Z643" s="64">
        <f>_xlfn.MINIFS(tblLaborEntries[Work date serial],tblLaborEntries[Work package ID],tblWorkPackages[[#This Row],[Work package ID]])</f>
        <v>45640.0</v>
      </c>
      <c r="AA643" s="64">
        <f>_xlfn.MAXIFS(tblLaborEntries[Work date serial],tblLaborEntries[Work package ID],tblWorkPackages[[#This Row],[Work package ID]])</f>
        <v>45642.0</v>
      </c>
      <c r="AB643" s="65">
        <f>IF(tblWorkPackages[[#This Row],[Completion date serial]]&gt;tblWorkPackages[[#This Row],[Due date serial]],1,0)</f>
        <v>1</v>
      </c>
      <c r="AC643" s="65">
        <f>MAX(0,tblWorkPackages[[#This Row],[Completion date serial]]-tblWorkPackages[[#This Row],[Due date serial]])</f>
        <v>5</v>
      </c>
      <c r="AD643" s="65">
        <f>tblWorkPackages[[#This Row],[First labor date]]-tblWorkPackages[[#This Row],[Request date serial]]</f>
        <v>15</v>
      </c>
      <c r="AE643" s="65">
        <f>tblWorkPackages[[#This Row],[Last labor date]]-tblWorkPackages[[#This Row],[First labor date]]</f>
        <v>2</v>
      </c>
      <c r="AF643" s="65">
        <f>tblWorkPackages[[#This Row],[Completion date serial]]-tblWorkPackages[[#This Row],[Last labor date]]</f>
        <v>1</v>
      </c>
      <c r="AG643" s="65">
        <f>tblWorkPackages[[#This Row],[Completion date serial]]-tblWorkPackages[[#This Row],[Request date serial]]</f>
        <v>18</v>
      </c>
      <c r="AH643" s="65">
        <f>IFERROR(INDEX(tblParts[Delay days],MATCH(tblWorkPackages[[#This Row],[Work package ID]],tblParts[Work package ID],0)),0)</f>
        <v>0</v>
      </c>
      <c r="AI643" s="51" t="str">
        <f>IFERROR(INDEX(tblDisruptions[Event type],MATCH(tblWorkPackages[[#This Row],[Work package ID]],tblDisruptions[Work package ID],0)),"None")</f>
        <v>None</v>
      </c>
      <c r="AJ643" s="51" t="str">
        <f>TEXT(tblWorkPackages[[#This Row],[Due date serial]],"yyyy-mm")</f>
        <v>2024-12</v>
      </c>
    </row>
    <row r="644" spans="1:36" ht="15" x14ac:dyDescent="0.25">
      <c r="A644" s="53" t="s">
        <v>1498</v>
      </c>
      <c r="B644" s="53" t="s">
        <v>203</v>
      </c>
      <c r="C644" s="53" t="s">
        <v>467</v>
      </c>
      <c r="D644" s="53" t="s">
        <v>784</v>
      </c>
      <c r="E644" s="53" t="s">
        <v>181</v>
      </c>
      <c r="F644" s="53" t="s">
        <v>182</v>
      </c>
      <c r="G644" s="53" t="s">
        <v>138</v>
      </c>
      <c r="H644" s="53">
        <v>1</v>
      </c>
      <c r="I644" s="53" t="s">
        <v>130</v>
      </c>
      <c r="J644" s="53">
        <v>0</v>
      </c>
      <c r="K644" s="53">
        <v>1</v>
      </c>
      <c r="L644" s="53">
        <v>5.2</v>
      </c>
      <c r="M644" s="53" t="s">
        <v>967</v>
      </c>
      <c r="N644" s="53">
        <v>4.8</v>
      </c>
      <c r="O644" s="51" t="str">
        <f>TEXT(tblWorkPackages[[#This Row],[Request date serial]]-WEEKDAY(tblWorkPackages[[#This Row],[Request date serial]],3),"yyyy-mm-dd")</f>
        <v>2025-03-31</v>
      </c>
      <c r="P644" s="51">
        <f>ABS(tblWorkPackages[[#This Row],[Actual labor hours]]-tblWorkPackages[[#This Row],[Estimated labor hours]])</f>
        <v>0.4</v>
      </c>
      <c r="Q644" s="51">
        <f>IF(tblWorkPackages[[#This Row],[Actual labor hours]]&gt;tblWorkPackages[[#This Row],[Estimated labor hours]],1,0)</f>
        <v>0</v>
      </c>
      <c r="R644" s="51">
        <f>tblWorkPackages[[#This Row],[Actual labor hours]]-tblWorkPackages[[#This Row],[Estimated labor hours]]</f>
        <v>-0.4</v>
      </c>
      <c r="S644" s="51" t="str">
        <f>IF(tblWorkPackages[[#This Row],[Request date serial]]&lt;ValidationStart,"Train 2024",IF(tblWorkPackages[[#This Row],[Request date serial]]&lt;HoldoutStart,"Validation H1","Holdout H2"))</f>
        <v>Validation H1</v>
      </c>
      <c r="T644" s="51">
        <f>IF(tblWorkPackages[[#This Row],[Time split]]="Train 2024","",tblWorkPackages[[#This Row],[Estimated labor hours]]+VLOOKUP(tblWorkPackages[[#This Row],[Task type]],'Forecast validation'!$A$14:$E$25,IF(tblWorkPackages[[#This Row],[Time split]]="Validation H1",4,5),FALSE()))</f>
        <v>5.78409090909091</v>
      </c>
      <c r="U644" s="51">
        <f>IF(tblWorkPackages[[#This Row],[Calibrated forecast hours]]="","",ABS(tblWorkPackages[[#This Row],[Actual labor hours]]-tblWorkPackages[[#This Row],[Calibrated forecast hours]]))</f>
        <v>0.984090909090909</v>
      </c>
      <c r="V644" s="51">
        <f>IF(tblWorkPackages[[#This Row],[Time split]]="Train 2024",tblWorkPackages[[#This Row],[Estimated labor hours]],tblWorkPackages[[#This Row],[Calibrated forecast hours]])</f>
        <v>5.78409090909091</v>
      </c>
      <c r="W644" s="64">
        <f>DATEVALUE(tblWorkPackages[[#This Row],[Request date]])</f>
        <v>45752.0</v>
      </c>
      <c r="X644" s="64">
        <f>DATEVALUE(tblWorkPackages[[#This Row],[Due date]])</f>
        <v>45765.0</v>
      </c>
      <c r="Y644" s="64">
        <f>DATEVALUE(tblWorkPackages[[#This Row],[Completion date]])</f>
        <v>45758.0</v>
      </c>
      <c r="Z644" s="64">
        <f>_xlfn.MINIFS(tblLaborEntries[Work date serial],tblLaborEntries[Work package ID],tblWorkPackages[[#This Row],[Work package ID]])</f>
        <v>45756.0</v>
      </c>
      <c r="AA644" s="64">
        <f>_xlfn.MAXIFS(tblLaborEntries[Work date serial],tblLaborEntries[Work package ID],tblWorkPackages[[#This Row],[Work package ID]])</f>
        <v>45756.0</v>
      </c>
      <c r="AB644" s="65">
        <f>IF(tblWorkPackages[[#This Row],[Completion date serial]]&gt;tblWorkPackages[[#This Row],[Due date serial]],1,0)</f>
        <v>0</v>
      </c>
      <c r="AC644" s="65">
        <f>MAX(0,tblWorkPackages[[#This Row],[Completion date serial]]-tblWorkPackages[[#This Row],[Due date serial]])</f>
        <v>0</v>
      </c>
      <c r="AD644" s="65">
        <f>tblWorkPackages[[#This Row],[First labor date]]-tblWorkPackages[[#This Row],[Request date serial]]</f>
        <v>4</v>
      </c>
      <c r="AE644" s="65">
        <f>tblWorkPackages[[#This Row],[Last labor date]]-tblWorkPackages[[#This Row],[First labor date]]</f>
        <v>0</v>
      </c>
      <c r="AF644" s="65">
        <f>tblWorkPackages[[#This Row],[Completion date serial]]-tblWorkPackages[[#This Row],[Last labor date]]</f>
        <v>2</v>
      </c>
      <c r="AG644" s="65">
        <f>tblWorkPackages[[#This Row],[Completion date serial]]-tblWorkPackages[[#This Row],[Request date serial]]</f>
        <v>6</v>
      </c>
      <c r="AH644" s="65">
        <f>IFERROR(INDEX(tblParts[Delay days],MATCH(tblWorkPackages[[#This Row],[Work package ID]],tblParts[Work package ID],0)),0)</f>
        <v>0</v>
      </c>
      <c r="AI644" s="51" t="str">
        <f>IFERROR(INDEX(tblDisruptions[Event type],MATCH(tblWorkPackages[[#This Row],[Work package ID]],tblDisruptions[Work package ID],0)),"None")</f>
        <v>None</v>
      </c>
      <c r="AJ644" s="51" t="str">
        <f>TEXT(tblWorkPackages[[#This Row],[Due date serial]],"yyyy-mm")</f>
        <v>2025-04</v>
      </c>
    </row>
    <row r="645" spans="1:36" ht="15" x14ac:dyDescent="0.25">
      <c r="A645" s="53" t="s">
        <v>1499</v>
      </c>
      <c r="B645" s="53" t="s">
        <v>133</v>
      </c>
      <c r="C645" s="53" t="s">
        <v>986</v>
      </c>
      <c r="D645" s="53" t="s">
        <v>771</v>
      </c>
      <c r="E645" s="53" t="s">
        <v>272</v>
      </c>
      <c r="F645" s="53" t="s">
        <v>145</v>
      </c>
      <c r="G645" s="53" t="s">
        <v>273</v>
      </c>
      <c r="H645" s="53">
        <v>4</v>
      </c>
      <c r="I645" s="53" t="s">
        <v>147</v>
      </c>
      <c r="J645" s="53">
        <v>0</v>
      </c>
      <c r="K645" s="53">
        <v>1</v>
      </c>
      <c r="L645" s="53">
        <v>17.7</v>
      </c>
      <c r="M645" s="53" t="s">
        <v>373</v>
      </c>
      <c r="N645" s="53">
        <v>17.8</v>
      </c>
      <c r="O645" s="51" t="str">
        <f>TEXT(tblWorkPackages[[#This Row],[Request date serial]]-WEEKDAY(tblWorkPackages[[#This Row],[Request date serial]],3),"yyyy-mm-dd")</f>
        <v>2024-09-30</v>
      </c>
      <c r="P645" s="51">
        <f>ABS(tblWorkPackages[[#This Row],[Actual labor hours]]-tblWorkPackages[[#This Row],[Estimated labor hours]])</f>
        <v>0.100000000000001</v>
      </c>
      <c r="Q645" s="51">
        <f>IF(tblWorkPackages[[#This Row],[Actual labor hours]]&gt;tblWorkPackages[[#This Row],[Estimated labor hours]],1,0)</f>
        <v>1</v>
      </c>
      <c r="R645" s="51">
        <f>tblWorkPackages[[#This Row],[Actual labor hours]]-tblWorkPackages[[#This Row],[Estimated labor hours]]</f>
        <v>0.100000000000001</v>
      </c>
      <c r="S645" s="51" t="str">
        <f>IF(tblWorkPackages[[#This Row],[Request date serial]]&lt;ValidationStart,"Train 2024",IF(tblWorkPackages[[#This Row],[Request date serial]]&lt;HoldoutStart,"Validation H1","Holdout H2"))</f>
        <v>Train 2024</v>
      </c>
      <c r="T645" s="51" t="str">
        <f>IF(tblWorkPackages[[#This Row],[Time split]]="Train 2024","",tblWorkPackages[[#This Row],[Estimated labor hours]]+VLOOKUP(tblWorkPackages[[#This Row],[Task type]],'Forecast validation'!$A$14:$E$25,IF(tblWorkPackages[[#This Row],[Time split]]="Validation H1",4,5),FALSE()))</f>
        <v/>
      </c>
      <c r="U645" s="51" t="str">
        <f>IF(tblWorkPackages[[#This Row],[Calibrated forecast hours]]="","",ABS(tblWorkPackages[[#This Row],[Actual labor hours]]-tblWorkPackages[[#This Row],[Calibrated forecast hours]]))</f>
        <v/>
      </c>
      <c r="V645" s="51">
        <f>IF(tblWorkPackages[[#This Row],[Time split]]="Train 2024",tblWorkPackages[[#This Row],[Estimated labor hours]],tblWorkPackages[[#This Row],[Calibrated forecast hours]])</f>
        <v>17.7</v>
      </c>
      <c r="W645" s="64">
        <f>DATEVALUE(tblWorkPackages[[#This Row],[Request date]])</f>
        <v>45569.0</v>
      </c>
      <c r="X645" s="64">
        <f>DATEVALUE(tblWorkPackages[[#This Row],[Due date]])</f>
        <v>45571.0</v>
      </c>
      <c r="Y645" s="64">
        <f>DATEVALUE(tblWorkPackages[[#This Row],[Completion date]])</f>
        <v>45575.0</v>
      </c>
      <c r="Z645" s="64">
        <f>_xlfn.MINIFS(tblLaborEntries[Work date serial],tblLaborEntries[Work package ID],tblWorkPackages[[#This Row],[Work package ID]])</f>
        <v>45570.0</v>
      </c>
      <c r="AA645" s="64">
        <f>_xlfn.MAXIFS(tblLaborEntries[Work date serial],tblLaborEntries[Work package ID],tblWorkPackages[[#This Row],[Work package ID]])</f>
        <v>45572.0</v>
      </c>
      <c r="AB645" s="65">
        <f>IF(tblWorkPackages[[#This Row],[Completion date serial]]&gt;tblWorkPackages[[#This Row],[Due date serial]],1,0)</f>
        <v>1</v>
      </c>
      <c r="AC645" s="65">
        <f>MAX(0,tblWorkPackages[[#This Row],[Completion date serial]]-tblWorkPackages[[#This Row],[Due date serial]])</f>
        <v>4</v>
      </c>
      <c r="AD645" s="65">
        <f>tblWorkPackages[[#This Row],[First labor date]]-tblWorkPackages[[#This Row],[Request date serial]]</f>
        <v>1</v>
      </c>
      <c r="AE645" s="65">
        <f>tblWorkPackages[[#This Row],[Last labor date]]-tblWorkPackages[[#This Row],[First labor date]]</f>
        <v>2</v>
      </c>
      <c r="AF645" s="65">
        <f>tblWorkPackages[[#This Row],[Completion date serial]]-tblWorkPackages[[#This Row],[Last labor date]]</f>
        <v>3</v>
      </c>
      <c r="AG645" s="65">
        <f>tblWorkPackages[[#This Row],[Completion date serial]]-tblWorkPackages[[#This Row],[Request date serial]]</f>
        <v>6</v>
      </c>
      <c r="AH645" s="65">
        <f>IFERROR(INDEX(tblParts[Delay days],MATCH(tblWorkPackages[[#This Row],[Work package ID]],tblParts[Work package ID],0)),0)</f>
        <v>0</v>
      </c>
      <c r="AI645" s="51" t="str">
        <f>IFERROR(INDEX(tblDisruptions[Event type],MATCH(tblWorkPackages[[#This Row],[Work package ID]],tblDisruptions[Work package ID],0)),"None")</f>
        <v>None</v>
      </c>
      <c r="AJ645" s="51" t="str">
        <f>TEXT(tblWorkPackages[[#This Row],[Due date serial]],"yyyy-mm")</f>
        <v>2024-10</v>
      </c>
    </row>
    <row r="646" spans="1:36" ht="15" x14ac:dyDescent="0.25">
      <c r="A646" s="53" t="s">
        <v>1500</v>
      </c>
      <c r="B646" s="53" t="s">
        <v>287</v>
      </c>
      <c r="C646" s="53" t="s">
        <v>466</v>
      </c>
      <c r="D646" s="53" t="s">
        <v>1218</v>
      </c>
      <c r="E646" s="53" t="s">
        <v>242</v>
      </c>
      <c r="F646" s="53" t="s">
        <v>243</v>
      </c>
      <c r="G646" s="53" t="s">
        <v>129</v>
      </c>
      <c r="H646" s="53">
        <v>2</v>
      </c>
      <c r="I646" s="53" t="s">
        <v>130</v>
      </c>
      <c r="J646" s="53">
        <v>1</v>
      </c>
      <c r="K646" s="53">
        <v>1</v>
      </c>
      <c r="L646" s="53">
        <v>9.6999999999999993</v>
      </c>
      <c r="M646" s="53" t="s">
        <v>592</v>
      </c>
      <c r="N646" s="53">
        <v>12.4</v>
      </c>
      <c r="O646" s="51" t="str">
        <f>TEXT(tblWorkPackages[[#This Row],[Request date serial]]-WEEKDAY(tblWorkPackages[[#This Row],[Request date serial]],3),"yyyy-mm-dd")</f>
        <v>2025-03-24</v>
      </c>
      <c r="P646" s="51">
        <f>ABS(tblWorkPackages[[#This Row],[Actual labor hours]]-tblWorkPackages[[#This Row],[Estimated labor hours]])</f>
        <v>2.7</v>
      </c>
      <c r="Q646" s="51">
        <f>IF(tblWorkPackages[[#This Row],[Actual labor hours]]&gt;tblWorkPackages[[#This Row],[Estimated labor hours]],1,0)</f>
        <v>1</v>
      </c>
      <c r="R646" s="51">
        <f>tblWorkPackages[[#This Row],[Actual labor hours]]-tblWorkPackages[[#This Row],[Estimated labor hours]]</f>
        <v>2.7</v>
      </c>
      <c r="S646" s="51" t="str">
        <f>IF(tblWorkPackages[[#This Row],[Request date serial]]&lt;ValidationStart,"Train 2024",IF(tblWorkPackages[[#This Row],[Request date serial]]&lt;HoldoutStart,"Validation H1","Holdout H2"))</f>
        <v>Validation H1</v>
      </c>
      <c r="T646" s="51">
        <f>IF(tblWorkPackages[[#This Row],[Time split]]="Train 2024","",tblWorkPackages[[#This Row],[Estimated labor hours]]+VLOOKUP(tblWorkPackages[[#This Row],[Task type]],'Forecast validation'!$A$14:$E$25,IF(tblWorkPackages[[#This Row],[Time split]]="Validation H1",4,5),FALSE()))</f>
        <v>10.2561224489796</v>
      </c>
      <c r="U646" s="51">
        <f>IF(tblWorkPackages[[#This Row],[Calibrated forecast hours]]="","",ABS(tblWorkPackages[[#This Row],[Actual labor hours]]-tblWorkPackages[[#This Row],[Calibrated forecast hours]]))</f>
        <v>2.14387755102041</v>
      </c>
      <c r="V646" s="51">
        <f>IF(tblWorkPackages[[#This Row],[Time split]]="Train 2024",tblWorkPackages[[#This Row],[Estimated labor hours]],tblWorkPackages[[#This Row],[Calibrated forecast hours]])</f>
        <v>10.2561224489796</v>
      </c>
      <c r="W646" s="64">
        <f>DATEVALUE(tblWorkPackages[[#This Row],[Request date]])</f>
        <v>45746.0</v>
      </c>
      <c r="X646" s="64">
        <f>DATEVALUE(tblWorkPackages[[#This Row],[Due date]])</f>
        <v>45759.0</v>
      </c>
      <c r="Y646" s="64">
        <f>DATEVALUE(tblWorkPackages[[#This Row],[Completion date]])</f>
        <v>45757.0</v>
      </c>
      <c r="Z646" s="64">
        <f>_xlfn.MINIFS(tblLaborEntries[Work date serial],tblLaborEntries[Work package ID],tblWorkPackages[[#This Row],[Work package ID]])</f>
        <v>45755.0</v>
      </c>
      <c r="AA646" s="64">
        <f>_xlfn.MAXIFS(tblLaborEntries[Work date serial],tblLaborEntries[Work package ID],tblWorkPackages[[#This Row],[Work package ID]])</f>
        <v>45757.0</v>
      </c>
      <c r="AB646" s="65">
        <f>IF(tblWorkPackages[[#This Row],[Completion date serial]]&gt;tblWorkPackages[[#This Row],[Due date serial]],1,0)</f>
        <v>0</v>
      </c>
      <c r="AC646" s="65">
        <f>MAX(0,tblWorkPackages[[#This Row],[Completion date serial]]-tblWorkPackages[[#This Row],[Due date serial]])</f>
        <v>0</v>
      </c>
      <c r="AD646" s="65">
        <f>tblWorkPackages[[#This Row],[First labor date]]-tblWorkPackages[[#This Row],[Request date serial]]</f>
        <v>9</v>
      </c>
      <c r="AE646" s="65">
        <f>tblWorkPackages[[#This Row],[Last labor date]]-tblWorkPackages[[#This Row],[First labor date]]</f>
        <v>2</v>
      </c>
      <c r="AF646" s="65">
        <f>tblWorkPackages[[#This Row],[Completion date serial]]-tblWorkPackages[[#This Row],[Last labor date]]</f>
        <v>0</v>
      </c>
      <c r="AG646" s="65">
        <f>tblWorkPackages[[#This Row],[Completion date serial]]-tblWorkPackages[[#This Row],[Request date serial]]</f>
        <v>11</v>
      </c>
      <c r="AH646" s="65">
        <f>IFERROR(INDEX(tblParts[Delay days],MATCH(tblWorkPackages[[#This Row],[Work package ID]],tblParts[Work package ID],0)),0)</f>
        <v>0</v>
      </c>
      <c r="AI646" s="51" t="str">
        <f>IFERROR(INDEX(tblDisruptions[Event type],MATCH(tblWorkPackages[[#This Row],[Work package ID]],tblDisruptions[Work package ID],0)),"None")</f>
        <v>None</v>
      </c>
      <c r="AJ646" s="51" t="str">
        <f>TEXT(tblWorkPackages[[#This Row],[Due date serial]],"yyyy-mm")</f>
        <v>2025-04</v>
      </c>
    </row>
    <row r="647" spans="1:36" ht="15" x14ac:dyDescent="0.25">
      <c r="A647" s="53" t="s">
        <v>1501</v>
      </c>
      <c r="B647" s="53" t="s">
        <v>163</v>
      </c>
      <c r="C647" s="53" t="s">
        <v>384</v>
      </c>
      <c r="D647" s="53" t="s">
        <v>412</v>
      </c>
      <c r="E647" s="53" t="s">
        <v>127</v>
      </c>
      <c r="F647" s="53" t="s">
        <v>128</v>
      </c>
      <c r="G647" s="53" t="s">
        <v>129</v>
      </c>
      <c r="H647" s="53">
        <v>4</v>
      </c>
      <c r="I647" s="53" t="s">
        <v>176</v>
      </c>
      <c r="J647" s="53">
        <v>1</v>
      </c>
      <c r="K647" s="53">
        <v>0</v>
      </c>
      <c r="L647" s="53">
        <v>13.3</v>
      </c>
      <c r="M647" s="53" t="s">
        <v>716</v>
      </c>
      <c r="N647" s="53">
        <v>16.7</v>
      </c>
      <c r="O647" s="51" t="str">
        <f>TEXT(tblWorkPackages[[#This Row],[Request date serial]]-WEEKDAY(tblWorkPackages[[#This Row],[Request date serial]],3),"yyyy-mm-dd")</f>
        <v>2025-02-17</v>
      </c>
      <c r="P647" s="51">
        <f>ABS(tblWorkPackages[[#This Row],[Actual labor hours]]-tblWorkPackages[[#This Row],[Estimated labor hours]])</f>
        <v>3.4</v>
      </c>
      <c r="Q647" s="51">
        <f>IF(tblWorkPackages[[#This Row],[Actual labor hours]]&gt;tblWorkPackages[[#This Row],[Estimated labor hours]],1,0)</f>
        <v>1</v>
      </c>
      <c r="R647" s="51">
        <f>tblWorkPackages[[#This Row],[Actual labor hours]]-tblWorkPackages[[#This Row],[Estimated labor hours]]</f>
        <v>3.4</v>
      </c>
      <c r="S647" s="51" t="str">
        <f>IF(tblWorkPackages[[#This Row],[Request date serial]]&lt;ValidationStart,"Train 2024",IF(tblWorkPackages[[#This Row],[Request date serial]]&lt;HoldoutStart,"Validation H1","Holdout H2"))</f>
        <v>Validation H1</v>
      </c>
      <c r="T647" s="51">
        <f>IF(tblWorkPackages[[#This Row],[Time split]]="Train 2024","",tblWorkPackages[[#This Row],[Estimated labor hours]]+VLOOKUP(tblWorkPackages[[#This Row],[Task type]],'Forecast validation'!$A$14:$E$25,IF(tblWorkPackages[[#This Row],[Time split]]="Validation H1",4,5),FALSE()))</f>
        <v>13.775641025641</v>
      </c>
      <c r="U647" s="51">
        <f>IF(tblWorkPackages[[#This Row],[Calibrated forecast hours]]="","",ABS(tblWorkPackages[[#This Row],[Actual labor hours]]-tblWorkPackages[[#This Row],[Calibrated forecast hours]]))</f>
        <v>2.92435897435897</v>
      </c>
      <c r="V647" s="51">
        <f>IF(tblWorkPackages[[#This Row],[Time split]]="Train 2024",tblWorkPackages[[#This Row],[Estimated labor hours]],tblWorkPackages[[#This Row],[Calibrated forecast hours]])</f>
        <v>13.775641025641</v>
      </c>
      <c r="W647" s="64">
        <f>DATEVALUE(tblWorkPackages[[#This Row],[Request date]])</f>
        <v>45706.0</v>
      </c>
      <c r="X647" s="64">
        <f>DATEVALUE(tblWorkPackages[[#This Row],[Due date]])</f>
        <v>45712.0</v>
      </c>
      <c r="Y647" s="64">
        <f>DATEVALUE(tblWorkPackages[[#This Row],[Completion date]])</f>
        <v>45710.0</v>
      </c>
      <c r="Z647" s="64">
        <f>_xlfn.MINIFS(tblLaborEntries[Work date serial],tblLaborEntries[Work package ID],tblWorkPackages[[#This Row],[Work package ID]])</f>
        <v>45708.0</v>
      </c>
      <c r="AA647" s="64">
        <f>_xlfn.MAXIFS(tblLaborEntries[Work date serial],tblLaborEntries[Work package ID],tblWorkPackages[[#This Row],[Work package ID]])</f>
        <v>45709.0</v>
      </c>
      <c r="AB647" s="65">
        <f>IF(tblWorkPackages[[#This Row],[Completion date serial]]&gt;tblWorkPackages[[#This Row],[Due date serial]],1,0)</f>
        <v>0</v>
      </c>
      <c r="AC647" s="65">
        <f>MAX(0,tblWorkPackages[[#This Row],[Completion date serial]]-tblWorkPackages[[#This Row],[Due date serial]])</f>
        <v>0</v>
      </c>
      <c r="AD647" s="65">
        <f>tblWorkPackages[[#This Row],[First labor date]]-tblWorkPackages[[#This Row],[Request date serial]]</f>
        <v>2</v>
      </c>
      <c r="AE647" s="65">
        <f>tblWorkPackages[[#This Row],[Last labor date]]-tblWorkPackages[[#This Row],[First labor date]]</f>
        <v>1</v>
      </c>
      <c r="AF647" s="65">
        <f>tblWorkPackages[[#This Row],[Completion date serial]]-tblWorkPackages[[#This Row],[Last labor date]]</f>
        <v>1</v>
      </c>
      <c r="AG647" s="65">
        <f>tblWorkPackages[[#This Row],[Completion date serial]]-tblWorkPackages[[#This Row],[Request date serial]]</f>
        <v>4</v>
      </c>
      <c r="AH647" s="65">
        <f>IFERROR(INDEX(tblParts[Delay days],MATCH(tblWorkPackages[[#This Row],[Work package ID]],tblParts[Work package ID],0)),0)</f>
        <v>0</v>
      </c>
      <c r="AI647" s="51" t="str">
        <f>IFERROR(INDEX(tblDisruptions[Event type],MATCH(tblWorkPackages[[#This Row],[Work package ID]],tblDisruptions[Work package ID],0)),"None")</f>
        <v>None</v>
      </c>
      <c r="AJ647" s="51" t="str">
        <f>TEXT(tblWorkPackages[[#This Row],[Due date serial]],"yyyy-mm")</f>
        <v>2025-02</v>
      </c>
    </row>
    <row r="648" spans="1:36" ht="15" x14ac:dyDescent="0.25">
      <c r="A648" s="53" t="s">
        <v>1502</v>
      </c>
      <c r="B648" s="53" t="s">
        <v>250</v>
      </c>
      <c r="C648" s="53" t="s">
        <v>1017</v>
      </c>
      <c r="D648" s="53" t="s">
        <v>538</v>
      </c>
      <c r="E648" s="53" t="s">
        <v>209</v>
      </c>
      <c r="F648" s="53" t="s">
        <v>145</v>
      </c>
      <c r="G648" s="53" t="s">
        <v>210</v>
      </c>
      <c r="H648" s="53">
        <v>1</v>
      </c>
      <c r="I648" s="53" t="s">
        <v>176</v>
      </c>
      <c r="J648" s="53">
        <v>0</v>
      </c>
      <c r="K648" s="53">
        <v>1</v>
      </c>
      <c r="L648" s="53">
        <v>12.2</v>
      </c>
      <c r="M648" s="53" t="s">
        <v>653</v>
      </c>
      <c r="N648" s="53">
        <v>11.3</v>
      </c>
      <c r="O648" s="51" t="str">
        <f>TEXT(tblWorkPackages[[#This Row],[Request date serial]]-WEEKDAY(tblWorkPackages[[#This Row],[Request date serial]],3),"yyyy-mm-dd")</f>
        <v>2025-11-10</v>
      </c>
      <c r="P648" s="51">
        <f>ABS(tblWorkPackages[[#This Row],[Actual labor hours]]-tblWorkPackages[[#This Row],[Estimated labor hours]])</f>
        <v>0.899999999999999</v>
      </c>
      <c r="Q648" s="51">
        <f>IF(tblWorkPackages[[#This Row],[Actual labor hours]]&gt;tblWorkPackages[[#This Row],[Estimated labor hours]],1,0)</f>
        <v>0</v>
      </c>
      <c r="R648" s="51">
        <f>tblWorkPackages[[#This Row],[Actual labor hours]]-tblWorkPackages[[#This Row],[Estimated labor hours]]</f>
        <v>-0.899999999999999</v>
      </c>
      <c r="S648" s="51" t="str">
        <f>IF(tblWorkPackages[[#This Row],[Request date serial]]&lt;ValidationStart,"Train 2024",IF(tblWorkPackages[[#This Row],[Request date serial]]&lt;HoldoutStart,"Validation H1","Holdout H2"))</f>
        <v>Holdout H2</v>
      </c>
      <c r="T648" s="51">
        <f>IF(tblWorkPackages[[#This Row],[Time split]]="Train 2024","",tblWorkPackages[[#This Row],[Estimated labor hours]]+VLOOKUP(tblWorkPackages[[#This Row],[Task type]],'Forecast validation'!$A$14:$E$25,IF(tblWorkPackages[[#This Row],[Time split]]="Validation H1",4,5),FALSE()))</f>
        <v>13.995652173913</v>
      </c>
      <c r="U648" s="51">
        <f>IF(tblWorkPackages[[#This Row],[Calibrated forecast hours]]="","",ABS(tblWorkPackages[[#This Row],[Actual labor hours]]-tblWorkPackages[[#This Row],[Calibrated forecast hours]]))</f>
        <v>2.69565217391304</v>
      </c>
      <c r="V648" s="51">
        <f>IF(tblWorkPackages[[#This Row],[Time split]]="Train 2024",tblWorkPackages[[#This Row],[Estimated labor hours]],tblWorkPackages[[#This Row],[Calibrated forecast hours]])</f>
        <v>13.995652173913</v>
      </c>
      <c r="W648" s="64">
        <f>DATEVALUE(tblWorkPackages[[#This Row],[Request date]])</f>
        <v>45972.0</v>
      </c>
      <c r="X648" s="64">
        <f>DATEVALUE(tblWorkPackages[[#This Row],[Due date]])</f>
        <v>45978.0</v>
      </c>
      <c r="Y648" s="64">
        <f>DATEVALUE(tblWorkPackages[[#This Row],[Completion date]])</f>
        <v>46000.0</v>
      </c>
      <c r="Z648" s="64">
        <f>_xlfn.MINIFS(tblLaborEntries[Work date serial],tblLaborEntries[Work package ID],tblWorkPackages[[#This Row],[Work package ID]])</f>
        <v>45997.0</v>
      </c>
      <c r="AA648" s="64">
        <f>_xlfn.MAXIFS(tblLaborEntries[Work date serial],tblLaborEntries[Work package ID],tblWorkPackages[[#This Row],[Work package ID]])</f>
        <v>45998.0</v>
      </c>
      <c r="AB648" s="65">
        <f>IF(tblWorkPackages[[#This Row],[Completion date serial]]&gt;tblWorkPackages[[#This Row],[Due date serial]],1,0)</f>
        <v>1</v>
      </c>
      <c r="AC648" s="65">
        <f>MAX(0,tblWorkPackages[[#This Row],[Completion date serial]]-tblWorkPackages[[#This Row],[Due date serial]])</f>
        <v>22</v>
      </c>
      <c r="AD648" s="65">
        <f>tblWorkPackages[[#This Row],[First labor date]]-tblWorkPackages[[#This Row],[Request date serial]]</f>
        <v>25</v>
      </c>
      <c r="AE648" s="65">
        <f>tblWorkPackages[[#This Row],[Last labor date]]-tblWorkPackages[[#This Row],[First labor date]]</f>
        <v>1</v>
      </c>
      <c r="AF648" s="65">
        <f>tblWorkPackages[[#This Row],[Completion date serial]]-tblWorkPackages[[#This Row],[Last labor date]]</f>
        <v>2</v>
      </c>
      <c r="AG648" s="65">
        <f>tblWorkPackages[[#This Row],[Completion date serial]]-tblWorkPackages[[#This Row],[Request date serial]]</f>
        <v>28</v>
      </c>
      <c r="AH648" s="65">
        <f>IFERROR(INDEX(tblParts[Delay days],MATCH(tblWorkPackages[[#This Row],[Work package ID]],tblParts[Work package ID],0)),0)</f>
        <v>0</v>
      </c>
      <c r="AI648" s="51" t="str">
        <f>IFERROR(INDEX(tblDisruptions[Event type],MATCH(tblWorkPackages[[#This Row],[Work package ID]],tblDisruptions[Work package ID],0)),"None")</f>
        <v>None</v>
      </c>
      <c r="AJ648" s="51" t="str">
        <f>TEXT(tblWorkPackages[[#This Row],[Due date serial]],"yyyy-mm")</f>
        <v>2025-11</v>
      </c>
    </row>
    <row r="649" spans="1:36" ht="15" x14ac:dyDescent="0.25">
      <c r="A649" s="53" t="s">
        <v>1503</v>
      </c>
      <c r="B649" s="53" t="s">
        <v>287</v>
      </c>
      <c r="C649" s="53" t="s">
        <v>501</v>
      </c>
      <c r="D649" s="53" t="s">
        <v>1504</v>
      </c>
      <c r="E649" s="53" t="s">
        <v>144</v>
      </c>
      <c r="F649" s="53" t="s">
        <v>145</v>
      </c>
      <c r="G649" s="53" t="s">
        <v>146</v>
      </c>
      <c r="H649" s="53">
        <v>1</v>
      </c>
      <c r="I649" s="53" t="s">
        <v>130</v>
      </c>
      <c r="J649" s="53">
        <v>0</v>
      </c>
      <c r="K649" s="53">
        <v>1</v>
      </c>
      <c r="L649" s="53">
        <v>7</v>
      </c>
      <c r="M649" s="53" t="s">
        <v>226</v>
      </c>
      <c r="N649" s="53">
        <v>8.6</v>
      </c>
      <c r="O649" s="51" t="str">
        <f>TEXT(tblWorkPackages[[#This Row],[Request date serial]]-WEEKDAY(tblWorkPackages[[#This Row],[Request date serial]],3),"yyyy-mm-dd")</f>
        <v>2025-07-07</v>
      </c>
      <c r="P649" s="51">
        <f>ABS(tblWorkPackages[[#This Row],[Actual labor hours]]-tblWorkPackages[[#This Row],[Estimated labor hours]])</f>
        <v>1.6</v>
      </c>
      <c r="Q649" s="51">
        <f>IF(tblWorkPackages[[#This Row],[Actual labor hours]]&gt;tblWorkPackages[[#This Row],[Estimated labor hours]],1,0)</f>
        <v>1</v>
      </c>
      <c r="R649" s="51">
        <f>tblWorkPackages[[#This Row],[Actual labor hours]]-tblWorkPackages[[#This Row],[Estimated labor hours]]</f>
        <v>1.6</v>
      </c>
      <c r="S649" s="51" t="str">
        <f>IF(tblWorkPackages[[#This Row],[Request date serial]]&lt;ValidationStart,"Train 2024",IF(tblWorkPackages[[#This Row],[Request date serial]]&lt;HoldoutStart,"Validation H1","Holdout H2"))</f>
        <v>Holdout H2</v>
      </c>
      <c r="T649" s="51">
        <f>IF(tblWorkPackages[[#This Row],[Time split]]="Train 2024","",tblWorkPackages[[#This Row],[Estimated labor hours]]+VLOOKUP(tblWorkPackages[[#This Row],[Task type]],'Forecast validation'!$A$14:$E$25,IF(tblWorkPackages[[#This Row],[Time split]]="Validation H1",4,5),FALSE()))</f>
        <v>7.97354838709677</v>
      </c>
      <c r="U649" s="51">
        <f>IF(tblWorkPackages[[#This Row],[Calibrated forecast hours]]="","",ABS(tblWorkPackages[[#This Row],[Actual labor hours]]-tblWorkPackages[[#This Row],[Calibrated forecast hours]]))</f>
        <v>0.626451612903225</v>
      </c>
      <c r="V649" s="51">
        <f>IF(tblWorkPackages[[#This Row],[Time split]]="Train 2024",tblWorkPackages[[#This Row],[Estimated labor hours]],tblWorkPackages[[#This Row],[Calibrated forecast hours]])</f>
        <v>7.97354838709677</v>
      </c>
      <c r="W649" s="64">
        <f>DATEVALUE(tblWorkPackages[[#This Row],[Request date]])</f>
        <v>45848.0</v>
      </c>
      <c r="X649" s="64">
        <f>DATEVALUE(tblWorkPackages[[#This Row],[Due date]])</f>
        <v>45861.0</v>
      </c>
      <c r="Y649" s="64">
        <f>DATEVALUE(tblWorkPackages[[#This Row],[Completion date]])</f>
        <v>45857.0</v>
      </c>
      <c r="Z649" s="64">
        <f>_xlfn.MINIFS(tblLaborEntries[Work date serial],tblLaborEntries[Work package ID],tblWorkPackages[[#This Row],[Work package ID]])</f>
        <v>45852.0</v>
      </c>
      <c r="AA649" s="64">
        <f>_xlfn.MAXIFS(tblLaborEntries[Work date serial],tblLaborEntries[Work package ID],tblWorkPackages[[#This Row],[Work package ID]])</f>
        <v>45854.0</v>
      </c>
      <c r="AB649" s="65">
        <f>IF(tblWorkPackages[[#This Row],[Completion date serial]]&gt;tblWorkPackages[[#This Row],[Due date serial]],1,0)</f>
        <v>0</v>
      </c>
      <c r="AC649" s="65">
        <f>MAX(0,tblWorkPackages[[#This Row],[Completion date serial]]-tblWorkPackages[[#This Row],[Due date serial]])</f>
        <v>0</v>
      </c>
      <c r="AD649" s="65">
        <f>tblWorkPackages[[#This Row],[First labor date]]-tblWorkPackages[[#This Row],[Request date serial]]</f>
        <v>4</v>
      </c>
      <c r="AE649" s="65">
        <f>tblWorkPackages[[#This Row],[Last labor date]]-tblWorkPackages[[#This Row],[First labor date]]</f>
        <v>2</v>
      </c>
      <c r="AF649" s="65">
        <f>tblWorkPackages[[#This Row],[Completion date serial]]-tblWorkPackages[[#This Row],[Last labor date]]</f>
        <v>3</v>
      </c>
      <c r="AG649" s="65">
        <f>tblWorkPackages[[#This Row],[Completion date serial]]-tblWorkPackages[[#This Row],[Request date serial]]</f>
        <v>9</v>
      </c>
      <c r="AH649" s="65">
        <f>IFERROR(INDEX(tblParts[Delay days],MATCH(tblWorkPackages[[#This Row],[Work package ID]],tblParts[Work package ID],0)),0)</f>
        <v>0</v>
      </c>
      <c r="AI649" s="51" t="str">
        <f>IFERROR(INDEX(tblDisruptions[Event type],MATCH(tblWorkPackages[[#This Row],[Work package ID]],tblDisruptions[Work package ID],0)),"None")</f>
        <v>Scope change</v>
      </c>
      <c r="AJ649" s="51" t="str">
        <f>TEXT(tblWorkPackages[[#This Row],[Due date serial]],"yyyy-mm")</f>
        <v>2025-07</v>
      </c>
    </row>
    <row r="650" spans="1:36" ht="15" x14ac:dyDescent="0.25">
      <c r="A650" s="53" t="s">
        <v>1505</v>
      </c>
      <c r="B650" s="53" t="s">
        <v>163</v>
      </c>
      <c r="C650" s="53" t="s">
        <v>419</v>
      </c>
      <c r="D650" s="53" t="s">
        <v>304</v>
      </c>
      <c r="E650" s="53" t="s">
        <v>209</v>
      </c>
      <c r="F650" s="53" t="s">
        <v>145</v>
      </c>
      <c r="G650" s="53" t="s">
        <v>210</v>
      </c>
      <c r="H650" s="53">
        <v>1</v>
      </c>
      <c r="I650" s="53" t="s">
        <v>130</v>
      </c>
      <c r="J650" s="53">
        <v>0</v>
      </c>
      <c r="K650" s="53">
        <v>1</v>
      </c>
      <c r="L650" s="53">
        <v>14</v>
      </c>
      <c r="M650" s="53" t="s">
        <v>575</v>
      </c>
      <c r="N650" s="53">
        <v>12.1</v>
      </c>
      <c r="O650" s="51" t="str">
        <f>TEXT(tblWorkPackages[[#This Row],[Request date serial]]-WEEKDAY(tblWorkPackages[[#This Row],[Request date serial]],3),"yyyy-mm-dd")</f>
        <v>2024-06-10</v>
      </c>
      <c r="P650" s="51">
        <f>ABS(tblWorkPackages[[#This Row],[Actual labor hours]]-tblWorkPackages[[#This Row],[Estimated labor hours]])</f>
        <v>1.9</v>
      </c>
      <c r="Q650" s="51">
        <f>IF(tblWorkPackages[[#This Row],[Actual labor hours]]&gt;tblWorkPackages[[#This Row],[Estimated labor hours]],1,0)</f>
        <v>0</v>
      </c>
      <c r="R650" s="51">
        <f>tblWorkPackages[[#This Row],[Actual labor hours]]-tblWorkPackages[[#This Row],[Estimated labor hours]]</f>
        <v>-1.9</v>
      </c>
      <c r="S650" s="51" t="str">
        <f>IF(tblWorkPackages[[#This Row],[Request date serial]]&lt;ValidationStart,"Train 2024",IF(tblWorkPackages[[#This Row],[Request date serial]]&lt;HoldoutStart,"Validation H1","Holdout H2"))</f>
        <v>Train 2024</v>
      </c>
      <c r="T650" s="51" t="str">
        <f>IF(tblWorkPackages[[#This Row],[Time split]]="Train 2024","",tblWorkPackages[[#This Row],[Estimated labor hours]]+VLOOKUP(tblWorkPackages[[#This Row],[Task type]],'Forecast validation'!$A$14:$E$25,IF(tblWorkPackages[[#This Row],[Time split]]="Validation H1",4,5),FALSE()))</f>
        <v/>
      </c>
      <c r="U650" s="51" t="str">
        <f>IF(tblWorkPackages[[#This Row],[Calibrated forecast hours]]="","",ABS(tblWorkPackages[[#This Row],[Actual labor hours]]-tblWorkPackages[[#This Row],[Calibrated forecast hours]]))</f>
        <v/>
      </c>
      <c r="V650" s="51">
        <f>IF(tblWorkPackages[[#This Row],[Time split]]="Train 2024",tblWorkPackages[[#This Row],[Estimated labor hours]],tblWorkPackages[[#This Row],[Calibrated forecast hours]])</f>
        <v>14</v>
      </c>
      <c r="W650" s="64">
        <f>DATEVALUE(tblWorkPackages[[#This Row],[Request date]])</f>
        <v>45457.0</v>
      </c>
      <c r="X650" s="64">
        <f>DATEVALUE(tblWorkPackages[[#This Row],[Due date]])</f>
        <v>45470.0</v>
      </c>
      <c r="Y650" s="64">
        <f>DATEVALUE(tblWorkPackages[[#This Row],[Completion date]])</f>
        <v>45458.0</v>
      </c>
      <c r="Z650" s="64">
        <f>_xlfn.MINIFS(tblLaborEntries[Work date serial],tblLaborEntries[Work package ID],tblWorkPackages[[#This Row],[Work package ID]])</f>
        <v>45458.0</v>
      </c>
      <c r="AA650" s="64">
        <f>_xlfn.MAXIFS(tblLaborEntries[Work date serial],tblLaborEntries[Work package ID],tblWorkPackages[[#This Row],[Work package ID]])</f>
        <v>45458.0</v>
      </c>
      <c r="AB650" s="65">
        <f>IF(tblWorkPackages[[#This Row],[Completion date serial]]&gt;tblWorkPackages[[#This Row],[Due date serial]],1,0)</f>
        <v>0</v>
      </c>
      <c r="AC650" s="65">
        <f>MAX(0,tblWorkPackages[[#This Row],[Completion date serial]]-tblWorkPackages[[#This Row],[Due date serial]])</f>
        <v>0</v>
      </c>
      <c r="AD650" s="65">
        <f>tblWorkPackages[[#This Row],[First labor date]]-tblWorkPackages[[#This Row],[Request date serial]]</f>
        <v>1</v>
      </c>
      <c r="AE650" s="65">
        <f>tblWorkPackages[[#This Row],[Last labor date]]-tblWorkPackages[[#This Row],[First labor date]]</f>
        <v>0</v>
      </c>
      <c r="AF650" s="65">
        <f>tblWorkPackages[[#This Row],[Completion date serial]]-tblWorkPackages[[#This Row],[Last labor date]]</f>
        <v>0</v>
      </c>
      <c r="AG650" s="65">
        <f>tblWorkPackages[[#This Row],[Completion date serial]]-tblWorkPackages[[#This Row],[Request date serial]]</f>
        <v>1</v>
      </c>
      <c r="AH650" s="65">
        <f>IFERROR(INDEX(tblParts[Delay days],MATCH(tblWorkPackages[[#This Row],[Work package ID]],tblParts[Work package ID],0)),0)</f>
        <v>0</v>
      </c>
      <c r="AI650" s="51" t="str">
        <f>IFERROR(INDEX(tblDisruptions[Event type],MATCH(tblWorkPackages[[#This Row],[Work package ID]],tblDisruptions[Work package ID],0)),"None")</f>
        <v>None</v>
      </c>
      <c r="AJ650" s="51" t="str">
        <f>TEXT(tblWorkPackages[[#This Row],[Due date serial]],"yyyy-mm")</f>
        <v>2024-06</v>
      </c>
    </row>
    <row r="651" spans="1:36" ht="15" x14ac:dyDescent="0.25">
      <c r="A651" s="53" t="s">
        <v>1506</v>
      </c>
      <c r="B651" s="53" t="s">
        <v>250</v>
      </c>
      <c r="C651" s="53" t="s">
        <v>396</v>
      </c>
      <c r="D651" s="53" t="s">
        <v>732</v>
      </c>
      <c r="E651" s="53" t="s">
        <v>223</v>
      </c>
      <c r="F651" s="53" t="s">
        <v>182</v>
      </c>
      <c r="G651" s="53" t="s">
        <v>154</v>
      </c>
      <c r="H651" s="53">
        <v>3</v>
      </c>
      <c r="I651" s="53" t="s">
        <v>130</v>
      </c>
      <c r="J651" s="53">
        <v>0</v>
      </c>
      <c r="K651" s="53">
        <v>1</v>
      </c>
      <c r="L651" s="53">
        <v>15.7</v>
      </c>
      <c r="M651" s="53" t="s">
        <v>259</v>
      </c>
      <c r="N651" s="53">
        <v>18.2</v>
      </c>
      <c r="O651" s="51" t="str">
        <f>TEXT(tblWorkPackages[[#This Row],[Request date serial]]-WEEKDAY(tblWorkPackages[[#This Row],[Request date serial]],3),"yyyy-mm-dd")</f>
        <v>2024-12-30</v>
      </c>
      <c r="P651" s="51">
        <f>ABS(tblWorkPackages[[#This Row],[Actual labor hours]]-tblWorkPackages[[#This Row],[Estimated labor hours]])</f>
        <v>2.5</v>
      </c>
      <c r="Q651" s="51">
        <f>IF(tblWorkPackages[[#This Row],[Actual labor hours]]&gt;tblWorkPackages[[#This Row],[Estimated labor hours]],1,0)</f>
        <v>1</v>
      </c>
      <c r="R651" s="51">
        <f>tblWorkPackages[[#This Row],[Actual labor hours]]-tblWorkPackages[[#This Row],[Estimated labor hours]]</f>
        <v>2.5</v>
      </c>
      <c r="S651" s="51" t="str">
        <f>IF(tblWorkPackages[[#This Row],[Request date serial]]&lt;ValidationStart,"Train 2024",IF(tblWorkPackages[[#This Row],[Request date serial]]&lt;HoldoutStart,"Validation H1","Holdout H2"))</f>
        <v>Train 2024</v>
      </c>
      <c r="T651" s="51" t="str">
        <f>IF(tblWorkPackages[[#This Row],[Time split]]="Train 2024","",tblWorkPackages[[#This Row],[Estimated labor hours]]+VLOOKUP(tblWorkPackages[[#This Row],[Task type]],'Forecast validation'!$A$14:$E$25,IF(tblWorkPackages[[#This Row],[Time split]]="Validation H1",4,5),FALSE()))</f>
        <v/>
      </c>
      <c r="U651" s="51" t="str">
        <f>IF(tblWorkPackages[[#This Row],[Calibrated forecast hours]]="","",ABS(tblWorkPackages[[#This Row],[Actual labor hours]]-tblWorkPackages[[#This Row],[Calibrated forecast hours]]))</f>
        <v/>
      </c>
      <c r="V651" s="51">
        <f>IF(tblWorkPackages[[#This Row],[Time split]]="Train 2024",tblWorkPackages[[#This Row],[Estimated labor hours]],tblWorkPackages[[#This Row],[Calibrated forecast hours]])</f>
        <v>15.7</v>
      </c>
      <c r="W651" s="64">
        <f>DATEVALUE(tblWorkPackages[[#This Row],[Request date]])</f>
        <v>45657.0</v>
      </c>
      <c r="X651" s="64">
        <f>DATEVALUE(tblWorkPackages[[#This Row],[Due date]])</f>
        <v>45670.0</v>
      </c>
      <c r="Y651" s="64">
        <f>DATEVALUE(tblWorkPackages[[#This Row],[Completion date]])</f>
        <v>45673.0</v>
      </c>
      <c r="Z651" s="64">
        <f>_xlfn.MINIFS(tblLaborEntries[Work date serial],tblLaborEntries[Work package ID],tblWorkPackages[[#This Row],[Work package ID]])</f>
        <v>45670.0</v>
      </c>
      <c r="AA651" s="64">
        <f>_xlfn.MAXIFS(tblLaborEntries[Work date serial],tblLaborEntries[Work package ID],tblWorkPackages[[#This Row],[Work package ID]])</f>
        <v>45672.0</v>
      </c>
      <c r="AB651" s="65">
        <f>IF(tblWorkPackages[[#This Row],[Completion date serial]]&gt;tblWorkPackages[[#This Row],[Due date serial]],1,0)</f>
        <v>1</v>
      </c>
      <c r="AC651" s="65">
        <f>MAX(0,tblWorkPackages[[#This Row],[Completion date serial]]-tblWorkPackages[[#This Row],[Due date serial]])</f>
        <v>3</v>
      </c>
      <c r="AD651" s="65">
        <f>tblWorkPackages[[#This Row],[First labor date]]-tblWorkPackages[[#This Row],[Request date serial]]</f>
        <v>13</v>
      </c>
      <c r="AE651" s="65">
        <f>tblWorkPackages[[#This Row],[Last labor date]]-tblWorkPackages[[#This Row],[First labor date]]</f>
        <v>2</v>
      </c>
      <c r="AF651" s="65">
        <f>tblWorkPackages[[#This Row],[Completion date serial]]-tblWorkPackages[[#This Row],[Last labor date]]</f>
        <v>1</v>
      </c>
      <c r="AG651" s="65">
        <f>tblWorkPackages[[#This Row],[Completion date serial]]-tblWorkPackages[[#This Row],[Request date serial]]</f>
        <v>16</v>
      </c>
      <c r="AH651" s="65">
        <f>IFERROR(INDEX(tblParts[Delay days],MATCH(tblWorkPackages[[#This Row],[Work package ID]],tblParts[Work package ID],0)),0)</f>
        <v>0</v>
      </c>
      <c r="AI651" s="51" t="str">
        <f>IFERROR(INDEX(tblDisruptions[Event type],MATCH(tblWorkPackages[[#This Row],[Work package ID]],tblDisruptions[Work package ID],0)),"None")</f>
        <v>None</v>
      </c>
      <c r="AJ651" s="51" t="str">
        <f>TEXT(tblWorkPackages[[#This Row],[Due date serial]],"yyyy-mm")</f>
        <v>2025-01</v>
      </c>
    </row>
    <row r="652" spans="1:36" ht="15" x14ac:dyDescent="0.25">
      <c r="A652" s="53" t="s">
        <v>1507</v>
      </c>
      <c r="B652" s="53" t="s">
        <v>124</v>
      </c>
      <c r="C652" s="53" t="s">
        <v>471</v>
      </c>
      <c r="D652" s="53" t="s">
        <v>339</v>
      </c>
      <c r="E652" s="53" t="s">
        <v>144</v>
      </c>
      <c r="F652" s="53" t="s">
        <v>145</v>
      </c>
      <c r="G652" s="53" t="s">
        <v>146</v>
      </c>
      <c r="H652" s="53">
        <v>1</v>
      </c>
      <c r="I652" s="53" t="s">
        <v>130</v>
      </c>
      <c r="J652" s="53">
        <v>1</v>
      </c>
      <c r="K652" s="53">
        <v>1</v>
      </c>
      <c r="L652" s="53">
        <v>7.8</v>
      </c>
      <c r="M652" s="53" t="s">
        <v>970</v>
      </c>
      <c r="N652" s="53">
        <v>8.3000000000000007</v>
      </c>
      <c r="O652" s="51" t="str">
        <f>TEXT(tblWorkPackages[[#This Row],[Request date serial]]-WEEKDAY(tblWorkPackages[[#This Row],[Request date serial]],3),"yyyy-mm-dd")</f>
        <v>2024-04-29</v>
      </c>
      <c r="P652" s="51">
        <f>ABS(tblWorkPackages[[#This Row],[Actual labor hours]]-tblWorkPackages[[#This Row],[Estimated labor hours]])</f>
        <v>0.500000000000001</v>
      </c>
      <c r="Q652" s="51">
        <f>IF(tblWorkPackages[[#This Row],[Actual labor hours]]&gt;tblWorkPackages[[#This Row],[Estimated labor hours]],1,0)</f>
        <v>1</v>
      </c>
      <c r="R652" s="51">
        <f>tblWorkPackages[[#This Row],[Actual labor hours]]-tblWorkPackages[[#This Row],[Estimated labor hours]]</f>
        <v>0.500000000000001</v>
      </c>
      <c r="S652" s="51" t="str">
        <f>IF(tblWorkPackages[[#This Row],[Request date serial]]&lt;ValidationStart,"Train 2024",IF(tblWorkPackages[[#This Row],[Request date serial]]&lt;HoldoutStart,"Validation H1","Holdout H2"))</f>
        <v>Train 2024</v>
      </c>
      <c r="T652" s="51" t="str">
        <f>IF(tblWorkPackages[[#This Row],[Time split]]="Train 2024","",tblWorkPackages[[#This Row],[Estimated labor hours]]+VLOOKUP(tblWorkPackages[[#This Row],[Task type]],'Forecast validation'!$A$14:$E$25,IF(tblWorkPackages[[#This Row],[Time split]]="Validation H1",4,5),FALSE()))</f>
        <v/>
      </c>
      <c r="U652" s="51" t="str">
        <f>IF(tblWorkPackages[[#This Row],[Calibrated forecast hours]]="","",ABS(tblWorkPackages[[#This Row],[Actual labor hours]]-tblWorkPackages[[#This Row],[Calibrated forecast hours]]))</f>
        <v/>
      </c>
      <c r="V652" s="51">
        <f>IF(tblWorkPackages[[#This Row],[Time split]]="Train 2024",tblWorkPackages[[#This Row],[Estimated labor hours]],tblWorkPackages[[#This Row],[Calibrated forecast hours]])</f>
        <v>7.8</v>
      </c>
      <c r="W652" s="64">
        <f>DATEVALUE(tblWorkPackages[[#This Row],[Request date]])</f>
        <v>45413.0</v>
      </c>
      <c r="X652" s="64">
        <f>DATEVALUE(tblWorkPackages[[#This Row],[Due date]])</f>
        <v>45426.0</v>
      </c>
      <c r="Y652" s="64">
        <f>DATEVALUE(tblWorkPackages[[#This Row],[Completion date]])</f>
        <v>45418.0</v>
      </c>
      <c r="Z652" s="64">
        <f>_xlfn.MINIFS(tblLaborEntries[Work date serial],tblLaborEntries[Work package ID],tblWorkPackages[[#This Row],[Work package ID]])</f>
        <v>45416.0</v>
      </c>
      <c r="AA652" s="64">
        <f>_xlfn.MAXIFS(tblLaborEntries[Work date serial],tblLaborEntries[Work package ID],tblWorkPackages[[#This Row],[Work package ID]])</f>
        <v>45416.0</v>
      </c>
      <c r="AB652" s="65">
        <f>IF(tblWorkPackages[[#This Row],[Completion date serial]]&gt;tblWorkPackages[[#This Row],[Due date serial]],1,0)</f>
        <v>0</v>
      </c>
      <c r="AC652" s="65">
        <f>MAX(0,tblWorkPackages[[#This Row],[Completion date serial]]-tblWorkPackages[[#This Row],[Due date serial]])</f>
        <v>0</v>
      </c>
      <c r="AD652" s="65">
        <f>tblWorkPackages[[#This Row],[First labor date]]-tblWorkPackages[[#This Row],[Request date serial]]</f>
        <v>3</v>
      </c>
      <c r="AE652" s="65">
        <f>tblWorkPackages[[#This Row],[Last labor date]]-tblWorkPackages[[#This Row],[First labor date]]</f>
        <v>0</v>
      </c>
      <c r="AF652" s="65">
        <f>tblWorkPackages[[#This Row],[Completion date serial]]-tblWorkPackages[[#This Row],[Last labor date]]</f>
        <v>2</v>
      </c>
      <c r="AG652" s="65">
        <f>tblWorkPackages[[#This Row],[Completion date serial]]-tblWorkPackages[[#This Row],[Request date serial]]</f>
        <v>5</v>
      </c>
      <c r="AH652" s="65">
        <f>IFERROR(INDEX(tblParts[Delay days],MATCH(tblWorkPackages[[#This Row],[Work package ID]],tblParts[Work package ID],0)),0)</f>
        <v>0</v>
      </c>
      <c r="AI652" s="51" t="str">
        <f>IFERROR(INDEX(tblDisruptions[Event type],MATCH(tblWorkPackages[[#This Row],[Work package ID]],tblDisruptions[Work package ID],0)),"None")</f>
        <v>None</v>
      </c>
      <c r="AJ652" s="51" t="str">
        <f>TEXT(tblWorkPackages[[#This Row],[Due date serial]],"yyyy-mm")</f>
        <v>2024-05</v>
      </c>
    </row>
    <row r="653" spans="1:36" ht="15" x14ac:dyDescent="0.25">
      <c r="A653" s="53" t="s">
        <v>1508</v>
      </c>
      <c r="B653" s="53" t="s">
        <v>173</v>
      </c>
      <c r="C653" s="53" t="s">
        <v>967</v>
      </c>
      <c r="D653" s="53" t="s">
        <v>785</v>
      </c>
      <c r="E653" s="53" t="s">
        <v>144</v>
      </c>
      <c r="F653" s="53" t="s">
        <v>145</v>
      </c>
      <c r="G653" s="53" t="s">
        <v>146</v>
      </c>
      <c r="H653" s="53">
        <v>3</v>
      </c>
      <c r="I653" s="53" t="s">
        <v>130</v>
      </c>
      <c r="J653" s="53">
        <v>0</v>
      </c>
      <c r="K653" s="53">
        <v>0</v>
      </c>
      <c r="L653" s="53">
        <v>15.3</v>
      </c>
      <c r="M653" s="53" t="s">
        <v>1076</v>
      </c>
      <c r="N653" s="53">
        <v>19.600000000000001</v>
      </c>
      <c r="O653" s="51" t="str">
        <f>TEXT(tblWorkPackages[[#This Row],[Request date serial]]-WEEKDAY(tblWorkPackages[[#This Row],[Request date serial]],3),"yyyy-mm-dd")</f>
        <v>2025-04-07</v>
      </c>
      <c r="P653" s="51">
        <f>ABS(tblWorkPackages[[#This Row],[Actual labor hours]]-tblWorkPackages[[#This Row],[Estimated labor hours]])</f>
        <v>4.3</v>
      </c>
      <c r="Q653" s="51">
        <f>IF(tblWorkPackages[[#This Row],[Actual labor hours]]&gt;tblWorkPackages[[#This Row],[Estimated labor hours]],1,0)</f>
        <v>1</v>
      </c>
      <c r="R653" s="51">
        <f>tblWorkPackages[[#This Row],[Actual labor hours]]-tblWorkPackages[[#This Row],[Estimated labor hours]]</f>
        <v>4.3</v>
      </c>
      <c r="S653" s="51" t="str">
        <f>IF(tblWorkPackages[[#This Row],[Request date serial]]&lt;ValidationStart,"Train 2024",IF(tblWorkPackages[[#This Row],[Request date serial]]&lt;HoldoutStart,"Validation H1","Holdout H2"))</f>
        <v>Validation H1</v>
      </c>
      <c r="T653" s="51">
        <f>IF(tblWorkPackages[[#This Row],[Time split]]="Train 2024","",tblWorkPackages[[#This Row],[Estimated labor hours]]+VLOOKUP(tblWorkPackages[[#This Row],[Task type]],'Forecast validation'!$A$14:$E$25,IF(tblWorkPackages[[#This Row],[Time split]]="Validation H1",4,5),FALSE()))</f>
        <v>16.0547368421053</v>
      </c>
      <c r="U653" s="51">
        <f>IF(tblWorkPackages[[#This Row],[Calibrated forecast hours]]="","",ABS(tblWorkPackages[[#This Row],[Actual labor hours]]-tblWorkPackages[[#This Row],[Calibrated forecast hours]]))</f>
        <v>3.54526315789474</v>
      </c>
      <c r="V653" s="51">
        <f>IF(tblWorkPackages[[#This Row],[Time split]]="Train 2024",tblWorkPackages[[#This Row],[Estimated labor hours]],tblWorkPackages[[#This Row],[Calibrated forecast hours]])</f>
        <v>16.0547368421053</v>
      </c>
      <c r="W653" s="64">
        <f>DATEVALUE(tblWorkPackages[[#This Row],[Request date]])</f>
        <v>45758.0</v>
      </c>
      <c r="X653" s="64">
        <f>DATEVALUE(tblWorkPackages[[#This Row],[Due date]])</f>
        <v>45771.0</v>
      </c>
      <c r="Y653" s="64">
        <f>DATEVALUE(tblWorkPackages[[#This Row],[Completion date]])</f>
        <v>45804.0</v>
      </c>
      <c r="Z653" s="64">
        <f>_xlfn.MINIFS(tblLaborEntries[Work date serial],tblLaborEntries[Work package ID],tblWorkPackages[[#This Row],[Work package ID]])</f>
        <v>45799.0</v>
      </c>
      <c r="AA653" s="64">
        <f>_xlfn.MAXIFS(tblLaborEntries[Work date serial],tblLaborEntries[Work package ID],tblWorkPackages[[#This Row],[Work package ID]])</f>
        <v>45801.0</v>
      </c>
      <c r="AB653" s="65">
        <f>IF(tblWorkPackages[[#This Row],[Completion date serial]]&gt;tblWorkPackages[[#This Row],[Due date serial]],1,0)</f>
        <v>1</v>
      </c>
      <c r="AC653" s="65">
        <f>MAX(0,tblWorkPackages[[#This Row],[Completion date serial]]-tblWorkPackages[[#This Row],[Due date serial]])</f>
        <v>33</v>
      </c>
      <c r="AD653" s="65">
        <f>tblWorkPackages[[#This Row],[First labor date]]-tblWorkPackages[[#This Row],[Request date serial]]</f>
        <v>41</v>
      </c>
      <c r="AE653" s="65">
        <f>tblWorkPackages[[#This Row],[Last labor date]]-tblWorkPackages[[#This Row],[First labor date]]</f>
        <v>2</v>
      </c>
      <c r="AF653" s="65">
        <f>tblWorkPackages[[#This Row],[Completion date serial]]-tblWorkPackages[[#This Row],[Last labor date]]</f>
        <v>3</v>
      </c>
      <c r="AG653" s="65">
        <f>tblWorkPackages[[#This Row],[Completion date serial]]-tblWorkPackages[[#This Row],[Request date serial]]</f>
        <v>46</v>
      </c>
      <c r="AH653" s="65">
        <f>IFERROR(INDEX(tblParts[Delay days],MATCH(tblWorkPackages[[#This Row],[Work package ID]],tblParts[Work package ID],0)),0)</f>
        <v>0</v>
      </c>
      <c r="AI653" s="51" t="str">
        <f>IFERROR(INDEX(tblDisruptions[Event type],MATCH(tblWorkPackages[[#This Row],[Work package ID]],tblDisruptions[Work package ID],0)),"None")</f>
        <v>None</v>
      </c>
      <c r="AJ653" s="51" t="str">
        <f>TEXT(tblWorkPackages[[#This Row],[Due date serial]],"yyyy-mm")</f>
        <v>2025-04</v>
      </c>
    </row>
    <row r="654" spans="1:36" ht="15" x14ac:dyDescent="0.25">
      <c r="A654" s="53" t="s">
        <v>1509</v>
      </c>
      <c r="B654" s="53" t="s">
        <v>287</v>
      </c>
      <c r="C654" s="53" t="s">
        <v>1510</v>
      </c>
      <c r="D654" s="53" t="s">
        <v>228</v>
      </c>
      <c r="E654" s="53" t="s">
        <v>153</v>
      </c>
      <c r="F654" s="53" t="s">
        <v>128</v>
      </c>
      <c r="G654" s="53" t="s">
        <v>154</v>
      </c>
      <c r="H654" s="53">
        <v>4</v>
      </c>
      <c r="I654" s="53" t="s">
        <v>176</v>
      </c>
      <c r="J654" s="53">
        <v>0</v>
      </c>
      <c r="K654" s="53">
        <v>0</v>
      </c>
      <c r="L654" s="53">
        <v>17.899999999999999</v>
      </c>
      <c r="M654" s="53" t="s">
        <v>1409</v>
      </c>
      <c r="N654" s="53">
        <v>17.3</v>
      </c>
      <c r="O654" s="51" t="str">
        <f>TEXT(tblWorkPackages[[#This Row],[Request date serial]]-WEEKDAY(tblWorkPackages[[#This Row],[Request date serial]],3),"yyyy-mm-dd")</f>
        <v>2025-07-28</v>
      </c>
      <c r="P654" s="51">
        <f>ABS(tblWorkPackages[[#This Row],[Actual labor hours]]-tblWorkPackages[[#This Row],[Estimated labor hours]])</f>
        <v>0.599999999999998</v>
      </c>
      <c r="Q654" s="51">
        <f>IF(tblWorkPackages[[#This Row],[Actual labor hours]]&gt;tblWorkPackages[[#This Row],[Estimated labor hours]],1,0)</f>
        <v>0</v>
      </c>
      <c r="R654" s="51">
        <f>tblWorkPackages[[#This Row],[Actual labor hours]]-tblWorkPackages[[#This Row],[Estimated labor hours]]</f>
        <v>-0.599999999999998</v>
      </c>
      <c r="S654" s="51" t="str">
        <f>IF(tblWorkPackages[[#This Row],[Request date serial]]&lt;ValidationStart,"Train 2024",IF(tblWorkPackages[[#This Row],[Request date serial]]&lt;HoldoutStart,"Validation H1","Holdout H2"))</f>
        <v>Holdout H2</v>
      </c>
      <c r="T654" s="51">
        <f>IF(tblWorkPackages[[#This Row],[Time split]]="Train 2024","",tblWorkPackages[[#This Row],[Estimated labor hours]]+VLOOKUP(tblWorkPackages[[#This Row],[Task type]],'Forecast validation'!$A$14:$E$25,IF(tblWorkPackages[[#This Row],[Time split]]="Validation H1",4,5),FALSE()))</f>
        <v>18.5026666666667</v>
      </c>
      <c r="U654" s="51">
        <f>IF(tblWorkPackages[[#This Row],[Calibrated forecast hours]]="","",ABS(tblWorkPackages[[#This Row],[Actual labor hours]]-tblWorkPackages[[#This Row],[Calibrated forecast hours]]))</f>
        <v>1.20266666666667</v>
      </c>
      <c r="V654" s="51">
        <f>IF(tblWorkPackages[[#This Row],[Time split]]="Train 2024",tblWorkPackages[[#This Row],[Estimated labor hours]],tblWorkPackages[[#This Row],[Calibrated forecast hours]])</f>
        <v>18.5026666666667</v>
      </c>
      <c r="W654" s="64">
        <f>DATEVALUE(tblWorkPackages[[#This Row],[Request date]])</f>
        <v>45866.0</v>
      </c>
      <c r="X654" s="64">
        <f>DATEVALUE(tblWorkPackages[[#This Row],[Due date]])</f>
        <v>45872.0</v>
      </c>
      <c r="Y654" s="64">
        <f>DATEVALUE(tblWorkPackages[[#This Row],[Completion date]])</f>
        <v>45875.0</v>
      </c>
      <c r="Z654" s="64">
        <f>_xlfn.MINIFS(tblLaborEntries[Work date serial],tblLaborEntries[Work package ID],tblWorkPackages[[#This Row],[Work package ID]])</f>
        <v>45873.0</v>
      </c>
      <c r="AA654" s="64">
        <f>_xlfn.MAXIFS(tblLaborEntries[Work date serial],tblLaborEntries[Work package ID],tblWorkPackages[[#This Row],[Work package ID]])</f>
        <v>45875.0</v>
      </c>
      <c r="AB654" s="65">
        <f>IF(tblWorkPackages[[#This Row],[Completion date serial]]&gt;tblWorkPackages[[#This Row],[Due date serial]],1,0)</f>
        <v>1</v>
      </c>
      <c r="AC654" s="65">
        <f>MAX(0,tblWorkPackages[[#This Row],[Completion date serial]]-tblWorkPackages[[#This Row],[Due date serial]])</f>
        <v>3</v>
      </c>
      <c r="AD654" s="65">
        <f>tblWorkPackages[[#This Row],[First labor date]]-tblWorkPackages[[#This Row],[Request date serial]]</f>
        <v>7</v>
      </c>
      <c r="AE654" s="65">
        <f>tblWorkPackages[[#This Row],[Last labor date]]-tblWorkPackages[[#This Row],[First labor date]]</f>
        <v>2</v>
      </c>
      <c r="AF654" s="65">
        <f>tblWorkPackages[[#This Row],[Completion date serial]]-tblWorkPackages[[#This Row],[Last labor date]]</f>
        <v>0</v>
      </c>
      <c r="AG654" s="65">
        <f>tblWorkPackages[[#This Row],[Completion date serial]]-tblWorkPackages[[#This Row],[Request date serial]]</f>
        <v>9</v>
      </c>
      <c r="AH654" s="65">
        <f>IFERROR(INDEX(tblParts[Delay days],MATCH(tblWorkPackages[[#This Row],[Work package ID]],tblParts[Work package ID],0)),0)</f>
        <v>0</v>
      </c>
      <c r="AI654" s="51" t="str">
        <f>IFERROR(INDEX(tblDisruptions[Event type],MATCH(tblWorkPackages[[#This Row],[Work package ID]],tblDisruptions[Work package ID],0)),"None")</f>
        <v>None</v>
      </c>
      <c r="AJ654" s="51" t="str">
        <f>TEXT(tblWorkPackages[[#This Row],[Due date serial]],"yyyy-mm")</f>
        <v>2025-08</v>
      </c>
    </row>
    <row r="655" spans="1:36" ht="15" x14ac:dyDescent="0.25">
      <c r="A655" s="53" t="s">
        <v>1511</v>
      </c>
      <c r="B655" s="53" t="s">
        <v>163</v>
      </c>
      <c r="C655" s="53" t="s">
        <v>729</v>
      </c>
      <c r="D655" s="53" t="s">
        <v>740</v>
      </c>
      <c r="E655" s="53" t="s">
        <v>160</v>
      </c>
      <c r="F655" s="53" t="s">
        <v>128</v>
      </c>
      <c r="G655" s="53" t="s">
        <v>138</v>
      </c>
      <c r="H655" s="53">
        <v>1</v>
      </c>
      <c r="I655" s="53" t="s">
        <v>130</v>
      </c>
      <c r="J655" s="53">
        <v>0</v>
      </c>
      <c r="K655" s="53">
        <v>0</v>
      </c>
      <c r="L655" s="53">
        <v>3.2</v>
      </c>
      <c r="M655" s="53" t="s">
        <v>517</v>
      </c>
      <c r="N655" s="53">
        <v>3.5</v>
      </c>
      <c r="O655" s="51" t="str">
        <f>TEXT(tblWorkPackages[[#This Row],[Request date serial]]-WEEKDAY(tblWorkPackages[[#This Row],[Request date serial]],3),"yyyy-mm-dd")</f>
        <v>2025-05-05</v>
      </c>
      <c r="P655" s="51">
        <f>ABS(tblWorkPackages[[#This Row],[Actual labor hours]]-tblWorkPackages[[#This Row],[Estimated labor hours]])</f>
        <v>0.3</v>
      </c>
      <c r="Q655" s="51">
        <f>IF(tblWorkPackages[[#This Row],[Actual labor hours]]&gt;tblWorkPackages[[#This Row],[Estimated labor hours]],1,0)</f>
        <v>1</v>
      </c>
      <c r="R655" s="51">
        <f>tblWorkPackages[[#This Row],[Actual labor hours]]-tblWorkPackages[[#This Row],[Estimated labor hours]]</f>
        <v>0.3</v>
      </c>
      <c r="S655" s="51" t="str">
        <f>IF(tblWorkPackages[[#This Row],[Request date serial]]&lt;ValidationStart,"Train 2024",IF(tblWorkPackages[[#This Row],[Request date serial]]&lt;HoldoutStart,"Validation H1","Holdout H2"))</f>
        <v>Validation H1</v>
      </c>
      <c r="T655" s="51">
        <f>IF(tblWorkPackages[[#This Row],[Time split]]="Train 2024","",tblWorkPackages[[#This Row],[Estimated labor hours]]+VLOOKUP(tblWorkPackages[[#This Row],[Task type]],'Forecast validation'!$A$14:$E$25,IF(tblWorkPackages[[#This Row],[Time split]]="Validation H1",4,5),FALSE()))</f>
        <v>3.64146341463415</v>
      </c>
      <c r="U655" s="51">
        <f>IF(tblWorkPackages[[#This Row],[Calibrated forecast hours]]="","",ABS(tblWorkPackages[[#This Row],[Actual labor hours]]-tblWorkPackages[[#This Row],[Calibrated forecast hours]]))</f>
        <v>0.141463414634146</v>
      </c>
      <c r="V655" s="51">
        <f>IF(tblWorkPackages[[#This Row],[Time split]]="Train 2024",tblWorkPackages[[#This Row],[Estimated labor hours]],tblWorkPackages[[#This Row],[Calibrated forecast hours]])</f>
        <v>3.64146341463415</v>
      </c>
      <c r="W655" s="64">
        <f>DATEVALUE(tblWorkPackages[[#This Row],[Request date]])</f>
        <v>45784.0</v>
      </c>
      <c r="X655" s="64">
        <f>DATEVALUE(tblWorkPackages[[#This Row],[Due date]])</f>
        <v>45797.0</v>
      </c>
      <c r="Y655" s="64">
        <f>DATEVALUE(tblWorkPackages[[#This Row],[Completion date]])</f>
        <v>45788.0</v>
      </c>
      <c r="Z655" s="64">
        <f>_xlfn.MINIFS(tblLaborEntries[Work date serial],tblLaborEntries[Work package ID],tblWorkPackages[[#This Row],[Work package ID]])</f>
        <v>45786.0</v>
      </c>
      <c r="AA655" s="64">
        <f>_xlfn.MAXIFS(tblLaborEntries[Work date serial],tblLaborEntries[Work package ID],tblWorkPackages[[#This Row],[Work package ID]])</f>
        <v>45787.0</v>
      </c>
      <c r="AB655" s="65">
        <f>IF(tblWorkPackages[[#This Row],[Completion date serial]]&gt;tblWorkPackages[[#This Row],[Due date serial]],1,0)</f>
        <v>0</v>
      </c>
      <c r="AC655" s="65">
        <f>MAX(0,tblWorkPackages[[#This Row],[Completion date serial]]-tblWorkPackages[[#This Row],[Due date serial]])</f>
        <v>0</v>
      </c>
      <c r="AD655" s="65">
        <f>tblWorkPackages[[#This Row],[First labor date]]-tblWorkPackages[[#This Row],[Request date serial]]</f>
        <v>2</v>
      </c>
      <c r="AE655" s="65">
        <f>tblWorkPackages[[#This Row],[Last labor date]]-tblWorkPackages[[#This Row],[First labor date]]</f>
        <v>1</v>
      </c>
      <c r="AF655" s="65">
        <f>tblWorkPackages[[#This Row],[Completion date serial]]-tblWorkPackages[[#This Row],[Last labor date]]</f>
        <v>1</v>
      </c>
      <c r="AG655" s="65">
        <f>tblWorkPackages[[#This Row],[Completion date serial]]-tblWorkPackages[[#This Row],[Request date serial]]</f>
        <v>4</v>
      </c>
      <c r="AH655" s="65">
        <f>IFERROR(INDEX(tblParts[Delay days],MATCH(tblWorkPackages[[#This Row],[Work package ID]],tblParts[Work package ID],0)),0)</f>
        <v>0</v>
      </c>
      <c r="AI655" s="51" t="str">
        <f>IFERROR(INDEX(tblDisruptions[Event type],MATCH(tblWorkPackages[[#This Row],[Work package ID]],tblDisruptions[Work package ID],0)),"None")</f>
        <v>None</v>
      </c>
      <c r="AJ655" s="51" t="str">
        <f>TEXT(tblWorkPackages[[#This Row],[Due date serial]],"yyyy-mm")</f>
        <v>2025-05</v>
      </c>
    </row>
    <row r="656" spans="1:36" ht="15" x14ac:dyDescent="0.25">
      <c r="A656" s="53" t="s">
        <v>1512</v>
      </c>
      <c r="B656" s="53" t="s">
        <v>163</v>
      </c>
      <c r="C656" s="53" t="s">
        <v>1417</v>
      </c>
      <c r="D656" s="53" t="s">
        <v>484</v>
      </c>
      <c r="E656" s="53" t="s">
        <v>153</v>
      </c>
      <c r="F656" s="53" t="s">
        <v>128</v>
      </c>
      <c r="G656" s="53" t="s">
        <v>154</v>
      </c>
      <c r="H656" s="53">
        <v>3</v>
      </c>
      <c r="I656" s="53" t="s">
        <v>176</v>
      </c>
      <c r="J656" s="53">
        <v>0</v>
      </c>
      <c r="K656" s="53">
        <v>1</v>
      </c>
      <c r="L656" s="53">
        <v>11.7</v>
      </c>
      <c r="M656" s="53" t="s">
        <v>253</v>
      </c>
      <c r="N656" s="53">
        <v>11.1</v>
      </c>
      <c r="O656" s="51" t="str">
        <f>TEXT(tblWorkPackages[[#This Row],[Request date serial]]-WEEKDAY(tblWorkPackages[[#This Row],[Request date serial]],3),"yyyy-mm-dd")</f>
        <v>2024-12-30</v>
      </c>
      <c r="P656" s="51">
        <f>ABS(tblWorkPackages[[#This Row],[Actual labor hours]]-tblWorkPackages[[#This Row],[Estimated labor hours]])</f>
        <v>0.6</v>
      </c>
      <c r="Q656" s="51">
        <f>IF(tblWorkPackages[[#This Row],[Actual labor hours]]&gt;tblWorkPackages[[#This Row],[Estimated labor hours]],1,0)</f>
        <v>0</v>
      </c>
      <c r="R656" s="51">
        <f>tblWorkPackages[[#This Row],[Actual labor hours]]-tblWorkPackages[[#This Row],[Estimated labor hours]]</f>
        <v>-0.6</v>
      </c>
      <c r="S656" s="51" t="str">
        <f>IF(tblWorkPackages[[#This Row],[Request date serial]]&lt;ValidationStart,"Train 2024",IF(tblWorkPackages[[#This Row],[Request date serial]]&lt;HoldoutStart,"Validation H1","Holdout H2"))</f>
        <v>Train 2024</v>
      </c>
      <c r="T656" s="51" t="str">
        <f>IF(tblWorkPackages[[#This Row],[Time split]]="Train 2024","",tblWorkPackages[[#This Row],[Estimated labor hours]]+VLOOKUP(tblWorkPackages[[#This Row],[Task type]],'Forecast validation'!$A$14:$E$25,IF(tblWorkPackages[[#This Row],[Time split]]="Validation H1",4,5),FALSE()))</f>
        <v/>
      </c>
      <c r="U656" s="51" t="str">
        <f>IF(tblWorkPackages[[#This Row],[Calibrated forecast hours]]="","",ABS(tblWorkPackages[[#This Row],[Actual labor hours]]-tblWorkPackages[[#This Row],[Calibrated forecast hours]]))</f>
        <v/>
      </c>
      <c r="V656" s="51">
        <f>IF(tblWorkPackages[[#This Row],[Time split]]="Train 2024",tblWorkPackages[[#This Row],[Estimated labor hours]],tblWorkPackages[[#This Row],[Calibrated forecast hours]])</f>
        <v>11.7</v>
      </c>
      <c r="W656" s="64">
        <f>DATEVALUE(tblWorkPackages[[#This Row],[Request date]])</f>
        <v>45656.0</v>
      </c>
      <c r="X656" s="64">
        <f>DATEVALUE(tblWorkPackages[[#This Row],[Due date]])</f>
        <v>45662.0</v>
      </c>
      <c r="Y656" s="64">
        <f>DATEVALUE(tblWorkPackages[[#This Row],[Completion date]])</f>
        <v>45677.0</v>
      </c>
      <c r="Z656" s="64">
        <f>_xlfn.MINIFS(tblLaborEntries[Work date serial],tblLaborEntries[Work package ID],tblWorkPackages[[#This Row],[Work package ID]])</f>
        <v>45673.0</v>
      </c>
      <c r="AA656" s="64">
        <f>_xlfn.MAXIFS(tblLaborEntries[Work date serial],tblLaborEntries[Work package ID],tblWorkPackages[[#This Row],[Work package ID]])</f>
        <v>45675.0</v>
      </c>
      <c r="AB656" s="65">
        <f>IF(tblWorkPackages[[#This Row],[Completion date serial]]&gt;tblWorkPackages[[#This Row],[Due date serial]],1,0)</f>
        <v>1</v>
      </c>
      <c r="AC656" s="65">
        <f>MAX(0,tblWorkPackages[[#This Row],[Completion date serial]]-tblWorkPackages[[#This Row],[Due date serial]])</f>
        <v>15</v>
      </c>
      <c r="AD656" s="65">
        <f>tblWorkPackages[[#This Row],[First labor date]]-tblWorkPackages[[#This Row],[Request date serial]]</f>
        <v>17</v>
      </c>
      <c r="AE656" s="65">
        <f>tblWorkPackages[[#This Row],[Last labor date]]-tblWorkPackages[[#This Row],[First labor date]]</f>
        <v>2</v>
      </c>
      <c r="AF656" s="65">
        <f>tblWorkPackages[[#This Row],[Completion date serial]]-tblWorkPackages[[#This Row],[Last labor date]]</f>
        <v>2</v>
      </c>
      <c r="AG656" s="65">
        <f>tblWorkPackages[[#This Row],[Completion date serial]]-tblWorkPackages[[#This Row],[Request date serial]]</f>
        <v>21</v>
      </c>
      <c r="AH656" s="65">
        <f>IFERROR(INDEX(tblParts[Delay days],MATCH(tblWorkPackages[[#This Row],[Work package ID]],tblParts[Work package ID],0)),0)</f>
        <v>0</v>
      </c>
      <c r="AI656" s="51" t="str">
        <f>IFERROR(INDEX(tblDisruptions[Event type],MATCH(tblWorkPackages[[#This Row],[Work package ID]],tblDisruptions[Work package ID],0)),"None")</f>
        <v>None</v>
      </c>
      <c r="AJ656" s="51" t="str">
        <f>TEXT(tblWorkPackages[[#This Row],[Due date serial]],"yyyy-mm")</f>
        <v>2025-01</v>
      </c>
    </row>
    <row r="657" spans="1:36" ht="15" x14ac:dyDescent="0.25">
      <c r="A657" s="53" t="s">
        <v>1513</v>
      </c>
      <c r="B657" s="53" t="s">
        <v>230</v>
      </c>
      <c r="C657" s="53" t="s">
        <v>1001</v>
      </c>
      <c r="D657" s="53" t="s">
        <v>1026</v>
      </c>
      <c r="E657" s="53" t="s">
        <v>237</v>
      </c>
      <c r="F657" s="53" t="s">
        <v>182</v>
      </c>
      <c r="G657" s="53" t="s">
        <v>138</v>
      </c>
      <c r="H657" s="53">
        <v>3</v>
      </c>
      <c r="I657" s="53" t="s">
        <v>176</v>
      </c>
      <c r="J657" s="53">
        <v>0</v>
      </c>
      <c r="K657" s="53">
        <v>0</v>
      </c>
      <c r="L657" s="53">
        <v>8.3000000000000007</v>
      </c>
      <c r="M657" s="53" t="s">
        <v>667</v>
      </c>
      <c r="N657" s="53">
        <v>6.7</v>
      </c>
      <c r="O657" s="51" t="str">
        <f>TEXT(tblWorkPackages[[#This Row],[Request date serial]]-WEEKDAY(tblWorkPackages[[#This Row],[Request date serial]],3),"yyyy-mm-dd")</f>
        <v>2024-03-11</v>
      </c>
      <c r="P657" s="51">
        <f>ABS(tblWorkPackages[[#This Row],[Actual labor hours]]-tblWorkPackages[[#This Row],[Estimated labor hours]])</f>
        <v>1.6</v>
      </c>
      <c r="Q657" s="51">
        <f>IF(tblWorkPackages[[#This Row],[Actual labor hours]]&gt;tblWorkPackages[[#This Row],[Estimated labor hours]],1,0)</f>
        <v>0</v>
      </c>
      <c r="R657" s="51">
        <f>tblWorkPackages[[#This Row],[Actual labor hours]]-tblWorkPackages[[#This Row],[Estimated labor hours]]</f>
        <v>-1.6</v>
      </c>
      <c r="S657" s="51" t="str">
        <f>IF(tblWorkPackages[[#This Row],[Request date serial]]&lt;ValidationStart,"Train 2024",IF(tblWorkPackages[[#This Row],[Request date serial]]&lt;HoldoutStart,"Validation H1","Holdout H2"))</f>
        <v>Train 2024</v>
      </c>
      <c r="T657" s="51" t="str">
        <f>IF(tblWorkPackages[[#This Row],[Time split]]="Train 2024","",tblWorkPackages[[#This Row],[Estimated labor hours]]+VLOOKUP(tblWorkPackages[[#This Row],[Task type]],'Forecast validation'!$A$14:$E$25,IF(tblWorkPackages[[#This Row],[Time split]]="Validation H1",4,5),FALSE()))</f>
        <v/>
      </c>
      <c r="U657" s="51" t="str">
        <f>IF(tblWorkPackages[[#This Row],[Calibrated forecast hours]]="","",ABS(tblWorkPackages[[#This Row],[Actual labor hours]]-tblWorkPackages[[#This Row],[Calibrated forecast hours]]))</f>
        <v/>
      </c>
      <c r="V657" s="51">
        <f>IF(tblWorkPackages[[#This Row],[Time split]]="Train 2024",tblWorkPackages[[#This Row],[Estimated labor hours]],tblWorkPackages[[#This Row],[Calibrated forecast hours]])</f>
        <v>8.3</v>
      </c>
      <c r="W657" s="64">
        <f>DATEVALUE(tblWorkPackages[[#This Row],[Request date]])</f>
        <v>45365.0</v>
      </c>
      <c r="X657" s="64">
        <f>DATEVALUE(tblWorkPackages[[#This Row],[Due date]])</f>
        <v>45371.0</v>
      </c>
      <c r="Y657" s="64">
        <f>DATEVALUE(tblWorkPackages[[#This Row],[Completion date]])</f>
        <v>45373.0</v>
      </c>
      <c r="Z657" s="64">
        <f>_xlfn.MINIFS(tblLaborEntries[Work date serial],tblLaborEntries[Work package ID],tblWorkPackages[[#This Row],[Work package ID]])</f>
        <v>45369.0</v>
      </c>
      <c r="AA657" s="64">
        <f>_xlfn.MAXIFS(tblLaborEntries[Work date serial],tblLaborEntries[Work package ID],tblWorkPackages[[#This Row],[Work package ID]])</f>
        <v>45370.0</v>
      </c>
      <c r="AB657" s="65">
        <f>IF(tblWorkPackages[[#This Row],[Completion date serial]]&gt;tblWorkPackages[[#This Row],[Due date serial]],1,0)</f>
        <v>1</v>
      </c>
      <c r="AC657" s="65">
        <f>MAX(0,tblWorkPackages[[#This Row],[Completion date serial]]-tblWorkPackages[[#This Row],[Due date serial]])</f>
        <v>2</v>
      </c>
      <c r="AD657" s="65">
        <f>tblWorkPackages[[#This Row],[First labor date]]-tblWorkPackages[[#This Row],[Request date serial]]</f>
        <v>4</v>
      </c>
      <c r="AE657" s="65">
        <f>tblWorkPackages[[#This Row],[Last labor date]]-tblWorkPackages[[#This Row],[First labor date]]</f>
        <v>1</v>
      </c>
      <c r="AF657" s="65">
        <f>tblWorkPackages[[#This Row],[Completion date serial]]-tblWorkPackages[[#This Row],[Last labor date]]</f>
        <v>3</v>
      </c>
      <c r="AG657" s="65">
        <f>tblWorkPackages[[#This Row],[Completion date serial]]-tblWorkPackages[[#This Row],[Request date serial]]</f>
        <v>8</v>
      </c>
      <c r="AH657" s="65">
        <f>IFERROR(INDEX(tblParts[Delay days],MATCH(tblWorkPackages[[#This Row],[Work package ID]],tblParts[Work package ID],0)),0)</f>
        <v>0</v>
      </c>
      <c r="AI657" s="51" t="str">
        <f>IFERROR(INDEX(tblDisruptions[Event type],MATCH(tblWorkPackages[[#This Row],[Work package ID]],tblDisruptions[Work package ID],0)),"None")</f>
        <v>None</v>
      </c>
      <c r="AJ657" s="51" t="str">
        <f>TEXT(tblWorkPackages[[#This Row],[Due date serial]],"yyyy-mm")</f>
        <v>2024-03</v>
      </c>
    </row>
    <row r="658" spans="1:36" ht="15" x14ac:dyDescent="0.25">
      <c r="A658" s="53" t="s">
        <v>1514</v>
      </c>
      <c r="B658" s="53" t="s">
        <v>230</v>
      </c>
      <c r="C658" s="53" t="s">
        <v>198</v>
      </c>
      <c r="D658" s="53" t="s">
        <v>603</v>
      </c>
      <c r="E658" s="53" t="s">
        <v>153</v>
      </c>
      <c r="F658" s="53" t="s">
        <v>128</v>
      </c>
      <c r="G658" s="53" t="s">
        <v>154</v>
      </c>
      <c r="H658" s="53">
        <v>3</v>
      </c>
      <c r="I658" s="53" t="s">
        <v>147</v>
      </c>
      <c r="J658" s="53">
        <v>0</v>
      </c>
      <c r="K658" s="53">
        <v>1</v>
      </c>
      <c r="L658" s="53">
        <v>14.5</v>
      </c>
      <c r="M658" s="53" t="s">
        <v>238</v>
      </c>
      <c r="N658" s="53">
        <v>16.600000000000001</v>
      </c>
      <c r="O658" s="51" t="str">
        <f>TEXT(tblWorkPackages[[#This Row],[Request date serial]]-WEEKDAY(tblWorkPackages[[#This Row],[Request date serial]],3),"yyyy-mm-dd")</f>
        <v>2025-06-23</v>
      </c>
      <c r="P658" s="51">
        <f>ABS(tblWorkPackages[[#This Row],[Actual labor hours]]-tblWorkPackages[[#This Row],[Estimated labor hours]])</f>
        <v>2.1</v>
      </c>
      <c r="Q658" s="51">
        <f>IF(tblWorkPackages[[#This Row],[Actual labor hours]]&gt;tblWorkPackages[[#This Row],[Estimated labor hours]],1,0)</f>
        <v>1</v>
      </c>
      <c r="R658" s="51">
        <f>tblWorkPackages[[#This Row],[Actual labor hours]]-tblWorkPackages[[#This Row],[Estimated labor hours]]</f>
        <v>2.1</v>
      </c>
      <c r="S658" s="51" t="str">
        <f>IF(tblWorkPackages[[#This Row],[Request date serial]]&lt;ValidationStart,"Train 2024",IF(tblWorkPackages[[#This Row],[Request date serial]]&lt;HoldoutStart,"Validation H1","Holdout H2"))</f>
        <v>Validation H1</v>
      </c>
      <c r="T658" s="51">
        <f>IF(tblWorkPackages[[#This Row],[Time split]]="Train 2024","",tblWorkPackages[[#This Row],[Estimated labor hours]]+VLOOKUP(tblWorkPackages[[#This Row],[Task type]],'Forecast validation'!$A$14:$E$25,IF(tblWorkPackages[[#This Row],[Time split]]="Validation H1",4,5),FALSE()))</f>
        <v>15.0462264150943</v>
      </c>
      <c r="U658" s="51">
        <f>IF(tblWorkPackages[[#This Row],[Calibrated forecast hours]]="","",ABS(tblWorkPackages[[#This Row],[Actual labor hours]]-tblWorkPackages[[#This Row],[Calibrated forecast hours]]))</f>
        <v>1.55377358490566</v>
      </c>
      <c r="V658" s="51">
        <f>IF(tblWorkPackages[[#This Row],[Time split]]="Train 2024",tblWorkPackages[[#This Row],[Estimated labor hours]],tblWorkPackages[[#This Row],[Calibrated forecast hours]])</f>
        <v>15.0462264150943</v>
      </c>
      <c r="W658" s="64">
        <f>DATEVALUE(tblWorkPackages[[#This Row],[Request date]])</f>
        <v>45832.0</v>
      </c>
      <c r="X658" s="64">
        <f>DATEVALUE(tblWorkPackages[[#This Row],[Due date]])</f>
        <v>45834.0</v>
      </c>
      <c r="Y658" s="64">
        <f>DATEVALUE(tblWorkPackages[[#This Row],[Completion date]])</f>
        <v>45833.0</v>
      </c>
      <c r="Z658" s="64">
        <f>_xlfn.MINIFS(tblLaborEntries[Work date serial],tblLaborEntries[Work package ID],tblWorkPackages[[#This Row],[Work package ID]])</f>
        <v>45833.0</v>
      </c>
      <c r="AA658" s="64">
        <f>_xlfn.MAXIFS(tblLaborEntries[Work date serial],tblLaborEntries[Work package ID],tblWorkPackages[[#This Row],[Work package ID]])</f>
        <v>45833.0</v>
      </c>
      <c r="AB658" s="65">
        <f>IF(tblWorkPackages[[#This Row],[Completion date serial]]&gt;tblWorkPackages[[#This Row],[Due date serial]],1,0)</f>
        <v>0</v>
      </c>
      <c r="AC658" s="65">
        <f>MAX(0,tblWorkPackages[[#This Row],[Completion date serial]]-tblWorkPackages[[#This Row],[Due date serial]])</f>
        <v>0</v>
      </c>
      <c r="AD658" s="65">
        <f>tblWorkPackages[[#This Row],[First labor date]]-tblWorkPackages[[#This Row],[Request date serial]]</f>
        <v>1</v>
      </c>
      <c r="AE658" s="65">
        <f>tblWorkPackages[[#This Row],[Last labor date]]-tblWorkPackages[[#This Row],[First labor date]]</f>
        <v>0</v>
      </c>
      <c r="AF658" s="65">
        <f>tblWorkPackages[[#This Row],[Completion date serial]]-tblWorkPackages[[#This Row],[Last labor date]]</f>
        <v>0</v>
      </c>
      <c r="AG658" s="65">
        <f>tblWorkPackages[[#This Row],[Completion date serial]]-tblWorkPackages[[#This Row],[Request date serial]]</f>
        <v>1</v>
      </c>
      <c r="AH658" s="65">
        <f>IFERROR(INDEX(tblParts[Delay days],MATCH(tblWorkPackages[[#This Row],[Work package ID]],tblParts[Work package ID],0)),0)</f>
        <v>0</v>
      </c>
      <c r="AI658" s="51" t="str">
        <f>IFERROR(INDEX(tblDisruptions[Event type],MATCH(tblWorkPackages[[#This Row],[Work package ID]],tblDisruptions[Work package ID],0)),"None")</f>
        <v>None</v>
      </c>
      <c r="AJ658" s="51" t="str">
        <f>TEXT(tblWorkPackages[[#This Row],[Due date serial]],"yyyy-mm")</f>
        <v>2025-06</v>
      </c>
    </row>
    <row r="659" spans="1:36" ht="15" x14ac:dyDescent="0.25">
      <c r="A659" s="53" t="s">
        <v>1515</v>
      </c>
      <c r="B659" s="53" t="s">
        <v>287</v>
      </c>
      <c r="C659" s="53" t="s">
        <v>826</v>
      </c>
      <c r="D659" s="53" t="s">
        <v>446</v>
      </c>
      <c r="E659" s="53" t="s">
        <v>242</v>
      </c>
      <c r="F659" s="53" t="s">
        <v>243</v>
      </c>
      <c r="G659" s="53" t="s">
        <v>129</v>
      </c>
      <c r="H659" s="53">
        <v>1</v>
      </c>
      <c r="I659" s="53" t="s">
        <v>130</v>
      </c>
      <c r="J659" s="53">
        <v>0</v>
      </c>
      <c r="K659" s="53">
        <v>0</v>
      </c>
      <c r="L659" s="53">
        <v>6.4</v>
      </c>
      <c r="M659" s="53" t="s">
        <v>446</v>
      </c>
      <c r="N659" s="53">
        <v>5.7</v>
      </c>
      <c r="O659" s="51" t="str">
        <f>TEXT(tblWorkPackages[[#This Row],[Request date serial]]-WEEKDAY(tblWorkPackages[[#This Row],[Request date serial]],3),"yyyy-mm-dd")</f>
        <v>2025-03-03</v>
      </c>
      <c r="P659" s="51">
        <f>ABS(tblWorkPackages[[#This Row],[Actual labor hours]]-tblWorkPackages[[#This Row],[Estimated labor hours]])</f>
        <v>0.7</v>
      </c>
      <c r="Q659" s="51">
        <f>IF(tblWorkPackages[[#This Row],[Actual labor hours]]&gt;tblWorkPackages[[#This Row],[Estimated labor hours]],1,0)</f>
        <v>0</v>
      </c>
      <c r="R659" s="51">
        <f>tblWorkPackages[[#This Row],[Actual labor hours]]-tblWorkPackages[[#This Row],[Estimated labor hours]]</f>
        <v>-0.7</v>
      </c>
      <c r="S659" s="51" t="str">
        <f>IF(tblWorkPackages[[#This Row],[Request date serial]]&lt;ValidationStart,"Train 2024",IF(tblWorkPackages[[#This Row],[Request date serial]]&lt;HoldoutStart,"Validation H1","Holdout H2"))</f>
        <v>Validation H1</v>
      </c>
      <c r="T659" s="51">
        <f>IF(tblWorkPackages[[#This Row],[Time split]]="Train 2024","",tblWorkPackages[[#This Row],[Estimated labor hours]]+VLOOKUP(tblWorkPackages[[#This Row],[Task type]],'Forecast validation'!$A$14:$E$25,IF(tblWorkPackages[[#This Row],[Time split]]="Validation H1",4,5),FALSE()))</f>
        <v>6.95612244897959</v>
      </c>
      <c r="U659" s="51">
        <f>IF(tblWorkPackages[[#This Row],[Calibrated forecast hours]]="","",ABS(tblWorkPackages[[#This Row],[Actual labor hours]]-tblWorkPackages[[#This Row],[Calibrated forecast hours]]))</f>
        <v>1.25612244897959</v>
      </c>
      <c r="V659" s="51">
        <f>IF(tblWorkPackages[[#This Row],[Time split]]="Train 2024",tblWorkPackages[[#This Row],[Estimated labor hours]],tblWorkPackages[[#This Row],[Calibrated forecast hours]])</f>
        <v>6.95612244897959</v>
      </c>
      <c r="W659" s="64">
        <f>DATEVALUE(tblWorkPackages[[#This Row],[Request date]])</f>
        <v>45724.0</v>
      </c>
      <c r="X659" s="64">
        <f>DATEVALUE(tblWorkPackages[[#This Row],[Due date]])</f>
        <v>45737.0</v>
      </c>
      <c r="Y659" s="64">
        <f>DATEVALUE(tblWorkPackages[[#This Row],[Completion date]])</f>
        <v>45737.0</v>
      </c>
      <c r="Z659" s="64">
        <f>_xlfn.MINIFS(tblLaborEntries[Work date serial],tblLaborEntries[Work package ID],tblWorkPackages[[#This Row],[Work package ID]])</f>
        <v>45735.0</v>
      </c>
      <c r="AA659" s="64">
        <f>_xlfn.MAXIFS(tblLaborEntries[Work date serial],tblLaborEntries[Work package ID],tblWorkPackages[[#This Row],[Work package ID]])</f>
        <v>45736.0</v>
      </c>
      <c r="AB659" s="65">
        <f>IF(tblWorkPackages[[#This Row],[Completion date serial]]&gt;tblWorkPackages[[#This Row],[Due date serial]],1,0)</f>
        <v>0</v>
      </c>
      <c r="AC659" s="65">
        <f>MAX(0,tblWorkPackages[[#This Row],[Completion date serial]]-tblWorkPackages[[#This Row],[Due date serial]])</f>
        <v>0</v>
      </c>
      <c r="AD659" s="65">
        <f>tblWorkPackages[[#This Row],[First labor date]]-tblWorkPackages[[#This Row],[Request date serial]]</f>
        <v>11</v>
      </c>
      <c r="AE659" s="65">
        <f>tblWorkPackages[[#This Row],[Last labor date]]-tblWorkPackages[[#This Row],[First labor date]]</f>
        <v>1</v>
      </c>
      <c r="AF659" s="65">
        <f>tblWorkPackages[[#This Row],[Completion date serial]]-tblWorkPackages[[#This Row],[Last labor date]]</f>
        <v>1</v>
      </c>
      <c r="AG659" s="65">
        <f>tblWorkPackages[[#This Row],[Completion date serial]]-tblWorkPackages[[#This Row],[Request date serial]]</f>
        <v>13</v>
      </c>
      <c r="AH659" s="65">
        <f>IFERROR(INDEX(tblParts[Delay days],MATCH(tblWorkPackages[[#This Row],[Work package ID]],tblParts[Work package ID],0)),0)</f>
        <v>0</v>
      </c>
      <c r="AI659" s="51" t="str">
        <f>IFERROR(INDEX(tblDisruptions[Event type],MATCH(tblWorkPackages[[#This Row],[Work package ID]],tblDisruptions[Work package ID],0)),"None")</f>
        <v>None</v>
      </c>
      <c r="AJ659" s="51" t="str">
        <f>TEXT(tblWorkPackages[[#This Row],[Due date serial]],"yyyy-mm")</f>
        <v>2025-03</v>
      </c>
    </row>
    <row r="660" spans="1:36" ht="15" x14ac:dyDescent="0.25">
      <c r="A660" s="53" t="s">
        <v>1516</v>
      </c>
      <c r="B660" s="53" t="s">
        <v>173</v>
      </c>
      <c r="C660" s="53" t="s">
        <v>419</v>
      </c>
      <c r="D660" s="53" t="s">
        <v>304</v>
      </c>
      <c r="E660" s="53" t="s">
        <v>127</v>
      </c>
      <c r="F660" s="53" t="s">
        <v>128</v>
      </c>
      <c r="G660" s="53" t="s">
        <v>129</v>
      </c>
      <c r="H660" s="53">
        <v>4</v>
      </c>
      <c r="I660" s="53" t="s">
        <v>130</v>
      </c>
      <c r="J660" s="53">
        <v>0</v>
      </c>
      <c r="K660" s="53">
        <v>0</v>
      </c>
      <c r="L660" s="53">
        <v>13.3</v>
      </c>
      <c r="M660" s="53" t="s">
        <v>957</v>
      </c>
      <c r="N660" s="53">
        <v>12</v>
      </c>
      <c r="O660" s="51" t="str">
        <f>TEXT(tblWorkPackages[[#This Row],[Request date serial]]-WEEKDAY(tblWorkPackages[[#This Row],[Request date serial]],3),"yyyy-mm-dd")</f>
        <v>2024-06-10</v>
      </c>
      <c r="P660" s="51">
        <f>ABS(tblWorkPackages[[#This Row],[Actual labor hours]]-tblWorkPackages[[#This Row],[Estimated labor hours]])</f>
        <v>1.3</v>
      </c>
      <c r="Q660" s="51">
        <f>IF(tblWorkPackages[[#This Row],[Actual labor hours]]&gt;tblWorkPackages[[#This Row],[Estimated labor hours]],1,0)</f>
        <v>0</v>
      </c>
      <c r="R660" s="51">
        <f>tblWorkPackages[[#This Row],[Actual labor hours]]-tblWorkPackages[[#This Row],[Estimated labor hours]]</f>
        <v>-1.3</v>
      </c>
      <c r="S660" s="51" t="str">
        <f>IF(tblWorkPackages[[#This Row],[Request date serial]]&lt;ValidationStart,"Train 2024",IF(tblWorkPackages[[#This Row],[Request date serial]]&lt;HoldoutStart,"Validation H1","Holdout H2"))</f>
        <v>Train 2024</v>
      </c>
      <c r="T660" s="51" t="str">
        <f>IF(tblWorkPackages[[#This Row],[Time split]]="Train 2024","",tblWorkPackages[[#This Row],[Estimated labor hours]]+VLOOKUP(tblWorkPackages[[#This Row],[Task type]],'Forecast validation'!$A$14:$E$25,IF(tblWorkPackages[[#This Row],[Time split]]="Validation H1",4,5),FALSE()))</f>
        <v/>
      </c>
      <c r="U660" s="51" t="str">
        <f>IF(tblWorkPackages[[#This Row],[Calibrated forecast hours]]="","",ABS(tblWorkPackages[[#This Row],[Actual labor hours]]-tblWorkPackages[[#This Row],[Calibrated forecast hours]]))</f>
        <v/>
      </c>
      <c r="V660" s="51">
        <f>IF(tblWorkPackages[[#This Row],[Time split]]="Train 2024",tblWorkPackages[[#This Row],[Estimated labor hours]],tblWorkPackages[[#This Row],[Calibrated forecast hours]])</f>
        <v>13.3</v>
      </c>
      <c r="W660" s="64">
        <f>DATEVALUE(tblWorkPackages[[#This Row],[Request date]])</f>
        <v>45457.0</v>
      </c>
      <c r="X660" s="64">
        <f>DATEVALUE(tblWorkPackages[[#This Row],[Due date]])</f>
        <v>45470.0</v>
      </c>
      <c r="Y660" s="64">
        <f>DATEVALUE(tblWorkPackages[[#This Row],[Completion date]])</f>
        <v>45464.0</v>
      </c>
      <c r="Z660" s="64">
        <f>_xlfn.MINIFS(tblLaborEntries[Work date serial],tblLaborEntries[Work package ID],tblWorkPackages[[#This Row],[Work package ID]])</f>
        <v>45460.0</v>
      </c>
      <c r="AA660" s="64">
        <f>_xlfn.MAXIFS(tblLaborEntries[Work date serial],tblLaborEntries[Work package ID],tblWorkPackages[[#This Row],[Work package ID]])</f>
        <v>45462.0</v>
      </c>
      <c r="AB660" s="65">
        <f>IF(tblWorkPackages[[#This Row],[Completion date serial]]&gt;tblWorkPackages[[#This Row],[Due date serial]],1,0)</f>
        <v>0</v>
      </c>
      <c r="AC660" s="65">
        <f>MAX(0,tblWorkPackages[[#This Row],[Completion date serial]]-tblWorkPackages[[#This Row],[Due date serial]])</f>
        <v>0</v>
      </c>
      <c r="AD660" s="65">
        <f>tblWorkPackages[[#This Row],[First labor date]]-tblWorkPackages[[#This Row],[Request date serial]]</f>
        <v>3</v>
      </c>
      <c r="AE660" s="65">
        <f>tblWorkPackages[[#This Row],[Last labor date]]-tblWorkPackages[[#This Row],[First labor date]]</f>
        <v>2</v>
      </c>
      <c r="AF660" s="65">
        <f>tblWorkPackages[[#This Row],[Completion date serial]]-tblWorkPackages[[#This Row],[Last labor date]]</f>
        <v>2</v>
      </c>
      <c r="AG660" s="65">
        <f>tblWorkPackages[[#This Row],[Completion date serial]]-tblWorkPackages[[#This Row],[Request date serial]]</f>
        <v>7</v>
      </c>
      <c r="AH660" s="65">
        <f>IFERROR(INDEX(tblParts[Delay days],MATCH(tblWorkPackages[[#This Row],[Work package ID]],tblParts[Work package ID],0)),0)</f>
        <v>0</v>
      </c>
      <c r="AI660" s="51" t="str">
        <f>IFERROR(INDEX(tblDisruptions[Event type],MATCH(tblWorkPackages[[#This Row],[Work package ID]],tblDisruptions[Work package ID],0)),"None")</f>
        <v>None</v>
      </c>
      <c r="AJ660" s="51" t="str">
        <f>TEXT(tblWorkPackages[[#This Row],[Due date serial]],"yyyy-mm")</f>
        <v>2024-06</v>
      </c>
    </row>
    <row r="661" spans="1:36" ht="15" x14ac:dyDescent="0.25">
      <c r="A661" s="53" t="s">
        <v>1517</v>
      </c>
      <c r="B661" s="53" t="s">
        <v>124</v>
      </c>
      <c r="C661" s="53" t="s">
        <v>305</v>
      </c>
      <c r="D661" s="53" t="s">
        <v>642</v>
      </c>
      <c r="E661" s="53" t="s">
        <v>237</v>
      </c>
      <c r="F661" s="53" t="s">
        <v>182</v>
      </c>
      <c r="G661" s="53" t="s">
        <v>138</v>
      </c>
      <c r="H661" s="53">
        <v>3</v>
      </c>
      <c r="I661" s="53" t="s">
        <v>130</v>
      </c>
      <c r="J661" s="53">
        <v>0</v>
      </c>
      <c r="K661" s="53">
        <v>1</v>
      </c>
      <c r="L661" s="53">
        <v>7.3</v>
      </c>
      <c r="M661" s="53" t="s">
        <v>391</v>
      </c>
      <c r="N661" s="53">
        <v>7.3</v>
      </c>
      <c r="O661" s="51" t="str">
        <f>TEXT(tblWorkPackages[[#This Row],[Request date serial]]-WEEKDAY(tblWorkPackages[[#This Row],[Request date serial]],3),"yyyy-mm-dd")</f>
        <v>2024-07-01</v>
      </c>
      <c r="P661" s="51">
        <f>ABS(tblWorkPackages[[#This Row],[Actual labor hours]]-tblWorkPackages[[#This Row],[Estimated labor hours]])</f>
        <v>0</v>
      </c>
      <c r="Q661" s="51">
        <f>IF(tblWorkPackages[[#This Row],[Actual labor hours]]&gt;tblWorkPackages[[#This Row],[Estimated labor hours]],1,0)</f>
        <v>0</v>
      </c>
      <c r="R661" s="51">
        <f>tblWorkPackages[[#This Row],[Actual labor hours]]-tblWorkPackages[[#This Row],[Estimated labor hours]]</f>
        <v>0</v>
      </c>
      <c r="S661" s="51" t="str">
        <f>IF(tblWorkPackages[[#This Row],[Request date serial]]&lt;ValidationStart,"Train 2024",IF(tblWorkPackages[[#This Row],[Request date serial]]&lt;HoldoutStart,"Validation H1","Holdout H2"))</f>
        <v>Train 2024</v>
      </c>
      <c r="T661" s="51" t="str">
        <f>IF(tblWorkPackages[[#This Row],[Time split]]="Train 2024","",tblWorkPackages[[#This Row],[Estimated labor hours]]+VLOOKUP(tblWorkPackages[[#This Row],[Task type]],'Forecast validation'!$A$14:$E$25,IF(tblWorkPackages[[#This Row],[Time split]]="Validation H1",4,5),FALSE()))</f>
        <v/>
      </c>
      <c r="U661" s="51" t="str">
        <f>IF(tblWorkPackages[[#This Row],[Calibrated forecast hours]]="","",ABS(tblWorkPackages[[#This Row],[Actual labor hours]]-tblWorkPackages[[#This Row],[Calibrated forecast hours]]))</f>
        <v/>
      </c>
      <c r="V661" s="51">
        <f>IF(tblWorkPackages[[#This Row],[Time split]]="Train 2024",tblWorkPackages[[#This Row],[Estimated labor hours]],tblWorkPackages[[#This Row],[Calibrated forecast hours]])</f>
        <v>7.3</v>
      </c>
      <c r="W661" s="64">
        <f>DATEVALUE(tblWorkPackages[[#This Row],[Request date]])</f>
        <v>45475.0</v>
      </c>
      <c r="X661" s="64">
        <f>DATEVALUE(tblWorkPackages[[#This Row],[Due date]])</f>
        <v>45488.0</v>
      </c>
      <c r="Y661" s="64">
        <f>DATEVALUE(tblWorkPackages[[#This Row],[Completion date]])</f>
        <v>45510.0</v>
      </c>
      <c r="Z661" s="64">
        <f>_xlfn.MINIFS(tblLaborEntries[Work date serial],tblLaborEntries[Work package ID],tblWorkPackages[[#This Row],[Work package ID]])</f>
        <v>45505.0</v>
      </c>
      <c r="AA661" s="64">
        <f>_xlfn.MAXIFS(tblLaborEntries[Work date serial],tblLaborEntries[Work package ID],tblWorkPackages[[#This Row],[Work package ID]])</f>
        <v>45507.0</v>
      </c>
      <c r="AB661" s="65">
        <f>IF(tblWorkPackages[[#This Row],[Completion date serial]]&gt;tblWorkPackages[[#This Row],[Due date serial]],1,0)</f>
        <v>1</v>
      </c>
      <c r="AC661" s="65">
        <f>MAX(0,tblWorkPackages[[#This Row],[Completion date serial]]-tblWorkPackages[[#This Row],[Due date serial]])</f>
        <v>22</v>
      </c>
      <c r="AD661" s="65">
        <f>tblWorkPackages[[#This Row],[First labor date]]-tblWorkPackages[[#This Row],[Request date serial]]</f>
        <v>30</v>
      </c>
      <c r="AE661" s="65">
        <f>tblWorkPackages[[#This Row],[Last labor date]]-tblWorkPackages[[#This Row],[First labor date]]</f>
        <v>2</v>
      </c>
      <c r="AF661" s="65">
        <f>tblWorkPackages[[#This Row],[Completion date serial]]-tblWorkPackages[[#This Row],[Last labor date]]</f>
        <v>3</v>
      </c>
      <c r="AG661" s="65">
        <f>tblWorkPackages[[#This Row],[Completion date serial]]-tblWorkPackages[[#This Row],[Request date serial]]</f>
        <v>35</v>
      </c>
      <c r="AH661" s="65">
        <f>IFERROR(INDEX(tblParts[Delay days],MATCH(tblWorkPackages[[#This Row],[Work package ID]],tblParts[Work package ID],0)),0)</f>
        <v>0</v>
      </c>
      <c r="AI661" s="51" t="str">
        <f>IFERROR(INDEX(tblDisruptions[Event type],MATCH(tblWorkPackages[[#This Row],[Work package ID]],tblDisruptions[Work package ID],0)),"None")</f>
        <v>None</v>
      </c>
      <c r="AJ661" s="51" t="str">
        <f>TEXT(tblWorkPackages[[#This Row],[Due date serial]],"yyyy-mm")</f>
        <v>2024-07</v>
      </c>
    </row>
    <row r="662" spans="1:36" ht="15" x14ac:dyDescent="0.25">
      <c r="A662" s="53" t="s">
        <v>1518</v>
      </c>
      <c r="B662" s="53" t="s">
        <v>168</v>
      </c>
      <c r="C662" s="53" t="s">
        <v>1152</v>
      </c>
      <c r="D662" s="53" t="s">
        <v>527</v>
      </c>
      <c r="E662" s="53" t="s">
        <v>153</v>
      </c>
      <c r="F662" s="53" t="s">
        <v>128</v>
      </c>
      <c r="G662" s="53" t="s">
        <v>154</v>
      </c>
      <c r="H662" s="53">
        <v>1</v>
      </c>
      <c r="I662" s="53" t="s">
        <v>130</v>
      </c>
      <c r="J662" s="53">
        <v>0</v>
      </c>
      <c r="K662" s="53">
        <v>1</v>
      </c>
      <c r="L662" s="53">
        <v>6</v>
      </c>
      <c r="M662" s="53" t="s">
        <v>192</v>
      </c>
      <c r="N662" s="53">
        <v>5.6</v>
      </c>
      <c r="O662" s="51" t="str">
        <f>TEXT(tblWorkPackages[[#This Row],[Request date serial]]-WEEKDAY(tblWorkPackages[[#This Row],[Request date serial]],3),"yyyy-mm-dd")</f>
        <v>2025-08-18</v>
      </c>
      <c r="P662" s="51">
        <f>ABS(tblWorkPackages[[#This Row],[Actual labor hours]]-tblWorkPackages[[#This Row],[Estimated labor hours]])</f>
        <v>0.4</v>
      </c>
      <c r="Q662" s="51">
        <f>IF(tblWorkPackages[[#This Row],[Actual labor hours]]&gt;tblWorkPackages[[#This Row],[Estimated labor hours]],1,0)</f>
        <v>0</v>
      </c>
      <c r="R662" s="51">
        <f>tblWorkPackages[[#This Row],[Actual labor hours]]-tblWorkPackages[[#This Row],[Estimated labor hours]]</f>
        <v>-0.4</v>
      </c>
      <c r="S662" s="51" t="str">
        <f>IF(tblWorkPackages[[#This Row],[Request date serial]]&lt;ValidationStart,"Train 2024",IF(tblWorkPackages[[#This Row],[Request date serial]]&lt;HoldoutStart,"Validation H1","Holdout H2"))</f>
        <v>Holdout H2</v>
      </c>
      <c r="T662" s="51">
        <f>IF(tblWorkPackages[[#This Row],[Time split]]="Train 2024","",tblWorkPackages[[#This Row],[Estimated labor hours]]+VLOOKUP(tblWorkPackages[[#This Row],[Task type]],'Forecast validation'!$A$14:$E$25,IF(tblWorkPackages[[#This Row],[Time split]]="Validation H1",4,5),FALSE()))</f>
        <v>6.60266666666667</v>
      </c>
      <c r="U662" s="51">
        <f>IF(tblWorkPackages[[#This Row],[Calibrated forecast hours]]="","",ABS(tblWorkPackages[[#This Row],[Actual labor hours]]-tblWorkPackages[[#This Row],[Calibrated forecast hours]]))</f>
        <v>1.00266666666667</v>
      </c>
      <c r="V662" s="51">
        <f>IF(tblWorkPackages[[#This Row],[Time split]]="Train 2024",tblWorkPackages[[#This Row],[Estimated labor hours]],tblWorkPackages[[#This Row],[Calibrated forecast hours]])</f>
        <v>6.60266666666667</v>
      </c>
      <c r="W662" s="64">
        <f>DATEVALUE(tblWorkPackages[[#This Row],[Request date]])</f>
        <v>45893.0</v>
      </c>
      <c r="X662" s="64">
        <f>DATEVALUE(tblWorkPackages[[#This Row],[Due date]])</f>
        <v>45906.0</v>
      </c>
      <c r="Y662" s="64">
        <f>DATEVALUE(tblWorkPackages[[#This Row],[Completion date]])</f>
        <v>45900.0</v>
      </c>
      <c r="Z662" s="64">
        <f>_xlfn.MINIFS(tblLaborEntries[Work date serial],tblLaborEntries[Work package ID],tblWorkPackages[[#This Row],[Work package ID]])</f>
        <v>45898.0</v>
      </c>
      <c r="AA662" s="64">
        <f>_xlfn.MAXIFS(tblLaborEntries[Work date serial],tblLaborEntries[Work package ID],tblWorkPackages[[#This Row],[Work package ID]])</f>
        <v>45900.0</v>
      </c>
      <c r="AB662" s="65">
        <f>IF(tblWorkPackages[[#This Row],[Completion date serial]]&gt;tblWorkPackages[[#This Row],[Due date serial]],1,0)</f>
        <v>0</v>
      </c>
      <c r="AC662" s="65">
        <f>MAX(0,tblWorkPackages[[#This Row],[Completion date serial]]-tblWorkPackages[[#This Row],[Due date serial]])</f>
        <v>0</v>
      </c>
      <c r="AD662" s="65">
        <f>tblWorkPackages[[#This Row],[First labor date]]-tblWorkPackages[[#This Row],[Request date serial]]</f>
        <v>5</v>
      </c>
      <c r="AE662" s="65">
        <f>tblWorkPackages[[#This Row],[Last labor date]]-tblWorkPackages[[#This Row],[First labor date]]</f>
        <v>2</v>
      </c>
      <c r="AF662" s="65">
        <f>tblWorkPackages[[#This Row],[Completion date serial]]-tblWorkPackages[[#This Row],[Last labor date]]</f>
        <v>0</v>
      </c>
      <c r="AG662" s="65">
        <f>tblWorkPackages[[#This Row],[Completion date serial]]-tblWorkPackages[[#This Row],[Request date serial]]</f>
        <v>7</v>
      </c>
      <c r="AH662" s="65">
        <f>IFERROR(INDEX(tblParts[Delay days],MATCH(tblWorkPackages[[#This Row],[Work package ID]],tblParts[Work package ID],0)),0)</f>
        <v>0</v>
      </c>
      <c r="AI662" s="51" t="str">
        <f>IFERROR(INDEX(tblDisruptions[Event type],MATCH(tblWorkPackages[[#This Row],[Work package ID]],tblDisruptions[Work package ID],0)),"None")</f>
        <v>None</v>
      </c>
      <c r="AJ662" s="51" t="str">
        <f>TEXT(tblWorkPackages[[#This Row],[Due date serial]],"yyyy-mm")</f>
        <v>2025-09</v>
      </c>
    </row>
    <row r="663" spans="1:36" ht="15" x14ac:dyDescent="0.25">
      <c r="A663" s="53" t="s">
        <v>1519</v>
      </c>
      <c r="B663" s="53" t="s">
        <v>133</v>
      </c>
      <c r="C663" s="53" t="s">
        <v>880</v>
      </c>
      <c r="D663" s="53" t="s">
        <v>676</v>
      </c>
      <c r="E663" s="53" t="s">
        <v>181</v>
      </c>
      <c r="F663" s="53" t="s">
        <v>182</v>
      </c>
      <c r="G663" s="53" t="s">
        <v>138</v>
      </c>
      <c r="H663" s="53">
        <v>1</v>
      </c>
      <c r="I663" s="53" t="s">
        <v>130</v>
      </c>
      <c r="J663" s="53">
        <v>0</v>
      </c>
      <c r="K663" s="53">
        <v>0</v>
      </c>
      <c r="L663" s="53">
        <v>5.4</v>
      </c>
      <c r="M663" s="53" t="s">
        <v>427</v>
      </c>
      <c r="N663" s="53">
        <v>4.2</v>
      </c>
      <c r="O663" s="51" t="str">
        <f>TEXT(tblWorkPackages[[#This Row],[Request date serial]]-WEEKDAY(tblWorkPackages[[#This Row],[Request date serial]],3),"yyyy-mm-dd")</f>
        <v>2024-04-08</v>
      </c>
      <c r="P663" s="51">
        <f>ABS(tblWorkPackages[[#This Row],[Actual labor hours]]-tblWorkPackages[[#This Row],[Estimated labor hours]])</f>
        <v>1.2</v>
      </c>
      <c r="Q663" s="51">
        <f>IF(tblWorkPackages[[#This Row],[Actual labor hours]]&gt;tblWorkPackages[[#This Row],[Estimated labor hours]],1,0)</f>
        <v>0</v>
      </c>
      <c r="R663" s="51">
        <f>tblWorkPackages[[#This Row],[Actual labor hours]]-tblWorkPackages[[#This Row],[Estimated labor hours]]</f>
        <v>-1.2</v>
      </c>
      <c r="S663" s="51" t="str">
        <f>IF(tblWorkPackages[[#This Row],[Request date serial]]&lt;ValidationStart,"Train 2024",IF(tblWorkPackages[[#This Row],[Request date serial]]&lt;HoldoutStart,"Validation H1","Holdout H2"))</f>
        <v>Train 2024</v>
      </c>
      <c r="T663" s="51" t="str">
        <f>IF(tblWorkPackages[[#This Row],[Time split]]="Train 2024","",tblWorkPackages[[#This Row],[Estimated labor hours]]+VLOOKUP(tblWorkPackages[[#This Row],[Task type]],'Forecast validation'!$A$14:$E$25,IF(tblWorkPackages[[#This Row],[Time split]]="Validation H1",4,5),FALSE()))</f>
        <v/>
      </c>
      <c r="U663" s="51" t="str">
        <f>IF(tblWorkPackages[[#This Row],[Calibrated forecast hours]]="","",ABS(tblWorkPackages[[#This Row],[Actual labor hours]]-tblWorkPackages[[#This Row],[Calibrated forecast hours]]))</f>
        <v/>
      </c>
      <c r="V663" s="51">
        <f>IF(tblWorkPackages[[#This Row],[Time split]]="Train 2024",tblWorkPackages[[#This Row],[Estimated labor hours]],tblWorkPackages[[#This Row],[Calibrated forecast hours]])</f>
        <v>5.4</v>
      </c>
      <c r="W663" s="64">
        <f>DATEVALUE(tblWorkPackages[[#This Row],[Request date]])</f>
        <v>45392.0</v>
      </c>
      <c r="X663" s="64">
        <f>DATEVALUE(tblWorkPackages[[#This Row],[Due date]])</f>
        <v>45405.0</v>
      </c>
      <c r="Y663" s="64">
        <f>DATEVALUE(tblWorkPackages[[#This Row],[Completion date]])</f>
        <v>45396.0</v>
      </c>
      <c r="Z663" s="64">
        <f>_xlfn.MINIFS(tblLaborEntries[Work date serial],tblLaborEntries[Work package ID],tblWorkPackages[[#This Row],[Work package ID]])</f>
        <v>45394.0</v>
      </c>
      <c r="AA663" s="64">
        <f>_xlfn.MAXIFS(tblLaborEntries[Work date serial],tblLaborEntries[Work package ID],tblWorkPackages[[#This Row],[Work package ID]])</f>
        <v>45395.0</v>
      </c>
      <c r="AB663" s="65">
        <f>IF(tblWorkPackages[[#This Row],[Completion date serial]]&gt;tblWorkPackages[[#This Row],[Due date serial]],1,0)</f>
        <v>0</v>
      </c>
      <c r="AC663" s="65">
        <f>MAX(0,tblWorkPackages[[#This Row],[Completion date serial]]-tblWorkPackages[[#This Row],[Due date serial]])</f>
        <v>0</v>
      </c>
      <c r="AD663" s="65">
        <f>tblWorkPackages[[#This Row],[First labor date]]-tblWorkPackages[[#This Row],[Request date serial]]</f>
        <v>2</v>
      </c>
      <c r="AE663" s="65">
        <f>tblWorkPackages[[#This Row],[Last labor date]]-tblWorkPackages[[#This Row],[First labor date]]</f>
        <v>1</v>
      </c>
      <c r="AF663" s="65">
        <f>tblWorkPackages[[#This Row],[Completion date serial]]-tblWorkPackages[[#This Row],[Last labor date]]</f>
        <v>1</v>
      </c>
      <c r="AG663" s="65">
        <f>tblWorkPackages[[#This Row],[Completion date serial]]-tblWorkPackages[[#This Row],[Request date serial]]</f>
        <v>4</v>
      </c>
      <c r="AH663" s="65">
        <f>IFERROR(INDEX(tblParts[Delay days],MATCH(tblWorkPackages[[#This Row],[Work package ID]],tblParts[Work package ID],0)),0)</f>
        <v>0</v>
      </c>
      <c r="AI663" s="51" t="str">
        <f>IFERROR(INDEX(tblDisruptions[Event type],MATCH(tblWorkPackages[[#This Row],[Work package ID]],tblDisruptions[Work package ID],0)),"None")</f>
        <v>None</v>
      </c>
      <c r="AJ663" s="51" t="str">
        <f>TEXT(tblWorkPackages[[#This Row],[Due date serial]],"yyyy-mm")</f>
        <v>2024-04</v>
      </c>
    </row>
    <row r="664" spans="1:36" ht="15" x14ac:dyDescent="0.25">
      <c r="A664" s="53" t="s">
        <v>1520</v>
      </c>
      <c r="B664" s="53" t="s">
        <v>250</v>
      </c>
      <c r="C664" s="53" t="s">
        <v>597</v>
      </c>
      <c r="D664" s="53" t="s">
        <v>907</v>
      </c>
      <c r="E664" s="53" t="s">
        <v>242</v>
      </c>
      <c r="F664" s="53" t="s">
        <v>243</v>
      </c>
      <c r="G664" s="53" t="s">
        <v>129</v>
      </c>
      <c r="H664" s="53">
        <v>2</v>
      </c>
      <c r="I664" s="53" t="s">
        <v>130</v>
      </c>
      <c r="J664" s="53">
        <v>0</v>
      </c>
      <c r="K664" s="53">
        <v>0</v>
      </c>
      <c r="L664" s="53">
        <v>9.4</v>
      </c>
      <c r="M664" s="53" t="s">
        <v>424</v>
      </c>
      <c r="N664" s="53">
        <v>11</v>
      </c>
      <c r="O664" s="51" t="str">
        <f>TEXT(tblWorkPackages[[#This Row],[Request date serial]]-WEEKDAY(tblWorkPackages[[#This Row],[Request date serial]],3),"yyyy-mm-dd")</f>
        <v>2025-05-26</v>
      </c>
      <c r="P664" s="51">
        <f>ABS(tblWorkPackages[[#This Row],[Actual labor hours]]-tblWorkPackages[[#This Row],[Estimated labor hours]])</f>
        <v>1.6</v>
      </c>
      <c r="Q664" s="51">
        <f>IF(tblWorkPackages[[#This Row],[Actual labor hours]]&gt;tblWorkPackages[[#This Row],[Estimated labor hours]],1,0)</f>
        <v>1</v>
      </c>
      <c r="R664" s="51">
        <f>tblWorkPackages[[#This Row],[Actual labor hours]]-tblWorkPackages[[#This Row],[Estimated labor hours]]</f>
        <v>1.6</v>
      </c>
      <c r="S664" s="51" t="str">
        <f>IF(tblWorkPackages[[#This Row],[Request date serial]]&lt;ValidationStart,"Train 2024",IF(tblWorkPackages[[#This Row],[Request date serial]]&lt;HoldoutStart,"Validation H1","Holdout H2"))</f>
        <v>Validation H1</v>
      </c>
      <c r="T664" s="51">
        <f>IF(tblWorkPackages[[#This Row],[Time split]]="Train 2024","",tblWorkPackages[[#This Row],[Estimated labor hours]]+VLOOKUP(tblWorkPackages[[#This Row],[Task type]],'Forecast validation'!$A$14:$E$25,IF(tblWorkPackages[[#This Row],[Time split]]="Validation H1",4,5),FALSE()))</f>
        <v>9.95612244897959</v>
      </c>
      <c r="U664" s="51">
        <f>IF(tblWorkPackages[[#This Row],[Calibrated forecast hours]]="","",ABS(tblWorkPackages[[#This Row],[Actual labor hours]]-tblWorkPackages[[#This Row],[Calibrated forecast hours]]))</f>
        <v>1.04387755102041</v>
      </c>
      <c r="V664" s="51">
        <f>IF(tblWorkPackages[[#This Row],[Time split]]="Train 2024",tblWorkPackages[[#This Row],[Estimated labor hours]],tblWorkPackages[[#This Row],[Calibrated forecast hours]])</f>
        <v>9.95612244897959</v>
      </c>
      <c r="W664" s="64">
        <f>DATEVALUE(tblWorkPackages[[#This Row],[Request date]])</f>
        <v>45803.0</v>
      </c>
      <c r="X664" s="64">
        <f>DATEVALUE(tblWorkPackages[[#This Row],[Due date]])</f>
        <v>45816.0</v>
      </c>
      <c r="Y664" s="64">
        <f>DATEVALUE(tblWorkPackages[[#This Row],[Completion date]])</f>
        <v>45819.0</v>
      </c>
      <c r="Z664" s="64">
        <f>_xlfn.MINIFS(tblLaborEntries[Work date serial],tblLaborEntries[Work package ID],tblWorkPackages[[#This Row],[Work package ID]])</f>
        <v>45817.0</v>
      </c>
      <c r="AA664" s="64">
        <f>_xlfn.MAXIFS(tblLaborEntries[Work date serial],tblLaborEntries[Work package ID],tblWorkPackages[[#This Row],[Work package ID]])</f>
        <v>45817.0</v>
      </c>
      <c r="AB664" s="65">
        <f>IF(tblWorkPackages[[#This Row],[Completion date serial]]&gt;tblWorkPackages[[#This Row],[Due date serial]],1,0)</f>
        <v>1</v>
      </c>
      <c r="AC664" s="65">
        <f>MAX(0,tblWorkPackages[[#This Row],[Completion date serial]]-tblWorkPackages[[#This Row],[Due date serial]])</f>
        <v>3</v>
      </c>
      <c r="AD664" s="65">
        <f>tblWorkPackages[[#This Row],[First labor date]]-tblWorkPackages[[#This Row],[Request date serial]]</f>
        <v>14</v>
      </c>
      <c r="AE664" s="65">
        <f>tblWorkPackages[[#This Row],[Last labor date]]-tblWorkPackages[[#This Row],[First labor date]]</f>
        <v>0</v>
      </c>
      <c r="AF664" s="65">
        <f>tblWorkPackages[[#This Row],[Completion date serial]]-tblWorkPackages[[#This Row],[Last labor date]]</f>
        <v>2</v>
      </c>
      <c r="AG664" s="65">
        <f>tblWorkPackages[[#This Row],[Completion date serial]]-tblWorkPackages[[#This Row],[Request date serial]]</f>
        <v>16</v>
      </c>
      <c r="AH664" s="65">
        <f>IFERROR(INDEX(tblParts[Delay days],MATCH(tblWorkPackages[[#This Row],[Work package ID]],tblParts[Work package ID],0)),0)</f>
        <v>0</v>
      </c>
      <c r="AI664" s="51" t="str">
        <f>IFERROR(INDEX(tblDisruptions[Event type],MATCH(tblWorkPackages[[#This Row],[Work package ID]],tblDisruptions[Work package ID],0)),"None")</f>
        <v>None</v>
      </c>
      <c r="AJ664" s="51" t="str">
        <f>TEXT(tblWorkPackages[[#This Row],[Due date serial]],"yyyy-mm")</f>
        <v>2025-06</v>
      </c>
    </row>
    <row r="665" spans="1:36" ht="15" x14ac:dyDescent="0.25">
      <c r="A665" s="53" t="s">
        <v>1521</v>
      </c>
      <c r="B665" s="53" t="s">
        <v>173</v>
      </c>
      <c r="C665" s="53" t="s">
        <v>1522</v>
      </c>
      <c r="D665" s="53" t="s">
        <v>1523</v>
      </c>
      <c r="E665" s="53" t="s">
        <v>181</v>
      </c>
      <c r="F665" s="53" t="s">
        <v>182</v>
      </c>
      <c r="G665" s="53" t="s">
        <v>138</v>
      </c>
      <c r="H665" s="53">
        <v>3</v>
      </c>
      <c r="I665" s="53" t="s">
        <v>130</v>
      </c>
      <c r="J665" s="53">
        <v>1</v>
      </c>
      <c r="K665" s="53">
        <v>0</v>
      </c>
      <c r="L665" s="53">
        <v>9.9</v>
      </c>
      <c r="M665" s="53" t="s">
        <v>1524</v>
      </c>
      <c r="N665" s="53">
        <v>11.2</v>
      </c>
      <c r="O665" s="51" t="str">
        <f>TEXT(tblWorkPackages[[#This Row],[Request date serial]]-WEEKDAY(tblWorkPackages[[#This Row],[Request date serial]],3),"yyyy-mm-dd")</f>
        <v>2024-01-08</v>
      </c>
      <c r="P665" s="51">
        <f>ABS(tblWorkPackages[[#This Row],[Actual labor hours]]-tblWorkPackages[[#This Row],[Estimated labor hours]])</f>
        <v>1.3</v>
      </c>
      <c r="Q665" s="51">
        <f>IF(tblWorkPackages[[#This Row],[Actual labor hours]]&gt;tblWorkPackages[[#This Row],[Estimated labor hours]],1,0)</f>
        <v>1</v>
      </c>
      <c r="R665" s="51">
        <f>tblWorkPackages[[#This Row],[Actual labor hours]]-tblWorkPackages[[#This Row],[Estimated labor hours]]</f>
        <v>1.3</v>
      </c>
      <c r="S665" s="51" t="str">
        <f>IF(tblWorkPackages[[#This Row],[Request date serial]]&lt;ValidationStart,"Train 2024",IF(tblWorkPackages[[#This Row],[Request date serial]]&lt;HoldoutStart,"Validation H1","Holdout H2"))</f>
        <v>Train 2024</v>
      </c>
      <c r="T665" s="51" t="str">
        <f>IF(tblWorkPackages[[#This Row],[Time split]]="Train 2024","",tblWorkPackages[[#This Row],[Estimated labor hours]]+VLOOKUP(tblWorkPackages[[#This Row],[Task type]],'Forecast validation'!$A$14:$E$25,IF(tblWorkPackages[[#This Row],[Time split]]="Validation H1",4,5),FALSE()))</f>
        <v/>
      </c>
      <c r="U665" s="51" t="str">
        <f>IF(tblWorkPackages[[#This Row],[Calibrated forecast hours]]="","",ABS(tblWorkPackages[[#This Row],[Actual labor hours]]-tblWorkPackages[[#This Row],[Calibrated forecast hours]]))</f>
        <v/>
      </c>
      <c r="V665" s="51">
        <f>IF(tblWorkPackages[[#This Row],[Time split]]="Train 2024",tblWorkPackages[[#This Row],[Estimated labor hours]],tblWorkPackages[[#This Row],[Calibrated forecast hours]])</f>
        <v>9.9</v>
      </c>
      <c r="W665" s="64">
        <f>DATEVALUE(tblWorkPackages[[#This Row],[Request date]])</f>
        <v>45302.0</v>
      </c>
      <c r="X665" s="64">
        <f>DATEVALUE(tblWorkPackages[[#This Row],[Due date]])</f>
        <v>45315.0</v>
      </c>
      <c r="Y665" s="64">
        <f>DATEVALUE(tblWorkPackages[[#This Row],[Completion date]])</f>
        <v>45308.0</v>
      </c>
      <c r="Z665" s="64">
        <f>_xlfn.MINIFS(tblLaborEntries[Work date serial],tblLaborEntries[Work package ID],tblWorkPackages[[#This Row],[Work package ID]])</f>
        <v>45305.0</v>
      </c>
      <c r="AA665" s="64">
        <f>_xlfn.MAXIFS(tblLaborEntries[Work date serial],tblLaborEntries[Work package ID],tblWorkPackages[[#This Row],[Work package ID]])</f>
        <v>45305.0</v>
      </c>
      <c r="AB665" s="65">
        <f>IF(tblWorkPackages[[#This Row],[Completion date serial]]&gt;tblWorkPackages[[#This Row],[Due date serial]],1,0)</f>
        <v>0</v>
      </c>
      <c r="AC665" s="65">
        <f>MAX(0,tblWorkPackages[[#This Row],[Completion date serial]]-tblWorkPackages[[#This Row],[Due date serial]])</f>
        <v>0</v>
      </c>
      <c r="AD665" s="65">
        <f>tblWorkPackages[[#This Row],[First labor date]]-tblWorkPackages[[#This Row],[Request date serial]]</f>
        <v>3</v>
      </c>
      <c r="AE665" s="65">
        <f>tblWorkPackages[[#This Row],[Last labor date]]-tblWorkPackages[[#This Row],[First labor date]]</f>
        <v>0</v>
      </c>
      <c r="AF665" s="65">
        <f>tblWorkPackages[[#This Row],[Completion date serial]]-tblWorkPackages[[#This Row],[Last labor date]]</f>
        <v>3</v>
      </c>
      <c r="AG665" s="65">
        <f>tblWorkPackages[[#This Row],[Completion date serial]]-tblWorkPackages[[#This Row],[Request date serial]]</f>
        <v>6</v>
      </c>
      <c r="AH665" s="65">
        <f>IFERROR(INDEX(tblParts[Delay days],MATCH(tblWorkPackages[[#This Row],[Work package ID]],tblParts[Work package ID],0)),0)</f>
        <v>0</v>
      </c>
      <c r="AI665" s="51" t="str">
        <f>IFERROR(INDEX(tblDisruptions[Event type],MATCH(tblWorkPackages[[#This Row],[Work package ID]],tblDisruptions[Work package ID],0)),"None")</f>
        <v>None</v>
      </c>
      <c r="AJ665" s="51" t="str">
        <f>TEXT(tblWorkPackages[[#This Row],[Due date serial]],"yyyy-mm")</f>
        <v>2024-01</v>
      </c>
    </row>
    <row r="666" spans="1:36" ht="15" x14ac:dyDescent="0.25">
      <c r="A666" s="53" t="s">
        <v>1525</v>
      </c>
      <c r="B666" s="53" t="s">
        <v>133</v>
      </c>
      <c r="C666" s="53" t="s">
        <v>1429</v>
      </c>
      <c r="D666" s="53" t="s">
        <v>1526</v>
      </c>
      <c r="E666" s="53" t="s">
        <v>200</v>
      </c>
      <c r="F666" s="53" t="s">
        <v>128</v>
      </c>
      <c r="G666" s="53" t="s">
        <v>129</v>
      </c>
      <c r="H666" s="53">
        <v>2</v>
      </c>
      <c r="I666" s="53" t="s">
        <v>130</v>
      </c>
      <c r="J666" s="53">
        <v>0</v>
      </c>
      <c r="K666" s="53">
        <v>0</v>
      </c>
      <c r="L666" s="53">
        <v>2.7</v>
      </c>
      <c r="M666" s="53" t="s">
        <v>1527</v>
      </c>
      <c r="N666" s="53">
        <v>2.2000000000000002</v>
      </c>
      <c r="O666" s="51" t="str">
        <f>TEXT(tblWorkPackages[[#This Row],[Request date serial]]-WEEKDAY(tblWorkPackages[[#This Row],[Request date serial]],3),"yyyy-mm-dd")</f>
        <v>2025-12-22</v>
      </c>
      <c r="P666" s="51">
        <f>ABS(tblWorkPackages[[#This Row],[Actual labor hours]]-tblWorkPackages[[#This Row],[Estimated labor hours]])</f>
        <v>0.5</v>
      </c>
      <c r="Q666" s="51">
        <f>IF(tblWorkPackages[[#This Row],[Actual labor hours]]&gt;tblWorkPackages[[#This Row],[Estimated labor hours]],1,0)</f>
        <v>0</v>
      </c>
      <c r="R666" s="51">
        <f>tblWorkPackages[[#This Row],[Actual labor hours]]-tblWorkPackages[[#This Row],[Estimated labor hours]]</f>
        <v>-0.5</v>
      </c>
      <c r="S666" s="51" t="str">
        <f>IF(tblWorkPackages[[#This Row],[Request date serial]]&lt;ValidationStart,"Train 2024",IF(tblWorkPackages[[#This Row],[Request date serial]]&lt;HoldoutStart,"Validation H1","Holdout H2"))</f>
        <v>Holdout H2</v>
      </c>
      <c r="T666" s="51">
        <f>IF(tblWorkPackages[[#This Row],[Time split]]="Train 2024","",tblWorkPackages[[#This Row],[Estimated labor hours]]+VLOOKUP(tblWorkPackages[[#This Row],[Task type]],'Forecast validation'!$A$14:$E$25,IF(tblWorkPackages[[#This Row],[Time split]]="Validation H1",4,5),FALSE()))</f>
        <v>3.02893081761006</v>
      </c>
      <c r="U666" s="51">
        <f>IF(tblWorkPackages[[#This Row],[Calibrated forecast hours]]="","",ABS(tblWorkPackages[[#This Row],[Actual labor hours]]-tblWorkPackages[[#This Row],[Calibrated forecast hours]]))</f>
        <v>0.828930817610063</v>
      </c>
      <c r="V666" s="51">
        <f>IF(tblWorkPackages[[#This Row],[Time split]]="Train 2024",tblWorkPackages[[#This Row],[Estimated labor hours]],tblWorkPackages[[#This Row],[Calibrated forecast hours]])</f>
        <v>3.02893081761006</v>
      </c>
      <c r="W666" s="64">
        <f>DATEVALUE(tblWorkPackages[[#This Row],[Request date]])</f>
        <v>46016.0</v>
      </c>
      <c r="X666" s="64">
        <f>DATEVALUE(tblWorkPackages[[#This Row],[Due date]])</f>
        <v>46029.0</v>
      </c>
      <c r="Y666" s="64">
        <f>DATEVALUE(tblWorkPackages[[#This Row],[Completion date]])</f>
        <v>46075.0</v>
      </c>
      <c r="Z666" s="64">
        <f>_xlfn.MINIFS(tblLaborEntries[Work date serial],tblLaborEntries[Work package ID],tblWorkPackages[[#This Row],[Work package ID]])</f>
        <v>46074.0</v>
      </c>
      <c r="AA666" s="64">
        <f>_xlfn.MAXIFS(tblLaborEntries[Work date serial],tblLaborEntries[Work package ID],tblWorkPackages[[#This Row],[Work package ID]])</f>
        <v>46075.0</v>
      </c>
      <c r="AB666" s="65">
        <f>IF(tblWorkPackages[[#This Row],[Completion date serial]]&gt;tblWorkPackages[[#This Row],[Due date serial]],1,0)</f>
        <v>1</v>
      </c>
      <c r="AC666" s="65">
        <f>MAX(0,tblWorkPackages[[#This Row],[Completion date serial]]-tblWorkPackages[[#This Row],[Due date serial]])</f>
        <v>46</v>
      </c>
      <c r="AD666" s="65">
        <f>tblWorkPackages[[#This Row],[First labor date]]-tblWorkPackages[[#This Row],[Request date serial]]</f>
        <v>58</v>
      </c>
      <c r="AE666" s="65">
        <f>tblWorkPackages[[#This Row],[Last labor date]]-tblWorkPackages[[#This Row],[First labor date]]</f>
        <v>1</v>
      </c>
      <c r="AF666" s="65">
        <f>tblWorkPackages[[#This Row],[Completion date serial]]-tblWorkPackages[[#This Row],[Last labor date]]</f>
        <v>0</v>
      </c>
      <c r="AG666" s="65">
        <f>tblWorkPackages[[#This Row],[Completion date serial]]-tblWorkPackages[[#This Row],[Request date serial]]</f>
        <v>59</v>
      </c>
      <c r="AH666" s="65">
        <f>IFERROR(INDEX(tblParts[Delay days],MATCH(tblWorkPackages[[#This Row],[Work package ID]],tblParts[Work package ID],0)),0)</f>
        <v>0</v>
      </c>
      <c r="AI666" s="51" t="str">
        <f>IFERROR(INDEX(tblDisruptions[Event type],MATCH(tblWorkPackages[[#This Row],[Work package ID]],tblDisruptions[Work package ID],0)),"None")</f>
        <v>None</v>
      </c>
      <c r="AJ666" s="51" t="str">
        <f>TEXT(tblWorkPackages[[#This Row],[Due date serial]],"yyyy-mm")</f>
        <v>2026-01</v>
      </c>
    </row>
    <row r="667" spans="1:36" ht="15" x14ac:dyDescent="0.25">
      <c r="A667" s="53" t="s">
        <v>1528</v>
      </c>
      <c r="B667" s="53" t="s">
        <v>230</v>
      </c>
      <c r="C667" s="53" t="s">
        <v>776</v>
      </c>
      <c r="D667" s="53" t="s">
        <v>513</v>
      </c>
      <c r="E667" s="53" t="s">
        <v>160</v>
      </c>
      <c r="F667" s="53" t="s">
        <v>128</v>
      </c>
      <c r="G667" s="53" t="s">
        <v>138</v>
      </c>
      <c r="H667" s="53">
        <v>2</v>
      </c>
      <c r="I667" s="53" t="s">
        <v>130</v>
      </c>
      <c r="J667" s="53">
        <v>0</v>
      </c>
      <c r="K667" s="53">
        <v>1</v>
      </c>
      <c r="L667" s="53">
        <v>4.5</v>
      </c>
      <c r="M667" s="53" t="s">
        <v>396</v>
      </c>
      <c r="N667" s="53">
        <v>6.3</v>
      </c>
      <c r="O667" s="51" t="str">
        <f>TEXT(tblWorkPackages[[#This Row],[Request date serial]]-WEEKDAY(tblWorkPackages[[#This Row],[Request date serial]],3),"yyyy-mm-dd")</f>
        <v>2024-12-09</v>
      </c>
      <c r="P667" s="51">
        <f>ABS(tblWorkPackages[[#This Row],[Actual labor hours]]-tblWorkPackages[[#This Row],[Estimated labor hours]])</f>
        <v>1.8</v>
      </c>
      <c r="Q667" s="51">
        <f>IF(tblWorkPackages[[#This Row],[Actual labor hours]]&gt;tblWorkPackages[[#This Row],[Estimated labor hours]],1,0)</f>
        <v>1</v>
      </c>
      <c r="R667" s="51">
        <f>tblWorkPackages[[#This Row],[Actual labor hours]]-tblWorkPackages[[#This Row],[Estimated labor hours]]</f>
        <v>1.8</v>
      </c>
      <c r="S667" s="51" t="str">
        <f>IF(tblWorkPackages[[#This Row],[Request date serial]]&lt;ValidationStart,"Train 2024",IF(tblWorkPackages[[#This Row],[Request date serial]]&lt;HoldoutStart,"Validation H1","Holdout H2"))</f>
        <v>Train 2024</v>
      </c>
      <c r="T667" s="51" t="str">
        <f>IF(tblWorkPackages[[#This Row],[Time split]]="Train 2024","",tblWorkPackages[[#This Row],[Estimated labor hours]]+VLOOKUP(tblWorkPackages[[#This Row],[Task type]],'Forecast validation'!$A$14:$E$25,IF(tblWorkPackages[[#This Row],[Time split]]="Validation H1",4,5),FALSE()))</f>
        <v/>
      </c>
      <c r="U667" s="51" t="str">
        <f>IF(tblWorkPackages[[#This Row],[Calibrated forecast hours]]="","",ABS(tblWorkPackages[[#This Row],[Actual labor hours]]-tblWorkPackages[[#This Row],[Calibrated forecast hours]]))</f>
        <v/>
      </c>
      <c r="V667" s="51">
        <f>IF(tblWorkPackages[[#This Row],[Time split]]="Train 2024",tblWorkPackages[[#This Row],[Estimated labor hours]],tblWorkPackages[[#This Row],[Calibrated forecast hours]])</f>
        <v>4.5</v>
      </c>
      <c r="W667" s="64">
        <f>DATEVALUE(tblWorkPackages[[#This Row],[Request date]])</f>
        <v>45636.0</v>
      </c>
      <c r="X667" s="64">
        <f>DATEVALUE(tblWorkPackages[[#This Row],[Due date]])</f>
        <v>45649.0</v>
      </c>
      <c r="Y667" s="64">
        <f>DATEVALUE(tblWorkPackages[[#This Row],[Completion date]])</f>
        <v>45657.0</v>
      </c>
      <c r="Z667" s="64">
        <f>_xlfn.MINIFS(tblLaborEntries[Work date serial],tblLaborEntries[Work package ID],tblWorkPackages[[#This Row],[Work package ID]])</f>
        <v>45656.0</v>
      </c>
      <c r="AA667" s="64">
        <f>_xlfn.MAXIFS(tblLaborEntries[Work date serial],tblLaborEntries[Work package ID],tblWorkPackages[[#This Row],[Work package ID]])</f>
        <v>45656.0</v>
      </c>
      <c r="AB667" s="65">
        <f>IF(tblWorkPackages[[#This Row],[Completion date serial]]&gt;tblWorkPackages[[#This Row],[Due date serial]],1,0)</f>
        <v>1</v>
      </c>
      <c r="AC667" s="65">
        <f>MAX(0,tblWorkPackages[[#This Row],[Completion date serial]]-tblWorkPackages[[#This Row],[Due date serial]])</f>
        <v>8</v>
      </c>
      <c r="AD667" s="65">
        <f>tblWorkPackages[[#This Row],[First labor date]]-tblWorkPackages[[#This Row],[Request date serial]]</f>
        <v>20</v>
      </c>
      <c r="AE667" s="65">
        <f>tblWorkPackages[[#This Row],[Last labor date]]-tblWorkPackages[[#This Row],[First labor date]]</f>
        <v>0</v>
      </c>
      <c r="AF667" s="65">
        <f>tblWorkPackages[[#This Row],[Completion date serial]]-tblWorkPackages[[#This Row],[Last labor date]]</f>
        <v>1</v>
      </c>
      <c r="AG667" s="65">
        <f>tblWorkPackages[[#This Row],[Completion date serial]]-tblWorkPackages[[#This Row],[Request date serial]]</f>
        <v>21</v>
      </c>
      <c r="AH667" s="65">
        <f>IFERROR(INDEX(tblParts[Delay days],MATCH(tblWorkPackages[[#This Row],[Work package ID]],tblParts[Work package ID],0)),0)</f>
        <v>11</v>
      </c>
      <c r="AI667" s="51" t="str">
        <f>IFERROR(INDEX(tblDisruptions[Event type],MATCH(tblWorkPackages[[#This Row],[Work package ID]],tblDisruptions[Work package ID],0)),"None")</f>
        <v>Part delay</v>
      </c>
      <c r="AJ667" s="51" t="str">
        <f>TEXT(tblWorkPackages[[#This Row],[Due date serial]],"yyyy-mm")</f>
        <v>2024-12</v>
      </c>
    </row>
    <row r="668" spans="1:36" ht="15" x14ac:dyDescent="0.25">
      <c r="A668" s="53" t="s">
        <v>1529</v>
      </c>
      <c r="B668" s="53" t="s">
        <v>133</v>
      </c>
      <c r="C668" s="53" t="s">
        <v>1073</v>
      </c>
      <c r="D668" s="53" t="s">
        <v>231</v>
      </c>
      <c r="E668" s="53" t="s">
        <v>237</v>
      </c>
      <c r="F668" s="53" t="s">
        <v>182</v>
      </c>
      <c r="G668" s="53" t="s">
        <v>138</v>
      </c>
      <c r="H668" s="53">
        <v>1</v>
      </c>
      <c r="I668" s="53" t="s">
        <v>130</v>
      </c>
      <c r="J668" s="53">
        <v>0</v>
      </c>
      <c r="K668" s="53">
        <v>0</v>
      </c>
      <c r="L668" s="53">
        <v>3.1</v>
      </c>
      <c r="M668" s="53" t="s">
        <v>394</v>
      </c>
      <c r="N668" s="53">
        <v>3.1</v>
      </c>
      <c r="O668" s="51" t="str">
        <f>TEXT(tblWorkPackages[[#This Row],[Request date serial]]-WEEKDAY(tblWorkPackages[[#This Row],[Request date serial]],3),"yyyy-mm-dd")</f>
        <v>2024-12-16</v>
      </c>
      <c r="P668" s="51">
        <f>ABS(tblWorkPackages[[#This Row],[Actual labor hours]]-tblWorkPackages[[#This Row],[Estimated labor hours]])</f>
        <v>0</v>
      </c>
      <c r="Q668" s="51">
        <f>IF(tblWorkPackages[[#This Row],[Actual labor hours]]&gt;tblWorkPackages[[#This Row],[Estimated labor hours]],1,0)</f>
        <v>0</v>
      </c>
      <c r="R668" s="51">
        <f>tblWorkPackages[[#This Row],[Actual labor hours]]-tblWorkPackages[[#This Row],[Estimated labor hours]]</f>
        <v>0</v>
      </c>
      <c r="S668" s="51" t="str">
        <f>IF(tblWorkPackages[[#This Row],[Request date serial]]&lt;ValidationStart,"Train 2024",IF(tblWorkPackages[[#This Row],[Request date serial]]&lt;HoldoutStart,"Validation H1","Holdout H2"))</f>
        <v>Train 2024</v>
      </c>
      <c r="T668" s="51" t="str">
        <f>IF(tblWorkPackages[[#This Row],[Time split]]="Train 2024","",tblWorkPackages[[#This Row],[Estimated labor hours]]+VLOOKUP(tblWorkPackages[[#This Row],[Task type]],'Forecast validation'!$A$14:$E$25,IF(tblWorkPackages[[#This Row],[Time split]]="Validation H1",4,5),FALSE()))</f>
        <v/>
      </c>
      <c r="U668" s="51" t="str">
        <f>IF(tblWorkPackages[[#This Row],[Calibrated forecast hours]]="","",ABS(tblWorkPackages[[#This Row],[Actual labor hours]]-tblWorkPackages[[#This Row],[Calibrated forecast hours]]))</f>
        <v/>
      </c>
      <c r="V668" s="51">
        <f>IF(tblWorkPackages[[#This Row],[Time split]]="Train 2024",tblWorkPackages[[#This Row],[Estimated labor hours]],tblWorkPackages[[#This Row],[Calibrated forecast hours]])</f>
        <v>3.1</v>
      </c>
      <c r="W668" s="64">
        <f>DATEVALUE(tblWorkPackages[[#This Row],[Request date]])</f>
        <v>45642.0</v>
      </c>
      <c r="X668" s="64">
        <f>DATEVALUE(tblWorkPackages[[#This Row],[Due date]])</f>
        <v>45655.0</v>
      </c>
      <c r="Y668" s="64">
        <f>DATEVALUE(tblWorkPackages[[#This Row],[Completion date]])</f>
        <v>45646.0</v>
      </c>
      <c r="Z668" s="64">
        <f>_xlfn.MINIFS(tblLaborEntries[Work date serial],tblLaborEntries[Work package ID],tblWorkPackages[[#This Row],[Work package ID]])</f>
        <v>45644.0</v>
      </c>
      <c r="AA668" s="64">
        <f>_xlfn.MAXIFS(tblLaborEntries[Work date serial],tblLaborEntries[Work package ID],tblWorkPackages[[#This Row],[Work package ID]])</f>
        <v>45644.0</v>
      </c>
      <c r="AB668" s="65">
        <f>IF(tblWorkPackages[[#This Row],[Completion date serial]]&gt;tblWorkPackages[[#This Row],[Due date serial]],1,0)</f>
        <v>0</v>
      </c>
      <c r="AC668" s="65">
        <f>MAX(0,tblWorkPackages[[#This Row],[Completion date serial]]-tblWorkPackages[[#This Row],[Due date serial]])</f>
        <v>0</v>
      </c>
      <c r="AD668" s="65">
        <f>tblWorkPackages[[#This Row],[First labor date]]-tblWorkPackages[[#This Row],[Request date serial]]</f>
        <v>2</v>
      </c>
      <c r="AE668" s="65">
        <f>tblWorkPackages[[#This Row],[Last labor date]]-tblWorkPackages[[#This Row],[First labor date]]</f>
        <v>0</v>
      </c>
      <c r="AF668" s="65">
        <f>tblWorkPackages[[#This Row],[Completion date serial]]-tblWorkPackages[[#This Row],[Last labor date]]</f>
        <v>2</v>
      </c>
      <c r="AG668" s="65">
        <f>tblWorkPackages[[#This Row],[Completion date serial]]-tblWorkPackages[[#This Row],[Request date serial]]</f>
        <v>4</v>
      </c>
      <c r="AH668" s="65">
        <f>IFERROR(INDEX(tblParts[Delay days],MATCH(tblWorkPackages[[#This Row],[Work package ID]],tblParts[Work package ID],0)),0)</f>
        <v>0</v>
      </c>
      <c r="AI668" s="51" t="str">
        <f>IFERROR(INDEX(tblDisruptions[Event type],MATCH(tblWorkPackages[[#This Row],[Work package ID]],tblDisruptions[Work package ID],0)),"None")</f>
        <v>None</v>
      </c>
      <c r="AJ668" s="51" t="str">
        <f>TEXT(tblWorkPackages[[#This Row],[Due date serial]],"yyyy-mm")</f>
        <v>2024-12</v>
      </c>
    </row>
    <row r="669" spans="1:36" ht="15" x14ac:dyDescent="0.25">
      <c r="A669" s="53" t="s">
        <v>1530</v>
      </c>
      <c r="B669" s="53" t="s">
        <v>287</v>
      </c>
      <c r="C669" s="53" t="s">
        <v>1028</v>
      </c>
      <c r="D669" s="53" t="s">
        <v>482</v>
      </c>
      <c r="E669" s="53" t="s">
        <v>237</v>
      </c>
      <c r="F669" s="53" t="s">
        <v>182</v>
      </c>
      <c r="G669" s="53" t="s">
        <v>138</v>
      </c>
      <c r="H669" s="53">
        <v>1</v>
      </c>
      <c r="I669" s="53" t="s">
        <v>147</v>
      </c>
      <c r="J669" s="53">
        <v>0</v>
      </c>
      <c r="K669" s="53">
        <v>1</v>
      </c>
      <c r="L669" s="53">
        <v>3.2</v>
      </c>
      <c r="M669" s="53" t="s">
        <v>848</v>
      </c>
      <c r="N669" s="53">
        <v>3.4</v>
      </c>
      <c r="O669" s="51" t="str">
        <f>TEXT(tblWorkPackages[[#This Row],[Request date serial]]-WEEKDAY(tblWorkPackages[[#This Row],[Request date serial]],3),"yyyy-mm-dd")</f>
        <v>2025-11-17</v>
      </c>
      <c r="P669" s="51">
        <f>ABS(tblWorkPackages[[#This Row],[Actual labor hours]]-tblWorkPackages[[#This Row],[Estimated labor hours]])</f>
        <v>0.2</v>
      </c>
      <c r="Q669" s="51">
        <f>IF(tblWorkPackages[[#This Row],[Actual labor hours]]&gt;tblWorkPackages[[#This Row],[Estimated labor hours]],1,0)</f>
        <v>1</v>
      </c>
      <c r="R669" s="51">
        <f>tblWorkPackages[[#This Row],[Actual labor hours]]-tblWorkPackages[[#This Row],[Estimated labor hours]]</f>
        <v>0.2</v>
      </c>
      <c r="S669" s="51" t="str">
        <f>IF(tblWorkPackages[[#This Row],[Request date serial]]&lt;ValidationStart,"Train 2024",IF(tblWorkPackages[[#This Row],[Request date serial]]&lt;HoldoutStart,"Validation H1","Holdout H2"))</f>
        <v>Holdout H2</v>
      </c>
      <c r="T669" s="51">
        <f>IF(tblWorkPackages[[#This Row],[Time split]]="Train 2024","",tblWorkPackages[[#This Row],[Estimated labor hours]]+VLOOKUP(tblWorkPackages[[#This Row],[Task type]],'Forecast validation'!$A$14:$E$25,IF(tblWorkPackages[[#This Row],[Time split]]="Validation H1",4,5),FALSE()))</f>
        <v>3.653125</v>
      </c>
      <c r="U669" s="51">
        <f>IF(tblWorkPackages[[#This Row],[Calibrated forecast hours]]="","",ABS(tblWorkPackages[[#This Row],[Actual labor hours]]-tblWorkPackages[[#This Row],[Calibrated forecast hours]]))</f>
        <v>0.253125</v>
      </c>
      <c r="V669" s="51">
        <f>IF(tblWorkPackages[[#This Row],[Time split]]="Train 2024",tblWorkPackages[[#This Row],[Estimated labor hours]],tblWorkPackages[[#This Row],[Calibrated forecast hours]])</f>
        <v>3.653125</v>
      </c>
      <c r="W669" s="64">
        <f>DATEVALUE(tblWorkPackages[[#This Row],[Request date]])</f>
        <v>45981.0</v>
      </c>
      <c r="X669" s="64">
        <f>DATEVALUE(tblWorkPackages[[#This Row],[Due date]])</f>
        <v>45983.0</v>
      </c>
      <c r="Y669" s="64">
        <f>DATEVALUE(tblWorkPackages[[#This Row],[Completion date]])</f>
        <v>46006.0</v>
      </c>
      <c r="Z669" s="64">
        <f>_xlfn.MINIFS(tblLaborEntries[Work date serial],tblLaborEntries[Work package ID],tblWorkPackages[[#This Row],[Work package ID]])</f>
        <v>46003.0</v>
      </c>
      <c r="AA669" s="64">
        <f>_xlfn.MAXIFS(tblLaborEntries[Work date serial],tblLaborEntries[Work package ID],tblWorkPackages[[#This Row],[Work package ID]])</f>
        <v>46003.0</v>
      </c>
      <c r="AB669" s="65">
        <f>IF(tblWorkPackages[[#This Row],[Completion date serial]]&gt;tblWorkPackages[[#This Row],[Due date serial]],1,0)</f>
        <v>1</v>
      </c>
      <c r="AC669" s="65">
        <f>MAX(0,tblWorkPackages[[#This Row],[Completion date serial]]-tblWorkPackages[[#This Row],[Due date serial]])</f>
        <v>23</v>
      </c>
      <c r="AD669" s="65">
        <f>tblWorkPackages[[#This Row],[First labor date]]-tblWorkPackages[[#This Row],[Request date serial]]</f>
        <v>22</v>
      </c>
      <c r="AE669" s="65">
        <f>tblWorkPackages[[#This Row],[Last labor date]]-tblWorkPackages[[#This Row],[First labor date]]</f>
        <v>0</v>
      </c>
      <c r="AF669" s="65">
        <f>tblWorkPackages[[#This Row],[Completion date serial]]-tblWorkPackages[[#This Row],[Last labor date]]</f>
        <v>3</v>
      </c>
      <c r="AG669" s="65">
        <f>tblWorkPackages[[#This Row],[Completion date serial]]-tblWorkPackages[[#This Row],[Request date serial]]</f>
        <v>25</v>
      </c>
      <c r="AH669" s="65">
        <f>IFERROR(INDEX(tblParts[Delay days],MATCH(tblWorkPackages[[#This Row],[Work package ID]],tblParts[Work package ID],0)),0)</f>
        <v>0</v>
      </c>
      <c r="AI669" s="51" t="str">
        <f>IFERROR(INDEX(tblDisruptions[Event type],MATCH(tblWorkPackages[[#This Row],[Work package ID]],tblDisruptions[Work package ID],0)),"None")</f>
        <v>None</v>
      </c>
      <c r="AJ669" s="51" t="str">
        <f>TEXT(tblWorkPackages[[#This Row],[Due date serial]],"yyyy-mm")</f>
        <v>2025-11</v>
      </c>
    </row>
    <row r="670" spans="1:36" ht="15" x14ac:dyDescent="0.25">
      <c r="A670" s="53" t="s">
        <v>1531</v>
      </c>
      <c r="B670" s="53" t="s">
        <v>141</v>
      </c>
      <c r="C670" s="53" t="s">
        <v>558</v>
      </c>
      <c r="D670" s="53" t="s">
        <v>559</v>
      </c>
      <c r="E670" s="53" t="s">
        <v>237</v>
      </c>
      <c r="F670" s="53" t="s">
        <v>182</v>
      </c>
      <c r="G670" s="53" t="s">
        <v>138</v>
      </c>
      <c r="H670" s="53">
        <v>1</v>
      </c>
      <c r="I670" s="53" t="s">
        <v>130</v>
      </c>
      <c r="J670" s="53">
        <v>0</v>
      </c>
      <c r="K670" s="53">
        <v>1</v>
      </c>
      <c r="L670" s="53">
        <v>3</v>
      </c>
      <c r="M670" s="53" t="s">
        <v>326</v>
      </c>
      <c r="N670" s="53">
        <v>2.9</v>
      </c>
      <c r="O670" s="51" t="str">
        <f>TEXT(tblWorkPackages[[#This Row],[Request date serial]]-WEEKDAY(tblWorkPackages[[#This Row],[Request date serial]],3),"yyyy-mm-dd")</f>
        <v>2025-10-27</v>
      </c>
      <c r="P670" s="51">
        <f>ABS(tblWorkPackages[[#This Row],[Actual labor hours]]-tblWorkPackages[[#This Row],[Estimated labor hours]])</f>
        <v>0.1</v>
      </c>
      <c r="Q670" s="51">
        <f>IF(tblWorkPackages[[#This Row],[Actual labor hours]]&gt;tblWorkPackages[[#This Row],[Estimated labor hours]],1,0)</f>
        <v>0</v>
      </c>
      <c r="R670" s="51">
        <f>tblWorkPackages[[#This Row],[Actual labor hours]]-tblWorkPackages[[#This Row],[Estimated labor hours]]</f>
        <v>-0.1</v>
      </c>
      <c r="S670" s="51" t="str">
        <f>IF(tblWorkPackages[[#This Row],[Request date serial]]&lt;ValidationStart,"Train 2024",IF(tblWorkPackages[[#This Row],[Request date serial]]&lt;HoldoutStart,"Validation H1","Holdout H2"))</f>
        <v>Holdout H2</v>
      </c>
      <c r="T670" s="51">
        <f>IF(tblWorkPackages[[#This Row],[Time split]]="Train 2024","",tblWorkPackages[[#This Row],[Estimated labor hours]]+VLOOKUP(tblWorkPackages[[#This Row],[Task type]],'Forecast validation'!$A$14:$E$25,IF(tblWorkPackages[[#This Row],[Time split]]="Validation H1",4,5),FALSE()))</f>
        <v>3.453125</v>
      </c>
      <c r="U670" s="51">
        <f>IF(tblWorkPackages[[#This Row],[Calibrated forecast hours]]="","",ABS(tblWorkPackages[[#This Row],[Actual labor hours]]-tblWorkPackages[[#This Row],[Calibrated forecast hours]]))</f>
        <v>0.553125</v>
      </c>
      <c r="V670" s="51">
        <f>IF(tblWorkPackages[[#This Row],[Time split]]="Train 2024",tblWorkPackages[[#This Row],[Estimated labor hours]],tblWorkPackages[[#This Row],[Calibrated forecast hours]])</f>
        <v>3.453125</v>
      </c>
      <c r="W670" s="64">
        <f>DATEVALUE(tblWorkPackages[[#This Row],[Request date]])</f>
        <v>45961.0</v>
      </c>
      <c r="X670" s="64">
        <f>DATEVALUE(tblWorkPackages[[#This Row],[Due date]])</f>
        <v>45974.0</v>
      </c>
      <c r="Y670" s="64">
        <f>DATEVALUE(tblWorkPackages[[#This Row],[Completion date]])</f>
        <v>45975.0</v>
      </c>
      <c r="Z670" s="64">
        <f>_xlfn.MINIFS(tblLaborEntries[Work date serial],tblLaborEntries[Work package ID],tblWorkPackages[[#This Row],[Work package ID]])</f>
        <v>45973.0</v>
      </c>
      <c r="AA670" s="64">
        <f>_xlfn.MAXIFS(tblLaborEntries[Work date serial],tblLaborEntries[Work package ID],tblWorkPackages[[#This Row],[Work package ID]])</f>
        <v>45975.0</v>
      </c>
      <c r="AB670" s="65">
        <f>IF(tblWorkPackages[[#This Row],[Completion date serial]]&gt;tblWorkPackages[[#This Row],[Due date serial]],1,0)</f>
        <v>1</v>
      </c>
      <c r="AC670" s="65">
        <f>MAX(0,tblWorkPackages[[#This Row],[Completion date serial]]-tblWorkPackages[[#This Row],[Due date serial]])</f>
        <v>1</v>
      </c>
      <c r="AD670" s="65">
        <f>tblWorkPackages[[#This Row],[First labor date]]-tblWorkPackages[[#This Row],[Request date serial]]</f>
        <v>12</v>
      </c>
      <c r="AE670" s="65">
        <f>tblWorkPackages[[#This Row],[Last labor date]]-tblWorkPackages[[#This Row],[First labor date]]</f>
        <v>2</v>
      </c>
      <c r="AF670" s="65">
        <f>tblWorkPackages[[#This Row],[Completion date serial]]-tblWorkPackages[[#This Row],[Last labor date]]</f>
        <v>0</v>
      </c>
      <c r="AG670" s="65">
        <f>tblWorkPackages[[#This Row],[Completion date serial]]-tblWorkPackages[[#This Row],[Request date serial]]</f>
        <v>14</v>
      </c>
      <c r="AH670" s="65">
        <f>IFERROR(INDEX(tblParts[Delay days],MATCH(tblWorkPackages[[#This Row],[Work package ID]],tblParts[Work package ID],0)),0)</f>
        <v>8</v>
      </c>
      <c r="AI670" s="51" t="str">
        <f>IFERROR(INDEX(tblDisruptions[Event type],MATCH(tblWorkPackages[[#This Row],[Work package ID]],tblDisruptions[Work package ID],0)),"None")</f>
        <v>Part delay</v>
      </c>
      <c r="AJ670" s="51" t="str">
        <f>TEXT(tblWorkPackages[[#This Row],[Due date serial]],"yyyy-mm")</f>
        <v>2025-11</v>
      </c>
    </row>
    <row r="671" spans="1:36" ht="15" x14ac:dyDescent="0.25">
      <c r="A671" s="53" t="s">
        <v>1532</v>
      </c>
      <c r="B671" s="53" t="s">
        <v>203</v>
      </c>
      <c r="C671" s="53" t="s">
        <v>175</v>
      </c>
      <c r="D671" s="53" t="s">
        <v>501</v>
      </c>
      <c r="E671" s="53" t="s">
        <v>223</v>
      </c>
      <c r="F671" s="53" t="s">
        <v>182</v>
      </c>
      <c r="G671" s="53" t="s">
        <v>154</v>
      </c>
      <c r="H671" s="53">
        <v>1</v>
      </c>
      <c r="I671" s="53" t="s">
        <v>176</v>
      </c>
      <c r="J671" s="53">
        <v>0</v>
      </c>
      <c r="K671" s="53">
        <v>1</v>
      </c>
      <c r="L671" s="53">
        <v>7.5</v>
      </c>
      <c r="M671" s="53" t="s">
        <v>323</v>
      </c>
      <c r="N671" s="53">
        <v>8.6</v>
      </c>
      <c r="O671" s="51" t="str">
        <f>TEXT(tblWorkPackages[[#This Row],[Request date serial]]-WEEKDAY(tblWorkPackages[[#This Row],[Request date serial]],3),"yyyy-mm-dd")</f>
        <v>2025-06-30</v>
      </c>
      <c r="P671" s="51">
        <f>ABS(tblWorkPackages[[#This Row],[Actual labor hours]]-tblWorkPackages[[#This Row],[Estimated labor hours]])</f>
        <v>1.1</v>
      </c>
      <c r="Q671" s="51">
        <f>IF(tblWorkPackages[[#This Row],[Actual labor hours]]&gt;tblWorkPackages[[#This Row],[Estimated labor hours]],1,0)</f>
        <v>1</v>
      </c>
      <c r="R671" s="51">
        <f>tblWorkPackages[[#This Row],[Actual labor hours]]-tblWorkPackages[[#This Row],[Estimated labor hours]]</f>
        <v>1.1</v>
      </c>
      <c r="S671" s="51" t="str">
        <f>IF(tblWorkPackages[[#This Row],[Request date serial]]&lt;ValidationStart,"Train 2024",IF(tblWorkPackages[[#This Row],[Request date serial]]&lt;HoldoutStart,"Validation H1","Holdout H2"))</f>
        <v>Holdout H2</v>
      </c>
      <c r="T671" s="51">
        <f>IF(tblWorkPackages[[#This Row],[Time split]]="Train 2024","",tblWorkPackages[[#This Row],[Estimated labor hours]]+VLOOKUP(tblWorkPackages[[#This Row],[Task type]],'Forecast validation'!$A$14:$E$25,IF(tblWorkPackages[[#This Row],[Time split]]="Validation H1",4,5),FALSE()))</f>
        <v>8.42465753424658</v>
      </c>
      <c r="U671" s="51">
        <f>IF(tblWorkPackages[[#This Row],[Calibrated forecast hours]]="","",ABS(tblWorkPackages[[#This Row],[Actual labor hours]]-tblWorkPackages[[#This Row],[Calibrated forecast hours]]))</f>
        <v>0.175342465753424</v>
      </c>
      <c r="V671" s="51">
        <f>IF(tblWorkPackages[[#This Row],[Time split]]="Train 2024",tblWorkPackages[[#This Row],[Estimated labor hours]],tblWorkPackages[[#This Row],[Calibrated forecast hours]])</f>
        <v>8.42465753424658</v>
      </c>
      <c r="W671" s="64">
        <f>DATEVALUE(tblWorkPackages[[#This Row],[Request date]])</f>
        <v>45842.0</v>
      </c>
      <c r="X671" s="64">
        <f>DATEVALUE(tblWorkPackages[[#This Row],[Due date]])</f>
        <v>45848.0</v>
      </c>
      <c r="Y671" s="64">
        <f>DATEVALUE(tblWorkPackages[[#This Row],[Completion date]])</f>
        <v>45845.0</v>
      </c>
      <c r="Z671" s="64">
        <f>_xlfn.MINIFS(tblLaborEntries[Work date serial],tblLaborEntries[Work package ID],tblWorkPackages[[#This Row],[Work package ID]])</f>
        <v>45843.0</v>
      </c>
      <c r="AA671" s="64">
        <f>_xlfn.MAXIFS(tblLaborEntries[Work date serial],tblLaborEntries[Work package ID],tblWorkPackages[[#This Row],[Work package ID]])</f>
        <v>45844.0</v>
      </c>
      <c r="AB671" s="65">
        <f>IF(tblWorkPackages[[#This Row],[Completion date serial]]&gt;tblWorkPackages[[#This Row],[Due date serial]],1,0)</f>
        <v>0</v>
      </c>
      <c r="AC671" s="65">
        <f>MAX(0,tblWorkPackages[[#This Row],[Completion date serial]]-tblWorkPackages[[#This Row],[Due date serial]])</f>
        <v>0</v>
      </c>
      <c r="AD671" s="65">
        <f>tblWorkPackages[[#This Row],[First labor date]]-tblWorkPackages[[#This Row],[Request date serial]]</f>
        <v>1</v>
      </c>
      <c r="AE671" s="65">
        <f>tblWorkPackages[[#This Row],[Last labor date]]-tblWorkPackages[[#This Row],[First labor date]]</f>
        <v>1</v>
      </c>
      <c r="AF671" s="65">
        <f>tblWorkPackages[[#This Row],[Completion date serial]]-tblWorkPackages[[#This Row],[Last labor date]]</f>
        <v>1</v>
      </c>
      <c r="AG671" s="65">
        <f>tblWorkPackages[[#This Row],[Completion date serial]]-tblWorkPackages[[#This Row],[Request date serial]]</f>
        <v>3</v>
      </c>
      <c r="AH671" s="65">
        <f>IFERROR(INDEX(tblParts[Delay days],MATCH(tblWorkPackages[[#This Row],[Work package ID]],tblParts[Work package ID],0)),0)</f>
        <v>0</v>
      </c>
      <c r="AI671" s="51" t="str">
        <f>IFERROR(INDEX(tblDisruptions[Event type],MATCH(tblWorkPackages[[#This Row],[Work package ID]],tblDisruptions[Work package ID],0)),"None")</f>
        <v>Scope change</v>
      </c>
      <c r="AJ671" s="51" t="str">
        <f>TEXT(tblWorkPackages[[#This Row],[Due date serial]],"yyyy-mm")</f>
        <v>2025-07</v>
      </c>
    </row>
    <row r="672" spans="1:36" ht="15" x14ac:dyDescent="0.25">
      <c r="A672" s="53" t="s">
        <v>1533</v>
      </c>
      <c r="B672" s="53" t="s">
        <v>133</v>
      </c>
      <c r="C672" s="53" t="s">
        <v>1534</v>
      </c>
      <c r="D672" s="53" t="s">
        <v>1133</v>
      </c>
      <c r="E672" s="53" t="s">
        <v>160</v>
      </c>
      <c r="F672" s="53" t="s">
        <v>128</v>
      </c>
      <c r="G672" s="53" t="s">
        <v>138</v>
      </c>
      <c r="H672" s="53">
        <v>2</v>
      </c>
      <c r="I672" s="53" t="s">
        <v>176</v>
      </c>
      <c r="J672" s="53">
        <v>0</v>
      </c>
      <c r="K672" s="53">
        <v>0</v>
      </c>
      <c r="L672" s="53">
        <v>3.8</v>
      </c>
      <c r="M672" s="53" t="s">
        <v>309</v>
      </c>
      <c r="N672" s="53">
        <v>4.0999999999999996</v>
      </c>
      <c r="O672" s="51" t="str">
        <f>TEXT(tblWorkPackages[[#This Row],[Request date serial]]-WEEKDAY(tblWorkPackages[[#This Row],[Request date serial]],3),"yyyy-mm-dd")</f>
        <v>2025-10-20</v>
      </c>
      <c r="P672" s="51">
        <f>ABS(tblWorkPackages[[#This Row],[Actual labor hours]]-tblWorkPackages[[#This Row],[Estimated labor hours]])</f>
        <v>0.3</v>
      </c>
      <c r="Q672" s="51">
        <f>IF(tblWorkPackages[[#This Row],[Actual labor hours]]&gt;tblWorkPackages[[#This Row],[Estimated labor hours]],1,0)</f>
        <v>1</v>
      </c>
      <c r="R672" s="51">
        <f>tblWorkPackages[[#This Row],[Actual labor hours]]-tblWorkPackages[[#This Row],[Estimated labor hours]]</f>
        <v>0.3</v>
      </c>
      <c r="S672" s="51" t="str">
        <f>IF(tblWorkPackages[[#This Row],[Request date serial]]&lt;ValidationStart,"Train 2024",IF(tblWorkPackages[[#This Row],[Request date serial]]&lt;HoldoutStart,"Validation H1","Holdout H2"))</f>
        <v>Holdout H2</v>
      </c>
      <c r="T672" s="51">
        <f>IF(tblWorkPackages[[#This Row],[Time split]]="Train 2024","",tblWorkPackages[[#This Row],[Estimated labor hours]]+VLOOKUP(tblWorkPackages[[#This Row],[Task type]],'Forecast validation'!$A$14:$E$25,IF(tblWorkPackages[[#This Row],[Time split]]="Validation H1",4,5),FALSE()))</f>
        <v>4.23739837398374</v>
      </c>
      <c r="U672" s="51">
        <f>IF(tblWorkPackages[[#This Row],[Calibrated forecast hours]]="","",ABS(tblWorkPackages[[#This Row],[Actual labor hours]]-tblWorkPackages[[#This Row],[Calibrated forecast hours]]))</f>
        <v>0.13739837398374</v>
      </c>
      <c r="V672" s="51">
        <f>IF(tblWorkPackages[[#This Row],[Time split]]="Train 2024",tblWorkPackages[[#This Row],[Estimated labor hours]],tblWorkPackages[[#This Row],[Calibrated forecast hours]])</f>
        <v>4.23739837398374</v>
      </c>
      <c r="W672" s="64">
        <f>DATEVALUE(tblWorkPackages[[#This Row],[Request date]])</f>
        <v>45951.0</v>
      </c>
      <c r="X672" s="64">
        <f>DATEVALUE(tblWorkPackages[[#This Row],[Due date]])</f>
        <v>45957.0</v>
      </c>
      <c r="Y672" s="64">
        <f>DATEVALUE(tblWorkPackages[[#This Row],[Completion date]])</f>
        <v>45967.0</v>
      </c>
      <c r="Z672" s="64">
        <f>_xlfn.MINIFS(tblLaborEntries[Work date serial],tblLaborEntries[Work package ID],tblWorkPackages[[#This Row],[Work package ID]])</f>
        <v>45963.0</v>
      </c>
      <c r="AA672" s="64">
        <f>_xlfn.MAXIFS(tblLaborEntries[Work date serial],tblLaborEntries[Work package ID],tblWorkPackages[[#This Row],[Work package ID]])</f>
        <v>45965.0</v>
      </c>
      <c r="AB672" s="65">
        <f>IF(tblWorkPackages[[#This Row],[Completion date serial]]&gt;tblWorkPackages[[#This Row],[Due date serial]],1,0)</f>
        <v>1</v>
      </c>
      <c r="AC672" s="65">
        <f>MAX(0,tblWorkPackages[[#This Row],[Completion date serial]]-tblWorkPackages[[#This Row],[Due date serial]])</f>
        <v>10</v>
      </c>
      <c r="AD672" s="65">
        <f>tblWorkPackages[[#This Row],[First labor date]]-tblWorkPackages[[#This Row],[Request date serial]]</f>
        <v>12</v>
      </c>
      <c r="AE672" s="65">
        <f>tblWorkPackages[[#This Row],[Last labor date]]-tblWorkPackages[[#This Row],[First labor date]]</f>
        <v>2</v>
      </c>
      <c r="AF672" s="65">
        <f>tblWorkPackages[[#This Row],[Completion date serial]]-tblWorkPackages[[#This Row],[Last labor date]]</f>
        <v>2</v>
      </c>
      <c r="AG672" s="65">
        <f>tblWorkPackages[[#This Row],[Completion date serial]]-tblWorkPackages[[#This Row],[Request date serial]]</f>
        <v>16</v>
      </c>
      <c r="AH672" s="65">
        <f>IFERROR(INDEX(tblParts[Delay days],MATCH(tblWorkPackages[[#This Row],[Work package ID]],tblParts[Work package ID],0)),0)</f>
        <v>0</v>
      </c>
      <c r="AI672" s="51" t="str">
        <f>IFERROR(INDEX(tblDisruptions[Event type],MATCH(tblWorkPackages[[#This Row],[Work package ID]],tblDisruptions[Work package ID],0)),"None")</f>
        <v>None</v>
      </c>
      <c r="AJ672" s="51" t="str">
        <f>TEXT(tblWorkPackages[[#This Row],[Due date serial]],"yyyy-mm")</f>
        <v>2025-10</v>
      </c>
    </row>
    <row r="673" spans="1:36" ht="15" x14ac:dyDescent="0.25">
      <c r="A673" s="53" t="s">
        <v>1535</v>
      </c>
      <c r="B673" s="53" t="s">
        <v>203</v>
      </c>
      <c r="C673" s="53" t="s">
        <v>398</v>
      </c>
      <c r="D673" s="53" t="s">
        <v>399</v>
      </c>
      <c r="E673" s="53" t="s">
        <v>144</v>
      </c>
      <c r="F673" s="53" t="s">
        <v>145</v>
      </c>
      <c r="G673" s="53" t="s">
        <v>146</v>
      </c>
      <c r="H673" s="53">
        <v>2</v>
      </c>
      <c r="I673" s="53" t="s">
        <v>176</v>
      </c>
      <c r="J673" s="53">
        <v>0</v>
      </c>
      <c r="K673" s="53">
        <v>1</v>
      </c>
      <c r="L673" s="53">
        <v>10.7</v>
      </c>
      <c r="M673" s="53" t="s">
        <v>1108</v>
      </c>
      <c r="N673" s="53">
        <v>11</v>
      </c>
      <c r="O673" s="51" t="str">
        <f>TEXT(tblWorkPackages[[#This Row],[Request date serial]]-WEEKDAY(tblWorkPackages[[#This Row],[Request date serial]],3),"yyyy-mm-dd")</f>
        <v>2024-05-13</v>
      </c>
      <c r="P673" s="51">
        <f>ABS(tblWorkPackages[[#This Row],[Actual labor hours]]-tblWorkPackages[[#This Row],[Estimated labor hours]])</f>
        <v>0.300000000000001</v>
      </c>
      <c r="Q673" s="51">
        <f>IF(tblWorkPackages[[#This Row],[Actual labor hours]]&gt;tblWorkPackages[[#This Row],[Estimated labor hours]],1,0)</f>
        <v>1</v>
      </c>
      <c r="R673" s="51">
        <f>tblWorkPackages[[#This Row],[Actual labor hours]]-tblWorkPackages[[#This Row],[Estimated labor hours]]</f>
        <v>0.300000000000001</v>
      </c>
      <c r="S673" s="51" t="str">
        <f>IF(tblWorkPackages[[#This Row],[Request date serial]]&lt;ValidationStart,"Train 2024",IF(tblWorkPackages[[#This Row],[Request date serial]]&lt;HoldoutStart,"Validation H1","Holdout H2"))</f>
        <v>Train 2024</v>
      </c>
      <c r="T673" s="51" t="str">
        <f>IF(tblWorkPackages[[#This Row],[Time split]]="Train 2024","",tblWorkPackages[[#This Row],[Estimated labor hours]]+VLOOKUP(tblWorkPackages[[#This Row],[Task type]],'Forecast validation'!$A$14:$E$25,IF(tblWorkPackages[[#This Row],[Time split]]="Validation H1",4,5),FALSE()))</f>
        <v/>
      </c>
      <c r="U673" s="51" t="str">
        <f>IF(tblWorkPackages[[#This Row],[Calibrated forecast hours]]="","",ABS(tblWorkPackages[[#This Row],[Actual labor hours]]-tblWorkPackages[[#This Row],[Calibrated forecast hours]]))</f>
        <v/>
      </c>
      <c r="V673" s="51">
        <f>IF(tblWorkPackages[[#This Row],[Time split]]="Train 2024",tblWorkPackages[[#This Row],[Estimated labor hours]],tblWorkPackages[[#This Row],[Calibrated forecast hours]])</f>
        <v>10.7</v>
      </c>
      <c r="W673" s="64">
        <f>DATEVALUE(tblWorkPackages[[#This Row],[Request date]])</f>
        <v>45430.0</v>
      </c>
      <c r="X673" s="64">
        <f>DATEVALUE(tblWorkPackages[[#This Row],[Due date]])</f>
        <v>45436.0</v>
      </c>
      <c r="Y673" s="64">
        <f>DATEVALUE(tblWorkPackages[[#This Row],[Completion date]])</f>
        <v>45437.0</v>
      </c>
      <c r="Z673" s="64">
        <f>_xlfn.MINIFS(tblLaborEntries[Work date serial],tblLaborEntries[Work package ID],tblWorkPackages[[#This Row],[Work package ID]])</f>
        <v>45433.0</v>
      </c>
      <c r="AA673" s="64">
        <f>_xlfn.MAXIFS(tblLaborEntries[Work date serial],tblLaborEntries[Work package ID],tblWorkPackages[[#This Row],[Work package ID]])</f>
        <v>45434.0</v>
      </c>
      <c r="AB673" s="65">
        <f>IF(tblWorkPackages[[#This Row],[Completion date serial]]&gt;tblWorkPackages[[#This Row],[Due date serial]],1,0)</f>
        <v>1</v>
      </c>
      <c r="AC673" s="65">
        <f>MAX(0,tblWorkPackages[[#This Row],[Completion date serial]]-tblWorkPackages[[#This Row],[Due date serial]])</f>
        <v>1</v>
      </c>
      <c r="AD673" s="65">
        <f>tblWorkPackages[[#This Row],[First labor date]]-tblWorkPackages[[#This Row],[Request date serial]]</f>
        <v>3</v>
      </c>
      <c r="AE673" s="65">
        <f>tblWorkPackages[[#This Row],[Last labor date]]-tblWorkPackages[[#This Row],[First labor date]]</f>
        <v>1</v>
      </c>
      <c r="AF673" s="65">
        <f>tblWorkPackages[[#This Row],[Completion date serial]]-tblWorkPackages[[#This Row],[Last labor date]]</f>
        <v>3</v>
      </c>
      <c r="AG673" s="65">
        <f>tblWorkPackages[[#This Row],[Completion date serial]]-tblWorkPackages[[#This Row],[Request date serial]]</f>
        <v>7</v>
      </c>
      <c r="AH673" s="65">
        <f>IFERROR(INDEX(tblParts[Delay days],MATCH(tblWorkPackages[[#This Row],[Work package ID]],tblParts[Work package ID],0)),0)</f>
        <v>0</v>
      </c>
      <c r="AI673" s="51" t="str">
        <f>IFERROR(INDEX(tblDisruptions[Event type],MATCH(tblWorkPackages[[#This Row],[Work package ID]],tblDisruptions[Work package ID],0)),"None")</f>
        <v>None</v>
      </c>
      <c r="AJ673" s="51" t="str">
        <f>TEXT(tblWorkPackages[[#This Row],[Due date serial]],"yyyy-mm")</f>
        <v>2024-05</v>
      </c>
    </row>
    <row r="674" spans="1:36" ht="15" x14ac:dyDescent="0.25">
      <c r="A674" s="53" t="s">
        <v>1536</v>
      </c>
      <c r="B674" s="53" t="s">
        <v>250</v>
      </c>
      <c r="C674" s="53" t="s">
        <v>337</v>
      </c>
      <c r="D674" s="53" t="s">
        <v>338</v>
      </c>
      <c r="E674" s="53" t="s">
        <v>144</v>
      </c>
      <c r="F674" s="53" t="s">
        <v>145</v>
      </c>
      <c r="G674" s="53" t="s">
        <v>146</v>
      </c>
      <c r="H674" s="53">
        <v>1</v>
      </c>
      <c r="I674" s="53" t="s">
        <v>176</v>
      </c>
      <c r="J674" s="53">
        <v>0</v>
      </c>
      <c r="K674" s="53">
        <v>1</v>
      </c>
      <c r="L674" s="53">
        <v>7.6</v>
      </c>
      <c r="M674" s="53" t="s">
        <v>563</v>
      </c>
      <c r="N674" s="53">
        <v>6.9</v>
      </c>
      <c r="O674" s="51" t="str">
        <f>TEXT(tblWorkPackages[[#This Row],[Request date serial]]-WEEKDAY(tblWorkPackages[[#This Row],[Request date serial]],3),"yyyy-mm-dd")</f>
        <v>2024-04-29</v>
      </c>
      <c r="P674" s="51">
        <f>ABS(tblWorkPackages[[#This Row],[Actual labor hours]]-tblWorkPackages[[#This Row],[Estimated labor hours]])</f>
        <v>0.699999999999999</v>
      </c>
      <c r="Q674" s="51">
        <f>IF(tblWorkPackages[[#This Row],[Actual labor hours]]&gt;tblWorkPackages[[#This Row],[Estimated labor hours]],1,0)</f>
        <v>0</v>
      </c>
      <c r="R674" s="51">
        <f>tblWorkPackages[[#This Row],[Actual labor hours]]-tblWorkPackages[[#This Row],[Estimated labor hours]]</f>
        <v>-0.699999999999999</v>
      </c>
      <c r="S674" s="51" t="str">
        <f>IF(tblWorkPackages[[#This Row],[Request date serial]]&lt;ValidationStart,"Train 2024",IF(tblWorkPackages[[#This Row],[Request date serial]]&lt;HoldoutStart,"Validation H1","Holdout H2"))</f>
        <v>Train 2024</v>
      </c>
      <c r="T674" s="51" t="str">
        <f>IF(tblWorkPackages[[#This Row],[Time split]]="Train 2024","",tblWorkPackages[[#This Row],[Estimated labor hours]]+VLOOKUP(tblWorkPackages[[#This Row],[Task type]],'Forecast validation'!$A$14:$E$25,IF(tblWorkPackages[[#This Row],[Time split]]="Validation H1",4,5),FALSE()))</f>
        <v/>
      </c>
      <c r="U674" s="51" t="str">
        <f>IF(tblWorkPackages[[#This Row],[Calibrated forecast hours]]="","",ABS(tblWorkPackages[[#This Row],[Actual labor hours]]-tblWorkPackages[[#This Row],[Calibrated forecast hours]]))</f>
        <v/>
      </c>
      <c r="V674" s="51">
        <f>IF(tblWorkPackages[[#This Row],[Time split]]="Train 2024",tblWorkPackages[[#This Row],[Estimated labor hours]],tblWorkPackages[[#This Row],[Calibrated forecast hours]])</f>
        <v>7.6</v>
      </c>
      <c r="W674" s="64">
        <f>DATEVALUE(tblWorkPackages[[#This Row],[Request date]])</f>
        <v>45411.0</v>
      </c>
      <c r="X674" s="64">
        <f>DATEVALUE(tblWorkPackages[[#This Row],[Due date]])</f>
        <v>45417.0</v>
      </c>
      <c r="Y674" s="64">
        <f>DATEVALUE(tblWorkPackages[[#This Row],[Completion date]])</f>
        <v>45447.0</v>
      </c>
      <c r="Z674" s="64">
        <f>_xlfn.MINIFS(tblLaborEntries[Work date serial],tblLaborEntries[Work package ID],tblWorkPackages[[#This Row],[Work package ID]])</f>
        <v>45446.0</v>
      </c>
      <c r="AA674" s="64">
        <f>_xlfn.MAXIFS(tblLaborEntries[Work date serial],tblLaborEntries[Work package ID],tblWorkPackages[[#This Row],[Work package ID]])</f>
        <v>45447.0</v>
      </c>
      <c r="AB674" s="65">
        <f>IF(tblWorkPackages[[#This Row],[Completion date serial]]&gt;tblWorkPackages[[#This Row],[Due date serial]],1,0)</f>
        <v>1</v>
      </c>
      <c r="AC674" s="65">
        <f>MAX(0,tblWorkPackages[[#This Row],[Completion date serial]]-tblWorkPackages[[#This Row],[Due date serial]])</f>
        <v>30</v>
      </c>
      <c r="AD674" s="65">
        <f>tblWorkPackages[[#This Row],[First labor date]]-tblWorkPackages[[#This Row],[Request date serial]]</f>
        <v>35</v>
      </c>
      <c r="AE674" s="65">
        <f>tblWorkPackages[[#This Row],[Last labor date]]-tblWorkPackages[[#This Row],[First labor date]]</f>
        <v>1</v>
      </c>
      <c r="AF674" s="65">
        <f>tblWorkPackages[[#This Row],[Completion date serial]]-tblWorkPackages[[#This Row],[Last labor date]]</f>
        <v>0</v>
      </c>
      <c r="AG674" s="65">
        <f>tblWorkPackages[[#This Row],[Completion date serial]]-tblWorkPackages[[#This Row],[Request date serial]]</f>
        <v>36</v>
      </c>
      <c r="AH674" s="65">
        <f>IFERROR(INDEX(tblParts[Delay days],MATCH(tblWorkPackages[[#This Row],[Work package ID]],tblParts[Work package ID],0)),0)</f>
        <v>0</v>
      </c>
      <c r="AI674" s="51" t="str">
        <f>IFERROR(INDEX(tblDisruptions[Event type],MATCH(tblWorkPackages[[#This Row],[Work package ID]],tblDisruptions[Work package ID],0)),"None")</f>
        <v>None</v>
      </c>
      <c r="AJ674" s="51" t="str">
        <f>TEXT(tblWorkPackages[[#This Row],[Due date serial]],"yyyy-mm")</f>
        <v>2024-05</v>
      </c>
    </row>
    <row r="675" spans="1:36" ht="15" x14ac:dyDescent="0.25">
      <c r="A675" s="53" t="s">
        <v>1537</v>
      </c>
      <c r="B675" s="53" t="s">
        <v>141</v>
      </c>
      <c r="C675" s="53" t="s">
        <v>583</v>
      </c>
      <c r="D675" s="53" t="s">
        <v>1402</v>
      </c>
      <c r="E675" s="53" t="s">
        <v>144</v>
      </c>
      <c r="F675" s="53" t="s">
        <v>145</v>
      </c>
      <c r="G675" s="53" t="s">
        <v>146</v>
      </c>
      <c r="H675" s="53">
        <v>1</v>
      </c>
      <c r="I675" s="53" t="s">
        <v>176</v>
      </c>
      <c r="J675" s="53">
        <v>0</v>
      </c>
      <c r="K675" s="53">
        <v>1</v>
      </c>
      <c r="L675" s="53">
        <v>6.4</v>
      </c>
      <c r="M675" s="53" t="s">
        <v>1152</v>
      </c>
      <c r="N675" s="53">
        <v>7.3</v>
      </c>
      <c r="O675" s="51" t="str">
        <f>TEXT(tblWorkPackages[[#This Row],[Request date serial]]-WEEKDAY(tblWorkPackages[[#This Row],[Request date serial]],3),"yyyy-mm-dd")</f>
        <v>2025-08-11</v>
      </c>
      <c r="P675" s="51">
        <f>ABS(tblWorkPackages[[#This Row],[Actual labor hours]]-tblWorkPackages[[#This Row],[Estimated labor hours]])</f>
        <v>0.9</v>
      </c>
      <c r="Q675" s="51">
        <f>IF(tblWorkPackages[[#This Row],[Actual labor hours]]&gt;tblWorkPackages[[#This Row],[Estimated labor hours]],1,0)</f>
        <v>1</v>
      </c>
      <c r="R675" s="51">
        <f>tblWorkPackages[[#This Row],[Actual labor hours]]-tblWorkPackages[[#This Row],[Estimated labor hours]]</f>
        <v>0.9</v>
      </c>
      <c r="S675" s="51" t="str">
        <f>IF(tblWorkPackages[[#This Row],[Request date serial]]&lt;ValidationStart,"Train 2024",IF(tblWorkPackages[[#This Row],[Request date serial]]&lt;HoldoutStart,"Validation H1","Holdout H2"))</f>
        <v>Holdout H2</v>
      </c>
      <c r="T675" s="51">
        <f>IF(tblWorkPackages[[#This Row],[Time split]]="Train 2024","",tblWorkPackages[[#This Row],[Estimated labor hours]]+VLOOKUP(tblWorkPackages[[#This Row],[Task type]],'Forecast validation'!$A$14:$E$25,IF(tblWorkPackages[[#This Row],[Time split]]="Validation H1",4,5),FALSE()))</f>
        <v>7.37354838709678</v>
      </c>
      <c r="U675" s="51">
        <f>IF(tblWorkPackages[[#This Row],[Calibrated forecast hours]]="","",ABS(tblWorkPackages[[#This Row],[Actual labor hours]]-tblWorkPackages[[#This Row],[Calibrated forecast hours]]))</f>
        <v>0.0735483870967748</v>
      </c>
      <c r="V675" s="51">
        <f>IF(tblWorkPackages[[#This Row],[Time split]]="Train 2024",tblWorkPackages[[#This Row],[Estimated labor hours]],tblWorkPackages[[#This Row],[Calibrated forecast hours]])</f>
        <v>7.37354838709678</v>
      </c>
      <c r="W675" s="64">
        <f>DATEVALUE(tblWorkPackages[[#This Row],[Request date]])</f>
        <v>45885.0</v>
      </c>
      <c r="X675" s="64">
        <f>DATEVALUE(tblWorkPackages[[#This Row],[Due date]])</f>
        <v>45891.0</v>
      </c>
      <c r="Y675" s="64">
        <f>DATEVALUE(tblWorkPackages[[#This Row],[Completion date]])</f>
        <v>45893.0</v>
      </c>
      <c r="Z675" s="64">
        <f>_xlfn.MINIFS(tblLaborEntries[Work date serial],tblLaborEntries[Work package ID],tblWorkPackages[[#This Row],[Work package ID]])</f>
        <v>45892.0</v>
      </c>
      <c r="AA675" s="64">
        <f>_xlfn.MAXIFS(tblLaborEntries[Work date serial],tblLaborEntries[Work package ID],tblWorkPackages[[#This Row],[Work package ID]])</f>
        <v>45892.0</v>
      </c>
      <c r="AB675" s="65">
        <f>IF(tblWorkPackages[[#This Row],[Completion date serial]]&gt;tblWorkPackages[[#This Row],[Due date serial]],1,0)</f>
        <v>1</v>
      </c>
      <c r="AC675" s="65">
        <f>MAX(0,tblWorkPackages[[#This Row],[Completion date serial]]-tblWorkPackages[[#This Row],[Due date serial]])</f>
        <v>2</v>
      </c>
      <c r="AD675" s="65">
        <f>tblWorkPackages[[#This Row],[First labor date]]-tblWorkPackages[[#This Row],[Request date serial]]</f>
        <v>7</v>
      </c>
      <c r="AE675" s="65">
        <f>tblWorkPackages[[#This Row],[Last labor date]]-tblWorkPackages[[#This Row],[First labor date]]</f>
        <v>0</v>
      </c>
      <c r="AF675" s="65">
        <f>tblWorkPackages[[#This Row],[Completion date serial]]-tblWorkPackages[[#This Row],[Last labor date]]</f>
        <v>1</v>
      </c>
      <c r="AG675" s="65">
        <f>tblWorkPackages[[#This Row],[Completion date serial]]-tblWorkPackages[[#This Row],[Request date serial]]</f>
        <v>8</v>
      </c>
      <c r="AH675" s="65">
        <f>IFERROR(INDEX(tblParts[Delay days],MATCH(tblWorkPackages[[#This Row],[Work package ID]],tblParts[Work package ID],0)),0)</f>
        <v>0</v>
      </c>
      <c r="AI675" s="51" t="str">
        <f>IFERROR(INDEX(tblDisruptions[Event type],MATCH(tblWorkPackages[[#This Row],[Work package ID]],tblDisruptions[Work package ID],0)),"None")</f>
        <v>None</v>
      </c>
      <c r="AJ675" s="51" t="str">
        <f>TEXT(tblWorkPackages[[#This Row],[Due date serial]],"yyyy-mm")</f>
        <v>2025-08</v>
      </c>
    </row>
    <row r="676" spans="1:36" ht="15" x14ac:dyDescent="0.25">
      <c r="A676" s="53" t="s">
        <v>1538</v>
      </c>
      <c r="B676" s="53" t="s">
        <v>173</v>
      </c>
      <c r="C676" s="53" t="s">
        <v>646</v>
      </c>
      <c r="D676" s="53" t="s">
        <v>1253</v>
      </c>
      <c r="E676" s="53" t="s">
        <v>127</v>
      </c>
      <c r="F676" s="53" t="s">
        <v>128</v>
      </c>
      <c r="G676" s="53" t="s">
        <v>129</v>
      </c>
      <c r="H676" s="53">
        <v>2</v>
      </c>
      <c r="I676" s="53" t="s">
        <v>130</v>
      </c>
      <c r="J676" s="53">
        <v>0</v>
      </c>
      <c r="K676" s="53">
        <v>0</v>
      </c>
      <c r="L676" s="53">
        <v>6.4</v>
      </c>
      <c r="M676" s="53" t="s">
        <v>579</v>
      </c>
      <c r="N676" s="53">
        <v>7.2</v>
      </c>
      <c r="O676" s="51" t="str">
        <f>TEXT(tblWorkPackages[[#This Row],[Request date serial]]-WEEKDAY(tblWorkPackages[[#This Row],[Request date serial]],3),"yyyy-mm-dd")</f>
        <v>2025-12-22</v>
      </c>
      <c r="P676" s="51">
        <f>ABS(tblWorkPackages[[#This Row],[Actual labor hours]]-tblWorkPackages[[#This Row],[Estimated labor hours]])</f>
        <v>0.8</v>
      </c>
      <c r="Q676" s="51">
        <f>IF(tblWorkPackages[[#This Row],[Actual labor hours]]&gt;tblWorkPackages[[#This Row],[Estimated labor hours]],1,0)</f>
        <v>1</v>
      </c>
      <c r="R676" s="51">
        <f>tblWorkPackages[[#This Row],[Actual labor hours]]-tblWorkPackages[[#This Row],[Estimated labor hours]]</f>
        <v>0.8</v>
      </c>
      <c r="S676" s="51" t="str">
        <f>IF(tblWorkPackages[[#This Row],[Request date serial]]&lt;ValidationStart,"Train 2024",IF(tblWorkPackages[[#This Row],[Request date serial]]&lt;HoldoutStart,"Validation H1","Holdout H2"))</f>
        <v>Holdout H2</v>
      </c>
      <c r="T676" s="51">
        <f>IF(tblWorkPackages[[#This Row],[Time split]]="Train 2024","",tblWorkPackages[[#This Row],[Estimated labor hours]]+VLOOKUP(tblWorkPackages[[#This Row],[Task type]],'Forecast validation'!$A$14:$E$25,IF(tblWorkPackages[[#This Row],[Time split]]="Validation H1",4,5),FALSE()))</f>
        <v>6.94341085271318</v>
      </c>
      <c r="U676" s="51">
        <f>IF(tblWorkPackages[[#This Row],[Calibrated forecast hours]]="","",ABS(tblWorkPackages[[#This Row],[Actual labor hours]]-tblWorkPackages[[#This Row],[Calibrated forecast hours]]))</f>
        <v>0.256589147286822</v>
      </c>
      <c r="V676" s="51">
        <f>IF(tblWorkPackages[[#This Row],[Time split]]="Train 2024",tblWorkPackages[[#This Row],[Estimated labor hours]],tblWorkPackages[[#This Row],[Calibrated forecast hours]])</f>
        <v>6.94341085271318</v>
      </c>
      <c r="W676" s="64">
        <f>DATEVALUE(tblWorkPackages[[#This Row],[Request date]])</f>
        <v>46015.0</v>
      </c>
      <c r="X676" s="64">
        <f>DATEVALUE(tblWorkPackages[[#This Row],[Due date]])</f>
        <v>46028.0</v>
      </c>
      <c r="Y676" s="64">
        <f>DATEVALUE(tblWorkPackages[[#This Row],[Completion date]])</f>
        <v>46021.0</v>
      </c>
      <c r="Z676" s="64">
        <f>_xlfn.MINIFS(tblLaborEntries[Work date serial],tblLaborEntries[Work package ID],tblWorkPackages[[#This Row],[Work package ID]])</f>
        <v>46017.0</v>
      </c>
      <c r="AA676" s="64">
        <f>_xlfn.MAXIFS(tblLaborEntries[Work date serial],tblLaborEntries[Work package ID],tblWorkPackages[[#This Row],[Work package ID]])</f>
        <v>46019.0</v>
      </c>
      <c r="AB676" s="65">
        <f>IF(tblWorkPackages[[#This Row],[Completion date serial]]&gt;tblWorkPackages[[#This Row],[Due date serial]],1,0)</f>
        <v>0</v>
      </c>
      <c r="AC676" s="65">
        <f>MAX(0,tblWorkPackages[[#This Row],[Completion date serial]]-tblWorkPackages[[#This Row],[Due date serial]])</f>
        <v>0</v>
      </c>
      <c r="AD676" s="65">
        <f>tblWorkPackages[[#This Row],[First labor date]]-tblWorkPackages[[#This Row],[Request date serial]]</f>
        <v>2</v>
      </c>
      <c r="AE676" s="65">
        <f>tblWorkPackages[[#This Row],[Last labor date]]-tblWorkPackages[[#This Row],[First labor date]]</f>
        <v>2</v>
      </c>
      <c r="AF676" s="65">
        <f>tblWorkPackages[[#This Row],[Completion date serial]]-tblWorkPackages[[#This Row],[Last labor date]]</f>
        <v>2</v>
      </c>
      <c r="AG676" s="65">
        <f>tblWorkPackages[[#This Row],[Completion date serial]]-tblWorkPackages[[#This Row],[Request date serial]]</f>
        <v>6</v>
      </c>
      <c r="AH676" s="65">
        <f>IFERROR(INDEX(tblParts[Delay days],MATCH(tblWorkPackages[[#This Row],[Work package ID]],tblParts[Work package ID],0)),0)</f>
        <v>0</v>
      </c>
      <c r="AI676" s="51" t="str">
        <f>IFERROR(INDEX(tblDisruptions[Event type],MATCH(tblWorkPackages[[#This Row],[Work package ID]],tblDisruptions[Work package ID],0)),"None")</f>
        <v>None</v>
      </c>
      <c r="AJ676" s="51" t="str">
        <f>TEXT(tblWorkPackages[[#This Row],[Due date serial]],"yyyy-mm")</f>
        <v>2026-01</v>
      </c>
    </row>
    <row r="677" spans="1:36" ht="15" x14ac:dyDescent="0.25">
      <c r="A677" s="53" t="s">
        <v>1539</v>
      </c>
      <c r="B677" s="53" t="s">
        <v>235</v>
      </c>
      <c r="C677" s="53" t="s">
        <v>303</v>
      </c>
      <c r="D677" s="53" t="s">
        <v>304</v>
      </c>
      <c r="E677" s="53" t="s">
        <v>242</v>
      </c>
      <c r="F677" s="53" t="s">
        <v>243</v>
      </c>
      <c r="G677" s="53" t="s">
        <v>129</v>
      </c>
      <c r="H677" s="53">
        <v>1</v>
      </c>
      <c r="I677" s="53" t="s">
        <v>147</v>
      </c>
      <c r="J677" s="53">
        <v>0</v>
      </c>
      <c r="K677" s="53">
        <v>0</v>
      </c>
      <c r="L677" s="53">
        <v>5.9</v>
      </c>
      <c r="M677" s="53" t="s">
        <v>1540</v>
      </c>
      <c r="N677" s="53">
        <v>5.4</v>
      </c>
      <c r="O677" s="51" t="str">
        <f>TEXT(tblWorkPackages[[#This Row],[Request date serial]]-WEEKDAY(tblWorkPackages[[#This Row],[Request date serial]],3),"yyyy-mm-dd")</f>
        <v>2024-06-24</v>
      </c>
      <c r="P677" s="51">
        <f>ABS(tblWorkPackages[[#This Row],[Actual labor hours]]-tblWorkPackages[[#This Row],[Estimated labor hours]])</f>
        <v>0.5</v>
      </c>
      <c r="Q677" s="51">
        <f>IF(tblWorkPackages[[#This Row],[Actual labor hours]]&gt;tblWorkPackages[[#This Row],[Estimated labor hours]],1,0)</f>
        <v>0</v>
      </c>
      <c r="R677" s="51">
        <f>tblWorkPackages[[#This Row],[Actual labor hours]]-tblWorkPackages[[#This Row],[Estimated labor hours]]</f>
        <v>-0.5</v>
      </c>
      <c r="S677" s="51" t="str">
        <f>IF(tblWorkPackages[[#This Row],[Request date serial]]&lt;ValidationStart,"Train 2024",IF(tblWorkPackages[[#This Row],[Request date serial]]&lt;HoldoutStart,"Validation H1","Holdout H2"))</f>
        <v>Train 2024</v>
      </c>
      <c r="T677" s="51" t="str">
        <f>IF(tblWorkPackages[[#This Row],[Time split]]="Train 2024","",tblWorkPackages[[#This Row],[Estimated labor hours]]+VLOOKUP(tblWorkPackages[[#This Row],[Task type]],'Forecast validation'!$A$14:$E$25,IF(tblWorkPackages[[#This Row],[Time split]]="Validation H1",4,5),FALSE()))</f>
        <v/>
      </c>
      <c r="U677" s="51" t="str">
        <f>IF(tblWorkPackages[[#This Row],[Calibrated forecast hours]]="","",ABS(tblWorkPackages[[#This Row],[Actual labor hours]]-tblWorkPackages[[#This Row],[Calibrated forecast hours]]))</f>
        <v/>
      </c>
      <c r="V677" s="51">
        <f>IF(tblWorkPackages[[#This Row],[Time split]]="Train 2024",tblWorkPackages[[#This Row],[Estimated labor hours]],tblWorkPackages[[#This Row],[Calibrated forecast hours]])</f>
        <v>5.9</v>
      </c>
      <c r="W677" s="64">
        <f>DATEVALUE(tblWorkPackages[[#This Row],[Request date]])</f>
        <v>45468.0</v>
      </c>
      <c r="X677" s="64">
        <f>DATEVALUE(tblWorkPackages[[#This Row],[Due date]])</f>
        <v>45470.0</v>
      </c>
      <c r="Y677" s="64">
        <f>DATEVALUE(tblWorkPackages[[#This Row],[Completion date]])</f>
        <v>45486.0</v>
      </c>
      <c r="Z677" s="64">
        <f>_xlfn.MINIFS(tblLaborEntries[Work date serial],tblLaborEntries[Work package ID],tblWorkPackages[[#This Row],[Work package ID]])</f>
        <v>45483.0</v>
      </c>
      <c r="AA677" s="64">
        <f>_xlfn.MAXIFS(tblLaborEntries[Work date serial],tblLaborEntries[Work package ID],tblWorkPackages[[#This Row],[Work package ID]])</f>
        <v>45483.0</v>
      </c>
      <c r="AB677" s="65">
        <f>IF(tblWorkPackages[[#This Row],[Completion date serial]]&gt;tblWorkPackages[[#This Row],[Due date serial]],1,0)</f>
        <v>1</v>
      </c>
      <c r="AC677" s="65">
        <f>MAX(0,tblWorkPackages[[#This Row],[Completion date serial]]-tblWorkPackages[[#This Row],[Due date serial]])</f>
        <v>16</v>
      </c>
      <c r="AD677" s="65">
        <f>tblWorkPackages[[#This Row],[First labor date]]-tblWorkPackages[[#This Row],[Request date serial]]</f>
        <v>15</v>
      </c>
      <c r="AE677" s="65">
        <f>tblWorkPackages[[#This Row],[Last labor date]]-tblWorkPackages[[#This Row],[First labor date]]</f>
        <v>0</v>
      </c>
      <c r="AF677" s="65">
        <f>tblWorkPackages[[#This Row],[Completion date serial]]-tblWorkPackages[[#This Row],[Last labor date]]</f>
        <v>3</v>
      </c>
      <c r="AG677" s="65">
        <f>tblWorkPackages[[#This Row],[Completion date serial]]-tblWorkPackages[[#This Row],[Request date serial]]</f>
        <v>18</v>
      </c>
      <c r="AH677" s="65">
        <f>IFERROR(INDEX(tblParts[Delay days],MATCH(tblWorkPackages[[#This Row],[Work package ID]],tblParts[Work package ID],0)),0)</f>
        <v>0</v>
      </c>
      <c r="AI677" s="51" t="str">
        <f>IFERROR(INDEX(tblDisruptions[Event type],MATCH(tblWorkPackages[[#This Row],[Work package ID]],tblDisruptions[Work package ID],0)),"None")</f>
        <v>None</v>
      </c>
      <c r="AJ677" s="51" t="str">
        <f>TEXT(tblWorkPackages[[#This Row],[Due date serial]],"yyyy-mm")</f>
        <v>2024-06</v>
      </c>
    </row>
    <row r="678" spans="1:36" ht="15" x14ac:dyDescent="0.25">
      <c r="A678" s="53" t="s">
        <v>1541</v>
      </c>
      <c r="B678" s="53" t="s">
        <v>150</v>
      </c>
      <c r="C678" s="53" t="s">
        <v>331</v>
      </c>
      <c r="D678" s="53" t="s">
        <v>325</v>
      </c>
      <c r="E678" s="53" t="s">
        <v>209</v>
      </c>
      <c r="F678" s="53" t="s">
        <v>145</v>
      </c>
      <c r="G678" s="53" t="s">
        <v>210</v>
      </c>
      <c r="H678" s="53">
        <v>2</v>
      </c>
      <c r="I678" s="53" t="s">
        <v>130</v>
      </c>
      <c r="J678" s="53">
        <v>0</v>
      </c>
      <c r="K678" s="53">
        <v>1</v>
      </c>
      <c r="L678" s="53">
        <v>19.399999999999999</v>
      </c>
      <c r="M678" s="53" t="s">
        <v>325</v>
      </c>
      <c r="N678" s="53">
        <v>29.3</v>
      </c>
      <c r="O678" s="51" t="str">
        <f>TEXT(tblWorkPackages[[#This Row],[Request date serial]]-WEEKDAY(tblWorkPackages[[#This Row],[Request date serial]],3),"yyyy-mm-dd")</f>
        <v>2025-10-13</v>
      </c>
      <c r="P678" s="51">
        <f>ABS(tblWorkPackages[[#This Row],[Actual labor hours]]-tblWorkPackages[[#This Row],[Estimated labor hours]])</f>
        <v>9.9</v>
      </c>
      <c r="Q678" s="51">
        <f>IF(tblWorkPackages[[#This Row],[Actual labor hours]]&gt;tblWorkPackages[[#This Row],[Estimated labor hours]],1,0)</f>
        <v>1</v>
      </c>
      <c r="R678" s="51">
        <f>tblWorkPackages[[#This Row],[Actual labor hours]]-tblWorkPackages[[#This Row],[Estimated labor hours]]</f>
        <v>9.9</v>
      </c>
      <c r="S678" s="51" t="str">
        <f>IF(tblWorkPackages[[#This Row],[Request date serial]]&lt;ValidationStart,"Train 2024",IF(tblWorkPackages[[#This Row],[Request date serial]]&lt;HoldoutStart,"Validation H1","Holdout H2"))</f>
        <v>Holdout H2</v>
      </c>
      <c r="T678" s="51">
        <f>IF(tblWorkPackages[[#This Row],[Time split]]="Train 2024","",tblWorkPackages[[#This Row],[Estimated labor hours]]+VLOOKUP(tblWorkPackages[[#This Row],[Task type]],'Forecast validation'!$A$14:$E$25,IF(tblWorkPackages[[#This Row],[Time split]]="Validation H1",4,5),FALSE()))</f>
        <v>21.195652173913</v>
      </c>
      <c r="U678" s="51">
        <f>IF(tblWorkPackages[[#This Row],[Calibrated forecast hours]]="","",ABS(tblWorkPackages[[#This Row],[Actual labor hours]]-tblWorkPackages[[#This Row],[Calibrated forecast hours]]))</f>
        <v>8.10434782608696</v>
      </c>
      <c r="V678" s="51">
        <f>IF(tblWorkPackages[[#This Row],[Time split]]="Train 2024",tblWorkPackages[[#This Row],[Estimated labor hours]],tblWorkPackages[[#This Row],[Calibrated forecast hours]])</f>
        <v>21.195652173913</v>
      </c>
      <c r="W678" s="64">
        <f>DATEVALUE(tblWorkPackages[[#This Row],[Request date]])</f>
        <v>45949.0</v>
      </c>
      <c r="X678" s="64">
        <f>DATEVALUE(tblWorkPackages[[#This Row],[Due date]])</f>
        <v>45962.0</v>
      </c>
      <c r="Y678" s="64">
        <f>DATEVALUE(tblWorkPackages[[#This Row],[Completion date]])</f>
        <v>45962.0</v>
      </c>
      <c r="Z678" s="64">
        <f>_xlfn.MINIFS(tblLaborEntries[Work date serial],tblLaborEntries[Work package ID],tblWorkPackages[[#This Row],[Work package ID]])</f>
        <v>45962.0</v>
      </c>
      <c r="AA678" s="64">
        <f>_xlfn.MAXIFS(tblLaborEntries[Work date serial],tblLaborEntries[Work package ID],tblWorkPackages[[#This Row],[Work package ID]])</f>
        <v>45962.0</v>
      </c>
      <c r="AB678" s="65">
        <f>IF(tblWorkPackages[[#This Row],[Completion date serial]]&gt;tblWorkPackages[[#This Row],[Due date serial]],1,0)</f>
        <v>0</v>
      </c>
      <c r="AC678" s="65">
        <f>MAX(0,tblWorkPackages[[#This Row],[Completion date serial]]-tblWorkPackages[[#This Row],[Due date serial]])</f>
        <v>0</v>
      </c>
      <c r="AD678" s="65">
        <f>tblWorkPackages[[#This Row],[First labor date]]-tblWorkPackages[[#This Row],[Request date serial]]</f>
        <v>13</v>
      </c>
      <c r="AE678" s="65">
        <f>tblWorkPackages[[#This Row],[Last labor date]]-tblWorkPackages[[#This Row],[First labor date]]</f>
        <v>0</v>
      </c>
      <c r="AF678" s="65">
        <f>tblWorkPackages[[#This Row],[Completion date serial]]-tblWorkPackages[[#This Row],[Last labor date]]</f>
        <v>0</v>
      </c>
      <c r="AG678" s="65">
        <f>tblWorkPackages[[#This Row],[Completion date serial]]-tblWorkPackages[[#This Row],[Request date serial]]</f>
        <v>13</v>
      </c>
      <c r="AH678" s="65">
        <f>IFERROR(INDEX(tblParts[Delay days],MATCH(tblWorkPackages[[#This Row],[Work package ID]],tblParts[Work package ID],0)),0)</f>
        <v>9</v>
      </c>
      <c r="AI678" s="51" t="str">
        <f>IFERROR(INDEX(tblDisruptions[Event type],MATCH(tblWorkPackages[[#This Row],[Work package ID]],tblDisruptions[Work package ID],0)),"None")</f>
        <v>Part delay</v>
      </c>
      <c r="AJ678" s="51" t="str">
        <f>TEXT(tblWorkPackages[[#This Row],[Due date serial]],"yyyy-mm")</f>
        <v>2025-11</v>
      </c>
    </row>
    <row r="679" spans="1:36" ht="15" x14ac:dyDescent="0.25">
      <c r="A679" s="53" t="s">
        <v>1542</v>
      </c>
      <c r="B679" s="53" t="s">
        <v>124</v>
      </c>
      <c r="C679" s="53" t="s">
        <v>148</v>
      </c>
      <c r="D679" s="53" t="s">
        <v>328</v>
      </c>
      <c r="E679" s="53" t="s">
        <v>242</v>
      </c>
      <c r="F679" s="53" t="s">
        <v>243</v>
      </c>
      <c r="G679" s="53" t="s">
        <v>129</v>
      </c>
      <c r="H679" s="53">
        <v>4</v>
      </c>
      <c r="I679" s="53" t="s">
        <v>130</v>
      </c>
      <c r="J679" s="53">
        <v>0</v>
      </c>
      <c r="K679" s="53">
        <v>1</v>
      </c>
      <c r="L679" s="53">
        <v>17.100000000000001</v>
      </c>
      <c r="M679" s="53" t="s">
        <v>474</v>
      </c>
      <c r="N679" s="53">
        <v>24.6</v>
      </c>
      <c r="O679" s="51" t="str">
        <f>TEXT(tblWorkPackages[[#This Row],[Request date serial]]-WEEKDAY(tblWorkPackages[[#This Row],[Request date serial]],3),"yyyy-mm-dd")</f>
        <v>2024-02-26</v>
      </c>
      <c r="P679" s="51">
        <f>ABS(tblWorkPackages[[#This Row],[Actual labor hours]]-tblWorkPackages[[#This Row],[Estimated labor hours]])</f>
        <v>7.5</v>
      </c>
      <c r="Q679" s="51">
        <f>IF(tblWorkPackages[[#This Row],[Actual labor hours]]&gt;tblWorkPackages[[#This Row],[Estimated labor hours]],1,0)</f>
        <v>1</v>
      </c>
      <c r="R679" s="51">
        <f>tblWorkPackages[[#This Row],[Actual labor hours]]-tblWorkPackages[[#This Row],[Estimated labor hours]]</f>
        <v>7.5</v>
      </c>
      <c r="S679" s="51" t="str">
        <f>IF(tblWorkPackages[[#This Row],[Request date serial]]&lt;ValidationStart,"Train 2024",IF(tblWorkPackages[[#This Row],[Request date serial]]&lt;HoldoutStart,"Validation H1","Holdout H2"))</f>
        <v>Train 2024</v>
      </c>
      <c r="T679" s="51" t="str">
        <f>IF(tblWorkPackages[[#This Row],[Time split]]="Train 2024","",tblWorkPackages[[#This Row],[Estimated labor hours]]+VLOOKUP(tblWorkPackages[[#This Row],[Task type]],'Forecast validation'!$A$14:$E$25,IF(tblWorkPackages[[#This Row],[Time split]]="Validation H1",4,5),FALSE()))</f>
        <v/>
      </c>
      <c r="U679" s="51" t="str">
        <f>IF(tblWorkPackages[[#This Row],[Calibrated forecast hours]]="","",ABS(tblWorkPackages[[#This Row],[Actual labor hours]]-tblWorkPackages[[#This Row],[Calibrated forecast hours]]))</f>
        <v/>
      </c>
      <c r="V679" s="51">
        <f>IF(tblWorkPackages[[#This Row],[Time split]]="Train 2024",tblWorkPackages[[#This Row],[Estimated labor hours]],tblWorkPackages[[#This Row],[Calibrated forecast hours]])</f>
        <v>17.1</v>
      </c>
      <c r="W679" s="64">
        <f>DATEVALUE(tblWorkPackages[[#This Row],[Request date]])</f>
        <v>45348.0</v>
      </c>
      <c r="X679" s="64">
        <f>DATEVALUE(tblWorkPackages[[#This Row],[Due date]])</f>
        <v>45361.0</v>
      </c>
      <c r="Y679" s="64">
        <f>DATEVALUE(tblWorkPackages[[#This Row],[Completion date]])</f>
        <v>45352.0</v>
      </c>
      <c r="Z679" s="64">
        <f>_xlfn.MINIFS(tblLaborEntries[Work date serial],tblLaborEntries[Work package ID],tblWorkPackages[[#This Row],[Work package ID]])</f>
        <v>45349.0</v>
      </c>
      <c r="AA679" s="64">
        <f>_xlfn.MAXIFS(tblLaborEntries[Work date serial],tblLaborEntries[Work package ID],tblWorkPackages[[#This Row],[Work package ID]])</f>
        <v>45351.0</v>
      </c>
      <c r="AB679" s="65">
        <f>IF(tblWorkPackages[[#This Row],[Completion date serial]]&gt;tblWorkPackages[[#This Row],[Due date serial]],1,0)</f>
        <v>0</v>
      </c>
      <c r="AC679" s="65">
        <f>MAX(0,tblWorkPackages[[#This Row],[Completion date serial]]-tblWorkPackages[[#This Row],[Due date serial]])</f>
        <v>0</v>
      </c>
      <c r="AD679" s="65">
        <f>tblWorkPackages[[#This Row],[First labor date]]-tblWorkPackages[[#This Row],[Request date serial]]</f>
        <v>1</v>
      </c>
      <c r="AE679" s="65">
        <f>tblWorkPackages[[#This Row],[Last labor date]]-tblWorkPackages[[#This Row],[First labor date]]</f>
        <v>2</v>
      </c>
      <c r="AF679" s="65">
        <f>tblWorkPackages[[#This Row],[Completion date serial]]-tblWorkPackages[[#This Row],[Last labor date]]</f>
        <v>1</v>
      </c>
      <c r="AG679" s="65">
        <f>tblWorkPackages[[#This Row],[Completion date serial]]-tblWorkPackages[[#This Row],[Request date serial]]</f>
        <v>4</v>
      </c>
      <c r="AH679" s="65">
        <f>IFERROR(INDEX(tblParts[Delay days],MATCH(tblWorkPackages[[#This Row],[Work package ID]],tblParts[Work package ID],0)),0)</f>
        <v>0</v>
      </c>
      <c r="AI679" s="51" t="str">
        <f>IFERROR(INDEX(tblDisruptions[Event type],MATCH(tblWorkPackages[[#This Row],[Work package ID]],tblDisruptions[Work package ID],0)),"None")</f>
        <v>Equipment unavailable</v>
      </c>
      <c r="AJ679" s="51" t="str">
        <f>TEXT(tblWorkPackages[[#This Row],[Due date serial]],"yyyy-mm")</f>
        <v>2024-03</v>
      </c>
    </row>
    <row r="680" spans="1:36" ht="15" x14ac:dyDescent="0.25">
      <c r="A680" s="53" t="s">
        <v>1543</v>
      </c>
      <c r="B680" s="53" t="s">
        <v>124</v>
      </c>
      <c r="C680" s="53" t="s">
        <v>625</v>
      </c>
      <c r="D680" s="53" t="s">
        <v>494</v>
      </c>
      <c r="E680" s="53" t="s">
        <v>223</v>
      </c>
      <c r="F680" s="53" t="s">
        <v>182</v>
      </c>
      <c r="G680" s="53" t="s">
        <v>154</v>
      </c>
      <c r="H680" s="53">
        <v>4</v>
      </c>
      <c r="I680" s="53" t="s">
        <v>176</v>
      </c>
      <c r="J680" s="53">
        <v>0</v>
      </c>
      <c r="K680" s="53">
        <v>0</v>
      </c>
      <c r="L680" s="53">
        <v>20.9</v>
      </c>
      <c r="M680" s="53" t="s">
        <v>495</v>
      </c>
      <c r="N680" s="53">
        <v>18.3</v>
      </c>
      <c r="O680" s="51" t="str">
        <f>TEXT(tblWorkPackages[[#This Row],[Request date serial]]-WEEKDAY(tblWorkPackages[[#This Row],[Request date serial]],3),"yyyy-mm-dd")</f>
        <v>2025-09-22</v>
      </c>
      <c r="P680" s="51">
        <f>ABS(tblWorkPackages[[#This Row],[Actual labor hours]]-tblWorkPackages[[#This Row],[Estimated labor hours]])</f>
        <v>2.6</v>
      </c>
      <c r="Q680" s="51">
        <f>IF(tblWorkPackages[[#This Row],[Actual labor hours]]&gt;tblWorkPackages[[#This Row],[Estimated labor hours]],1,0)</f>
        <v>0</v>
      </c>
      <c r="R680" s="51">
        <f>tblWorkPackages[[#This Row],[Actual labor hours]]-tblWorkPackages[[#This Row],[Estimated labor hours]]</f>
        <v>-2.6</v>
      </c>
      <c r="S680" s="51" t="str">
        <f>IF(tblWorkPackages[[#This Row],[Request date serial]]&lt;ValidationStart,"Train 2024",IF(tblWorkPackages[[#This Row],[Request date serial]]&lt;HoldoutStart,"Validation H1","Holdout H2"))</f>
        <v>Holdout H2</v>
      </c>
      <c r="T680" s="51">
        <f>IF(tblWorkPackages[[#This Row],[Time split]]="Train 2024","",tblWorkPackages[[#This Row],[Estimated labor hours]]+VLOOKUP(tblWorkPackages[[#This Row],[Task type]],'Forecast validation'!$A$14:$E$25,IF(tblWorkPackages[[#This Row],[Time split]]="Validation H1",4,5),FALSE()))</f>
        <v>21.8246575342466</v>
      </c>
      <c r="U680" s="51">
        <f>IF(tblWorkPackages[[#This Row],[Calibrated forecast hours]]="","",ABS(tblWorkPackages[[#This Row],[Actual labor hours]]-tblWorkPackages[[#This Row],[Calibrated forecast hours]]))</f>
        <v>3.52465753424657</v>
      </c>
      <c r="V680" s="51">
        <f>IF(tblWorkPackages[[#This Row],[Time split]]="Train 2024",tblWorkPackages[[#This Row],[Estimated labor hours]],tblWorkPackages[[#This Row],[Calibrated forecast hours]])</f>
        <v>21.8246575342466</v>
      </c>
      <c r="W680" s="64">
        <f>DATEVALUE(tblWorkPackages[[#This Row],[Request date]])</f>
        <v>45924.0</v>
      </c>
      <c r="X680" s="64">
        <f>DATEVALUE(tblWorkPackages[[#This Row],[Due date]])</f>
        <v>45930.0</v>
      </c>
      <c r="Y680" s="64">
        <f>DATEVALUE(tblWorkPackages[[#This Row],[Completion date]])</f>
        <v>45938.0</v>
      </c>
      <c r="Z680" s="64">
        <f>_xlfn.MINIFS(tblLaborEntries[Work date serial],tblLaborEntries[Work package ID],tblWorkPackages[[#This Row],[Work package ID]])</f>
        <v>45934.0</v>
      </c>
      <c r="AA680" s="64">
        <f>_xlfn.MAXIFS(tblLaborEntries[Work date serial],tblLaborEntries[Work package ID],tblWorkPackages[[#This Row],[Work package ID]])</f>
        <v>45936.0</v>
      </c>
      <c r="AB680" s="65">
        <f>IF(tblWorkPackages[[#This Row],[Completion date serial]]&gt;tblWorkPackages[[#This Row],[Due date serial]],1,0)</f>
        <v>1</v>
      </c>
      <c r="AC680" s="65">
        <f>MAX(0,tblWorkPackages[[#This Row],[Completion date serial]]-tblWorkPackages[[#This Row],[Due date serial]])</f>
        <v>8</v>
      </c>
      <c r="AD680" s="65">
        <f>tblWorkPackages[[#This Row],[First labor date]]-tblWorkPackages[[#This Row],[Request date serial]]</f>
        <v>10</v>
      </c>
      <c r="AE680" s="65">
        <f>tblWorkPackages[[#This Row],[Last labor date]]-tblWorkPackages[[#This Row],[First labor date]]</f>
        <v>2</v>
      </c>
      <c r="AF680" s="65">
        <f>tblWorkPackages[[#This Row],[Completion date serial]]-tblWorkPackages[[#This Row],[Last labor date]]</f>
        <v>2</v>
      </c>
      <c r="AG680" s="65">
        <f>tblWorkPackages[[#This Row],[Completion date serial]]-tblWorkPackages[[#This Row],[Request date serial]]</f>
        <v>14</v>
      </c>
      <c r="AH680" s="65">
        <f>IFERROR(INDEX(tblParts[Delay days],MATCH(tblWorkPackages[[#This Row],[Work package ID]],tblParts[Work package ID],0)),0)</f>
        <v>0</v>
      </c>
      <c r="AI680" s="51" t="str">
        <f>IFERROR(INDEX(tblDisruptions[Event type],MATCH(tblWorkPackages[[#This Row],[Work package ID]],tblDisruptions[Work package ID],0)),"None")</f>
        <v>None</v>
      </c>
      <c r="AJ680" s="51" t="str">
        <f>TEXT(tblWorkPackages[[#This Row],[Due date serial]],"yyyy-mm")</f>
        <v>2025-09</v>
      </c>
    </row>
    <row r="681" spans="1:36" ht="15" x14ac:dyDescent="0.25">
      <c r="A681" s="53" t="s">
        <v>1544</v>
      </c>
      <c r="B681" s="53" t="s">
        <v>230</v>
      </c>
      <c r="C681" s="53" t="s">
        <v>1085</v>
      </c>
      <c r="D681" s="53" t="s">
        <v>1197</v>
      </c>
      <c r="E681" s="53" t="s">
        <v>144</v>
      </c>
      <c r="F681" s="53" t="s">
        <v>145</v>
      </c>
      <c r="G681" s="53" t="s">
        <v>146</v>
      </c>
      <c r="H681" s="53">
        <v>4</v>
      </c>
      <c r="I681" s="53" t="s">
        <v>130</v>
      </c>
      <c r="J681" s="53">
        <v>0</v>
      </c>
      <c r="K681" s="53">
        <v>0</v>
      </c>
      <c r="L681" s="53">
        <v>21.5</v>
      </c>
      <c r="M681" s="53" t="s">
        <v>291</v>
      </c>
      <c r="N681" s="53">
        <v>27.5</v>
      </c>
      <c r="O681" s="51" t="str">
        <f>TEXT(tblWorkPackages[[#This Row],[Request date serial]]-WEEKDAY(tblWorkPackages[[#This Row],[Request date serial]],3),"yyyy-mm-dd")</f>
        <v>2025-02-10</v>
      </c>
      <c r="P681" s="51">
        <f>ABS(tblWorkPackages[[#This Row],[Actual labor hours]]-tblWorkPackages[[#This Row],[Estimated labor hours]])</f>
        <v>6</v>
      </c>
      <c r="Q681" s="51">
        <f>IF(tblWorkPackages[[#This Row],[Actual labor hours]]&gt;tblWorkPackages[[#This Row],[Estimated labor hours]],1,0)</f>
        <v>1</v>
      </c>
      <c r="R681" s="51">
        <f>tblWorkPackages[[#This Row],[Actual labor hours]]-tblWorkPackages[[#This Row],[Estimated labor hours]]</f>
        <v>6</v>
      </c>
      <c r="S681" s="51" t="str">
        <f>IF(tblWorkPackages[[#This Row],[Request date serial]]&lt;ValidationStart,"Train 2024",IF(tblWorkPackages[[#This Row],[Request date serial]]&lt;HoldoutStart,"Validation H1","Holdout H2"))</f>
        <v>Validation H1</v>
      </c>
      <c r="T681" s="51">
        <f>IF(tblWorkPackages[[#This Row],[Time split]]="Train 2024","",tblWorkPackages[[#This Row],[Estimated labor hours]]+VLOOKUP(tblWorkPackages[[#This Row],[Task type]],'Forecast validation'!$A$14:$E$25,IF(tblWorkPackages[[#This Row],[Time split]]="Validation H1",4,5),FALSE()))</f>
        <v>22.2547368421053</v>
      </c>
      <c r="U681" s="51">
        <f>IF(tblWorkPackages[[#This Row],[Calibrated forecast hours]]="","",ABS(tblWorkPackages[[#This Row],[Actual labor hours]]-tblWorkPackages[[#This Row],[Calibrated forecast hours]]))</f>
        <v>5.24526315789474</v>
      </c>
      <c r="V681" s="51">
        <f>IF(tblWorkPackages[[#This Row],[Time split]]="Train 2024",tblWorkPackages[[#This Row],[Estimated labor hours]],tblWorkPackages[[#This Row],[Calibrated forecast hours]])</f>
        <v>22.2547368421053</v>
      </c>
      <c r="W681" s="64">
        <f>DATEVALUE(tblWorkPackages[[#This Row],[Request date]])</f>
        <v>45701.0</v>
      </c>
      <c r="X681" s="64">
        <f>DATEVALUE(tblWorkPackages[[#This Row],[Due date]])</f>
        <v>45714.0</v>
      </c>
      <c r="Y681" s="64">
        <f>DATEVALUE(tblWorkPackages[[#This Row],[Completion date]])</f>
        <v>45709.0</v>
      </c>
      <c r="Z681" s="64">
        <f>_xlfn.MINIFS(tblLaborEntries[Work date serial],tblLaborEntries[Work package ID],tblWorkPackages[[#This Row],[Work package ID]])</f>
        <v>45704.0</v>
      </c>
      <c r="AA681" s="64">
        <f>_xlfn.MAXIFS(tblLaborEntries[Work date serial],tblLaborEntries[Work package ID],tblWorkPackages[[#This Row],[Work package ID]])</f>
        <v>45706.0</v>
      </c>
      <c r="AB681" s="65">
        <f>IF(tblWorkPackages[[#This Row],[Completion date serial]]&gt;tblWorkPackages[[#This Row],[Due date serial]],1,0)</f>
        <v>0</v>
      </c>
      <c r="AC681" s="65">
        <f>MAX(0,tblWorkPackages[[#This Row],[Completion date serial]]-tblWorkPackages[[#This Row],[Due date serial]])</f>
        <v>0</v>
      </c>
      <c r="AD681" s="65">
        <f>tblWorkPackages[[#This Row],[First labor date]]-tblWorkPackages[[#This Row],[Request date serial]]</f>
        <v>3</v>
      </c>
      <c r="AE681" s="65">
        <f>tblWorkPackages[[#This Row],[Last labor date]]-tblWorkPackages[[#This Row],[First labor date]]</f>
        <v>2</v>
      </c>
      <c r="AF681" s="65">
        <f>tblWorkPackages[[#This Row],[Completion date serial]]-tblWorkPackages[[#This Row],[Last labor date]]</f>
        <v>3</v>
      </c>
      <c r="AG681" s="65">
        <f>tblWorkPackages[[#This Row],[Completion date serial]]-tblWorkPackages[[#This Row],[Request date serial]]</f>
        <v>8</v>
      </c>
      <c r="AH681" s="65">
        <f>IFERROR(INDEX(tblParts[Delay days],MATCH(tblWorkPackages[[#This Row],[Work package ID]],tblParts[Work package ID],0)),0)</f>
        <v>0</v>
      </c>
      <c r="AI681" s="51" t="str">
        <f>IFERROR(INDEX(tblDisruptions[Event type],MATCH(tblWorkPackages[[#This Row],[Work package ID]],tblDisruptions[Work package ID],0)),"None")</f>
        <v>Repeat inspection</v>
      </c>
      <c r="AJ681" s="51" t="str">
        <f>TEXT(tblWorkPackages[[#This Row],[Due date serial]],"yyyy-mm")</f>
        <v>2025-02</v>
      </c>
    </row>
    <row r="682" spans="1:36" ht="15" x14ac:dyDescent="0.25">
      <c r="A682" s="53" t="s">
        <v>1545</v>
      </c>
      <c r="B682" s="53" t="s">
        <v>235</v>
      </c>
      <c r="C682" s="53" t="s">
        <v>296</v>
      </c>
      <c r="D682" s="53" t="s">
        <v>152</v>
      </c>
      <c r="E682" s="53" t="s">
        <v>181</v>
      </c>
      <c r="F682" s="53" t="s">
        <v>182</v>
      </c>
      <c r="G682" s="53" t="s">
        <v>138</v>
      </c>
      <c r="H682" s="53">
        <v>4</v>
      </c>
      <c r="I682" s="53" t="s">
        <v>176</v>
      </c>
      <c r="J682" s="53">
        <v>0</v>
      </c>
      <c r="K682" s="53">
        <v>1</v>
      </c>
      <c r="L682" s="53">
        <v>13</v>
      </c>
      <c r="M682" s="53" t="s">
        <v>1546</v>
      </c>
      <c r="N682" s="53">
        <v>12.9</v>
      </c>
      <c r="O682" s="51" t="str">
        <f>TEXT(tblWorkPackages[[#This Row],[Request date serial]]-WEEKDAY(tblWorkPackages[[#This Row],[Request date serial]],3),"yyyy-mm-dd")</f>
        <v>2024-08-19</v>
      </c>
      <c r="P682" s="51">
        <f>ABS(tblWorkPackages[[#This Row],[Actual labor hours]]-tblWorkPackages[[#This Row],[Estimated labor hours]])</f>
        <v>0.0999999999999996</v>
      </c>
      <c r="Q682" s="51">
        <f>IF(tblWorkPackages[[#This Row],[Actual labor hours]]&gt;tblWorkPackages[[#This Row],[Estimated labor hours]],1,0)</f>
        <v>0</v>
      </c>
      <c r="R682" s="51">
        <f>tblWorkPackages[[#This Row],[Actual labor hours]]-tblWorkPackages[[#This Row],[Estimated labor hours]]</f>
        <v>-0.0999999999999996</v>
      </c>
      <c r="S682" s="51" t="str">
        <f>IF(tblWorkPackages[[#This Row],[Request date serial]]&lt;ValidationStart,"Train 2024",IF(tblWorkPackages[[#This Row],[Request date serial]]&lt;HoldoutStart,"Validation H1","Holdout H2"))</f>
        <v>Train 2024</v>
      </c>
      <c r="T682" s="51" t="str">
        <f>IF(tblWorkPackages[[#This Row],[Time split]]="Train 2024","",tblWorkPackages[[#This Row],[Estimated labor hours]]+VLOOKUP(tblWorkPackages[[#This Row],[Task type]],'Forecast validation'!$A$14:$E$25,IF(tblWorkPackages[[#This Row],[Time split]]="Validation H1",4,5),FALSE()))</f>
        <v/>
      </c>
      <c r="U682" s="51" t="str">
        <f>IF(tblWorkPackages[[#This Row],[Calibrated forecast hours]]="","",ABS(tblWorkPackages[[#This Row],[Actual labor hours]]-tblWorkPackages[[#This Row],[Calibrated forecast hours]]))</f>
        <v/>
      </c>
      <c r="V682" s="51">
        <f>IF(tblWorkPackages[[#This Row],[Time split]]="Train 2024",tblWorkPackages[[#This Row],[Estimated labor hours]],tblWorkPackages[[#This Row],[Calibrated forecast hours]])</f>
        <v>13</v>
      </c>
      <c r="W682" s="64">
        <f>DATEVALUE(tblWorkPackages[[#This Row],[Request date]])</f>
        <v>45523.0</v>
      </c>
      <c r="X682" s="64">
        <f>DATEVALUE(tblWorkPackages[[#This Row],[Due date]])</f>
        <v>45529.0</v>
      </c>
      <c r="Y682" s="64">
        <f>DATEVALUE(tblWorkPackages[[#This Row],[Completion date]])</f>
        <v>45551.0</v>
      </c>
      <c r="Z682" s="64">
        <f>_xlfn.MINIFS(tblLaborEntries[Work date serial],tblLaborEntries[Work package ID],tblWorkPackages[[#This Row],[Work package ID]])</f>
        <v>45550.0</v>
      </c>
      <c r="AA682" s="64">
        <f>_xlfn.MAXIFS(tblLaborEntries[Work date serial],tblLaborEntries[Work package ID],tblWorkPackages[[#This Row],[Work package ID]])</f>
        <v>45551.0</v>
      </c>
      <c r="AB682" s="65">
        <f>IF(tblWorkPackages[[#This Row],[Completion date serial]]&gt;tblWorkPackages[[#This Row],[Due date serial]],1,0)</f>
        <v>1</v>
      </c>
      <c r="AC682" s="65">
        <f>MAX(0,tblWorkPackages[[#This Row],[Completion date serial]]-tblWorkPackages[[#This Row],[Due date serial]])</f>
        <v>22</v>
      </c>
      <c r="AD682" s="65">
        <f>tblWorkPackages[[#This Row],[First labor date]]-tblWorkPackages[[#This Row],[Request date serial]]</f>
        <v>27</v>
      </c>
      <c r="AE682" s="65">
        <f>tblWorkPackages[[#This Row],[Last labor date]]-tblWorkPackages[[#This Row],[First labor date]]</f>
        <v>1</v>
      </c>
      <c r="AF682" s="65">
        <f>tblWorkPackages[[#This Row],[Completion date serial]]-tblWorkPackages[[#This Row],[Last labor date]]</f>
        <v>0</v>
      </c>
      <c r="AG682" s="65">
        <f>tblWorkPackages[[#This Row],[Completion date serial]]-tblWorkPackages[[#This Row],[Request date serial]]</f>
        <v>28</v>
      </c>
      <c r="AH682" s="65">
        <f>IFERROR(INDEX(tblParts[Delay days],MATCH(tblWorkPackages[[#This Row],[Work package ID]],tblParts[Work package ID],0)),0)</f>
        <v>0</v>
      </c>
      <c r="AI682" s="51" t="str">
        <f>IFERROR(INDEX(tblDisruptions[Event type],MATCH(tblWorkPackages[[#This Row],[Work package ID]],tblDisruptions[Work package ID],0)),"None")</f>
        <v>None</v>
      </c>
      <c r="AJ682" s="51" t="str">
        <f>TEXT(tblWorkPackages[[#This Row],[Due date serial]],"yyyy-mm")</f>
        <v>2024-08</v>
      </c>
    </row>
    <row r="683" spans="1:36" ht="15" x14ac:dyDescent="0.25">
      <c r="A683" s="53" t="s">
        <v>1547</v>
      </c>
      <c r="B683" s="53" t="s">
        <v>235</v>
      </c>
      <c r="C683" s="53" t="s">
        <v>349</v>
      </c>
      <c r="D683" s="53" t="s">
        <v>615</v>
      </c>
      <c r="E683" s="53" t="s">
        <v>136</v>
      </c>
      <c r="F683" s="53" t="s">
        <v>137</v>
      </c>
      <c r="G683" s="53" t="s">
        <v>138</v>
      </c>
      <c r="H683" s="53">
        <v>4</v>
      </c>
      <c r="I683" s="53" t="s">
        <v>176</v>
      </c>
      <c r="J683" s="53">
        <v>0</v>
      </c>
      <c r="K683" s="53">
        <v>0</v>
      </c>
      <c r="L683" s="53">
        <v>26</v>
      </c>
      <c r="M683" s="53" t="s">
        <v>615</v>
      </c>
      <c r="N683" s="53">
        <v>27.5</v>
      </c>
      <c r="O683" s="51" t="str">
        <f>TEXT(tblWorkPackages[[#This Row],[Request date serial]]-WEEKDAY(tblWorkPackages[[#This Row],[Request date serial]],3),"yyyy-mm-dd")</f>
        <v>2024-01-15</v>
      </c>
      <c r="P683" s="51">
        <f>ABS(tblWorkPackages[[#This Row],[Actual labor hours]]-tblWorkPackages[[#This Row],[Estimated labor hours]])</f>
        <v>1.5</v>
      </c>
      <c r="Q683" s="51">
        <f>IF(tblWorkPackages[[#This Row],[Actual labor hours]]&gt;tblWorkPackages[[#This Row],[Estimated labor hours]],1,0)</f>
        <v>1</v>
      </c>
      <c r="R683" s="51">
        <f>tblWorkPackages[[#This Row],[Actual labor hours]]-tblWorkPackages[[#This Row],[Estimated labor hours]]</f>
        <v>1.5</v>
      </c>
      <c r="S683" s="51" t="str">
        <f>IF(tblWorkPackages[[#This Row],[Request date serial]]&lt;ValidationStart,"Train 2024",IF(tblWorkPackages[[#This Row],[Request date serial]]&lt;HoldoutStart,"Validation H1","Holdout H2"))</f>
        <v>Train 2024</v>
      </c>
      <c r="T683" s="51" t="str">
        <f>IF(tblWorkPackages[[#This Row],[Time split]]="Train 2024","",tblWorkPackages[[#This Row],[Estimated labor hours]]+VLOOKUP(tblWorkPackages[[#This Row],[Task type]],'Forecast validation'!$A$14:$E$25,IF(tblWorkPackages[[#This Row],[Time split]]="Validation H1",4,5),FALSE()))</f>
        <v/>
      </c>
      <c r="U683" s="51" t="str">
        <f>IF(tblWorkPackages[[#This Row],[Calibrated forecast hours]]="","",ABS(tblWorkPackages[[#This Row],[Actual labor hours]]-tblWorkPackages[[#This Row],[Calibrated forecast hours]]))</f>
        <v/>
      </c>
      <c r="V683" s="51">
        <f>IF(tblWorkPackages[[#This Row],[Time split]]="Train 2024",tblWorkPackages[[#This Row],[Estimated labor hours]],tblWorkPackages[[#This Row],[Calibrated forecast hours]])</f>
        <v>26</v>
      </c>
      <c r="W683" s="64">
        <f>DATEVALUE(tblWorkPackages[[#This Row],[Request date]])</f>
        <v>45310.0</v>
      </c>
      <c r="X683" s="64">
        <f>DATEVALUE(tblWorkPackages[[#This Row],[Due date]])</f>
        <v>45316.0</v>
      </c>
      <c r="Y683" s="64">
        <f>DATEVALUE(tblWorkPackages[[#This Row],[Completion date]])</f>
        <v>45316.0</v>
      </c>
      <c r="Z683" s="64">
        <f>_xlfn.MINIFS(tblLaborEntries[Work date serial],tblLaborEntries[Work package ID],tblWorkPackages[[#This Row],[Work package ID]])</f>
        <v>45314.0</v>
      </c>
      <c r="AA683" s="64">
        <f>_xlfn.MAXIFS(tblLaborEntries[Work date serial],tblLaborEntries[Work package ID],tblWorkPackages[[#This Row],[Work package ID]])</f>
        <v>45315.0</v>
      </c>
      <c r="AB683" s="65">
        <f>IF(tblWorkPackages[[#This Row],[Completion date serial]]&gt;tblWorkPackages[[#This Row],[Due date serial]],1,0)</f>
        <v>0</v>
      </c>
      <c r="AC683" s="65">
        <f>MAX(0,tblWorkPackages[[#This Row],[Completion date serial]]-tblWorkPackages[[#This Row],[Due date serial]])</f>
        <v>0</v>
      </c>
      <c r="AD683" s="65">
        <f>tblWorkPackages[[#This Row],[First labor date]]-tblWorkPackages[[#This Row],[Request date serial]]</f>
        <v>4</v>
      </c>
      <c r="AE683" s="65">
        <f>tblWorkPackages[[#This Row],[Last labor date]]-tblWorkPackages[[#This Row],[First labor date]]</f>
        <v>1</v>
      </c>
      <c r="AF683" s="65">
        <f>tblWorkPackages[[#This Row],[Completion date serial]]-tblWorkPackages[[#This Row],[Last labor date]]</f>
        <v>1</v>
      </c>
      <c r="AG683" s="65">
        <f>tblWorkPackages[[#This Row],[Completion date serial]]-tblWorkPackages[[#This Row],[Request date serial]]</f>
        <v>6</v>
      </c>
      <c r="AH683" s="65">
        <f>IFERROR(INDEX(tblParts[Delay days],MATCH(tblWorkPackages[[#This Row],[Work package ID]],tblParts[Work package ID],0)),0)</f>
        <v>0</v>
      </c>
      <c r="AI683" s="51" t="str">
        <f>IFERROR(INDEX(tblDisruptions[Event type],MATCH(tblWorkPackages[[#This Row],[Work package ID]],tblDisruptions[Work package ID],0)),"None")</f>
        <v>None</v>
      </c>
      <c r="AJ683" s="51" t="str">
        <f>TEXT(tblWorkPackages[[#This Row],[Due date serial]],"yyyy-mm")</f>
        <v>2024-01</v>
      </c>
    </row>
    <row r="684" spans="1:36" ht="15" x14ac:dyDescent="0.25">
      <c r="A684" s="53" t="s">
        <v>1548</v>
      </c>
      <c r="B684" s="53" t="s">
        <v>150</v>
      </c>
      <c r="C684" s="53" t="s">
        <v>826</v>
      </c>
      <c r="D684" s="53" t="s">
        <v>446</v>
      </c>
      <c r="E684" s="53" t="s">
        <v>209</v>
      </c>
      <c r="F684" s="53" t="s">
        <v>145</v>
      </c>
      <c r="G684" s="53" t="s">
        <v>210</v>
      </c>
      <c r="H684" s="53">
        <v>3</v>
      </c>
      <c r="I684" s="53" t="s">
        <v>130</v>
      </c>
      <c r="J684" s="53">
        <v>0</v>
      </c>
      <c r="K684" s="53">
        <v>0</v>
      </c>
      <c r="L684" s="53">
        <v>33.200000000000003</v>
      </c>
      <c r="M684" s="53" t="s">
        <v>900</v>
      </c>
      <c r="N684" s="53">
        <v>30.6</v>
      </c>
      <c r="O684" s="51" t="str">
        <f>TEXT(tblWorkPackages[[#This Row],[Request date serial]]-WEEKDAY(tblWorkPackages[[#This Row],[Request date serial]],3),"yyyy-mm-dd")</f>
        <v>2025-03-03</v>
      </c>
      <c r="P684" s="51">
        <f>ABS(tblWorkPackages[[#This Row],[Actual labor hours]]-tblWorkPackages[[#This Row],[Estimated labor hours]])</f>
        <v>2.6</v>
      </c>
      <c r="Q684" s="51">
        <f>IF(tblWorkPackages[[#This Row],[Actual labor hours]]&gt;tblWorkPackages[[#This Row],[Estimated labor hours]],1,0)</f>
        <v>0</v>
      </c>
      <c r="R684" s="51">
        <f>tblWorkPackages[[#This Row],[Actual labor hours]]-tblWorkPackages[[#This Row],[Estimated labor hours]]</f>
        <v>-2.6</v>
      </c>
      <c r="S684" s="51" t="str">
        <f>IF(tblWorkPackages[[#This Row],[Request date serial]]&lt;ValidationStart,"Train 2024",IF(tblWorkPackages[[#This Row],[Request date serial]]&lt;HoldoutStart,"Validation H1","Holdout H2"))</f>
        <v>Validation H1</v>
      </c>
      <c r="T684" s="51">
        <f>IF(tblWorkPackages[[#This Row],[Time split]]="Train 2024","",tblWorkPackages[[#This Row],[Estimated labor hours]]+VLOOKUP(tblWorkPackages[[#This Row],[Task type]],'Forecast validation'!$A$14:$E$25,IF(tblWorkPackages[[#This Row],[Time split]]="Validation H1",4,5),FALSE()))</f>
        <v>34.3029850746269</v>
      </c>
      <c r="U684" s="51">
        <f>IF(tblWorkPackages[[#This Row],[Calibrated forecast hours]]="","",ABS(tblWorkPackages[[#This Row],[Actual labor hours]]-tblWorkPackages[[#This Row],[Calibrated forecast hours]]))</f>
        <v>3.70298507462687</v>
      </c>
      <c r="V684" s="51">
        <f>IF(tblWorkPackages[[#This Row],[Time split]]="Train 2024",tblWorkPackages[[#This Row],[Estimated labor hours]],tblWorkPackages[[#This Row],[Calibrated forecast hours]])</f>
        <v>34.3029850746269</v>
      </c>
      <c r="W684" s="64">
        <f>DATEVALUE(tblWorkPackages[[#This Row],[Request date]])</f>
        <v>45724.0</v>
      </c>
      <c r="X684" s="64">
        <f>DATEVALUE(tblWorkPackages[[#This Row],[Due date]])</f>
        <v>45737.0</v>
      </c>
      <c r="Y684" s="64">
        <f>DATEVALUE(tblWorkPackages[[#This Row],[Completion date]])</f>
        <v>45728.0</v>
      </c>
      <c r="Z684" s="64">
        <f>_xlfn.MINIFS(tblLaborEntries[Work date serial],tblLaborEntries[Work package ID],tblWorkPackages[[#This Row],[Work package ID]])</f>
        <v>45725.0</v>
      </c>
      <c r="AA684" s="64">
        <f>_xlfn.MAXIFS(tblLaborEntries[Work date serial],tblLaborEntries[Work package ID],tblWorkPackages[[#This Row],[Work package ID]])</f>
        <v>45726.0</v>
      </c>
      <c r="AB684" s="65">
        <f>IF(tblWorkPackages[[#This Row],[Completion date serial]]&gt;tblWorkPackages[[#This Row],[Due date serial]],1,0)</f>
        <v>0</v>
      </c>
      <c r="AC684" s="65">
        <f>MAX(0,tblWorkPackages[[#This Row],[Completion date serial]]-tblWorkPackages[[#This Row],[Due date serial]])</f>
        <v>0</v>
      </c>
      <c r="AD684" s="65">
        <f>tblWorkPackages[[#This Row],[First labor date]]-tblWorkPackages[[#This Row],[Request date serial]]</f>
        <v>1</v>
      </c>
      <c r="AE684" s="65">
        <f>tblWorkPackages[[#This Row],[Last labor date]]-tblWorkPackages[[#This Row],[First labor date]]</f>
        <v>1</v>
      </c>
      <c r="AF684" s="65">
        <f>tblWorkPackages[[#This Row],[Completion date serial]]-tblWorkPackages[[#This Row],[Last labor date]]</f>
        <v>2</v>
      </c>
      <c r="AG684" s="65">
        <f>tblWorkPackages[[#This Row],[Completion date serial]]-tblWorkPackages[[#This Row],[Request date serial]]</f>
        <v>4</v>
      </c>
      <c r="AH684" s="65">
        <f>IFERROR(INDEX(tblParts[Delay days],MATCH(tblWorkPackages[[#This Row],[Work package ID]],tblParts[Work package ID],0)),0)</f>
        <v>0</v>
      </c>
      <c r="AI684" s="51" t="str">
        <f>IFERROR(INDEX(tblDisruptions[Event type],MATCH(tblWorkPackages[[#This Row],[Work package ID]],tblDisruptions[Work package ID],0)),"None")</f>
        <v>None</v>
      </c>
      <c r="AJ684" s="51" t="str">
        <f>TEXT(tblWorkPackages[[#This Row],[Due date serial]],"yyyy-mm")</f>
        <v>2025-03</v>
      </c>
    </row>
    <row r="685" spans="1:36" ht="15" x14ac:dyDescent="0.25">
      <c r="A685" s="53" t="s">
        <v>1549</v>
      </c>
      <c r="B685" s="53" t="s">
        <v>185</v>
      </c>
      <c r="C685" s="53" t="s">
        <v>805</v>
      </c>
      <c r="D685" s="53" t="s">
        <v>1262</v>
      </c>
      <c r="E685" s="53" t="s">
        <v>242</v>
      </c>
      <c r="F685" s="53" t="s">
        <v>243</v>
      </c>
      <c r="G685" s="53" t="s">
        <v>129</v>
      </c>
      <c r="H685" s="53">
        <v>3</v>
      </c>
      <c r="I685" s="53" t="s">
        <v>147</v>
      </c>
      <c r="J685" s="53">
        <v>0</v>
      </c>
      <c r="K685" s="53">
        <v>0</v>
      </c>
      <c r="L685" s="53">
        <v>13.1</v>
      </c>
      <c r="M685" s="53" t="s">
        <v>443</v>
      </c>
      <c r="N685" s="53">
        <v>13.2</v>
      </c>
      <c r="O685" s="51" t="str">
        <f>TEXT(tblWorkPackages[[#This Row],[Request date serial]]-WEEKDAY(tblWorkPackages[[#This Row],[Request date serial]],3),"yyyy-mm-dd")</f>
        <v>2024-02-12</v>
      </c>
      <c r="P685" s="51">
        <f>ABS(tblWorkPackages[[#This Row],[Actual labor hours]]-tblWorkPackages[[#This Row],[Estimated labor hours]])</f>
        <v>0.0999999999999996</v>
      </c>
      <c r="Q685" s="51">
        <f>IF(tblWorkPackages[[#This Row],[Actual labor hours]]&gt;tblWorkPackages[[#This Row],[Estimated labor hours]],1,0)</f>
        <v>1</v>
      </c>
      <c r="R685" s="51">
        <f>tblWorkPackages[[#This Row],[Actual labor hours]]-tblWorkPackages[[#This Row],[Estimated labor hours]]</f>
        <v>0.0999999999999996</v>
      </c>
      <c r="S685" s="51" t="str">
        <f>IF(tblWorkPackages[[#This Row],[Request date serial]]&lt;ValidationStart,"Train 2024",IF(tblWorkPackages[[#This Row],[Request date serial]]&lt;HoldoutStart,"Validation H1","Holdout H2"))</f>
        <v>Train 2024</v>
      </c>
      <c r="T685" s="51" t="str">
        <f>IF(tblWorkPackages[[#This Row],[Time split]]="Train 2024","",tblWorkPackages[[#This Row],[Estimated labor hours]]+VLOOKUP(tblWorkPackages[[#This Row],[Task type]],'Forecast validation'!$A$14:$E$25,IF(tblWorkPackages[[#This Row],[Time split]]="Validation H1",4,5),FALSE()))</f>
        <v/>
      </c>
      <c r="U685" s="51" t="str">
        <f>IF(tblWorkPackages[[#This Row],[Calibrated forecast hours]]="","",ABS(tblWorkPackages[[#This Row],[Actual labor hours]]-tblWorkPackages[[#This Row],[Calibrated forecast hours]]))</f>
        <v/>
      </c>
      <c r="V685" s="51">
        <f>IF(tblWorkPackages[[#This Row],[Time split]]="Train 2024",tblWorkPackages[[#This Row],[Estimated labor hours]],tblWorkPackages[[#This Row],[Calibrated forecast hours]])</f>
        <v>13.1</v>
      </c>
      <c r="W685" s="64">
        <f>DATEVALUE(tblWorkPackages[[#This Row],[Request date]])</f>
        <v>45335.0</v>
      </c>
      <c r="X685" s="64">
        <f>DATEVALUE(tblWorkPackages[[#This Row],[Due date]])</f>
        <v>45337.0</v>
      </c>
      <c r="Y685" s="64">
        <f>DATEVALUE(tblWorkPackages[[#This Row],[Completion date]])</f>
        <v>45351.0</v>
      </c>
      <c r="Z685" s="64">
        <f>_xlfn.MINIFS(tblLaborEntries[Work date serial],tblLaborEntries[Work package ID],tblWorkPackages[[#This Row],[Work package ID]])</f>
        <v>45348.0</v>
      </c>
      <c r="AA685" s="64">
        <f>_xlfn.MAXIFS(tblLaborEntries[Work date serial],tblLaborEntries[Work package ID],tblWorkPackages[[#This Row],[Work package ID]])</f>
        <v>45348.0</v>
      </c>
      <c r="AB685" s="65">
        <f>IF(tblWorkPackages[[#This Row],[Completion date serial]]&gt;tblWorkPackages[[#This Row],[Due date serial]],1,0)</f>
        <v>1</v>
      </c>
      <c r="AC685" s="65">
        <f>MAX(0,tblWorkPackages[[#This Row],[Completion date serial]]-tblWorkPackages[[#This Row],[Due date serial]])</f>
        <v>14</v>
      </c>
      <c r="AD685" s="65">
        <f>tblWorkPackages[[#This Row],[First labor date]]-tblWorkPackages[[#This Row],[Request date serial]]</f>
        <v>13</v>
      </c>
      <c r="AE685" s="65">
        <f>tblWorkPackages[[#This Row],[Last labor date]]-tblWorkPackages[[#This Row],[First labor date]]</f>
        <v>0</v>
      </c>
      <c r="AF685" s="65">
        <f>tblWorkPackages[[#This Row],[Completion date serial]]-tblWorkPackages[[#This Row],[Last labor date]]</f>
        <v>3</v>
      </c>
      <c r="AG685" s="65">
        <f>tblWorkPackages[[#This Row],[Completion date serial]]-tblWorkPackages[[#This Row],[Request date serial]]</f>
        <v>16</v>
      </c>
      <c r="AH685" s="65">
        <f>IFERROR(INDEX(tblParts[Delay days],MATCH(tblWorkPackages[[#This Row],[Work package ID]],tblParts[Work package ID],0)),0)</f>
        <v>0</v>
      </c>
      <c r="AI685" s="51" t="str">
        <f>IFERROR(INDEX(tblDisruptions[Event type],MATCH(tblWorkPackages[[#This Row],[Work package ID]],tblDisruptions[Work package ID],0)),"None")</f>
        <v>None</v>
      </c>
      <c r="AJ685" s="51" t="str">
        <f>TEXT(tblWorkPackages[[#This Row],[Due date serial]],"yyyy-mm")</f>
        <v>2024-02</v>
      </c>
    </row>
    <row r="686" spans="1:36" ht="15" x14ac:dyDescent="0.25">
      <c r="A686" s="53" t="s">
        <v>1550</v>
      </c>
      <c r="B686" s="53" t="s">
        <v>173</v>
      </c>
      <c r="C686" s="53" t="s">
        <v>643</v>
      </c>
      <c r="D686" s="53" t="s">
        <v>1392</v>
      </c>
      <c r="E686" s="53" t="s">
        <v>160</v>
      </c>
      <c r="F686" s="53" t="s">
        <v>128</v>
      </c>
      <c r="G686" s="53" t="s">
        <v>138</v>
      </c>
      <c r="H686" s="53">
        <v>4</v>
      </c>
      <c r="I686" s="53" t="s">
        <v>130</v>
      </c>
      <c r="J686" s="53">
        <v>0</v>
      </c>
      <c r="K686" s="53">
        <v>0</v>
      </c>
      <c r="L686" s="53">
        <v>8</v>
      </c>
      <c r="M686" s="53" t="s">
        <v>552</v>
      </c>
      <c r="N686" s="53">
        <v>7.6</v>
      </c>
      <c r="O686" s="51" t="str">
        <f>TEXT(tblWorkPackages[[#This Row],[Request date serial]]-WEEKDAY(tblWorkPackages[[#This Row],[Request date serial]],3),"yyyy-mm-dd")</f>
        <v>2024-07-22</v>
      </c>
      <c r="P686" s="51">
        <f>ABS(tblWorkPackages[[#This Row],[Actual labor hours]]-tblWorkPackages[[#This Row],[Estimated labor hours]])</f>
        <v>0.4</v>
      </c>
      <c r="Q686" s="51">
        <f>IF(tblWorkPackages[[#This Row],[Actual labor hours]]&gt;tblWorkPackages[[#This Row],[Estimated labor hours]],1,0)</f>
        <v>0</v>
      </c>
      <c r="R686" s="51">
        <f>tblWorkPackages[[#This Row],[Actual labor hours]]-tblWorkPackages[[#This Row],[Estimated labor hours]]</f>
        <v>-0.4</v>
      </c>
      <c r="S686" s="51" t="str">
        <f>IF(tblWorkPackages[[#This Row],[Request date serial]]&lt;ValidationStart,"Train 2024",IF(tblWorkPackages[[#This Row],[Request date serial]]&lt;HoldoutStart,"Validation H1","Holdout H2"))</f>
        <v>Train 2024</v>
      </c>
      <c r="T686" s="51" t="str">
        <f>IF(tblWorkPackages[[#This Row],[Time split]]="Train 2024","",tblWorkPackages[[#This Row],[Estimated labor hours]]+VLOOKUP(tblWorkPackages[[#This Row],[Task type]],'Forecast validation'!$A$14:$E$25,IF(tblWorkPackages[[#This Row],[Time split]]="Validation H1",4,5),FALSE()))</f>
        <v/>
      </c>
      <c r="U686" s="51" t="str">
        <f>IF(tblWorkPackages[[#This Row],[Calibrated forecast hours]]="","",ABS(tblWorkPackages[[#This Row],[Actual labor hours]]-tblWorkPackages[[#This Row],[Calibrated forecast hours]]))</f>
        <v/>
      </c>
      <c r="V686" s="51">
        <f>IF(tblWorkPackages[[#This Row],[Time split]]="Train 2024",tblWorkPackages[[#This Row],[Estimated labor hours]],tblWorkPackages[[#This Row],[Calibrated forecast hours]])</f>
        <v>8</v>
      </c>
      <c r="W686" s="64">
        <f>DATEVALUE(tblWorkPackages[[#This Row],[Request date]])</f>
        <v>45495.0</v>
      </c>
      <c r="X686" s="64">
        <f>DATEVALUE(tblWorkPackages[[#This Row],[Due date]])</f>
        <v>45508.0</v>
      </c>
      <c r="Y686" s="64">
        <f>DATEVALUE(tblWorkPackages[[#This Row],[Completion date]])</f>
        <v>45498.0</v>
      </c>
      <c r="Z686" s="64">
        <f>_xlfn.MINIFS(tblLaborEntries[Work date serial],tblLaborEntries[Work package ID],tblWorkPackages[[#This Row],[Work package ID]])</f>
        <v>45498.0</v>
      </c>
      <c r="AA686" s="64">
        <f>_xlfn.MAXIFS(tblLaborEntries[Work date serial],tblLaborEntries[Work package ID],tblWorkPackages[[#This Row],[Work package ID]])</f>
        <v>45498.0</v>
      </c>
      <c r="AB686" s="65">
        <f>IF(tblWorkPackages[[#This Row],[Completion date serial]]&gt;tblWorkPackages[[#This Row],[Due date serial]],1,0)</f>
        <v>0</v>
      </c>
      <c r="AC686" s="65">
        <f>MAX(0,tblWorkPackages[[#This Row],[Completion date serial]]-tblWorkPackages[[#This Row],[Due date serial]])</f>
        <v>0</v>
      </c>
      <c r="AD686" s="65">
        <f>tblWorkPackages[[#This Row],[First labor date]]-tblWorkPackages[[#This Row],[Request date serial]]</f>
        <v>3</v>
      </c>
      <c r="AE686" s="65">
        <f>tblWorkPackages[[#This Row],[Last labor date]]-tblWorkPackages[[#This Row],[First labor date]]</f>
        <v>0</v>
      </c>
      <c r="AF686" s="65">
        <f>tblWorkPackages[[#This Row],[Completion date serial]]-tblWorkPackages[[#This Row],[Last labor date]]</f>
        <v>0</v>
      </c>
      <c r="AG686" s="65">
        <f>tblWorkPackages[[#This Row],[Completion date serial]]-tblWorkPackages[[#This Row],[Request date serial]]</f>
        <v>3</v>
      </c>
      <c r="AH686" s="65">
        <f>IFERROR(INDEX(tblParts[Delay days],MATCH(tblWorkPackages[[#This Row],[Work package ID]],tblParts[Work package ID],0)),0)</f>
        <v>0</v>
      </c>
      <c r="AI686" s="51" t="str">
        <f>IFERROR(INDEX(tblDisruptions[Event type],MATCH(tblWorkPackages[[#This Row],[Work package ID]],tblDisruptions[Work package ID],0)),"None")</f>
        <v>None</v>
      </c>
      <c r="AJ686" s="51" t="str">
        <f>TEXT(tblWorkPackages[[#This Row],[Due date serial]],"yyyy-mm")</f>
        <v>2024-08</v>
      </c>
    </row>
    <row r="687" spans="1:36" ht="15" x14ac:dyDescent="0.25">
      <c r="A687" s="53" t="s">
        <v>1551</v>
      </c>
      <c r="B687" s="53" t="s">
        <v>141</v>
      </c>
      <c r="C687" s="53" t="s">
        <v>1103</v>
      </c>
      <c r="D687" s="53" t="s">
        <v>498</v>
      </c>
      <c r="E687" s="53" t="s">
        <v>200</v>
      </c>
      <c r="F687" s="53" t="s">
        <v>128</v>
      </c>
      <c r="G687" s="53" t="s">
        <v>129</v>
      </c>
      <c r="H687" s="53">
        <v>2</v>
      </c>
      <c r="I687" s="53" t="s">
        <v>130</v>
      </c>
      <c r="J687" s="53">
        <v>0</v>
      </c>
      <c r="K687" s="53">
        <v>0</v>
      </c>
      <c r="L687" s="53">
        <v>2.7</v>
      </c>
      <c r="M687" s="53" t="s">
        <v>779</v>
      </c>
      <c r="N687" s="53">
        <v>2.6</v>
      </c>
      <c r="O687" s="51" t="str">
        <f>TEXT(tblWorkPackages[[#This Row],[Request date serial]]-WEEKDAY(tblWorkPackages[[#This Row],[Request date serial]],3),"yyyy-mm-dd")</f>
        <v>2025-11-03</v>
      </c>
      <c r="P687" s="51">
        <f>ABS(tblWorkPackages[[#This Row],[Actual labor hours]]-tblWorkPackages[[#This Row],[Estimated labor hours]])</f>
        <v>0.1</v>
      </c>
      <c r="Q687" s="51">
        <f>IF(tblWorkPackages[[#This Row],[Actual labor hours]]&gt;tblWorkPackages[[#This Row],[Estimated labor hours]],1,0)</f>
        <v>0</v>
      </c>
      <c r="R687" s="51">
        <f>tblWorkPackages[[#This Row],[Actual labor hours]]-tblWorkPackages[[#This Row],[Estimated labor hours]]</f>
        <v>-0.1</v>
      </c>
      <c r="S687" s="51" t="str">
        <f>IF(tblWorkPackages[[#This Row],[Request date serial]]&lt;ValidationStart,"Train 2024",IF(tblWorkPackages[[#This Row],[Request date serial]]&lt;HoldoutStart,"Validation H1","Holdout H2"))</f>
        <v>Holdout H2</v>
      </c>
      <c r="T687" s="51">
        <f>IF(tblWorkPackages[[#This Row],[Time split]]="Train 2024","",tblWorkPackages[[#This Row],[Estimated labor hours]]+VLOOKUP(tblWorkPackages[[#This Row],[Task type]],'Forecast validation'!$A$14:$E$25,IF(tblWorkPackages[[#This Row],[Time split]]="Validation H1",4,5),FALSE()))</f>
        <v>3.02893081761006</v>
      </c>
      <c r="U687" s="51">
        <f>IF(tblWorkPackages[[#This Row],[Calibrated forecast hours]]="","",ABS(tblWorkPackages[[#This Row],[Actual labor hours]]-tblWorkPackages[[#This Row],[Calibrated forecast hours]]))</f>
        <v>0.428930817610063</v>
      </c>
      <c r="V687" s="51">
        <f>IF(tblWorkPackages[[#This Row],[Time split]]="Train 2024",tblWorkPackages[[#This Row],[Estimated labor hours]],tblWorkPackages[[#This Row],[Calibrated forecast hours]])</f>
        <v>3.02893081761006</v>
      </c>
      <c r="W687" s="64">
        <f>DATEVALUE(tblWorkPackages[[#This Row],[Request date]])</f>
        <v>45969.0</v>
      </c>
      <c r="X687" s="64">
        <f>DATEVALUE(tblWorkPackages[[#This Row],[Due date]])</f>
        <v>45982.0</v>
      </c>
      <c r="Y687" s="64">
        <f>DATEVALUE(tblWorkPackages[[#This Row],[Completion date]])</f>
        <v>46018.0</v>
      </c>
      <c r="Z687" s="64">
        <f>_xlfn.MINIFS(tblLaborEntries[Work date serial],tblLaborEntries[Work package ID],tblWorkPackages[[#This Row],[Work package ID]])</f>
        <v>46016.0</v>
      </c>
      <c r="AA687" s="64">
        <f>_xlfn.MAXIFS(tblLaborEntries[Work date serial],tblLaborEntries[Work package ID],tblWorkPackages[[#This Row],[Work package ID]])</f>
        <v>46017.0</v>
      </c>
      <c r="AB687" s="65">
        <f>IF(tblWorkPackages[[#This Row],[Completion date serial]]&gt;tblWorkPackages[[#This Row],[Due date serial]],1,0)</f>
        <v>1</v>
      </c>
      <c r="AC687" s="65">
        <f>MAX(0,tblWorkPackages[[#This Row],[Completion date serial]]-tblWorkPackages[[#This Row],[Due date serial]])</f>
        <v>36</v>
      </c>
      <c r="AD687" s="65">
        <f>tblWorkPackages[[#This Row],[First labor date]]-tblWorkPackages[[#This Row],[Request date serial]]</f>
        <v>47</v>
      </c>
      <c r="AE687" s="65">
        <f>tblWorkPackages[[#This Row],[Last labor date]]-tblWorkPackages[[#This Row],[First labor date]]</f>
        <v>1</v>
      </c>
      <c r="AF687" s="65">
        <f>tblWorkPackages[[#This Row],[Completion date serial]]-tblWorkPackages[[#This Row],[Last labor date]]</f>
        <v>1</v>
      </c>
      <c r="AG687" s="65">
        <f>tblWorkPackages[[#This Row],[Completion date serial]]-tblWorkPackages[[#This Row],[Request date serial]]</f>
        <v>49</v>
      </c>
      <c r="AH687" s="65">
        <f>IFERROR(INDEX(tblParts[Delay days],MATCH(tblWorkPackages[[#This Row],[Work package ID]],tblParts[Work package ID],0)),0)</f>
        <v>0</v>
      </c>
      <c r="AI687" s="51" t="str">
        <f>IFERROR(INDEX(tblDisruptions[Event type],MATCH(tblWorkPackages[[#This Row],[Work package ID]],tblDisruptions[Work package ID],0)),"None")</f>
        <v>None</v>
      </c>
      <c r="AJ687" s="51" t="str">
        <f>TEXT(tblWorkPackages[[#This Row],[Due date serial]],"yyyy-mm")</f>
        <v>2025-11</v>
      </c>
    </row>
    <row r="688" spans="1:36" ht="15" x14ac:dyDescent="0.25">
      <c r="A688" s="53" t="s">
        <v>1552</v>
      </c>
      <c r="B688" s="53" t="s">
        <v>287</v>
      </c>
      <c r="C688" s="53" t="s">
        <v>871</v>
      </c>
      <c r="D688" s="53" t="s">
        <v>1446</v>
      </c>
      <c r="E688" s="53" t="s">
        <v>136</v>
      </c>
      <c r="F688" s="53" t="s">
        <v>137</v>
      </c>
      <c r="G688" s="53" t="s">
        <v>138</v>
      </c>
      <c r="H688" s="53">
        <v>1</v>
      </c>
      <c r="I688" s="53" t="s">
        <v>130</v>
      </c>
      <c r="J688" s="53">
        <v>0</v>
      </c>
      <c r="K688" s="53">
        <v>0</v>
      </c>
      <c r="L688" s="53">
        <v>10.6</v>
      </c>
      <c r="M688" s="53" t="s">
        <v>270</v>
      </c>
      <c r="N688" s="53">
        <v>9.6999999999999993</v>
      </c>
      <c r="O688" s="51" t="str">
        <f>TEXT(tblWorkPackages[[#This Row],[Request date serial]]-WEEKDAY(tblWorkPackages[[#This Row],[Request date serial]],3),"yyyy-mm-dd")</f>
        <v>2025-03-17</v>
      </c>
      <c r="P688" s="51">
        <f>ABS(tblWorkPackages[[#This Row],[Actual labor hours]]-tblWorkPackages[[#This Row],[Estimated labor hours]])</f>
        <v>0.9</v>
      </c>
      <c r="Q688" s="51">
        <f>IF(tblWorkPackages[[#This Row],[Actual labor hours]]&gt;tblWorkPackages[[#This Row],[Estimated labor hours]],1,0)</f>
        <v>0</v>
      </c>
      <c r="R688" s="51">
        <f>tblWorkPackages[[#This Row],[Actual labor hours]]-tblWorkPackages[[#This Row],[Estimated labor hours]]</f>
        <v>-0.9</v>
      </c>
      <c r="S688" s="51" t="str">
        <f>IF(tblWorkPackages[[#This Row],[Request date serial]]&lt;ValidationStart,"Train 2024",IF(tblWorkPackages[[#This Row],[Request date serial]]&lt;HoldoutStart,"Validation H1","Holdout H2"))</f>
        <v>Validation H1</v>
      </c>
      <c r="T688" s="51">
        <f>IF(tblWorkPackages[[#This Row],[Time split]]="Train 2024","",tblWorkPackages[[#This Row],[Estimated labor hours]]+VLOOKUP(tblWorkPackages[[#This Row],[Task type]],'Forecast validation'!$A$14:$E$25,IF(tblWorkPackages[[#This Row],[Time split]]="Validation H1",4,5),FALSE()))</f>
        <v>11.4765306122449</v>
      </c>
      <c r="U688" s="51">
        <f>IF(tblWorkPackages[[#This Row],[Calibrated forecast hours]]="","",ABS(tblWorkPackages[[#This Row],[Actual labor hours]]-tblWorkPackages[[#This Row],[Calibrated forecast hours]]))</f>
        <v>1.7765306122449</v>
      </c>
      <c r="V688" s="51">
        <f>IF(tblWorkPackages[[#This Row],[Time split]]="Train 2024",tblWorkPackages[[#This Row],[Estimated labor hours]],tblWorkPackages[[#This Row],[Calibrated forecast hours]])</f>
        <v>11.4765306122449</v>
      </c>
      <c r="W688" s="64">
        <f>DATEVALUE(tblWorkPackages[[#This Row],[Request date]])</f>
        <v>45738.0</v>
      </c>
      <c r="X688" s="64">
        <f>DATEVALUE(tblWorkPackages[[#This Row],[Due date]])</f>
        <v>45751.0</v>
      </c>
      <c r="Y688" s="64">
        <f>DATEVALUE(tblWorkPackages[[#This Row],[Completion date]])</f>
        <v>45748.0</v>
      </c>
      <c r="Z688" s="64">
        <f>_xlfn.MINIFS(tblLaborEntries[Work date serial],tblLaborEntries[Work package ID],tblWorkPackages[[#This Row],[Work package ID]])</f>
        <v>45746.0</v>
      </c>
      <c r="AA688" s="64">
        <f>_xlfn.MAXIFS(tblLaborEntries[Work date serial],tblLaborEntries[Work package ID],tblWorkPackages[[#This Row],[Work package ID]])</f>
        <v>45746.0</v>
      </c>
      <c r="AB688" s="65">
        <f>IF(tblWorkPackages[[#This Row],[Completion date serial]]&gt;tblWorkPackages[[#This Row],[Due date serial]],1,0)</f>
        <v>0</v>
      </c>
      <c r="AC688" s="65">
        <f>MAX(0,tblWorkPackages[[#This Row],[Completion date serial]]-tblWorkPackages[[#This Row],[Due date serial]])</f>
        <v>0</v>
      </c>
      <c r="AD688" s="65">
        <f>tblWorkPackages[[#This Row],[First labor date]]-tblWorkPackages[[#This Row],[Request date serial]]</f>
        <v>8</v>
      </c>
      <c r="AE688" s="65">
        <f>tblWorkPackages[[#This Row],[Last labor date]]-tblWorkPackages[[#This Row],[First labor date]]</f>
        <v>0</v>
      </c>
      <c r="AF688" s="65">
        <f>tblWorkPackages[[#This Row],[Completion date serial]]-tblWorkPackages[[#This Row],[Last labor date]]</f>
        <v>2</v>
      </c>
      <c r="AG688" s="65">
        <f>tblWorkPackages[[#This Row],[Completion date serial]]-tblWorkPackages[[#This Row],[Request date serial]]</f>
        <v>10</v>
      </c>
      <c r="AH688" s="65">
        <f>IFERROR(INDEX(tblParts[Delay days],MATCH(tblWorkPackages[[#This Row],[Work package ID]],tblParts[Work package ID],0)),0)</f>
        <v>0</v>
      </c>
      <c r="AI688" s="51" t="str">
        <f>IFERROR(INDEX(tblDisruptions[Event type],MATCH(tblWorkPackages[[#This Row],[Work package ID]],tblDisruptions[Work package ID],0)),"None")</f>
        <v>None</v>
      </c>
      <c r="AJ688" s="51" t="str">
        <f>TEXT(tblWorkPackages[[#This Row],[Due date serial]],"yyyy-mm")</f>
        <v>2025-04</v>
      </c>
    </row>
    <row r="689" spans="1:36" ht="15" x14ac:dyDescent="0.25">
      <c r="A689" s="53" t="s">
        <v>1553</v>
      </c>
      <c r="B689" s="53" t="s">
        <v>250</v>
      </c>
      <c r="C689" s="53" t="s">
        <v>1230</v>
      </c>
      <c r="D689" s="53" t="s">
        <v>161</v>
      </c>
      <c r="E689" s="53" t="s">
        <v>136</v>
      </c>
      <c r="F689" s="53" t="s">
        <v>137</v>
      </c>
      <c r="G689" s="53" t="s">
        <v>138</v>
      </c>
      <c r="H689" s="53">
        <v>1</v>
      </c>
      <c r="I689" s="53" t="s">
        <v>130</v>
      </c>
      <c r="J689" s="53">
        <v>0</v>
      </c>
      <c r="K689" s="53">
        <v>0</v>
      </c>
      <c r="L689" s="53">
        <v>8.3000000000000007</v>
      </c>
      <c r="M689" s="53" t="s">
        <v>515</v>
      </c>
      <c r="N689" s="53">
        <v>7</v>
      </c>
      <c r="O689" s="51" t="str">
        <f>TEXT(tblWorkPackages[[#This Row],[Request date serial]]-WEEKDAY(tblWorkPackages[[#This Row],[Request date serial]],3),"yyyy-mm-dd")</f>
        <v>2024-11-18</v>
      </c>
      <c r="P689" s="51">
        <f>ABS(tblWorkPackages[[#This Row],[Actual labor hours]]-tblWorkPackages[[#This Row],[Estimated labor hours]])</f>
        <v>1.3</v>
      </c>
      <c r="Q689" s="51">
        <f>IF(tblWorkPackages[[#This Row],[Actual labor hours]]&gt;tblWorkPackages[[#This Row],[Estimated labor hours]],1,0)</f>
        <v>0</v>
      </c>
      <c r="R689" s="51">
        <f>tblWorkPackages[[#This Row],[Actual labor hours]]-tblWorkPackages[[#This Row],[Estimated labor hours]]</f>
        <v>-1.3</v>
      </c>
      <c r="S689" s="51" t="str">
        <f>IF(tblWorkPackages[[#This Row],[Request date serial]]&lt;ValidationStart,"Train 2024",IF(tblWorkPackages[[#This Row],[Request date serial]]&lt;HoldoutStart,"Validation H1","Holdout H2"))</f>
        <v>Train 2024</v>
      </c>
      <c r="T689" s="51" t="str">
        <f>IF(tblWorkPackages[[#This Row],[Time split]]="Train 2024","",tblWorkPackages[[#This Row],[Estimated labor hours]]+VLOOKUP(tblWorkPackages[[#This Row],[Task type]],'Forecast validation'!$A$14:$E$25,IF(tblWorkPackages[[#This Row],[Time split]]="Validation H1",4,5),FALSE()))</f>
        <v/>
      </c>
      <c r="U689" s="51" t="str">
        <f>IF(tblWorkPackages[[#This Row],[Calibrated forecast hours]]="","",ABS(tblWorkPackages[[#This Row],[Actual labor hours]]-tblWorkPackages[[#This Row],[Calibrated forecast hours]]))</f>
        <v/>
      </c>
      <c r="V689" s="51">
        <f>IF(tblWorkPackages[[#This Row],[Time split]]="Train 2024",tblWorkPackages[[#This Row],[Estimated labor hours]],tblWorkPackages[[#This Row],[Calibrated forecast hours]])</f>
        <v>8.3</v>
      </c>
      <c r="W689" s="64">
        <f>DATEVALUE(tblWorkPackages[[#This Row],[Request date]])</f>
        <v>45615.0</v>
      </c>
      <c r="X689" s="64">
        <f>DATEVALUE(tblWorkPackages[[#This Row],[Due date]])</f>
        <v>45628.0</v>
      </c>
      <c r="Y689" s="64">
        <f>DATEVALUE(tblWorkPackages[[#This Row],[Completion date]])</f>
        <v>45621.0</v>
      </c>
      <c r="Z689" s="64">
        <f>_xlfn.MINIFS(tblLaborEntries[Work date serial],tblLaborEntries[Work package ID],tblWorkPackages[[#This Row],[Work package ID]])</f>
        <v>45617.0</v>
      </c>
      <c r="AA689" s="64">
        <f>_xlfn.MAXIFS(tblLaborEntries[Work date serial],tblLaborEntries[Work package ID],tblWorkPackages[[#This Row],[Work package ID]])</f>
        <v>45618.0</v>
      </c>
      <c r="AB689" s="65">
        <f>IF(tblWorkPackages[[#This Row],[Completion date serial]]&gt;tblWorkPackages[[#This Row],[Due date serial]],1,0)</f>
        <v>0</v>
      </c>
      <c r="AC689" s="65">
        <f>MAX(0,tblWorkPackages[[#This Row],[Completion date serial]]-tblWorkPackages[[#This Row],[Due date serial]])</f>
        <v>0</v>
      </c>
      <c r="AD689" s="65">
        <f>tblWorkPackages[[#This Row],[First labor date]]-tblWorkPackages[[#This Row],[Request date serial]]</f>
        <v>2</v>
      </c>
      <c r="AE689" s="65">
        <f>tblWorkPackages[[#This Row],[Last labor date]]-tblWorkPackages[[#This Row],[First labor date]]</f>
        <v>1</v>
      </c>
      <c r="AF689" s="65">
        <f>tblWorkPackages[[#This Row],[Completion date serial]]-tblWorkPackages[[#This Row],[Last labor date]]</f>
        <v>3</v>
      </c>
      <c r="AG689" s="65">
        <f>tblWorkPackages[[#This Row],[Completion date serial]]-tblWorkPackages[[#This Row],[Request date serial]]</f>
        <v>6</v>
      </c>
      <c r="AH689" s="65">
        <f>IFERROR(INDEX(tblParts[Delay days],MATCH(tblWorkPackages[[#This Row],[Work package ID]],tblParts[Work package ID],0)),0)</f>
        <v>0</v>
      </c>
      <c r="AI689" s="51" t="str">
        <f>IFERROR(INDEX(tblDisruptions[Event type],MATCH(tblWorkPackages[[#This Row],[Work package ID]],tblDisruptions[Work package ID],0)),"None")</f>
        <v>None</v>
      </c>
      <c r="AJ689" s="51" t="str">
        <f>TEXT(tblWorkPackages[[#This Row],[Due date serial]],"yyyy-mm")</f>
        <v>2024-12</v>
      </c>
    </row>
    <row r="690" spans="1:36" ht="15" x14ac:dyDescent="0.25">
      <c r="A690" s="53" t="s">
        <v>1554</v>
      </c>
      <c r="B690" s="53" t="s">
        <v>168</v>
      </c>
      <c r="C690" s="53" t="s">
        <v>1429</v>
      </c>
      <c r="D690" s="53" t="s">
        <v>976</v>
      </c>
      <c r="E690" s="53" t="s">
        <v>144</v>
      </c>
      <c r="F690" s="53" t="s">
        <v>145</v>
      </c>
      <c r="G690" s="53" t="s">
        <v>146</v>
      </c>
      <c r="H690" s="53">
        <v>1</v>
      </c>
      <c r="I690" s="53" t="s">
        <v>176</v>
      </c>
      <c r="J690" s="53">
        <v>0</v>
      </c>
      <c r="K690" s="53">
        <v>1</v>
      </c>
      <c r="L690" s="53">
        <v>6.6</v>
      </c>
      <c r="M690" s="53" t="s">
        <v>1555</v>
      </c>
      <c r="N690" s="53">
        <v>8.1</v>
      </c>
      <c r="O690" s="51" t="str">
        <f>TEXT(tblWorkPackages[[#This Row],[Request date serial]]-WEEKDAY(tblWorkPackages[[#This Row],[Request date serial]],3),"yyyy-mm-dd")</f>
        <v>2025-12-22</v>
      </c>
      <c r="P690" s="51">
        <f>ABS(tblWorkPackages[[#This Row],[Actual labor hours]]-tblWorkPackages[[#This Row],[Estimated labor hours]])</f>
        <v>1.5</v>
      </c>
      <c r="Q690" s="51">
        <f>IF(tblWorkPackages[[#This Row],[Actual labor hours]]&gt;tblWorkPackages[[#This Row],[Estimated labor hours]],1,0)</f>
        <v>1</v>
      </c>
      <c r="R690" s="51">
        <f>tblWorkPackages[[#This Row],[Actual labor hours]]-tblWorkPackages[[#This Row],[Estimated labor hours]]</f>
        <v>1.5</v>
      </c>
      <c r="S690" s="51" t="str">
        <f>IF(tblWorkPackages[[#This Row],[Request date serial]]&lt;ValidationStart,"Train 2024",IF(tblWorkPackages[[#This Row],[Request date serial]]&lt;HoldoutStart,"Validation H1","Holdout H2"))</f>
        <v>Holdout H2</v>
      </c>
      <c r="T690" s="51">
        <f>IF(tblWorkPackages[[#This Row],[Time split]]="Train 2024","",tblWorkPackages[[#This Row],[Estimated labor hours]]+VLOOKUP(tblWorkPackages[[#This Row],[Task type]],'Forecast validation'!$A$14:$E$25,IF(tblWorkPackages[[#This Row],[Time split]]="Validation H1",4,5),FALSE()))</f>
        <v>7.57354838709677</v>
      </c>
      <c r="U690" s="51">
        <f>IF(tblWorkPackages[[#This Row],[Calibrated forecast hours]]="","",ABS(tblWorkPackages[[#This Row],[Actual labor hours]]-tblWorkPackages[[#This Row],[Calibrated forecast hours]]))</f>
        <v>0.526451612903226</v>
      </c>
      <c r="V690" s="51">
        <f>IF(tblWorkPackages[[#This Row],[Time split]]="Train 2024",tblWorkPackages[[#This Row],[Estimated labor hours]],tblWorkPackages[[#This Row],[Calibrated forecast hours]])</f>
        <v>7.57354838709677</v>
      </c>
      <c r="W690" s="64">
        <f>DATEVALUE(tblWorkPackages[[#This Row],[Request date]])</f>
        <v>46016.0</v>
      </c>
      <c r="X690" s="64">
        <f>DATEVALUE(tblWorkPackages[[#This Row],[Due date]])</f>
        <v>46022.0</v>
      </c>
      <c r="Y690" s="64">
        <f>DATEVALUE(tblWorkPackages[[#This Row],[Completion date]])</f>
        <v>46035.0</v>
      </c>
      <c r="Z690" s="64">
        <f>_xlfn.MINIFS(tblLaborEntries[Work date serial],tblLaborEntries[Work package ID],tblWorkPackages[[#This Row],[Work package ID]])</f>
        <v>46035.0</v>
      </c>
      <c r="AA690" s="64">
        <f>_xlfn.MAXIFS(tblLaborEntries[Work date serial],tblLaborEntries[Work package ID],tblWorkPackages[[#This Row],[Work package ID]])</f>
        <v>46035.0</v>
      </c>
      <c r="AB690" s="65">
        <f>IF(tblWorkPackages[[#This Row],[Completion date serial]]&gt;tblWorkPackages[[#This Row],[Due date serial]],1,0)</f>
        <v>1</v>
      </c>
      <c r="AC690" s="65">
        <f>MAX(0,tblWorkPackages[[#This Row],[Completion date serial]]-tblWorkPackages[[#This Row],[Due date serial]])</f>
        <v>13</v>
      </c>
      <c r="AD690" s="65">
        <f>tblWorkPackages[[#This Row],[First labor date]]-tblWorkPackages[[#This Row],[Request date serial]]</f>
        <v>19</v>
      </c>
      <c r="AE690" s="65">
        <f>tblWorkPackages[[#This Row],[Last labor date]]-tblWorkPackages[[#This Row],[First labor date]]</f>
        <v>0</v>
      </c>
      <c r="AF690" s="65">
        <f>tblWorkPackages[[#This Row],[Completion date serial]]-tblWorkPackages[[#This Row],[Last labor date]]</f>
        <v>0</v>
      </c>
      <c r="AG690" s="65">
        <f>tblWorkPackages[[#This Row],[Completion date serial]]-tblWorkPackages[[#This Row],[Request date serial]]</f>
        <v>19</v>
      </c>
      <c r="AH690" s="65">
        <f>IFERROR(INDEX(tblParts[Delay days],MATCH(tblWorkPackages[[#This Row],[Work package ID]],tblParts[Work package ID],0)),0)</f>
        <v>0</v>
      </c>
      <c r="AI690" s="51" t="str">
        <f>IFERROR(INDEX(tblDisruptions[Event type],MATCH(tblWorkPackages[[#This Row],[Work package ID]],tblDisruptions[Work package ID],0)),"None")</f>
        <v>None</v>
      </c>
      <c r="AJ690" s="51" t="str">
        <f>TEXT(tblWorkPackages[[#This Row],[Due date serial]],"yyyy-mm")</f>
        <v>2025-12</v>
      </c>
    </row>
    <row r="691" spans="1:36" ht="15" x14ac:dyDescent="0.25">
      <c r="A691" s="53" t="s">
        <v>1556</v>
      </c>
      <c r="B691" s="53" t="s">
        <v>133</v>
      </c>
      <c r="C691" s="53" t="s">
        <v>1293</v>
      </c>
      <c r="D691" s="53" t="s">
        <v>264</v>
      </c>
      <c r="E691" s="53" t="s">
        <v>160</v>
      </c>
      <c r="F691" s="53" t="s">
        <v>128</v>
      </c>
      <c r="G691" s="53" t="s">
        <v>138</v>
      </c>
      <c r="H691" s="53">
        <v>4</v>
      </c>
      <c r="I691" s="53" t="s">
        <v>130</v>
      </c>
      <c r="J691" s="53">
        <v>0</v>
      </c>
      <c r="K691" s="53">
        <v>0</v>
      </c>
      <c r="L691" s="53">
        <v>7.6</v>
      </c>
      <c r="M691" s="53" t="s">
        <v>1442</v>
      </c>
      <c r="N691" s="53">
        <v>6.7</v>
      </c>
      <c r="O691" s="51" t="str">
        <f>TEXT(tblWorkPackages[[#This Row],[Request date serial]]-WEEKDAY(tblWorkPackages[[#This Row],[Request date serial]],3),"yyyy-mm-dd")</f>
        <v>2024-08-05</v>
      </c>
      <c r="P691" s="51">
        <f>ABS(tblWorkPackages[[#This Row],[Actual labor hours]]-tblWorkPackages[[#This Row],[Estimated labor hours]])</f>
        <v>0.9</v>
      </c>
      <c r="Q691" s="51">
        <f>IF(tblWorkPackages[[#This Row],[Actual labor hours]]&gt;tblWorkPackages[[#This Row],[Estimated labor hours]],1,0)</f>
        <v>0</v>
      </c>
      <c r="R691" s="51">
        <f>tblWorkPackages[[#This Row],[Actual labor hours]]-tblWorkPackages[[#This Row],[Estimated labor hours]]</f>
        <v>-0.9</v>
      </c>
      <c r="S691" s="51" t="str">
        <f>IF(tblWorkPackages[[#This Row],[Request date serial]]&lt;ValidationStart,"Train 2024",IF(tblWorkPackages[[#This Row],[Request date serial]]&lt;HoldoutStart,"Validation H1","Holdout H2"))</f>
        <v>Train 2024</v>
      </c>
      <c r="T691" s="51" t="str">
        <f>IF(tblWorkPackages[[#This Row],[Time split]]="Train 2024","",tblWorkPackages[[#This Row],[Estimated labor hours]]+VLOOKUP(tblWorkPackages[[#This Row],[Task type]],'Forecast validation'!$A$14:$E$25,IF(tblWorkPackages[[#This Row],[Time split]]="Validation H1",4,5),FALSE()))</f>
        <v/>
      </c>
      <c r="U691" s="51" t="str">
        <f>IF(tblWorkPackages[[#This Row],[Calibrated forecast hours]]="","",ABS(tblWorkPackages[[#This Row],[Actual labor hours]]-tblWorkPackages[[#This Row],[Calibrated forecast hours]]))</f>
        <v/>
      </c>
      <c r="V691" s="51">
        <f>IF(tblWorkPackages[[#This Row],[Time split]]="Train 2024",tblWorkPackages[[#This Row],[Estimated labor hours]],tblWorkPackages[[#This Row],[Calibrated forecast hours]])</f>
        <v>7.6</v>
      </c>
      <c r="W691" s="64">
        <f>DATEVALUE(tblWorkPackages[[#This Row],[Request date]])</f>
        <v>45515.0</v>
      </c>
      <c r="X691" s="64">
        <f>DATEVALUE(tblWorkPackages[[#This Row],[Due date]])</f>
        <v>45528.0</v>
      </c>
      <c r="Y691" s="64">
        <f>DATEVALUE(tblWorkPackages[[#This Row],[Completion date]])</f>
        <v>45520.0</v>
      </c>
      <c r="Z691" s="64">
        <f>_xlfn.MINIFS(tblLaborEntries[Work date serial],tblLaborEntries[Work package ID],tblWorkPackages[[#This Row],[Work package ID]])</f>
        <v>45519.0</v>
      </c>
      <c r="AA691" s="64">
        <f>_xlfn.MAXIFS(tblLaborEntries[Work date serial],tblLaborEntries[Work package ID],tblWorkPackages[[#This Row],[Work package ID]])</f>
        <v>45519.0</v>
      </c>
      <c r="AB691" s="65">
        <f>IF(tblWorkPackages[[#This Row],[Completion date serial]]&gt;tblWorkPackages[[#This Row],[Due date serial]],1,0)</f>
        <v>0</v>
      </c>
      <c r="AC691" s="65">
        <f>MAX(0,tblWorkPackages[[#This Row],[Completion date serial]]-tblWorkPackages[[#This Row],[Due date serial]])</f>
        <v>0</v>
      </c>
      <c r="AD691" s="65">
        <f>tblWorkPackages[[#This Row],[First labor date]]-tblWorkPackages[[#This Row],[Request date serial]]</f>
        <v>4</v>
      </c>
      <c r="AE691" s="65">
        <f>tblWorkPackages[[#This Row],[Last labor date]]-tblWorkPackages[[#This Row],[First labor date]]</f>
        <v>0</v>
      </c>
      <c r="AF691" s="65">
        <f>tblWorkPackages[[#This Row],[Completion date serial]]-tblWorkPackages[[#This Row],[Last labor date]]</f>
        <v>1</v>
      </c>
      <c r="AG691" s="65">
        <f>tblWorkPackages[[#This Row],[Completion date serial]]-tblWorkPackages[[#This Row],[Request date serial]]</f>
        <v>5</v>
      </c>
      <c r="AH691" s="65">
        <f>IFERROR(INDEX(tblParts[Delay days],MATCH(tblWorkPackages[[#This Row],[Work package ID]],tblParts[Work package ID],0)),0)</f>
        <v>0</v>
      </c>
      <c r="AI691" s="51" t="str">
        <f>IFERROR(INDEX(tblDisruptions[Event type],MATCH(tblWorkPackages[[#This Row],[Work package ID]],tblDisruptions[Work package ID],0)),"None")</f>
        <v>None</v>
      </c>
      <c r="AJ691" s="51" t="str">
        <f>TEXT(tblWorkPackages[[#This Row],[Due date serial]],"yyyy-mm")</f>
        <v>2024-08</v>
      </c>
    </row>
    <row r="692" spans="1:36" ht="15" x14ac:dyDescent="0.25">
      <c r="A692" s="53" t="s">
        <v>1557</v>
      </c>
      <c r="B692" s="53" t="s">
        <v>250</v>
      </c>
      <c r="C692" s="53" t="s">
        <v>281</v>
      </c>
      <c r="D692" s="53" t="s">
        <v>964</v>
      </c>
      <c r="E692" s="53" t="s">
        <v>200</v>
      </c>
      <c r="F692" s="53" t="s">
        <v>128</v>
      </c>
      <c r="G692" s="53" t="s">
        <v>129</v>
      </c>
      <c r="H692" s="53">
        <v>2</v>
      </c>
      <c r="I692" s="53" t="s">
        <v>130</v>
      </c>
      <c r="J692" s="53">
        <v>0</v>
      </c>
      <c r="K692" s="53">
        <v>0</v>
      </c>
      <c r="L692" s="53">
        <v>3</v>
      </c>
      <c r="M692" s="53" t="s">
        <v>1344</v>
      </c>
      <c r="N692" s="53">
        <v>3.2</v>
      </c>
      <c r="O692" s="51" t="str">
        <f>TEXT(tblWorkPackages[[#This Row],[Request date serial]]-WEEKDAY(tblWorkPackages[[#This Row],[Request date serial]],3),"yyyy-mm-dd")</f>
        <v>2025-01-27</v>
      </c>
      <c r="P692" s="51">
        <f>ABS(tblWorkPackages[[#This Row],[Actual labor hours]]-tblWorkPackages[[#This Row],[Estimated labor hours]])</f>
        <v>0.2</v>
      </c>
      <c r="Q692" s="51">
        <f>IF(tblWorkPackages[[#This Row],[Actual labor hours]]&gt;tblWorkPackages[[#This Row],[Estimated labor hours]],1,0)</f>
        <v>1</v>
      </c>
      <c r="R692" s="51">
        <f>tblWorkPackages[[#This Row],[Actual labor hours]]-tblWorkPackages[[#This Row],[Estimated labor hours]]</f>
        <v>0.2</v>
      </c>
      <c r="S692" s="51" t="str">
        <f>IF(tblWorkPackages[[#This Row],[Request date serial]]&lt;ValidationStart,"Train 2024",IF(tblWorkPackages[[#This Row],[Request date serial]]&lt;HoldoutStart,"Validation H1","Holdout H2"))</f>
        <v>Validation H1</v>
      </c>
      <c r="T692" s="51">
        <f>IF(tblWorkPackages[[#This Row],[Time split]]="Train 2024","",tblWorkPackages[[#This Row],[Estimated labor hours]]+VLOOKUP(tblWorkPackages[[#This Row],[Task type]],'Forecast validation'!$A$14:$E$25,IF(tblWorkPackages[[#This Row],[Time split]]="Validation H1",4,5),FALSE()))</f>
        <v>3.33069306930693</v>
      </c>
      <c r="U692" s="51">
        <f>IF(tblWorkPackages[[#This Row],[Calibrated forecast hours]]="","",ABS(tblWorkPackages[[#This Row],[Actual labor hours]]-tblWorkPackages[[#This Row],[Calibrated forecast hours]]))</f>
        <v>0.13069306930693</v>
      </c>
      <c r="V692" s="51">
        <f>IF(tblWorkPackages[[#This Row],[Time split]]="Train 2024",tblWorkPackages[[#This Row],[Estimated labor hours]],tblWorkPackages[[#This Row],[Calibrated forecast hours]])</f>
        <v>3.33069306930693</v>
      </c>
      <c r="W692" s="64">
        <f>DATEVALUE(tblWorkPackages[[#This Row],[Request date]])</f>
        <v>45684.0</v>
      </c>
      <c r="X692" s="64">
        <f>DATEVALUE(tblWorkPackages[[#This Row],[Due date]])</f>
        <v>45697.0</v>
      </c>
      <c r="Y692" s="64">
        <f>DATEVALUE(tblWorkPackages[[#This Row],[Completion date]])</f>
        <v>45688.0</v>
      </c>
      <c r="Z692" s="64">
        <f>_xlfn.MINIFS(tblLaborEntries[Work date serial],tblLaborEntries[Work package ID],tblWorkPackages[[#This Row],[Work package ID]])</f>
        <v>45685.0</v>
      </c>
      <c r="AA692" s="64">
        <f>_xlfn.MAXIFS(tblLaborEntries[Work date serial],tblLaborEntries[Work package ID],tblWorkPackages[[#This Row],[Work package ID]])</f>
        <v>45686.0</v>
      </c>
      <c r="AB692" s="65">
        <f>IF(tblWorkPackages[[#This Row],[Completion date serial]]&gt;tblWorkPackages[[#This Row],[Due date serial]],1,0)</f>
        <v>0</v>
      </c>
      <c r="AC692" s="65">
        <f>MAX(0,tblWorkPackages[[#This Row],[Completion date serial]]-tblWorkPackages[[#This Row],[Due date serial]])</f>
        <v>0</v>
      </c>
      <c r="AD692" s="65">
        <f>tblWorkPackages[[#This Row],[First labor date]]-tblWorkPackages[[#This Row],[Request date serial]]</f>
        <v>1</v>
      </c>
      <c r="AE692" s="65">
        <f>tblWorkPackages[[#This Row],[Last labor date]]-tblWorkPackages[[#This Row],[First labor date]]</f>
        <v>1</v>
      </c>
      <c r="AF692" s="65">
        <f>tblWorkPackages[[#This Row],[Completion date serial]]-tblWorkPackages[[#This Row],[Last labor date]]</f>
        <v>2</v>
      </c>
      <c r="AG692" s="65">
        <f>tblWorkPackages[[#This Row],[Completion date serial]]-tblWorkPackages[[#This Row],[Request date serial]]</f>
        <v>4</v>
      </c>
      <c r="AH692" s="65">
        <f>IFERROR(INDEX(tblParts[Delay days],MATCH(tblWorkPackages[[#This Row],[Work package ID]],tblParts[Work package ID],0)),0)</f>
        <v>0</v>
      </c>
      <c r="AI692" s="51" t="str">
        <f>IFERROR(INDEX(tblDisruptions[Event type],MATCH(tblWorkPackages[[#This Row],[Work package ID]],tblDisruptions[Work package ID],0)),"None")</f>
        <v>None</v>
      </c>
      <c r="AJ692" s="51" t="str">
        <f>TEXT(tblWorkPackages[[#This Row],[Due date serial]],"yyyy-mm")</f>
        <v>2025-02</v>
      </c>
    </row>
    <row r="693" spans="1:36" ht="15" x14ac:dyDescent="0.25">
      <c r="A693" s="53" t="s">
        <v>1558</v>
      </c>
      <c r="B693" s="53" t="s">
        <v>168</v>
      </c>
      <c r="C693" s="53" t="s">
        <v>639</v>
      </c>
      <c r="D693" s="53" t="s">
        <v>710</v>
      </c>
      <c r="E693" s="53" t="s">
        <v>144</v>
      </c>
      <c r="F693" s="53" t="s">
        <v>145</v>
      </c>
      <c r="G693" s="53" t="s">
        <v>146</v>
      </c>
      <c r="H693" s="53">
        <v>4</v>
      </c>
      <c r="I693" s="53" t="s">
        <v>176</v>
      </c>
      <c r="J693" s="53">
        <v>0</v>
      </c>
      <c r="K693" s="53">
        <v>1</v>
      </c>
      <c r="L693" s="53">
        <v>20.9</v>
      </c>
      <c r="M693" s="53" t="s">
        <v>673</v>
      </c>
      <c r="N693" s="53">
        <v>16.399999999999999</v>
      </c>
      <c r="O693" s="51" t="str">
        <f>TEXT(tblWorkPackages[[#This Row],[Request date serial]]-WEEKDAY(tblWorkPackages[[#This Row],[Request date serial]],3),"yyyy-mm-dd")</f>
        <v>2025-06-02</v>
      </c>
      <c r="P693" s="51">
        <f>ABS(tblWorkPackages[[#This Row],[Actual labor hours]]-tblWorkPackages[[#This Row],[Estimated labor hours]])</f>
        <v>4.5</v>
      </c>
      <c r="Q693" s="51">
        <f>IF(tblWorkPackages[[#This Row],[Actual labor hours]]&gt;tblWorkPackages[[#This Row],[Estimated labor hours]],1,0)</f>
        <v>0</v>
      </c>
      <c r="R693" s="51">
        <f>tblWorkPackages[[#This Row],[Actual labor hours]]-tblWorkPackages[[#This Row],[Estimated labor hours]]</f>
        <v>-4.5</v>
      </c>
      <c r="S693" s="51" t="str">
        <f>IF(tblWorkPackages[[#This Row],[Request date serial]]&lt;ValidationStart,"Train 2024",IF(tblWorkPackages[[#This Row],[Request date serial]]&lt;HoldoutStart,"Validation H1","Holdout H2"))</f>
        <v>Validation H1</v>
      </c>
      <c r="T693" s="51">
        <f>IF(tblWorkPackages[[#This Row],[Time split]]="Train 2024","",tblWorkPackages[[#This Row],[Estimated labor hours]]+VLOOKUP(tblWorkPackages[[#This Row],[Task type]],'Forecast validation'!$A$14:$E$25,IF(tblWorkPackages[[#This Row],[Time split]]="Validation H1",4,5),FALSE()))</f>
        <v>21.6547368421053</v>
      </c>
      <c r="U693" s="51">
        <f>IF(tblWorkPackages[[#This Row],[Calibrated forecast hours]]="","",ABS(tblWorkPackages[[#This Row],[Actual labor hours]]-tblWorkPackages[[#This Row],[Calibrated forecast hours]]))</f>
        <v>5.25473684210526</v>
      </c>
      <c r="V693" s="51">
        <f>IF(tblWorkPackages[[#This Row],[Time split]]="Train 2024",tblWorkPackages[[#This Row],[Estimated labor hours]],tblWorkPackages[[#This Row],[Calibrated forecast hours]])</f>
        <v>21.6547368421053</v>
      </c>
      <c r="W693" s="64">
        <f>DATEVALUE(tblWorkPackages[[#This Row],[Request date]])</f>
        <v>45815.0</v>
      </c>
      <c r="X693" s="64">
        <f>DATEVALUE(tblWorkPackages[[#This Row],[Due date]])</f>
        <v>45821.0</v>
      </c>
      <c r="Y693" s="64">
        <f>DATEVALUE(tblWorkPackages[[#This Row],[Completion date]])</f>
        <v>45830.0</v>
      </c>
      <c r="Z693" s="64">
        <f>_xlfn.MINIFS(tblLaborEntries[Work date serial],tblLaborEntries[Work package ID],tblWorkPackages[[#This Row],[Work package ID]])</f>
        <v>45826.0</v>
      </c>
      <c r="AA693" s="64">
        <f>_xlfn.MAXIFS(tblLaborEntries[Work date serial],tblLaborEntries[Work package ID],tblWorkPackages[[#This Row],[Work package ID]])</f>
        <v>45827.0</v>
      </c>
      <c r="AB693" s="65">
        <f>IF(tblWorkPackages[[#This Row],[Completion date serial]]&gt;tblWorkPackages[[#This Row],[Due date serial]],1,0)</f>
        <v>1</v>
      </c>
      <c r="AC693" s="65">
        <f>MAX(0,tblWorkPackages[[#This Row],[Completion date serial]]-tblWorkPackages[[#This Row],[Due date serial]])</f>
        <v>9</v>
      </c>
      <c r="AD693" s="65">
        <f>tblWorkPackages[[#This Row],[First labor date]]-tblWorkPackages[[#This Row],[Request date serial]]</f>
        <v>11</v>
      </c>
      <c r="AE693" s="65">
        <f>tblWorkPackages[[#This Row],[Last labor date]]-tblWorkPackages[[#This Row],[First labor date]]</f>
        <v>1</v>
      </c>
      <c r="AF693" s="65">
        <f>tblWorkPackages[[#This Row],[Completion date serial]]-tblWorkPackages[[#This Row],[Last labor date]]</f>
        <v>3</v>
      </c>
      <c r="AG693" s="65">
        <f>tblWorkPackages[[#This Row],[Completion date serial]]-tblWorkPackages[[#This Row],[Request date serial]]</f>
        <v>15</v>
      </c>
      <c r="AH693" s="65">
        <f>IFERROR(INDEX(tblParts[Delay days],MATCH(tblWorkPackages[[#This Row],[Work package ID]],tblParts[Work package ID],0)),0)</f>
        <v>0</v>
      </c>
      <c r="AI693" s="51" t="str">
        <f>IFERROR(INDEX(tblDisruptions[Event type],MATCH(tblWorkPackages[[#This Row],[Work package ID]],tblDisruptions[Work package ID],0)),"None")</f>
        <v>None</v>
      </c>
      <c r="AJ693" s="51" t="str">
        <f>TEXT(tblWorkPackages[[#This Row],[Due date serial]],"yyyy-mm")</f>
        <v>2025-06</v>
      </c>
    </row>
    <row r="694" spans="1:36" ht="15" x14ac:dyDescent="0.25">
      <c r="A694" s="53" t="s">
        <v>1559</v>
      </c>
      <c r="B694" s="53" t="s">
        <v>235</v>
      </c>
      <c r="C694" s="53" t="s">
        <v>1560</v>
      </c>
      <c r="D694" s="53" t="s">
        <v>741</v>
      </c>
      <c r="E694" s="53" t="s">
        <v>181</v>
      </c>
      <c r="F694" s="53" t="s">
        <v>182</v>
      </c>
      <c r="G694" s="53" t="s">
        <v>138</v>
      </c>
      <c r="H694" s="53">
        <v>3</v>
      </c>
      <c r="I694" s="53" t="s">
        <v>130</v>
      </c>
      <c r="J694" s="53">
        <v>0</v>
      </c>
      <c r="K694" s="53">
        <v>0</v>
      </c>
      <c r="L694" s="53">
        <v>11.3</v>
      </c>
      <c r="M694" s="53" t="s">
        <v>180</v>
      </c>
      <c r="N694" s="53">
        <v>9.1</v>
      </c>
      <c r="O694" s="51" t="str">
        <f>TEXT(tblWorkPackages[[#This Row],[Request date serial]]-WEEKDAY(tblWorkPackages[[#This Row],[Request date serial]],3),"yyyy-mm-dd")</f>
        <v>2025-05-19</v>
      </c>
      <c r="P694" s="51">
        <f>ABS(tblWorkPackages[[#This Row],[Actual labor hours]]-tblWorkPackages[[#This Row],[Estimated labor hours]])</f>
        <v>2.2</v>
      </c>
      <c r="Q694" s="51">
        <f>IF(tblWorkPackages[[#This Row],[Actual labor hours]]&gt;tblWorkPackages[[#This Row],[Estimated labor hours]],1,0)</f>
        <v>0</v>
      </c>
      <c r="R694" s="51">
        <f>tblWorkPackages[[#This Row],[Actual labor hours]]-tblWorkPackages[[#This Row],[Estimated labor hours]]</f>
        <v>-2.2</v>
      </c>
      <c r="S694" s="51" t="str">
        <f>IF(tblWorkPackages[[#This Row],[Request date serial]]&lt;ValidationStart,"Train 2024",IF(tblWorkPackages[[#This Row],[Request date serial]]&lt;HoldoutStart,"Validation H1","Holdout H2"))</f>
        <v>Validation H1</v>
      </c>
      <c r="T694" s="51">
        <f>IF(tblWorkPackages[[#This Row],[Time split]]="Train 2024","",tblWorkPackages[[#This Row],[Estimated labor hours]]+VLOOKUP(tblWorkPackages[[#This Row],[Task type]],'Forecast validation'!$A$14:$E$25,IF(tblWorkPackages[[#This Row],[Time split]]="Validation H1",4,5),FALSE()))</f>
        <v>11.8840909090909</v>
      </c>
      <c r="U694" s="51">
        <f>IF(tblWorkPackages[[#This Row],[Calibrated forecast hours]]="","",ABS(tblWorkPackages[[#This Row],[Actual labor hours]]-tblWorkPackages[[#This Row],[Calibrated forecast hours]]))</f>
        <v>2.78409090909091</v>
      </c>
      <c r="V694" s="51">
        <f>IF(tblWorkPackages[[#This Row],[Time split]]="Train 2024",tblWorkPackages[[#This Row],[Estimated labor hours]],tblWorkPackages[[#This Row],[Calibrated forecast hours]])</f>
        <v>11.8840909090909</v>
      </c>
      <c r="W694" s="64">
        <f>DATEVALUE(tblWorkPackages[[#This Row],[Request date]])</f>
        <v>45801.0</v>
      </c>
      <c r="X694" s="64">
        <f>DATEVALUE(tblWorkPackages[[#This Row],[Due date]])</f>
        <v>45814.0</v>
      </c>
      <c r="Y694" s="64">
        <f>DATEVALUE(tblWorkPackages[[#This Row],[Completion date]])</f>
        <v>45805.0</v>
      </c>
      <c r="Z694" s="64">
        <f>_xlfn.MINIFS(tblLaborEntries[Work date serial],tblLaborEntries[Work package ID],tblWorkPackages[[#This Row],[Work package ID]])</f>
        <v>45804.0</v>
      </c>
      <c r="AA694" s="64">
        <f>_xlfn.MAXIFS(tblLaborEntries[Work date serial],tblLaborEntries[Work package ID],tblWorkPackages[[#This Row],[Work package ID]])</f>
        <v>45805.0</v>
      </c>
      <c r="AB694" s="65">
        <f>IF(tblWorkPackages[[#This Row],[Completion date serial]]&gt;tblWorkPackages[[#This Row],[Due date serial]],1,0)</f>
        <v>0</v>
      </c>
      <c r="AC694" s="65">
        <f>MAX(0,tblWorkPackages[[#This Row],[Completion date serial]]-tblWorkPackages[[#This Row],[Due date serial]])</f>
        <v>0</v>
      </c>
      <c r="AD694" s="65">
        <f>tblWorkPackages[[#This Row],[First labor date]]-tblWorkPackages[[#This Row],[Request date serial]]</f>
        <v>3</v>
      </c>
      <c r="AE694" s="65">
        <f>tblWorkPackages[[#This Row],[Last labor date]]-tblWorkPackages[[#This Row],[First labor date]]</f>
        <v>1</v>
      </c>
      <c r="AF694" s="65">
        <f>tblWorkPackages[[#This Row],[Completion date serial]]-tblWorkPackages[[#This Row],[Last labor date]]</f>
        <v>0</v>
      </c>
      <c r="AG694" s="65">
        <f>tblWorkPackages[[#This Row],[Completion date serial]]-tblWorkPackages[[#This Row],[Request date serial]]</f>
        <v>4</v>
      </c>
      <c r="AH694" s="65">
        <f>IFERROR(INDEX(tblParts[Delay days],MATCH(tblWorkPackages[[#This Row],[Work package ID]],tblParts[Work package ID],0)),0)</f>
        <v>0</v>
      </c>
      <c r="AI694" s="51" t="str">
        <f>IFERROR(INDEX(tblDisruptions[Event type],MATCH(tblWorkPackages[[#This Row],[Work package ID]],tblDisruptions[Work package ID],0)),"None")</f>
        <v>None</v>
      </c>
      <c r="AJ694" s="51" t="str">
        <f>TEXT(tblWorkPackages[[#This Row],[Due date serial]],"yyyy-mm")</f>
        <v>2025-06</v>
      </c>
    </row>
    <row r="695" spans="1:36" ht="15" x14ac:dyDescent="0.25">
      <c r="A695" s="53" t="s">
        <v>1561</v>
      </c>
      <c r="B695" s="53" t="s">
        <v>157</v>
      </c>
      <c r="C695" s="53" t="s">
        <v>148</v>
      </c>
      <c r="D695" s="53" t="s">
        <v>328</v>
      </c>
      <c r="E695" s="53" t="s">
        <v>136</v>
      </c>
      <c r="F695" s="53" t="s">
        <v>137</v>
      </c>
      <c r="G695" s="53" t="s">
        <v>138</v>
      </c>
      <c r="H695" s="53">
        <v>4</v>
      </c>
      <c r="I695" s="53" t="s">
        <v>130</v>
      </c>
      <c r="J695" s="53">
        <v>0</v>
      </c>
      <c r="K695" s="53">
        <v>1</v>
      </c>
      <c r="L695" s="53">
        <v>25.8</v>
      </c>
      <c r="M695" s="53" t="s">
        <v>436</v>
      </c>
      <c r="N695" s="53">
        <v>30.5</v>
      </c>
      <c r="O695" s="51" t="str">
        <f>TEXT(tblWorkPackages[[#This Row],[Request date serial]]-WEEKDAY(tblWorkPackages[[#This Row],[Request date serial]],3),"yyyy-mm-dd")</f>
        <v>2024-02-26</v>
      </c>
      <c r="P695" s="51">
        <f>ABS(tblWorkPackages[[#This Row],[Actual labor hours]]-tblWorkPackages[[#This Row],[Estimated labor hours]])</f>
        <v>4.7</v>
      </c>
      <c r="Q695" s="51">
        <f>IF(tblWorkPackages[[#This Row],[Actual labor hours]]&gt;tblWorkPackages[[#This Row],[Estimated labor hours]],1,0)</f>
        <v>1</v>
      </c>
      <c r="R695" s="51">
        <f>tblWorkPackages[[#This Row],[Actual labor hours]]-tblWorkPackages[[#This Row],[Estimated labor hours]]</f>
        <v>4.7</v>
      </c>
      <c r="S695" s="51" t="str">
        <f>IF(tblWorkPackages[[#This Row],[Request date serial]]&lt;ValidationStart,"Train 2024",IF(tblWorkPackages[[#This Row],[Request date serial]]&lt;HoldoutStart,"Validation H1","Holdout H2"))</f>
        <v>Train 2024</v>
      </c>
      <c r="T695" s="51" t="str">
        <f>IF(tblWorkPackages[[#This Row],[Time split]]="Train 2024","",tblWorkPackages[[#This Row],[Estimated labor hours]]+VLOOKUP(tblWorkPackages[[#This Row],[Task type]],'Forecast validation'!$A$14:$E$25,IF(tblWorkPackages[[#This Row],[Time split]]="Validation H1",4,5),FALSE()))</f>
        <v/>
      </c>
      <c r="U695" s="51" t="str">
        <f>IF(tblWorkPackages[[#This Row],[Calibrated forecast hours]]="","",ABS(tblWorkPackages[[#This Row],[Actual labor hours]]-tblWorkPackages[[#This Row],[Calibrated forecast hours]]))</f>
        <v/>
      </c>
      <c r="V695" s="51">
        <f>IF(tblWorkPackages[[#This Row],[Time split]]="Train 2024",tblWorkPackages[[#This Row],[Estimated labor hours]],tblWorkPackages[[#This Row],[Calibrated forecast hours]])</f>
        <v>25.8</v>
      </c>
      <c r="W695" s="64">
        <f>DATEVALUE(tblWorkPackages[[#This Row],[Request date]])</f>
        <v>45348.0</v>
      </c>
      <c r="X695" s="64">
        <f>DATEVALUE(tblWorkPackages[[#This Row],[Due date]])</f>
        <v>45361.0</v>
      </c>
      <c r="Y695" s="64">
        <f>DATEVALUE(tblWorkPackages[[#This Row],[Completion date]])</f>
        <v>45383.0</v>
      </c>
      <c r="Z695" s="64">
        <f>_xlfn.MINIFS(tblLaborEntries[Work date serial],tblLaborEntries[Work package ID],tblWorkPackages[[#This Row],[Work package ID]])</f>
        <v>45380.0</v>
      </c>
      <c r="AA695" s="64">
        <f>_xlfn.MAXIFS(tblLaborEntries[Work date serial],tblLaborEntries[Work package ID],tblWorkPackages[[#This Row],[Work package ID]])</f>
        <v>45382.0</v>
      </c>
      <c r="AB695" s="65">
        <f>IF(tblWorkPackages[[#This Row],[Completion date serial]]&gt;tblWorkPackages[[#This Row],[Due date serial]],1,0)</f>
        <v>1</v>
      </c>
      <c r="AC695" s="65">
        <f>MAX(0,tblWorkPackages[[#This Row],[Completion date serial]]-tblWorkPackages[[#This Row],[Due date serial]])</f>
        <v>22</v>
      </c>
      <c r="AD695" s="65">
        <f>tblWorkPackages[[#This Row],[First labor date]]-tblWorkPackages[[#This Row],[Request date serial]]</f>
        <v>32</v>
      </c>
      <c r="AE695" s="65">
        <f>tblWorkPackages[[#This Row],[Last labor date]]-tblWorkPackages[[#This Row],[First labor date]]</f>
        <v>2</v>
      </c>
      <c r="AF695" s="65">
        <f>tblWorkPackages[[#This Row],[Completion date serial]]-tblWorkPackages[[#This Row],[Last labor date]]</f>
        <v>1</v>
      </c>
      <c r="AG695" s="65">
        <f>tblWorkPackages[[#This Row],[Completion date serial]]-tblWorkPackages[[#This Row],[Request date serial]]</f>
        <v>35</v>
      </c>
      <c r="AH695" s="65">
        <f>IFERROR(INDEX(tblParts[Delay days],MATCH(tblWorkPackages[[#This Row],[Work package ID]],tblParts[Work package ID],0)),0)</f>
        <v>0</v>
      </c>
      <c r="AI695" s="51" t="str">
        <f>IFERROR(INDEX(tblDisruptions[Event type],MATCH(tblWorkPackages[[#This Row],[Work package ID]],tblDisruptions[Work package ID],0)),"None")</f>
        <v>None</v>
      </c>
      <c r="AJ695" s="51" t="str">
        <f>TEXT(tblWorkPackages[[#This Row],[Due date serial]],"yyyy-mm")</f>
        <v>2024-03</v>
      </c>
    </row>
    <row r="696" spans="1:36" ht="15" x14ac:dyDescent="0.25">
      <c r="A696" s="53" t="s">
        <v>1562</v>
      </c>
      <c r="B696" s="53" t="s">
        <v>203</v>
      </c>
      <c r="C696" s="53" t="s">
        <v>833</v>
      </c>
      <c r="D696" s="53" t="s">
        <v>498</v>
      </c>
      <c r="E696" s="53" t="s">
        <v>209</v>
      </c>
      <c r="F696" s="53" t="s">
        <v>145</v>
      </c>
      <c r="G696" s="53" t="s">
        <v>210</v>
      </c>
      <c r="H696" s="53">
        <v>1</v>
      </c>
      <c r="I696" s="53" t="s">
        <v>176</v>
      </c>
      <c r="J696" s="53">
        <v>0</v>
      </c>
      <c r="K696" s="53">
        <v>0</v>
      </c>
      <c r="L696" s="53">
        <v>11.4</v>
      </c>
      <c r="M696" s="53" t="s">
        <v>973</v>
      </c>
      <c r="N696" s="53">
        <v>9</v>
      </c>
      <c r="O696" s="51" t="str">
        <f>TEXT(tblWorkPackages[[#This Row],[Request date serial]]-WEEKDAY(tblWorkPackages[[#This Row],[Request date serial]],3),"yyyy-mm-dd")</f>
        <v>2025-11-10</v>
      </c>
      <c r="P696" s="51">
        <f>ABS(tblWorkPackages[[#This Row],[Actual labor hours]]-tblWorkPackages[[#This Row],[Estimated labor hours]])</f>
        <v>2.4</v>
      </c>
      <c r="Q696" s="51">
        <f>IF(tblWorkPackages[[#This Row],[Actual labor hours]]&gt;tblWorkPackages[[#This Row],[Estimated labor hours]],1,0)</f>
        <v>0</v>
      </c>
      <c r="R696" s="51">
        <f>tblWorkPackages[[#This Row],[Actual labor hours]]-tblWorkPackages[[#This Row],[Estimated labor hours]]</f>
        <v>-2.4</v>
      </c>
      <c r="S696" s="51" t="str">
        <f>IF(tblWorkPackages[[#This Row],[Request date serial]]&lt;ValidationStart,"Train 2024",IF(tblWorkPackages[[#This Row],[Request date serial]]&lt;HoldoutStart,"Validation H1","Holdout H2"))</f>
        <v>Holdout H2</v>
      </c>
      <c r="T696" s="51">
        <f>IF(tblWorkPackages[[#This Row],[Time split]]="Train 2024","",tblWorkPackages[[#This Row],[Estimated labor hours]]+VLOOKUP(tblWorkPackages[[#This Row],[Task type]],'Forecast validation'!$A$14:$E$25,IF(tblWorkPackages[[#This Row],[Time split]]="Validation H1",4,5),FALSE()))</f>
        <v>13.195652173913</v>
      </c>
      <c r="U696" s="51">
        <f>IF(tblWorkPackages[[#This Row],[Calibrated forecast hours]]="","",ABS(tblWorkPackages[[#This Row],[Actual labor hours]]-tblWorkPackages[[#This Row],[Calibrated forecast hours]]))</f>
        <v>4.19565217391304</v>
      </c>
      <c r="V696" s="51">
        <f>IF(tblWorkPackages[[#This Row],[Time split]]="Train 2024",tblWorkPackages[[#This Row],[Estimated labor hours]],tblWorkPackages[[#This Row],[Calibrated forecast hours]])</f>
        <v>13.195652173913</v>
      </c>
      <c r="W696" s="64">
        <f>DATEVALUE(tblWorkPackages[[#This Row],[Request date]])</f>
        <v>45976.0</v>
      </c>
      <c r="X696" s="64">
        <f>DATEVALUE(tblWorkPackages[[#This Row],[Due date]])</f>
        <v>45982.0</v>
      </c>
      <c r="Y696" s="64">
        <f>DATEVALUE(tblWorkPackages[[#This Row],[Completion date]])</f>
        <v>45985.0</v>
      </c>
      <c r="Z696" s="64">
        <f>_xlfn.MINIFS(tblLaborEntries[Work date serial],tblLaborEntries[Work package ID],tblWorkPackages[[#This Row],[Work package ID]])</f>
        <v>45982.0</v>
      </c>
      <c r="AA696" s="64">
        <f>_xlfn.MAXIFS(tblLaborEntries[Work date serial],tblLaborEntries[Work package ID],tblWorkPackages[[#This Row],[Work package ID]])</f>
        <v>45983.0</v>
      </c>
      <c r="AB696" s="65">
        <f>IF(tblWorkPackages[[#This Row],[Completion date serial]]&gt;tblWorkPackages[[#This Row],[Due date serial]],1,0)</f>
        <v>1</v>
      </c>
      <c r="AC696" s="65">
        <f>MAX(0,tblWorkPackages[[#This Row],[Completion date serial]]-tblWorkPackages[[#This Row],[Due date serial]])</f>
        <v>3</v>
      </c>
      <c r="AD696" s="65">
        <f>tblWorkPackages[[#This Row],[First labor date]]-tblWorkPackages[[#This Row],[Request date serial]]</f>
        <v>6</v>
      </c>
      <c r="AE696" s="65">
        <f>tblWorkPackages[[#This Row],[Last labor date]]-tblWorkPackages[[#This Row],[First labor date]]</f>
        <v>1</v>
      </c>
      <c r="AF696" s="65">
        <f>tblWorkPackages[[#This Row],[Completion date serial]]-tblWorkPackages[[#This Row],[Last labor date]]</f>
        <v>2</v>
      </c>
      <c r="AG696" s="65">
        <f>tblWorkPackages[[#This Row],[Completion date serial]]-tblWorkPackages[[#This Row],[Request date serial]]</f>
        <v>9</v>
      </c>
      <c r="AH696" s="65">
        <f>IFERROR(INDEX(tblParts[Delay days],MATCH(tblWorkPackages[[#This Row],[Work package ID]],tblParts[Work package ID],0)),0)</f>
        <v>0</v>
      </c>
      <c r="AI696" s="51" t="str">
        <f>IFERROR(INDEX(tblDisruptions[Event type],MATCH(tblWorkPackages[[#This Row],[Work package ID]],tblDisruptions[Work package ID],0)),"None")</f>
        <v>None</v>
      </c>
      <c r="AJ696" s="51" t="str">
        <f>TEXT(tblWorkPackages[[#This Row],[Due date serial]],"yyyy-mm")</f>
        <v>2025-11</v>
      </c>
    </row>
    <row r="697" spans="1:36" ht="15" x14ac:dyDescent="0.25">
      <c r="A697" s="53" t="s">
        <v>1563</v>
      </c>
      <c r="B697" s="53" t="s">
        <v>287</v>
      </c>
      <c r="C697" s="53" t="s">
        <v>1274</v>
      </c>
      <c r="D697" s="53" t="s">
        <v>332</v>
      </c>
      <c r="E697" s="53" t="s">
        <v>237</v>
      </c>
      <c r="F697" s="53" t="s">
        <v>182</v>
      </c>
      <c r="G697" s="53" t="s">
        <v>138</v>
      </c>
      <c r="H697" s="53">
        <v>4</v>
      </c>
      <c r="I697" s="53" t="s">
        <v>130</v>
      </c>
      <c r="J697" s="53">
        <v>0</v>
      </c>
      <c r="K697" s="53">
        <v>0</v>
      </c>
      <c r="L697" s="53">
        <v>8.6999999999999993</v>
      </c>
      <c r="M697" s="53" t="s">
        <v>990</v>
      </c>
      <c r="N697" s="53">
        <v>8.8000000000000007</v>
      </c>
      <c r="O697" s="51" t="str">
        <f>TEXT(tblWorkPackages[[#This Row],[Request date serial]]-WEEKDAY(tblWorkPackages[[#This Row],[Request date serial]],3),"yyyy-mm-dd")</f>
        <v>2025-10-06</v>
      </c>
      <c r="P697" s="51">
        <f>ABS(tblWorkPackages[[#This Row],[Actual labor hours]]-tblWorkPackages[[#This Row],[Estimated labor hours]])</f>
        <v>0.100000000000001</v>
      </c>
      <c r="Q697" s="51">
        <f>IF(tblWorkPackages[[#This Row],[Actual labor hours]]&gt;tblWorkPackages[[#This Row],[Estimated labor hours]],1,0)</f>
        <v>1</v>
      </c>
      <c r="R697" s="51">
        <f>tblWorkPackages[[#This Row],[Actual labor hours]]-tblWorkPackages[[#This Row],[Estimated labor hours]]</f>
        <v>0.100000000000001</v>
      </c>
      <c r="S697" s="51" t="str">
        <f>IF(tblWorkPackages[[#This Row],[Request date serial]]&lt;ValidationStart,"Train 2024",IF(tblWorkPackages[[#This Row],[Request date serial]]&lt;HoldoutStart,"Validation H1","Holdout H2"))</f>
        <v>Holdout H2</v>
      </c>
      <c r="T697" s="51">
        <f>IF(tblWorkPackages[[#This Row],[Time split]]="Train 2024","",tblWorkPackages[[#This Row],[Estimated labor hours]]+VLOOKUP(tblWorkPackages[[#This Row],[Task type]],'Forecast validation'!$A$14:$E$25,IF(tblWorkPackages[[#This Row],[Time split]]="Validation H1",4,5),FALSE()))</f>
        <v>9.153125</v>
      </c>
      <c r="U697" s="51">
        <f>IF(tblWorkPackages[[#This Row],[Calibrated forecast hours]]="","",ABS(tblWorkPackages[[#This Row],[Actual labor hours]]-tblWorkPackages[[#This Row],[Calibrated forecast hours]]))</f>
        <v>0.353124999999999</v>
      </c>
      <c r="V697" s="51">
        <f>IF(tblWorkPackages[[#This Row],[Time split]]="Train 2024",tblWorkPackages[[#This Row],[Estimated labor hours]],tblWorkPackages[[#This Row],[Calibrated forecast hours]])</f>
        <v>9.153125</v>
      </c>
      <c r="W697" s="64">
        <f>DATEVALUE(tblWorkPackages[[#This Row],[Request date]])</f>
        <v>45941.0</v>
      </c>
      <c r="X697" s="64">
        <f>DATEVALUE(tblWorkPackages[[#This Row],[Due date]])</f>
        <v>45954.0</v>
      </c>
      <c r="Y697" s="64">
        <f>DATEVALUE(tblWorkPackages[[#This Row],[Completion date]])</f>
        <v>45947.0</v>
      </c>
      <c r="Z697" s="64">
        <f>_xlfn.MINIFS(tblLaborEntries[Work date serial],tblLaborEntries[Work package ID],tblWorkPackages[[#This Row],[Work package ID]])</f>
        <v>45943.0</v>
      </c>
      <c r="AA697" s="64">
        <f>_xlfn.MAXIFS(tblLaborEntries[Work date serial],tblLaborEntries[Work package ID],tblWorkPackages[[#This Row],[Work package ID]])</f>
        <v>45944.0</v>
      </c>
      <c r="AB697" s="65">
        <f>IF(tblWorkPackages[[#This Row],[Completion date serial]]&gt;tblWorkPackages[[#This Row],[Due date serial]],1,0)</f>
        <v>0</v>
      </c>
      <c r="AC697" s="65">
        <f>MAX(0,tblWorkPackages[[#This Row],[Completion date serial]]-tblWorkPackages[[#This Row],[Due date serial]])</f>
        <v>0</v>
      </c>
      <c r="AD697" s="65">
        <f>tblWorkPackages[[#This Row],[First labor date]]-tblWorkPackages[[#This Row],[Request date serial]]</f>
        <v>2</v>
      </c>
      <c r="AE697" s="65">
        <f>tblWorkPackages[[#This Row],[Last labor date]]-tblWorkPackages[[#This Row],[First labor date]]</f>
        <v>1</v>
      </c>
      <c r="AF697" s="65">
        <f>tblWorkPackages[[#This Row],[Completion date serial]]-tblWorkPackages[[#This Row],[Last labor date]]</f>
        <v>3</v>
      </c>
      <c r="AG697" s="65">
        <f>tblWorkPackages[[#This Row],[Completion date serial]]-tblWorkPackages[[#This Row],[Request date serial]]</f>
        <v>6</v>
      </c>
      <c r="AH697" s="65">
        <f>IFERROR(INDEX(tblParts[Delay days],MATCH(tblWorkPackages[[#This Row],[Work package ID]],tblParts[Work package ID],0)),0)</f>
        <v>0</v>
      </c>
      <c r="AI697" s="51" t="str">
        <f>IFERROR(INDEX(tblDisruptions[Event type],MATCH(tblWorkPackages[[#This Row],[Work package ID]],tblDisruptions[Work package ID],0)),"None")</f>
        <v>None</v>
      </c>
      <c r="AJ697" s="51" t="str">
        <f>TEXT(tblWorkPackages[[#This Row],[Due date serial]],"yyyy-mm")</f>
        <v>2025-10</v>
      </c>
    </row>
    <row r="698" spans="1:36" ht="15" x14ac:dyDescent="0.25">
      <c r="A698" s="53" t="s">
        <v>1564</v>
      </c>
      <c r="B698" s="53" t="s">
        <v>124</v>
      </c>
      <c r="C698" s="53" t="s">
        <v>621</v>
      </c>
      <c r="D698" s="53" t="s">
        <v>1138</v>
      </c>
      <c r="E698" s="53" t="s">
        <v>160</v>
      </c>
      <c r="F698" s="53" t="s">
        <v>128</v>
      </c>
      <c r="G698" s="53" t="s">
        <v>138</v>
      </c>
      <c r="H698" s="53">
        <v>3</v>
      </c>
      <c r="I698" s="53" t="s">
        <v>130</v>
      </c>
      <c r="J698" s="53">
        <v>0</v>
      </c>
      <c r="K698" s="53">
        <v>1</v>
      </c>
      <c r="L698" s="53">
        <v>6.4</v>
      </c>
      <c r="M698" s="53" t="s">
        <v>553</v>
      </c>
      <c r="N698" s="53">
        <v>6.7</v>
      </c>
      <c r="O698" s="51" t="str">
        <f>TEXT(tblWorkPackages[[#This Row],[Request date serial]]-WEEKDAY(tblWorkPackages[[#This Row],[Request date serial]],3),"yyyy-mm-dd")</f>
        <v>2024-07-22</v>
      </c>
      <c r="P698" s="51">
        <f>ABS(tblWorkPackages[[#This Row],[Actual labor hours]]-tblWorkPackages[[#This Row],[Estimated labor hours]])</f>
        <v>0.3</v>
      </c>
      <c r="Q698" s="51">
        <f>IF(tblWorkPackages[[#This Row],[Actual labor hours]]&gt;tblWorkPackages[[#This Row],[Estimated labor hours]],1,0)</f>
        <v>1</v>
      </c>
      <c r="R698" s="51">
        <f>tblWorkPackages[[#This Row],[Actual labor hours]]-tblWorkPackages[[#This Row],[Estimated labor hours]]</f>
        <v>0.3</v>
      </c>
      <c r="S698" s="51" t="str">
        <f>IF(tblWorkPackages[[#This Row],[Request date serial]]&lt;ValidationStart,"Train 2024",IF(tblWorkPackages[[#This Row],[Request date serial]]&lt;HoldoutStart,"Validation H1","Holdout H2"))</f>
        <v>Train 2024</v>
      </c>
      <c r="T698" s="51" t="str">
        <f>IF(tblWorkPackages[[#This Row],[Time split]]="Train 2024","",tblWorkPackages[[#This Row],[Estimated labor hours]]+VLOOKUP(tblWorkPackages[[#This Row],[Task type]],'Forecast validation'!$A$14:$E$25,IF(tblWorkPackages[[#This Row],[Time split]]="Validation H1",4,5),FALSE()))</f>
        <v/>
      </c>
      <c r="U698" s="51" t="str">
        <f>IF(tblWorkPackages[[#This Row],[Calibrated forecast hours]]="","",ABS(tblWorkPackages[[#This Row],[Actual labor hours]]-tblWorkPackages[[#This Row],[Calibrated forecast hours]]))</f>
        <v/>
      </c>
      <c r="V698" s="51">
        <f>IF(tblWorkPackages[[#This Row],[Time split]]="Train 2024",tblWorkPackages[[#This Row],[Estimated labor hours]],tblWorkPackages[[#This Row],[Calibrated forecast hours]])</f>
        <v>6.4</v>
      </c>
      <c r="W698" s="64">
        <f>DATEVALUE(tblWorkPackages[[#This Row],[Request date]])</f>
        <v>45496.0</v>
      </c>
      <c r="X698" s="64">
        <f>DATEVALUE(tblWorkPackages[[#This Row],[Due date]])</f>
        <v>45509.0</v>
      </c>
      <c r="Y698" s="64">
        <f>DATEVALUE(tblWorkPackages[[#This Row],[Completion date]])</f>
        <v>45511.0</v>
      </c>
      <c r="Z698" s="64">
        <f>_xlfn.MINIFS(tblLaborEntries[Work date serial],tblLaborEntries[Work package ID],tblWorkPackages[[#This Row],[Work package ID]])</f>
        <v>45510.0</v>
      </c>
      <c r="AA698" s="64">
        <f>_xlfn.MAXIFS(tblLaborEntries[Work date serial],tblLaborEntries[Work package ID],tblWorkPackages[[#This Row],[Work package ID]])</f>
        <v>45511.0</v>
      </c>
      <c r="AB698" s="65">
        <f>IF(tblWorkPackages[[#This Row],[Completion date serial]]&gt;tblWorkPackages[[#This Row],[Due date serial]],1,0)</f>
        <v>1</v>
      </c>
      <c r="AC698" s="65">
        <f>MAX(0,tblWorkPackages[[#This Row],[Completion date serial]]-tblWorkPackages[[#This Row],[Due date serial]])</f>
        <v>2</v>
      </c>
      <c r="AD698" s="65">
        <f>tblWorkPackages[[#This Row],[First labor date]]-tblWorkPackages[[#This Row],[Request date serial]]</f>
        <v>14</v>
      </c>
      <c r="AE698" s="65">
        <f>tblWorkPackages[[#This Row],[Last labor date]]-tblWorkPackages[[#This Row],[First labor date]]</f>
        <v>1</v>
      </c>
      <c r="AF698" s="65">
        <f>tblWorkPackages[[#This Row],[Completion date serial]]-tblWorkPackages[[#This Row],[Last labor date]]</f>
        <v>0</v>
      </c>
      <c r="AG698" s="65">
        <f>tblWorkPackages[[#This Row],[Completion date serial]]-tblWorkPackages[[#This Row],[Request date serial]]</f>
        <v>15</v>
      </c>
      <c r="AH698" s="65">
        <f>IFERROR(INDEX(tblParts[Delay days],MATCH(tblWorkPackages[[#This Row],[Work package ID]],tblParts[Work package ID],0)),0)</f>
        <v>0</v>
      </c>
      <c r="AI698" s="51" t="str">
        <f>IFERROR(INDEX(tblDisruptions[Event type],MATCH(tblWorkPackages[[#This Row],[Work package ID]],tblDisruptions[Work package ID],0)),"None")</f>
        <v>None</v>
      </c>
      <c r="AJ698" s="51" t="str">
        <f>TEXT(tblWorkPackages[[#This Row],[Due date serial]],"yyyy-mm")</f>
        <v>2024-08</v>
      </c>
    </row>
    <row r="699" spans="1:36" ht="15" x14ac:dyDescent="0.25">
      <c r="A699" s="53" t="s">
        <v>1565</v>
      </c>
      <c r="B699" s="53" t="s">
        <v>163</v>
      </c>
      <c r="C699" s="53" t="s">
        <v>791</v>
      </c>
      <c r="D699" s="53" t="s">
        <v>1130</v>
      </c>
      <c r="E699" s="53" t="s">
        <v>223</v>
      </c>
      <c r="F699" s="53" t="s">
        <v>182</v>
      </c>
      <c r="G699" s="53" t="s">
        <v>154</v>
      </c>
      <c r="H699" s="53">
        <v>1</v>
      </c>
      <c r="I699" s="53" t="s">
        <v>130</v>
      </c>
      <c r="J699" s="53">
        <v>0</v>
      </c>
      <c r="K699" s="53">
        <v>0</v>
      </c>
      <c r="L699" s="53">
        <v>7</v>
      </c>
      <c r="M699" s="53" t="s">
        <v>464</v>
      </c>
      <c r="N699" s="53">
        <v>7.7</v>
      </c>
      <c r="O699" s="51" t="str">
        <f>TEXT(tblWorkPackages[[#This Row],[Request date serial]]-WEEKDAY(tblWorkPackages[[#This Row],[Request date serial]],3),"yyyy-mm-dd")</f>
        <v>2025-09-22</v>
      </c>
      <c r="P699" s="51">
        <f>ABS(tblWorkPackages[[#This Row],[Actual labor hours]]-tblWorkPackages[[#This Row],[Estimated labor hours]])</f>
        <v>0.7</v>
      </c>
      <c r="Q699" s="51">
        <f>IF(tblWorkPackages[[#This Row],[Actual labor hours]]&gt;tblWorkPackages[[#This Row],[Estimated labor hours]],1,0)</f>
        <v>1</v>
      </c>
      <c r="R699" s="51">
        <f>tblWorkPackages[[#This Row],[Actual labor hours]]-tblWorkPackages[[#This Row],[Estimated labor hours]]</f>
        <v>0.7</v>
      </c>
      <c r="S699" s="51" t="str">
        <f>IF(tblWorkPackages[[#This Row],[Request date serial]]&lt;ValidationStart,"Train 2024",IF(tblWorkPackages[[#This Row],[Request date serial]]&lt;HoldoutStart,"Validation H1","Holdout H2"))</f>
        <v>Holdout H2</v>
      </c>
      <c r="T699" s="51">
        <f>IF(tblWorkPackages[[#This Row],[Time split]]="Train 2024","",tblWorkPackages[[#This Row],[Estimated labor hours]]+VLOOKUP(tblWorkPackages[[#This Row],[Task type]],'Forecast validation'!$A$14:$E$25,IF(tblWorkPackages[[#This Row],[Time split]]="Validation H1",4,5),FALSE()))</f>
        <v>7.92465753424658</v>
      </c>
      <c r="U699" s="51">
        <f>IF(tblWorkPackages[[#This Row],[Calibrated forecast hours]]="","",ABS(tblWorkPackages[[#This Row],[Actual labor hours]]-tblWorkPackages[[#This Row],[Calibrated forecast hours]]))</f>
        <v>0.224657534246576</v>
      </c>
      <c r="V699" s="51">
        <f>IF(tblWorkPackages[[#This Row],[Time split]]="Train 2024",tblWorkPackages[[#This Row],[Estimated labor hours]],tblWorkPackages[[#This Row],[Calibrated forecast hours]])</f>
        <v>7.92465753424658</v>
      </c>
      <c r="W699" s="64">
        <f>DATEVALUE(tblWorkPackages[[#This Row],[Request date]])</f>
        <v>45922.0</v>
      </c>
      <c r="X699" s="64">
        <f>DATEVALUE(tblWorkPackages[[#This Row],[Due date]])</f>
        <v>45935.0</v>
      </c>
      <c r="Y699" s="64">
        <f>DATEVALUE(tblWorkPackages[[#This Row],[Completion date]])</f>
        <v>45929.0</v>
      </c>
      <c r="Z699" s="64">
        <f>_xlfn.MINIFS(tblLaborEntries[Work date serial],tblLaborEntries[Work package ID],tblWorkPackages[[#This Row],[Work package ID]])</f>
        <v>45926.0</v>
      </c>
      <c r="AA699" s="64">
        <f>_xlfn.MAXIFS(tblLaborEntries[Work date serial],tblLaborEntries[Work package ID],tblWorkPackages[[#This Row],[Work package ID]])</f>
        <v>45928.0</v>
      </c>
      <c r="AB699" s="65">
        <f>IF(tblWorkPackages[[#This Row],[Completion date serial]]&gt;tblWorkPackages[[#This Row],[Due date serial]],1,0)</f>
        <v>0</v>
      </c>
      <c r="AC699" s="65">
        <f>MAX(0,tblWorkPackages[[#This Row],[Completion date serial]]-tblWorkPackages[[#This Row],[Due date serial]])</f>
        <v>0</v>
      </c>
      <c r="AD699" s="65">
        <f>tblWorkPackages[[#This Row],[First labor date]]-tblWorkPackages[[#This Row],[Request date serial]]</f>
        <v>4</v>
      </c>
      <c r="AE699" s="65">
        <f>tblWorkPackages[[#This Row],[Last labor date]]-tblWorkPackages[[#This Row],[First labor date]]</f>
        <v>2</v>
      </c>
      <c r="AF699" s="65">
        <f>tblWorkPackages[[#This Row],[Completion date serial]]-tblWorkPackages[[#This Row],[Last labor date]]</f>
        <v>1</v>
      </c>
      <c r="AG699" s="65">
        <f>tblWorkPackages[[#This Row],[Completion date serial]]-tblWorkPackages[[#This Row],[Request date serial]]</f>
        <v>7</v>
      </c>
      <c r="AH699" s="65">
        <f>IFERROR(INDEX(tblParts[Delay days],MATCH(tblWorkPackages[[#This Row],[Work package ID]],tblParts[Work package ID],0)),0)</f>
        <v>0</v>
      </c>
      <c r="AI699" s="51" t="str">
        <f>IFERROR(INDEX(tblDisruptions[Event type],MATCH(tblWorkPackages[[#This Row],[Work package ID]],tblDisruptions[Work package ID],0)),"None")</f>
        <v>None</v>
      </c>
      <c r="AJ699" s="51" t="str">
        <f>TEXT(tblWorkPackages[[#This Row],[Due date serial]],"yyyy-mm")</f>
        <v>2025-10</v>
      </c>
    </row>
    <row r="700" spans="1:36" ht="15" x14ac:dyDescent="0.25">
      <c r="A700" s="53" t="s">
        <v>1566</v>
      </c>
      <c r="B700" s="53" t="s">
        <v>203</v>
      </c>
      <c r="C700" s="53" t="s">
        <v>1136</v>
      </c>
      <c r="D700" s="53" t="s">
        <v>661</v>
      </c>
      <c r="E700" s="53" t="s">
        <v>181</v>
      </c>
      <c r="F700" s="53" t="s">
        <v>182</v>
      </c>
      <c r="G700" s="53" t="s">
        <v>138</v>
      </c>
      <c r="H700" s="53">
        <v>1</v>
      </c>
      <c r="I700" s="53" t="s">
        <v>147</v>
      </c>
      <c r="J700" s="53">
        <v>0</v>
      </c>
      <c r="K700" s="53">
        <v>0</v>
      </c>
      <c r="L700" s="53">
        <v>4.2</v>
      </c>
      <c r="M700" s="53" t="s">
        <v>660</v>
      </c>
      <c r="N700" s="53">
        <v>3.3</v>
      </c>
      <c r="O700" s="51" t="str">
        <f>TEXT(tblWorkPackages[[#This Row],[Request date serial]]-WEEKDAY(tblWorkPackages[[#This Row],[Request date serial]],3),"yyyy-mm-dd")</f>
        <v>2024-09-16</v>
      </c>
      <c r="P700" s="51">
        <f>ABS(tblWorkPackages[[#This Row],[Actual labor hours]]-tblWorkPackages[[#This Row],[Estimated labor hours]])</f>
        <v>0.9</v>
      </c>
      <c r="Q700" s="51">
        <f>IF(tblWorkPackages[[#This Row],[Actual labor hours]]&gt;tblWorkPackages[[#This Row],[Estimated labor hours]],1,0)</f>
        <v>0</v>
      </c>
      <c r="R700" s="51">
        <f>tblWorkPackages[[#This Row],[Actual labor hours]]-tblWorkPackages[[#This Row],[Estimated labor hours]]</f>
        <v>-0.9</v>
      </c>
      <c r="S700" s="51" t="str">
        <f>IF(tblWorkPackages[[#This Row],[Request date serial]]&lt;ValidationStart,"Train 2024",IF(tblWorkPackages[[#This Row],[Request date serial]]&lt;HoldoutStart,"Validation H1","Holdout H2"))</f>
        <v>Train 2024</v>
      </c>
      <c r="T700" s="51" t="str">
        <f>IF(tblWorkPackages[[#This Row],[Time split]]="Train 2024","",tblWorkPackages[[#This Row],[Estimated labor hours]]+VLOOKUP(tblWorkPackages[[#This Row],[Task type]],'Forecast validation'!$A$14:$E$25,IF(tblWorkPackages[[#This Row],[Time split]]="Validation H1",4,5),FALSE()))</f>
        <v/>
      </c>
      <c r="U700" s="51" t="str">
        <f>IF(tblWorkPackages[[#This Row],[Calibrated forecast hours]]="","",ABS(tblWorkPackages[[#This Row],[Actual labor hours]]-tblWorkPackages[[#This Row],[Calibrated forecast hours]]))</f>
        <v/>
      </c>
      <c r="V700" s="51">
        <f>IF(tblWorkPackages[[#This Row],[Time split]]="Train 2024",tblWorkPackages[[#This Row],[Estimated labor hours]],tblWorkPackages[[#This Row],[Calibrated forecast hours]])</f>
        <v>4.2</v>
      </c>
      <c r="W700" s="64">
        <f>DATEVALUE(tblWorkPackages[[#This Row],[Request date]])</f>
        <v>45552.0</v>
      </c>
      <c r="X700" s="64">
        <f>DATEVALUE(tblWorkPackages[[#This Row],[Due date]])</f>
        <v>45554.0</v>
      </c>
      <c r="Y700" s="64">
        <f>DATEVALUE(tblWorkPackages[[#This Row],[Completion date]])</f>
        <v>45556.0</v>
      </c>
      <c r="Z700" s="64">
        <f>_xlfn.MINIFS(tblLaborEntries[Work date serial],tblLaborEntries[Work package ID],tblWorkPackages[[#This Row],[Work package ID]])</f>
        <v>45553.0</v>
      </c>
      <c r="AA700" s="64">
        <f>_xlfn.MAXIFS(tblLaborEntries[Work date serial],tblLaborEntries[Work package ID],tblWorkPackages[[#This Row],[Work package ID]])</f>
        <v>45554.0</v>
      </c>
      <c r="AB700" s="65">
        <f>IF(tblWorkPackages[[#This Row],[Completion date serial]]&gt;tblWorkPackages[[#This Row],[Due date serial]],1,0)</f>
        <v>1</v>
      </c>
      <c r="AC700" s="65">
        <f>MAX(0,tblWorkPackages[[#This Row],[Completion date serial]]-tblWorkPackages[[#This Row],[Due date serial]])</f>
        <v>2</v>
      </c>
      <c r="AD700" s="65">
        <f>tblWorkPackages[[#This Row],[First labor date]]-tblWorkPackages[[#This Row],[Request date serial]]</f>
        <v>1</v>
      </c>
      <c r="AE700" s="65">
        <f>tblWorkPackages[[#This Row],[Last labor date]]-tblWorkPackages[[#This Row],[First labor date]]</f>
        <v>1</v>
      </c>
      <c r="AF700" s="65">
        <f>tblWorkPackages[[#This Row],[Completion date serial]]-tblWorkPackages[[#This Row],[Last labor date]]</f>
        <v>2</v>
      </c>
      <c r="AG700" s="65">
        <f>tblWorkPackages[[#This Row],[Completion date serial]]-tblWorkPackages[[#This Row],[Request date serial]]</f>
        <v>4</v>
      </c>
      <c r="AH700" s="65">
        <f>IFERROR(INDEX(tblParts[Delay days],MATCH(tblWorkPackages[[#This Row],[Work package ID]],tblParts[Work package ID],0)),0)</f>
        <v>0</v>
      </c>
      <c r="AI700" s="51" t="str">
        <f>IFERROR(INDEX(tblDisruptions[Event type],MATCH(tblWorkPackages[[#This Row],[Work package ID]],tblDisruptions[Work package ID],0)),"None")</f>
        <v>None</v>
      </c>
      <c r="AJ700" s="51" t="str">
        <f>TEXT(tblWorkPackages[[#This Row],[Due date serial]],"yyyy-mm")</f>
        <v>2024-09</v>
      </c>
    </row>
    <row r="701" spans="1:36" ht="15" x14ac:dyDescent="0.25">
      <c r="A701" s="53" t="s">
        <v>1567</v>
      </c>
      <c r="B701" s="53" t="s">
        <v>230</v>
      </c>
      <c r="C701" s="53" t="s">
        <v>387</v>
      </c>
      <c r="D701" s="53" t="s">
        <v>1404</v>
      </c>
      <c r="E701" s="53" t="s">
        <v>144</v>
      </c>
      <c r="F701" s="53" t="s">
        <v>145</v>
      </c>
      <c r="G701" s="53" t="s">
        <v>146</v>
      </c>
      <c r="H701" s="53">
        <v>1</v>
      </c>
      <c r="I701" s="53" t="s">
        <v>130</v>
      </c>
      <c r="J701" s="53">
        <v>0</v>
      </c>
      <c r="K701" s="53">
        <v>1</v>
      </c>
      <c r="L701" s="53">
        <v>6.5</v>
      </c>
      <c r="M701" s="53" t="s">
        <v>1135</v>
      </c>
      <c r="N701" s="53">
        <v>6.4</v>
      </c>
      <c r="O701" s="51" t="str">
        <f>TEXT(tblWorkPackages[[#This Row],[Request date serial]]-WEEKDAY(tblWorkPackages[[#This Row],[Request date serial]],3),"yyyy-mm-dd")</f>
        <v>2024-09-09</v>
      </c>
      <c r="P701" s="51">
        <f>ABS(tblWorkPackages[[#This Row],[Actual labor hours]]-tblWorkPackages[[#This Row],[Estimated labor hours]])</f>
        <v>0.0999999999999996</v>
      </c>
      <c r="Q701" s="51">
        <f>IF(tblWorkPackages[[#This Row],[Actual labor hours]]&gt;tblWorkPackages[[#This Row],[Estimated labor hours]],1,0)</f>
        <v>0</v>
      </c>
      <c r="R701" s="51">
        <f>tblWorkPackages[[#This Row],[Actual labor hours]]-tblWorkPackages[[#This Row],[Estimated labor hours]]</f>
        <v>-0.0999999999999996</v>
      </c>
      <c r="S701" s="51" t="str">
        <f>IF(tblWorkPackages[[#This Row],[Request date serial]]&lt;ValidationStart,"Train 2024",IF(tblWorkPackages[[#This Row],[Request date serial]]&lt;HoldoutStart,"Validation H1","Holdout H2"))</f>
        <v>Train 2024</v>
      </c>
      <c r="T701" s="51" t="str">
        <f>IF(tblWorkPackages[[#This Row],[Time split]]="Train 2024","",tblWorkPackages[[#This Row],[Estimated labor hours]]+VLOOKUP(tblWorkPackages[[#This Row],[Task type]],'Forecast validation'!$A$14:$E$25,IF(tblWorkPackages[[#This Row],[Time split]]="Validation H1",4,5),FALSE()))</f>
        <v/>
      </c>
      <c r="U701" s="51" t="str">
        <f>IF(tblWorkPackages[[#This Row],[Calibrated forecast hours]]="","",ABS(tblWorkPackages[[#This Row],[Actual labor hours]]-tblWorkPackages[[#This Row],[Calibrated forecast hours]]))</f>
        <v/>
      </c>
      <c r="V701" s="51">
        <f>IF(tblWorkPackages[[#This Row],[Time split]]="Train 2024",tblWorkPackages[[#This Row],[Estimated labor hours]],tblWorkPackages[[#This Row],[Calibrated forecast hours]])</f>
        <v>6.5</v>
      </c>
      <c r="W701" s="64">
        <f>DATEVALUE(tblWorkPackages[[#This Row],[Request date]])</f>
        <v>45546.0</v>
      </c>
      <c r="X701" s="64">
        <f>DATEVALUE(tblWorkPackages[[#This Row],[Due date]])</f>
        <v>45559.0</v>
      </c>
      <c r="Y701" s="64">
        <f>DATEVALUE(tblWorkPackages[[#This Row],[Completion date]])</f>
        <v>45560.0</v>
      </c>
      <c r="Z701" s="64">
        <f>_xlfn.MINIFS(tblLaborEntries[Work date serial],tblLaborEntries[Work package ID],tblWorkPackages[[#This Row],[Work package ID]])</f>
        <v>45555.0</v>
      </c>
      <c r="AA701" s="64">
        <f>_xlfn.MAXIFS(tblLaborEntries[Work date serial],tblLaborEntries[Work package ID],tblWorkPackages[[#This Row],[Work package ID]])</f>
        <v>45557.0</v>
      </c>
      <c r="AB701" s="65">
        <f>IF(tblWorkPackages[[#This Row],[Completion date serial]]&gt;tblWorkPackages[[#This Row],[Due date serial]],1,0)</f>
        <v>1</v>
      </c>
      <c r="AC701" s="65">
        <f>MAX(0,tblWorkPackages[[#This Row],[Completion date serial]]-tblWorkPackages[[#This Row],[Due date serial]])</f>
        <v>1</v>
      </c>
      <c r="AD701" s="65">
        <f>tblWorkPackages[[#This Row],[First labor date]]-tblWorkPackages[[#This Row],[Request date serial]]</f>
        <v>9</v>
      </c>
      <c r="AE701" s="65">
        <f>tblWorkPackages[[#This Row],[Last labor date]]-tblWorkPackages[[#This Row],[First labor date]]</f>
        <v>2</v>
      </c>
      <c r="AF701" s="65">
        <f>tblWorkPackages[[#This Row],[Completion date serial]]-tblWorkPackages[[#This Row],[Last labor date]]</f>
        <v>3</v>
      </c>
      <c r="AG701" s="65">
        <f>tblWorkPackages[[#This Row],[Completion date serial]]-tblWorkPackages[[#This Row],[Request date serial]]</f>
        <v>14</v>
      </c>
      <c r="AH701" s="65">
        <f>IFERROR(INDEX(tblParts[Delay days],MATCH(tblWorkPackages[[#This Row],[Work package ID]],tblParts[Work package ID],0)),0)</f>
        <v>0</v>
      </c>
      <c r="AI701" s="51" t="str">
        <f>IFERROR(INDEX(tblDisruptions[Event type],MATCH(tblWorkPackages[[#This Row],[Work package ID]],tblDisruptions[Work package ID],0)),"None")</f>
        <v>None</v>
      </c>
      <c r="AJ701" s="51" t="str">
        <f>TEXT(tblWorkPackages[[#This Row],[Due date serial]],"yyyy-mm")</f>
        <v>2024-09</v>
      </c>
    </row>
    <row r="702" spans="1:36" ht="15" x14ac:dyDescent="0.25">
      <c r="A702" s="53" t="s">
        <v>1568</v>
      </c>
      <c r="B702" s="53" t="s">
        <v>250</v>
      </c>
      <c r="C702" s="53" t="s">
        <v>679</v>
      </c>
      <c r="D702" s="53" t="s">
        <v>261</v>
      </c>
      <c r="E702" s="53" t="s">
        <v>160</v>
      </c>
      <c r="F702" s="53" t="s">
        <v>128</v>
      </c>
      <c r="G702" s="53" t="s">
        <v>138</v>
      </c>
      <c r="H702" s="53">
        <v>4</v>
      </c>
      <c r="I702" s="53" t="s">
        <v>130</v>
      </c>
      <c r="J702" s="53">
        <v>0</v>
      </c>
      <c r="K702" s="53">
        <v>0</v>
      </c>
      <c r="L702" s="53">
        <v>8.3000000000000007</v>
      </c>
      <c r="M702" s="53" t="s">
        <v>837</v>
      </c>
      <c r="N702" s="53">
        <v>7.7</v>
      </c>
      <c r="O702" s="51" t="str">
        <f>TEXT(tblWorkPackages[[#This Row],[Request date serial]]-WEEKDAY(tblWorkPackages[[#This Row],[Request date serial]],3),"yyyy-mm-dd")</f>
        <v>2025-01-06</v>
      </c>
      <c r="P702" s="51">
        <f>ABS(tblWorkPackages[[#This Row],[Actual labor hours]]-tblWorkPackages[[#This Row],[Estimated labor hours]])</f>
        <v>0.600000000000001</v>
      </c>
      <c r="Q702" s="51">
        <f>IF(tblWorkPackages[[#This Row],[Actual labor hours]]&gt;tblWorkPackages[[#This Row],[Estimated labor hours]],1,0)</f>
        <v>0</v>
      </c>
      <c r="R702" s="51">
        <f>tblWorkPackages[[#This Row],[Actual labor hours]]-tblWorkPackages[[#This Row],[Estimated labor hours]]</f>
        <v>-0.600000000000001</v>
      </c>
      <c r="S702" s="51" t="str">
        <f>IF(tblWorkPackages[[#This Row],[Request date serial]]&lt;ValidationStart,"Train 2024",IF(tblWorkPackages[[#This Row],[Request date serial]]&lt;HoldoutStart,"Validation H1","Holdout H2"))</f>
        <v>Validation H1</v>
      </c>
      <c r="T702" s="51">
        <f>IF(tblWorkPackages[[#This Row],[Time split]]="Train 2024","",tblWorkPackages[[#This Row],[Estimated labor hours]]+VLOOKUP(tblWorkPackages[[#This Row],[Task type]],'Forecast validation'!$A$14:$E$25,IF(tblWorkPackages[[#This Row],[Time split]]="Validation H1",4,5),FALSE()))</f>
        <v>8.74146341463415</v>
      </c>
      <c r="U702" s="51">
        <f>IF(tblWorkPackages[[#This Row],[Calibrated forecast hours]]="","",ABS(tblWorkPackages[[#This Row],[Actual labor hours]]-tblWorkPackages[[#This Row],[Calibrated forecast hours]]))</f>
        <v>1.04146341463415</v>
      </c>
      <c r="V702" s="51">
        <f>IF(tblWorkPackages[[#This Row],[Time split]]="Train 2024",tblWorkPackages[[#This Row],[Estimated labor hours]],tblWorkPackages[[#This Row],[Calibrated forecast hours]])</f>
        <v>8.74146341463415</v>
      </c>
      <c r="W702" s="64">
        <f>DATEVALUE(tblWorkPackages[[#This Row],[Request date]])</f>
        <v>45663.0</v>
      </c>
      <c r="X702" s="64">
        <f>DATEVALUE(tblWorkPackages[[#This Row],[Due date]])</f>
        <v>45676.0</v>
      </c>
      <c r="Y702" s="64">
        <f>DATEVALUE(tblWorkPackages[[#This Row],[Completion date]])</f>
        <v>45665.0</v>
      </c>
      <c r="Z702" s="64">
        <f>_xlfn.MINIFS(tblLaborEntries[Work date serial],tblLaborEntries[Work package ID],tblWorkPackages[[#This Row],[Work package ID]])</f>
        <v>45665.0</v>
      </c>
      <c r="AA702" s="64">
        <f>_xlfn.MAXIFS(tblLaborEntries[Work date serial],tblLaborEntries[Work package ID],tblWorkPackages[[#This Row],[Work package ID]])</f>
        <v>45665.0</v>
      </c>
      <c r="AB702" s="65">
        <f>IF(tblWorkPackages[[#This Row],[Completion date serial]]&gt;tblWorkPackages[[#This Row],[Due date serial]],1,0)</f>
        <v>0</v>
      </c>
      <c r="AC702" s="65">
        <f>MAX(0,tblWorkPackages[[#This Row],[Completion date serial]]-tblWorkPackages[[#This Row],[Due date serial]])</f>
        <v>0</v>
      </c>
      <c r="AD702" s="65">
        <f>tblWorkPackages[[#This Row],[First labor date]]-tblWorkPackages[[#This Row],[Request date serial]]</f>
        <v>2</v>
      </c>
      <c r="AE702" s="65">
        <f>tblWorkPackages[[#This Row],[Last labor date]]-tblWorkPackages[[#This Row],[First labor date]]</f>
        <v>0</v>
      </c>
      <c r="AF702" s="65">
        <f>tblWorkPackages[[#This Row],[Completion date serial]]-tblWorkPackages[[#This Row],[Last labor date]]</f>
        <v>0</v>
      </c>
      <c r="AG702" s="65">
        <f>tblWorkPackages[[#This Row],[Completion date serial]]-tblWorkPackages[[#This Row],[Request date serial]]</f>
        <v>2</v>
      </c>
      <c r="AH702" s="65">
        <f>IFERROR(INDEX(tblParts[Delay days],MATCH(tblWorkPackages[[#This Row],[Work package ID]],tblParts[Work package ID],0)),0)</f>
        <v>0</v>
      </c>
      <c r="AI702" s="51" t="str">
        <f>IFERROR(INDEX(tblDisruptions[Event type],MATCH(tblWorkPackages[[#This Row],[Work package ID]],tblDisruptions[Work package ID],0)),"None")</f>
        <v>None</v>
      </c>
      <c r="AJ702" s="51" t="str">
        <f>TEXT(tblWorkPackages[[#This Row],[Due date serial]],"yyyy-mm")</f>
        <v>2025-01</v>
      </c>
    </row>
    <row r="703" spans="1:36" ht="15" x14ac:dyDescent="0.25">
      <c r="A703" s="53" t="s">
        <v>1569</v>
      </c>
      <c r="B703" s="53" t="s">
        <v>168</v>
      </c>
      <c r="C703" s="53" t="s">
        <v>441</v>
      </c>
      <c r="D703" s="53" t="s">
        <v>442</v>
      </c>
      <c r="E703" s="53" t="s">
        <v>237</v>
      </c>
      <c r="F703" s="53" t="s">
        <v>182</v>
      </c>
      <c r="G703" s="53" t="s">
        <v>138</v>
      </c>
      <c r="H703" s="53">
        <v>3</v>
      </c>
      <c r="I703" s="53" t="s">
        <v>130</v>
      </c>
      <c r="J703" s="53">
        <v>0</v>
      </c>
      <c r="K703" s="53">
        <v>0</v>
      </c>
      <c r="L703" s="53">
        <v>7.3</v>
      </c>
      <c r="M703" s="53" t="s">
        <v>802</v>
      </c>
      <c r="N703" s="53">
        <v>8.4</v>
      </c>
      <c r="O703" s="51" t="str">
        <f>TEXT(tblWorkPackages[[#This Row],[Request date serial]]-WEEKDAY(tblWorkPackages[[#This Row],[Request date serial]],3),"yyyy-mm-dd")</f>
        <v>2024-01-22</v>
      </c>
      <c r="P703" s="51">
        <f>ABS(tblWorkPackages[[#This Row],[Actual labor hours]]-tblWorkPackages[[#This Row],[Estimated labor hours]])</f>
        <v>1.1</v>
      </c>
      <c r="Q703" s="51">
        <f>IF(tblWorkPackages[[#This Row],[Actual labor hours]]&gt;tblWorkPackages[[#This Row],[Estimated labor hours]],1,0)</f>
        <v>1</v>
      </c>
      <c r="R703" s="51">
        <f>tblWorkPackages[[#This Row],[Actual labor hours]]-tblWorkPackages[[#This Row],[Estimated labor hours]]</f>
        <v>1.1</v>
      </c>
      <c r="S703" s="51" t="str">
        <f>IF(tblWorkPackages[[#This Row],[Request date serial]]&lt;ValidationStart,"Train 2024",IF(tblWorkPackages[[#This Row],[Request date serial]]&lt;HoldoutStart,"Validation H1","Holdout H2"))</f>
        <v>Train 2024</v>
      </c>
      <c r="T703" s="51" t="str">
        <f>IF(tblWorkPackages[[#This Row],[Time split]]="Train 2024","",tblWorkPackages[[#This Row],[Estimated labor hours]]+VLOOKUP(tblWorkPackages[[#This Row],[Task type]],'Forecast validation'!$A$14:$E$25,IF(tblWorkPackages[[#This Row],[Time split]]="Validation H1",4,5),FALSE()))</f>
        <v/>
      </c>
      <c r="U703" s="51" t="str">
        <f>IF(tblWorkPackages[[#This Row],[Calibrated forecast hours]]="","",ABS(tblWorkPackages[[#This Row],[Actual labor hours]]-tblWorkPackages[[#This Row],[Calibrated forecast hours]]))</f>
        <v/>
      </c>
      <c r="V703" s="51">
        <f>IF(tblWorkPackages[[#This Row],[Time split]]="Train 2024",tblWorkPackages[[#This Row],[Estimated labor hours]],tblWorkPackages[[#This Row],[Calibrated forecast hours]])</f>
        <v>7.3</v>
      </c>
      <c r="W703" s="64">
        <f>DATEVALUE(tblWorkPackages[[#This Row],[Request date]])</f>
        <v>45317.0</v>
      </c>
      <c r="X703" s="64">
        <f>DATEVALUE(tblWorkPackages[[#This Row],[Due date]])</f>
        <v>45330.0</v>
      </c>
      <c r="Y703" s="64">
        <f>DATEVALUE(tblWorkPackages[[#This Row],[Completion date]])</f>
        <v>45343.0</v>
      </c>
      <c r="Z703" s="64">
        <f>_xlfn.MINIFS(tblLaborEntries[Work date serial],tblLaborEntries[Work package ID],tblWorkPackages[[#This Row],[Work package ID]])</f>
        <v>45341.0</v>
      </c>
      <c r="AA703" s="64">
        <f>_xlfn.MAXIFS(tblLaborEntries[Work date serial],tblLaborEntries[Work package ID],tblWorkPackages[[#This Row],[Work package ID]])</f>
        <v>45342.0</v>
      </c>
      <c r="AB703" s="65">
        <f>IF(tblWorkPackages[[#This Row],[Completion date serial]]&gt;tblWorkPackages[[#This Row],[Due date serial]],1,0)</f>
        <v>1</v>
      </c>
      <c r="AC703" s="65">
        <f>MAX(0,tblWorkPackages[[#This Row],[Completion date serial]]-tblWorkPackages[[#This Row],[Due date serial]])</f>
        <v>13</v>
      </c>
      <c r="AD703" s="65">
        <f>tblWorkPackages[[#This Row],[First labor date]]-tblWorkPackages[[#This Row],[Request date serial]]</f>
        <v>24</v>
      </c>
      <c r="AE703" s="65">
        <f>tblWorkPackages[[#This Row],[Last labor date]]-tblWorkPackages[[#This Row],[First labor date]]</f>
        <v>1</v>
      </c>
      <c r="AF703" s="65">
        <f>tblWorkPackages[[#This Row],[Completion date serial]]-tblWorkPackages[[#This Row],[Last labor date]]</f>
        <v>1</v>
      </c>
      <c r="AG703" s="65">
        <f>tblWorkPackages[[#This Row],[Completion date serial]]-tblWorkPackages[[#This Row],[Request date serial]]</f>
        <v>26</v>
      </c>
      <c r="AH703" s="65">
        <f>IFERROR(INDEX(tblParts[Delay days],MATCH(tblWorkPackages[[#This Row],[Work package ID]],tblParts[Work package ID],0)),0)</f>
        <v>0</v>
      </c>
      <c r="AI703" s="51" t="str">
        <f>IFERROR(INDEX(tblDisruptions[Event type],MATCH(tblWorkPackages[[#This Row],[Work package ID]],tblDisruptions[Work package ID],0)),"None")</f>
        <v>None</v>
      </c>
      <c r="AJ703" s="51" t="str">
        <f>TEXT(tblWorkPackages[[#This Row],[Due date serial]],"yyyy-mm")</f>
        <v>2024-02</v>
      </c>
    </row>
    <row r="704" spans="1:36" ht="15" x14ac:dyDescent="0.25">
      <c r="A704" s="53" t="s">
        <v>1570</v>
      </c>
      <c r="B704" s="53" t="s">
        <v>133</v>
      </c>
      <c r="C704" s="53" t="s">
        <v>738</v>
      </c>
      <c r="D704" s="53" t="s">
        <v>851</v>
      </c>
      <c r="E704" s="53" t="s">
        <v>153</v>
      </c>
      <c r="F704" s="53" t="s">
        <v>128</v>
      </c>
      <c r="G704" s="53" t="s">
        <v>154</v>
      </c>
      <c r="H704" s="53">
        <v>1</v>
      </c>
      <c r="I704" s="53" t="s">
        <v>147</v>
      </c>
      <c r="J704" s="53">
        <v>0</v>
      </c>
      <c r="K704" s="53">
        <v>0</v>
      </c>
      <c r="L704" s="53">
        <v>6</v>
      </c>
      <c r="M704" s="53" t="s">
        <v>323</v>
      </c>
      <c r="N704" s="53">
        <v>6.4</v>
      </c>
      <c r="O704" s="51" t="str">
        <f>TEXT(tblWorkPackages[[#This Row],[Request date serial]]-WEEKDAY(tblWorkPackages[[#This Row],[Request date serial]],3),"yyyy-mm-dd")</f>
        <v>2025-06-30</v>
      </c>
      <c r="P704" s="51">
        <f>ABS(tblWorkPackages[[#This Row],[Actual labor hours]]-tblWorkPackages[[#This Row],[Estimated labor hours]])</f>
        <v>0.4</v>
      </c>
      <c r="Q704" s="51">
        <f>IF(tblWorkPackages[[#This Row],[Actual labor hours]]&gt;tblWorkPackages[[#This Row],[Estimated labor hours]],1,0)</f>
        <v>1</v>
      </c>
      <c r="R704" s="51">
        <f>tblWorkPackages[[#This Row],[Actual labor hours]]-tblWorkPackages[[#This Row],[Estimated labor hours]]</f>
        <v>0.4</v>
      </c>
      <c r="S704" s="51" t="str">
        <f>IF(tblWorkPackages[[#This Row],[Request date serial]]&lt;ValidationStart,"Train 2024",IF(tblWorkPackages[[#This Row],[Request date serial]]&lt;HoldoutStart,"Validation H1","Holdout H2"))</f>
        <v>Holdout H2</v>
      </c>
      <c r="T704" s="51">
        <f>IF(tblWorkPackages[[#This Row],[Time split]]="Train 2024","",tblWorkPackages[[#This Row],[Estimated labor hours]]+VLOOKUP(tblWorkPackages[[#This Row],[Task type]],'Forecast validation'!$A$14:$E$25,IF(tblWorkPackages[[#This Row],[Time split]]="Validation H1",4,5),FALSE()))</f>
        <v>6.60266666666667</v>
      </c>
      <c r="U704" s="51">
        <f>IF(tblWorkPackages[[#This Row],[Calibrated forecast hours]]="","",ABS(tblWorkPackages[[#This Row],[Actual labor hours]]-tblWorkPackages[[#This Row],[Calibrated forecast hours]]))</f>
        <v>0.202666666666667</v>
      </c>
      <c r="V704" s="51">
        <f>IF(tblWorkPackages[[#This Row],[Time split]]="Train 2024",tblWorkPackages[[#This Row],[Estimated labor hours]],tblWorkPackages[[#This Row],[Calibrated forecast hours]])</f>
        <v>6.60266666666667</v>
      </c>
      <c r="W704" s="64">
        <f>DATEVALUE(tblWorkPackages[[#This Row],[Request date]])</f>
        <v>45839.0</v>
      </c>
      <c r="X704" s="64">
        <f>DATEVALUE(tblWorkPackages[[#This Row],[Due date]])</f>
        <v>45841.0</v>
      </c>
      <c r="Y704" s="64">
        <f>DATEVALUE(tblWorkPackages[[#This Row],[Completion date]])</f>
        <v>45845.0</v>
      </c>
      <c r="Z704" s="64">
        <f>_xlfn.MINIFS(tblLaborEntries[Work date serial],tblLaborEntries[Work package ID],tblWorkPackages[[#This Row],[Work package ID]])</f>
        <v>45843.0</v>
      </c>
      <c r="AA704" s="64">
        <f>_xlfn.MAXIFS(tblLaborEntries[Work date serial],tblLaborEntries[Work package ID],tblWorkPackages[[#This Row],[Work package ID]])</f>
        <v>45843.0</v>
      </c>
      <c r="AB704" s="65">
        <f>IF(tblWorkPackages[[#This Row],[Completion date serial]]&gt;tblWorkPackages[[#This Row],[Due date serial]],1,0)</f>
        <v>1</v>
      </c>
      <c r="AC704" s="65">
        <f>MAX(0,tblWorkPackages[[#This Row],[Completion date serial]]-tblWorkPackages[[#This Row],[Due date serial]])</f>
        <v>4</v>
      </c>
      <c r="AD704" s="65">
        <f>tblWorkPackages[[#This Row],[First labor date]]-tblWorkPackages[[#This Row],[Request date serial]]</f>
        <v>4</v>
      </c>
      <c r="AE704" s="65">
        <f>tblWorkPackages[[#This Row],[Last labor date]]-tblWorkPackages[[#This Row],[First labor date]]</f>
        <v>0</v>
      </c>
      <c r="AF704" s="65">
        <f>tblWorkPackages[[#This Row],[Completion date serial]]-tblWorkPackages[[#This Row],[Last labor date]]</f>
        <v>2</v>
      </c>
      <c r="AG704" s="65">
        <f>tblWorkPackages[[#This Row],[Completion date serial]]-tblWorkPackages[[#This Row],[Request date serial]]</f>
        <v>6</v>
      </c>
      <c r="AH704" s="65">
        <f>IFERROR(INDEX(tblParts[Delay days],MATCH(tblWorkPackages[[#This Row],[Work package ID]],tblParts[Work package ID],0)),0)</f>
        <v>0</v>
      </c>
      <c r="AI704" s="51" t="str">
        <f>IFERROR(INDEX(tblDisruptions[Event type],MATCH(tblWorkPackages[[#This Row],[Work package ID]],tblDisruptions[Work package ID],0)),"None")</f>
        <v>None</v>
      </c>
      <c r="AJ704" s="51" t="str">
        <f>TEXT(tblWorkPackages[[#This Row],[Due date serial]],"yyyy-mm")</f>
        <v>2025-07</v>
      </c>
    </row>
    <row r="705" spans="1:36" ht="15" x14ac:dyDescent="0.25">
      <c r="A705" s="53" t="s">
        <v>1571</v>
      </c>
      <c r="B705" s="53" t="s">
        <v>168</v>
      </c>
      <c r="C705" s="53" t="s">
        <v>1152</v>
      </c>
      <c r="D705" s="53" t="s">
        <v>527</v>
      </c>
      <c r="E705" s="53" t="s">
        <v>272</v>
      </c>
      <c r="F705" s="53" t="s">
        <v>145</v>
      </c>
      <c r="G705" s="53" t="s">
        <v>273</v>
      </c>
      <c r="H705" s="53">
        <v>4</v>
      </c>
      <c r="I705" s="53" t="s">
        <v>130</v>
      </c>
      <c r="J705" s="53">
        <v>0</v>
      </c>
      <c r="K705" s="53">
        <v>1</v>
      </c>
      <c r="L705" s="53">
        <v>20.2</v>
      </c>
      <c r="M705" s="53" t="s">
        <v>283</v>
      </c>
      <c r="N705" s="53">
        <v>18.899999999999999</v>
      </c>
      <c r="O705" s="51" t="str">
        <f>TEXT(tblWorkPackages[[#This Row],[Request date serial]]-WEEKDAY(tblWorkPackages[[#This Row],[Request date serial]],3),"yyyy-mm-dd")</f>
        <v>2025-08-18</v>
      </c>
      <c r="P705" s="51">
        <f>ABS(tblWorkPackages[[#This Row],[Actual labor hours]]-tblWorkPackages[[#This Row],[Estimated labor hours]])</f>
        <v>1.3</v>
      </c>
      <c r="Q705" s="51">
        <f>IF(tblWorkPackages[[#This Row],[Actual labor hours]]&gt;tblWorkPackages[[#This Row],[Estimated labor hours]],1,0)</f>
        <v>0</v>
      </c>
      <c r="R705" s="51">
        <f>tblWorkPackages[[#This Row],[Actual labor hours]]-tblWorkPackages[[#This Row],[Estimated labor hours]]</f>
        <v>-1.3</v>
      </c>
      <c r="S705" s="51" t="str">
        <f>IF(tblWorkPackages[[#This Row],[Request date serial]]&lt;ValidationStart,"Train 2024",IF(tblWorkPackages[[#This Row],[Request date serial]]&lt;HoldoutStart,"Validation H1","Holdout H2"))</f>
        <v>Holdout H2</v>
      </c>
      <c r="T705" s="51">
        <f>IF(tblWorkPackages[[#This Row],[Time split]]="Train 2024","",tblWorkPackages[[#This Row],[Estimated labor hours]]+VLOOKUP(tblWorkPackages[[#This Row],[Task type]],'Forecast validation'!$A$14:$E$25,IF(tblWorkPackages[[#This Row],[Time split]]="Validation H1",4,5),FALSE()))</f>
        <v>21.18515625</v>
      </c>
      <c r="U705" s="51">
        <f>IF(tblWorkPackages[[#This Row],[Calibrated forecast hours]]="","",ABS(tblWorkPackages[[#This Row],[Actual labor hours]]-tblWorkPackages[[#This Row],[Calibrated forecast hours]]))</f>
        <v>2.28515625</v>
      </c>
      <c r="V705" s="51">
        <f>IF(tblWorkPackages[[#This Row],[Time split]]="Train 2024",tblWorkPackages[[#This Row],[Estimated labor hours]],tblWorkPackages[[#This Row],[Calibrated forecast hours]])</f>
        <v>21.18515625</v>
      </c>
      <c r="W705" s="64">
        <f>DATEVALUE(tblWorkPackages[[#This Row],[Request date]])</f>
        <v>45893.0</v>
      </c>
      <c r="X705" s="64">
        <f>DATEVALUE(tblWorkPackages[[#This Row],[Due date]])</f>
        <v>45906.0</v>
      </c>
      <c r="Y705" s="64">
        <f>DATEVALUE(tblWorkPackages[[#This Row],[Completion date]])</f>
        <v>45897.0</v>
      </c>
      <c r="Z705" s="64">
        <f>_xlfn.MINIFS(tblLaborEntries[Work date serial],tblLaborEntries[Work package ID],tblWorkPackages[[#This Row],[Work package ID]])</f>
        <v>45894.0</v>
      </c>
      <c r="AA705" s="64">
        <f>_xlfn.MAXIFS(tblLaborEntries[Work date serial],tblLaborEntries[Work package ID],tblWorkPackages[[#This Row],[Work package ID]])</f>
        <v>45894.0</v>
      </c>
      <c r="AB705" s="65">
        <f>IF(tblWorkPackages[[#This Row],[Completion date serial]]&gt;tblWorkPackages[[#This Row],[Due date serial]],1,0)</f>
        <v>0</v>
      </c>
      <c r="AC705" s="65">
        <f>MAX(0,tblWorkPackages[[#This Row],[Completion date serial]]-tblWorkPackages[[#This Row],[Due date serial]])</f>
        <v>0</v>
      </c>
      <c r="AD705" s="65">
        <f>tblWorkPackages[[#This Row],[First labor date]]-tblWorkPackages[[#This Row],[Request date serial]]</f>
        <v>1</v>
      </c>
      <c r="AE705" s="65">
        <f>tblWorkPackages[[#This Row],[Last labor date]]-tblWorkPackages[[#This Row],[First labor date]]</f>
        <v>0</v>
      </c>
      <c r="AF705" s="65">
        <f>tblWorkPackages[[#This Row],[Completion date serial]]-tblWorkPackages[[#This Row],[Last labor date]]</f>
        <v>3</v>
      </c>
      <c r="AG705" s="65">
        <f>tblWorkPackages[[#This Row],[Completion date serial]]-tblWorkPackages[[#This Row],[Request date serial]]</f>
        <v>4</v>
      </c>
      <c r="AH705" s="65">
        <f>IFERROR(INDEX(tblParts[Delay days],MATCH(tblWorkPackages[[#This Row],[Work package ID]],tblParts[Work package ID],0)),0)</f>
        <v>0</v>
      </c>
      <c r="AI705" s="51" t="str">
        <f>IFERROR(INDEX(tblDisruptions[Event type],MATCH(tblWorkPackages[[#This Row],[Work package ID]],tblDisruptions[Work package ID],0)),"None")</f>
        <v>None</v>
      </c>
      <c r="AJ705" s="51" t="str">
        <f>TEXT(tblWorkPackages[[#This Row],[Due date serial]],"yyyy-mm")</f>
        <v>2025-09</v>
      </c>
    </row>
    <row r="706" spans="1:36" ht="15" x14ac:dyDescent="0.25">
      <c r="A706" s="53" t="s">
        <v>1572</v>
      </c>
      <c r="B706" s="53" t="s">
        <v>133</v>
      </c>
      <c r="C706" s="53" t="s">
        <v>288</v>
      </c>
      <c r="D706" s="53" t="s">
        <v>1274</v>
      </c>
      <c r="E706" s="53" t="s">
        <v>153</v>
      </c>
      <c r="F706" s="53" t="s">
        <v>128</v>
      </c>
      <c r="G706" s="53" t="s">
        <v>154</v>
      </c>
      <c r="H706" s="53">
        <v>4</v>
      </c>
      <c r="I706" s="53" t="s">
        <v>130</v>
      </c>
      <c r="J706" s="53">
        <v>0</v>
      </c>
      <c r="K706" s="53">
        <v>0</v>
      </c>
      <c r="L706" s="53">
        <v>15</v>
      </c>
      <c r="M706" s="53" t="s">
        <v>1194</v>
      </c>
      <c r="N706" s="53">
        <v>18.899999999999999</v>
      </c>
      <c r="O706" s="51" t="str">
        <f>TEXT(tblWorkPackages[[#This Row],[Request date serial]]-WEEKDAY(tblWorkPackages[[#This Row],[Request date serial]],3),"yyyy-mm-dd")</f>
        <v>2025-09-22</v>
      </c>
      <c r="P706" s="51">
        <f>ABS(tblWorkPackages[[#This Row],[Actual labor hours]]-tblWorkPackages[[#This Row],[Estimated labor hours]])</f>
        <v>3.9</v>
      </c>
      <c r="Q706" s="51">
        <f>IF(tblWorkPackages[[#This Row],[Actual labor hours]]&gt;tblWorkPackages[[#This Row],[Estimated labor hours]],1,0)</f>
        <v>1</v>
      </c>
      <c r="R706" s="51">
        <f>tblWorkPackages[[#This Row],[Actual labor hours]]-tblWorkPackages[[#This Row],[Estimated labor hours]]</f>
        <v>3.9</v>
      </c>
      <c r="S706" s="51" t="str">
        <f>IF(tblWorkPackages[[#This Row],[Request date serial]]&lt;ValidationStart,"Train 2024",IF(tblWorkPackages[[#This Row],[Request date serial]]&lt;HoldoutStart,"Validation H1","Holdout H2"))</f>
        <v>Holdout H2</v>
      </c>
      <c r="T706" s="51">
        <f>IF(tblWorkPackages[[#This Row],[Time split]]="Train 2024","",tblWorkPackages[[#This Row],[Estimated labor hours]]+VLOOKUP(tblWorkPackages[[#This Row],[Task type]],'Forecast validation'!$A$14:$E$25,IF(tblWorkPackages[[#This Row],[Time split]]="Validation H1",4,5),FALSE()))</f>
        <v>15.6026666666667</v>
      </c>
      <c r="U706" s="51">
        <f>IF(tblWorkPackages[[#This Row],[Calibrated forecast hours]]="","",ABS(tblWorkPackages[[#This Row],[Actual labor hours]]-tblWorkPackages[[#This Row],[Calibrated forecast hours]]))</f>
        <v>3.29733333333333</v>
      </c>
      <c r="V706" s="51">
        <f>IF(tblWorkPackages[[#This Row],[Time split]]="Train 2024",tblWorkPackages[[#This Row],[Estimated labor hours]],tblWorkPackages[[#This Row],[Calibrated forecast hours]])</f>
        <v>15.6026666666667</v>
      </c>
      <c r="W706" s="64">
        <f>DATEVALUE(tblWorkPackages[[#This Row],[Request date]])</f>
        <v>45928.0</v>
      </c>
      <c r="X706" s="64">
        <f>DATEVALUE(tblWorkPackages[[#This Row],[Due date]])</f>
        <v>45941.0</v>
      </c>
      <c r="Y706" s="64">
        <f>DATEVALUE(tblWorkPackages[[#This Row],[Completion date]])</f>
        <v>45940.0</v>
      </c>
      <c r="Z706" s="64">
        <f>_xlfn.MINIFS(tblLaborEntries[Work date serial],tblLaborEntries[Work package ID],tblWorkPackages[[#This Row],[Work package ID]])</f>
        <v>45940.0</v>
      </c>
      <c r="AA706" s="64">
        <f>_xlfn.MAXIFS(tblLaborEntries[Work date serial],tblLaborEntries[Work package ID],tblWorkPackages[[#This Row],[Work package ID]])</f>
        <v>45940.0</v>
      </c>
      <c r="AB706" s="65">
        <f>IF(tblWorkPackages[[#This Row],[Completion date serial]]&gt;tblWorkPackages[[#This Row],[Due date serial]],1,0)</f>
        <v>0</v>
      </c>
      <c r="AC706" s="65">
        <f>MAX(0,tblWorkPackages[[#This Row],[Completion date serial]]-tblWorkPackages[[#This Row],[Due date serial]])</f>
        <v>0</v>
      </c>
      <c r="AD706" s="65">
        <f>tblWorkPackages[[#This Row],[First labor date]]-tblWorkPackages[[#This Row],[Request date serial]]</f>
        <v>12</v>
      </c>
      <c r="AE706" s="65">
        <f>tblWorkPackages[[#This Row],[Last labor date]]-tblWorkPackages[[#This Row],[First labor date]]</f>
        <v>0</v>
      </c>
      <c r="AF706" s="65">
        <f>tblWorkPackages[[#This Row],[Completion date serial]]-tblWorkPackages[[#This Row],[Last labor date]]</f>
        <v>0</v>
      </c>
      <c r="AG706" s="65">
        <f>tblWorkPackages[[#This Row],[Completion date serial]]-tblWorkPackages[[#This Row],[Request date serial]]</f>
        <v>12</v>
      </c>
      <c r="AH706" s="65">
        <f>IFERROR(INDEX(tblParts[Delay days],MATCH(tblWorkPackages[[#This Row],[Work package ID]],tblParts[Work package ID],0)),0)</f>
        <v>0</v>
      </c>
      <c r="AI706" s="51" t="str">
        <f>IFERROR(INDEX(tblDisruptions[Event type],MATCH(tblWorkPackages[[#This Row],[Work package ID]],tblDisruptions[Work package ID],0)),"None")</f>
        <v>None</v>
      </c>
      <c r="AJ706" s="51" t="str">
        <f>TEXT(tblWorkPackages[[#This Row],[Due date serial]],"yyyy-mm")</f>
        <v>2025-10</v>
      </c>
    </row>
    <row r="707" spans="1:36" ht="15" x14ac:dyDescent="0.25">
      <c r="A707" s="53" t="s">
        <v>1573</v>
      </c>
      <c r="B707" s="53" t="s">
        <v>250</v>
      </c>
      <c r="C707" s="53" t="s">
        <v>1036</v>
      </c>
      <c r="D707" s="53" t="s">
        <v>673</v>
      </c>
      <c r="E707" s="53" t="s">
        <v>136</v>
      </c>
      <c r="F707" s="53" t="s">
        <v>137</v>
      </c>
      <c r="G707" s="53" t="s">
        <v>138</v>
      </c>
      <c r="H707" s="53">
        <v>4</v>
      </c>
      <c r="I707" s="53" t="s">
        <v>130</v>
      </c>
      <c r="J707" s="53">
        <v>0</v>
      </c>
      <c r="K707" s="53">
        <v>1</v>
      </c>
      <c r="L707" s="53">
        <v>27.6</v>
      </c>
      <c r="M707" s="53" t="s">
        <v>710</v>
      </c>
      <c r="N707" s="53">
        <v>30.6</v>
      </c>
      <c r="O707" s="51" t="str">
        <f>TEXT(tblWorkPackages[[#This Row],[Request date serial]]-WEEKDAY(tblWorkPackages[[#This Row],[Request date serial]],3),"yyyy-mm-dd")</f>
        <v>2025-06-09</v>
      </c>
      <c r="P707" s="51">
        <f>ABS(tblWorkPackages[[#This Row],[Actual labor hours]]-tblWorkPackages[[#This Row],[Estimated labor hours]])</f>
        <v>3</v>
      </c>
      <c r="Q707" s="51">
        <f>IF(tblWorkPackages[[#This Row],[Actual labor hours]]&gt;tblWorkPackages[[#This Row],[Estimated labor hours]],1,0)</f>
        <v>1</v>
      </c>
      <c r="R707" s="51">
        <f>tblWorkPackages[[#This Row],[Actual labor hours]]-tblWorkPackages[[#This Row],[Estimated labor hours]]</f>
        <v>3</v>
      </c>
      <c r="S707" s="51" t="str">
        <f>IF(tblWorkPackages[[#This Row],[Request date serial]]&lt;ValidationStart,"Train 2024",IF(tblWorkPackages[[#This Row],[Request date serial]]&lt;HoldoutStart,"Validation H1","Holdout H2"))</f>
        <v>Validation H1</v>
      </c>
      <c r="T707" s="51">
        <f>IF(tblWorkPackages[[#This Row],[Time split]]="Train 2024","",tblWorkPackages[[#This Row],[Estimated labor hours]]+VLOOKUP(tblWorkPackages[[#This Row],[Task type]],'Forecast validation'!$A$14:$E$25,IF(tblWorkPackages[[#This Row],[Time split]]="Validation H1",4,5),FALSE()))</f>
        <v>28.4765306122449</v>
      </c>
      <c r="U707" s="51">
        <f>IF(tblWorkPackages[[#This Row],[Calibrated forecast hours]]="","",ABS(tblWorkPackages[[#This Row],[Actual labor hours]]-tblWorkPackages[[#This Row],[Calibrated forecast hours]]))</f>
        <v>2.1234693877551</v>
      </c>
      <c r="V707" s="51">
        <f>IF(tblWorkPackages[[#This Row],[Time split]]="Train 2024",tblWorkPackages[[#This Row],[Estimated labor hours]],tblWorkPackages[[#This Row],[Calibrated forecast hours]])</f>
        <v>28.4765306122449</v>
      </c>
      <c r="W707" s="64">
        <f>DATEVALUE(tblWorkPackages[[#This Row],[Request date]])</f>
        <v>45817.0</v>
      </c>
      <c r="X707" s="64">
        <f>DATEVALUE(tblWorkPackages[[#This Row],[Due date]])</f>
        <v>45830.0</v>
      </c>
      <c r="Y707" s="64">
        <f>DATEVALUE(tblWorkPackages[[#This Row],[Completion date]])</f>
        <v>45821.0</v>
      </c>
      <c r="Z707" s="64">
        <f>_xlfn.MINIFS(tblLaborEntries[Work date serial],tblLaborEntries[Work package ID],tblWorkPackages[[#This Row],[Work package ID]])</f>
        <v>45820.0</v>
      </c>
      <c r="AA707" s="64">
        <f>_xlfn.MAXIFS(tblLaborEntries[Work date serial],tblLaborEntries[Work package ID],tblWorkPackages[[#This Row],[Work package ID]])</f>
        <v>45820.0</v>
      </c>
      <c r="AB707" s="65">
        <f>IF(tblWorkPackages[[#This Row],[Completion date serial]]&gt;tblWorkPackages[[#This Row],[Due date serial]],1,0)</f>
        <v>0</v>
      </c>
      <c r="AC707" s="65">
        <f>MAX(0,tblWorkPackages[[#This Row],[Completion date serial]]-tblWorkPackages[[#This Row],[Due date serial]])</f>
        <v>0</v>
      </c>
      <c r="AD707" s="65">
        <f>tblWorkPackages[[#This Row],[First labor date]]-tblWorkPackages[[#This Row],[Request date serial]]</f>
        <v>3</v>
      </c>
      <c r="AE707" s="65">
        <f>tblWorkPackages[[#This Row],[Last labor date]]-tblWorkPackages[[#This Row],[First labor date]]</f>
        <v>0</v>
      </c>
      <c r="AF707" s="65">
        <f>tblWorkPackages[[#This Row],[Completion date serial]]-tblWorkPackages[[#This Row],[Last labor date]]</f>
        <v>1</v>
      </c>
      <c r="AG707" s="65">
        <f>tblWorkPackages[[#This Row],[Completion date serial]]-tblWorkPackages[[#This Row],[Request date serial]]</f>
        <v>4</v>
      </c>
      <c r="AH707" s="65">
        <f>IFERROR(INDEX(tblParts[Delay days],MATCH(tblWorkPackages[[#This Row],[Work package ID]],tblParts[Work package ID],0)),0)</f>
        <v>0</v>
      </c>
      <c r="AI707" s="51" t="str">
        <f>IFERROR(INDEX(tblDisruptions[Event type],MATCH(tblWorkPackages[[#This Row],[Work package ID]],tblDisruptions[Work package ID],0)),"None")</f>
        <v>None</v>
      </c>
      <c r="AJ707" s="51" t="str">
        <f>TEXT(tblWorkPackages[[#This Row],[Due date serial]],"yyyy-mm")</f>
        <v>2025-06</v>
      </c>
    </row>
    <row r="708" spans="1:36" ht="15" x14ac:dyDescent="0.25">
      <c r="A708" s="53" t="s">
        <v>1574</v>
      </c>
      <c r="B708" s="53" t="s">
        <v>203</v>
      </c>
      <c r="C708" s="53" t="s">
        <v>826</v>
      </c>
      <c r="D708" s="53" t="s">
        <v>1318</v>
      </c>
      <c r="E708" s="53" t="s">
        <v>127</v>
      </c>
      <c r="F708" s="53" t="s">
        <v>128</v>
      </c>
      <c r="G708" s="53" t="s">
        <v>129</v>
      </c>
      <c r="H708" s="53">
        <v>1</v>
      </c>
      <c r="I708" s="53" t="s">
        <v>147</v>
      </c>
      <c r="J708" s="53">
        <v>0</v>
      </c>
      <c r="K708" s="53">
        <v>0</v>
      </c>
      <c r="L708" s="53">
        <v>4.8</v>
      </c>
      <c r="M708" s="53" t="s">
        <v>1172</v>
      </c>
      <c r="N708" s="53">
        <v>5.4</v>
      </c>
      <c r="O708" s="51" t="str">
        <f>TEXT(tblWorkPackages[[#This Row],[Request date serial]]-WEEKDAY(tblWorkPackages[[#This Row],[Request date serial]],3),"yyyy-mm-dd")</f>
        <v>2025-03-03</v>
      </c>
      <c r="P708" s="51">
        <f>ABS(tblWorkPackages[[#This Row],[Actual labor hours]]-tblWorkPackages[[#This Row],[Estimated labor hours]])</f>
        <v>0.600000000000001</v>
      </c>
      <c r="Q708" s="51">
        <f>IF(tblWorkPackages[[#This Row],[Actual labor hours]]&gt;tblWorkPackages[[#This Row],[Estimated labor hours]],1,0)</f>
        <v>1</v>
      </c>
      <c r="R708" s="51">
        <f>tblWorkPackages[[#This Row],[Actual labor hours]]-tblWorkPackages[[#This Row],[Estimated labor hours]]</f>
        <v>0.600000000000001</v>
      </c>
      <c r="S708" s="51" t="str">
        <f>IF(tblWorkPackages[[#This Row],[Request date serial]]&lt;ValidationStart,"Train 2024",IF(tblWorkPackages[[#This Row],[Request date serial]]&lt;HoldoutStart,"Validation H1","Holdout H2"))</f>
        <v>Validation H1</v>
      </c>
      <c r="T708" s="51">
        <f>IF(tblWorkPackages[[#This Row],[Time split]]="Train 2024","",tblWorkPackages[[#This Row],[Estimated labor hours]]+VLOOKUP(tblWorkPackages[[#This Row],[Task type]],'Forecast validation'!$A$14:$E$25,IF(tblWorkPackages[[#This Row],[Time split]]="Validation H1",4,5),FALSE()))</f>
        <v>5.27564102564103</v>
      </c>
      <c r="U708" s="51">
        <f>IF(tblWorkPackages[[#This Row],[Calibrated forecast hours]]="","",ABS(tblWorkPackages[[#This Row],[Actual labor hours]]-tblWorkPackages[[#This Row],[Calibrated forecast hours]]))</f>
        <v>0.124358974358975</v>
      </c>
      <c r="V708" s="51">
        <f>IF(tblWorkPackages[[#This Row],[Time split]]="Train 2024",tblWorkPackages[[#This Row],[Estimated labor hours]],tblWorkPackages[[#This Row],[Calibrated forecast hours]])</f>
        <v>5.27564102564103</v>
      </c>
      <c r="W708" s="64">
        <f>DATEVALUE(tblWorkPackages[[#This Row],[Request date]])</f>
        <v>45724.0</v>
      </c>
      <c r="X708" s="64">
        <f>DATEVALUE(tblWorkPackages[[#This Row],[Due date]])</f>
        <v>45726.0</v>
      </c>
      <c r="Y708" s="64">
        <f>DATEVALUE(tblWorkPackages[[#This Row],[Completion date]])</f>
        <v>45764.0</v>
      </c>
      <c r="Z708" s="64">
        <f>_xlfn.MINIFS(tblLaborEntries[Work date serial],tblLaborEntries[Work package ID],tblWorkPackages[[#This Row],[Work package ID]])</f>
        <v>45761.0</v>
      </c>
      <c r="AA708" s="64">
        <f>_xlfn.MAXIFS(tblLaborEntries[Work date serial],tblLaborEntries[Work package ID],tblWorkPackages[[#This Row],[Work package ID]])</f>
        <v>45762.0</v>
      </c>
      <c r="AB708" s="65">
        <f>IF(tblWorkPackages[[#This Row],[Completion date serial]]&gt;tblWorkPackages[[#This Row],[Due date serial]],1,0)</f>
        <v>1</v>
      </c>
      <c r="AC708" s="65">
        <f>MAX(0,tblWorkPackages[[#This Row],[Completion date serial]]-tblWorkPackages[[#This Row],[Due date serial]])</f>
        <v>38</v>
      </c>
      <c r="AD708" s="65">
        <f>tblWorkPackages[[#This Row],[First labor date]]-tblWorkPackages[[#This Row],[Request date serial]]</f>
        <v>37</v>
      </c>
      <c r="AE708" s="65">
        <f>tblWorkPackages[[#This Row],[Last labor date]]-tblWorkPackages[[#This Row],[First labor date]]</f>
        <v>1</v>
      </c>
      <c r="AF708" s="65">
        <f>tblWorkPackages[[#This Row],[Completion date serial]]-tblWorkPackages[[#This Row],[Last labor date]]</f>
        <v>2</v>
      </c>
      <c r="AG708" s="65">
        <f>tblWorkPackages[[#This Row],[Completion date serial]]-tblWorkPackages[[#This Row],[Request date serial]]</f>
        <v>40</v>
      </c>
      <c r="AH708" s="65">
        <f>IFERROR(INDEX(tblParts[Delay days],MATCH(tblWorkPackages[[#This Row],[Work package ID]],tblParts[Work package ID],0)),0)</f>
        <v>0</v>
      </c>
      <c r="AI708" s="51" t="str">
        <f>IFERROR(INDEX(tblDisruptions[Event type],MATCH(tblWorkPackages[[#This Row],[Work package ID]],tblDisruptions[Work package ID],0)),"None")</f>
        <v>None</v>
      </c>
      <c r="AJ708" s="51" t="str">
        <f>TEXT(tblWorkPackages[[#This Row],[Due date serial]],"yyyy-mm")</f>
        <v>2025-03</v>
      </c>
    </row>
    <row r="709" spans="1:36" ht="15" x14ac:dyDescent="0.25">
      <c r="A709" s="53" t="s">
        <v>1575</v>
      </c>
      <c r="B709" s="53" t="s">
        <v>133</v>
      </c>
      <c r="C709" s="53" t="s">
        <v>457</v>
      </c>
      <c r="D709" s="53" t="s">
        <v>485</v>
      </c>
      <c r="E709" s="53" t="s">
        <v>223</v>
      </c>
      <c r="F709" s="53" t="s">
        <v>182</v>
      </c>
      <c r="G709" s="53" t="s">
        <v>154</v>
      </c>
      <c r="H709" s="53">
        <v>3</v>
      </c>
      <c r="I709" s="53" t="s">
        <v>176</v>
      </c>
      <c r="J709" s="53">
        <v>0</v>
      </c>
      <c r="K709" s="53">
        <v>0</v>
      </c>
      <c r="L709" s="53">
        <v>16.100000000000001</v>
      </c>
      <c r="M709" s="53" t="s">
        <v>681</v>
      </c>
      <c r="N709" s="53">
        <v>16.600000000000001</v>
      </c>
      <c r="O709" s="51" t="str">
        <f>TEXT(tblWorkPackages[[#This Row],[Request date serial]]-WEEKDAY(tblWorkPackages[[#This Row],[Request date serial]],3),"yyyy-mm-dd")</f>
        <v>2025-01-06</v>
      </c>
      <c r="P709" s="51">
        <f>ABS(tblWorkPackages[[#This Row],[Actual labor hours]]-tblWorkPackages[[#This Row],[Estimated labor hours]])</f>
        <v>0.5</v>
      </c>
      <c r="Q709" s="51">
        <f>IF(tblWorkPackages[[#This Row],[Actual labor hours]]&gt;tblWorkPackages[[#This Row],[Estimated labor hours]],1,0)</f>
        <v>1</v>
      </c>
      <c r="R709" s="51">
        <f>tblWorkPackages[[#This Row],[Actual labor hours]]-tblWorkPackages[[#This Row],[Estimated labor hours]]</f>
        <v>0.5</v>
      </c>
      <c r="S709" s="51" t="str">
        <f>IF(tblWorkPackages[[#This Row],[Request date serial]]&lt;ValidationStart,"Train 2024",IF(tblWorkPackages[[#This Row],[Request date serial]]&lt;HoldoutStart,"Validation H1","Holdout H2"))</f>
        <v>Validation H1</v>
      </c>
      <c r="T709" s="51">
        <f>IF(tblWorkPackages[[#This Row],[Time split]]="Train 2024","",tblWorkPackages[[#This Row],[Estimated labor hours]]+VLOOKUP(tblWorkPackages[[#This Row],[Task type]],'Forecast validation'!$A$14:$E$25,IF(tblWorkPackages[[#This Row],[Time split]]="Validation H1",4,5),FALSE()))</f>
        <v>16.9824175824176</v>
      </c>
      <c r="U709" s="51">
        <f>IF(tblWorkPackages[[#This Row],[Calibrated forecast hours]]="","",ABS(tblWorkPackages[[#This Row],[Actual labor hours]]-tblWorkPackages[[#This Row],[Calibrated forecast hours]]))</f>
        <v>0.382417582417581</v>
      </c>
      <c r="V709" s="51">
        <f>IF(tblWorkPackages[[#This Row],[Time split]]="Train 2024",tblWorkPackages[[#This Row],[Estimated labor hours]],tblWorkPackages[[#This Row],[Calibrated forecast hours]])</f>
        <v>16.9824175824176</v>
      </c>
      <c r="W709" s="64">
        <f>DATEVALUE(tblWorkPackages[[#This Row],[Request date]])</f>
        <v>45669.0</v>
      </c>
      <c r="X709" s="64">
        <f>DATEVALUE(tblWorkPackages[[#This Row],[Due date]])</f>
        <v>45675.0</v>
      </c>
      <c r="Y709" s="64">
        <f>DATEVALUE(tblWorkPackages[[#This Row],[Completion date]])</f>
        <v>45681.0</v>
      </c>
      <c r="Z709" s="64">
        <f>_xlfn.MINIFS(tblLaborEntries[Work date serial],tblLaborEntries[Work package ID],tblWorkPackages[[#This Row],[Work package ID]])</f>
        <v>45676.0</v>
      </c>
      <c r="AA709" s="64">
        <f>_xlfn.MAXIFS(tblLaborEntries[Work date serial],tblLaborEntries[Work package ID],tblWorkPackages[[#This Row],[Work package ID]])</f>
        <v>45678.0</v>
      </c>
      <c r="AB709" s="65">
        <f>IF(tblWorkPackages[[#This Row],[Completion date serial]]&gt;tblWorkPackages[[#This Row],[Due date serial]],1,0)</f>
        <v>1</v>
      </c>
      <c r="AC709" s="65">
        <f>MAX(0,tblWorkPackages[[#This Row],[Completion date serial]]-tblWorkPackages[[#This Row],[Due date serial]])</f>
        <v>6</v>
      </c>
      <c r="AD709" s="65">
        <f>tblWorkPackages[[#This Row],[First labor date]]-tblWorkPackages[[#This Row],[Request date serial]]</f>
        <v>7</v>
      </c>
      <c r="AE709" s="65">
        <f>tblWorkPackages[[#This Row],[Last labor date]]-tblWorkPackages[[#This Row],[First labor date]]</f>
        <v>2</v>
      </c>
      <c r="AF709" s="65">
        <f>tblWorkPackages[[#This Row],[Completion date serial]]-tblWorkPackages[[#This Row],[Last labor date]]</f>
        <v>3</v>
      </c>
      <c r="AG709" s="65">
        <f>tblWorkPackages[[#This Row],[Completion date serial]]-tblWorkPackages[[#This Row],[Request date serial]]</f>
        <v>12</v>
      </c>
      <c r="AH709" s="65">
        <f>IFERROR(INDEX(tblParts[Delay days],MATCH(tblWorkPackages[[#This Row],[Work package ID]],tblParts[Work package ID],0)),0)</f>
        <v>0</v>
      </c>
      <c r="AI709" s="51" t="str">
        <f>IFERROR(INDEX(tblDisruptions[Event type],MATCH(tblWorkPackages[[#This Row],[Work package ID]],tblDisruptions[Work package ID],0)),"None")</f>
        <v>None</v>
      </c>
      <c r="AJ709" s="51" t="str">
        <f>TEXT(tblWorkPackages[[#This Row],[Due date serial]],"yyyy-mm")</f>
        <v>2025-01</v>
      </c>
    </row>
    <row r="710" spans="1:36" ht="15" x14ac:dyDescent="0.25">
      <c r="A710" s="53" t="s">
        <v>1576</v>
      </c>
      <c r="B710" s="53" t="s">
        <v>168</v>
      </c>
      <c r="C710" s="53" t="s">
        <v>586</v>
      </c>
      <c r="D710" s="53" t="s">
        <v>587</v>
      </c>
      <c r="E710" s="53" t="s">
        <v>136</v>
      </c>
      <c r="F710" s="53" t="s">
        <v>137</v>
      </c>
      <c r="G710" s="53" t="s">
        <v>138</v>
      </c>
      <c r="H710" s="53">
        <v>2</v>
      </c>
      <c r="I710" s="53" t="s">
        <v>130</v>
      </c>
      <c r="J710" s="53">
        <v>0</v>
      </c>
      <c r="K710" s="53">
        <v>0</v>
      </c>
      <c r="L710" s="53">
        <v>14.6</v>
      </c>
      <c r="M710" s="53" t="s">
        <v>233</v>
      </c>
      <c r="N710" s="53">
        <v>13.2</v>
      </c>
      <c r="O710" s="51" t="str">
        <f>TEXT(tblWorkPackages[[#This Row],[Request date serial]]-WEEKDAY(tblWorkPackages[[#This Row],[Request date serial]],3),"yyyy-mm-dd")</f>
        <v>2024-12-30</v>
      </c>
      <c r="P710" s="51">
        <f>ABS(tblWorkPackages[[#This Row],[Actual labor hours]]-tblWorkPackages[[#This Row],[Estimated labor hours]])</f>
        <v>1.4</v>
      </c>
      <c r="Q710" s="51">
        <f>IF(tblWorkPackages[[#This Row],[Actual labor hours]]&gt;tblWorkPackages[[#This Row],[Estimated labor hours]],1,0)</f>
        <v>0</v>
      </c>
      <c r="R710" s="51">
        <f>tblWorkPackages[[#This Row],[Actual labor hours]]-tblWorkPackages[[#This Row],[Estimated labor hours]]</f>
        <v>-1.4</v>
      </c>
      <c r="S710" s="51" t="str">
        <f>IF(tblWorkPackages[[#This Row],[Request date serial]]&lt;ValidationStart,"Train 2024",IF(tblWorkPackages[[#This Row],[Request date serial]]&lt;HoldoutStart,"Validation H1","Holdout H2"))</f>
        <v>Validation H1</v>
      </c>
      <c r="T710" s="51">
        <f>IF(tblWorkPackages[[#This Row],[Time split]]="Train 2024","",tblWorkPackages[[#This Row],[Estimated labor hours]]+VLOOKUP(tblWorkPackages[[#This Row],[Task type]],'Forecast validation'!$A$14:$E$25,IF(tblWorkPackages[[#This Row],[Time split]]="Validation H1",4,5),FALSE()))</f>
        <v>15.4765306122449</v>
      </c>
      <c r="U710" s="51">
        <f>IF(tblWorkPackages[[#This Row],[Calibrated forecast hours]]="","",ABS(tblWorkPackages[[#This Row],[Actual labor hours]]-tblWorkPackages[[#This Row],[Calibrated forecast hours]]))</f>
        <v>2.2765306122449</v>
      </c>
      <c r="V710" s="51">
        <f>IF(tblWorkPackages[[#This Row],[Time split]]="Train 2024",tblWorkPackages[[#This Row],[Estimated labor hours]],tblWorkPackages[[#This Row],[Calibrated forecast hours]])</f>
        <v>15.4765306122449</v>
      </c>
      <c r="W710" s="64">
        <f>DATEVALUE(tblWorkPackages[[#This Row],[Request date]])</f>
        <v>45658.0</v>
      </c>
      <c r="X710" s="64">
        <f>DATEVALUE(tblWorkPackages[[#This Row],[Due date]])</f>
        <v>45671.0</v>
      </c>
      <c r="Y710" s="64">
        <f>DATEVALUE(tblWorkPackages[[#This Row],[Completion date]])</f>
        <v>45661.0</v>
      </c>
      <c r="Z710" s="64">
        <f>_xlfn.MINIFS(tblLaborEntries[Work date serial],tblLaborEntries[Work package ID],tblWorkPackages[[#This Row],[Work package ID]])</f>
        <v>45660.0</v>
      </c>
      <c r="AA710" s="64">
        <f>_xlfn.MAXIFS(tblLaborEntries[Work date serial],tblLaborEntries[Work package ID],tblWorkPackages[[#This Row],[Work package ID]])</f>
        <v>45661.0</v>
      </c>
      <c r="AB710" s="65">
        <f>IF(tblWorkPackages[[#This Row],[Completion date serial]]&gt;tblWorkPackages[[#This Row],[Due date serial]],1,0)</f>
        <v>0</v>
      </c>
      <c r="AC710" s="65">
        <f>MAX(0,tblWorkPackages[[#This Row],[Completion date serial]]-tblWorkPackages[[#This Row],[Due date serial]])</f>
        <v>0</v>
      </c>
      <c r="AD710" s="65">
        <f>tblWorkPackages[[#This Row],[First labor date]]-tblWorkPackages[[#This Row],[Request date serial]]</f>
        <v>2</v>
      </c>
      <c r="AE710" s="65">
        <f>tblWorkPackages[[#This Row],[Last labor date]]-tblWorkPackages[[#This Row],[First labor date]]</f>
        <v>1</v>
      </c>
      <c r="AF710" s="65">
        <f>tblWorkPackages[[#This Row],[Completion date serial]]-tblWorkPackages[[#This Row],[Last labor date]]</f>
        <v>0</v>
      </c>
      <c r="AG710" s="65">
        <f>tblWorkPackages[[#This Row],[Completion date serial]]-tblWorkPackages[[#This Row],[Request date serial]]</f>
        <v>3</v>
      </c>
      <c r="AH710" s="65">
        <f>IFERROR(INDEX(tblParts[Delay days],MATCH(tblWorkPackages[[#This Row],[Work package ID]],tblParts[Work package ID],0)),0)</f>
        <v>0</v>
      </c>
      <c r="AI710" s="51" t="str">
        <f>IFERROR(INDEX(tblDisruptions[Event type],MATCH(tblWorkPackages[[#This Row],[Work package ID]],tblDisruptions[Work package ID],0)),"None")</f>
        <v>None</v>
      </c>
      <c r="AJ710" s="51" t="str">
        <f>TEXT(tblWorkPackages[[#This Row],[Due date serial]],"yyyy-mm")</f>
        <v>2025-01</v>
      </c>
    </row>
    <row r="711" spans="1:36" ht="15" x14ac:dyDescent="0.25">
      <c r="A711" s="53" t="s">
        <v>1577</v>
      </c>
      <c r="B711" s="53" t="s">
        <v>168</v>
      </c>
      <c r="C711" s="53" t="s">
        <v>770</v>
      </c>
      <c r="D711" s="53" t="s">
        <v>1578</v>
      </c>
      <c r="E711" s="53" t="s">
        <v>242</v>
      </c>
      <c r="F711" s="53" t="s">
        <v>243</v>
      </c>
      <c r="G711" s="53" t="s">
        <v>129</v>
      </c>
      <c r="H711" s="53">
        <v>4</v>
      </c>
      <c r="I711" s="53" t="s">
        <v>176</v>
      </c>
      <c r="J711" s="53">
        <v>0</v>
      </c>
      <c r="K711" s="53">
        <v>0</v>
      </c>
      <c r="L711" s="53">
        <v>14.4</v>
      </c>
      <c r="M711" s="53" t="s">
        <v>373</v>
      </c>
      <c r="N711" s="53">
        <v>17.5</v>
      </c>
      <c r="O711" s="51" t="str">
        <f>TEXT(tblWorkPackages[[#This Row],[Request date serial]]-WEEKDAY(tblWorkPackages[[#This Row],[Request date serial]],3),"yyyy-mm-dd")</f>
        <v>2024-09-23</v>
      </c>
      <c r="P711" s="51">
        <f>ABS(tblWorkPackages[[#This Row],[Actual labor hours]]-tblWorkPackages[[#This Row],[Estimated labor hours]])</f>
        <v>3.1</v>
      </c>
      <c r="Q711" s="51">
        <f>IF(tblWorkPackages[[#This Row],[Actual labor hours]]&gt;tblWorkPackages[[#This Row],[Estimated labor hours]],1,0)</f>
        <v>1</v>
      </c>
      <c r="R711" s="51">
        <f>tblWorkPackages[[#This Row],[Actual labor hours]]-tblWorkPackages[[#This Row],[Estimated labor hours]]</f>
        <v>3.1</v>
      </c>
      <c r="S711" s="51" t="str">
        <f>IF(tblWorkPackages[[#This Row],[Request date serial]]&lt;ValidationStart,"Train 2024",IF(tblWorkPackages[[#This Row],[Request date serial]]&lt;HoldoutStart,"Validation H1","Holdout H2"))</f>
        <v>Train 2024</v>
      </c>
      <c r="T711" s="51" t="str">
        <f>IF(tblWorkPackages[[#This Row],[Time split]]="Train 2024","",tblWorkPackages[[#This Row],[Estimated labor hours]]+VLOOKUP(tblWorkPackages[[#This Row],[Task type]],'Forecast validation'!$A$14:$E$25,IF(tblWorkPackages[[#This Row],[Time split]]="Validation H1",4,5),FALSE()))</f>
        <v/>
      </c>
      <c r="U711" s="51" t="str">
        <f>IF(tblWorkPackages[[#This Row],[Calibrated forecast hours]]="","",ABS(tblWorkPackages[[#This Row],[Actual labor hours]]-tblWorkPackages[[#This Row],[Calibrated forecast hours]]))</f>
        <v/>
      </c>
      <c r="V711" s="51">
        <f>IF(tblWorkPackages[[#This Row],[Time split]]="Train 2024",tblWorkPackages[[#This Row],[Estimated labor hours]],tblWorkPackages[[#This Row],[Calibrated forecast hours]])</f>
        <v>14.4</v>
      </c>
      <c r="W711" s="64">
        <f>DATEVALUE(tblWorkPackages[[#This Row],[Request date]])</f>
        <v>45558.0</v>
      </c>
      <c r="X711" s="64">
        <f>DATEVALUE(tblWorkPackages[[#This Row],[Due date]])</f>
        <v>45564.0</v>
      </c>
      <c r="Y711" s="64">
        <f>DATEVALUE(tblWorkPackages[[#This Row],[Completion date]])</f>
        <v>45575.0</v>
      </c>
      <c r="Z711" s="64">
        <f>_xlfn.MINIFS(tblLaborEntries[Work date serial],tblLaborEntries[Work package ID],tblWorkPackages[[#This Row],[Work package ID]])</f>
        <v>45574.0</v>
      </c>
      <c r="AA711" s="64">
        <f>_xlfn.MAXIFS(tblLaborEntries[Work date serial],tblLaborEntries[Work package ID],tblWorkPackages[[#This Row],[Work package ID]])</f>
        <v>45574.0</v>
      </c>
      <c r="AB711" s="65">
        <f>IF(tblWorkPackages[[#This Row],[Completion date serial]]&gt;tblWorkPackages[[#This Row],[Due date serial]],1,0)</f>
        <v>1</v>
      </c>
      <c r="AC711" s="65">
        <f>MAX(0,tblWorkPackages[[#This Row],[Completion date serial]]-tblWorkPackages[[#This Row],[Due date serial]])</f>
        <v>11</v>
      </c>
      <c r="AD711" s="65">
        <f>tblWorkPackages[[#This Row],[First labor date]]-tblWorkPackages[[#This Row],[Request date serial]]</f>
        <v>16</v>
      </c>
      <c r="AE711" s="65">
        <f>tblWorkPackages[[#This Row],[Last labor date]]-tblWorkPackages[[#This Row],[First labor date]]</f>
        <v>0</v>
      </c>
      <c r="AF711" s="65">
        <f>tblWorkPackages[[#This Row],[Completion date serial]]-tblWorkPackages[[#This Row],[Last labor date]]</f>
        <v>1</v>
      </c>
      <c r="AG711" s="65">
        <f>tblWorkPackages[[#This Row],[Completion date serial]]-tblWorkPackages[[#This Row],[Request date serial]]</f>
        <v>17</v>
      </c>
      <c r="AH711" s="65">
        <f>IFERROR(INDEX(tblParts[Delay days],MATCH(tblWorkPackages[[#This Row],[Work package ID]],tblParts[Work package ID],0)),0)</f>
        <v>0</v>
      </c>
      <c r="AI711" s="51" t="str">
        <f>IFERROR(INDEX(tblDisruptions[Event type],MATCH(tblWorkPackages[[#This Row],[Work package ID]],tblDisruptions[Work package ID],0)),"None")</f>
        <v>None</v>
      </c>
      <c r="AJ711" s="51" t="str">
        <f>TEXT(tblWorkPackages[[#This Row],[Due date serial]],"yyyy-mm")</f>
        <v>2024-09</v>
      </c>
    </row>
    <row r="712" spans="1:36" ht="15" x14ac:dyDescent="0.25">
      <c r="A712" s="53" t="s">
        <v>1579</v>
      </c>
      <c r="B712" s="53" t="s">
        <v>133</v>
      </c>
      <c r="C712" s="53" t="s">
        <v>472</v>
      </c>
      <c r="D712" s="53" t="s">
        <v>1469</v>
      </c>
      <c r="E712" s="53" t="s">
        <v>223</v>
      </c>
      <c r="F712" s="53" t="s">
        <v>182</v>
      </c>
      <c r="G712" s="53" t="s">
        <v>154</v>
      </c>
      <c r="H712" s="53">
        <v>2</v>
      </c>
      <c r="I712" s="53" t="s">
        <v>130</v>
      </c>
      <c r="J712" s="53">
        <v>0</v>
      </c>
      <c r="K712" s="53">
        <v>0</v>
      </c>
      <c r="L712" s="53">
        <v>13.3</v>
      </c>
      <c r="M712" s="53" t="s">
        <v>1380</v>
      </c>
      <c r="N712" s="53">
        <v>16.5</v>
      </c>
      <c r="O712" s="51" t="str">
        <f>TEXT(tblWorkPackages[[#This Row],[Request date serial]]-WEEKDAY(tblWorkPackages[[#This Row],[Request date serial]],3),"yyyy-mm-dd")</f>
        <v>2024-04-22</v>
      </c>
      <c r="P712" s="51">
        <f>ABS(tblWorkPackages[[#This Row],[Actual labor hours]]-tblWorkPackages[[#This Row],[Estimated labor hours]])</f>
        <v>3.2</v>
      </c>
      <c r="Q712" s="51">
        <f>IF(tblWorkPackages[[#This Row],[Actual labor hours]]&gt;tblWorkPackages[[#This Row],[Estimated labor hours]],1,0)</f>
        <v>1</v>
      </c>
      <c r="R712" s="51">
        <f>tblWorkPackages[[#This Row],[Actual labor hours]]-tblWorkPackages[[#This Row],[Estimated labor hours]]</f>
        <v>3.2</v>
      </c>
      <c r="S712" s="51" t="str">
        <f>IF(tblWorkPackages[[#This Row],[Request date serial]]&lt;ValidationStart,"Train 2024",IF(tblWorkPackages[[#This Row],[Request date serial]]&lt;HoldoutStart,"Validation H1","Holdout H2"))</f>
        <v>Train 2024</v>
      </c>
      <c r="T712" s="51" t="str">
        <f>IF(tblWorkPackages[[#This Row],[Time split]]="Train 2024","",tblWorkPackages[[#This Row],[Estimated labor hours]]+VLOOKUP(tblWorkPackages[[#This Row],[Task type]],'Forecast validation'!$A$14:$E$25,IF(tblWorkPackages[[#This Row],[Time split]]="Validation H1",4,5),FALSE()))</f>
        <v/>
      </c>
      <c r="U712" s="51" t="str">
        <f>IF(tblWorkPackages[[#This Row],[Calibrated forecast hours]]="","",ABS(tblWorkPackages[[#This Row],[Actual labor hours]]-tblWorkPackages[[#This Row],[Calibrated forecast hours]]))</f>
        <v/>
      </c>
      <c r="V712" s="51">
        <f>IF(tblWorkPackages[[#This Row],[Time split]]="Train 2024",tblWorkPackages[[#This Row],[Estimated labor hours]],tblWorkPackages[[#This Row],[Calibrated forecast hours]])</f>
        <v>13.3</v>
      </c>
      <c r="W712" s="64">
        <f>DATEVALUE(tblWorkPackages[[#This Row],[Request date]])</f>
        <v>45408.0</v>
      </c>
      <c r="X712" s="64">
        <f>DATEVALUE(tblWorkPackages[[#This Row],[Due date]])</f>
        <v>45421.0</v>
      </c>
      <c r="Y712" s="64">
        <f>DATEVALUE(tblWorkPackages[[#This Row],[Completion date]])</f>
        <v>45415.0</v>
      </c>
      <c r="Z712" s="64">
        <f>_xlfn.MINIFS(tblLaborEntries[Work date serial],tblLaborEntries[Work package ID],tblWorkPackages[[#This Row],[Work package ID]])</f>
        <v>45412.0</v>
      </c>
      <c r="AA712" s="64">
        <f>_xlfn.MAXIFS(tblLaborEntries[Work date serial],tblLaborEntries[Work package ID],tblWorkPackages[[#This Row],[Work package ID]])</f>
        <v>45413.0</v>
      </c>
      <c r="AB712" s="65">
        <f>IF(tblWorkPackages[[#This Row],[Completion date serial]]&gt;tblWorkPackages[[#This Row],[Due date serial]],1,0)</f>
        <v>0</v>
      </c>
      <c r="AC712" s="65">
        <f>MAX(0,tblWorkPackages[[#This Row],[Completion date serial]]-tblWorkPackages[[#This Row],[Due date serial]])</f>
        <v>0</v>
      </c>
      <c r="AD712" s="65">
        <f>tblWorkPackages[[#This Row],[First labor date]]-tblWorkPackages[[#This Row],[Request date serial]]</f>
        <v>4</v>
      </c>
      <c r="AE712" s="65">
        <f>tblWorkPackages[[#This Row],[Last labor date]]-tblWorkPackages[[#This Row],[First labor date]]</f>
        <v>1</v>
      </c>
      <c r="AF712" s="65">
        <f>tblWorkPackages[[#This Row],[Completion date serial]]-tblWorkPackages[[#This Row],[Last labor date]]</f>
        <v>2</v>
      </c>
      <c r="AG712" s="65">
        <f>tblWorkPackages[[#This Row],[Completion date serial]]-tblWorkPackages[[#This Row],[Request date serial]]</f>
        <v>7</v>
      </c>
      <c r="AH712" s="65">
        <f>IFERROR(INDEX(tblParts[Delay days],MATCH(tblWorkPackages[[#This Row],[Work package ID]],tblParts[Work package ID],0)),0)</f>
        <v>0</v>
      </c>
      <c r="AI712" s="51" t="str">
        <f>IFERROR(INDEX(tblDisruptions[Event type],MATCH(tblWorkPackages[[#This Row],[Work package ID]],tblDisruptions[Work package ID],0)),"None")</f>
        <v>None</v>
      </c>
      <c r="AJ712" s="51" t="str">
        <f>TEXT(tblWorkPackages[[#This Row],[Due date serial]],"yyyy-mm")</f>
        <v>2024-05</v>
      </c>
    </row>
    <row r="713" spans="1:36" ht="15" x14ac:dyDescent="0.25">
      <c r="A713" s="53" t="s">
        <v>1580</v>
      </c>
      <c r="B713" s="53" t="s">
        <v>203</v>
      </c>
      <c r="C713" s="53" t="s">
        <v>1581</v>
      </c>
      <c r="D713" s="53" t="s">
        <v>778</v>
      </c>
      <c r="E713" s="53" t="s">
        <v>237</v>
      </c>
      <c r="F713" s="53" t="s">
        <v>182</v>
      </c>
      <c r="G713" s="53" t="s">
        <v>138</v>
      </c>
      <c r="H713" s="53">
        <v>3</v>
      </c>
      <c r="I713" s="53" t="s">
        <v>130</v>
      </c>
      <c r="J713" s="53">
        <v>0</v>
      </c>
      <c r="K713" s="53">
        <v>1</v>
      </c>
      <c r="L713" s="53">
        <v>6.2</v>
      </c>
      <c r="M713" s="53" t="s">
        <v>651</v>
      </c>
      <c r="N713" s="53">
        <v>5.5</v>
      </c>
      <c r="O713" s="51" t="str">
        <f>TEXT(tblWorkPackages[[#This Row],[Request date serial]]-WEEKDAY(tblWorkPackages[[#This Row],[Request date serial]],3),"yyyy-mm-dd")</f>
        <v>2025-12-01</v>
      </c>
      <c r="P713" s="51">
        <f>ABS(tblWorkPackages[[#This Row],[Actual labor hours]]-tblWorkPackages[[#This Row],[Estimated labor hours]])</f>
        <v>0.7</v>
      </c>
      <c r="Q713" s="51">
        <f>IF(tblWorkPackages[[#This Row],[Actual labor hours]]&gt;tblWorkPackages[[#This Row],[Estimated labor hours]],1,0)</f>
        <v>0</v>
      </c>
      <c r="R713" s="51">
        <f>tblWorkPackages[[#This Row],[Actual labor hours]]-tblWorkPackages[[#This Row],[Estimated labor hours]]</f>
        <v>-0.7</v>
      </c>
      <c r="S713" s="51" t="str">
        <f>IF(tblWorkPackages[[#This Row],[Request date serial]]&lt;ValidationStart,"Train 2024",IF(tblWorkPackages[[#This Row],[Request date serial]]&lt;HoldoutStart,"Validation H1","Holdout H2"))</f>
        <v>Holdout H2</v>
      </c>
      <c r="T713" s="51">
        <f>IF(tblWorkPackages[[#This Row],[Time split]]="Train 2024","",tblWorkPackages[[#This Row],[Estimated labor hours]]+VLOOKUP(tblWorkPackages[[#This Row],[Task type]],'Forecast validation'!$A$14:$E$25,IF(tblWorkPackages[[#This Row],[Time split]]="Validation H1",4,5),FALSE()))</f>
        <v>6.653125</v>
      </c>
      <c r="U713" s="51">
        <f>IF(tblWorkPackages[[#This Row],[Calibrated forecast hours]]="","",ABS(tblWorkPackages[[#This Row],[Actual labor hours]]-tblWorkPackages[[#This Row],[Calibrated forecast hours]]))</f>
        <v>1.153125</v>
      </c>
      <c r="V713" s="51">
        <f>IF(tblWorkPackages[[#This Row],[Time split]]="Train 2024",tblWorkPackages[[#This Row],[Estimated labor hours]],tblWorkPackages[[#This Row],[Calibrated forecast hours]])</f>
        <v>6.653125</v>
      </c>
      <c r="W713" s="64">
        <f>DATEVALUE(tblWorkPackages[[#This Row],[Request date]])</f>
        <v>45992.0</v>
      </c>
      <c r="X713" s="64">
        <f>DATEVALUE(tblWorkPackages[[#This Row],[Due date]])</f>
        <v>46005.0</v>
      </c>
      <c r="Y713" s="64">
        <f>DATEVALUE(tblWorkPackages[[#This Row],[Completion date]])</f>
        <v>45997.0</v>
      </c>
      <c r="Z713" s="64">
        <f>_xlfn.MINIFS(tblLaborEntries[Work date serial],tblLaborEntries[Work package ID],tblWorkPackages[[#This Row],[Work package ID]])</f>
        <v>45993.0</v>
      </c>
      <c r="AA713" s="64">
        <f>_xlfn.MAXIFS(tblLaborEntries[Work date serial],tblLaborEntries[Work package ID],tblWorkPackages[[#This Row],[Work package ID]])</f>
        <v>45994.0</v>
      </c>
      <c r="AB713" s="65">
        <f>IF(tblWorkPackages[[#This Row],[Completion date serial]]&gt;tblWorkPackages[[#This Row],[Due date serial]],1,0)</f>
        <v>0</v>
      </c>
      <c r="AC713" s="65">
        <f>MAX(0,tblWorkPackages[[#This Row],[Completion date serial]]-tblWorkPackages[[#This Row],[Due date serial]])</f>
        <v>0</v>
      </c>
      <c r="AD713" s="65">
        <f>tblWorkPackages[[#This Row],[First labor date]]-tblWorkPackages[[#This Row],[Request date serial]]</f>
        <v>1</v>
      </c>
      <c r="AE713" s="65">
        <f>tblWorkPackages[[#This Row],[Last labor date]]-tblWorkPackages[[#This Row],[First labor date]]</f>
        <v>1</v>
      </c>
      <c r="AF713" s="65">
        <f>tblWorkPackages[[#This Row],[Completion date serial]]-tblWorkPackages[[#This Row],[Last labor date]]</f>
        <v>3</v>
      </c>
      <c r="AG713" s="65">
        <f>tblWorkPackages[[#This Row],[Completion date serial]]-tblWorkPackages[[#This Row],[Request date serial]]</f>
        <v>5</v>
      </c>
      <c r="AH713" s="65">
        <f>IFERROR(INDEX(tblParts[Delay days],MATCH(tblWorkPackages[[#This Row],[Work package ID]],tblParts[Work package ID],0)),0)</f>
        <v>0</v>
      </c>
      <c r="AI713" s="51" t="str">
        <f>IFERROR(INDEX(tblDisruptions[Event type],MATCH(tblWorkPackages[[#This Row],[Work package ID]],tblDisruptions[Work package ID],0)),"None")</f>
        <v>None</v>
      </c>
      <c r="AJ713" s="51" t="str">
        <f>TEXT(tblWorkPackages[[#This Row],[Due date serial]],"yyyy-mm")</f>
        <v>2025-12</v>
      </c>
    </row>
    <row r="714" spans="1:36" ht="15" x14ac:dyDescent="0.25">
      <c r="A714" s="53" t="s">
        <v>1582</v>
      </c>
      <c r="B714" s="53" t="s">
        <v>157</v>
      </c>
      <c r="C714" s="53" t="s">
        <v>1289</v>
      </c>
      <c r="D714" s="53" t="s">
        <v>445</v>
      </c>
      <c r="E714" s="53" t="s">
        <v>237</v>
      </c>
      <c r="F714" s="53" t="s">
        <v>182</v>
      </c>
      <c r="G714" s="53" t="s">
        <v>138</v>
      </c>
      <c r="H714" s="53">
        <v>1</v>
      </c>
      <c r="I714" s="53" t="s">
        <v>130</v>
      </c>
      <c r="J714" s="53">
        <v>0</v>
      </c>
      <c r="K714" s="53">
        <v>0</v>
      </c>
      <c r="L714" s="53">
        <v>3.5</v>
      </c>
      <c r="M714" s="53" t="s">
        <v>607</v>
      </c>
      <c r="N714" s="53">
        <v>3.5</v>
      </c>
      <c r="O714" s="51" t="str">
        <f>TEXT(tblWorkPackages[[#This Row],[Request date serial]]-WEEKDAY(tblWorkPackages[[#This Row],[Request date serial]],3),"yyyy-mm-dd")</f>
        <v>2025-03-03</v>
      </c>
      <c r="P714" s="51">
        <f>ABS(tblWorkPackages[[#This Row],[Actual labor hours]]-tblWorkPackages[[#This Row],[Estimated labor hours]])</f>
        <v>0</v>
      </c>
      <c r="Q714" s="51">
        <f>IF(tblWorkPackages[[#This Row],[Actual labor hours]]&gt;tblWorkPackages[[#This Row],[Estimated labor hours]],1,0)</f>
        <v>0</v>
      </c>
      <c r="R714" s="51">
        <f>tblWorkPackages[[#This Row],[Actual labor hours]]-tblWorkPackages[[#This Row],[Estimated labor hours]]</f>
        <v>0</v>
      </c>
      <c r="S714" s="51" t="str">
        <f>IF(tblWorkPackages[[#This Row],[Request date serial]]&lt;ValidationStart,"Train 2024",IF(tblWorkPackages[[#This Row],[Request date serial]]&lt;HoldoutStart,"Validation H1","Holdout H2"))</f>
        <v>Validation H1</v>
      </c>
      <c r="T714" s="51">
        <f>IF(tblWorkPackages[[#This Row],[Time split]]="Train 2024","",tblWorkPackages[[#This Row],[Estimated labor hours]]+VLOOKUP(tblWorkPackages[[#This Row],[Task type]],'Forecast validation'!$A$14:$E$25,IF(tblWorkPackages[[#This Row],[Time split]]="Validation H1",4,5),FALSE()))</f>
        <v>4.0037037037037</v>
      </c>
      <c r="U714" s="51">
        <f>IF(tblWorkPackages[[#This Row],[Calibrated forecast hours]]="","",ABS(tblWorkPackages[[#This Row],[Actual labor hours]]-tblWorkPackages[[#This Row],[Calibrated forecast hours]]))</f>
        <v>0.503703703703704</v>
      </c>
      <c r="V714" s="51">
        <f>IF(tblWorkPackages[[#This Row],[Time split]]="Train 2024",tblWorkPackages[[#This Row],[Estimated labor hours]],tblWorkPackages[[#This Row],[Calibrated forecast hours]])</f>
        <v>4.0037037037037</v>
      </c>
      <c r="W714" s="64">
        <f>DATEVALUE(tblWorkPackages[[#This Row],[Request date]])</f>
        <v>45722.0</v>
      </c>
      <c r="X714" s="64">
        <f>DATEVALUE(tblWorkPackages[[#This Row],[Due date]])</f>
        <v>45735.0</v>
      </c>
      <c r="Y714" s="64">
        <f>DATEVALUE(tblWorkPackages[[#This Row],[Completion date]])</f>
        <v>45734.0</v>
      </c>
      <c r="Z714" s="64">
        <f>_xlfn.MINIFS(tblLaborEntries[Work date serial],tblLaborEntries[Work package ID],tblWorkPackages[[#This Row],[Work package ID]])</f>
        <v>45732.0</v>
      </c>
      <c r="AA714" s="64">
        <f>_xlfn.MAXIFS(tblLaborEntries[Work date serial],tblLaborEntries[Work package ID],tblWorkPackages[[#This Row],[Work package ID]])</f>
        <v>45734.0</v>
      </c>
      <c r="AB714" s="65">
        <f>IF(tblWorkPackages[[#This Row],[Completion date serial]]&gt;tblWorkPackages[[#This Row],[Due date serial]],1,0)</f>
        <v>0</v>
      </c>
      <c r="AC714" s="65">
        <f>MAX(0,tblWorkPackages[[#This Row],[Completion date serial]]-tblWorkPackages[[#This Row],[Due date serial]])</f>
        <v>0</v>
      </c>
      <c r="AD714" s="65">
        <f>tblWorkPackages[[#This Row],[First labor date]]-tblWorkPackages[[#This Row],[Request date serial]]</f>
        <v>10</v>
      </c>
      <c r="AE714" s="65">
        <f>tblWorkPackages[[#This Row],[Last labor date]]-tblWorkPackages[[#This Row],[First labor date]]</f>
        <v>2</v>
      </c>
      <c r="AF714" s="65">
        <f>tblWorkPackages[[#This Row],[Completion date serial]]-tblWorkPackages[[#This Row],[Last labor date]]</f>
        <v>0</v>
      </c>
      <c r="AG714" s="65">
        <f>tblWorkPackages[[#This Row],[Completion date serial]]-tblWorkPackages[[#This Row],[Request date serial]]</f>
        <v>12</v>
      </c>
      <c r="AH714" s="65">
        <f>IFERROR(INDEX(tblParts[Delay days],MATCH(tblWorkPackages[[#This Row],[Work package ID]],tblParts[Work package ID],0)),0)</f>
        <v>0</v>
      </c>
      <c r="AI714" s="51" t="str">
        <f>IFERROR(INDEX(tblDisruptions[Event type],MATCH(tblWorkPackages[[#This Row],[Work package ID]],tblDisruptions[Work package ID],0)),"None")</f>
        <v>None</v>
      </c>
      <c r="AJ714" s="51" t="str">
        <f>TEXT(tblWorkPackages[[#This Row],[Due date serial]],"yyyy-mm")</f>
        <v>2025-03</v>
      </c>
    </row>
    <row r="715" spans="1:36" ht="15" x14ac:dyDescent="0.25">
      <c r="A715" s="53" t="s">
        <v>1583</v>
      </c>
      <c r="B715" s="53" t="s">
        <v>250</v>
      </c>
      <c r="C715" s="53" t="s">
        <v>848</v>
      </c>
      <c r="D715" s="53" t="s">
        <v>356</v>
      </c>
      <c r="E715" s="53" t="s">
        <v>272</v>
      </c>
      <c r="F715" s="53" t="s">
        <v>145</v>
      </c>
      <c r="G715" s="53" t="s">
        <v>273</v>
      </c>
      <c r="H715" s="53">
        <v>3</v>
      </c>
      <c r="I715" s="53" t="s">
        <v>176</v>
      </c>
      <c r="J715" s="53">
        <v>0</v>
      </c>
      <c r="K715" s="53">
        <v>0</v>
      </c>
      <c r="L715" s="53">
        <v>14.5</v>
      </c>
      <c r="M715" s="53" t="s">
        <v>219</v>
      </c>
      <c r="N715" s="53">
        <v>13.2</v>
      </c>
      <c r="O715" s="51" t="str">
        <f>TEXT(tblWorkPackages[[#This Row],[Request date serial]]-WEEKDAY(tblWorkPackages[[#This Row],[Request date serial]],3),"yyyy-mm-dd")</f>
        <v>2025-12-15</v>
      </c>
      <c r="P715" s="51">
        <f>ABS(tblWorkPackages[[#This Row],[Actual labor hours]]-tblWorkPackages[[#This Row],[Estimated labor hours]])</f>
        <v>1.3</v>
      </c>
      <c r="Q715" s="51">
        <f>IF(tblWorkPackages[[#This Row],[Actual labor hours]]&gt;tblWorkPackages[[#This Row],[Estimated labor hours]],1,0)</f>
        <v>0</v>
      </c>
      <c r="R715" s="51">
        <f>tblWorkPackages[[#This Row],[Actual labor hours]]-tblWorkPackages[[#This Row],[Estimated labor hours]]</f>
        <v>-1.3</v>
      </c>
      <c r="S715" s="51" t="str">
        <f>IF(tblWorkPackages[[#This Row],[Request date serial]]&lt;ValidationStart,"Train 2024",IF(tblWorkPackages[[#This Row],[Request date serial]]&lt;HoldoutStart,"Validation H1","Holdout H2"))</f>
        <v>Holdout H2</v>
      </c>
      <c r="T715" s="51">
        <f>IF(tblWorkPackages[[#This Row],[Time split]]="Train 2024","",tblWorkPackages[[#This Row],[Estimated labor hours]]+VLOOKUP(tblWorkPackages[[#This Row],[Task type]],'Forecast validation'!$A$14:$E$25,IF(tblWorkPackages[[#This Row],[Time split]]="Validation H1",4,5),FALSE()))</f>
        <v>15.48515625</v>
      </c>
      <c r="U715" s="51">
        <f>IF(tblWorkPackages[[#This Row],[Calibrated forecast hours]]="","",ABS(tblWorkPackages[[#This Row],[Actual labor hours]]-tblWorkPackages[[#This Row],[Calibrated forecast hours]]))</f>
        <v>2.28515625</v>
      </c>
      <c r="V715" s="51">
        <f>IF(tblWorkPackages[[#This Row],[Time split]]="Train 2024",tblWorkPackages[[#This Row],[Estimated labor hours]],tblWorkPackages[[#This Row],[Calibrated forecast hours]])</f>
        <v>15.48515625</v>
      </c>
      <c r="W715" s="64">
        <f>DATEVALUE(tblWorkPackages[[#This Row],[Request date]])</f>
        <v>46006.0</v>
      </c>
      <c r="X715" s="64">
        <f>DATEVALUE(tblWorkPackages[[#This Row],[Due date]])</f>
        <v>46012.0</v>
      </c>
      <c r="Y715" s="64">
        <f>DATEVALUE(tblWorkPackages[[#This Row],[Completion date]])</f>
        <v>46011.0</v>
      </c>
      <c r="Z715" s="64">
        <f>_xlfn.MINIFS(tblLaborEntries[Work date serial],tblLaborEntries[Work package ID],tblWorkPackages[[#This Row],[Work package ID]])</f>
        <v>46009.0</v>
      </c>
      <c r="AA715" s="64">
        <f>_xlfn.MAXIFS(tblLaborEntries[Work date serial],tblLaborEntries[Work package ID],tblWorkPackages[[#This Row],[Work package ID]])</f>
        <v>46010.0</v>
      </c>
      <c r="AB715" s="65">
        <f>IF(tblWorkPackages[[#This Row],[Completion date serial]]&gt;tblWorkPackages[[#This Row],[Due date serial]],1,0)</f>
        <v>0</v>
      </c>
      <c r="AC715" s="65">
        <f>MAX(0,tblWorkPackages[[#This Row],[Completion date serial]]-tblWorkPackages[[#This Row],[Due date serial]])</f>
        <v>0</v>
      </c>
      <c r="AD715" s="65">
        <f>tblWorkPackages[[#This Row],[First labor date]]-tblWorkPackages[[#This Row],[Request date serial]]</f>
        <v>3</v>
      </c>
      <c r="AE715" s="65">
        <f>tblWorkPackages[[#This Row],[Last labor date]]-tblWorkPackages[[#This Row],[First labor date]]</f>
        <v>1</v>
      </c>
      <c r="AF715" s="65">
        <f>tblWorkPackages[[#This Row],[Completion date serial]]-tblWorkPackages[[#This Row],[Last labor date]]</f>
        <v>1</v>
      </c>
      <c r="AG715" s="65">
        <f>tblWorkPackages[[#This Row],[Completion date serial]]-tblWorkPackages[[#This Row],[Request date serial]]</f>
        <v>5</v>
      </c>
      <c r="AH715" s="65">
        <f>IFERROR(INDEX(tblParts[Delay days],MATCH(tblWorkPackages[[#This Row],[Work package ID]],tblParts[Work package ID],0)),0)</f>
        <v>0</v>
      </c>
      <c r="AI715" s="51" t="str">
        <f>IFERROR(INDEX(tblDisruptions[Event type],MATCH(tblWorkPackages[[#This Row],[Work package ID]],tblDisruptions[Work package ID],0)),"None")</f>
        <v>Equipment unavailable</v>
      </c>
      <c r="AJ715" s="51" t="str">
        <f>TEXT(tblWorkPackages[[#This Row],[Due date serial]],"yyyy-mm")</f>
        <v>2025-12</v>
      </c>
    </row>
    <row r="716" spans="1:36" ht="15" x14ac:dyDescent="0.25">
      <c r="A716" s="53" t="s">
        <v>1584</v>
      </c>
      <c r="B716" s="53" t="s">
        <v>124</v>
      </c>
      <c r="C716" s="53" t="s">
        <v>537</v>
      </c>
      <c r="D716" s="53" t="s">
        <v>1028</v>
      </c>
      <c r="E716" s="53" t="s">
        <v>200</v>
      </c>
      <c r="F716" s="53" t="s">
        <v>128</v>
      </c>
      <c r="G716" s="53" t="s">
        <v>129</v>
      </c>
      <c r="H716" s="53">
        <v>1</v>
      </c>
      <c r="I716" s="53" t="s">
        <v>147</v>
      </c>
      <c r="J716" s="53">
        <v>0</v>
      </c>
      <c r="K716" s="53">
        <v>0</v>
      </c>
      <c r="L716" s="53">
        <v>1.8</v>
      </c>
      <c r="M716" s="53" t="s">
        <v>1161</v>
      </c>
      <c r="N716" s="53">
        <v>1.9</v>
      </c>
      <c r="O716" s="51" t="str">
        <f>TEXT(tblWorkPackages[[#This Row],[Request date serial]]-WEEKDAY(tblWorkPackages[[#This Row],[Request date serial]],3),"yyyy-mm-dd")</f>
        <v>2025-11-17</v>
      </c>
      <c r="P716" s="51">
        <f>ABS(tblWorkPackages[[#This Row],[Actual labor hours]]-tblWorkPackages[[#This Row],[Estimated labor hours]])</f>
        <v>0.0999999999999999</v>
      </c>
      <c r="Q716" s="51">
        <f>IF(tblWorkPackages[[#This Row],[Actual labor hours]]&gt;tblWorkPackages[[#This Row],[Estimated labor hours]],1,0)</f>
        <v>1</v>
      </c>
      <c r="R716" s="51">
        <f>tblWorkPackages[[#This Row],[Actual labor hours]]-tblWorkPackages[[#This Row],[Estimated labor hours]]</f>
        <v>0.0999999999999999</v>
      </c>
      <c r="S716" s="51" t="str">
        <f>IF(tblWorkPackages[[#This Row],[Request date serial]]&lt;ValidationStart,"Train 2024",IF(tblWorkPackages[[#This Row],[Request date serial]]&lt;HoldoutStart,"Validation H1","Holdout H2"))</f>
        <v>Holdout H2</v>
      </c>
      <c r="T716" s="51">
        <f>IF(tblWorkPackages[[#This Row],[Time split]]="Train 2024","",tblWorkPackages[[#This Row],[Estimated labor hours]]+VLOOKUP(tblWorkPackages[[#This Row],[Task type]],'Forecast validation'!$A$14:$E$25,IF(tblWorkPackages[[#This Row],[Time split]]="Validation H1",4,5),FALSE()))</f>
        <v>2.12893081761006</v>
      </c>
      <c r="U716" s="51">
        <f>IF(tblWorkPackages[[#This Row],[Calibrated forecast hours]]="","",ABS(tblWorkPackages[[#This Row],[Actual labor hours]]-tblWorkPackages[[#This Row],[Calibrated forecast hours]]))</f>
        <v>0.228930817610063</v>
      </c>
      <c r="V716" s="51">
        <f>IF(tblWorkPackages[[#This Row],[Time split]]="Train 2024",tblWorkPackages[[#This Row],[Estimated labor hours]],tblWorkPackages[[#This Row],[Calibrated forecast hours]])</f>
        <v>2.12893081761006</v>
      </c>
      <c r="W716" s="64">
        <f>DATEVALUE(tblWorkPackages[[#This Row],[Request date]])</f>
        <v>45979.0</v>
      </c>
      <c r="X716" s="64">
        <f>DATEVALUE(tblWorkPackages[[#This Row],[Due date]])</f>
        <v>45981.0</v>
      </c>
      <c r="Y716" s="64">
        <f>DATEVALUE(tblWorkPackages[[#This Row],[Completion date]])</f>
        <v>46010.0</v>
      </c>
      <c r="Z716" s="64">
        <f>_xlfn.MINIFS(tblLaborEntries[Work date serial],tblLaborEntries[Work package ID],tblWorkPackages[[#This Row],[Work package ID]])</f>
        <v>46008.0</v>
      </c>
      <c r="AA716" s="64">
        <f>_xlfn.MAXIFS(tblLaborEntries[Work date serial],tblLaborEntries[Work package ID],tblWorkPackages[[#This Row],[Work package ID]])</f>
        <v>46008.0</v>
      </c>
      <c r="AB716" s="65">
        <f>IF(tblWorkPackages[[#This Row],[Completion date serial]]&gt;tblWorkPackages[[#This Row],[Due date serial]],1,0)</f>
        <v>1</v>
      </c>
      <c r="AC716" s="65">
        <f>MAX(0,tblWorkPackages[[#This Row],[Completion date serial]]-tblWorkPackages[[#This Row],[Due date serial]])</f>
        <v>29</v>
      </c>
      <c r="AD716" s="65">
        <f>tblWorkPackages[[#This Row],[First labor date]]-tblWorkPackages[[#This Row],[Request date serial]]</f>
        <v>29</v>
      </c>
      <c r="AE716" s="65">
        <f>tblWorkPackages[[#This Row],[Last labor date]]-tblWorkPackages[[#This Row],[First labor date]]</f>
        <v>0</v>
      </c>
      <c r="AF716" s="65">
        <f>tblWorkPackages[[#This Row],[Completion date serial]]-tblWorkPackages[[#This Row],[Last labor date]]</f>
        <v>2</v>
      </c>
      <c r="AG716" s="65">
        <f>tblWorkPackages[[#This Row],[Completion date serial]]-tblWorkPackages[[#This Row],[Request date serial]]</f>
        <v>31</v>
      </c>
      <c r="AH716" s="65">
        <f>IFERROR(INDEX(tblParts[Delay days],MATCH(tblWorkPackages[[#This Row],[Work package ID]],tblParts[Work package ID],0)),0)</f>
        <v>0</v>
      </c>
      <c r="AI716" s="51" t="str">
        <f>IFERROR(INDEX(tblDisruptions[Event type],MATCH(tblWorkPackages[[#This Row],[Work package ID]],tblDisruptions[Work package ID],0)),"None")</f>
        <v>None</v>
      </c>
      <c r="AJ716" s="51" t="str">
        <f>TEXT(tblWorkPackages[[#This Row],[Due date serial]],"yyyy-mm")</f>
        <v>2025-11</v>
      </c>
    </row>
    <row r="717" spans="1:36" ht="15" x14ac:dyDescent="0.25">
      <c r="A717" s="53" t="s">
        <v>1585</v>
      </c>
      <c r="B717" s="53" t="s">
        <v>157</v>
      </c>
      <c r="C717" s="53" t="s">
        <v>260</v>
      </c>
      <c r="D717" s="53" t="s">
        <v>477</v>
      </c>
      <c r="E717" s="53" t="s">
        <v>136</v>
      </c>
      <c r="F717" s="53" t="s">
        <v>137</v>
      </c>
      <c r="G717" s="53" t="s">
        <v>138</v>
      </c>
      <c r="H717" s="53">
        <v>4</v>
      </c>
      <c r="I717" s="53" t="s">
        <v>130</v>
      </c>
      <c r="J717" s="53">
        <v>0</v>
      </c>
      <c r="K717" s="53">
        <v>1</v>
      </c>
      <c r="L717" s="53">
        <v>24.3</v>
      </c>
      <c r="M717" s="53" t="s">
        <v>962</v>
      </c>
      <c r="N717" s="53">
        <v>30.4</v>
      </c>
      <c r="O717" s="51" t="str">
        <f>TEXT(tblWorkPackages[[#This Row],[Request date serial]]-WEEKDAY(tblWorkPackages[[#This Row],[Request date serial]],3),"yyyy-mm-dd")</f>
        <v>2025-01-27</v>
      </c>
      <c r="P717" s="51">
        <f>ABS(tblWorkPackages[[#This Row],[Actual labor hours]]-tblWorkPackages[[#This Row],[Estimated labor hours]])</f>
        <v>6.1</v>
      </c>
      <c r="Q717" s="51">
        <f>IF(tblWorkPackages[[#This Row],[Actual labor hours]]&gt;tblWorkPackages[[#This Row],[Estimated labor hours]],1,0)</f>
        <v>1</v>
      </c>
      <c r="R717" s="51">
        <f>tblWorkPackages[[#This Row],[Actual labor hours]]-tblWorkPackages[[#This Row],[Estimated labor hours]]</f>
        <v>6.1</v>
      </c>
      <c r="S717" s="51" t="str">
        <f>IF(tblWorkPackages[[#This Row],[Request date serial]]&lt;ValidationStart,"Train 2024",IF(tblWorkPackages[[#This Row],[Request date serial]]&lt;HoldoutStart,"Validation H1","Holdout H2"))</f>
        <v>Validation H1</v>
      </c>
      <c r="T717" s="51">
        <f>IF(tblWorkPackages[[#This Row],[Time split]]="Train 2024","",tblWorkPackages[[#This Row],[Estimated labor hours]]+VLOOKUP(tblWorkPackages[[#This Row],[Task type]],'Forecast validation'!$A$14:$E$25,IF(tblWorkPackages[[#This Row],[Time split]]="Validation H1",4,5),FALSE()))</f>
        <v>25.1765306122449</v>
      </c>
      <c r="U717" s="51">
        <f>IF(tblWorkPackages[[#This Row],[Calibrated forecast hours]]="","",ABS(tblWorkPackages[[#This Row],[Actual labor hours]]-tblWorkPackages[[#This Row],[Calibrated forecast hours]]))</f>
        <v>5.2234693877551</v>
      </c>
      <c r="V717" s="51">
        <f>IF(tblWorkPackages[[#This Row],[Time split]]="Train 2024",tblWorkPackages[[#This Row],[Estimated labor hours]],tblWorkPackages[[#This Row],[Calibrated forecast hours]])</f>
        <v>25.1765306122449</v>
      </c>
      <c r="W717" s="64">
        <f>DATEVALUE(tblWorkPackages[[#This Row],[Request date]])</f>
        <v>45686.0</v>
      </c>
      <c r="X717" s="64">
        <f>DATEVALUE(tblWorkPackages[[#This Row],[Due date]])</f>
        <v>45699.0</v>
      </c>
      <c r="Y717" s="64">
        <f>DATEVALUE(tblWorkPackages[[#This Row],[Completion date]])</f>
        <v>45694.0</v>
      </c>
      <c r="Z717" s="64">
        <f>_xlfn.MINIFS(tblLaborEntries[Work date serial],tblLaborEntries[Work package ID],tblWorkPackages[[#This Row],[Work package ID]])</f>
        <v>45691.0</v>
      </c>
      <c r="AA717" s="64">
        <f>_xlfn.MAXIFS(tblLaborEntries[Work date serial],tblLaborEntries[Work package ID],tblWorkPackages[[#This Row],[Work package ID]])</f>
        <v>45691.0</v>
      </c>
      <c r="AB717" s="65">
        <f>IF(tblWorkPackages[[#This Row],[Completion date serial]]&gt;tblWorkPackages[[#This Row],[Due date serial]],1,0)</f>
        <v>0</v>
      </c>
      <c r="AC717" s="65">
        <f>MAX(0,tblWorkPackages[[#This Row],[Completion date serial]]-tblWorkPackages[[#This Row],[Due date serial]])</f>
        <v>0</v>
      </c>
      <c r="AD717" s="65">
        <f>tblWorkPackages[[#This Row],[First labor date]]-tblWorkPackages[[#This Row],[Request date serial]]</f>
        <v>5</v>
      </c>
      <c r="AE717" s="65">
        <f>tblWorkPackages[[#This Row],[Last labor date]]-tblWorkPackages[[#This Row],[First labor date]]</f>
        <v>0</v>
      </c>
      <c r="AF717" s="65">
        <f>tblWorkPackages[[#This Row],[Completion date serial]]-tblWorkPackages[[#This Row],[Last labor date]]</f>
        <v>3</v>
      </c>
      <c r="AG717" s="65">
        <f>tblWorkPackages[[#This Row],[Completion date serial]]-tblWorkPackages[[#This Row],[Request date serial]]</f>
        <v>8</v>
      </c>
      <c r="AH717" s="65">
        <f>IFERROR(INDEX(tblParts[Delay days],MATCH(tblWorkPackages[[#This Row],[Work package ID]],tblParts[Work package ID],0)),0)</f>
        <v>0</v>
      </c>
      <c r="AI717" s="51" t="str">
        <f>IFERROR(INDEX(tblDisruptions[Event type],MATCH(tblWorkPackages[[#This Row],[Work package ID]],tblDisruptions[Work package ID],0)),"None")</f>
        <v>None</v>
      </c>
      <c r="AJ717" s="51" t="str">
        <f>TEXT(tblWorkPackages[[#This Row],[Due date serial]],"yyyy-mm")</f>
        <v>2025-02</v>
      </c>
    </row>
    <row r="718" spans="1:36" ht="15" x14ac:dyDescent="0.25">
      <c r="A718" s="53" t="s">
        <v>1586</v>
      </c>
      <c r="B718" s="53" t="s">
        <v>203</v>
      </c>
      <c r="C718" s="53" t="s">
        <v>1427</v>
      </c>
      <c r="D718" s="53" t="s">
        <v>653</v>
      </c>
      <c r="E718" s="53" t="s">
        <v>209</v>
      </c>
      <c r="F718" s="53" t="s">
        <v>145</v>
      </c>
      <c r="G718" s="53" t="s">
        <v>210</v>
      </c>
      <c r="H718" s="53">
        <v>4</v>
      </c>
      <c r="I718" s="53" t="s">
        <v>130</v>
      </c>
      <c r="J718" s="53">
        <v>0</v>
      </c>
      <c r="K718" s="53">
        <v>0</v>
      </c>
      <c r="L718" s="53">
        <v>31.9</v>
      </c>
      <c r="M718" s="53" t="s">
        <v>334</v>
      </c>
      <c r="N718" s="53">
        <v>37.1</v>
      </c>
      <c r="O718" s="51" t="str">
        <f>TEXT(tblWorkPackages[[#This Row],[Request date serial]]-WEEKDAY(tblWorkPackages[[#This Row],[Request date serial]],3),"yyyy-mm-dd")</f>
        <v>2025-11-24</v>
      </c>
      <c r="P718" s="51">
        <f>ABS(tblWorkPackages[[#This Row],[Actual labor hours]]-tblWorkPackages[[#This Row],[Estimated labor hours]])</f>
        <v>5.2</v>
      </c>
      <c r="Q718" s="51">
        <f>IF(tblWorkPackages[[#This Row],[Actual labor hours]]&gt;tblWorkPackages[[#This Row],[Estimated labor hours]],1,0)</f>
        <v>1</v>
      </c>
      <c r="R718" s="51">
        <f>tblWorkPackages[[#This Row],[Actual labor hours]]-tblWorkPackages[[#This Row],[Estimated labor hours]]</f>
        <v>5.2</v>
      </c>
      <c r="S718" s="51" t="str">
        <f>IF(tblWorkPackages[[#This Row],[Request date serial]]&lt;ValidationStart,"Train 2024",IF(tblWorkPackages[[#This Row],[Request date serial]]&lt;HoldoutStart,"Validation H1","Holdout H2"))</f>
        <v>Holdout H2</v>
      </c>
      <c r="T718" s="51">
        <f>IF(tblWorkPackages[[#This Row],[Time split]]="Train 2024","",tblWorkPackages[[#This Row],[Estimated labor hours]]+VLOOKUP(tblWorkPackages[[#This Row],[Task type]],'Forecast validation'!$A$14:$E$25,IF(tblWorkPackages[[#This Row],[Time split]]="Validation H1",4,5),FALSE()))</f>
        <v>33.695652173913</v>
      </c>
      <c r="U718" s="51">
        <f>IF(tblWorkPackages[[#This Row],[Calibrated forecast hours]]="","",ABS(tblWorkPackages[[#This Row],[Actual labor hours]]-tblWorkPackages[[#This Row],[Calibrated forecast hours]]))</f>
        <v>3.40434782608696</v>
      </c>
      <c r="V718" s="51">
        <f>IF(tblWorkPackages[[#This Row],[Time split]]="Train 2024",tblWorkPackages[[#This Row],[Estimated labor hours]],tblWorkPackages[[#This Row],[Calibrated forecast hours]])</f>
        <v>33.695652173913</v>
      </c>
      <c r="W718" s="64">
        <f>DATEVALUE(tblWorkPackages[[#This Row],[Request date]])</f>
        <v>45987.0</v>
      </c>
      <c r="X718" s="64">
        <f>DATEVALUE(tblWorkPackages[[#This Row],[Due date]])</f>
        <v>46000.0</v>
      </c>
      <c r="Y718" s="64">
        <f>DATEVALUE(tblWorkPackages[[#This Row],[Completion date]])</f>
        <v>45990.0</v>
      </c>
      <c r="Z718" s="64">
        <f>_xlfn.MINIFS(tblLaborEntries[Work date serial],tblLaborEntries[Work package ID],tblWorkPackages[[#This Row],[Work package ID]])</f>
        <v>45989.0</v>
      </c>
      <c r="AA718" s="64">
        <f>_xlfn.MAXIFS(tblLaborEntries[Work date serial],tblLaborEntries[Work package ID],tblWorkPackages[[#This Row],[Work package ID]])</f>
        <v>45990.0</v>
      </c>
      <c r="AB718" s="65">
        <f>IF(tblWorkPackages[[#This Row],[Completion date serial]]&gt;tblWorkPackages[[#This Row],[Due date serial]],1,0)</f>
        <v>0</v>
      </c>
      <c r="AC718" s="65">
        <f>MAX(0,tblWorkPackages[[#This Row],[Completion date serial]]-tblWorkPackages[[#This Row],[Due date serial]])</f>
        <v>0</v>
      </c>
      <c r="AD718" s="65">
        <f>tblWorkPackages[[#This Row],[First labor date]]-tblWorkPackages[[#This Row],[Request date serial]]</f>
        <v>2</v>
      </c>
      <c r="AE718" s="65">
        <f>tblWorkPackages[[#This Row],[Last labor date]]-tblWorkPackages[[#This Row],[First labor date]]</f>
        <v>1</v>
      </c>
      <c r="AF718" s="65">
        <f>tblWorkPackages[[#This Row],[Completion date serial]]-tblWorkPackages[[#This Row],[Last labor date]]</f>
        <v>0</v>
      </c>
      <c r="AG718" s="65">
        <f>tblWorkPackages[[#This Row],[Completion date serial]]-tblWorkPackages[[#This Row],[Request date serial]]</f>
        <v>3</v>
      </c>
      <c r="AH718" s="65">
        <f>IFERROR(INDEX(tblParts[Delay days],MATCH(tblWorkPackages[[#This Row],[Work package ID]],tblParts[Work package ID],0)),0)</f>
        <v>0</v>
      </c>
      <c r="AI718" s="51" t="str">
        <f>IFERROR(INDEX(tblDisruptions[Event type],MATCH(tblWorkPackages[[#This Row],[Work package ID]],tblDisruptions[Work package ID],0)),"None")</f>
        <v>None</v>
      </c>
      <c r="AJ718" s="51" t="str">
        <f>TEXT(tblWorkPackages[[#This Row],[Due date serial]],"yyyy-mm")</f>
        <v>2025-12</v>
      </c>
    </row>
    <row r="719" spans="1:36" ht="15" x14ac:dyDescent="0.25">
      <c r="A719" s="53" t="s">
        <v>1587</v>
      </c>
      <c r="B719" s="53" t="s">
        <v>150</v>
      </c>
      <c r="C719" s="53" t="s">
        <v>535</v>
      </c>
      <c r="D719" s="53" t="s">
        <v>240</v>
      </c>
      <c r="E719" s="53" t="s">
        <v>181</v>
      </c>
      <c r="F719" s="53" t="s">
        <v>182</v>
      </c>
      <c r="G719" s="53" t="s">
        <v>138</v>
      </c>
      <c r="H719" s="53">
        <v>3</v>
      </c>
      <c r="I719" s="53" t="s">
        <v>147</v>
      </c>
      <c r="J719" s="53">
        <v>0</v>
      </c>
      <c r="K719" s="53">
        <v>0</v>
      </c>
      <c r="L719" s="53">
        <v>9.8000000000000007</v>
      </c>
      <c r="M719" s="53" t="s">
        <v>600</v>
      </c>
      <c r="N719" s="53">
        <v>8.9</v>
      </c>
      <c r="O719" s="51" t="str">
        <f>TEXT(tblWorkPackages[[#This Row],[Request date serial]]-WEEKDAY(tblWorkPackages[[#This Row],[Request date serial]],3),"yyyy-mm-dd")</f>
        <v>2024-11-04</v>
      </c>
      <c r="P719" s="51">
        <f>ABS(tblWorkPackages[[#This Row],[Actual labor hours]]-tblWorkPackages[[#This Row],[Estimated labor hours]])</f>
        <v>0.9</v>
      </c>
      <c r="Q719" s="51">
        <f>IF(tblWorkPackages[[#This Row],[Actual labor hours]]&gt;tblWorkPackages[[#This Row],[Estimated labor hours]],1,0)</f>
        <v>0</v>
      </c>
      <c r="R719" s="51">
        <f>tblWorkPackages[[#This Row],[Actual labor hours]]-tblWorkPackages[[#This Row],[Estimated labor hours]]</f>
        <v>-0.9</v>
      </c>
      <c r="S719" s="51" t="str">
        <f>IF(tblWorkPackages[[#This Row],[Request date serial]]&lt;ValidationStart,"Train 2024",IF(tblWorkPackages[[#This Row],[Request date serial]]&lt;HoldoutStart,"Validation H1","Holdout H2"))</f>
        <v>Train 2024</v>
      </c>
      <c r="T719" s="51" t="str">
        <f>IF(tblWorkPackages[[#This Row],[Time split]]="Train 2024","",tblWorkPackages[[#This Row],[Estimated labor hours]]+VLOOKUP(tblWorkPackages[[#This Row],[Task type]],'Forecast validation'!$A$14:$E$25,IF(tblWorkPackages[[#This Row],[Time split]]="Validation H1",4,5),FALSE()))</f>
        <v/>
      </c>
      <c r="U719" s="51" t="str">
        <f>IF(tblWorkPackages[[#This Row],[Calibrated forecast hours]]="","",ABS(tblWorkPackages[[#This Row],[Actual labor hours]]-tblWorkPackages[[#This Row],[Calibrated forecast hours]]))</f>
        <v/>
      </c>
      <c r="V719" s="51">
        <f>IF(tblWorkPackages[[#This Row],[Time split]]="Train 2024",tblWorkPackages[[#This Row],[Estimated labor hours]],tblWorkPackages[[#This Row],[Calibrated forecast hours]])</f>
        <v>9.8</v>
      </c>
      <c r="W719" s="64">
        <f>DATEVALUE(tblWorkPackages[[#This Row],[Request date]])</f>
        <v>45602.0</v>
      </c>
      <c r="X719" s="64">
        <f>DATEVALUE(tblWorkPackages[[#This Row],[Due date]])</f>
        <v>45604.0</v>
      </c>
      <c r="Y719" s="64">
        <f>DATEVALUE(tblWorkPackages[[#This Row],[Completion date]])</f>
        <v>45618.0</v>
      </c>
      <c r="Z719" s="64">
        <f>_xlfn.MINIFS(tblLaborEntries[Work date serial],tblLaborEntries[Work package ID],tblWorkPackages[[#This Row],[Work package ID]])</f>
        <v>45616.0</v>
      </c>
      <c r="AA719" s="64">
        <f>_xlfn.MAXIFS(tblLaborEntries[Work date serial],tblLaborEntries[Work package ID],tblWorkPackages[[#This Row],[Work package ID]])</f>
        <v>45617.0</v>
      </c>
      <c r="AB719" s="65">
        <f>IF(tblWorkPackages[[#This Row],[Completion date serial]]&gt;tblWorkPackages[[#This Row],[Due date serial]],1,0)</f>
        <v>1</v>
      </c>
      <c r="AC719" s="65">
        <f>MAX(0,tblWorkPackages[[#This Row],[Completion date serial]]-tblWorkPackages[[#This Row],[Due date serial]])</f>
        <v>14</v>
      </c>
      <c r="AD719" s="65">
        <f>tblWorkPackages[[#This Row],[First labor date]]-tblWorkPackages[[#This Row],[Request date serial]]</f>
        <v>14</v>
      </c>
      <c r="AE719" s="65">
        <f>tblWorkPackages[[#This Row],[Last labor date]]-tblWorkPackages[[#This Row],[First labor date]]</f>
        <v>1</v>
      </c>
      <c r="AF719" s="65">
        <f>tblWorkPackages[[#This Row],[Completion date serial]]-tblWorkPackages[[#This Row],[Last labor date]]</f>
        <v>1</v>
      </c>
      <c r="AG719" s="65">
        <f>tblWorkPackages[[#This Row],[Completion date serial]]-tblWorkPackages[[#This Row],[Request date serial]]</f>
        <v>16</v>
      </c>
      <c r="AH719" s="65">
        <f>IFERROR(INDEX(tblParts[Delay days],MATCH(tblWorkPackages[[#This Row],[Work package ID]],tblParts[Work package ID],0)),0)</f>
        <v>0</v>
      </c>
      <c r="AI719" s="51" t="str">
        <f>IFERROR(INDEX(tblDisruptions[Event type],MATCH(tblWorkPackages[[#This Row],[Work package ID]],tblDisruptions[Work package ID],0)),"None")</f>
        <v>None</v>
      </c>
      <c r="AJ719" s="51" t="str">
        <f>TEXT(tblWorkPackages[[#This Row],[Due date serial]],"yyyy-mm")</f>
        <v>2024-11</v>
      </c>
    </row>
    <row r="720" spans="1:36" ht="15" x14ac:dyDescent="0.25">
      <c r="A720" s="53" t="s">
        <v>1588</v>
      </c>
      <c r="B720" s="53" t="s">
        <v>157</v>
      </c>
      <c r="C720" s="53" t="s">
        <v>579</v>
      </c>
      <c r="D720" s="53" t="s">
        <v>1014</v>
      </c>
      <c r="E720" s="53" t="s">
        <v>209</v>
      </c>
      <c r="F720" s="53" t="s">
        <v>145</v>
      </c>
      <c r="G720" s="53" t="s">
        <v>210</v>
      </c>
      <c r="H720" s="53">
        <v>4</v>
      </c>
      <c r="I720" s="53" t="s">
        <v>176</v>
      </c>
      <c r="J720" s="53">
        <v>0</v>
      </c>
      <c r="K720" s="53">
        <v>1</v>
      </c>
      <c r="L720" s="53">
        <v>33.5</v>
      </c>
      <c r="M720" s="53" t="s">
        <v>1589</v>
      </c>
      <c r="N720" s="53">
        <v>40.6</v>
      </c>
      <c r="O720" s="51" t="str">
        <f>TEXT(tblWorkPackages[[#This Row],[Request date serial]]-WEEKDAY(tblWorkPackages[[#This Row],[Request date serial]],3),"yyyy-mm-dd")</f>
        <v>2025-12-29</v>
      </c>
      <c r="P720" s="51">
        <f>ABS(tblWorkPackages[[#This Row],[Actual labor hours]]-tblWorkPackages[[#This Row],[Estimated labor hours]])</f>
        <v>7.1</v>
      </c>
      <c r="Q720" s="51">
        <f>IF(tblWorkPackages[[#This Row],[Actual labor hours]]&gt;tblWorkPackages[[#This Row],[Estimated labor hours]],1,0)</f>
        <v>1</v>
      </c>
      <c r="R720" s="51">
        <f>tblWorkPackages[[#This Row],[Actual labor hours]]-tblWorkPackages[[#This Row],[Estimated labor hours]]</f>
        <v>7.1</v>
      </c>
      <c r="S720" s="51" t="str">
        <f>IF(tblWorkPackages[[#This Row],[Request date serial]]&lt;ValidationStart,"Train 2024",IF(tblWorkPackages[[#This Row],[Request date serial]]&lt;HoldoutStart,"Validation H1","Holdout H2"))</f>
        <v>Holdout H2</v>
      </c>
      <c r="T720" s="51">
        <f>IF(tblWorkPackages[[#This Row],[Time split]]="Train 2024","",tblWorkPackages[[#This Row],[Estimated labor hours]]+VLOOKUP(tblWorkPackages[[#This Row],[Task type]],'Forecast validation'!$A$14:$E$25,IF(tblWorkPackages[[#This Row],[Time split]]="Validation H1",4,5),FALSE()))</f>
        <v>35.295652173913</v>
      </c>
      <c r="U720" s="51">
        <f>IF(tblWorkPackages[[#This Row],[Calibrated forecast hours]]="","",ABS(tblWorkPackages[[#This Row],[Actual labor hours]]-tblWorkPackages[[#This Row],[Calibrated forecast hours]]))</f>
        <v>5.30434782608696</v>
      </c>
      <c r="V720" s="51">
        <f>IF(tblWorkPackages[[#This Row],[Time split]]="Train 2024",tblWorkPackages[[#This Row],[Estimated labor hours]],tblWorkPackages[[#This Row],[Calibrated forecast hours]])</f>
        <v>35.295652173913</v>
      </c>
      <c r="W720" s="64">
        <f>DATEVALUE(tblWorkPackages[[#This Row],[Request date]])</f>
        <v>46021.0</v>
      </c>
      <c r="X720" s="64">
        <f>DATEVALUE(tblWorkPackages[[#This Row],[Due date]])</f>
        <v>46027.0</v>
      </c>
      <c r="Y720" s="64">
        <f>DATEVALUE(tblWorkPackages[[#This Row],[Completion date]])</f>
        <v>46031.0</v>
      </c>
      <c r="Z720" s="64">
        <f>_xlfn.MINIFS(tblLaborEntries[Work date serial],tblLaborEntries[Work package ID],tblWorkPackages[[#This Row],[Work package ID]])</f>
        <v>46027.0</v>
      </c>
      <c r="AA720" s="64">
        <f>_xlfn.MAXIFS(tblLaborEntries[Work date serial],tblLaborEntries[Work package ID],tblWorkPackages[[#This Row],[Work package ID]])</f>
        <v>46029.0</v>
      </c>
      <c r="AB720" s="65">
        <f>IF(tblWorkPackages[[#This Row],[Completion date serial]]&gt;tblWorkPackages[[#This Row],[Due date serial]],1,0)</f>
        <v>1</v>
      </c>
      <c r="AC720" s="65">
        <f>MAX(0,tblWorkPackages[[#This Row],[Completion date serial]]-tblWorkPackages[[#This Row],[Due date serial]])</f>
        <v>4</v>
      </c>
      <c r="AD720" s="65">
        <f>tblWorkPackages[[#This Row],[First labor date]]-tblWorkPackages[[#This Row],[Request date serial]]</f>
        <v>6</v>
      </c>
      <c r="AE720" s="65">
        <f>tblWorkPackages[[#This Row],[Last labor date]]-tblWorkPackages[[#This Row],[First labor date]]</f>
        <v>2</v>
      </c>
      <c r="AF720" s="65">
        <f>tblWorkPackages[[#This Row],[Completion date serial]]-tblWorkPackages[[#This Row],[Last labor date]]</f>
        <v>2</v>
      </c>
      <c r="AG720" s="65">
        <f>tblWorkPackages[[#This Row],[Completion date serial]]-tblWorkPackages[[#This Row],[Request date serial]]</f>
        <v>10</v>
      </c>
      <c r="AH720" s="65">
        <f>IFERROR(INDEX(tblParts[Delay days],MATCH(tblWorkPackages[[#This Row],[Work package ID]],tblParts[Work package ID],0)),0)</f>
        <v>3</v>
      </c>
      <c r="AI720" s="51" t="str">
        <f>IFERROR(INDEX(tblDisruptions[Event type],MATCH(tblWorkPackages[[#This Row],[Work package ID]],tblDisruptions[Work package ID],0)),"None")</f>
        <v>Part delay</v>
      </c>
      <c r="AJ720" s="51" t="str">
        <f>TEXT(tblWorkPackages[[#This Row],[Due date serial]],"yyyy-mm")</f>
        <v>2026-01</v>
      </c>
    </row>
    <row r="721" spans="1:36" ht="15" x14ac:dyDescent="0.25">
      <c r="A721" s="53" t="s">
        <v>1590</v>
      </c>
      <c r="B721" s="53" t="s">
        <v>157</v>
      </c>
      <c r="C721" s="53" t="s">
        <v>621</v>
      </c>
      <c r="D721" s="53" t="s">
        <v>1138</v>
      </c>
      <c r="E721" s="53" t="s">
        <v>144</v>
      </c>
      <c r="F721" s="53" t="s">
        <v>145</v>
      </c>
      <c r="G721" s="53" t="s">
        <v>146</v>
      </c>
      <c r="H721" s="53">
        <v>2</v>
      </c>
      <c r="I721" s="53" t="s">
        <v>130</v>
      </c>
      <c r="J721" s="53">
        <v>0</v>
      </c>
      <c r="K721" s="53">
        <v>1</v>
      </c>
      <c r="L721" s="53">
        <v>9.6999999999999993</v>
      </c>
      <c r="M721" s="53" t="s">
        <v>661</v>
      </c>
      <c r="N721" s="53">
        <v>7.4</v>
      </c>
      <c r="O721" s="51" t="str">
        <f>TEXT(tblWorkPackages[[#This Row],[Request date serial]]-WEEKDAY(tblWorkPackages[[#This Row],[Request date serial]],3),"yyyy-mm-dd")</f>
        <v>2024-07-22</v>
      </c>
      <c r="P721" s="51">
        <f>ABS(tblWorkPackages[[#This Row],[Actual labor hours]]-tblWorkPackages[[#This Row],[Estimated labor hours]])</f>
        <v>2.3</v>
      </c>
      <c r="Q721" s="51">
        <f>IF(tblWorkPackages[[#This Row],[Actual labor hours]]&gt;tblWorkPackages[[#This Row],[Estimated labor hours]],1,0)</f>
        <v>0</v>
      </c>
      <c r="R721" s="51">
        <f>tblWorkPackages[[#This Row],[Actual labor hours]]-tblWorkPackages[[#This Row],[Estimated labor hours]]</f>
        <v>-2.3</v>
      </c>
      <c r="S721" s="51" t="str">
        <f>IF(tblWorkPackages[[#This Row],[Request date serial]]&lt;ValidationStart,"Train 2024",IF(tblWorkPackages[[#This Row],[Request date serial]]&lt;HoldoutStart,"Validation H1","Holdout H2"))</f>
        <v>Train 2024</v>
      </c>
      <c r="T721" s="51" t="str">
        <f>IF(tblWorkPackages[[#This Row],[Time split]]="Train 2024","",tblWorkPackages[[#This Row],[Estimated labor hours]]+VLOOKUP(tblWorkPackages[[#This Row],[Task type]],'Forecast validation'!$A$14:$E$25,IF(tblWorkPackages[[#This Row],[Time split]]="Validation H1",4,5),FALSE()))</f>
        <v/>
      </c>
      <c r="U721" s="51" t="str">
        <f>IF(tblWorkPackages[[#This Row],[Calibrated forecast hours]]="","",ABS(tblWorkPackages[[#This Row],[Actual labor hours]]-tblWorkPackages[[#This Row],[Calibrated forecast hours]]))</f>
        <v/>
      </c>
      <c r="V721" s="51">
        <f>IF(tblWorkPackages[[#This Row],[Time split]]="Train 2024",tblWorkPackages[[#This Row],[Estimated labor hours]],tblWorkPackages[[#This Row],[Calibrated forecast hours]])</f>
        <v>9.7</v>
      </c>
      <c r="W721" s="64">
        <f>DATEVALUE(tblWorkPackages[[#This Row],[Request date]])</f>
        <v>45496.0</v>
      </c>
      <c r="X721" s="64">
        <f>DATEVALUE(tblWorkPackages[[#This Row],[Due date]])</f>
        <v>45509.0</v>
      </c>
      <c r="Y721" s="64">
        <f>DATEVALUE(tblWorkPackages[[#This Row],[Completion date]])</f>
        <v>45554.0</v>
      </c>
      <c r="Z721" s="64">
        <f>_xlfn.MINIFS(tblLaborEntries[Work date serial],tblLaborEntries[Work package ID],tblWorkPackages[[#This Row],[Work package ID]])</f>
        <v>45550.0</v>
      </c>
      <c r="AA721" s="64">
        <f>_xlfn.MAXIFS(tblLaborEntries[Work date serial],tblLaborEntries[Work package ID],tblWorkPackages[[#This Row],[Work package ID]])</f>
        <v>45551.0</v>
      </c>
      <c r="AB721" s="65">
        <f>IF(tblWorkPackages[[#This Row],[Completion date serial]]&gt;tblWorkPackages[[#This Row],[Due date serial]],1,0)</f>
        <v>1</v>
      </c>
      <c r="AC721" s="65">
        <f>MAX(0,tblWorkPackages[[#This Row],[Completion date serial]]-tblWorkPackages[[#This Row],[Due date serial]])</f>
        <v>45</v>
      </c>
      <c r="AD721" s="65">
        <f>tblWorkPackages[[#This Row],[First labor date]]-tblWorkPackages[[#This Row],[Request date serial]]</f>
        <v>54</v>
      </c>
      <c r="AE721" s="65">
        <f>tblWorkPackages[[#This Row],[Last labor date]]-tblWorkPackages[[#This Row],[First labor date]]</f>
        <v>1</v>
      </c>
      <c r="AF721" s="65">
        <f>tblWorkPackages[[#This Row],[Completion date serial]]-tblWorkPackages[[#This Row],[Last labor date]]</f>
        <v>3</v>
      </c>
      <c r="AG721" s="65">
        <f>tblWorkPackages[[#This Row],[Completion date serial]]-tblWorkPackages[[#This Row],[Request date serial]]</f>
        <v>58</v>
      </c>
      <c r="AH721" s="65">
        <f>IFERROR(INDEX(tblParts[Delay days],MATCH(tblWorkPackages[[#This Row],[Work package ID]],tblParts[Work package ID],0)),0)</f>
        <v>0</v>
      </c>
      <c r="AI721" s="51" t="str">
        <f>IFERROR(INDEX(tblDisruptions[Event type],MATCH(tblWorkPackages[[#This Row],[Work package ID]],tblDisruptions[Work package ID],0)),"None")</f>
        <v>None</v>
      </c>
      <c r="AJ721" s="51" t="str">
        <f>TEXT(tblWorkPackages[[#This Row],[Due date serial]],"yyyy-mm")</f>
        <v>2024-08</v>
      </c>
    </row>
    <row r="722" spans="1:36" ht="15" x14ac:dyDescent="0.25">
      <c r="A722" s="53" t="s">
        <v>1591</v>
      </c>
      <c r="B722" s="53" t="s">
        <v>203</v>
      </c>
      <c r="C722" s="53" t="s">
        <v>1249</v>
      </c>
      <c r="D722" s="53" t="s">
        <v>468</v>
      </c>
      <c r="E722" s="53" t="s">
        <v>223</v>
      </c>
      <c r="F722" s="53" t="s">
        <v>182</v>
      </c>
      <c r="G722" s="53" t="s">
        <v>154</v>
      </c>
      <c r="H722" s="53">
        <v>1</v>
      </c>
      <c r="I722" s="53" t="s">
        <v>130</v>
      </c>
      <c r="J722" s="53">
        <v>0</v>
      </c>
      <c r="K722" s="53">
        <v>0</v>
      </c>
      <c r="L722" s="53">
        <v>8.4</v>
      </c>
      <c r="M722" s="53" t="s">
        <v>785</v>
      </c>
      <c r="N722" s="53">
        <v>9.1</v>
      </c>
      <c r="O722" s="51" t="str">
        <f>TEXT(tblWorkPackages[[#This Row],[Request date serial]]-WEEKDAY(tblWorkPackages[[#This Row],[Request date serial]],3),"yyyy-mm-dd")</f>
        <v>2025-04-14</v>
      </c>
      <c r="P722" s="51">
        <f>ABS(tblWorkPackages[[#This Row],[Actual labor hours]]-tblWorkPackages[[#This Row],[Estimated labor hours]])</f>
        <v>0.699999999999999</v>
      </c>
      <c r="Q722" s="51">
        <f>IF(tblWorkPackages[[#This Row],[Actual labor hours]]&gt;tblWorkPackages[[#This Row],[Estimated labor hours]],1,0)</f>
        <v>1</v>
      </c>
      <c r="R722" s="51">
        <f>tblWorkPackages[[#This Row],[Actual labor hours]]-tblWorkPackages[[#This Row],[Estimated labor hours]]</f>
        <v>0.699999999999999</v>
      </c>
      <c r="S722" s="51" t="str">
        <f>IF(tblWorkPackages[[#This Row],[Request date serial]]&lt;ValidationStart,"Train 2024",IF(tblWorkPackages[[#This Row],[Request date serial]]&lt;HoldoutStart,"Validation H1","Holdout H2"))</f>
        <v>Validation H1</v>
      </c>
      <c r="T722" s="51">
        <f>IF(tblWorkPackages[[#This Row],[Time split]]="Train 2024","",tblWorkPackages[[#This Row],[Estimated labor hours]]+VLOOKUP(tblWorkPackages[[#This Row],[Task type]],'Forecast validation'!$A$14:$E$25,IF(tblWorkPackages[[#This Row],[Time split]]="Validation H1",4,5),FALSE()))</f>
        <v>9.28241758241758</v>
      </c>
      <c r="U722" s="51">
        <f>IF(tblWorkPackages[[#This Row],[Calibrated forecast hours]]="","",ABS(tblWorkPackages[[#This Row],[Actual labor hours]]-tblWorkPackages[[#This Row],[Calibrated forecast hours]]))</f>
        <v>0.182417582417584</v>
      </c>
      <c r="V722" s="51">
        <f>IF(tblWorkPackages[[#This Row],[Time split]]="Train 2024",tblWorkPackages[[#This Row],[Estimated labor hours]],tblWorkPackages[[#This Row],[Calibrated forecast hours]])</f>
        <v>9.28241758241758</v>
      </c>
      <c r="W722" s="64">
        <f>DATEVALUE(tblWorkPackages[[#This Row],[Request date]])</f>
        <v>45762.0</v>
      </c>
      <c r="X722" s="64">
        <f>DATEVALUE(tblWorkPackages[[#This Row],[Due date]])</f>
        <v>45775.0</v>
      </c>
      <c r="Y722" s="64">
        <f>DATEVALUE(tblWorkPackages[[#This Row],[Completion date]])</f>
        <v>45771.0</v>
      </c>
      <c r="Z722" s="64">
        <f>_xlfn.MINIFS(tblLaborEntries[Work date serial],tblLaborEntries[Work package ID],tblWorkPackages[[#This Row],[Work package ID]])</f>
        <v>45770.0</v>
      </c>
      <c r="AA722" s="64">
        <f>_xlfn.MAXIFS(tblLaborEntries[Work date serial],tblLaborEntries[Work package ID],tblWorkPackages[[#This Row],[Work package ID]])</f>
        <v>45771.0</v>
      </c>
      <c r="AB722" s="65">
        <f>IF(tblWorkPackages[[#This Row],[Completion date serial]]&gt;tblWorkPackages[[#This Row],[Due date serial]],1,0)</f>
        <v>0</v>
      </c>
      <c r="AC722" s="65">
        <f>MAX(0,tblWorkPackages[[#This Row],[Completion date serial]]-tblWorkPackages[[#This Row],[Due date serial]])</f>
        <v>0</v>
      </c>
      <c r="AD722" s="65">
        <f>tblWorkPackages[[#This Row],[First labor date]]-tblWorkPackages[[#This Row],[Request date serial]]</f>
        <v>8</v>
      </c>
      <c r="AE722" s="65">
        <f>tblWorkPackages[[#This Row],[Last labor date]]-tblWorkPackages[[#This Row],[First labor date]]</f>
        <v>1</v>
      </c>
      <c r="AF722" s="65">
        <f>tblWorkPackages[[#This Row],[Completion date serial]]-tblWorkPackages[[#This Row],[Last labor date]]</f>
        <v>0</v>
      </c>
      <c r="AG722" s="65">
        <f>tblWorkPackages[[#This Row],[Completion date serial]]-tblWorkPackages[[#This Row],[Request date serial]]</f>
        <v>9</v>
      </c>
      <c r="AH722" s="65">
        <f>IFERROR(INDEX(tblParts[Delay days],MATCH(tblWorkPackages[[#This Row],[Work package ID]],tblParts[Work package ID],0)),0)</f>
        <v>0</v>
      </c>
      <c r="AI722" s="51" t="str">
        <f>IFERROR(INDEX(tblDisruptions[Event type],MATCH(tblWorkPackages[[#This Row],[Work package ID]],tblDisruptions[Work package ID],0)),"None")</f>
        <v>None</v>
      </c>
      <c r="AJ722" s="51" t="str">
        <f>TEXT(tblWorkPackages[[#This Row],[Due date serial]],"yyyy-mm")</f>
        <v>2025-04</v>
      </c>
    </row>
    <row r="723" spans="1:36" ht="15" x14ac:dyDescent="0.25">
      <c r="A723" s="53" t="s">
        <v>1592</v>
      </c>
      <c r="B723" s="53" t="s">
        <v>287</v>
      </c>
      <c r="C723" s="53" t="s">
        <v>1148</v>
      </c>
      <c r="D723" s="53" t="s">
        <v>1058</v>
      </c>
      <c r="E723" s="53" t="s">
        <v>223</v>
      </c>
      <c r="F723" s="53" t="s">
        <v>182</v>
      </c>
      <c r="G723" s="53" t="s">
        <v>154</v>
      </c>
      <c r="H723" s="53">
        <v>4</v>
      </c>
      <c r="I723" s="53" t="s">
        <v>147</v>
      </c>
      <c r="J723" s="53">
        <v>0</v>
      </c>
      <c r="K723" s="53">
        <v>1</v>
      </c>
      <c r="L723" s="53">
        <v>23.3</v>
      </c>
      <c r="M723" s="53" t="s">
        <v>681</v>
      </c>
      <c r="N723" s="53">
        <v>29.8</v>
      </c>
      <c r="O723" s="51" t="str">
        <f>TEXT(tblWorkPackages[[#This Row],[Request date serial]]-WEEKDAY(tblWorkPackages[[#This Row],[Request date serial]],3),"yyyy-mm-dd")</f>
        <v>2025-01-20</v>
      </c>
      <c r="P723" s="51">
        <f>ABS(tblWorkPackages[[#This Row],[Actual labor hours]]-tblWorkPackages[[#This Row],[Estimated labor hours]])</f>
        <v>6.5</v>
      </c>
      <c r="Q723" s="51">
        <f>IF(tblWorkPackages[[#This Row],[Actual labor hours]]&gt;tblWorkPackages[[#This Row],[Estimated labor hours]],1,0)</f>
        <v>1</v>
      </c>
      <c r="R723" s="51">
        <f>tblWorkPackages[[#This Row],[Actual labor hours]]-tblWorkPackages[[#This Row],[Estimated labor hours]]</f>
        <v>6.5</v>
      </c>
      <c r="S723" s="51" t="str">
        <f>IF(tblWorkPackages[[#This Row],[Request date serial]]&lt;ValidationStart,"Train 2024",IF(tblWorkPackages[[#This Row],[Request date serial]]&lt;HoldoutStart,"Validation H1","Holdout H2"))</f>
        <v>Validation H1</v>
      </c>
      <c r="T723" s="51">
        <f>IF(tblWorkPackages[[#This Row],[Time split]]="Train 2024","",tblWorkPackages[[#This Row],[Estimated labor hours]]+VLOOKUP(tblWorkPackages[[#This Row],[Task type]],'Forecast validation'!$A$14:$E$25,IF(tblWorkPackages[[#This Row],[Time split]]="Validation H1",4,5),FALSE()))</f>
        <v>24.1824175824176</v>
      </c>
      <c r="U723" s="51">
        <f>IF(tblWorkPackages[[#This Row],[Calibrated forecast hours]]="","",ABS(tblWorkPackages[[#This Row],[Actual labor hours]]-tblWorkPackages[[#This Row],[Calibrated forecast hours]]))</f>
        <v>5.61758241758242</v>
      </c>
      <c r="V723" s="51">
        <f>IF(tblWorkPackages[[#This Row],[Time split]]="Train 2024",tblWorkPackages[[#This Row],[Estimated labor hours]],tblWorkPackages[[#This Row],[Calibrated forecast hours]])</f>
        <v>24.1824175824176</v>
      </c>
      <c r="W723" s="64">
        <f>DATEVALUE(tblWorkPackages[[#This Row],[Request date]])</f>
        <v>45678.0</v>
      </c>
      <c r="X723" s="64">
        <f>DATEVALUE(tblWorkPackages[[#This Row],[Due date]])</f>
        <v>45680.0</v>
      </c>
      <c r="Y723" s="64">
        <f>DATEVALUE(tblWorkPackages[[#This Row],[Completion date]])</f>
        <v>45681.0</v>
      </c>
      <c r="Z723" s="64">
        <f>_xlfn.MINIFS(tblLaborEntries[Work date serial],tblLaborEntries[Work package ID],tblWorkPackages[[#This Row],[Work package ID]])</f>
        <v>45680.0</v>
      </c>
      <c r="AA723" s="64">
        <f>_xlfn.MAXIFS(tblLaborEntries[Work date serial],tblLaborEntries[Work package ID],tblWorkPackages[[#This Row],[Work package ID]])</f>
        <v>45680.0</v>
      </c>
      <c r="AB723" s="65">
        <f>IF(tblWorkPackages[[#This Row],[Completion date serial]]&gt;tblWorkPackages[[#This Row],[Due date serial]],1,0)</f>
        <v>1</v>
      </c>
      <c r="AC723" s="65">
        <f>MAX(0,tblWorkPackages[[#This Row],[Completion date serial]]-tblWorkPackages[[#This Row],[Due date serial]])</f>
        <v>1</v>
      </c>
      <c r="AD723" s="65">
        <f>tblWorkPackages[[#This Row],[First labor date]]-tblWorkPackages[[#This Row],[Request date serial]]</f>
        <v>2</v>
      </c>
      <c r="AE723" s="65">
        <f>tblWorkPackages[[#This Row],[Last labor date]]-tblWorkPackages[[#This Row],[First labor date]]</f>
        <v>0</v>
      </c>
      <c r="AF723" s="65">
        <f>tblWorkPackages[[#This Row],[Completion date serial]]-tblWorkPackages[[#This Row],[Last labor date]]</f>
        <v>1</v>
      </c>
      <c r="AG723" s="65">
        <f>tblWorkPackages[[#This Row],[Completion date serial]]-tblWorkPackages[[#This Row],[Request date serial]]</f>
        <v>3</v>
      </c>
      <c r="AH723" s="65">
        <f>IFERROR(INDEX(tblParts[Delay days],MATCH(tblWorkPackages[[#This Row],[Work package ID]],tblParts[Work package ID],0)),0)</f>
        <v>0</v>
      </c>
      <c r="AI723" s="51" t="str">
        <f>IFERROR(INDEX(tblDisruptions[Event type],MATCH(tblWorkPackages[[#This Row],[Work package ID]],tblDisruptions[Work package ID],0)),"None")</f>
        <v>None</v>
      </c>
      <c r="AJ723" s="51" t="str">
        <f>TEXT(tblWorkPackages[[#This Row],[Due date serial]],"yyyy-mm")</f>
        <v>2025-01</v>
      </c>
    </row>
    <row r="724" spans="1:36" ht="15" x14ac:dyDescent="0.25">
      <c r="A724" s="53" t="s">
        <v>1593</v>
      </c>
      <c r="B724" s="53" t="s">
        <v>250</v>
      </c>
      <c r="C724" s="53" t="s">
        <v>1136</v>
      </c>
      <c r="D724" s="53" t="s">
        <v>770</v>
      </c>
      <c r="E724" s="53" t="s">
        <v>242</v>
      </c>
      <c r="F724" s="53" t="s">
        <v>243</v>
      </c>
      <c r="G724" s="53" t="s">
        <v>129</v>
      </c>
      <c r="H724" s="53">
        <v>4</v>
      </c>
      <c r="I724" s="53" t="s">
        <v>176</v>
      </c>
      <c r="J724" s="53">
        <v>0</v>
      </c>
      <c r="K724" s="53">
        <v>0</v>
      </c>
      <c r="L724" s="53">
        <v>14</v>
      </c>
      <c r="M724" s="53" t="s">
        <v>373</v>
      </c>
      <c r="N724" s="53">
        <v>10.9</v>
      </c>
      <c r="O724" s="51" t="str">
        <f>TEXT(tblWorkPackages[[#This Row],[Request date serial]]-WEEKDAY(tblWorkPackages[[#This Row],[Request date serial]],3),"yyyy-mm-dd")</f>
        <v>2024-09-16</v>
      </c>
      <c r="P724" s="51">
        <f>ABS(tblWorkPackages[[#This Row],[Actual labor hours]]-tblWorkPackages[[#This Row],[Estimated labor hours]])</f>
        <v>3.1</v>
      </c>
      <c r="Q724" s="51">
        <f>IF(tblWorkPackages[[#This Row],[Actual labor hours]]&gt;tblWorkPackages[[#This Row],[Estimated labor hours]],1,0)</f>
        <v>0</v>
      </c>
      <c r="R724" s="51">
        <f>tblWorkPackages[[#This Row],[Actual labor hours]]-tblWorkPackages[[#This Row],[Estimated labor hours]]</f>
        <v>-3.1</v>
      </c>
      <c r="S724" s="51" t="str">
        <f>IF(tblWorkPackages[[#This Row],[Request date serial]]&lt;ValidationStart,"Train 2024",IF(tblWorkPackages[[#This Row],[Request date serial]]&lt;HoldoutStart,"Validation H1","Holdout H2"))</f>
        <v>Train 2024</v>
      </c>
      <c r="T724" s="51" t="str">
        <f>IF(tblWorkPackages[[#This Row],[Time split]]="Train 2024","",tblWorkPackages[[#This Row],[Estimated labor hours]]+VLOOKUP(tblWorkPackages[[#This Row],[Task type]],'Forecast validation'!$A$14:$E$25,IF(tblWorkPackages[[#This Row],[Time split]]="Validation H1",4,5),FALSE()))</f>
        <v/>
      </c>
      <c r="U724" s="51" t="str">
        <f>IF(tblWorkPackages[[#This Row],[Calibrated forecast hours]]="","",ABS(tblWorkPackages[[#This Row],[Actual labor hours]]-tblWorkPackages[[#This Row],[Calibrated forecast hours]]))</f>
        <v/>
      </c>
      <c r="V724" s="51">
        <f>IF(tblWorkPackages[[#This Row],[Time split]]="Train 2024",tblWorkPackages[[#This Row],[Estimated labor hours]],tblWorkPackages[[#This Row],[Calibrated forecast hours]])</f>
        <v>14</v>
      </c>
      <c r="W724" s="64">
        <f>DATEVALUE(tblWorkPackages[[#This Row],[Request date]])</f>
        <v>45552.0</v>
      </c>
      <c r="X724" s="64">
        <f>DATEVALUE(tblWorkPackages[[#This Row],[Due date]])</f>
        <v>45558.0</v>
      </c>
      <c r="Y724" s="64">
        <f>DATEVALUE(tblWorkPackages[[#This Row],[Completion date]])</f>
        <v>45575.0</v>
      </c>
      <c r="Z724" s="64">
        <f>_xlfn.MINIFS(tblLaborEntries[Work date serial],tblLaborEntries[Work package ID],tblWorkPackages[[#This Row],[Work package ID]])</f>
        <v>45573.0</v>
      </c>
      <c r="AA724" s="64">
        <f>_xlfn.MAXIFS(tblLaborEntries[Work date serial],tblLaborEntries[Work package ID],tblWorkPackages[[#This Row],[Work package ID]])</f>
        <v>45573.0</v>
      </c>
      <c r="AB724" s="65">
        <f>IF(tblWorkPackages[[#This Row],[Completion date serial]]&gt;tblWorkPackages[[#This Row],[Due date serial]],1,0)</f>
        <v>1</v>
      </c>
      <c r="AC724" s="65">
        <f>MAX(0,tblWorkPackages[[#This Row],[Completion date serial]]-tblWorkPackages[[#This Row],[Due date serial]])</f>
        <v>17</v>
      </c>
      <c r="AD724" s="65">
        <f>tblWorkPackages[[#This Row],[First labor date]]-tblWorkPackages[[#This Row],[Request date serial]]</f>
        <v>21</v>
      </c>
      <c r="AE724" s="65">
        <f>tblWorkPackages[[#This Row],[Last labor date]]-tblWorkPackages[[#This Row],[First labor date]]</f>
        <v>0</v>
      </c>
      <c r="AF724" s="65">
        <f>tblWorkPackages[[#This Row],[Completion date serial]]-tblWorkPackages[[#This Row],[Last labor date]]</f>
        <v>2</v>
      </c>
      <c r="AG724" s="65">
        <f>tblWorkPackages[[#This Row],[Completion date serial]]-tblWorkPackages[[#This Row],[Request date serial]]</f>
        <v>23</v>
      </c>
      <c r="AH724" s="65">
        <f>IFERROR(INDEX(tblParts[Delay days],MATCH(tblWorkPackages[[#This Row],[Work package ID]],tblParts[Work package ID],0)),0)</f>
        <v>0</v>
      </c>
      <c r="AI724" s="51" t="str">
        <f>IFERROR(INDEX(tblDisruptions[Event type],MATCH(tblWorkPackages[[#This Row],[Work package ID]],tblDisruptions[Work package ID],0)),"None")</f>
        <v>None</v>
      </c>
      <c r="AJ724" s="51" t="str">
        <f>TEXT(tblWorkPackages[[#This Row],[Due date serial]],"yyyy-mm")</f>
        <v>2024-09</v>
      </c>
    </row>
    <row r="725" spans="1:36" ht="15" x14ac:dyDescent="0.25">
      <c r="A725" s="53" t="s">
        <v>1594</v>
      </c>
      <c r="B725" s="53" t="s">
        <v>235</v>
      </c>
      <c r="C725" s="53" t="s">
        <v>1180</v>
      </c>
      <c r="D725" s="53" t="s">
        <v>1466</v>
      </c>
      <c r="E725" s="53" t="s">
        <v>160</v>
      </c>
      <c r="F725" s="53" t="s">
        <v>128</v>
      </c>
      <c r="G725" s="53" t="s">
        <v>138</v>
      </c>
      <c r="H725" s="53">
        <v>1</v>
      </c>
      <c r="I725" s="53" t="s">
        <v>176</v>
      </c>
      <c r="J725" s="53">
        <v>0</v>
      </c>
      <c r="K725" s="53">
        <v>0</v>
      </c>
      <c r="L725" s="53">
        <v>3.2</v>
      </c>
      <c r="M725" s="53" t="s">
        <v>215</v>
      </c>
      <c r="N725" s="53">
        <v>2.7</v>
      </c>
      <c r="O725" s="51" t="str">
        <f>TEXT(tblWorkPackages[[#This Row],[Request date serial]]-WEEKDAY(tblWorkPackages[[#This Row],[Request date serial]],3),"yyyy-mm-dd")</f>
        <v>2024-02-05</v>
      </c>
      <c r="P725" s="51">
        <f>ABS(tblWorkPackages[[#This Row],[Actual labor hours]]-tblWorkPackages[[#This Row],[Estimated labor hours]])</f>
        <v>0.5</v>
      </c>
      <c r="Q725" s="51">
        <f>IF(tblWorkPackages[[#This Row],[Actual labor hours]]&gt;tblWorkPackages[[#This Row],[Estimated labor hours]],1,0)</f>
        <v>0</v>
      </c>
      <c r="R725" s="51">
        <f>tblWorkPackages[[#This Row],[Actual labor hours]]-tblWorkPackages[[#This Row],[Estimated labor hours]]</f>
        <v>-0.5</v>
      </c>
      <c r="S725" s="51" t="str">
        <f>IF(tblWorkPackages[[#This Row],[Request date serial]]&lt;ValidationStart,"Train 2024",IF(tblWorkPackages[[#This Row],[Request date serial]]&lt;HoldoutStart,"Validation H1","Holdout H2"))</f>
        <v>Train 2024</v>
      </c>
      <c r="T725" s="51" t="str">
        <f>IF(tblWorkPackages[[#This Row],[Time split]]="Train 2024","",tblWorkPackages[[#This Row],[Estimated labor hours]]+VLOOKUP(tblWorkPackages[[#This Row],[Task type]],'Forecast validation'!$A$14:$E$25,IF(tblWorkPackages[[#This Row],[Time split]]="Validation H1",4,5),FALSE()))</f>
        <v/>
      </c>
      <c r="U725" s="51" t="str">
        <f>IF(tblWorkPackages[[#This Row],[Calibrated forecast hours]]="","",ABS(tblWorkPackages[[#This Row],[Actual labor hours]]-tblWorkPackages[[#This Row],[Calibrated forecast hours]]))</f>
        <v/>
      </c>
      <c r="V725" s="51">
        <f>IF(tblWorkPackages[[#This Row],[Time split]]="Train 2024",tblWorkPackages[[#This Row],[Estimated labor hours]],tblWorkPackages[[#This Row],[Calibrated forecast hours]])</f>
        <v>3.2</v>
      </c>
      <c r="W725" s="64">
        <f>DATEVALUE(tblWorkPackages[[#This Row],[Request date]])</f>
        <v>45327.0</v>
      </c>
      <c r="X725" s="64">
        <f>DATEVALUE(tblWorkPackages[[#This Row],[Due date]])</f>
        <v>45333.0</v>
      </c>
      <c r="Y725" s="64">
        <f>DATEVALUE(tblWorkPackages[[#This Row],[Completion date]])</f>
        <v>45336.0</v>
      </c>
      <c r="Z725" s="64">
        <f>_xlfn.MINIFS(tblLaborEntries[Work date serial],tblLaborEntries[Work package ID],tblWorkPackages[[#This Row],[Work package ID]])</f>
        <v>45331.0</v>
      </c>
      <c r="AA725" s="64">
        <f>_xlfn.MAXIFS(tblLaborEntries[Work date serial],tblLaborEntries[Work package ID],tblWorkPackages[[#This Row],[Work package ID]])</f>
        <v>45333.0</v>
      </c>
      <c r="AB725" s="65">
        <f>IF(tblWorkPackages[[#This Row],[Completion date serial]]&gt;tblWorkPackages[[#This Row],[Due date serial]],1,0)</f>
        <v>1</v>
      </c>
      <c r="AC725" s="65">
        <f>MAX(0,tblWorkPackages[[#This Row],[Completion date serial]]-tblWorkPackages[[#This Row],[Due date serial]])</f>
        <v>3</v>
      </c>
      <c r="AD725" s="65">
        <f>tblWorkPackages[[#This Row],[First labor date]]-tblWorkPackages[[#This Row],[Request date serial]]</f>
        <v>4</v>
      </c>
      <c r="AE725" s="65">
        <f>tblWorkPackages[[#This Row],[Last labor date]]-tblWorkPackages[[#This Row],[First labor date]]</f>
        <v>2</v>
      </c>
      <c r="AF725" s="65">
        <f>tblWorkPackages[[#This Row],[Completion date serial]]-tblWorkPackages[[#This Row],[Last labor date]]</f>
        <v>3</v>
      </c>
      <c r="AG725" s="65">
        <f>tblWorkPackages[[#This Row],[Completion date serial]]-tblWorkPackages[[#This Row],[Request date serial]]</f>
        <v>9</v>
      </c>
      <c r="AH725" s="65">
        <f>IFERROR(INDEX(tblParts[Delay days],MATCH(tblWorkPackages[[#This Row],[Work package ID]],tblParts[Work package ID],0)),0)</f>
        <v>0</v>
      </c>
      <c r="AI725" s="51" t="str">
        <f>IFERROR(INDEX(tblDisruptions[Event type],MATCH(tblWorkPackages[[#This Row],[Work package ID]],tblDisruptions[Work package ID],0)),"None")</f>
        <v>None</v>
      </c>
      <c r="AJ725" s="51" t="str">
        <f>TEXT(tblWorkPackages[[#This Row],[Due date serial]],"yyyy-mm")</f>
        <v>2024-02</v>
      </c>
    </row>
    <row r="726" spans="1:36" ht="15" x14ac:dyDescent="0.25">
      <c r="A726" s="53" t="s">
        <v>1595</v>
      </c>
      <c r="B726" s="53" t="s">
        <v>203</v>
      </c>
      <c r="C726" s="53" t="s">
        <v>349</v>
      </c>
      <c r="D726" s="53" t="s">
        <v>350</v>
      </c>
      <c r="E726" s="53" t="s">
        <v>272</v>
      </c>
      <c r="F726" s="53" t="s">
        <v>145</v>
      </c>
      <c r="G726" s="53" t="s">
        <v>273</v>
      </c>
      <c r="H726" s="53">
        <v>2</v>
      </c>
      <c r="I726" s="53" t="s">
        <v>130</v>
      </c>
      <c r="J726" s="53">
        <v>0</v>
      </c>
      <c r="K726" s="53">
        <v>1</v>
      </c>
      <c r="L726" s="53">
        <v>10.6</v>
      </c>
      <c r="M726" s="53" t="s">
        <v>1237</v>
      </c>
      <c r="N726" s="53">
        <v>8.9</v>
      </c>
      <c r="O726" s="51" t="str">
        <f>TEXT(tblWorkPackages[[#This Row],[Request date serial]]-WEEKDAY(tblWorkPackages[[#This Row],[Request date serial]],3),"yyyy-mm-dd")</f>
        <v>2024-01-15</v>
      </c>
      <c r="P726" s="51">
        <f>ABS(tblWorkPackages[[#This Row],[Actual labor hours]]-tblWorkPackages[[#This Row],[Estimated labor hours]])</f>
        <v>1.7</v>
      </c>
      <c r="Q726" s="51">
        <f>IF(tblWorkPackages[[#This Row],[Actual labor hours]]&gt;tblWorkPackages[[#This Row],[Estimated labor hours]],1,0)</f>
        <v>0</v>
      </c>
      <c r="R726" s="51">
        <f>tblWorkPackages[[#This Row],[Actual labor hours]]-tblWorkPackages[[#This Row],[Estimated labor hours]]</f>
        <v>-1.7</v>
      </c>
      <c r="S726" s="51" t="str">
        <f>IF(tblWorkPackages[[#This Row],[Request date serial]]&lt;ValidationStart,"Train 2024",IF(tblWorkPackages[[#This Row],[Request date serial]]&lt;HoldoutStart,"Validation H1","Holdout H2"))</f>
        <v>Train 2024</v>
      </c>
      <c r="T726" s="51" t="str">
        <f>IF(tblWorkPackages[[#This Row],[Time split]]="Train 2024","",tblWorkPackages[[#This Row],[Estimated labor hours]]+VLOOKUP(tblWorkPackages[[#This Row],[Task type]],'Forecast validation'!$A$14:$E$25,IF(tblWorkPackages[[#This Row],[Time split]]="Validation H1",4,5),FALSE()))</f>
        <v/>
      </c>
      <c r="U726" s="51" t="str">
        <f>IF(tblWorkPackages[[#This Row],[Calibrated forecast hours]]="","",ABS(tblWorkPackages[[#This Row],[Actual labor hours]]-tblWorkPackages[[#This Row],[Calibrated forecast hours]]))</f>
        <v/>
      </c>
      <c r="V726" s="51">
        <f>IF(tblWorkPackages[[#This Row],[Time split]]="Train 2024",tblWorkPackages[[#This Row],[Estimated labor hours]],tblWorkPackages[[#This Row],[Calibrated forecast hours]])</f>
        <v>10.6</v>
      </c>
      <c r="W726" s="64">
        <f>DATEVALUE(tblWorkPackages[[#This Row],[Request date]])</f>
        <v>45310.0</v>
      </c>
      <c r="X726" s="64">
        <f>DATEVALUE(tblWorkPackages[[#This Row],[Due date]])</f>
        <v>45323.0</v>
      </c>
      <c r="Y726" s="64">
        <f>DATEVALUE(tblWorkPackages[[#This Row],[Completion date]])</f>
        <v>45312.0</v>
      </c>
      <c r="Z726" s="64">
        <f>_xlfn.MINIFS(tblLaborEntries[Work date serial],tblLaborEntries[Work package ID],tblWorkPackages[[#This Row],[Work package ID]])</f>
        <v>45311.0</v>
      </c>
      <c r="AA726" s="64">
        <f>_xlfn.MAXIFS(tblLaborEntries[Work date serial],tblLaborEntries[Work package ID],tblWorkPackages[[#This Row],[Work package ID]])</f>
        <v>45312.0</v>
      </c>
      <c r="AB726" s="65">
        <f>IF(tblWorkPackages[[#This Row],[Completion date serial]]&gt;tblWorkPackages[[#This Row],[Due date serial]],1,0)</f>
        <v>0</v>
      </c>
      <c r="AC726" s="65">
        <f>MAX(0,tblWorkPackages[[#This Row],[Completion date serial]]-tblWorkPackages[[#This Row],[Due date serial]])</f>
        <v>0</v>
      </c>
      <c r="AD726" s="65">
        <f>tblWorkPackages[[#This Row],[First labor date]]-tblWorkPackages[[#This Row],[Request date serial]]</f>
        <v>1</v>
      </c>
      <c r="AE726" s="65">
        <f>tblWorkPackages[[#This Row],[Last labor date]]-tblWorkPackages[[#This Row],[First labor date]]</f>
        <v>1</v>
      </c>
      <c r="AF726" s="65">
        <f>tblWorkPackages[[#This Row],[Completion date serial]]-tblWorkPackages[[#This Row],[Last labor date]]</f>
        <v>0</v>
      </c>
      <c r="AG726" s="65">
        <f>tblWorkPackages[[#This Row],[Completion date serial]]-tblWorkPackages[[#This Row],[Request date serial]]</f>
        <v>2</v>
      </c>
      <c r="AH726" s="65">
        <f>IFERROR(INDEX(tblParts[Delay days],MATCH(tblWorkPackages[[#This Row],[Work package ID]],tblParts[Work package ID],0)),0)</f>
        <v>0</v>
      </c>
      <c r="AI726" s="51" t="str">
        <f>IFERROR(INDEX(tblDisruptions[Event type],MATCH(tblWorkPackages[[#This Row],[Work package ID]],tblDisruptions[Work package ID],0)),"None")</f>
        <v>None</v>
      </c>
      <c r="AJ726" s="51" t="str">
        <f>TEXT(tblWorkPackages[[#This Row],[Due date serial]],"yyyy-mm")</f>
        <v>2024-02</v>
      </c>
    </row>
    <row r="727" spans="1:36" ht="15" x14ac:dyDescent="0.25">
      <c r="A727" s="53" t="s">
        <v>1596</v>
      </c>
      <c r="B727" s="53" t="s">
        <v>173</v>
      </c>
      <c r="C727" s="53" t="s">
        <v>1400</v>
      </c>
      <c r="D727" s="53" t="s">
        <v>645</v>
      </c>
      <c r="E727" s="53" t="s">
        <v>237</v>
      </c>
      <c r="F727" s="53" t="s">
        <v>182</v>
      </c>
      <c r="G727" s="53" t="s">
        <v>138</v>
      </c>
      <c r="H727" s="53">
        <v>2</v>
      </c>
      <c r="I727" s="53" t="s">
        <v>176</v>
      </c>
      <c r="J727" s="53">
        <v>0</v>
      </c>
      <c r="K727" s="53">
        <v>0</v>
      </c>
      <c r="L727" s="53">
        <v>4.7</v>
      </c>
      <c r="M727" s="53" t="s">
        <v>780</v>
      </c>
      <c r="N727" s="53">
        <v>5.8</v>
      </c>
      <c r="O727" s="51" t="str">
        <f>TEXT(tblWorkPackages[[#This Row],[Request date serial]]-WEEKDAY(tblWorkPackages[[#This Row],[Request date serial]],3),"yyyy-mm-dd")</f>
        <v>2025-12-01</v>
      </c>
      <c r="P727" s="51">
        <f>ABS(tblWorkPackages[[#This Row],[Actual labor hours]]-tblWorkPackages[[#This Row],[Estimated labor hours]])</f>
        <v>1.1</v>
      </c>
      <c r="Q727" s="51">
        <f>IF(tblWorkPackages[[#This Row],[Actual labor hours]]&gt;tblWorkPackages[[#This Row],[Estimated labor hours]],1,0)</f>
        <v>1</v>
      </c>
      <c r="R727" s="51">
        <f>tblWorkPackages[[#This Row],[Actual labor hours]]-tblWorkPackages[[#This Row],[Estimated labor hours]]</f>
        <v>1.1</v>
      </c>
      <c r="S727" s="51" t="str">
        <f>IF(tblWorkPackages[[#This Row],[Request date serial]]&lt;ValidationStart,"Train 2024",IF(tblWorkPackages[[#This Row],[Request date serial]]&lt;HoldoutStart,"Validation H1","Holdout H2"))</f>
        <v>Holdout H2</v>
      </c>
      <c r="T727" s="51">
        <f>IF(tblWorkPackages[[#This Row],[Time split]]="Train 2024","",tblWorkPackages[[#This Row],[Estimated labor hours]]+VLOOKUP(tblWorkPackages[[#This Row],[Task type]],'Forecast validation'!$A$14:$E$25,IF(tblWorkPackages[[#This Row],[Time split]]="Validation H1",4,5),FALSE()))</f>
        <v>5.153125</v>
      </c>
      <c r="U727" s="51">
        <f>IF(tblWorkPackages[[#This Row],[Calibrated forecast hours]]="","",ABS(tblWorkPackages[[#This Row],[Actual labor hours]]-tblWorkPackages[[#This Row],[Calibrated forecast hours]]))</f>
        <v>0.646875</v>
      </c>
      <c r="V727" s="51">
        <f>IF(tblWorkPackages[[#This Row],[Time split]]="Train 2024",tblWorkPackages[[#This Row],[Estimated labor hours]],tblWorkPackages[[#This Row],[Calibrated forecast hours]])</f>
        <v>5.153125</v>
      </c>
      <c r="W727" s="64">
        <f>DATEVALUE(tblWorkPackages[[#This Row],[Request date]])</f>
        <v>45996.0</v>
      </c>
      <c r="X727" s="64">
        <f>DATEVALUE(tblWorkPackages[[#This Row],[Due date]])</f>
        <v>46002.0</v>
      </c>
      <c r="Y727" s="64">
        <f>DATEVALUE(tblWorkPackages[[#This Row],[Completion date]])</f>
        <v>46009.0</v>
      </c>
      <c r="Z727" s="64">
        <f>_xlfn.MINIFS(tblLaborEntries[Work date serial],tblLaborEntries[Work package ID],tblWorkPackages[[#This Row],[Work package ID]])</f>
        <v>46008.0</v>
      </c>
      <c r="AA727" s="64">
        <f>_xlfn.MAXIFS(tblLaborEntries[Work date serial],tblLaborEntries[Work package ID],tblWorkPackages[[#This Row],[Work package ID]])</f>
        <v>46008.0</v>
      </c>
      <c r="AB727" s="65">
        <f>IF(tblWorkPackages[[#This Row],[Completion date serial]]&gt;tblWorkPackages[[#This Row],[Due date serial]],1,0)</f>
        <v>1</v>
      </c>
      <c r="AC727" s="65">
        <f>MAX(0,tblWorkPackages[[#This Row],[Completion date serial]]-tblWorkPackages[[#This Row],[Due date serial]])</f>
        <v>7</v>
      </c>
      <c r="AD727" s="65">
        <f>tblWorkPackages[[#This Row],[First labor date]]-tblWorkPackages[[#This Row],[Request date serial]]</f>
        <v>12</v>
      </c>
      <c r="AE727" s="65">
        <f>tblWorkPackages[[#This Row],[Last labor date]]-tblWorkPackages[[#This Row],[First labor date]]</f>
        <v>0</v>
      </c>
      <c r="AF727" s="65">
        <f>tblWorkPackages[[#This Row],[Completion date serial]]-tblWorkPackages[[#This Row],[Last labor date]]</f>
        <v>1</v>
      </c>
      <c r="AG727" s="65">
        <f>tblWorkPackages[[#This Row],[Completion date serial]]-tblWorkPackages[[#This Row],[Request date serial]]</f>
        <v>13</v>
      </c>
      <c r="AH727" s="65">
        <f>IFERROR(INDEX(tblParts[Delay days],MATCH(tblWorkPackages[[#This Row],[Work package ID]],tblParts[Work package ID],0)),0)</f>
        <v>0</v>
      </c>
      <c r="AI727" s="51" t="str">
        <f>IFERROR(INDEX(tblDisruptions[Event type],MATCH(tblWorkPackages[[#This Row],[Work package ID]],tblDisruptions[Work package ID],0)),"None")</f>
        <v>None</v>
      </c>
      <c r="AJ727" s="51" t="str">
        <f>TEXT(tblWorkPackages[[#This Row],[Due date serial]],"yyyy-mm")</f>
        <v>2025-12</v>
      </c>
    </row>
    <row r="728" spans="1:36" ht="15" x14ac:dyDescent="0.25">
      <c r="A728" s="53" t="s">
        <v>1597</v>
      </c>
      <c r="B728" s="53" t="s">
        <v>168</v>
      </c>
      <c r="C728" s="53" t="s">
        <v>558</v>
      </c>
      <c r="D728" s="53" t="s">
        <v>559</v>
      </c>
      <c r="E728" s="53" t="s">
        <v>127</v>
      </c>
      <c r="F728" s="53" t="s">
        <v>128</v>
      </c>
      <c r="G728" s="53" t="s">
        <v>129</v>
      </c>
      <c r="H728" s="53">
        <v>3</v>
      </c>
      <c r="I728" s="53" t="s">
        <v>130</v>
      </c>
      <c r="J728" s="53">
        <v>0</v>
      </c>
      <c r="K728" s="53">
        <v>0</v>
      </c>
      <c r="L728" s="53">
        <v>8.8000000000000007</v>
      </c>
      <c r="M728" s="53" t="s">
        <v>1297</v>
      </c>
      <c r="N728" s="53">
        <v>9.4</v>
      </c>
      <c r="O728" s="51" t="str">
        <f>TEXT(tblWorkPackages[[#This Row],[Request date serial]]-WEEKDAY(tblWorkPackages[[#This Row],[Request date serial]],3),"yyyy-mm-dd")</f>
        <v>2025-10-27</v>
      </c>
      <c r="P728" s="51">
        <f>ABS(tblWorkPackages[[#This Row],[Actual labor hours]]-tblWorkPackages[[#This Row],[Estimated labor hours]])</f>
        <v>0.6</v>
      </c>
      <c r="Q728" s="51">
        <f>IF(tblWorkPackages[[#This Row],[Actual labor hours]]&gt;tblWorkPackages[[#This Row],[Estimated labor hours]],1,0)</f>
        <v>1</v>
      </c>
      <c r="R728" s="51">
        <f>tblWorkPackages[[#This Row],[Actual labor hours]]-tblWorkPackages[[#This Row],[Estimated labor hours]]</f>
        <v>0.6</v>
      </c>
      <c r="S728" s="51" t="str">
        <f>IF(tblWorkPackages[[#This Row],[Request date serial]]&lt;ValidationStart,"Train 2024",IF(tblWorkPackages[[#This Row],[Request date serial]]&lt;HoldoutStart,"Validation H1","Holdout H2"))</f>
        <v>Holdout H2</v>
      </c>
      <c r="T728" s="51">
        <f>IF(tblWorkPackages[[#This Row],[Time split]]="Train 2024","",tblWorkPackages[[#This Row],[Estimated labor hours]]+VLOOKUP(tblWorkPackages[[#This Row],[Task type]],'Forecast validation'!$A$14:$E$25,IF(tblWorkPackages[[#This Row],[Time split]]="Validation H1",4,5),FALSE()))</f>
        <v>9.34341085271318</v>
      </c>
      <c r="U728" s="51">
        <f>IF(tblWorkPackages[[#This Row],[Calibrated forecast hours]]="","",ABS(tblWorkPackages[[#This Row],[Actual labor hours]]-tblWorkPackages[[#This Row],[Calibrated forecast hours]]))</f>
        <v>0.0565891472868216</v>
      </c>
      <c r="V728" s="51">
        <f>IF(tblWorkPackages[[#This Row],[Time split]]="Train 2024",tblWorkPackages[[#This Row],[Estimated labor hours]],tblWorkPackages[[#This Row],[Calibrated forecast hours]])</f>
        <v>9.34341085271318</v>
      </c>
      <c r="W728" s="64">
        <f>DATEVALUE(tblWorkPackages[[#This Row],[Request date]])</f>
        <v>45961.0</v>
      </c>
      <c r="X728" s="64">
        <f>DATEVALUE(tblWorkPackages[[#This Row],[Due date]])</f>
        <v>45974.0</v>
      </c>
      <c r="Y728" s="64">
        <f>DATEVALUE(tblWorkPackages[[#This Row],[Completion date]])</f>
        <v>45966.0</v>
      </c>
      <c r="Z728" s="64">
        <f>_xlfn.MINIFS(tblLaborEntries[Work date serial],tblLaborEntries[Work package ID],tblWorkPackages[[#This Row],[Work package ID]])</f>
        <v>45964.0</v>
      </c>
      <c r="AA728" s="64">
        <f>_xlfn.MAXIFS(tblLaborEntries[Work date serial],tblLaborEntries[Work package ID],tblWorkPackages[[#This Row],[Work package ID]])</f>
        <v>45964.0</v>
      </c>
      <c r="AB728" s="65">
        <f>IF(tblWorkPackages[[#This Row],[Completion date serial]]&gt;tblWorkPackages[[#This Row],[Due date serial]],1,0)</f>
        <v>0</v>
      </c>
      <c r="AC728" s="65">
        <f>MAX(0,tblWorkPackages[[#This Row],[Completion date serial]]-tblWorkPackages[[#This Row],[Due date serial]])</f>
        <v>0</v>
      </c>
      <c r="AD728" s="65">
        <f>tblWorkPackages[[#This Row],[First labor date]]-tblWorkPackages[[#This Row],[Request date serial]]</f>
        <v>3</v>
      </c>
      <c r="AE728" s="65">
        <f>tblWorkPackages[[#This Row],[Last labor date]]-tblWorkPackages[[#This Row],[First labor date]]</f>
        <v>0</v>
      </c>
      <c r="AF728" s="65">
        <f>tblWorkPackages[[#This Row],[Completion date serial]]-tblWorkPackages[[#This Row],[Last labor date]]</f>
        <v>2</v>
      </c>
      <c r="AG728" s="65">
        <f>tblWorkPackages[[#This Row],[Completion date serial]]-tblWorkPackages[[#This Row],[Request date serial]]</f>
        <v>5</v>
      </c>
      <c r="AH728" s="65">
        <f>IFERROR(INDEX(tblParts[Delay days],MATCH(tblWorkPackages[[#This Row],[Work package ID]],tblParts[Work package ID],0)),0)</f>
        <v>0</v>
      </c>
      <c r="AI728" s="51" t="str">
        <f>IFERROR(INDEX(tblDisruptions[Event type],MATCH(tblWorkPackages[[#This Row],[Work package ID]],tblDisruptions[Work package ID],0)),"None")</f>
        <v>None</v>
      </c>
      <c r="AJ728" s="51" t="str">
        <f>TEXT(tblWorkPackages[[#This Row],[Due date serial]],"yyyy-mm")</f>
        <v>2025-11</v>
      </c>
    </row>
    <row r="729" spans="1:36" ht="15" x14ac:dyDescent="0.25">
      <c r="A729" s="53" t="s">
        <v>1598</v>
      </c>
      <c r="B729" s="53" t="s">
        <v>163</v>
      </c>
      <c r="C729" s="53" t="s">
        <v>569</v>
      </c>
      <c r="D729" s="53" t="s">
        <v>425</v>
      </c>
      <c r="E729" s="53" t="s">
        <v>181</v>
      </c>
      <c r="F729" s="53" t="s">
        <v>182</v>
      </c>
      <c r="G729" s="53" t="s">
        <v>138</v>
      </c>
      <c r="H729" s="53">
        <v>2</v>
      </c>
      <c r="I729" s="53" t="s">
        <v>130</v>
      </c>
      <c r="J729" s="53">
        <v>0</v>
      </c>
      <c r="K729" s="53">
        <v>0</v>
      </c>
      <c r="L729" s="53">
        <v>8</v>
      </c>
      <c r="M729" s="53" t="s">
        <v>430</v>
      </c>
      <c r="N729" s="53">
        <v>7</v>
      </c>
      <c r="O729" s="51" t="str">
        <f>TEXT(tblWorkPackages[[#This Row],[Request date serial]]-WEEKDAY(tblWorkPackages[[#This Row],[Request date serial]],3),"yyyy-mm-dd")</f>
        <v>2025-05-26</v>
      </c>
      <c r="P729" s="51">
        <f>ABS(tblWorkPackages[[#This Row],[Actual labor hours]]-tblWorkPackages[[#This Row],[Estimated labor hours]])</f>
        <v>1</v>
      </c>
      <c r="Q729" s="51">
        <f>IF(tblWorkPackages[[#This Row],[Actual labor hours]]&gt;tblWorkPackages[[#This Row],[Estimated labor hours]],1,0)</f>
        <v>0</v>
      </c>
      <c r="R729" s="51">
        <f>tblWorkPackages[[#This Row],[Actual labor hours]]-tblWorkPackages[[#This Row],[Estimated labor hours]]</f>
        <v>-1</v>
      </c>
      <c r="S729" s="51" t="str">
        <f>IF(tblWorkPackages[[#This Row],[Request date serial]]&lt;ValidationStart,"Train 2024",IF(tblWorkPackages[[#This Row],[Request date serial]]&lt;HoldoutStart,"Validation H1","Holdout H2"))</f>
        <v>Validation H1</v>
      </c>
      <c r="T729" s="51">
        <f>IF(tblWorkPackages[[#This Row],[Time split]]="Train 2024","",tblWorkPackages[[#This Row],[Estimated labor hours]]+VLOOKUP(tblWorkPackages[[#This Row],[Task type]],'Forecast validation'!$A$14:$E$25,IF(tblWorkPackages[[#This Row],[Time split]]="Validation H1",4,5),FALSE()))</f>
        <v>8.58409090909091</v>
      </c>
      <c r="U729" s="51">
        <f>IF(tblWorkPackages[[#This Row],[Calibrated forecast hours]]="","",ABS(tblWorkPackages[[#This Row],[Actual labor hours]]-tblWorkPackages[[#This Row],[Calibrated forecast hours]]))</f>
        <v>1.58409090909091</v>
      </c>
      <c r="V729" s="51">
        <f>IF(tblWorkPackages[[#This Row],[Time split]]="Train 2024",tblWorkPackages[[#This Row],[Estimated labor hours]],tblWorkPackages[[#This Row],[Calibrated forecast hours]])</f>
        <v>8.58409090909091</v>
      </c>
      <c r="W729" s="64">
        <f>DATEVALUE(tblWorkPackages[[#This Row],[Request date]])</f>
        <v>45807.0</v>
      </c>
      <c r="X729" s="64">
        <f>DATEVALUE(tblWorkPackages[[#This Row],[Due date]])</f>
        <v>45820.0</v>
      </c>
      <c r="Y729" s="64">
        <f>DATEVALUE(tblWorkPackages[[#This Row],[Completion date]])</f>
        <v>45846.0</v>
      </c>
      <c r="Z729" s="64">
        <f>_xlfn.MINIFS(tblLaborEntries[Work date serial],tblLaborEntries[Work package ID],tblWorkPackages[[#This Row],[Work package ID]])</f>
        <v>45841.0</v>
      </c>
      <c r="AA729" s="64">
        <f>_xlfn.MAXIFS(tblLaborEntries[Work date serial],tblLaborEntries[Work package ID],tblWorkPackages[[#This Row],[Work package ID]])</f>
        <v>45843.0</v>
      </c>
      <c r="AB729" s="65">
        <f>IF(tblWorkPackages[[#This Row],[Completion date serial]]&gt;tblWorkPackages[[#This Row],[Due date serial]],1,0)</f>
        <v>1</v>
      </c>
      <c r="AC729" s="65">
        <f>MAX(0,tblWorkPackages[[#This Row],[Completion date serial]]-tblWorkPackages[[#This Row],[Due date serial]])</f>
        <v>26</v>
      </c>
      <c r="AD729" s="65">
        <f>tblWorkPackages[[#This Row],[First labor date]]-tblWorkPackages[[#This Row],[Request date serial]]</f>
        <v>34</v>
      </c>
      <c r="AE729" s="65">
        <f>tblWorkPackages[[#This Row],[Last labor date]]-tblWorkPackages[[#This Row],[First labor date]]</f>
        <v>2</v>
      </c>
      <c r="AF729" s="65">
        <f>tblWorkPackages[[#This Row],[Completion date serial]]-tblWorkPackages[[#This Row],[Last labor date]]</f>
        <v>3</v>
      </c>
      <c r="AG729" s="65">
        <f>tblWorkPackages[[#This Row],[Completion date serial]]-tblWorkPackages[[#This Row],[Request date serial]]</f>
        <v>39</v>
      </c>
      <c r="AH729" s="65">
        <f>IFERROR(INDEX(tblParts[Delay days],MATCH(tblWorkPackages[[#This Row],[Work package ID]],tblParts[Work package ID],0)),0)</f>
        <v>0</v>
      </c>
      <c r="AI729" s="51" t="str">
        <f>IFERROR(INDEX(tblDisruptions[Event type],MATCH(tblWorkPackages[[#This Row],[Work package ID]],tblDisruptions[Work package ID],0)),"None")</f>
        <v>None</v>
      </c>
      <c r="AJ729" s="51" t="str">
        <f>TEXT(tblWorkPackages[[#This Row],[Due date serial]],"yyyy-mm")</f>
        <v>2025-06</v>
      </c>
    </row>
    <row r="730" spans="1:36" ht="15" x14ac:dyDescent="0.25">
      <c r="A730" s="53" t="s">
        <v>1599</v>
      </c>
      <c r="B730" s="53" t="s">
        <v>185</v>
      </c>
      <c r="C730" s="53" t="s">
        <v>658</v>
      </c>
      <c r="D730" s="53" t="s">
        <v>177</v>
      </c>
      <c r="E730" s="53" t="s">
        <v>237</v>
      </c>
      <c r="F730" s="53" t="s">
        <v>182</v>
      </c>
      <c r="G730" s="53" t="s">
        <v>138</v>
      </c>
      <c r="H730" s="53">
        <v>2</v>
      </c>
      <c r="I730" s="53" t="s">
        <v>130</v>
      </c>
      <c r="J730" s="53">
        <v>0</v>
      </c>
      <c r="K730" s="53">
        <v>1</v>
      </c>
      <c r="L730" s="53">
        <v>5.2</v>
      </c>
      <c r="M730" s="53" t="s">
        <v>1151</v>
      </c>
      <c r="N730" s="53">
        <v>4.7</v>
      </c>
      <c r="O730" s="51" t="str">
        <f>TEXT(tblWorkPackages[[#This Row],[Request date serial]]-WEEKDAY(tblWorkPackages[[#This Row],[Request date serial]],3),"yyyy-mm-dd")</f>
        <v>2025-08-04</v>
      </c>
      <c r="P730" s="51">
        <f>ABS(tblWorkPackages[[#This Row],[Actual labor hours]]-tblWorkPackages[[#This Row],[Estimated labor hours]])</f>
        <v>0.5</v>
      </c>
      <c r="Q730" s="51">
        <f>IF(tblWorkPackages[[#This Row],[Actual labor hours]]&gt;tblWorkPackages[[#This Row],[Estimated labor hours]],1,0)</f>
        <v>0</v>
      </c>
      <c r="R730" s="51">
        <f>tblWorkPackages[[#This Row],[Actual labor hours]]-tblWorkPackages[[#This Row],[Estimated labor hours]]</f>
        <v>-0.5</v>
      </c>
      <c r="S730" s="51" t="str">
        <f>IF(tblWorkPackages[[#This Row],[Request date serial]]&lt;ValidationStart,"Train 2024",IF(tblWorkPackages[[#This Row],[Request date serial]]&lt;HoldoutStart,"Validation H1","Holdout H2"))</f>
        <v>Holdout H2</v>
      </c>
      <c r="T730" s="51">
        <f>IF(tblWorkPackages[[#This Row],[Time split]]="Train 2024","",tblWorkPackages[[#This Row],[Estimated labor hours]]+VLOOKUP(tblWorkPackages[[#This Row],[Task type]],'Forecast validation'!$A$14:$E$25,IF(tblWorkPackages[[#This Row],[Time split]]="Validation H1",4,5),FALSE()))</f>
        <v>5.653125</v>
      </c>
      <c r="U730" s="51">
        <f>IF(tblWorkPackages[[#This Row],[Calibrated forecast hours]]="","",ABS(tblWorkPackages[[#This Row],[Actual labor hours]]-tblWorkPackages[[#This Row],[Calibrated forecast hours]]))</f>
        <v>0.953125</v>
      </c>
      <c r="V730" s="51">
        <f>IF(tblWorkPackages[[#This Row],[Time split]]="Train 2024",tblWorkPackages[[#This Row],[Estimated labor hours]],tblWorkPackages[[#This Row],[Calibrated forecast hours]])</f>
        <v>5.653125</v>
      </c>
      <c r="W730" s="64">
        <f>DATEVALUE(tblWorkPackages[[#This Row],[Request date]])</f>
        <v>45873.0</v>
      </c>
      <c r="X730" s="64">
        <f>DATEVALUE(tblWorkPackages[[#This Row],[Due date]])</f>
        <v>45886.0</v>
      </c>
      <c r="Y730" s="64">
        <f>DATEVALUE(tblWorkPackages[[#This Row],[Completion date]])</f>
        <v>45880.0</v>
      </c>
      <c r="Z730" s="64">
        <f>_xlfn.MINIFS(tblLaborEntries[Work date serial],tblLaborEntries[Work package ID],tblWorkPackages[[#This Row],[Work package ID]])</f>
        <v>45879.0</v>
      </c>
      <c r="AA730" s="64">
        <f>_xlfn.MAXIFS(tblLaborEntries[Work date serial],tblLaborEntries[Work package ID],tblWorkPackages[[#This Row],[Work package ID]])</f>
        <v>45880.0</v>
      </c>
      <c r="AB730" s="65">
        <f>IF(tblWorkPackages[[#This Row],[Completion date serial]]&gt;tblWorkPackages[[#This Row],[Due date serial]],1,0)</f>
        <v>0</v>
      </c>
      <c r="AC730" s="65">
        <f>MAX(0,tblWorkPackages[[#This Row],[Completion date serial]]-tblWorkPackages[[#This Row],[Due date serial]])</f>
        <v>0</v>
      </c>
      <c r="AD730" s="65">
        <f>tblWorkPackages[[#This Row],[First labor date]]-tblWorkPackages[[#This Row],[Request date serial]]</f>
        <v>6</v>
      </c>
      <c r="AE730" s="65">
        <f>tblWorkPackages[[#This Row],[Last labor date]]-tblWorkPackages[[#This Row],[First labor date]]</f>
        <v>1</v>
      </c>
      <c r="AF730" s="65">
        <f>tblWorkPackages[[#This Row],[Completion date serial]]-tblWorkPackages[[#This Row],[Last labor date]]</f>
        <v>0</v>
      </c>
      <c r="AG730" s="65">
        <f>tblWorkPackages[[#This Row],[Completion date serial]]-tblWorkPackages[[#This Row],[Request date serial]]</f>
        <v>7</v>
      </c>
      <c r="AH730" s="65">
        <f>IFERROR(INDEX(tblParts[Delay days],MATCH(tblWorkPackages[[#This Row],[Work package ID]],tblParts[Work package ID],0)),0)</f>
        <v>0</v>
      </c>
      <c r="AI730" s="51" t="str">
        <f>IFERROR(INDEX(tblDisruptions[Event type],MATCH(tblWorkPackages[[#This Row],[Work package ID]],tblDisruptions[Work package ID],0)),"None")</f>
        <v>None</v>
      </c>
      <c r="AJ730" s="51" t="str">
        <f>TEXT(tblWorkPackages[[#This Row],[Due date serial]],"yyyy-mm")</f>
        <v>2025-08</v>
      </c>
    </row>
    <row r="731" spans="1:36" ht="15" x14ac:dyDescent="0.25">
      <c r="A731" s="53" t="s">
        <v>1600</v>
      </c>
      <c r="B731" s="53" t="s">
        <v>124</v>
      </c>
      <c r="C731" s="53" t="s">
        <v>903</v>
      </c>
      <c r="D731" s="53" t="s">
        <v>289</v>
      </c>
      <c r="E731" s="53" t="s">
        <v>181</v>
      </c>
      <c r="F731" s="53" t="s">
        <v>182</v>
      </c>
      <c r="G731" s="53" t="s">
        <v>138</v>
      </c>
      <c r="H731" s="53">
        <v>4</v>
      </c>
      <c r="I731" s="53" t="s">
        <v>176</v>
      </c>
      <c r="J731" s="53">
        <v>0</v>
      </c>
      <c r="K731" s="53">
        <v>1</v>
      </c>
      <c r="L731" s="53">
        <v>12.8</v>
      </c>
      <c r="M731" s="53" t="s">
        <v>810</v>
      </c>
      <c r="N731" s="53">
        <v>12.1</v>
      </c>
      <c r="O731" s="51" t="str">
        <f>TEXT(tblWorkPackages[[#This Row],[Request date serial]]-WEEKDAY(tblWorkPackages[[#This Row],[Request date serial]],3),"yyyy-mm-dd")</f>
        <v>2025-09-08</v>
      </c>
      <c r="P731" s="51">
        <f>ABS(tblWorkPackages[[#This Row],[Actual labor hours]]-tblWorkPackages[[#This Row],[Estimated labor hours]])</f>
        <v>0.700000000000001</v>
      </c>
      <c r="Q731" s="51">
        <f>IF(tblWorkPackages[[#This Row],[Actual labor hours]]&gt;tblWorkPackages[[#This Row],[Estimated labor hours]],1,0)</f>
        <v>0</v>
      </c>
      <c r="R731" s="51">
        <f>tblWorkPackages[[#This Row],[Actual labor hours]]-tblWorkPackages[[#This Row],[Estimated labor hours]]</f>
        <v>-0.700000000000001</v>
      </c>
      <c r="S731" s="51" t="str">
        <f>IF(tblWorkPackages[[#This Row],[Request date serial]]&lt;ValidationStart,"Train 2024",IF(tblWorkPackages[[#This Row],[Request date serial]]&lt;HoldoutStart,"Validation H1","Holdout H2"))</f>
        <v>Holdout H2</v>
      </c>
      <c r="T731" s="51">
        <f>IF(tblWorkPackages[[#This Row],[Time split]]="Train 2024","",tblWorkPackages[[#This Row],[Estimated labor hours]]+VLOOKUP(tblWorkPackages[[#This Row],[Task type]],'Forecast validation'!$A$14:$E$25,IF(tblWorkPackages[[#This Row],[Time split]]="Validation H1",4,5),FALSE()))</f>
        <v>13.3916083916084</v>
      </c>
      <c r="U731" s="51">
        <f>IF(tblWorkPackages[[#This Row],[Calibrated forecast hours]]="","",ABS(tblWorkPackages[[#This Row],[Actual labor hours]]-tblWorkPackages[[#This Row],[Calibrated forecast hours]]))</f>
        <v>1.29160839160839</v>
      </c>
      <c r="V731" s="51">
        <f>IF(tblWorkPackages[[#This Row],[Time split]]="Train 2024",tblWorkPackages[[#This Row],[Estimated labor hours]],tblWorkPackages[[#This Row],[Calibrated forecast hours]])</f>
        <v>13.3916083916084</v>
      </c>
      <c r="W731" s="64">
        <f>DATEVALUE(tblWorkPackages[[#This Row],[Request date]])</f>
        <v>45914.0</v>
      </c>
      <c r="X731" s="64">
        <f>DATEVALUE(tblWorkPackages[[#This Row],[Due date]])</f>
        <v>45920.0</v>
      </c>
      <c r="Y731" s="64">
        <f>DATEVALUE(tblWorkPackages[[#This Row],[Completion date]])</f>
        <v>45917.0</v>
      </c>
      <c r="Z731" s="64">
        <f>_xlfn.MINIFS(tblLaborEntries[Work date serial],tblLaborEntries[Work package ID],tblWorkPackages[[#This Row],[Work package ID]])</f>
        <v>45916.0</v>
      </c>
      <c r="AA731" s="64">
        <f>_xlfn.MAXIFS(tblLaborEntries[Work date serial],tblLaborEntries[Work package ID],tblWorkPackages[[#This Row],[Work package ID]])</f>
        <v>45916.0</v>
      </c>
      <c r="AB731" s="65">
        <f>IF(tblWorkPackages[[#This Row],[Completion date serial]]&gt;tblWorkPackages[[#This Row],[Due date serial]],1,0)</f>
        <v>0</v>
      </c>
      <c r="AC731" s="65">
        <f>MAX(0,tblWorkPackages[[#This Row],[Completion date serial]]-tblWorkPackages[[#This Row],[Due date serial]])</f>
        <v>0</v>
      </c>
      <c r="AD731" s="65">
        <f>tblWorkPackages[[#This Row],[First labor date]]-tblWorkPackages[[#This Row],[Request date serial]]</f>
        <v>2</v>
      </c>
      <c r="AE731" s="65">
        <f>tblWorkPackages[[#This Row],[Last labor date]]-tblWorkPackages[[#This Row],[First labor date]]</f>
        <v>0</v>
      </c>
      <c r="AF731" s="65">
        <f>tblWorkPackages[[#This Row],[Completion date serial]]-tblWorkPackages[[#This Row],[Last labor date]]</f>
        <v>1</v>
      </c>
      <c r="AG731" s="65">
        <f>tblWorkPackages[[#This Row],[Completion date serial]]-tblWorkPackages[[#This Row],[Request date serial]]</f>
        <v>3</v>
      </c>
      <c r="AH731" s="65">
        <f>IFERROR(INDEX(tblParts[Delay days],MATCH(tblWorkPackages[[#This Row],[Work package ID]],tblParts[Work package ID],0)),0)</f>
        <v>0</v>
      </c>
      <c r="AI731" s="51" t="str">
        <f>IFERROR(INDEX(tblDisruptions[Event type],MATCH(tblWorkPackages[[#This Row],[Work package ID]],tblDisruptions[Work package ID],0)),"None")</f>
        <v>None</v>
      </c>
      <c r="AJ731" s="51" t="str">
        <f>TEXT(tblWorkPackages[[#This Row],[Due date serial]],"yyyy-mm")</f>
        <v>2025-09</v>
      </c>
    </row>
    <row r="732" spans="1:36" ht="15" x14ac:dyDescent="0.25">
      <c r="A732" s="53" t="s">
        <v>1601</v>
      </c>
      <c r="B732" s="53" t="s">
        <v>287</v>
      </c>
      <c r="C732" s="53" t="s">
        <v>1578</v>
      </c>
      <c r="D732" s="53" t="s">
        <v>403</v>
      </c>
      <c r="E732" s="53" t="s">
        <v>144</v>
      </c>
      <c r="F732" s="53" t="s">
        <v>145</v>
      </c>
      <c r="G732" s="53" t="s">
        <v>146</v>
      </c>
      <c r="H732" s="53">
        <v>3</v>
      </c>
      <c r="I732" s="53" t="s">
        <v>130</v>
      </c>
      <c r="J732" s="53">
        <v>0</v>
      </c>
      <c r="K732" s="53">
        <v>0</v>
      </c>
      <c r="L732" s="53">
        <v>13.1</v>
      </c>
      <c r="M732" s="53" t="s">
        <v>196</v>
      </c>
      <c r="N732" s="53">
        <v>14.4</v>
      </c>
      <c r="O732" s="51" t="str">
        <f>TEXT(tblWorkPackages[[#This Row],[Request date serial]]-WEEKDAY(tblWorkPackages[[#This Row],[Request date serial]],3),"yyyy-mm-dd")</f>
        <v>2024-09-23</v>
      </c>
      <c r="P732" s="51">
        <f>ABS(tblWorkPackages[[#This Row],[Actual labor hours]]-tblWorkPackages[[#This Row],[Estimated labor hours]])</f>
        <v>1.3</v>
      </c>
      <c r="Q732" s="51">
        <f>IF(tblWorkPackages[[#This Row],[Actual labor hours]]&gt;tblWorkPackages[[#This Row],[Estimated labor hours]],1,0)</f>
        <v>1</v>
      </c>
      <c r="R732" s="51">
        <f>tblWorkPackages[[#This Row],[Actual labor hours]]-tblWorkPackages[[#This Row],[Estimated labor hours]]</f>
        <v>1.3</v>
      </c>
      <c r="S732" s="51" t="str">
        <f>IF(tblWorkPackages[[#This Row],[Request date serial]]&lt;ValidationStart,"Train 2024",IF(tblWorkPackages[[#This Row],[Request date serial]]&lt;HoldoutStart,"Validation H1","Holdout H2"))</f>
        <v>Train 2024</v>
      </c>
      <c r="T732" s="51" t="str">
        <f>IF(tblWorkPackages[[#This Row],[Time split]]="Train 2024","",tblWorkPackages[[#This Row],[Estimated labor hours]]+VLOOKUP(tblWorkPackages[[#This Row],[Task type]],'Forecast validation'!$A$14:$E$25,IF(tblWorkPackages[[#This Row],[Time split]]="Validation H1",4,5),FALSE()))</f>
        <v/>
      </c>
      <c r="U732" s="51" t="str">
        <f>IF(tblWorkPackages[[#This Row],[Calibrated forecast hours]]="","",ABS(tblWorkPackages[[#This Row],[Actual labor hours]]-tblWorkPackages[[#This Row],[Calibrated forecast hours]]))</f>
        <v/>
      </c>
      <c r="V732" s="51">
        <f>IF(tblWorkPackages[[#This Row],[Time split]]="Train 2024",tblWorkPackages[[#This Row],[Estimated labor hours]],tblWorkPackages[[#This Row],[Calibrated forecast hours]])</f>
        <v>13.1</v>
      </c>
      <c r="W732" s="64">
        <f>DATEVALUE(tblWorkPackages[[#This Row],[Request date]])</f>
        <v>45564.0</v>
      </c>
      <c r="X732" s="64">
        <f>DATEVALUE(tblWorkPackages[[#This Row],[Due date]])</f>
        <v>45577.0</v>
      </c>
      <c r="Y732" s="64">
        <f>DATEVALUE(tblWorkPackages[[#This Row],[Completion date]])</f>
        <v>45582.0</v>
      </c>
      <c r="Z732" s="64">
        <f>_xlfn.MINIFS(tblLaborEntries[Work date serial],tblLaborEntries[Work package ID],tblWorkPackages[[#This Row],[Work package ID]])</f>
        <v>45579.0</v>
      </c>
      <c r="AA732" s="64">
        <f>_xlfn.MAXIFS(tblLaborEntries[Work date serial],tblLaborEntries[Work package ID],tblWorkPackages[[#This Row],[Work package ID]])</f>
        <v>45580.0</v>
      </c>
      <c r="AB732" s="65">
        <f>IF(tblWorkPackages[[#This Row],[Completion date serial]]&gt;tblWorkPackages[[#This Row],[Due date serial]],1,0)</f>
        <v>1</v>
      </c>
      <c r="AC732" s="65">
        <f>MAX(0,tblWorkPackages[[#This Row],[Completion date serial]]-tblWorkPackages[[#This Row],[Due date serial]])</f>
        <v>5</v>
      </c>
      <c r="AD732" s="65">
        <f>tblWorkPackages[[#This Row],[First labor date]]-tblWorkPackages[[#This Row],[Request date serial]]</f>
        <v>15</v>
      </c>
      <c r="AE732" s="65">
        <f>tblWorkPackages[[#This Row],[Last labor date]]-tblWorkPackages[[#This Row],[First labor date]]</f>
        <v>1</v>
      </c>
      <c r="AF732" s="65">
        <f>tblWorkPackages[[#This Row],[Completion date serial]]-tblWorkPackages[[#This Row],[Last labor date]]</f>
        <v>2</v>
      </c>
      <c r="AG732" s="65">
        <f>tblWorkPackages[[#This Row],[Completion date serial]]-tblWorkPackages[[#This Row],[Request date serial]]</f>
        <v>18</v>
      </c>
      <c r="AH732" s="65">
        <f>IFERROR(INDEX(tblParts[Delay days],MATCH(tblWorkPackages[[#This Row],[Work package ID]],tblParts[Work package ID],0)),0)</f>
        <v>0</v>
      </c>
      <c r="AI732" s="51" t="str">
        <f>IFERROR(INDEX(tblDisruptions[Event type],MATCH(tblWorkPackages[[#This Row],[Work package ID]],tblDisruptions[Work package ID],0)),"None")</f>
        <v>None</v>
      </c>
      <c r="AJ732" s="51" t="str">
        <f>TEXT(tblWorkPackages[[#This Row],[Due date serial]],"yyyy-mm")</f>
        <v>2024-10</v>
      </c>
    </row>
    <row r="733" spans="1:36" ht="15" x14ac:dyDescent="0.25">
      <c r="A733" s="53" t="s">
        <v>1602</v>
      </c>
      <c r="B733" s="53" t="s">
        <v>250</v>
      </c>
      <c r="C733" s="53" t="s">
        <v>1262</v>
      </c>
      <c r="D733" s="53" t="s">
        <v>802</v>
      </c>
      <c r="E733" s="53" t="s">
        <v>144</v>
      </c>
      <c r="F733" s="53" t="s">
        <v>145</v>
      </c>
      <c r="G733" s="53" t="s">
        <v>146</v>
      </c>
      <c r="H733" s="53">
        <v>2</v>
      </c>
      <c r="I733" s="53" t="s">
        <v>176</v>
      </c>
      <c r="J733" s="53">
        <v>0</v>
      </c>
      <c r="K733" s="53">
        <v>1</v>
      </c>
      <c r="L733" s="53">
        <v>11</v>
      </c>
      <c r="M733" s="53" t="s">
        <v>839</v>
      </c>
      <c r="N733" s="53">
        <v>10</v>
      </c>
      <c r="O733" s="51" t="str">
        <f>TEXT(tblWorkPackages[[#This Row],[Request date serial]]-WEEKDAY(tblWorkPackages[[#This Row],[Request date serial]],3),"yyyy-mm-dd")</f>
        <v>2024-02-12</v>
      </c>
      <c r="P733" s="51">
        <f>ABS(tblWorkPackages[[#This Row],[Actual labor hours]]-tblWorkPackages[[#This Row],[Estimated labor hours]])</f>
        <v>1</v>
      </c>
      <c r="Q733" s="51">
        <f>IF(tblWorkPackages[[#This Row],[Actual labor hours]]&gt;tblWorkPackages[[#This Row],[Estimated labor hours]],1,0)</f>
        <v>0</v>
      </c>
      <c r="R733" s="51">
        <f>tblWorkPackages[[#This Row],[Actual labor hours]]-tblWorkPackages[[#This Row],[Estimated labor hours]]</f>
        <v>-1</v>
      </c>
      <c r="S733" s="51" t="str">
        <f>IF(tblWorkPackages[[#This Row],[Request date serial]]&lt;ValidationStart,"Train 2024",IF(tblWorkPackages[[#This Row],[Request date serial]]&lt;HoldoutStart,"Validation H1","Holdout H2"))</f>
        <v>Train 2024</v>
      </c>
      <c r="T733" s="51" t="str">
        <f>IF(tblWorkPackages[[#This Row],[Time split]]="Train 2024","",tblWorkPackages[[#This Row],[Estimated labor hours]]+VLOOKUP(tblWorkPackages[[#This Row],[Task type]],'Forecast validation'!$A$14:$E$25,IF(tblWorkPackages[[#This Row],[Time split]]="Validation H1",4,5),FALSE()))</f>
        <v/>
      </c>
      <c r="U733" s="51" t="str">
        <f>IF(tblWorkPackages[[#This Row],[Calibrated forecast hours]]="","",ABS(tblWorkPackages[[#This Row],[Actual labor hours]]-tblWorkPackages[[#This Row],[Calibrated forecast hours]]))</f>
        <v/>
      </c>
      <c r="V733" s="51">
        <f>IF(tblWorkPackages[[#This Row],[Time split]]="Train 2024",tblWorkPackages[[#This Row],[Estimated labor hours]],tblWorkPackages[[#This Row],[Calibrated forecast hours]])</f>
        <v>11</v>
      </c>
      <c r="W733" s="64">
        <f>DATEVALUE(tblWorkPackages[[#This Row],[Request date]])</f>
        <v>45337.0</v>
      </c>
      <c r="X733" s="64">
        <f>DATEVALUE(tblWorkPackages[[#This Row],[Due date]])</f>
        <v>45343.0</v>
      </c>
      <c r="Y733" s="64">
        <f>DATEVALUE(tblWorkPackages[[#This Row],[Completion date]])</f>
        <v>45346.0</v>
      </c>
      <c r="Z733" s="64">
        <f>_xlfn.MINIFS(tblLaborEntries[Work date serial],tblLaborEntries[Work package ID],tblWorkPackages[[#This Row],[Work package ID]])</f>
        <v>45341.0</v>
      </c>
      <c r="AA733" s="64">
        <f>_xlfn.MAXIFS(tblLaborEntries[Work date serial],tblLaborEntries[Work package ID],tblWorkPackages[[#This Row],[Work package ID]])</f>
        <v>45343.0</v>
      </c>
      <c r="AB733" s="65">
        <f>IF(tblWorkPackages[[#This Row],[Completion date serial]]&gt;tblWorkPackages[[#This Row],[Due date serial]],1,0)</f>
        <v>1</v>
      </c>
      <c r="AC733" s="65">
        <f>MAX(0,tblWorkPackages[[#This Row],[Completion date serial]]-tblWorkPackages[[#This Row],[Due date serial]])</f>
        <v>3</v>
      </c>
      <c r="AD733" s="65">
        <f>tblWorkPackages[[#This Row],[First labor date]]-tblWorkPackages[[#This Row],[Request date serial]]</f>
        <v>4</v>
      </c>
      <c r="AE733" s="65">
        <f>tblWorkPackages[[#This Row],[Last labor date]]-tblWorkPackages[[#This Row],[First labor date]]</f>
        <v>2</v>
      </c>
      <c r="AF733" s="65">
        <f>tblWorkPackages[[#This Row],[Completion date serial]]-tblWorkPackages[[#This Row],[Last labor date]]</f>
        <v>3</v>
      </c>
      <c r="AG733" s="65">
        <f>tblWorkPackages[[#This Row],[Completion date serial]]-tblWorkPackages[[#This Row],[Request date serial]]</f>
        <v>9</v>
      </c>
      <c r="AH733" s="65">
        <f>IFERROR(INDEX(tblParts[Delay days],MATCH(tblWorkPackages[[#This Row],[Work package ID]],tblParts[Work package ID],0)),0)</f>
        <v>0</v>
      </c>
      <c r="AI733" s="51" t="str">
        <f>IFERROR(INDEX(tblDisruptions[Event type],MATCH(tblWorkPackages[[#This Row],[Work package ID]],tblDisruptions[Work package ID],0)),"None")</f>
        <v>None</v>
      </c>
      <c r="AJ733" s="51" t="str">
        <f>TEXT(tblWorkPackages[[#This Row],[Due date serial]],"yyyy-mm")</f>
        <v>2024-02</v>
      </c>
    </row>
    <row r="734" spans="1:36" ht="15" x14ac:dyDescent="0.25">
      <c r="A734" s="53" t="s">
        <v>1603</v>
      </c>
      <c r="B734" s="53" t="s">
        <v>157</v>
      </c>
      <c r="C734" s="53" t="s">
        <v>445</v>
      </c>
      <c r="D734" s="53" t="s">
        <v>270</v>
      </c>
      <c r="E734" s="53" t="s">
        <v>153</v>
      </c>
      <c r="F734" s="53" t="s">
        <v>128</v>
      </c>
      <c r="G734" s="53" t="s">
        <v>154</v>
      </c>
      <c r="H734" s="53">
        <v>4</v>
      </c>
      <c r="I734" s="53" t="s">
        <v>130</v>
      </c>
      <c r="J734" s="53">
        <v>0</v>
      </c>
      <c r="K734" s="53">
        <v>0</v>
      </c>
      <c r="L734" s="53">
        <v>17.899999999999999</v>
      </c>
      <c r="M734" s="53" t="s">
        <v>446</v>
      </c>
      <c r="N734" s="53">
        <v>15.8</v>
      </c>
      <c r="O734" s="51" t="str">
        <f>TEXT(tblWorkPackages[[#This Row],[Request date serial]]-WEEKDAY(tblWorkPackages[[#This Row],[Request date serial]],3),"yyyy-mm-dd")</f>
        <v>2025-03-17</v>
      </c>
      <c r="P734" s="51">
        <f>ABS(tblWorkPackages[[#This Row],[Actual labor hours]]-tblWorkPackages[[#This Row],[Estimated labor hours]])</f>
        <v>2.1</v>
      </c>
      <c r="Q734" s="51">
        <f>IF(tblWorkPackages[[#This Row],[Actual labor hours]]&gt;tblWorkPackages[[#This Row],[Estimated labor hours]],1,0)</f>
        <v>0</v>
      </c>
      <c r="R734" s="51">
        <f>tblWorkPackages[[#This Row],[Actual labor hours]]-tblWorkPackages[[#This Row],[Estimated labor hours]]</f>
        <v>-2.1</v>
      </c>
      <c r="S734" s="51" t="str">
        <f>IF(tblWorkPackages[[#This Row],[Request date serial]]&lt;ValidationStart,"Train 2024",IF(tblWorkPackages[[#This Row],[Request date serial]]&lt;HoldoutStart,"Validation H1","Holdout H2"))</f>
        <v>Validation H1</v>
      </c>
      <c r="T734" s="51">
        <f>IF(tblWorkPackages[[#This Row],[Time split]]="Train 2024","",tblWorkPackages[[#This Row],[Estimated labor hours]]+VLOOKUP(tblWorkPackages[[#This Row],[Task type]],'Forecast validation'!$A$14:$E$25,IF(tblWorkPackages[[#This Row],[Time split]]="Validation H1",4,5),FALSE()))</f>
        <v>18.4462264150943</v>
      </c>
      <c r="U734" s="51">
        <f>IF(tblWorkPackages[[#This Row],[Calibrated forecast hours]]="","",ABS(tblWorkPackages[[#This Row],[Actual labor hours]]-tblWorkPackages[[#This Row],[Calibrated forecast hours]]))</f>
        <v>2.64622641509434</v>
      </c>
      <c r="V734" s="51">
        <f>IF(tblWorkPackages[[#This Row],[Time split]]="Train 2024",tblWorkPackages[[#This Row],[Estimated labor hours]],tblWorkPackages[[#This Row],[Calibrated forecast hours]])</f>
        <v>18.4462264150943</v>
      </c>
      <c r="W734" s="64">
        <f>DATEVALUE(tblWorkPackages[[#This Row],[Request date]])</f>
        <v>45735.0</v>
      </c>
      <c r="X734" s="64">
        <f>DATEVALUE(tblWorkPackages[[#This Row],[Due date]])</f>
        <v>45748.0</v>
      </c>
      <c r="Y734" s="64">
        <f>DATEVALUE(tblWorkPackages[[#This Row],[Completion date]])</f>
        <v>45737.0</v>
      </c>
      <c r="Z734" s="64">
        <f>_xlfn.MINIFS(tblLaborEntries[Work date serial],tblLaborEntries[Work package ID],tblWorkPackages[[#This Row],[Work package ID]])</f>
        <v>45736.0</v>
      </c>
      <c r="AA734" s="64">
        <f>_xlfn.MAXIFS(tblLaborEntries[Work date serial],tblLaborEntries[Work package ID],tblWorkPackages[[#This Row],[Work package ID]])</f>
        <v>45737.0</v>
      </c>
      <c r="AB734" s="65">
        <f>IF(tblWorkPackages[[#This Row],[Completion date serial]]&gt;tblWorkPackages[[#This Row],[Due date serial]],1,0)</f>
        <v>0</v>
      </c>
      <c r="AC734" s="65">
        <f>MAX(0,tblWorkPackages[[#This Row],[Completion date serial]]-tblWorkPackages[[#This Row],[Due date serial]])</f>
        <v>0</v>
      </c>
      <c r="AD734" s="65">
        <f>tblWorkPackages[[#This Row],[First labor date]]-tblWorkPackages[[#This Row],[Request date serial]]</f>
        <v>1</v>
      </c>
      <c r="AE734" s="65">
        <f>tblWorkPackages[[#This Row],[Last labor date]]-tblWorkPackages[[#This Row],[First labor date]]</f>
        <v>1</v>
      </c>
      <c r="AF734" s="65">
        <f>tblWorkPackages[[#This Row],[Completion date serial]]-tblWorkPackages[[#This Row],[Last labor date]]</f>
        <v>0</v>
      </c>
      <c r="AG734" s="65">
        <f>tblWorkPackages[[#This Row],[Completion date serial]]-tblWorkPackages[[#This Row],[Request date serial]]</f>
        <v>2</v>
      </c>
      <c r="AH734" s="65">
        <f>IFERROR(INDEX(tblParts[Delay days],MATCH(tblWorkPackages[[#This Row],[Work package ID]],tblParts[Work package ID],0)),0)</f>
        <v>0</v>
      </c>
      <c r="AI734" s="51" t="str">
        <f>IFERROR(INDEX(tblDisruptions[Event type],MATCH(tblWorkPackages[[#This Row],[Work package ID]],tblDisruptions[Work package ID],0)),"None")</f>
        <v>None</v>
      </c>
      <c r="AJ734" s="51" t="str">
        <f>TEXT(tblWorkPackages[[#This Row],[Due date serial]],"yyyy-mm")</f>
        <v>2025-04</v>
      </c>
    </row>
    <row r="735" spans="1:36" ht="15" x14ac:dyDescent="0.25">
      <c r="A735" s="53" t="s">
        <v>1604</v>
      </c>
      <c r="B735" s="53" t="s">
        <v>287</v>
      </c>
      <c r="C735" s="53" t="s">
        <v>388</v>
      </c>
      <c r="D735" s="53" t="s">
        <v>433</v>
      </c>
      <c r="E735" s="53" t="s">
        <v>127</v>
      </c>
      <c r="F735" s="53" t="s">
        <v>128</v>
      </c>
      <c r="G735" s="53" t="s">
        <v>129</v>
      </c>
      <c r="H735" s="53">
        <v>1</v>
      </c>
      <c r="I735" s="53" t="s">
        <v>147</v>
      </c>
      <c r="J735" s="53">
        <v>0</v>
      </c>
      <c r="K735" s="53">
        <v>0</v>
      </c>
      <c r="L735" s="53">
        <v>4.3</v>
      </c>
      <c r="M735" s="53" t="s">
        <v>874</v>
      </c>
      <c r="N735" s="53">
        <v>4.5999999999999996</v>
      </c>
      <c r="O735" s="51" t="str">
        <f>TEXT(tblWorkPackages[[#This Row],[Request date serial]]-WEEKDAY(tblWorkPackages[[#This Row],[Request date serial]],3),"yyyy-mm-dd")</f>
        <v>2024-09-02</v>
      </c>
      <c r="P735" s="51">
        <f>ABS(tblWorkPackages[[#This Row],[Actual labor hours]]-tblWorkPackages[[#This Row],[Estimated labor hours]])</f>
        <v>0.3</v>
      </c>
      <c r="Q735" s="51">
        <f>IF(tblWorkPackages[[#This Row],[Actual labor hours]]&gt;tblWorkPackages[[#This Row],[Estimated labor hours]],1,0)</f>
        <v>1</v>
      </c>
      <c r="R735" s="51">
        <f>tblWorkPackages[[#This Row],[Actual labor hours]]-tblWorkPackages[[#This Row],[Estimated labor hours]]</f>
        <v>0.3</v>
      </c>
      <c r="S735" s="51" t="str">
        <f>IF(tblWorkPackages[[#This Row],[Request date serial]]&lt;ValidationStart,"Train 2024",IF(tblWorkPackages[[#This Row],[Request date serial]]&lt;HoldoutStart,"Validation H1","Holdout H2"))</f>
        <v>Train 2024</v>
      </c>
      <c r="T735" s="51" t="str">
        <f>IF(tblWorkPackages[[#This Row],[Time split]]="Train 2024","",tblWorkPackages[[#This Row],[Estimated labor hours]]+VLOOKUP(tblWorkPackages[[#This Row],[Task type]],'Forecast validation'!$A$14:$E$25,IF(tblWorkPackages[[#This Row],[Time split]]="Validation H1",4,5),FALSE()))</f>
        <v/>
      </c>
      <c r="U735" s="51" t="str">
        <f>IF(tblWorkPackages[[#This Row],[Calibrated forecast hours]]="","",ABS(tblWorkPackages[[#This Row],[Actual labor hours]]-tblWorkPackages[[#This Row],[Calibrated forecast hours]]))</f>
        <v/>
      </c>
      <c r="V735" s="51">
        <f>IF(tblWorkPackages[[#This Row],[Time split]]="Train 2024",tblWorkPackages[[#This Row],[Estimated labor hours]],tblWorkPackages[[#This Row],[Calibrated forecast hours]])</f>
        <v>4.3</v>
      </c>
      <c r="W735" s="64">
        <f>DATEVALUE(tblWorkPackages[[#This Row],[Request date]])</f>
        <v>45537.0</v>
      </c>
      <c r="X735" s="64">
        <f>DATEVALUE(tblWorkPackages[[#This Row],[Due date]])</f>
        <v>45539.0</v>
      </c>
      <c r="Y735" s="64">
        <f>DATEVALUE(tblWorkPackages[[#This Row],[Completion date]])</f>
        <v>45548.0</v>
      </c>
      <c r="Z735" s="64">
        <f>_xlfn.MINIFS(tblLaborEntries[Work date serial],tblLaborEntries[Work package ID],tblWorkPackages[[#This Row],[Work package ID]])</f>
        <v>45547.0</v>
      </c>
      <c r="AA735" s="64">
        <f>_xlfn.MAXIFS(tblLaborEntries[Work date serial],tblLaborEntries[Work package ID],tblWorkPackages[[#This Row],[Work package ID]])</f>
        <v>45547.0</v>
      </c>
      <c r="AB735" s="65">
        <f>IF(tblWorkPackages[[#This Row],[Completion date serial]]&gt;tblWorkPackages[[#This Row],[Due date serial]],1,0)</f>
        <v>1</v>
      </c>
      <c r="AC735" s="65">
        <f>MAX(0,tblWorkPackages[[#This Row],[Completion date serial]]-tblWorkPackages[[#This Row],[Due date serial]])</f>
        <v>9</v>
      </c>
      <c r="AD735" s="65">
        <f>tblWorkPackages[[#This Row],[First labor date]]-tblWorkPackages[[#This Row],[Request date serial]]</f>
        <v>10</v>
      </c>
      <c r="AE735" s="65">
        <f>tblWorkPackages[[#This Row],[Last labor date]]-tblWorkPackages[[#This Row],[First labor date]]</f>
        <v>0</v>
      </c>
      <c r="AF735" s="65">
        <f>tblWorkPackages[[#This Row],[Completion date serial]]-tblWorkPackages[[#This Row],[Last labor date]]</f>
        <v>1</v>
      </c>
      <c r="AG735" s="65">
        <f>tblWorkPackages[[#This Row],[Completion date serial]]-tblWorkPackages[[#This Row],[Request date serial]]</f>
        <v>11</v>
      </c>
      <c r="AH735" s="65">
        <f>IFERROR(INDEX(tblParts[Delay days],MATCH(tblWorkPackages[[#This Row],[Work package ID]],tblParts[Work package ID],0)),0)</f>
        <v>0</v>
      </c>
      <c r="AI735" s="51" t="str">
        <f>IFERROR(INDEX(tblDisruptions[Event type],MATCH(tblWorkPackages[[#This Row],[Work package ID]],tblDisruptions[Work package ID],0)),"None")</f>
        <v>None</v>
      </c>
      <c r="AJ735" s="51" t="str">
        <f>TEXT(tblWorkPackages[[#This Row],[Due date serial]],"yyyy-mm")</f>
        <v>2024-09</v>
      </c>
    </row>
    <row r="736" spans="1:36" ht="15" x14ac:dyDescent="0.25">
      <c r="A736" s="53" t="s">
        <v>1605</v>
      </c>
      <c r="B736" s="53" t="s">
        <v>163</v>
      </c>
      <c r="C736" s="53" t="s">
        <v>900</v>
      </c>
      <c r="D736" s="53" t="s">
        <v>607</v>
      </c>
      <c r="E736" s="53" t="s">
        <v>209</v>
      </c>
      <c r="F736" s="53" t="s">
        <v>145</v>
      </c>
      <c r="G736" s="53" t="s">
        <v>210</v>
      </c>
      <c r="H736" s="53">
        <v>1</v>
      </c>
      <c r="I736" s="53" t="s">
        <v>176</v>
      </c>
      <c r="J736" s="53">
        <v>0</v>
      </c>
      <c r="K736" s="53">
        <v>1</v>
      </c>
      <c r="L736" s="53">
        <v>14.6</v>
      </c>
      <c r="M736" s="53" t="s">
        <v>270</v>
      </c>
      <c r="N736" s="53">
        <v>24</v>
      </c>
      <c r="O736" s="51" t="str">
        <f>TEXT(tblWorkPackages[[#This Row],[Request date serial]]-WEEKDAY(tblWorkPackages[[#This Row],[Request date serial]],3),"yyyy-mm-dd")</f>
        <v>2025-03-10</v>
      </c>
      <c r="P736" s="51">
        <f>ABS(tblWorkPackages[[#This Row],[Actual labor hours]]-tblWorkPackages[[#This Row],[Estimated labor hours]])</f>
        <v>9.4</v>
      </c>
      <c r="Q736" s="51">
        <f>IF(tblWorkPackages[[#This Row],[Actual labor hours]]&gt;tblWorkPackages[[#This Row],[Estimated labor hours]],1,0)</f>
        <v>1</v>
      </c>
      <c r="R736" s="51">
        <f>tblWorkPackages[[#This Row],[Actual labor hours]]-tblWorkPackages[[#This Row],[Estimated labor hours]]</f>
        <v>9.4</v>
      </c>
      <c r="S736" s="51" t="str">
        <f>IF(tblWorkPackages[[#This Row],[Request date serial]]&lt;ValidationStart,"Train 2024",IF(tblWorkPackages[[#This Row],[Request date serial]]&lt;HoldoutStart,"Validation H1","Holdout H2"))</f>
        <v>Validation H1</v>
      </c>
      <c r="T736" s="51">
        <f>IF(tblWorkPackages[[#This Row],[Time split]]="Train 2024","",tblWorkPackages[[#This Row],[Estimated labor hours]]+VLOOKUP(tblWorkPackages[[#This Row],[Task type]],'Forecast validation'!$A$14:$E$25,IF(tblWorkPackages[[#This Row],[Time split]]="Validation H1",4,5),FALSE()))</f>
        <v>15.7029850746269</v>
      </c>
      <c r="U736" s="51">
        <f>IF(tblWorkPackages[[#This Row],[Calibrated forecast hours]]="","",ABS(tblWorkPackages[[#This Row],[Actual labor hours]]-tblWorkPackages[[#This Row],[Calibrated forecast hours]]))</f>
        <v>8.29701492537314</v>
      </c>
      <c r="V736" s="51">
        <f>IF(tblWorkPackages[[#This Row],[Time split]]="Train 2024",tblWorkPackages[[#This Row],[Estimated labor hours]],tblWorkPackages[[#This Row],[Calibrated forecast hours]])</f>
        <v>15.7029850746269</v>
      </c>
      <c r="W736" s="64">
        <f>DATEVALUE(tblWorkPackages[[#This Row],[Request date]])</f>
        <v>45728.0</v>
      </c>
      <c r="X736" s="64">
        <f>DATEVALUE(tblWorkPackages[[#This Row],[Due date]])</f>
        <v>45734.0</v>
      </c>
      <c r="Y736" s="64">
        <f>DATEVALUE(tblWorkPackages[[#This Row],[Completion date]])</f>
        <v>45748.0</v>
      </c>
      <c r="Z736" s="64">
        <f>_xlfn.MINIFS(tblLaborEntries[Work date serial],tblLaborEntries[Work package ID],tblWorkPackages[[#This Row],[Work package ID]])</f>
        <v>45744.0</v>
      </c>
      <c r="AA736" s="64">
        <f>_xlfn.MAXIFS(tblLaborEntries[Work date serial],tblLaborEntries[Work package ID],tblWorkPackages[[#This Row],[Work package ID]])</f>
        <v>45746.0</v>
      </c>
      <c r="AB736" s="65">
        <f>IF(tblWorkPackages[[#This Row],[Completion date serial]]&gt;tblWorkPackages[[#This Row],[Due date serial]],1,0)</f>
        <v>1</v>
      </c>
      <c r="AC736" s="65">
        <f>MAX(0,tblWorkPackages[[#This Row],[Completion date serial]]-tblWorkPackages[[#This Row],[Due date serial]])</f>
        <v>14</v>
      </c>
      <c r="AD736" s="65">
        <f>tblWorkPackages[[#This Row],[First labor date]]-tblWorkPackages[[#This Row],[Request date serial]]</f>
        <v>16</v>
      </c>
      <c r="AE736" s="65">
        <f>tblWorkPackages[[#This Row],[Last labor date]]-tblWorkPackages[[#This Row],[First labor date]]</f>
        <v>2</v>
      </c>
      <c r="AF736" s="65">
        <f>tblWorkPackages[[#This Row],[Completion date serial]]-tblWorkPackages[[#This Row],[Last labor date]]</f>
        <v>2</v>
      </c>
      <c r="AG736" s="65">
        <f>tblWorkPackages[[#This Row],[Completion date serial]]-tblWorkPackages[[#This Row],[Request date serial]]</f>
        <v>20</v>
      </c>
      <c r="AH736" s="65">
        <f>IFERROR(INDEX(tblParts[Delay days],MATCH(tblWorkPackages[[#This Row],[Work package ID]],tblParts[Work package ID],0)),0)</f>
        <v>13</v>
      </c>
      <c r="AI736" s="51" t="str">
        <f>IFERROR(INDEX(tblDisruptions[Event type],MATCH(tblWorkPackages[[#This Row],[Work package ID]],tblDisruptions[Work package ID],0)),"None")</f>
        <v>Part delay</v>
      </c>
      <c r="AJ736" s="51" t="str">
        <f>TEXT(tblWorkPackages[[#This Row],[Due date serial]],"yyyy-mm")</f>
        <v>2025-03</v>
      </c>
    </row>
    <row r="737" spans="1:36" ht="15" x14ac:dyDescent="0.25">
      <c r="A737" s="53" t="s">
        <v>1606</v>
      </c>
      <c r="B737" s="53" t="s">
        <v>163</v>
      </c>
      <c r="C737" s="53" t="s">
        <v>1234</v>
      </c>
      <c r="D737" s="53" t="s">
        <v>228</v>
      </c>
      <c r="E737" s="53" t="s">
        <v>136</v>
      </c>
      <c r="F737" s="53" t="s">
        <v>137</v>
      </c>
      <c r="G737" s="53" t="s">
        <v>138</v>
      </c>
      <c r="H737" s="53">
        <v>3</v>
      </c>
      <c r="I737" s="53" t="s">
        <v>130</v>
      </c>
      <c r="J737" s="53">
        <v>0</v>
      </c>
      <c r="K737" s="53">
        <v>0</v>
      </c>
      <c r="L737" s="53">
        <v>18.600000000000001</v>
      </c>
      <c r="M737" s="53" t="s">
        <v>1361</v>
      </c>
      <c r="N737" s="53">
        <v>26.7</v>
      </c>
      <c r="O737" s="51" t="str">
        <f>TEXT(tblWorkPackages[[#This Row],[Request date serial]]-WEEKDAY(tblWorkPackages[[#This Row],[Request date serial]],3),"yyyy-mm-dd")</f>
        <v>2025-07-21</v>
      </c>
      <c r="P737" s="51">
        <f>ABS(tblWorkPackages[[#This Row],[Actual labor hours]]-tblWorkPackages[[#This Row],[Estimated labor hours]])</f>
        <v>8.1</v>
      </c>
      <c r="Q737" s="51">
        <f>IF(tblWorkPackages[[#This Row],[Actual labor hours]]&gt;tblWorkPackages[[#This Row],[Estimated labor hours]],1,0)</f>
        <v>1</v>
      </c>
      <c r="R737" s="51">
        <f>tblWorkPackages[[#This Row],[Actual labor hours]]-tblWorkPackages[[#This Row],[Estimated labor hours]]</f>
        <v>8.1</v>
      </c>
      <c r="S737" s="51" t="str">
        <f>IF(tblWorkPackages[[#This Row],[Request date serial]]&lt;ValidationStart,"Train 2024",IF(tblWorkPackages[[#This Row],[Request date serial]]&lt;HoldoutStart,"Validation H1","Holdout H2"))</f>
        <v>Holdout H2</v>
      </c>
      <c r="T737" s="51">
        <f>IF(tblWorkPackages[[#This Row],[Time split]]="Train 2024","",tblWorkPackages[[#This Row],[Estimated labor hours]]+VLOOKUP(tblWorkPackages[[#This Row],[Task type]],'Forecast validation'!$A$14:$E$25,IF(tblWorkPackages[[#This Row],[Time split]]="Validation H1",4,5),FALSE()))</f>
        <v>19.5207547169811</v>
      </c>
      <c r="U737" s="51">
        <f>IF(tblWorkPackages[[#This Row],[Calibrated forecast hours]]="","",ABS(tblWorkPackages[[#This Row],[Actual labor hours]]-tblWorkPackages[[#This Row],[Calibrated forecast hours]]))</f>
        <v>7.17924528301887</v>
      </c>
      <c r="V737" s="51">
        <f>IF(tblWorkPackages[[#This Row],[Time split]]="Train 2024",tblWorkPackages[[#This Row],[Estimated labor hours]],tblWorkPackages[[#This Row],[Calibrated forecast hours]])</f>
        <v>19.5207547169811</v>
      </c>
      <c r="W737" s="64">
        <f>DATEVALUE(tblWorkPackages[[#This Row],[Request date]])</f>
        <v>45859.0</v>
      </c>
      <c r="X737" s="64">
        <f>DATEVALUE(tblWorkPackages[[#This Row],[Due date]])</f>
        <v>45872.0</v>
      </c>
      <c r="Y737" s="64">
        <f>DATEVALUE(tblWorkPackages[[#This Row],[Completion date]])</f>
        <v>45889.0</v>
      </c>
      <c r="Z737" s="64">
        <f>_xlfn.MINIFS(tblLaborEntries[Work date serial],tblLaborEntries[Work package ID],tblWorkPackages[[#This Row],[Work package ID]])</f>
        <v>45885.0</v>
      </c>
      <c r="AA737" s="64">
        <f>_xlfn.MAXIFS(tblLaborEntries[Work date serial],tblLaborEntries[Work package ID],tblWorkPackages[[#This Row],[Work package ID]])</f>
        <v>45886.0</v>
      </c>
      <c r="AB737" s="65">
        <f>IF(tblWorkPackages[[#This Row],[Completion date serial]]&gt;tblWorkPackages[[#This Row],[Due date serial]],1,0)</f>
        <v>1</v>
      </c>
      <c r="AC737" s="65">
        <f>MAX(0,tblWorkPackages[[#This Row],[Completion date serial]]-tblWorkPackages[[#This Row],[Due date serial]])</f>
        <v>17</v>
      </c>
      <c r="AD737" s="65">
        <f>tblWorkPackages[[#This Row],[First labor date]]-tblWorkPackages[[#This Row],[Request date serial]]</f>
        <v>26</v>
      </c>
      <c r="AE737" s="65">
        <f>tblWorkPackages[[#This Row],[Last labor date]]-tblWorkPackages[[#This Row],[First labor date]]</f>
        <v>1</v>
      </c>
      <c r="AF737" s="65">
        <f>tblWorkPackages[[#This Row],[Completion date serial]]-tblWorkPackages[[#This Row],[Last labor date]]</f>
        <v>3</v>
      </c>
      <c r="AG737" s="65">
        <f>tblWorkPackages[[#This Row],[Completion date serial]]-tblWorkPackages[[#This Row],[Request date serial]]</f>
        <v>30</v>
      </c>
      <c r="AH737" s="65">
        <f>IFERROR(INDEX(tblParts[Delay days],MATCH(tblWorkPackages[[#This Row],[Work package ID]],tblParts[Work package ID],0)),0)</f>
        <v>0</v>
      </c>
      <c r="AI737" s="51" t="str">
        <f>IFERROR(INDEX(tblDisruptions[Event type],MATCH(tblWorkPackages[[#This Row],[Work package ID]],tblDisruptions[Work package ID],0)),"None")</f>
        <v>Technician absence</v>
      </c>
      <c r="AJ737" s="51" t="str">
        <f>TEXT(tblWorkPackages[[#This Row],[Due date serial]],"yyyy-mm")</f>
        <v>2025-08</v>
      </c>
    </row>
    <row r="738" spans="1:36" ht="15" x14ac:dyDescent="0.25">
      <c r="A738" s="53" t="s">
        <v>1607</v>
      </c>
      <c r="B738" s="53" t="s">
        <v>230</v>
      </c>
      <c r="C738" s="53" t="s">
        <v>331</v>
      </c>
      <c r="D738" s="53" t="s">
        <v>480</v>
      </c>
      <c r="E738" s="53" t="s">
        <v>136</v>
      </c>
      <c r="F738" s="53" t="s">
        <v>137</v>
      </c>
      <c r="G738" s="53" t="s">
        <v>138</v>
      </c>
      <c r="H738" s="53">
        <v>1</v>
      </c>
      <c r="I738" s="53" t="s">
        <v>176</v>
      </c>
      <c r="J738" s="53">
        <v>0</v>
      </c>
      <c r="K738" s="53">
        <v>0</v>
      </c>
      <c r="L738" s="53">
        <v>8.6999999999999993</v>
      </c>
      <c r="M738" s="53" t="s">
        <v>480</v>
      </c>
      <c r="N738" s="53">
        <v>10.1</v>
      </c>
      <c r="O738" s="51" t="str">
        <f>TEXT(tblWorkPackages[[#This Row],[Request date serial]]-WEEKDAY(tblWorkPackages[[#This Row],[Request date serial]],3),"yyyy-mm-dd")</f>
        <v>2025-10-13</v>
      </c>
      <c r="P738" s="51">
        <f>ABS(tblWorkPackages[[#This Row],[Actual labor hours]]-tblWorkPackages[[#This Row],[Estimated labor hours]])</f>
        <v>1.4</v>
      </c>
      <c r="Q738" s="51">
        <f>IF(tblWorkPackages[[#This Row],[Actual labor hours]]&gt;tblWorkPackages[[#This Row],[Estimated labor hours]],1,0)</f>
        <v>1</v>
      </c>
      <c r="R738" s="51">
        <f>tblWorkPackages[[#This Row],[Actual labor hours]]-tblWorkPackages[[#This Row],[Estimated labor hours]]</f>
        <v>1.4</v>
      </c>
      <c r="S738" s="51" t="str">
        <f>IF(tblWorkPackages[[#This Row],[Request date serial]]&lt;ValidationStart,"Train 2024",IF(tblWorkPackages[[#This Row],[Request date serial]]&lt;HoldoutStart,"Validation H1","Holdout H2"))</f>
        <v>Holdout H2</v>
      </c>
      <c r="T738" s="51">
        <f>IF(tblWorkPackages[[#This Row],[Time split]]="Train 2024","",tblWorkPackages[[#This Row],[Estimated labor hours]]+VLOOKUP(tblWorkPackages[[#This Row],[Task type]],'Forecast validation'!$A$14:$E$25,IF(tblWorkPackages[[#This Row],[Time split]]="Validation H1",4,5),FALSE()))</f>
        <v>9.62075471698113</v>
      </c>
      <c r="U738" s="51">
        <f>IF(tblWorkPackages[[#This Row],[Calibrated forecast hours]]="","",ABS(tblWorkPackages[[#This Row],[Actual labor hours]]-tblWorkPackages[[#This Row],[Calibrated forecast hours]]))</f>
        <v>0.479245283018869</v>
      </c>
      <c r="V738" s="51">
        <f>IF(tblWorkPackages[[#This Row],[Time split]]="Train 2024",tblWorkPackages[[#This Row],[Estimated labor hours]],tblWorkPackages[[#This Row],[Calibrated forecast hours]])</f>
        <v>9.62075471698113</v>
      </c>
      <c r="W738" s="64">
        <f>DATEVALUE(tblWorkPackages[[#This Row],[Request date]])</f>
        <v>45949.0</v>
      </c>
      <c r="X738" s="64">
        <f>DATEVALUE(tblWorkPackages[[#This Row],[Due date]])</f>
        <v>45955.0</v>
      </c>
      <c r="Y738" s="64">
        <f>DATEVALUE(tblWorkPackages[[#This Row],[Completion date]])</f>
        <v>45955.0</v>
      </c>
      <c r="Z738" s="64">
        <f>_xlfn.MINIFS(tblLaborEntries[Work date serial],tblLaborEntries[Work package ID],tblWorkPackages[[#This Row],[Work package ID]])</f>
        <v>45953.0</v>
      </c>
      <c r="AA738" s="64">
        <f>_xlfn.MAXIFS(tblLaborEntries[Work date serial],tblLaborEntries[Work package ID],tblWorkPackages[[#This Row],[Work package ID]])</f>
        <v>45955.0</v>
      </c>
      <c r="AB738" s="65">
        <f>IF(tblWorkPackages[[#This Row],[Completion date serial]]&gt;tblWorkPackages[[#This Row],[Due date serial]],1,0)</f>
        <v>0</v>
      </c>
      <c r="AC738" s="65">
        <f>MAX(0,tblWorkPackages[[#This Row],[Completion date serial]]-tblWorkPackages[[#This Row],[Due date serial]])</f>
        <v>0</v>
      </c>
      <c r="AD738" s="65">
        <f>tblWorkPackages[[#This Row],[First labor date]]-tblWorkPackages[[#This Row],[Request date serial]]</f>
        <v>4</v>
      </c>
      <c r="AE738" s="65">
        <f>tblWorkPackages[[#This Row],[Last labor date]]-tblWorkPackages[[#This Row],[First labor date]]</f>
        <v>2</v>
      </c>
      <c r="AF738" s="65">
        <f>tblWorkPackages[[#This Row],[Completion date serial]]-tblWorkPackages[[#This Row],[Last labor date]]</f>
        <v>0</v>
      </c>
      <c r="AG738" s="65">
        <f>tblWorkPackages[[#This Row],[Completion date serial]]-tblWorkPackages[[#This Row],[Request date serial]]</f>
        <v>6</v>
      </c>
      <c r="AH738" s="65">
        <f>IFERROR(INDEX(tblParts[Delay days],MATCH(tblWorkPackages[[#This Row],[Work package ID]],tblParts[Work package ID],0)),0)</f>
        <v>0</v>
      </c>
      <c r="AI738" s="51" t="str">
        <f>IFERROR(INDEX(tblDisruptions[Event type],MATCH(tblWorkPackages[[#This Row],[Work package ID]],tblDisruptions[Work package ID],0)),"None")</f>
        <v>None</v>
      </c>
      <c r="AJ738" s="51" t="str">
        <f>TEXT(tblWorkPackages[[#This Row],[Due date serial]],"yyyy-mm")</f>
        <v>2025-10</v>
      </c>
    </row>
    <row r="739" spans="1:36" ht="15" x14ac:dyDescent="0.25">
      <c r="A739" s="53" t="s">
        <v>1608</v>
      </c>
      <c r="B739" s="53" t="s">
        <v>168</v>
      </c>
      <c r="C739" s="53" t="s">
        <v>753</v>
      </c>
      <c r="D739" s="53" t="s">
        <v>1281</v>
      </c>
      <c r="E739" s="53" t="s">
        <v>127</v>
      </c>
      <c r="F739" s="53" t="s">
        <v>128</v>
      </c>
      <c r="G739" s="53" t="s">
        <v>129</v>
      </c>
      <c r="H739" s="53">
        <v>1</v>
      </c>
      <c r="I739" s="53" t="s">
        <v>147</v>
      </c>
      <c r="J739" s="53">
        <v>1</v>
      </c>
      <c r="K739" s="53">
        <v>1</v>
      </c>
      <c r="L739" s="53">
        <v>4.3</v>
      </c>
      <c r="M739" s="53" t="s">
        <v>812</v>
      </c>
      <c r="N739" s="53">
        <v>5.4</v>
      </c>
      <c r="O739" s="51" t="str">
        <f>TEXT(tblWorkPackages[[#This Row],[Request date serial]]-WEEKDAY(tblWorkPackages[[#This Row],[Request date serial]],3),"yyyy-mm-dd")</f>
        <v>2025-11-24</v>
      </c>
      <c r="P739" s="51">
        <f>ABS(tblWorkPackages[[#This Row],[Actual labor hours]]-tblWorkPackages[[#This Row],[Estimated labor hours]])</f>
        <v>1.1</v>
      </c>
      <c r="Q739" s="51">
        <f>IF(tblWorkPackages[[#This Row],[Actual labor hours]]&gt;tblWorkPackages[[#This Row],[Estimated labor hours]],1,0)</f>
        <v>1</v>
      </c>
      <c r="R739" s="51">
        <f>tblWorkPackages[[#This Row],[Actual labor hours]]-tblWorkPackages[[#This Row],[Estimated labor hours]]</f>
        <v>1.1</v>
      </c>
      <c r="S739" s="51" t="str">
        <f>IF(tblWorkPackages[[#This Row],[Request date serial]]&lt;ValidationStart,"Train 2024",IF(tblWorkPackages[[#This Row],[Request date serial]]&lt;HoldoutStart,"Validation H1","Holdout H2"))</f>
        <v>Holdout H2</v>
      </c>
      <c r="T739" s="51">
        <f>IF(tblWorkPackages[[#This Row],[Time split]]="Train 2024","",tblWorkPackages[[#This Row],[Estimated labor hours]]+VLOOKUP(tblWorkPackages[[#This Row],[Task type]],'Forecast validation'!$A$14:$E$25,IF(tblWorkPackages[[#This Row],[Time split]]="Validation H1",4,5),FALSE()))</f>
        <v>4.84341085271318</v>
      </c>
      <c r="U739" s="51">
        <f>IF(tblWorkPackages[[#This Row],[Calibrated forecast hours]]="","",ABS(tblWorkPackages[[#This Row],[Actual labor hours]]-tblWorkPackages[[#This Row],[Calibrated forecast hours]]))</f>
        <v>0.556589147286823</v>
      </c>
      <c r="V739" s="51">
        <f>IF(tblWorkPackages[[#This Row],[Time split]]="Train 2024",tblWorkPackages[[#This Row],[Estimated labor hours]],tblWorkPackages[[#This Row],[Calibrated forecast hours]])</f>
        <v>4.84341085271318</v>
      </c>
      <c r="W739" s="64">
        <f>DATEVALUE(tblWorkPackages[[#This Row],[Request date]])</f>
        <v>45989.0</v>
      </c>
      <c r="X739" s="64">
        <f>DATEVALUE(tblWorkPackages[[#This Row],[Due date]])</f>
        <v>45991.0</v>
      </c>
      <c r="Y739" s="64">
        <f>DATEVALUE(tblWorkPackages[[#This Row],[Completion date]])</f>
        <v>45993.0</v>
      </c>
      <c r="Z739" s="64">
        <f>_xlfn.MINIFS(tblLaborEntries[Work date serial],tblLaborEntries[Work package ID],tblWorkPackages[[#This Row],[Work package ID]])</f>
        <v>45990.0</v>
      </c>
      <c r="AA739" s="64">
        <f>_xlfn.MAXIFS(tblLaborEntries[Work date serial],tblLaborEntries[Work package ID],tblWorkPackages[[#This Row],[Work package ID]])</f>
        <v>45992.0</v>
      </c>
      <c r="AB739" s="65">
        <f>IF(tblWorkPackages[[#This Row],[Completion date serial]]&gt;tblWorkPackages[[#This Row],[Due date serial]],1,0)</f>
        <v>1</v>
      </c>
      <c r="AC739" s="65">
        <f>MAX(0,tblWorkPackages[[#This Row],[Completion date serial]]-tblWorkPackages[[#This Row],[Due date serial]])</f>
        <v>2</v>
      </c>
      <c r="AD739" s="65">
        <f>tblWorkPackages[[#This Row],[First labor date]]-tblWorkPackages[[#This Row],[Request date serial]]</f>
        <v>1</v>
      </c>
      <c r="AE739" s="65">
        <f>tblWorkPackages[[#This Row],[Last labor date]]-tblWorkPackages[[#This Row],[First labor date]]</f>
        <v>2</v>
      </c>
      <c r="AF739" s="65">
        <f>tblWorkPackages[[#This Row],[Completion date serial]]-tblWorkPackages[[#This Row],[Last labor date]]</f>
        <v>1</v>
      </c>
      <c r="AG739" s="65">
        <f>tblWorkPackages[[#This Row],[Completion date serial]]-tblWorkPackages[[#This Row],[Request date serial]]</f>
        <v>4</v>
      </c>
      <c r="AH739" s="65">
        <f>IFERROR(INDEX(tblParts[Delay days],MATCH(tblWorkPackages[[#This Row],[Work package ID]],tblParts[Work package ID],0)),0)</f>
        <v>0</v>
      </c>
      <c r="AI739" s="51" t="str">
        <f>IFERROR(INDEX(tblDisruptions[Event type],MATCH(tblWorkPackages[[#This Row],[Work package ID]],tblDisruptions[Work package ID],0)),"None")</f>
        <v>Scope change</v>
      </c>
      <c r="AJ739" s="51" t="str">
        <f>TEXT(tblWorkPackages[[#This Row],[Due date serial]],"yyyy-mm")</f>
        <v>2025-11</v>
      </c>
    </row>
    <row r="740" spans="1:36" ht="15" x14ac:dyDescent="0.25">
      <c r="A740" s="53" t="s">
        <v>1609</v>
      </c>
      <c r="B740" s="53" t="s">
        <v>124</v>
      </c>
      <c r="C740" s="53" t="s">
        <v>470</v>
      </c>
      <c r="D740" s="53" t="s">
        <v>677</v>
      </c>
      <c r="E740" s="53" t="s">
        <v>153</v>
      </c>
      <c r="F740" s="53" t="s">
        <v>128</v>
      </c>
      <c r="G740" s="53" t="s">
        <v>154</v>
      </c>
      <c r="H740" s="53">
        <v>3</v>
      </c>
      <c r="I740" s="53" t="s">
        <v>176</v>
      </c>
      <c r="J740" s="53">
        <v>1</v>
      </c>
      <c r="K740" s="53">
        <v>1</v>
      </c>
      <c r="L740" s="53">
        <v>14.9</v>
      </c>
      <c r="M740" s="53" t="s">
        <v>338</v>
      </c>
      <c r="N740" s="53">
        <v>18.3</v>
      </c>
      <c r="O740" s="51" t="str">
        <f>TEXT(tblWorkPackages[[#This Row],[Request date serial]]-WEEKDAY(tblWorkPackages[[#This Row],[Request date serial]],3),"yyyy-mm-dd")</f>
        <v>2024-04-15</v>
      </c>
      <c r="P740" s="51">
        <f>ABS(tblWorkPackages[[#This Row],[Actual labor hours]]-tblWorkPackages[[#This Row],[Estimated labor hours]])</f>
        <v>3.4</v>
      </c>
      <c r="Q740" s="51">
        <f>IF(tblWorkPackages[[#This Row],[Actual labor hours]]&gt;tblWorkPackages[[#This Row],[Estimated labor hours]],1,0)</f>
        <v>1</v>
      </c>
      <c r="R740" s="51">
        <f>tblWorkPackages[[#This Row],[Actual labor hours]]-tblWorkPackages[[#This Row],[Estimated labor hours]]</f>
        <v>3.4</v>
      </c>
      <c r="S740" s="51" t="str">
        <f>IF(tblWorkPackages[[#This Row],[Request date serial]]&lt;ValidationStart,"Train 2024",IF(tblWorkPackages[[#This Row],[Request date serial]]&lt;HoldoutStart,"Validation H1","Holdout H2"))</f>
        <v>Train 2024</v>
      </c>
      <c r="T740" s="51" t="str">
        <f>IF(tblWorkPackages[[#This Row],[Time split]]="Train 2024","",tblWorkPackages[[#This Row],[Estimated labor hours]]+VLOOKUP(tblWorkPackages[[#This Row],[Task type]],'Forecast validation'!$A$14:$E$25,IF(tblWorkPackages[[#This Row],[Time split]]="Validation H1",4,5),FALSE()))</f>
        <v/>
      </c>
      <c r="U740" s="51" t="str">
        <f>IF(tblWorkPackages[[#This Row],[Calibrated forecast hours]]="","",ABS(tblWorkPackages[[#This Row],[Actual labor hours]]-tblWorkPackages[[#This Row],[Calibrated forecast hours]]))</f>
        <v/>
      </c>
      <c r="V740" s="51">
        <f>IF(tblWorkPackages[[#This Row],[Time split]]="Train 2024",tblWorkPackages[[#This Row],[Estimated labor hours]],tblWorkPackages[[#This Row],[Calibrated forecast hours]])</f>
        <v>14.9</v>
      </c>
      <c r="W740" s="64">
        <f>DATEVALUE(tblWorkPackages[[#This Row],[Request date]])</f>
        <v>45400.0</v>
      </c>
      <c r="X740" s="64">
        <f>DATEVALUE(tblWorkPackages[[#This Row],[Due date]])</f>
        <v>45406.0</v>
      </c>
      <c r="Y740" s="64">
        <f>DATEVALUE(tblWorkPackages[[#This Row],[Completion date]])</f>
        <v>45417.0</v>
      </c>
      <c r="Z740" s="64">
        <f>_xlfn.MINIFS(tblLaborEntries[Work date serial],tblLaborEntries[Work package ID],tblWorkPackages[[#This Row],[Work package ID]])</f>
        <v>45413.0</v>
      </c>
      <c r="AA740" s="64">
        <f>_xlfn.MAXIFS(tblLaborEntries[Work date serial],tblLaborEntries[Work package ID],tblWorkPackages[[#This Row],[Work package ID]])</f>
        <v>45415.0</v>
      </c>
      <c r="AB740" s="65">
        <f>IF(tblWorkPackages[[#This Row],[Completion date serial]]&gt;tblWorkPackages[[#This Row],[Due date serial]],1,0)</f>
        <v>1</v>
      </c>
      <c r="AC740" s="65">
        <f>MAX(0,tblWorkPackages[[#This Row],[Completion date serial]]-tblWorkPackages[[#This Row],[Due date serial]])</f>
        <v>11</v>
      </c>
      <c r="AD740" s="65">
        <f>tblWorkPackages[[#This Row],[First labor date]]-tblWorkPackages[[#This Row],[Request date serial]]</f>
        <v>13</v>
      </c>
      <c r="AE740" s="65">
        <f>tblWorkPackages[[#This Row],[Last labor date]]-tblWorkPackages[[#This Row],[First labor date]]</f>
        <v>2</v>
      </c>
      <c r="AF740" s="65">
        <f>tblWorkPackages[[#This Row],[Completion date serial]]-tblWorkPackages[[#This Row],[Last labor date]]</f>
        <v>2</v>
      </c>
      <c r="AG740" s="65">
        <f>tblWorkPackages[[#This Row],[Completion date serial]]-tblWorkPackages[[#This Row],[Request date serial]]</f>
        <v>17</v>
      </c>
      <c r="AH740" s="65">
        <f>IFERROR(INDEX(tblParts[Delay days],MATCH(tblWorkPackages[[#This Row],[Work package ID]],tblParts[Work package ID],0)),0)</f>
        <v>0</v>
      </c>
      <c r="AI740" s="51" t="str">
        <f>IFERROR(INDEX(tblDisruptions[Event type],MATCH(tblWorkPackages[[#This Row],[Work package ID]],tblDisruptions[Work package ID],0)),"None")</f>
        <v>None</v>
      </c>
      <c r="AJ740" s="51" t="str">
        <f>TEXT(tblWorkPackages[[#This Row],[Due date serial]],"yyyy-mm")</f>
        <v>2024-04</v>
      </c>
    </row>
    <row r="741" spans="1:36" ht="15" x14ac:dyDescent="0.25">
      <c r="A741" s="53" t="s">
        <v>1610</v>
      </c>
      <c r="B741" s="53" t="s">
        <v>150</v>
      </c>
      <c r="C741" s="53" t="s">
        <v>601</v>
      </c>
      <c r="D741" s="53" t="s">
        <v>1128</v>
      </c>
      <c r="E741" s="53" t="s">
        <v>223</v>
      </c>
      <c r="F741" s="53" t="s">
        <v>182</v>
      </c>
      <c r="G741" s="53" t="s">
        <v>154</v>
      </c>
      <c r="H741" s="53">
        <v>3</v>
      </c>
      <c r="I741" s="53" t="s">
        <v>176</v>
      </c>
      <c r="J741" s="53">
        <v>0</v>
      </c>
      <c r="K741" s="53">
        <v>1</v>
      </c>
      <c r="L741" s="53">
        <v>16.7</v>
      </c>
      <c r="M741" s="53" t="s">
        <v>1128</v>
      </c>
      <c r="N741" s="53">
        <v>17.7</v>
      </c>
      <c r="O741" s="51" t="str">
        <f>TEXT(tblWorkPackages[[#This Row],[Request date serial]]-WEEKDAY(tblWorkPackages[[#This Row],[Request date serial]],3),"yyyy-mm-dd")</f>
        <v>2024-12-02</v>
      </c>
      <c r="P741" s="51">
        <f>ABS(tblWorkPackages[[#This Row],[Actual labor hours]]-tblWorkPackages[[#This Row],[Estimated labor hours]])</f>
        <v>1</v>
      </c>
      <c r="Q741" s="51">
        <f>IF(tblWorkPackages[[#This Row],[Actual labor hours]]&gt;tblWorkPackages[[#This Row],[Estimated labor hours]],1,0)</f>
        <v>1</v>
      </c>
      <c r="R741" s="51">
        <f>tblWorkPackages[[#This Row],[Actual labor hours]]-tblWorkPackages[[#This Row],[Estimated labor hours]]</f>
        <v>1</v>
      </c>
      <c r="S741" s="51" t="str">
        <f>IF(tblWorkPackages[[#This Row],[Request date serial]]&lt;ValidationStart,"Train 2024",IF(tblWorkPackages[[#This Row],[Request date serial]]&lt;HoldoutStart,"Validation H1","Holdout H2"))</f>
        <v>Train 2024</v>
      </c>
      <c r="T741" s="51" t="str">
        <f>IF(tblWorkPackages[[#This Row],[Time split]]="Train 2024","",tblWorkPackages[[#This Row],[Estimated labor hours]]+VLOOKUP(tblWorkPackages[[#This Row],[Task type]],'Forecast validation'!$A$14:$E$25,IF(tblWorkPackages[[#This Row],[Time split]]="Validation H1",4,5),FALSE()))</f>
        <v/>
      </c>
      <c r="U741" s="51" t="str">
        <f>IF(tblWorkPackages[[#This Row],[Calibrated forecast hours]]="","",ABS(tblWorkPackages[[#This Row],[Actual labor hours]]-tblWorkPackages[[#This Row],[Calibrated forecast hours]]))</f>
        <v/>
      </c>
      <c r="V741" s="51">
        <f>IF(tblWorkPackages[[#This Row],[Time split]]="Train 2024",tblWorkPackages[[#This Row],[Estimated labor hours]],tblWorkPackages[[#This Row],[Calibrated forecast hours]])</f>
        <v>16.7</v>
      </c>
      <c r="W741" s="64">
        <f>DATEVALUE(tblWorkPackages[[#This Row],[Request date]])</f>
        <v>45633.0</v>
      </c>
      <c r="X741" s="64">
        <f>DATEVALUE(tblWorkPackages[[#This Row],[Due date]])</f>
        <v>45639.0</v>
      </c>
      <c r="Y741" s="64">
        <f>DATEVALUE(tblWorkPackages[[#This Row],[Completion date]])</f>
        <v>45639.0</v>
      </c>
      <c r="Z741" s="64">
        <f>_xlfn.MINIFS(tblLaborEntries[Work date serial],tblLaborEntries[Work package ID],tblWorkPackages[[#This Row],[Work package ID]])</f>
        <v>45636.0</v>
      </c>
      <c r="AA741" s="64">
        <f>_xlfn.MAXIFS(tblLaborEntries[Work date serial],tblLaborEntries[Work package ID],tblWorkPackages[[#This Row],[Work package ID]])</f>
        <v>45636.0</v>
      </c>
      <c r="AB741" s="65">
        <f>IF(tblWorkPackages[[#This Row],[Completion date serial]]&gt;tblWorkPackages[[#This Row],[Due date serial]],1,0)</f>
        <v>0</v>
      </c>
      <c r="AC741" s="65">
        <f>MAX(0,tblWorkPackages[[#This Row],[Completion date serial]]-tblWorkPackages[[#This Row],[Due date serial]])</f>
        <v>0</v>
      </c>
      <c r="AD741" s="65">
        <f>tblWorkPackages[[#This Row],[First labor date]]-tblWorkPackages[[#This Row],[Request date serial]]</f>
        <v>3</v>
      </c>
      <c r="AE741" s="65">
        <f>tblWorkPackages[[#This Row],[Last labor date]]-tblWorkPackages[[#This Row],[First labor date]]</f>
        <v>0</v>
      </c>
      <c r="AF741" s="65">
        <f>tblWorkPackages[[#This Row],[Completion date serial]]-tblWorkPackages[[#This Row],[Last labor date]]</f>
        <v>3</v>
      </c>
      <c r="AG741" s="65">
        <f>tblWorkPackages[[#This Row],[Completion date serial]]-tblWorkPackages[[#This Row],[Request date serial]]</f>
        <v>6</v>
      </c>
      <c r="AH741" s="65">
        <f>IFERROR(INDEX(tblParts[Delay days],MATCH(tblWorkPackages[[#This Row],[Work package ID]],tblParts[Work package ID],0)),0)</f>
        <v>0</v>
      </c>
      <c r="AI741" s="51" t="str">
        <f>IFERROR(INDEX(tblDisruptions[Event type],MATCH(tblWorkPackages[[#This Row],[Work package ID]],tblDisruptions[Work package ID],0)),"None")</f>
        <v>None</v>
      </c>
      <c r="AJ741" s="51" t="str">
        <f>TEXT(tblWorkPackages[[#This Row],[Due date serial]],"yyyy-mm")</f>
        <v>2024-12</v>
      </c>
    </row>
    <row r="742" spans="1:36" ht="15" x14ac:dyDescent="0.25">
      <c r="A742" s="53" t="s">
        <v>1611</v>
      </c>
      <c r="B742" s="53" t="s">
        <v>185</v>
      </c>
      <c r="C742" s="53" t="s">
        <v>771</v>
      </c>
      <c r="D742" s="53" t="s">
        <v>276</v>
      </c>
      <c r="E742" s="53" t="s">
        <v>153</v>
      </c>
      <c r="F742" s="53" t="s">
        <v>128</v>
      </c>
      <c r="G742" s="53" t="s">
        <v>154</v>
      </c>
      <c r="H742" s="53">
        <v>3</v>
      </c>
      <c r="I742" s="53" t="s">
        <v>130</v>
      </c>
      <c r="J742" s="53">
        <v>1</v>
      </c>
      <c r="K742" s="53">
        <v>0</v>
      </c>
      <c r="L742" s="53">
        <v>12</v>
      </c>
      <c r="M742" s="53" t="s">
        <v>244</v>
      </c>
      <c r="N742" s="53">
        <v>18.399999999999999</v>
      </c>
      <c r="O742" s="51" t="str">
        <f>TEXT(tblWorkPackages[[#This Row],[Request date serial]]-WEEKDAY(tblWorkPackages[[#This Row],[Request date serial]],3),"yyyy-mm-dd")</f>
        <v>2024-09-30</v>
      </c>
      <c r="P742" s="51">
        <f>ABS(tblWorkPackages[[#This Row],[Actual labor hours]]-tblWorkPackages[[#This Row],[Estimated labor hours]])</f>
        <v>6.4</v>
      </c>
      <c r="Q742" s="51">
        <f>IF(tblWorkPackages[[#This Row],[Actual labor hours]]&gt;tblWorkPackages[[#This Row],[Estimated labor hours]],1,0)</f>
        <v>1</v>
      </c>
      <c r="R742" s="51">
        <f>tblWorkPackages[[#This Row],[Actual labor hours]]-tblWorkPackages[[#This Row],[Estimated labor hours]]</f>
        <v>6.4</v>
      </c>
      <c r="S742" s="51" t="str">
        <f>IF(tblWorkPackages[[#This Row],[Request date serial]]&lt;ValidationStart,"Train 2024",IF(tblWorkPackages[[#This Row],[Request date serial]]&lt;HoldoutStart,"Validation H1","Holdout H2"))</f>
        <v>Train 2024</v>
      </c>
      <c r="T742" s="51" t="str">
        <f>IF(tblWorkPackages[[#This Row],[Time split]]="Train 2024","",tblWorkPackages[[#This Row],[Estimated labor hours]]+VLOOKUP(tblWorkPackages[[#This Row],[Task type]],'Forecast validation'!$A$14:$E$25,IF(tblWorkPackages[[#This Row],[Time split]]="Validation H1",4,5),FALSE()))</f>
        <v/>
      </c>
      <c r="U742" s="51" t="str">
        <f>IF(tblWorkPackages[[#This Row],[Calibrated forecast hours]]="","",ABS(tblWorkPackages[[#This Row],[Actual labor hours]]-tblWorkPackages[[#This Row],[Calibrated forecast hours]]))</f>
        <v/>
      </c>
      <c r="V742" s="51">
        <f>IF(tblWorkPackages[[#This Row],[Time split]]="Train 2024",tblWorkPackages[[#This Row],[Estimated labor hours]],tblWorkPackages[[#This Row],[Calibrated forecast hours]])</f>
        <v>12</v>
      </c>
      <c r="W742" s="64">
        <f>DATEVALUE(tblWorkPackages[[#This Row],[Request date]])</f>
        <v>45571.0</v>
      </c>
      <c r="X742" s="64">
        <f>DATEVALUE(tblWorkPackages[[#This Row],[Due date]])</f>
        <v>45584.0</v>
      </c>
      <c r="Y742" s="64">
        <f>DATEVALUE(tblWorkPackages[[#This Row],[Completion date]])</f>
        <v>45614.0</v>
      </c>
      <c r="Z742" s="64">
        <f>_xlfn.MINIFS(tblLaborEntries[Work date serial],tblLaborEntries[Work package ID],tblWorkPackages[[#This Row],[Work package ID]])</f>
        <v>45614.0</v>
      </c>
      <c r="AA742" s="64">
        <f>_xlfn.MAXIFS(tblLaborEntries[Work date serial],tblLaborEntries[Work package ID],tblWorkPackages[[#This Row],[Work package ID]])</f>
        <v>45614.0</v>
      </c>
      <c r="AB742" s="65">
        <f>IF(tblWorkPackages[[#This Row],[Completion date serial]]&gt;tblWorkPackages[[#This Row],[Due date serial]],1,0)</f>
        <v>1</v>
      </c>
      <c r="AC742" s="65">
        <f>MAX(0,tblWorkPackages[[#This Row],[Completion date serial]]-tblWorkPackages[[#This Row],[Due date serial]])</f>
        <v>30</v>
      </c>
      <c r="AD742" s="65">
        <f>tblWorkPackages[[#This Row],[First labor date]]-tblWorkPackages[[#This Row],[Request date serial]]</f>
        <v>43</v>
      </c>
      <c r="AE742" s="65">
        <f>tblWorkPackages[[#This Row],[Last labor date]]-tblWorkPackages[[#This Row],[First labor date]]</f>
        <v>0</v>
      </c>
      <c r="AF742" s="65">
        <f>tblWorkPackages[[#This Row],[Completion date serial]]-tblWorkPackages[[#This Row],[Last labor date]]</f>
        <v>0</v>
      </c>
      <c r="AG742" s="65">
        <f>tblWorkPackages[[#This Row],[Completion date serial]]-tblWorkPackages[[#This Row],[Request date serial]]</f>
        <v>43</v>
      </c>
      <c r="AH742" s="65">
        <f>IFERROR(INDEX(tblParts[Delay days],MATCH(tblWorkPackages[[#This Row],[Work package ID]],tblParts[Work package ID],0)),0)</f>
        <v>0</v>
      </c>
      <c r="AI742" s="51" t="str">
        <f>IFERROR(INDEX(tblDisruptions[Event type],MATCH(tblWorkPackages[[#This Row],[Work package ID]],tblDisruptions[Work package ID],0)),"None")</f>
        <v>None</v>
      </c>
      <c r="AJ742" s="51" t="str">
        <f>TEXT(tblWorkPackages[[#This Row],[Due date serial]],"yyyy-mm")</f>
        <v>2024-10</v>
      </c>
    </row>
    <row r="743" spans="1:36" ht="15" x14ac:dyDescent="0.25">
      <c r="A743" s="53" t="s">
        <v>1612</v>
      </c>
      <c r="B743" s="53" t="s">
        <v>287</v>
      </c>
      <c r="C743" s="53" t="s">
        <v>631</v>
      </c>
      <c r="D743" s="53" t="s">
        <v>609</v>
      </c>
      <c r="E743" s="53" t="s">
        <v>200</v>
      </c>
      <c r="F743" s="53" t="s">
        <v>128</v>
      </c>
      <c r="G743" s="53" t="s">
        <v>129</v>
      </c>
      <c r="H743" s="53">
        <v>2</v>
      </c>
      <c r="I743" s="53" t="s">
        <v>147</v>
      </c>
      <c r="J743" s="53">
        <v>0</v>
      </c>
      <c r="K743" s="53">
        <v>1</v>
      </c>
      <c r="L743" s="53">
        <v>3.4</v>
      </c>
      <c r="M743" s="53" t="s">
        <v>316</v>
      </c>
      <c r="N743" s="53">
        <v>4</v>
      </c>
      <c r="O743" s="51" t="str">
        <f>TEXT(tblWorkPackages[[#This Row],[Request date serial]]-WEEKDAY(tblWorkPackages[[#This Row],[Request date serial]],3),"yyyy-mm-dd")</f>
        <v>2024-03-25</v>
      </c>
      <c r="P743" s="51">
        <f>ABS(tblWorkPackages[[#This Row],[Actual labor hours]]-tblWorkPackages[[#This Row],[Estimated labor hours]])</f>
        <v>0.6</v>
      </c>
      <c r="Q743" s="51">
        <f>IF(tblWorkPackages[[#This Row],[Actual labor hours]]&gt;tblWorkPackages[[#This Row],[Estimated labor hours]],1,0)</f>
        <v>1</v>
      </c>
      <c r="R743" s="51">
        <f>tblWorkPackages[[#This Row],[Actual labor hours]]-tblWorkPackages[[#This Row],[Estimated labor hours]]</f>
        <v>0.6</v>
      </c>
      <c r="S743" s="51" t="str">
        <f>IF(tblWorkPackages[[#This Row],[Request date serial]]&lt;ValidationStart,"Train 2024",IF(tblWorkPackages[[#This Row],[Request date serial]]&lt;HoldoutStart,"Validation H1","Holdout H2"))</f>
        <v>Train 2024</v>
      </c>
      <c r="T743" s="51" t="str">
        <f>IF(tblWorkPackages[[#This Row],[Time split]]="Train 2024","",tblWorkPackages[[#This Row],[Estimated labor hours]]+VLOOKUP(tblWorkPackages[[#This Row],[Task type]],'Forecast validation'!$A$14:$E$25,IF(tblWorkPackages[[#This Row],[Time split]]="Validation H1",4,5),FALSE()))</f>
        <v/>
      </c>
      <c r="U743" s="51" t="str">
        <f>IF(tblWorkPackages[[#This Row],[Calibrated forecast hours]]="","",ABS(tblWorkPackages[[#This Row],[Actual labor hours]]-tblWorkPackages[[#This Row],[Calibrated forecast hours]]))</f>
        <v/>
      </c>
      <c r="V743" s="51">
        <f>IF(tblWorkPackages[[#This Row],[Time split]]="Train 2024",tblWorkPackages[[#This Row],[Estimated labor hours]],tblWorkPackages[[#This Row],[Calibrated forecast hours]])</f>
        <v>3.4</v>
      </c>
      <c r="W743" s="64">
        <f>DATEVALUE(tblWorkPackages[[#This Row],[Request date]])</f>
        <v>45382.0</v>
      </c>
      <c r="X743" s="64">
        <f>DATEVALUE(tblWorkPackages[[#This Row],[Due date]])</f>
        <v>45384.0</v>
      </c>
      <c r="Y743" s="64">
        <f>DATEVALUE(tblWorkPackages[[#This Row],[Completion date]])</f>
        <v>45403.0</v>
      </c>
      <c r="Z743" s="64">
        <f>_xlfn.MINIFS(tblLaborEntries[Work date serial],tblLaborEntries[Work package ID],tblWorkPackages[[#This Row],[Work package ID]])</f>
        <v>45400.0</v>
      </c>
      <c r="AA743" s="64">
        <f>_xlfn.MAXIFS(tblLaborEntries[Work date serial],tblLaborEntries[Work package ID],tblWorkPackages[[#This Row],[Work package ID]])</f>
        <v>45402.0</v>
      </c>
      <c r="AB743" s="65">
        <f>IF(tblWorkPackages[[#This Row],[Completion date serial]]&gt;tblWorkPackages[[#This Row],[Due date serial]],1,0)</f>
        <v>1</v>
      </c>
      <c r="AC743" s="65">
        <f>MAX(0,tblWorkPackages[[#This Row],[Completion date serial]]-tblWorkPackages[[#This Row],[Due date serial]])</f>
        <v>19</v>
      </c>
      <c r="AD743" s="65">
        <f>tblWorkPackages[[#This Row],[First labor date]]-tblWorkPackages[[#This Row],[Request date serial]]</f>
        <v>18</v>
      </c>
      <c r="AE743" s="65">
        <f>tblWorkPackages[[#This Row],[Last labor date]]-tblWorkPackages[[#This Row],[First labor date]]</f>
        <v>2</v>
      </c>
      <c r="AF743" s="65">
        <f>tblWorkPackages[[#This Row],[Completion date serial]]-tblWorkPackages[[#This Row],[Last labor date]]</f>
        <v>1</v>
      </c>
      <c r="AG743" s="65">
        <f>tblWorkPackages[[#This Row],[Completion date serial]]-tblWorkPackages[[#This Row],[Request date serial]]</f>
        <v>21</v>
      </c>
      <c r="AH743" s="65">
        <f>IFERROR(INDEX(tblParts[Delay days],MATCH(tblWorkPackages[[#This Row],[Work package ID]],tblParts[Work package ID],0)),0)</f>
        <v>11</v>
      </c>
      <c r="AI743" s="51" t="str">
        <f>IFERROR(INDEX(tblDisruptions[Event type],MATCH(tblWorkPackages[[#This Row],[Work package ID]],tblDisruptions[Work package ID],0)),"None")</f>
        <v>Part delay</v>
      </c>
      <c r="AJ743" s="51" t="str">
        <f>TEXT(tblWorkPackages[[#This Row],[Due date serial]],"yyyy-mm")</f>
        <v>2024-04</v>
      </c>
    </row>
    <row r="744" spans="1:36" ht="15" x14ac:dyDescent="0.25">
      <c r="A744" s="53" t="s">
        <v>1613</v>
      </c>
      <c r="B744" s="53" t="s">
        <v>124</v>
      </c>
      <c r="C744" s="53" t="s">
        <v>326</v>
      </c>
      <c r="D744" s="53" t="s">
        <v>1614</v>
      </c>
      <c r="E744" s="53" t="s">
        <v>144</v>
      </c>
      <c r="F744" s="53" t="s">
        <v>145</v>
      </c>
      <c r="G744" s="53" t="s">
        <v>146</v>
      </c>
      <c r="H744" s="53">
        <v>3</v>
      </c>
      <c r="I744" s="53" t="s">
        <v>130</v>
      </c>
      <c r="J744" s="53">
        <v>0</v>
      </c>
      <c r="K744" s="53">
        <v>1</v>
      </c>
      <c r="L744" s="53">
        <v>13.1</v>
      </c>
      <c r="M744" s="53" t="s">
        <v>1028</v>
      </c>
      <c r="N744" s="53">
        <v>11.7</v>
      </c>
      <c r="O744" s="51" t="str">
        <f>TEXT(tblWorkPackages[[#This Row],[Request date serial]]-WEEKDAY(tblWorkPackages[[#This Row],[Request date serial]],3),"yyyy-mm-dd")</f>
        <v>2025-11-10</v>
      </c>
      <c r="P744" s="51">
        <f>ABS(tblWorkPackages[[#This Row],[Actual labor hours]]-tblWorkPackages[[#This Row],[Estimated labor hours]])</f>
        <v>1.4</v>
      </c>
      <c r="Q744" s="51">
        <f>IF(tblWorkPackages[[#This Row],[Actual labor hours]]&gt;tblWorkPackages[[#This Row],[Estimated labor hours]],1,0)</f>
        <v>0</v>
      </c>
      <c r="R744" s="51">
        <f>tblWorkPackages[[#This Row],[Actual labor hours]]-tblWorkPackages[[#This Row],[Estimated labor hours]]</f>
        <v>-1.4</v>
      </c>
      <c r="S744" s="51" t="str">
        <f>IF(tblWorkPackages[[#This Row],[Request date serial]]&lt;ValidationStart,"Train 2024",IF(tblWorkPackages[[#This Row],[Request date serial]]&lt;HoldoutStart,"Validation H1","Holdout H2"))</f>
        <v>Holdout H2</v>
      </c>
      <c r="T744" s="51">
        <f>IF(tblWorkPackages[[#This Row],[Time split]]="Train 2024","",tblWorkPackages[[#This Row],[Estimated labor hours]]+VLOOKUP(tblWorkPackages[[#This Row],[Task type]],'Forecast validation'!$A$14:$E$25,IF(tblWorkPackages[[#This Row],[Time split]]="Validation H1",4,5),FALSE()))</f>
        <v>14.0735483870968</v>
      </c>
      <c r="U744" s="51">
        <f>IF(tblWorkPackages[[#This Row],[Calibrated forecast hours]]="","",ABS(tblWorkPackages[[#This Row],[Actual labor hours]]-tblWorkPackages[[#This Row],[Calibrated forecast hours]]))</f>
        <v>2.37354838709678</v>
      </c>
      <c r="V744" s="51">
        <f>IF(tblWorkPackages[[#This Row],[Time split]]="Train 2024",tblWorkPackages[[#This Row],[Estimated labor hours]],tblWorkPackages[[#This Row],[Calibrated forecast hours]])</f>
        <v>14.0735483870968</v>
      </c>
      <c r="W744" s="64">
        <f>DATEVALUE(tblWorkPackages[[#This Row],[Request date]])</f>
        <v>45975.0</v>
      </c>
      <c r="X744" s="64">
        <f>DATEVALUE(tblWorkPackages[[#This Row],[Due date]])</f>
        <v>45988.0</v>
      </c>
      <c r="Y744" s="64">
        <f>DATEVALUE(tblWorkPackages[[#This Row],[Completion date]])</f>
        <v>45981.0</v>
      </c>
      <c r="Z744" s="64">
        <f>_xlfn.MINIFS(tblLaborEntries[Work date serial],tblLaborEntries[Work package ID],tblWorkPackages[[#This Row],[Work package ID]])</f>
        <v>45977.0</v>
      </c>
      <c r="AA744" s="64">
        <f>_xlfn.MAXIFS(tblLaborEntries[Work date serial],tblLaborEntries[Work package ID],tblWorkPackages[[#This Row],[Work package ID]])</f>
        <v>45979.0</v>
      </c>
      <c r="AB744" s="65">
        <f>IF(tblWorkPackages[[#This Row],[Completion date serial]]&gt;tblWorkPackages[[#This Row],[Due date serial]],1,0)</f>
        <v>0</v>
      </c>
      <c r="AC744" s="65">
        <f>MAX(0,tblWorkPackages[[#This Row],[Completion date serial]]-tblWorkPackages[[#This Row],[Due date serial]])</f>
        <v>0</v>
      </c>
      <c r="AD744" s="65">
        <f>tblWorkPackages[[#This Row],[First labor date]]-tblWorkPackages[[#This Row],[Request date serial]]</f>
        <v>2</v>
      </c>
      <c r="AE744" s="65">
        <f>tblWorkPackages[[#This Row],[Last labor date]]-tblWorkPackages[[#This Row],[First labor date]]</f>
        <v>2</v>
      </c>
      <c r="AF744" s="65">
        <f>tblWorkPackages[[#This Row],[Completion date serial]]-tblWorkPackages[[#This Row],[Last labor date]]</f>
        <v>2</v>
      </c>
      <c r="AG744" s="65">
        <f>tblWorkPackages[[#This Row],[Completion date serial]]-tblWorkPackages[[#This Row],[Request date serial]]</f>
        <v>6</v>
      </c>
      <c r="AH744" s="65">
        <f>IFERROR(INDEX(tblParts[Delay days],MATCH(tblWorkPackages[[#This Row],[Work package ID]],tblParts[Work package ID],0)),0)</f>
        <v>0</v>
      </c>
      <c r="AI744" s="51" t="str">
        <f>IFERROR(INDEX(tblDisruptions[Event type],MATCH(tblWorkPackages[[#This Row],[Work package ID]],tblDisruptions[Work package ID],0)),"None")</f>
        <v>None</v>
      </c>
      <c r="AJ744" s="51" t="str">
        <f>TEXT(tblWorkPackages[[#This Row],[Due date serial]],"yyyy-mm")</f>
        <v>2025-11</v>
      </c>
    </row>
    <row r="745" spans="1:36" ht="15" x14ac:dyDescent="0.25">
      <c r="A745" s="53" t="s">
        <v>1615</v>
      </c>
      <c r="B745" s="53" t="s">
        <v>168</v>
      </c>
      <c r="C745" s="53" t="s">
        <v>1380</v>
      </c>
      <c r="D745" s="53" t="s">
        <v>821</v>
      </c>
      <c r="E745" s="53" t="s">
        <v>153</v>
      </c>
      <c r="F745" s="53" t="s">
        <v>128</v>
      </c>
      <c r="G745" s="53" t="s">
        <v>154</v>
      </c>
      <c r="H745" s="53">
        <v>1</v>
      </c>
      <c r="I745" s="53" t="s">
        <v>130</v>
      </c>
      <c r="J745" s="53">
        <v>0</v>
      </c>
      <c r="K745" s="53">
        <v>1</v>
      </c>
      <c r="L745" s="53">
        <v>7.1</v>
      </c>
      <c r="M745" s="53" t="s">
        <v>1108</v>
      </c>
      <c r="N745" s="53">
        <v>6.4</v>
      </c>
      <c r="O745" s="51" t="str">
        <f>TEXT(tblWorkPackages[[#This Row],[Request date serial]]-WEEKDAY(tblWorkPackages[[#This Row],[Request date serial]],3),"yyyy-mm-dd")</f>
        <v>2024-04-29</v>
      </c>
      <c r="P745" s="51">
        <f>ABS(tblWorkPackages[[#This Row],[Actual labor hours]]-tblWorkPackages[[#This Row],[Estimated labor hours]])</f>
        <v>0.699999999999999</v>
      </c>
      <c r="Q745" s="51">
        <f>IF(tblWorkPackages[[#This Row],[Actual labor hours]]&gt;tblWorkPackages[[#This Row],[Estimated labor hours]],1,0)</f>
        <v>0</v>
      </c>
      <c r="R745" s="51">
        <f>tblWorkPackages[[#This Row],[Actual labor hours]]-tblWorkPackages[[#This Row],[Estimated labor hours]]</f>
        <v>-0.699999999999999</v>
      </c>
      <c r="S745" s="51" t="str">
        <f>IF(tblWorkPackages[[#This Row],[Request date serial]]&lt;ValidationStart,"Train 2024",IF(tblWorkPackages[[#This Row],[Request date serial]]&lt;HoldoutStart,"Validation H1","Holdout H2"))</f>
        <v>Train 2024</v>
      </c>
      <c r="T745" s="51" t="str">
        <f>IF(tblWorkPackages[[#This Row],[Time split]]="Train 2024","",tblWorkPackages[[#This Row],[Estimated labor hours]]+VLOOKUP(tblWorkPackages[[#This Row],[Task type]],'Forecast validation'!$A$14:$E$25,IF(tblWorkPackages[[#This Row],[Time split]]="Validation H1",4,5),FALSE()))</f>
        <v/>
      </c>
      <c r="U745" s="51" t="str">
        <f>IF(tblWorkPackages[[#This Row],[Calibrated forecast hours]]="","",ABS(tblWorkPackages[[#This Row],[Actual labor hours]]-tblWorkPackages[[#This Row],[Calibrated forecast hours]]))</f>
        <v/>
      </c>
      <c r="V745" s="51">
        <f>IF(tblWorkPackages[[#This Row],[Time split]]="Train 2024",tblWorkPackages[[#This Row],[Estimated labor hours]],tblWorkPackages[[#This Row],[Calibrated forecast hours]])</f>
        <v>7.1</v>
      </c>
      <c r="W745" s="64">
        <f>DATEVALUE(tblWorkPackages[[#This Row],[Request date]])</f>
        <v>45415.0</v>
      </c>
      <c r="X745" s="64">
        <f>DATEVALUE(tblWorkPackages[[#This Row],[Due date]])</f>
        <v>45428.0</v>
      </c>
      <c r="Y745" s="64">
        <f>DATEVALUE(tblWorkPackages[[#This Row],[Completion date]])</f>
        <v>45437.0</v>
      </c>
      <c r="Z745" s="64">
        <f>_xlfn.MINIFS(tblLaborEntries[Work date serial],tblLaborEntries[Work package ID],tblWorkPackages[[#This Row],[Work package ID]])</f>
        <v>45433.0</v>
      </c>
      <c r="AA745" s="64">
        <f>_xlfn.MAXIFS(tblLaborEntries[Work date serial],tblLaborEntries[Work package ID],tblWorkPackages[[#This Row],[Work package ID]])</f>
        <v>45434.0</v>
      </c>
      <c r="AB745" s="65">
        <f>IF(tblWorkPackages[[#This Row],[Completion date serial]]&gt;tblWorkPackages[[#This Row],[Due date serial]],1,0)</f>
        <v>1</v>
      </c>
      <c r="AC745" s="65">
        <f>MAX(0,tblWorkPackages[[#This Row],[Completion date serial]]-tblWorkPackages[[#This Row],[Due date serial]])</f>
        <v>9</v>
      </c>
      <c r="AD745" s="65">
        <f>tblWorkPackages[[#This Row],[First labor date]]-tblWorkPackages[[#This Row],[Request date serial]]</f>
        <v>18</v>
      </c>
      <c r="AE745" s="65">
        <f>tblWorkPackages[[#This Row],[Last labor date]]-tblWorkPackages[[#This Row],[First labor date]]</f>
        <v>1</v>
      </c>
      <c r="AF745" s="65">
        <f>tblWorkPackages[[#This Row],[Completion date serial]]-tblWorkPackages[[#This Row],[Last labor date]]</f>
        <v>3</v>
      </c>
      <c r="AG745" s="65">
        <f>tblWorkPackages[[#This Row],[Completion date serial]]-tblWorkPackages[[#This Row],[Request date serial]]</f>
        <v>22</v>
      </c>
      <c r="AH745" s="65">
        <f>IFERROR(INDEX(tblParts[Delay days],MATCH(tblWorkPackages[[#This Row],[Work package ID]],tblParts[Work package ID],0)),0)</f>
        <v>0</v>
      </c>
      <c r="AI745" s="51" t="str">
        <f>IFERROR(INDEX(tblDisruptions[Event type],MATCH(tblWorkPackages[[#This Row],[Work package ID]],tblDisruptions[Work package ID],0)),"None")</f>
        <v>None</v>
      </c>
      <c r="AJ745" s="51" t="str">
        <f>TEXT(tblWorkPackages[[#This Row],[Due date serial]],"yyyy-mm")</f>
        <v>2024-05</v>
      </c>
    </row>
    <row r="746" spans="1:36" ht="15" x14ac:dyDescent="0.25">
      <c r="A746" s="53" t="s">
        <v>1616</v>
      </c>
      <c r="B746" s="53" t="s">
        <v>185</v>
      </c>
      <c r="C746" s="53" t="s">
        <v>529</v>
      </c>
      <c r="D746" s="53" t="s">
        <v>625</v>
      </c>
      <c r="E746" s="53" t="s">
        <v>200</v>
      </c>
      <c r="F746" s="53" t="s">
        <v>128</v>
      </c>
      <c r="G746" s="53" t="s">
        <v>129</v>
      </c>
      <c r="H746" s="53">
        <v>3</v>
      </c>
      <c r="I746" s="53" t="s">
        <v>130</v>
      </c>
      <c r="J746" s="53">
        <v>0</v>
      </c>
      <c r="K746" s="53">
        <v>0</v>
      </c>
      <c r="L746" s="53">
        <v>3.9</v>
      </c>
      <c r="M746" s="53" t="s">
        <v>285</v>
      </c>
      <c r="N746" s="53">
        <v>4.5</v>
      </c>
      <c r="O746" s="51" t="str">
        <f>TEXT(tblWorkPackages[[#This Row],[Request date serial]]-WEEKDAY(tblWorkPackages[[#This Row],[Request date serial]],3),"yyyy-mm-dd")</f>
        <v>2025-09-08</v>
      </c>
      <c r="P746" s="51">
        <f>ABS(tblWorkPackages[[#This Row],[Actual labor hours]]-tblWorkPackages[[#This Row],[Estimated labor hours]])</f>
        <v>0.6</v>
      </c>
      <c r="Q746" s="51">
        <f>IF(tblWorkPackages[[#This Row],[Actual labor hours]]&gt;tblWorkPackages[[#This Row],[Estimated labor hours]],1,0)</f>
        <v>1</v>
      </c>
      <c r="R746" s="51">
        <f>tblWorkPackages[[#This Row],[Actual labor hours]]-tblWorkPackages[[#This Row],[Estimated labor hours]]</f>
        <v>0.6</v>
      </c>
      <c r="S746" s="51" t="str">
        <f>IF(tblWorkPackages[[#This Row],[Request date serial]]&lt;ValidationStart,"Train 2024",IF(tblWorkPackages[[#This Row],[Request date serial]]&lt;HoldoutStart,"Validation H1","Holdout H2"))</f>
        <v>Holdout H2</v>
      </c>
      <c r="T746" s="51">
        <f>IF(tblWorkPackages[[#This Row],[Time split]]="Train 2024","",tblWorkPackages[[#This Row],[Estimated labor hours]]+VLOOKUP(tblWorkPackages[[#This Row],[Task type]],'Forecast validation'!$A$14:$E$25,IF(tblWorkPackages[[#This Row],[Time split]]="Validation H1",4,5),FALSE()))</f>
        <v>4.22893081761006</v>
      </c>
      <c r="U746" s="51">
        <f>IF(tblWorkPackages[[#This Row],[Calibrated forecast hours]]="","",ABS(tblWorkPackages[[#This Row],[Actual labor hours]]-tblWorkPackages[[#This Row],[Calibrated forecast hours]]))</f>
        <v>0.271069182389938</v>
      </c>
      <c r="V746" s="51">
        <f>IF(tblWorkPackages[[#This Row],[Time split]]="Train 2024",tblWorkPackages[[#This Row],[Estimated labor hours]],tblWorkPackages[[#This Row],[Calibrated forecast hours]])</f>
        <v>4.22893081761006</v>
      </c>
      <c r="W746" s="64">
        <f>DATEVALUE(tblWorkPackages[[#This Row],[Request date]])</f>
        <v>45911.0</v>
      </c>
      <c r="X746" s="64">
        <f>DATEVALUE(tblWorkPackages[[#This Row],[Due date]])</f>
        <v>45924.0</v>
      </c>
      <c r="Y746" s="64">
        <f>DATEVALUE(tblWorkPackages[[#This Row],[Completion date]])</f>
        <v>45915.0</v>
      </c>
      <c r="Z746" s="64">
        <f>_xlfn.MINIFS(tblLaborEntries[Work date serial],tblLaborEntries[Work package ID],tblWorkPackages[[#This Row],[Work package ID]])</f>
        <v>45915.0</v>
      </c>
      <c r="AA746" s="64">
        <f>_xlfn.MAXIFS(tblLaborEntries[Work date serial],tblLaborEntries[Work package ID],tblWorkPackages[[#This Row],[Work package ID]])</f>
        <v>45915.0</v>
      </c>
      <c r="AB746" s="65">
        <f>IF(tblWorkPackages[[#This Row],[Completion date serial]]&gt;tblWorkPackages[[#This Row],[Due date serial]],1,0)</f>
        <v>0</v>
      </c>
      <c r="AC746" s="65">
        <f>MAX(0,tblWorkPackages[[#This Row],[Completion date serial]]-tblWorkPackages[[#This Row],[Due date serial]])</f>
        <v>0</v>
      </c>
      <c r="AD746" s="65">
        <f>tblWorkPackages[[#This Row],[First labor date]]-tblWorkPackages[[#This Row],[Request date serial]]</f>
        <v>4</v>
      </c>
      <c r="AE746" s="65">
        <f>tblWorkPackages[[#This Row],[Last labor date]]-tblWorkPackages[[#This Row],[First labor date]]</f>
        <v>0</v>
      </c>
      <c r="AF746" s="65">
        <f>tblWorkPackages[[#This Row],[Completion date serial]]-tblWorkPackages[[#This Row],[Last labor date]]</f>
        <v>0</v>
      </c>
      <c r="AG746" s="65">
        <f>tblWorkPackages[[#This Row],[Completion date serial]]-tblWorkPackages[[#This Row],[Request date serial]]</f>
        <v>4</v>
      </c>
      <c r="AH746" s="65">
        <f>IFERROR(INDEX(tblParts[Delay days],MATCH(tblWorkPackages[[#This Row],[Work package ID]],tblParts[Work package ID],0)),0)</f>
        <v>0</v>
      </c>
      <c r="AI746" s="51" t="str">
        <f>IFERROR(INDEX(tblDisruptions[Event type],MATCH(tblWorkPackages[[#This Row],[Work package ID]],tblDisruptions[Work package ID],0)),"None")</f>
        <v>None</v>
      </c>
      <c r="AJ746" s="51" t="str">
        <f>TEXT(tblWorkPackages[[#This Row],[Due date serial]],"yyyy-mm")</f>
        <v>2025-09</v>
      </c>
    </row>
    <row r="747" spans="1:36" ht="15" x14ac:dyDescent="0.25">
      <c r="A747" s="53" t="s">
        <v>1617</v>
      </c>
      <c r="B747" s="53" t="s">
        <v>168</v>
      </c>
      <c r="C747" s="53" t="s">
        <v>1226</v>
      </c>
      <c r="D747" s="53" t="s">
        <v>1484</v>
      </c>
      <c r="E747" s="53" t="s">
        <v>242</v>
      </c>
      <c r="F747" s="53" t="s">
        <v>243</v>
      </c>
      <c r="G747" s="53" t="s">
        <v>129</v>
      </c>
      <c r="H747" s="53">
        <v>4</v>
      </c>
      <c r="I747" s="53" t="s">
        <v>130</v>
      </c>
      <c r="J747" s="53">
        <v>0</v>
      </c>
      <c r="K747" s="53">
        <v>0</v>
      </c>
      <c r="L747" s="53">
        <v>18</v>
      </c>
      <c r="M747" s="53" t="s">
        <v>467</v>
      </c>
      <c r="N747" s="53">
        <v>21.9</v>
      </c>
      <c r="O747" s="51" t="str">
        <f>TEXT(tblWorkPackages[[#This Row],[Request date serial]]-WEEKDAY(tblWorkPackages[[#This Row],[Request date serial]],3),"yyyy-mm-dd")</f>
        <v>2025-03-31</v>
      </c>
      <c r="P747" s="51">
        <f>ABS(tblWorkPackages[[#This Row],[Actual labor hours]]-tblWorkPackages[[#This Row],[Estimated labor hours]])</f>
        <v>3.9</v>
      </c>
      <c r="Q747" s="51">
        <f>IF(tblWorkPackages[[#This Row],[Actual labor hours]]&gt;tblWorkPackages[[#This Row],[Estimated labor hours]],1,0)</f>
        <v>1</v>
      </c>
      <c r="R747" s="51">
        <f>tblWorkPackages[[#This Row],[Actual labor hours]]-tblWorkPackages[[#This Row],[Estimated labor hours]]</f>
        <v>3.9</v>
      </c>
      <c r="S747" s="51" t="str">
        <f>IF(tblWorkPackages[[#This Row],[Request date serial]]&lt;ValidationStart,"Train 2024",IF(tblWorkPackages[[#This Row],[Request date serial]]&lt;HoldoutStart,"Validation H1","Holdout H2"))</f>
        <v>Validation H1</v>
      </c>
      <c r="T747" s="51">
        <f>IF(tblWorkPackages[[#This Row],[Time split]]="Train 2024","",tblWorkPackages[[#This Row],[Estimated labor hours]]+VLOOKUP(tblWorkPackages[[#This Row],[Task type]],'Forecast validation'!$A$14:$E$25,IF(tblWorkPackages[[#This Row],[Time split]]="Validation H1",4,5),FALSE()))</f>
        <v>18.5561224489796</v>
      </c>
      <c r="U747" s="51">
        <f>IF(tblWorkPackages[[#This Row],[Calibrated forecast hours]]="","",ABS(tblWorkPackages[[#This Row],[Actual labor hours]]-tblWorkPackages[[#This Row],[Calibrated forecast hours]]))</f>
        <v>3.34387755102041</v>
      </c>
      <c r="V747" s="51">
        <f>IF(tblWorkPackages[[#This Row],[Time split]]="Train 2024",tblWorkPackages[[#This Row],[Estimated labor hours]],tblWorkPackages[[#This Row],[Calibrated forecast hours]])</f>
        <v>18.5561224489796</v>
      </c>
      <c r="W747" s="64">
        <f>DATEVALUE(tblWorkPackages[[#This Row],[Request date]])</f>
        <v>45750.0</v>
      </c>
      <c r="X747" s="64">
        <f>DATEVALUE(tblWorkPackages[[#This Row],[Due date]])</f>
        <v>45763.0</v>
      </c>
      <c r="Y747" s="64">
        <f>DATEVALUE(tblWorkPackages[[#This Row],[Completion date]])</f>
        <v>45752.0</v>
      </c>
      <c r="Z747" s="64">
        <f>_xlfn.MINIFS(tblLaborEntries[Work date serial],tblLaborEntries[Work package ID],tblWorkPackages[[#This Row],[Work package ID]])</f>
        <v>45751.0</v>
      </c>
      <c r="AA747" s="64">
        <f>_xlfn.MAXIFS(tblLaborEntries[Work date serial],tblLaborEntries[Work package ID],tblWorkPackages[[#This Row],[Work package ID]])</f>
        <v>45751.0</v>
      </c>
      <c r="AB747" s="65">
        <f>IF(tblWorkPackages[[#This Row],[Completion date serial]]&gt;tblWorkPackages[[#This Row],[Due date serial]],1,0)</f>
        <v>0</v>
      </c>
      <c r="AC747" s="65">
        <f>MAX(0,tblWorkPackages[[#This Row],[Completion date serial]]-tblWorkPackages[[#This Row],[Due date serial]])</f>
        <v>0</v>
      </c>
      <c r="AD747" s="65">
        <f>tblWorkPackages[[#This Row],[First labor date]]-tblWorkPackages[[#This Row],[Request date serial]]</f>
        <v>1</v>
      </c>
      <c r="AE747" s="65">
        <f>tblWorkPackages[[#This Row],[Last labor date]]-tblWorkPackages[[#This Row],[First labor date]]</f>
        <v>0</v>
      </c>
      <c r="AF747" s="65">
        <f>tblWorkPackages[[#This Row],[Completion date serial]]-tblWorkPackages[[#This Row],[Last labor date]]</f>
        <v>1</v>
      </c>
      <c r="AG747" s="65">
        <f>tblWorkPackages[[#This Row],[Completion date serial]]-tblWorkPackages[[#This Row],[Request date serial]]</f>
        <v>2</v>
      </c>
      <c r="AH747" s="65">
        <f>IFERROR(INDEX(tblParts[Delay days],MATCH(tblWorkPackages[[#This Row],[Work package ID]],tblParts[Work package ID],0)),0)</f>
        <v>0</v>
      </c>
      <c r="AI747" s="51" t="str">
        <f>IFERROR(INDEX(tblDisruptions[Event type],MATCH(tblWorkPackages[[#This Row],[Work package ID]],tblDisruptions[Work package ID],0)),"None")</f>
        <v>None</v>
      </c>
      <c r="AJ747" s="51" t="str">
        <f>TEXT(tblWorkPackages[[#This Row],[Due date serial]],"yyyy-mm")</f>
        <v>2025-04</v>
      </c>
    </row>
    <row r="748" spans="1:36" ht="15" x14ac:dyDescent="0.25">
      <c r="A748" s="53" t="s">
        <v>1618</v>
      </c>
      <c r="B748" s="53" t="s">
        <v>203</v>
      </c>
      <c r="C748" s="53" t="s">
        <v>822</v>
      </c>
      <c r="D748" s="53" t="s">
        <v>1124</v>
      </c>
      <c r="E748" s="53" t="s">
        <v>153</v>
      </c>
      <c r="F748" s="53" t="s">
        <v>128</v>
      </c>
      <c r="G748" s="53" t="s">
        <v>154</v>
      </c>
      <c r="H748" s="53">
        <v>1</v>
      </c>
      <c r="I748" s="53" t="s">
        <v>147</v>
      </c>
      <c r="J748" s="53">
        <v>0</v>
      </c>
      <c r="K748" s="53">
        <v>0</v>
      </c>
      <c r="L748" s="53">
        <v>6.4</v>
      </c>
      <c r="M748" s="53" t="s">
        <v>1311</v>
      </c>
      <c r="N748" s="53">
        <v>6</v>
      </c>
      <c r="O748" s="51" t="str">
        <f>TEXT(tblWorkPackages[[#This Row],[Request date serial]]-WEEKDAY(tblWorkPackages[[#This Row],[Request date serial]],3),"yyyy-mm-dd")</f>
        <v>2024-05-13</v>
      </c>
      <c r="P748" s="51">
        <f>ABS(tblWorkPackages[[#This Row],[Actual labor hours]]-tblWorkPackages[[#This Row],[Estimated labor hours]])</f>
        <v>0.4</v>
      </c>
      <c r="Q748" s="51">
        <f>IF(tblWorkPackages[[#This Row],[Actual labor hours]]&gt;tblWorkPackages[[#This Row],[Estimated labor hours]],1,0)</f>
        <v>0</v>
      </c>
      <c r="R748" s="51">
        <f>tblWorkPackages[[#This Row],[Actual labor hours]]-tblWorkPackages[[#This Row],[Estimated labor hours]]</f>
        <v>-0.4</v>
      </c>
      <c r="S748" s="51" t="str">
        <f>IF(tblWorkPackages[[#This Row],[Request date serial]]&lt;ValidationStart,"Train 2024",IF(tblWorkPackages[[#This Row],[Request date serial]]&lt;HoldoutStart,"Validation H1","Holdout H2"))</f>
        <v>Train 2024</v>
      </c>
      <c r="T748" s="51" t="str">
        <f>IF(tblWorkPackages[[#This Row],[Time split]]="Train 2024","",tblWorkPackages[[#This Row],[Estimated labor hours]]+VLOOKUP(tblWorkPackages[[#This Row],[Task type]],'Forecast validation'!$A$14:$E$25,IF(tblWorkPackages[[#This Row],[Time split]]="Validation H1",4,5),FALSE()))</f>
        <v/>
      </c>
      <c r="U748" s="51" t="str">
        <f>IF(tblWorkPackages[[#This Row],[Calibrated forecast hours]]="","",ABS(tblWorkPackages[[#This Row],[Actual labor hours]]-tblWorkPackages[[#This Row],[Calibrated forecast hours]]))</f>
        <v/>
      </c>
      <c r="V748" s="51">
        <f>IF(tblWorkPackages[[#This Row],[Time split]]="Train 2024",tblWorkPackages[[#This Row],[Estimated labor hours]],tblWorkPackages[[#This Row],[Calibrated forecast hours]])</f>
        <v>6.4</v>
      </c>
      <c r="W748" s="64">
        <f>DATEVALUE(tblWorkPackages[[#This Row],[Request date]])</f>
        <v>45425.0</v>
      </c>
      <c r="X748" s="64">
        <f>DATEVALUE(tblWorkPackages[[#This Row],[Due date]])</f>
        <v>45427.0</v>
      </c>
      <c r="Y748" s="64">
        <f>DATEVALUE(tblWorkPackages[[#This Row],[Completion date]])</f>
        <v>45439.0</v>
      </c>
      <c r="Z748" s="64">
        <f>_xlfn.MINIFS(tblLaborEntries[Work date serial],tblLaborEntries[Work package ID],tblWorkPackages[[#This Row],[Work package ID]])</f>
        <v>45436.0</v>
      </c>
      <c r="AA748" s="64">
        <f>_xlfn.MAXIFS(tblLaborEntries[Work date serial],tblLaborEntries[Work package ID],tblWorkPackages[[#This Row],[Work package ID]])</f>
        <v>45437.0</v>
      </c>
      <c r="AB748" s="65">
        <f>IF(tblWorkPackages[[#This Row],[Completion date serial]]&gt;tblWorkPackages[[#This Row],[Due date serial]],1,0)</f>
        <v>1</v>
      </c>
      <c r="AC748" s="65">
        <f>MAX(0,tblWorkPackages[[#This Row],[Completion date serial]]-tblWorkPackages[[#This Row],[Due date serial]])</f>
        <v>12</v>
      </c>
      <c r="AD748" s="65">
        <f>tblWorkPackages[[#This Row],[First labor date]]-tblWorkPackages[[#This Row],[Request date serial]]</f>
        <v>11</v>
      </c>
      <c r="AE748" s="65">
        <f>tblWorkPackages[[#This Row],[Last labor date]]-tblWorkPackages[[#This Row],[First labor date]]</f>
        <v>1</v>
      </c>
      <c r="AF748" s="65">
        <f>tblWorkPackages[[#This Row],[Completion date serial]]-tblWorkPackages[[#This Row],[Last labor date]]</f>
        <v>2</v>
      </c>
      <c r="AG748" s="65">
        <f>tblWorkPackages[[#This Row],[Completion date serial]]-tblWorkPackages[[#This Row],[Request date serial]]</f>
        <v>14</v>
      </c>
      <c r="AH748" s="65">
        <f>IFERROR(INDEX(tblParts[Delay days],MATCH(tblWorkPackages[[#This Row],[Work package ID]],tblParts[Work package ID],0)),0)</f>
        <v>0</v>
      </c>
      <c r="AI748" s="51" t="str">
        <f>IFERROR(INDEX(tblDisruptions[Event type],MATCH(tblWorkPackages[[#This Row],[Work package ID]],tblDisruptions[Work package ID],0)),"None")</f>
        <v>None</v>
      </c>
      <c r="AJ748" s="51" t="str">
        <f>TEXT(tblWorkPackages[[#This Row],[Due date serial]],"yyyy-mm")</f>
        <v>2024-05</v>
      </c>
    </row>
    <row r="749" spans="1:36" ht="15" x14ac:dyDescent="0.25">
      <c r="A749" s="53" t="s">
        <v>1619</v>
      </c>
      <c r="B749" s="53" t="s">
        <v>230</v>
      </c>
      <c r="C749" s="53" t="s">
        <v>607</v>
      </c>
      <c r="D749" s="53" t="s">
        <v>1191</v>
      </c>
      <c r="E749" s="53" t="s">
        <v>136</v>
      </c>
      <c r="F749" s="53" t="s">
        <v>137</v>
      </c>
      <c r="G749" s="53" t="s">
        <v>138</v>
      </c>
      <c r="H749" s="53">
        <v>3</v>
      </c>
      <c r="I749" s="53" t="s">
        <v>176</v>
      </c>
      <c r="J749" s="53">
        <v>0</v>
      </c>
      <c r="K749" s="53">
        <v>0</v>
      </c>
      <c r="L749" s="53">
        <v>22.7</v>
      </c>
      <c r="M749" s="53" t="s">
        <v>1620</v>
      </c>
      <c r="N749" s="53">
        <v>26.9</v>
      </c>
      <c r="O749" s="51" t="str">
        <f>TEXT(tblWorkPackages[[#This Row],[Request date serial]]-WEEKDAY(tblWorkPackages[[#This Row],[Request date serial]],3),"yyyy-mm-dd")</f>
        <v>2025-03-17</v>
      </c>
      <c r="P749" s="51">
        <f>ABS(tblWorkPackages[[#This Row],[Actual labor hours]]-tblWorkPackages[[#This Row],[Estimated labor hours]])</f>
        <v>4.2</v>
      </c>
      <c r="Q749" s="51">
        <f>IF(tblWorkPackages[[#This Row],[Actual labor hours]]&gt;tblWorkPackages[[#This Row],[Estimated labor hours]],1,0)</f>
        <v>1</v>
      </c>
      <c r="R749" s="51">
        <f>tblWorkPackages[[#This Row],[Actual labor hours]]-tblWorkPackages[[#This Row],[Estimated labor hours]]</f>
        <v>4.2</v>
      </c>
      <c r="S749" s="51" t="str">
        <f>IF(tblWorkPackages[[#This Row],[Request date serial]]&lt;ValidationStart,"Train 2024",IF(tblWorkPackages[[#This Row],[Request date serial]]&lt;HoldoutStart,"Validation H1","Holdout H2"))</f>
        <v>Validation H1</v>
      </c>
      <c r="T749" s="51">
        <f>IF(tblWorkPackages[[#This Row],[Time split]]="Train 2024","",tblWorkPackages[[#This Row],[Estimated labor hours]]+VLOOKUP(tblWorkPackages[[#This Row],[Task type]],'Forecast validation'!$A$14:$E$25,IF(tblWorkPackages[[#This Row],[Time split]]="Validation H1",4,5),FALSE()))</f>
        <v>23.5765306122449</v>
      </c>
      <c r="U749" s="51">
        <f>IF(tblWorkPackages[[#This Row],[Calibrated forecast hours]]="","",ABS(tblWorkPackages[[#This Row],[Actual labor hours]]-tblWorkPackages[[#This Row],[Calibrated forecast hours]]))</f>
        <v>3.3234693877551</v>
      </c>
      <c r="V749" s="51">
        <f>IF(tblWorkPackages[[#This Row],[Time split]]="Train 2024",tblWorkPackages[[#This Row],[Estimated labor hours]],tblWorkPackages[[#This Row],[Calibrated forecast hours]])</f>
        <v>23.5765306122449</v>
      </c>
      <c r="W749" s="64">
        <f>DATEVALUE(tblWorkPackages[[#This Row],[Request date]])</f>
        <v>45734.0</v>
      </c>
      <c r="X749" s="64">
        <f>DATEVALUE(tblWorkPackages[[#This Row],[Due date]])</f>
        <v>45740.0</v>
      </c>
      <c r="Y749" s="64">
        <f>DATEVALUE(tblWorkPackages[[#This Row],[Completion date]])</f>
        <v>45741.0</v>
      </c>
      <c r="Z749" s="64">
        <f>_xlfn.MINIFS(tblLaborEntries[Work date serial],tblLaborEntries[Work package ID],tblWorkPackages[[#This Row],[Work package ID]])</f>
        <v>45737.0</v>
      </c>
      <c r="AA749" s="64">
        <f>_xlfn.MAXIFS(tblLaborEntries[Work date serial],tblLaborEntries[Work package ID],tblWorkPackages[[#This Row],[Work package ID]])</f>
        <v>45738.0</v>
      </c>
      <c r="AB749" s="65">
        <f>IF(tblWorkPackages[[#This Row],[Completion date serial]]&gt;tblWorkPackages[[#This Row],[Due date serial]],1,0)</f>
        <v>1</v>
      </c>
      <c r="AC749" s="65">
        <f>MAX(0,tblWorkPackages[[#This Row],[Completion date serial]]-tblWorkPackages[[#This Row],[Due date serial]])</f>
        <v>1</v>
      </c>
      <c r="AD749" s="65">
        <f>tblWorkPackages[[#This Row],[First labor date]]-tblWorkPackages[[#This Row],[Request date serial]]</f>
        <v>3</v>
      </c>
      <c r="AE749" s="65">
        <f>tblWorkPackages[[#This Row],[Last labor date]]-tblWorkPackages[[#This Row],[First labor date]]</f>
        <v>1</v>
      </c>
      <c r="AF749" s="65">
        <f>tblWorkPackages[[#This Row],[Completion date serial]]-tblWorkPackages[[#This Row],[Last labor date]]</f>
        <v>3</v>
      </c>
      <c r="AG749" s="65">
        <f>tblWorkPackages[[#This Row],[Completion date serial]]-tblWorkPackages[[#This Row],[Request date serial]]</f>
        <v>7</v>
      </c>
      <c r="AH749" s="65">
        <f>IFERROR(INDEX(tblParts[Delay days],MATCH(tblWorkPackages[[#This Row],[Work package ID]],tblParts[Work package ID],0)),0)</f>
        <v>0</v>
      </c>
      <c r="AI749" s="51" t="str">
        <f>IFERROR(INDEX(tblDisruptions[Event type],MATCH(tblWorkPackages[[#This Row],[Work package ID]],tblDisruptions[Work package ID],0)),"None")</f>
        <v>None</v>
      </c>
      <c r="AJ749" s="51" t="str">
        <f>TEXT(tblWorkPackages[[#This Row],[Due date serial]],"yyyy-mm")</f>
        <v>2025-03</v>
      </c>
    </row>
    <row r="750" spans="1:36" ht="15" x14ac:dyDescent="0.25">
      <c r="A750" s="53" t="s">
        <v>1621</v>
      </c>
      <c r="B750" s="53" t="s">
        <v>124</v>
      </c>
      <c r="C750" s="53" t="s">
        <v>332</v>
      </c>
      <c r="D750" s="53" t="s">
        <v>309</v>
      </c>
      <c r="E750" s="53" t="s">
        <v>144</v>
      </c>
      <c r="F750" s="53" t="s">
        <v>145</v>
      </c>
      <c r="G750" s="53" t="s">
        <v>146</v>
      </c>
      <c r="H750" s="53">
        <v>3</v>
      </c>
      <c r="I750" s="53" t="s">
        <v>130</v>
      </c>
      <c r="J750" s="53">
        <v>0</v>
      </c>
      <c r="K750" s="53">
        <v>1</v>
      </c>
      <c r="L750" s="53">
        <v>12.8</v>
      </c>
      <c r="M750" s="53" t="s">
        <v>1427</v>
      </c>
      <c r="N750" s="53">
        <v>13.8</v>
      </c>
      <c r="O750" s="51" t="str">
        <f>TEXT(tblWorkPackages[[#This Row],[Request date serial]]-WEEKDAY(tblWorkPackages[[#This Row],[Request date serial]],3),"yyyy-mm-dd")</f>
        <v>2025-10-20</v>
      </c>
      <c r="P750" s="51">
        <f>ABS(tblWorkPackages[[#This Row],[Actual labor hours]]-tblWorkPackages[[#This Row],[Estimated labor hours]])</f>
        <v>1</v>
      </c>
      <c r="Q750" s="51">
        <f>IF(tblWorkPackages[[#This Row],[Actual labor hours]]&gt;tblWorkPackages[[#This Row],[Estimated labor hours]],1,0)</f>
        <v>1</v>
      </c>
      <c r="R750" s="51">
        <f>tblWorkPackages[[#This Row],[Actual labor hours]]-tblWorkPackages[[#This Row],[Estimated labor hours]]</f>
        <v>1</v>
      </c>
      <c r="S750" s="51" t="str">
        <f>IF(tblWorkPackages[[#This Row],[Request date serial]]&lt;ValidationStart,"Train 2024",IF(tblWorkPackages[[#This Row],[Request date serial]]&lt;HoldoutStart,"Validation H1","Holdout H2"))</f>
        <v>Holdout H2</v>
      </c>
      <c r="T750" s="51">
        <f>IF(tblWorkPackages[[#This Row],[Time split]]="Train 2024","",tblWorkPackages[[#This Row],[Estimated labor hours]]+VLOOKUP(tblWorkPackages[[#This Row],[Task type]],'Forecast validation'!$A$14:$E$25,IF(tblWorkPackages[[#This Row],[Time split]]="Validation H1",4,5),FALSE()))</f>
        <v>13.7735483870968</v>
      </c>
      <c r="U750" s="51">
        <f>IF(tblWorkPackages[[#This Row],[Calibrated forecast hours]]="","",ABS(tblWorkPackages[[#This Row],[Actual labor hours]]-tblWorkPackages[[#This Row],[Calibrated forecast hours]]))</f>
        <v>0.0264516129032266</v>
      </c>
      <c r="V750" s="51">
        <f>IF(tblWorkPackages[[#This Row],[Time split]]="Train 2024",tblWorkPackages[[#This Row],[Estimated labor hours]],tblWorkPackages[[#This Row],[Calibrated forecast hours]])</f>
        <v>13.7735483870968</v>
      </c>
      <c r="W750" s="64">
        <f>DATEVALUE(tblWorkPackages[[#This Row],[Request date]])</f>
        <v>45954.0</v>
      </c>
      <c r="X750" s="64">
        <f>DATEVALUE(tblWorkPackages[[#This Row],[Due date]])</f>
        <v>45967.0</v>
      </c>
      <c r="Y750" s="64">
        <f>DATEVALUE(tblWorkPackages[[#This Row],[Completion date]])</f>
        <v>45987.0</v>
      </c>
      <c r="Z750" s="64">
        <f>_xlfn.MINIFS(tblLaborEntries[Work date serial],tblLaborEntries[Work package ID],tblWorkPackages[[#This Row],[Work package ID]])</f>
        <v>45985.0</v>
      </c>
      <c r="AA750" s="64">
        <f>_xlfn.MAXIFS(tblLaborEntries[Work date serial],tblLaborEntries[Work package ID],tblWorkPackages[[#This Row],[Work package ID]])</f>
        <v>45987.0</v>
      </c>
      <c r="AB750" s="65">
        <f>IF(tblWorkPackages[[#This Row],[Completion date serial]]&gt;tblWorkPackages[[#This Row],[Due date serial]],1,0)</f>
        <v>1</v>
      </c>
      <c r="AC750" s="65">
        <f>MAX(0,tblWorkPackages[[#This Row],[Completion date serial]]-tblWorkPackages[[#This Row],[Due date serial]])</f>
        <v>20</v>
      </c>
      <c r="AD750" s="65">
        <f>tblWorkPackages[[#This Row],[First labor date]]-tblWorkPackages[[#This Row],[Request date serial]]</f>
        <v>31</v>
      </c>
      <c r="AE750" s="65">
        <f>tblWorkPackages[[#This Row],[Last labor date]]-tblWorkPackages[[#This Row],[First labor date]]</f>
        <v>2</v>
      </c>
      <c r="AF750" s="65">
        <f>tblWorkPackages[[#This Row],[Completion date serial]]-tblWorkPackages[[#This Row],[Last labor date]]</f>
        <v>0</v>
      </c>
      <c r="AG750" s="65">
        <f>tblWorkPackages[[#This Row],[Completion date serial]]-tblWorkPackages[[#This Row],[Request date serial]]</f>
        <v>33</v>
      </c>
      <c r="AH750" s="65">
        <f>IFERROR(INDEX(tblParts[Delay days],MATCH(tblWorkPackages[[#This Row],[Work package ID]],tblParts[Work package ID],0)),0)</f>
        <v>0</v>
      </c>
      <c r="AI750" s="51" t="str">
        <f>IFERROR(INDEX(tblDisruptions[Event type],MATCH(tblWorkPackages[[#This Row],[Work package ID]],tblDisruptions[Work package ID],0)),"None")</f>
        <v>None</v>
      </c>
      <c r="AJ750" s="51" t="str">
        <f>TEXT(tblWorkPackages[[#This Row],[Due date serial]],"yyyy-mm")</f>
        <v>2025-11</v>
      </c>
    </row>
    <row r="751" spans="1:36" ht="15" x14ac:dyDescent="0.25">
      <c r="A751" s="53" t="s">
        <v>1622</v>
      </c>
      <c r="B751" s="53" t="s">
        <v>150</v>
      </c>
      <c r="C751" s="53" t="s">
        <v>375</v>
      </c>
      <c r="D751" s="53" t="s">
        <v>274</v>
      </c>
      <c r="E751" s="53" t="s">
        <v>144</v>
      </c>
      <c r="F751" s="53" t="s">
        <v>145</v>
      </c>
      <c r="G751" s="53" t="s">
        <v>146</v>
      </c>
      <c r="H751" s="53">
        <v>3</v>
      </c>
      <c r="I751" s="53" t="s">
        <v>130</v>
      </c>
      <c r="J751" s="53">
        <v>0</v>
      </c>
      <c r="K751" s="53">
        <v>1</v>
      </c>
      <c r="L751" s="53">
        <v>16.899999999999999</v>
      </c>
      <c r="M751" s="53" t="s">
        <v>410</v>
      </c>
      <c r="N751" s="53">
        <v>13.7</v>
      </c>
      <c r="O751" s="51" t="str">
        <f>TEXT(tblWorkPackages[[#This Row],[Request date serial]]-WEEKDAY(tblWorkPackages[[#This Row],[Request date serial]],3),"yyyy-mm-dd")</f>
        <v>2025-04-21</v>
      </c>
      <c r="P751" s="51">
        <f>ABS(tblWorkPackages[[#This Row],[Actual labor hours]]-tblWorkPackages[[#This Row],[Estimated labor hours]])</f>
        <v>3.2</v>
      </c>
      <c r="Q751" s="51">
        <f>IF(tblWorkPackages[[#This Row],[Actual labor hours]]&gt;tblWorkPackages[[#This Row],[Estimated labor hours]],1,0)</f>
        <v>0</v>
      </c>
      <c r="R751" s="51">
        <f>tblWorkPackages[[#This Row],[Actual labor hours]]-tblWorkPackages[[#This Row],[Estimated labor hours]]</f>
        <v>-3.2</v>
      </c>
      <c r="S751" s="51" t="str">
        <f>IF(tblWorkPackages[[#This Row],[Request date serial]]&lt;ValidationStart,"Train 2024",IF(tblWorkPackages[[#This Row],[Request date serial]]&lt;HoldoutStart,"Validation H1","Holdout H2"))</f>
        <v>Validation H1</v>
      </c>
      <c r="T751" s="51">
        <f>IF(tblWorkPackages[[#This Row],[Time split]]="Train 2024","",tblWorkPackages[[#This Row],[Estimated labor hours]]+VLOOKUP(tblWorkPackages[[#This Row],[Task type]],'Forecast validation'!$A$14:$E$25,IF(tblWorkPackages[[#This Row],[Time split]]="Validation H1",4,5),FALSE()))</f>
        <v>17.6547368421053</v>
      </c>
      <c r="U751" s="51">
        <f>IF(tblWorkPackages[[#This Row],[Calibrated forecast hours]]="","",ABS(tblWorkPackages[[#This Row],[Actual labor hours]]-tblWorkPackages[[#This Row],[Calibrated forecast hours]]))</f>
        <v>3.95473684210526</v>
      </c>
      <c r="V751" s="51">
        <f>IF(tblWorkPackages[[#This Row],[Time split]]="Train 2024",tblWorkPackages[[#This Row],[Estimated labor hours]],tblWorkPackages[[#This Row],[Calibrated forecast hours]])</f>
        <v>17.6547368421053</v>
      </c>
      <c r="W751" s="64">
        <f>DATEVALUE(tblWorkPackages[[#This Row],[Request date]])</f>
        <v>45770.0</v>
      </c>
      <c r="X751" s="64">
        <f>DATEVALUE(tblWorkPackages[[#This Row],[Due date]])</f>
        <v>45783.0</v>
      </c>
      <c r="Y751" s="64">
        <f>DATEVALUE(tblWorkPackages[[#This Row],[Completion date]])</f>
        <v>45778.0</v>
      </c>
      <c r="Z751" s="64">
        <f>_xlfn.MINIFS(tblLaborEntries[Work date serial],tblLaborEntries[Work package ID],tblWorkPackages[[#This Row],[Work package ID]])</f>
        <v>45775.0</v>
      </c>
      <c r="AA751" s="64">
        <f>_xlfn.MAXIFS(tblLaborEntries[Work date serial],tblLaborEntries[Work package ID],tblWorkPackages[[#This Row],[Work package ID]])</f>
        <v>45777.0</v>
      </c>
      <c r="AB751" s="65">
        <f>IF(tblWorkPackages[[#This Row],[Completion date serial]]&gt;tblWorkPackages[[#This Row],[Due date serial]],1,0)</f>
        <v>0</v>
      </c>
      <c r="AC751" s="65">
        <f>MAX(0,tblWorkPackages[[#This Row],[Completion date serial]]-tblWorkPackages[[#This Row],[Due date serial]])</f>
        <v>0</v>
      </c>
      <c r="AD751" s="65">
        <f>tblWorkPackages[[#This Row],[First labor date]]-tblWorkPackages[[#This Row],[Request date serial]]</f>
        <v>5</v>
      </c>
      <c r="AE751" s="65">
        <f>tblWorkPackages[[#This Row],[Last labor date]]-tblWorkPackages[[#This Row],[First labor date]]</f>
        <v>2</v>
      </c>
      <c r="AF751" s="65">
        <f>tblWorkPackages[[#This Row],[Completion date serial]]-tblWorkPackages[[#This Row],[Last labor date]]</f>
        <v>1</v>
      </c>
      <c r="AG751" s="65">
        <f>tblWorkPackages[[#This Row],[Completion date serial]]-tblWorkPackages[[#This Row],[Request date serial]]</f>
        <v>8</v>
      </c>
      <c r="AH751" s="65">
        <f>IFERROR(INDEX(tblParts[Delay days],MATCH(tblWorkPackages[[#This Row],[Work package ID]],tblParts[Work package ID],0)),0)</f>
        <v>0</v>
      </c>
      <c r="AI751" s="51" t="str">
        <f>IFERROR(INDEX(tblDisruptions[Event type],MATCH(tblWorkPackages[[#This Row],[Work package ID]],tblDisruptions[Work package ID],0)),"None")</f>
        <v>None</v>
      </c>
      <c r="AJ751" s="51" t="str">
        <f>TEXT(tblWorkPackages[[#This Row],[Due date serial]],"yyyy-mm")</f>
        <v>2025-05</v>
      </c>
    </row>
    <row r="752" spans="1:36" ht="15" x14ac:dyDescent="0.25">
      <c r="A752" s="53" t="s">
        <v>1623</v>
      </c>
      <c r="B752" s="53" t="s">
        <v>287</v>
      </c>
      <c r="C752" s="53" t="s">
        <v>686</v>
      </c>
      <c r="D752" s="53" t="s">
        <v>1624</v>
      </c>
      <c r="E752" s="53" t="s">
        <v>223</v>
      </c>
      <c r="F752" s="53" t="s">
        <v>182</v>
      </c>
      <c r="G752" s="53" t="s">
        <v>154</v>
      </c>
      <c r="H752" s="53">
        <v>4</v>
      </c>
      <c r="I752" s="53" t="s">
        <v>130</v>
      </c>
      <c r="J752" s="53">
        <v>0</v>
      </c>
      <c r="K752" s="53">
        <v>1</v>
      </c>
      <c r="L752" s="53">
        <v>25.7</v>
      </c>
      <c r="M752" s="53" t="s">
        <v>270</v>
      </c>
      <c r="N752" s="53">
        <v>22.8</v>
      </c>
      <c r="O752" s="51" t="str">
        <f>TEXT(tblWorkPackages[[#This Row],[Request date serial]]-WEEKDAY(tblWorkPackages[[#This Row],[Request date serial]],3),"yyyy-mm-dd")</f>
        <v>2025-03-24</v>
      </c>
      <c r="P752" s="51">
        <f>ABS(tblWorkPackages[[#This Row],[Actual labor hours]]-tblWorkPackages[[#This Row],[Estimated labor hours]])</f>
        <v>2.9</v>
      </c>
      <c r="Q752" s="51">
        <f>IF(tblWorkPackages[[#This Row],[Actual labor hours]]&gt;tblWorkPackages[[#This Row],[Estimated labor hours]],1,0)</f>
        <v>0</v>
      </c>
      <c r="R752" s="51">
        <f>tblWorkPackages[[#This Row],[Actual labor hours]]-tblWorkPackages[[#This Row],[Estimated labor hours]]</f>
        <v>-2.9</v>
      </c>
      <c r="S752" s="51" t="str">
        <f>IF(tblWorkPackages[[#This Row],[Request date serial]]&lt;ValidationStart,"Train 2024",IF(tblWorkPackages[[#This Row],[Request date serial]]&lt;HoldoutStart,"Validation H1","Holdout H2"))</f>
        <v>Validation H1</v>
      </c>
      <c r="T752" s="51">
        <f>IF(tblWorkPackages[[#This Row],[Time split]]="Train 2024","",tblWorkPackages[[#This Row],[Estimated labor hours]]+VLOOKUP(tblWorkPackages[[#This Row],[Task type]],'Forecast validation'!$A$14:$E$25,IF(tblWorkPackages[[#This Row],[Time split]]="Validation H1",4,5),FALSE()))</f>
        <v>26.5824175824176</v>
      </c>
      <c r="U752" s="51">
        <f>IF(tblWorkPackages[[#This Row],[Calibrated forecast hours]]="","",ABS(tblWorkPackages[[#This Row],[Actual labor hours]]-tblWorkPackages[[#This Row],[Calibrated forecast hours]]))</f>
        <v>3.78241758241758</v>
      </c>
      <c r="V752" s="51">
        <f>IF(tblWorkPackages[[#This Row],[Time split]]="Train 2024",tblWorkPackages[[#This Row],[Estimated labor hours]],tblWorkPackages[[#This Row],[Calibrated forecast hours]])</f>
        <v>26.5824175824176</v>
      </c>
      <c r="W752" s="64">
        <f>DATEVALUE(tblWorkPackages[[#This Row],[Request date]])</f>
        <v>45743.0</v>
      </c>
      <c r="X752" s="64">
        <f>DATEVALUE(tblWorkPackages[[#This Row],[Due date]])</f>
        <v>45756.0</v>
      </c>
      <c r="Y752" s="64">
        <f>DATEVALUE(tblWorkPackages[[#This Row],[Completion date]])</f>
        <v>45748.0</v>
      </c>
      <c r="Z752" s="64">
        <f>_xlfn.MINIFS(tblLaborEntries[Work date serial],tblLaborEntries[Work package ID],tblWorkPackages[[#This Row],[Work package ID]])</f>
        <v>45745.0</v>
      </c>
      <c r="AA752" s="64">
        <f>_xlfn.MAXIFS(tblLaborEntries[Work date serial],tblLaborEntries[Work package ID],tblWorkPackages[[#This Row],[Work package ID]])</f>
        <v>45746.0</v>
      </c>
      <c r="AB752" s="65">
        <f>IF(tblWorkPackages[[#This Row],[Completion date serial]]&gt;tblWorkPackages[[#This Row],[Due date serial]],1,0)</f>
        <v>0</v>
      </c>
      <c r="AC752" s="65">
        <f>MAX(0,tblWorkPackages[[#This Row],[Completion date serial]]-tblWorkPackages[[#This Row],[Due date serial]])</f>
        <v>0</v>
      </c>
      <c r="AD752" s="65">
        <f>tblWorkPackages[[#This Row],[First labor date]]-tblWorkPackages[[#This Row],[Request date serial]]</f>
        <v>2</v>
      </c>
      <c r="AE752" s="65">
        <f>tblWorkPackages[[#This Row],[Last labor date]]-tblWorkPackages[[#This Row],[First labor date]]</f>
        <v>1</v>
      </c>
      <c r="AF752" s="65">
        <f>tblWorkPackages[[#This Row],[Completion date serial]]-tblWorkPackages[[#This Row],[Last labor date]]</f>
        <v>2</v>
      </c>
      <c r="AG752" s="65">
        <f>tblWorkPackages[[#This Row],[Completion date serial]]-tblWorkPackages[[#This Row],[Request date serial]]</f>
        <v>5</v>
      </c>
      <c r="AH752" s="65">
        <f>IFERROR(INDEX(tblParts[Delay days],MATCH(tblWorkPackages[[#This Row],[Work package ID]],tblParts[Work package ID],0)),0)</f>
        <v>0</v>
      </c>
      <c r="AI752" s="51" t="str">
        <f>IFERROR(INDEX(tblDisruptions[Event type],MATCH(tblWorkPackages[[#This Row],[Work package ID]],tblDisruptions[Work package ID],0)),"None")</f>
        <v>None</v>
      </c>
      <c r="AJ752" s="51" t="str">
        <f>TEXT(tblWorkPackages[[#This Row],[Due date serial]],"yyyy-mm")</f>
        <v>2025-04</v>
      </c>
    </row>
    <row r="753" spans="1:36" ht="15" x14ac:dyDescent="0.25">
      <c r="A753" s="53" t="s">
        <v>1625</v>
      </c>
      <c r="B753" s="53" t="s">
        <v>168</v>
      </c>
      <c r="C753" s="53" t="s">
        <v>1218</v>
      </c>
      <c r="D753" s="53" t="s">
        <v>784</v>
      </c>
      <c r="E753" s="53" t="s">
        <v>153</v>
      </c>
      <c r="F753" s="53" t="s">
        <v>128</v>
      </c>
      <c r="G753" s="53" t="s">
        <v>154</v>
      </c>
      <c r="H753" s="53">
        <v>3</v>
      </c>
      <c r="I753" s="53" t="s">
        <v>176</v>
      </c>
      <c r="J753" s="53">
        <v>0</v>
      </c>
      <c r="K753" s="53">
        <v>0</v>
      </c>
      <c r="L753" s="53">
        <v>14.9</v>
      </c>
      <c r="M753" s="53" t="s">
        <v>916</v>
      </c>
      <c r="N753" s="53">
        <v>19</v>
      </c>
      <c r="O753" s="51" t="str">
        <f>TEXT(tblWorkPackages[[#This Row],[Request date serial]]-WEEKDAY(tblWorkPackages[[#This Row],[Request date serial]],3),"yyyy-mm-dd")</f>
        <v>2025-04-07</v>
      </c>
      <c r="P753" s="51">
        <f>ABS(tblWorkPackages[[#This Row],[Actual labor hours]]-tblWorkPackages[[#This Row],[Estimated labor hours]])</f>
        <v>4.1</v>
      </c>
      <c r="Q753" s="51">
        <f>IF(tblWorkPackages[[#This Row],[Actual labor hours]]&gt;tblWorkPackages[[#This Row],[Estimated labor hours]],1,0)</f>
        <v>1</v>
      </c>
      <c r="R753" s="51">
        <f>tblWorkPackages[[#This Row],[Actual labor hours]]-tblWorkPackages[[#This Row],[Estimated labor hours]]</f>
        <v>4.1</v>
      </c>
      <c r="S753" s="51" t="str">
        <f>IF(tblWorkPackages[[#This Row],[Request date serial]]&lt;ValidationStart,"Train 2024",IF(tblWorkPackages[[#This Row],[Request date serial]]&lt;HoldoutStart,"Validation H1","Holdout H2"))</f>
        <v>Validation H1</v>
      </c>
      <c r="T753" s="51">
        <f>IF(tblWorkPackages[[#This Row],[Time split]]="Train 2024","",tblWorkPackages[[#This Row],[Estimated labor hours]]+VLOOKUP(tblWorkPackages[[#This Row],[Task type]],'Forecast validation'!$A$14:$E$25,IF(tblWorkPackages[[#This Row],[Time split]]="Validation H1",4,5),FALSE()))</f>
        <v>15.4462264150943</v>
      </c>
      <c r="U753" s="51">
        <f>IF(tblWorkPackages[[#This Row],[Calibrated forecast hours]]="","",ABS(tblWorkPackages[[#This Row],[Actual labor hours]]-tblWorkPackages[[#This Row],[Calibrated forecast hours]]))</f>
        <v>3.55377358490566</v>
      </c>
      <c r="V753" s="51">
        <f>IF(tblWorkPackages[[#This Row],[Time split]]="Train 2024",tblWorkPackages[[#This Row],[Estimated labor hours]],tblWorkPackages[[#This Row],[Calibrated forecast hours]])</f>
        <v>15.4462264150943</v>
      </c>
      <c r="W753" s="64">
        <f>DATEVALUE(tblWorkPackages[[#This Row],[Request date]])</f>
        <v>45759.0</v>
      </c>
      <c r="X753" s="64">
        <f>DATEVALUE(tblWorkPackages[[#This Row],[Due date]])</f>
        <v>45765.0</v>
      </c>
      <c r="Y753" s="64">
        <f>DATEVALUE(tblWorkPackages[[#This Row],[Completion date]])</f>
        <v>45777.0</v>
      </c>
      <c r="Z753" s="64">
        <f>_xlfn.MINIFS(tblLaborEntries[Work date serial],tblLaborEntries[Work package ID],tblWorkPackages[[#This Row],[Work package ID]])</f>
        <v>45773.0</v>
      </c>
      <c r="AA753" s="64">
        <f>_xlfn.MAXIFS(tblLaborEntries[Work date serial],tblLaborEntries[Work package ID],tblWorkPackages[[#This Row],[Work package ID]])</f>
        <v>45774.0</v>
      </c>
      <c r="AB753" s="65">
        <f>IF(tblWorkPackages[[#This Row],[Completion date serial]]&gt;tblWorkPackages[[#This Row],[Due date serial]],1,0)</f>
        <v>1</v>
      </c>
      <c r="AC753" s="65">
        <f>MAX(0,tblWorkPackages[[#This Row],[Completion date serial]]-tblWorkPackages[[#This Row],[Due date serial]])</f>
        <v>12</v>
      </c>
      <c r="AD753" s="65">
        <f>tblWorkPackages[[#This Row],[First labor date]]-tblWorkPackages[[#This Row],[Request date serial]]</f>
        <v>14</v>
      </c>
      <c r="AE753" s="65">
        <f>tblWorkPackages[[#This Row],[Last labor date]]-tblWorkPackages[[#This Row],[First labor date]]</f>
        <v>1</v>
      </c>
      <c r="AF753" s="65">
        <f>tblWorkPackages[[#This Row],[Completion date serial]]-tblWorkPackages[[#This Row],[Last labor date]]</f>
        <v>3</v>
      </c>
      <c r="AG753" s="65">
        <f>tblWorkPackages[[#This Row],[Completion date serial]]-tblWorkPackages[[#This Row],[Request date serial]]</f>
        <v>18</v>
      </c>
      <c r="AH753" s="65">
        <f>IFERROR(INDEX(tblParts[Delay days],MATCH(tblWorkPackages[[#This Row],[Work package ID]],tblParts[Work package ID],0)),0)</f>
        <v>0</v>
      </c>
      <c r="AI753" s="51" t="str">
        <f>IFERROR(INDEX(tblDisruptions[Event type],MATCH(tblWorkPackages[[#This Row],[Work package ID]],tblDisruptions[Work package ID],0)),"None")</f>
        <v>None</v>
      </c>
      <c r="AJ753" s="51" t="str">
        <f>TEXT(tblWorkPackages[[#This Row],[Due date serial]],"yyyy-mm")</f>
        <v>2025-04</v>
      </c>
    </row>
    <row r="754" spans="1:36" ht="15" x14ac:dyDescent="0.25">
      <c r="A754" s="53" t="s">
        <v>1626</v>
      </c>
      <c r="B754" s="53" t="s">
        <v>173</v>
      </c>
      <c r="C754" s="53" t="s">
        <v>1627</v>
      </c>
      <c r="D754" s="53" t="s">
        <v>413</v>
      </c>
      <c r="E754" s="53" t="s">
        <v>272</v>
      </c>
      <c r="F754" s="53" t="s">
        <v>145</v>
      </c>
      <c r="G754" s="53" t="s">
        <v>273</v>
      </c>
      <c r="H754" s="53">
        <v>1</v>
      </c>
      <c r="I754" s="53" t="s">
        <v>130</v>
      </c>
      <c r="J754" s="53">
        <v>0</v>
      </c>
      <c r="K754" s="53">
        <v>1</v>
      </c>
      <c r="L754" s="53">
        <v>7.6</v>
      </c>
      <c r="M754" s="53" t="s">
        <v>291</v>
      </c>
      <c r="N754" s="53">
        <v>7.8</v>
      </c>
      <c r="O754" s="51" t="str">
        <f>TEXT(tblWorkPackages[[#This Row],[Request date serial]]-WEEKDAY(tblWorkPackages[[#This Row],[Request date serial]],3),"yyyy-mm-dd")</f>
        <v>2025-02-10</v>
      </c>
      <c r="P754" s="51">
        <f>ABS(tblWorkPackages[[#This Row],[Actual labor hours]]-tblWorkPackages[[#This Row],[Estimated labor hours]])</f>
        <v>0.2</v>
      </c>
      <c r="Q754" s="51">
        <f>IF(tblWorkPackages[[#This Row],[Actual labor hours]]&gt;tblWorkPackages[[#This Row],[Estimated labor hours]],1,0)</f>
        <v>1</v>
      </c>
      <c r="R754" s="51">
        <f>tblWorkPackages[[#This Row],[Actual labor hours]]-tblWorkPackages[[#This Row],[Estimated labor hours]]</f>
        <v>0.2</v>
      </c>
      <c r="S754" s="51" t="str">
        <f>IF(tblWorkPackages[[#This Row],[Request date serial]]&lt;ValidationStart,"Train 2024",IF(tblWorkPackages[[#This Row],[Request date serial]]&lt;HoldoutStart,"Validation H1","Holdout H2"))</f>
        <v>Validation H1</v>
      </c>
      <c r="T754" s="51">
        <f>IF(tblWorkPackages[[#This Row],[Time split]]="Train 2024","",tblWorkPackages[[#This Row],[Estimated labor hours]]+VLOOKUP(tblWorkPackages[[#This Row],[Task type]],'Forecast validation'!$A$14:$E$25,IF(tblWorkPackages[[#This Row],[Time split]]="Validation H1",4,5),FALSE()))</f>
        <v>8.63205128205128</v>
      </c>
      <c r="U754" s="51">
        <f>IF(tblWorkPackages[[#This Row],[Calibrated forecast hours]]="","",ABS(tblWorkPackages[[#This Row],[Actual labor hours]]-tblWorkPackages[[#This Row],[Calibrated forecast hours]]))</f>
        <v>0.832051282051283</v>
      </c>
      <c r="V754" s="51">
        <f>IF(tblWorkPackages[[#This Row],[Time split]]="Train 2024",tblWorkPackages[[#This Row],[Estimated labor hours]],tblWorkPackages[[#This Row],[Calibrated forecast hours]])</f>
        <v>8.63205128205128</v>
      </c>
      <c r="W754" s="64">
        <f>DATEVALUE(tblWorkPackages[[#This Row],[Request date]])</f>
        <v>45704.0</v>
      </c>
      <c r="X754" s="64">
        <f>DATEVALUE(tblWorkPackages[[#This Row],[Due date]])</f>
        <v>45717.0</v>
      </c>
      <c r="Y754" s="64">
        <f>DATEVALUE(tblWorkPackages[[#This Row],[Completion date]])</f>
        <v>45709.0</v>
      </c>
      <c r="Z754" s="64">
        <f>_xlfn.MINIFS(tblLaborEntries[Work date serial],tblLaborEntries[Work package ID],tblWorkPackages[[#This Row],[Work package ID]])</f>
        <v>45708.0</v>
      </c>
      <c r="AA754" s="64">
        <f>_xlfn.MAXIFS(tblLaborEntries[Work date serial],tblLaborEntries[Work package ID],tblWorkPackages[[#This Row],[Work package ID]])</f>
        <v>45709.0</v>
      </c>
      <c r="AB754" s="65">
        <f>IF(tblWorkPackages[[#This Row],[Completion date serial]]&gt;tblWorkPackages[[#This Row],[Due date serial]],1,0)</f>
        <v>0</v>
      </c>
      <c r="AC754" s="65">
        <f>MAX(0,tblWorkPackages[[#This Row],[Completion date serial]]-tblWorkPackages[[#This Row],[Due date serial]])</f>
        <v>0</v>
      </c>
      <c r="AD754" s="65">
        <f>tblWorkPackages[[#This Row],[First labor date]]-tblWorkPackages[[#This Row],[Request date serial]]</f>
        <v>4</v>
      </c>
      <c r="AE754" s="65">
        <f>tblWorkPackages[[#This Row],[Last labor date]]-tblWorkPackages[[#This Row],[First labor date]]</f>
        <v>1</v>
      </c>
      <c r="AF754" s="65">
        <f>tblWorkPackages[[#This Row],[Completion date serial]]-tblWorkPackages[[#This Row],[Last labor date]]</f>
        <v>0</v>
      </c>
      <c r="AG754" s="65">
        <f>tblWorkPackages[[#This Row],[Completion date serial]]-tblWorkPackages[[#This Row],[Request date serial]]</f>
        <v>5</v>
      </c>
      <c r="AH754" s="65">
        <f>IFERROR(INDEX(tblParts[Delay days],MATCH(tblWorkPackages[[#This Row],[Work package ID]],tblParts[Work package ID],0)),0)</f>
        <v>0</v>
      </c>
      <c r="AI754" s="51" t="str">
        <f>IFERROR(INDEX(tblDisruptions[Event type],MATCH(tblWorkPackages[[#This Row],[Work package ID]],tblDisruptions[Work package ID],0)),"None")</f>
        <v>None</v>
      </c>
      <c r="AJ754" s="51" t="str">
        <f>TEXT(tblWorkPackages[[#This Row],[Due date serial]],"yyyy-mm")</f>
        <v>2025-03</v>
      </c>
    </row>
    <row r="755" spans="1:36" ht="15" x14ac:dyDescent="0.25">
      <c r="A755" s="53" t="s">
        <v>1628</v>
      </c>
      <c r="B755" s="53" t="s">
        <v>133</v>
      </c>
      <c r="C755" s="53" t="s">
        <v>832</v>
      </c>
      <c r="D755" s="53" t="s">
        <v>833</v>
      </c>
      <c r="E755" s="53" t="s">
        <v>242</v>
      </c>
      <c r="F755" s="53" t="s">
        <v>243</v>
      </c>
      <c r="G755" s="53" t="s">
        <v>129</v>
      </c>
      <c r="H755" s="53">
        <v>2</v>
      </c>
      <c r="I755" s="53" t="s">
        <v>130</v>
      </c>
      <c r="J755" s="53">
        <v>1</v>
      </c>
      <c r="K755" s="53">
        <v>0</v>
      </c>
      <c r="L755" s="53">
        <v>7.3</v>
      </c>
      <c r="M755" s="53" t="s">
        <v>1048</v>
      </c>
      <c r="N755" s="53">
        <v>7.2</v>
      </c>
      <c r="O755" s="51" t="str">
        <f>TEXT(tblWorkPackages[[#This Row],[Request date serial]]-WEEKDAY(tblWorkPackages[[#This Row],[Request date serial]],3),"yyyy-mm-dd")</f>
        <v>2025-10-27</v>
      </c>
      <c r="P755" s="51">
        <f>ABS(tblWorkPackages[[#This Row],[Actual labor hours]]-tblWorkPackages[[#This Row],[Estimated labor hours]])</f>
        <v>0.0999999999999996</v>
      </c>
      <c r="Q755" s="51">
        <f>IF(tblWorkPackages[[#This Row],[Actual labor hours]]&gt;tblWorkPackages[[#This Row],[Estimated labor hours]],1,0)</f>
        <v>0</v>
      </c>
      <c r="R755" s="51">
        <f>tblWorkPackages[[#This Row],[Actual labor hours]]-tblWorkPackages[[#This Row],[Estimated labor hours]]</f>
        <v>-0.0999999999999996</v>
      </c>
      <c r="S755" s="51" t="str">
        <f>IF(tblWorkPackages[[#This Row],[Request date serial]]&lt;ValidationStart,"Train 2024",IF(tblWorkPackages[[#This Row],[Request date serial]]&lt;HoldoutStart,"Validation H1","Holdout H2"))</f>
        <v>Holdout H2</v>
      </c>
      <c r="T755" s="51">
        <f>IF(tblWorkPackages[[#This Row],[Time split]]="Train 2024","",tblWorkPackages[[#This Row],[Estimated labor hours]]+VLOOKUP(tblWorkPackages[[#This Row],[Task type]],'Forecast validation'!$A$14:$E$25,IF(tblWorkPackages[[#This Row],[Time split]]="Validation H1",4,5),FALSE()))</f>
        <v>8.12545454545455</v>
      </c>
      <c r="U755" s="51">
        <f>IF(tblWorkPackages[[#This Row],[Calibrated forecast hours]]="","",ABS(tblWorkPackages[[#This Row],[Actual labor hours]]-tblWorkPackages[[#This Row],[Calibrated forecast hours]]))</f>
        <v>0.925454545454545</v>
      </c>
      <c r="V755" s="51">
        <f>IF(tblWorkPackages[[#This Row],[Time split]]="Train 2024",tblWorkPackages[[#This Row],[Estimated labor hours]],tblWorkPackages[[#This Row],[Calibrated forecast hours]])</f>
        <v>8.12545454545455</v>
      </c>
      <c r="W755" s="64">
        <f>DATEVALUE(tblWorkPackages[[#This Row],[Request date]])</f>
        <v>45963.0</v>
      </c>
      <c r="X755" s="64">
        <f>DATEVALUE(tblWorkPackages[[#This Row],[Due date]])</f>
        <v>45976.0</v>
      </c>
      <c r="Y755" s="64">
        <f>DATEVALUE(tblWorkPackages[[#This Row],[Completion date]])</f>
        <v>46024.0</v>
      </c>
      <c r="Z755" s="64">
        <f>_xlfn.MINIFS(tblLaborEntries[Work date serial],tblLaborEntries[Work package ID],tblWorkPackages[[#This Row],[Work package ID]])</f>
        <v>46023.0</v>
      </c>
      <c r="AA755" s="64">
        <f>_xlfn.MAXIFS(tblLaborEntries[Work date serial],tblLaborEntries[Work package ID],tblWorkPackages[[#This Row],[Work package ID]])</f>
        <v>46023.0</v>
      </c>
      <c r="AB755" s="65">
        <f>IF(tblWorkPackages[[#This Row],[Completion date serial]]&gt;tblWorkPackages[[#This Row],[Due date serial]],1,0)</f>
        <v>1</v>
      </c>
      <c r="AC755" s="65">
        <f>MAX(0,tblWorkPackages[[#This Row],[Completion date serial]]-tblWorkPackages[[#This Row],[Due date serial]])</f>
        <v>48</v>
      </c>
      <c r="AD755" s="65">
        <f>tblWorkPackages[[#This Row],[First labor date]]-tblWorkPackages[[#This Row],[Request date serial]]</f>
        <v>60</v>
      </c>
      <c r="AE755" s="65">
        <f>tblWorkPackages[[#This Row],[Last labor date]]-tblWorkPackages[[#This Row],[First labor date]]</f>
        <v>0</v>
      </c>
      <c r="AF755" s="65">
        <f>tblWorkPackages[[#This Row],[Completion date serial]]-tblWorkPackages[[#This Row],[Last labor date]]</f>
        <v>1</v>
      </c>
      <c r="AG755" s="65">
        <f>tblWorkPackages[[#This Row],[Completion date serial]]-tblWorkPackages[[#This Row],[Request date serial]]</f>
        <v>61</v>
      </c>
      <c r="AH755" s="65">
        <f>IFERROR(INDEX(tblParts[Delay days],MATCH(tblWorkPackages[[#This Row],[Work package ID]],tblParts[Work package ID],0)),0)</f>
        <v>0</v>
      </c>
      <c r="AI755" s="51" t="str">
        <f>IFERROR(INDEX(tblDisruptions[Event type],MATCH(tblWorkPackages[[#This Row],[Work package ID]],tblDisruptions[Work package ID],0)),"None")</f>
        <v>None</v>
      </c>
      <c r="AJ755" s="51" t="str">
        <f>TEXT(tblWorkPackages[[#This Row],[Due date serial]],"yyyy-mm")</f>
        <v>2025-11</v>
      </c>
    </row>
    <row r="756" spans="1:36" ht="15" x14ac:dyDescent="0.25">
      <c r="A756" s="53" t="s">
        <v>1629</v>
      </c>
      <c r="B756" s="53" t="s">
        <v>124</v>
      </c>
      <c r="C756" s="53" t="s">
        <v>870</v>
      </c>
      <c r="D756" s="53" t="s">
        <v>590</v>
      </c>
      <c r="E756" s="53" t="s">
        <v>153</v>
      </c>
      <c r="F756" s="53" t="s">
        <v>128</v>
      </c>
      <c r="G756" s="53" t="s">
        <v>154</v>
      </c>
      <c r="H756" s="53">
        <v>3</v>
      </c>
      <c r="I756" s="53" t="s">
        <v>130</v>
      </c>
      <c r="J756" s="53">
        <v>0</v>
      </c>
      <c r="K756" s="53">
        <v>0</v>
      </c>
      <c r="L756" s="53">
        <v>14.6</v>
      </c>
      <c r="M756" s="53" t="s">
        <v>447</v>
      </c>
      <c r="N756" s="53">
        <v>12</v>
      </c>
      <c r="O756" s="51" t="str">
        <f>TEXT(tblWorkPackages[[#This Row],[Request date serial]]-WEEKDAY(tblWorkPackages[[#This Row],[Request date serial]],3),"yyyy-mm-dd")</f>
        <v>2025-03-10</v>
      </c>
      <c r="P756" s="51">
        <f>ABS(tblWorkPackages[[#This Row],[Actual labor hours]]-tblWorkPackages[[#This Row],[Estimated labor hours]])</f>
        <v>2.6</v>
      </c>
      <c r="Q756" s="51">
        <f>IF(tblWorkPackages[[#This Row],[Actual labor hours]]&gt;tblWorkPackages[[#This Row],[Estimated labor hours]],1,0)</f>
        <v>0</v>
      </c>
      <c r="R756" s="51">
        <f>tblWorkPackages[[#This Row],[Actual labor hours]]-tblWorkPackages[[#This Row],[Estimated labor hours]]</f>
        <v>-2.6</v>
      </c>
      <c r="S756" s="51" t="str">
        <f>IF(tblWorkPackages[[#This Row],[Request date serial]]&lt;ValidationStart,"Train 2024",IF(tblWorkPackages[[#This Row],[Request date serial]]&lt;HoldoutStart,"Validation H1","Holdout H2"))</f>
        <v>Validation H1</v>
      </c>
      <c r="T756" s="51">
        <f>IF(tblWorkPackages[[#This Row],[Time split]]="Train 2024","",tblWorkPackages[[#This Row],[Estimated labor hours]]+VLOOKUP(tblWorkPackages[[#This Row],[Task type]],'Forecast validation'!$A$14:$E$25,IF(tblWorkPackages[[#This Row],[Time split]]="Validation H1",4,5),FALSE()))</f>
        <v>15.1462264150943</v>
      </c>
      <c r="U756" s="51">
        <f>IF(tblWorkPackages[[#This Row],[Calibrated forecast hours]]="","",ABS(tblWorkPackages[[#This Row],[Actual labor hours]]-tblWorkPackages[[#This Row],[Calibrated forecast hours]]))</f>
        <v>3.14622641509434</v>
      </c>
      <c r="V756" s="51">
        <f>IF(tblWorkPackages[[#This Row],[Time split]]="Train 2024",tblWorkPackages[[#This Row],[Estimated labor hours]],tblWorkPackages[[#This Row],[Calibrated forecast hours]])</f>
        <v>15.1462264150943</v>
      </c>
      <c r="W756" s="64">
        <f>DATEVALUE(tblWorkPackages[[#This Row],[Request date]])</f>
        <v>45732.0</v>
      </c>
      <c r="X756" s="64">
        <f>DATEVALUE(tblWorkPackages[[#This Row],[Due date]])</f>
        <v>45745.0</v>
      </c>
      <c r="Y756" s="64">
        <f>DATEVALUE(tblWorkPackages[[#This Row],[Completion date]])</f>
        <v>45744.0</v>
      </c>
      <c r="Z756" s="64">
        <f>_xlfn.MINIFS(tblLaborEntries[Work date serial],tblLaborEntries[Work package ID],tblWorkPackages[[#This Row],[Work package ID]])</f>
        <v>45741.0</v>
      </c>
      <c r="AA756" s="64">
        <f>_xlfn.MAXIFS(tblLaborEntries[Work date serial],tblLaborEntries[Work package ID],tblWorkPackages[[#This Row],[Work package ID]])</f>
        <v>45742.0</v>
      </c>
      <c r="AB756" s="65">
        <f>IF(tblWorkPackages[[#This Row],[Completion date serial]]&gt;tblWorkPackages[[#This Row],[Due date serial]],1,0)</f>
        <v>0</v>
      </c>
      <c r="AC756" s="65">
        <f>MAX(0,tblWorkPackages[[#This Row],[Completion date serial]]-tblWorkPackages[[#This Row],[Due date serial]])</f>
        <v>0</v>
      </c>
      <c r="AD756" s="65">
        <f>tblWorkPackages[[#This Row],[First labor date]]-tblWorkPackages[[#This Row],[Request date serial]]</f>
        <v>9</v>
      </c>
      <c r="AE756" s="65">
        <f>tblWorkPackages[[#This Row],[Last labor date]]-tblWorkPackages[[#This Row],[First labor date]]</f>
        <v>1</v>
      </c>
      <c r="AF756" s="65">
        <f>tblWorkPackages[[#This Row],[Completion date serial]]-tblWorkPackages[[#This Row],[Last labor date]]</f>
        <v>2</v>
      </c>
      <c r="AG756" s="65">
        <f>tblWorkPackages[[#This Row],[Completion date serial]]-tblWorkPackages[[#This Row],[Request date serial]]</f>
        <v>12</v>
      </c>
      <c r="AH756" s="65">
        <f>IFERROR(INDEX(tblParts[Delay days],MATCH(tblWorkPackages[[#This Row],[Work package ID]],tblParts[Work package ID],0)),0)</f>
        <v>0</v>
      </c>
      <c r="AI756" s="51" t="str">
        <f>IFERROR(INDEX(tblDisruptions[Event type],MATCH(tblWorkPackages[[#This Row],[Work package ID]],tblDisruptions[Work package ID],0)),"None")</f>
        <v>None</v>
      </c>
      <c r="AJ756" s="51" t="str">
        <f>TEXT(tblWorkPackages[[#This Row],[Due date serial]],"yyyy-mm")</f>
        <v>2025-03</v>
      </c>
    </row>
    <row r="757" spans="1:36" ht="15" x14ac:dyDescent="0.25">
      <c r="A757" s="53" t="s">
        <v>1630</v>
      </c>
      <c r="B757" s="53" t="s">
        <v>250</v>
      </c>
      <c r="C757" s="53" t="s">
        <v>906</v>
      </c>
      <c r="D757" s="53" t="s">
        <v>518</v>
      </c>
      <c r="E757" s="53" t="s">
        <v>237</v>
      </c>
      <c r="F757" s="53" t="s">
        <v>182</v>
      </c>
      <c r="G757" s="53" t="s">
        <v>138</v>
      </c>
      <c r="H757" s="53">
        <v>2</v>
      </c>
      <c r="I757" s="53" t="s">
        <v>130</v>
      </c>
      <c r="J757" s="53">
        <v>1</v>
      </c>
      <c r="K757" s="53">
        <v>0</v>
      </c>
      <c r="L757" s="53">
        <v>5.7</v>
      </c>
      <c r="M757" s="53" t="s">
        <v>1087</v>
      </c>
      <c r="N757" s="53">
        <v>5.6</v>
      </c>
      <c r="O757" s="51" t="str">
        <f>TEXT(tblWorkPackages[[#This Row],[Request date serial]]-WEEKDAY(tblWorkPackages[[#This Row],[Request date serial]],3),"yyyy-mm-dd")</f>
        <v>2025-04-28</v>
      </c>
      <c r="P757" s="51">
        <f>ABS(tblWorkPackages[[#This Row],[Actual labor hours]]-tblWorkPackages[[#This Row],[Estimated labor hours]])</f>
        <v>0.100000000000001</v>
      </c>
      <c r="Q757" s="51">
        <f>IF(tblWorkPackages[[#This Row],[Actual labor hours]]&gt;tblWorkPackages[[#This Row],[Estimated labor hours]],1,0)</f>
        <v>0</v>
      </c>
      <c r="R757" s="51">
        <f>tblWorkPackages[[#This Row],[Actual labor hours]]-tblWorkPackages[[#This Row],[Estimated labor hours]]</f>
        <v>-0.100000000000001</v>
      </c>
      <c r="S757" s="51" t="str">
        <f>IF(tblWorkPackages[[#This Row],[Request date serial]]&lt;ValidationStart,"Train 2024",IF(tblWorkPackages[[#This Row],[Request date serial]]&lt;HoldoutStart,"Validation H1","Holdout H2"))</f>
        <v>Validation H1</v>
      </c>
      <c r="T757" s="51">
        <f>IF(tblWorkPackages[[#This Row],[Time split]]="Train 2024","",tblWorkPackages[[#This Row],[Estimated labor hours]]+VLOOKUP(tblWorkPackages[[#This Row],[Task type]],'Forecast validation'!$A$14:$E$25,IF(tblWorkPackages[[#This Row],[Time split]]="Validation H1",4,5),FALSE()))</f>
        <v>6.2037037037037</v>
      </c>
      <c r="U757" s="51">
        <f>IF(tblWorkPackages[[#This Row],[Calibrated forecast hours]]="","",ABS(tblWorkPackages[[#This Row],[Actual labor hours]]-tblWorkPackages[[#This Row],[Calibrated forecast hours]]))</f>
        <v>0.603703703703705</v>
      </c>
      <c r="V757" s="51">
        <f>IF(tblWorkPackages[[#This Row],[Time split]]="Train 2024",tblWorkPackages[[#This Row],[Estimated labor hours]],tblWorkPackages[[#This Row],[Calibrated forecast hours]])</f>
        <v>6.2037037037037</v>
      </c>
      <c r="W757" s="64">
        <f>DATEVALUE(tblWorkPackages[[#This Row],[Request date]])</f>
        <v>45781.0</v>
      </c>
      <c r="X757" s="64">
        <f>DATEVALUE(tblWorkPackages[[#This Row],[Due date]])</f>
        <v>45794.0</v>
      </c>
      <c r="Y757" s="64">
        <f>DATEVALUE(tblWorkPackages[[#This Row],[Completion date]])</f>
        <v>45787.0</v>
      </c>
      <c r="Z757" s="64">
        <f>_xlfn.MINIFS(tblLaborEntries[Work date serial],tblLaborEntries[Work package ID],tblWorkPackages[[#This Row],[Work package ID]])</f>
        <v>45783.0</v>
      </c>
      <c r="AA757" s="64">
        <f>_xlfn.MAXIFS(tblLaborEntries[Work date serial],tblLaborEntries[Work package ID],tblWorkPackages[[#This Row],[Work package ID]])</f>
        <v>45784.0</v>
      </c>
      <c r="AB757" s="65">
        <f>IF(tblWorkPackages[[#This Row],[Completion date serial]]&gt;tblWorkPackages[[#This Row],[Due date serial]],1,0)</f>
        <v>0</v>
      </c>
      <c r="AC757" s="65">
        <f>MAX(0,tblWorkPackages[[#This Row],[Completion date serial]]-tblWorkPackages[[#This Row],[Due date serial]])</f>
        <v>0</v>
      </c>
      <c r="AD757" s="65">
        <f>tblWorkPackages[[#This Row],[First labor date]]-tblWorkPackages[[#This Row],[Request date serial]]</f>
        <v>2</v>
      </c>
      <c r="AE757" s="65">
        <f>tblWorkPackages[[#This Row],[Last labor date]]-tblWorkPackages[[#This Row],[First labor date]]</f>
        <v>1</v>
      </c>
      <c r="AF757" s="65">
        <f>tblWorkPackages[[#This Row],[Completion date serial]]-tblWorkPackages[[#This Row],[Last labor date]]</f>
        <v>3</v>
      </c>
      <c r="AG757" s="65">
        <f>tblWorkPackages[[#This Row],[Completion date serial]]-tblWorkPackages[[#This Row],[Request date serial]]</f>
        <v>6</v>
      </c>
      <c r="AH757" s="65">
        <f>IFERROR(INDEX(tblParts[Delay days],MATCH(tblWorkPackages[[#This Row],[Work package ID]],tblParts[Work package ID],0)),0)</f>
        <v>0</v>
      </c>
      <c r="AI757" s="51" t="str">
        <f>IFERROR(INDEX(tblDisruptions[Event type],MATCH(tblWorkPackages[[#This Row],[Work package ID]],tblDisruptions[Work package ID],0)),"None")</f>
        <v>None</v>
      </c>
      <c r="AJ757" s="51" t="str">
        <f>TEXT(tblWorkPackages[[#This Row],[Due date serial]],"yyyy-mm")</f>
        <v>2025-05</v>
      </c>
    </row>
    <row r="758" spans="1:36" ht="15" x14ac:dyDescent="0.25">
      <c r="A758" s="53" t="s">
        <v>1631</v>
      </c>
      <c r="B758" s="53" t="s">
        <v>124</v>
      </c>
      <c r="C758" s="53" t="s">
        <v>765</v>
      </c>
      <c r="D758" s="53" t="s">
        <v>358</v>
      </c>
      <c r="E758" s="53" t="s">
        <v>272</v>
      </c>
      <c r="F758" s="53" t="s">
        <v>145</v>
      </c>
      <c r="G758" s="53" t="s">
        <v>273</v>
      </c>
      <c r="H758" s="53">
        <v>1</v>
      </c>
      <c r="I758" s="53" t="s">
        <v>176</v>
      </c>
      <c r="J758" s="53">
        <v>0</v>
      </c>
      <c r="K758" s="53">
        <v>0</v>
      </c>
      <c r="L758" s="53">
        <v>7.2</v>
      </c>
      <c r="M758" s="53" t="s">
        <v>1632</v>
      </c>
      <c r="N758" s="53">
        <v>5.8</v>
      </c>
      <c r="O758" s="51" t="str">
        <f>TEXT(tblWorkPackages[[#This Row],[Request date serial]]-WEEKDAY(tblWorkPackages[[#This Row],[Request date serial]],3),"yyyy-mm-dd")</f>
        <v>2025-12-29</v>
      </c>
      <c r="P758" s="51">
        <f>ABS(tblWorkPackages[[#This Row],[Actual labor hours]]-tblWorkPackages[[#This Row],[Estimated labor hours]])</f>
        <v>1.4</v>
      </c>
      <c r="Q758" s="51">
        <f>IF(tblWorkPackages[[#This Row],[Actual labor hours]]&gt;tblWorkPackages[[#This Row],[Estimated labor hours]],1,0)</f>
        <v>0</v>
      </c>
      <c r="R758" s="51">
        <f>tblWorkPackages[[#This Row],[Actual labor hours]]-tblWorkPackages[[#This Row],[Estimated labor hours]]</f>
        <v>-1.4</v>
      </c>
      <c r="S758" s="51" t="str">
        <f>IF(tblWorkPackages[[#This Row],[Request date serial]]&lt;ValidationStart,"Train 2024",IF(tblWorkPackages[[#This Row],[Request date serial]]&lt;HoldoutStart,"Validation H1","Holdout H2"))</f>
        <v>Holdout H2</v>
      </c>
      <c r="T758" s="51">
        <f>IF(tblWorkPackages[[#This Row],[Time split]]="Train 2024","",tblWorkPackages[[#This Row],[Estimated labor hours]]+VLOOKUP(tblWorkPackages[[#This Row],[Task type]],'Forecast validation'!$A$14:$E$25,IF(tblWorkPackages[[#This Row],[Time split]]="Validation H1",4,5),FALSE()))</f>
        <v>8.18515625</v>
      </c>
      <c r="U758" s="51">
        <f>IF(tblWorkPackages[[#This Row],[Calibrated forecast hours]]="","",ABS(tblWorkPackages[[#This Row],[Actual labor hours]]-tblWorkPackages[[#This Row],[Calibrated forecast hours]]))</f>
        <v>2.38515625</v>
      </c>
      <c r="V758" s="51">
        <f>IF(tblWorkPackages[[#This Row],[Time split]]="Train 2024",tblWorkPackages[[#This Row],[Estimated labor hours]],tblWorkPackages[[#This Row],[Calibrated forecast hours]])</f>
        <v>8.18515625</v>
      </c>
      <c r="W758" s="64">
        <f>DATEVALUE(tblWorkPackages[[#This Row],[Request date]])</f>
        <v>46020.0</v>
      </c>
      <c r="X758" s="64">
        <f>DATEVALUE(tblWorkPackages[[#This Row],[Due date]])</f>
        <v>46026.0</v>
      </c>
      <c r="Y758" s="64">
        <f>DATEVALUE(tblWorkPackages[[#This Row],[Completion date]])</f>
        <v>46045.0</v>
      </c>
      <c r="Z758" s="64">
        <f>_xlfn.MINIFS(tblLaborEntries[Work date serial],tblLaborEntries[Work package ID],tblWorkPackages[[#This Row],[Work package ID]])</f>
        <v>46043.0</v>
      </c>
      <c r="AA758" s="64">
        <f>_xlfn.MAXIFS(tblLaborEntries[Work date serial],tblLaborEntries[Work package ID],tblWorkPackages[[#This Row],[Work package ID]])</f>
        <v>46045.0</v>
      </c>
      <c r="AB758" s="65">
        <f>IF(tblWorkPackages[[#This Row],[Completion date serial]]&gt;tblWorkPackages[[#This Row],[Due date serial]],1,0)</f>
        <v>1</v>
      </c>
      <c r="AC758" s="65">
        <f>MAX(0,tblWorkPackages[[#This Row],[Completion date serial]]-tblWorkPackages[[#This Row],[Due date serial]])</f>
        <v>19</v>
      </c>
      <c r="AD758" s="65">
        <f>tblWorkPackages[[#This Row],[First labor date]]-tblWorkPackages[[#This Row],[Request date serial]]</f>
        <v>23</v>
      </c>
      <c r="AE758" s="65">
        <f>tblWorkPackages[[#This Row],[Last labor date]]-tblWorkPackages[[#This Row],[First labor date]]</f>
        <v>2</v>
      </c>
      <c r="AF758" s="65">
        <f>tblWorkPackages[[#This Row],[Completion date serial]]-tblWorkPackages[[#This Row],[Last labor date]]</f>
        <v>0</v>
      </c>
      <c r="AG758" s="65">
        <f>tblWorkPackages[[#This Row],[Completion date serial]]-tblWorkPackages[[#This Row],[Request date serial]]</f>
        <v>25</v>
      </c>
      <c r="AH758" s="65">
        <f>IFERROR(INDEX(tblParts[Delay days],MATCH(tblWorkPackages[[#This Row],[Work package ID]],tblParts[Work package ID],0)),0)</f>
        <v>0</v>
      </c>
      <c r="AI758" s="51" t="str">
        <f>IFERROR(INDEX(tblDisruptions[Event type],MATCH(tblWorkPackages[[#This Row],[Work package ID]],tblDisruptions[Work package ID],0)),"None")</f>
        <v>None</v>
      </c>
      <c r="AJ758" s="51" t="str">
        <f>TEXT(tblWorkPackages[[#This Row],[Due date serial]],"yyyy-mm")</f>
        <v>2026-01</v>
      </c>
    </row>
    <row r="759" spans="1:36" ht="15" x14ac:dyDescent="0.25">
      <c r="A759" s="53" t="s">
        <v>1633</v>
      </c>
      <c r="B759" s="53" t="s">
        <v>141</v>
      </c>
      <c r="C759" s="53" t="s">
        <v>667</v>
      </c>
      <c r="D759" s="53" t="s">
        <v>668</v>
      </c>
      <c r="E759" s="53" t="s">
        <v>272</v>
      </c>
      <c r="F759" s="53" t="s">
        <v>145</v>
      </c>
      <c r="G759" s="53" t="s">
        <v>273</v>
      </c>
      <c r="H759" s="53">
        <v>1</v>
      </c>
      <c r="I759" s="53" t="s">
        <v>176</v>
      </c>
      <c r="J759" s="53">
        <v>0</v>
      </c>
      <c r="K759" s="53">
        <v>0</v>
      </c>
      <c r="L759" s="53">
        <v>8.1999999999999993</v>
      </c>
      <c r="M759" s="53" t="s">
        <v>613</v>
      </c>
      <c r="N759" s="53">
        <v>7.5</v>
      </c>
      <c r="O759" s="51" t="str">
        <f>TEXT(tblWorkPackages[[#This Row],[Request date serial]]-WEEKDAY(tblWorkPackages[[#This Row],[Request date serial]],3),"yyyy-mm-dd")</f>
        <v>2024-03-18</v>
      </c>
      <c r="P759" s="51">
        <f>ABS(tblWorkPackages[[#This Row],[Actual labor hours]]-tblWorkPackages[[#This Row],[Estimated labor hours]])</f>
        <v>0.699999999999999</v>
      </c>
      <c r="Q759" s="51">
        <f>IF(tblWorkPackages[[#This Row],[Actual labor hours]]&gt;tblWorkPackages[[#This Row],[Estimated labor hours]],1,0)</f>
        <v>0</v>
      </c>
      <c r="R759" s="51">
        <f>tblWorkPackages[[#This Row],[Actual labor hours]]-tblWorkPackages[[#This Row],[Estimated labor hours]]</f>
        <v>-0.699999999999999</v>
      </c>
      <c r="S759" s="51" t="str">
        <f>IF(tblWorkPackages[[#This Row],[Request date serial]]&lt;ValidationStart,"Train 2024",IF(tblWorkPackages[[#This Row],[Request date serial]]&lt;HoldoutStart,"Validation H1","Holdout H2"))</f>
        <v>Train 2024</v>
      </c>
      <c r="T759" s="51" t="str">
        <f>IF(tblWorkPackages[[#This Row],[Time split]]="Train 2024","",tblWorkPackages[[#This Row],[Estimated labor hours]]+VLOOKUP(tblWorkPackages[[#This Row],[Task type]],'Forecast validation'!$A$14:$E$25,IF(tblWorkPackages[[#This Row],[Time split]]="Validation H1",4,5),FALSE()))</f>
        <v/>
      </c>
      <c r="U759" s="51" t="str">
        <f>IF(tblWorkPackages[[#This Row],[Calibrated forecast hours]]="","",ABS(tblWorkPackages[[#This Row],[Actual labor hours]]-tblWorkPackages[[#This Row],[Calibrated forecast hours]]))</f>
        <v/>
      </c>
      <c r="V759" s="51">
        <f>IF(tblWorkPackages[[#This Row],[Time split]]="Train 2024",tblWorkPackages[[#This Row],[Estimated labor hours]],tblWorkPackages[[#This Row],[Calibrated forecast hours]])</f>
        <v>8.2</v>
      </c>
      <c r="W759" s="64">
        <f>DATEVALUE(tblWorkPackages[[#This Row],[Request date]])</f>
        <v>45373.0</v>
      </c>
      <c r="X759" s="64">
        <f>DATEVALUE(tblWorkPackages[[#This Row],[Due date]])</f>
        <v>45379.0</v>
      </c>
      <c r="Y759" s="64">
        <f>DATEVALUE(tblWorkPackages[[#This Row],[Completion date]])</f>
        <v>45380.0</v>
      </c>
      <c r="Z759" s="64">
        <f>_xlfn.MINIFS(tblLaborEntries[Work date serial],tblLaborEntries[Work package ID],tblWorkPackages[[#This Row],[Work package ID]])</f>
        <v>45377.0</v>
      </c>
      <c r="AA759" s="64">
        <f>_xlfn.MAXIFS(tblLaborEntries[Work date serial],tblLaborEntries[Work package ID],tblWorkPackages[[#This Row],[Work package ID]])</f>
        <v>45379.0</v>
      </c>
      <c r="AB759" s="65">
        <f>IF(tblWorkPackages[[#This Row],[Completion date serial]]&gt;tblWorkPackages[[#This Row],[Due date serial]],1,0)</f>
        <v>1</v>
      </c>
      <c r="AC759" s="65">
        <f>MAX(0,tblWorkPackages[[#This Row],[Completion date serial]]-tblWorkPackages[[#This Row],[Due date serial]])</f>
        <v>1</v>
      </c>
      <c r="AD759" s="65">
        <f>tblWorkPackages[[#This Row],[First labor date]]-tblWorkPackages[[#This Row],[Request date serial]]</f>
        <v>4</v>
      </c>
      <c r="AE759" s="65">
        <f>tblWorkPackages[[#This Row],[Last labor date]]-tblWorkPackages[[#This Row],[First labor date]]</f>
        <v>2</v>
      </c>
      <c r="AF759" s="65">
        <f>tblWorkPackages[[#This Row],[Completion date serial]]-tblWorkPackages[[#This Row],[Last labor date]]</f>
        <v>1</v>
      </c>
      <c r="AG759" s="65">
        <f>tblWorkPackages[[#This Row],[Completion date serial]]-tblWorkPackages[[#This Row],[Request date serial]]</f>
        <v>7</v>
      </c>
      <c r="AH759" s="65">
        <f>IFERROR(INDEX(tblParts[Delay days],MATCH(tblWorkPackages[[#This Row],[Work package ID]],tblParts[Work package ID],0)),0)</f>
        <v>0</v>
      </c>
      <c r="AI759" s="51" t="str">
        <f>IFERROR(INDEX(tblDisruptions[Event type],MATCH(tblWorkPackages[[#This Row],[Work package ID]],tblDisruptions[Work package ID],0)),"None")</f>
        <v>None</v>
      </c>
      <c r="AJ759" s="51" t="str">
        <f>TEXT(tblWorkPackages[[#This Row],[Due date serial]],"yyyy-mm")</f>
        <v>2024-03</v>
      </c>
    </row>
    <row r="760" spans="1:36" ht="15" x14ac:dyDescent="0.25">
      <c r="A760" s="53" t="s">
        <v>1634</v>
      </c>
      <c r="B760" s="53" t="s">
        <v>168</v>
      </c>
      <c r="C760" s="53" t="s">
        <v>794</v>
      </c>
      <c r="D760" s="53" t="s">
        <v>1038</v>
      </c>
      <c r="E760" s="53" t="s">
        <v>181</v>
      </c>
      <c r="F760" s="53" t="s">
        <v>182</v>
      </c>
      <c r="G760" s="53" t="s">
        <v>138</v>
      </c>
      <c r="H760" s="53">
        <v>3</v>
      </c>
      <c r="I760" s="53" t="s">
        <v>130</v>
      </c>
      <c r="J760" s="53">
        <v>0</v>
      </c>
      <c r="K760" s="53">
        <v>1</v>
      </c>
      <c r="L760" s="53">
        <v>9.5</v>
      </c>
      <c r="M760" s="53" t="s">
        <v>1230</v>
      </c>
      <c r="N760" s="53">
        <v>8.3000000000000007</v>
      </c>
      <c r="O760" s="51" t="str">
        <f>TEXT(tblWorkPackages[[#This Row],[Request date serial]]-WEEKDAY(tblWorkPackages[[#This Row],[Request date serial]],3),"yyyy-mm-dd")</f>
        <v>2024-11-11</v>
      </c>
      <c r="P760" s="51">
        <f>ABS(tblWorkPackages[[#This Row],[Actual labor hours]]-tblWorkPackages[[#This Row],[Estimated labor hours]])</f>
        <v>1.2</v>
      </c>
      <c r="Q760" s="51">
        <f>IF(tblWorkPackages[[#This Row],[Actual labor hours]]&gt;tblWorkPackages[[#This Row],[Estimated labor hours]],1,0)</f>
        <v>0</v>
      </c>
      <c r="R760" s="51">
        <f>tblWorkPackages[[#This Row],[Actual labor hours]]-tblWorkPackages[[#This Row],[Estimated labor hours]]</f>
        <v>-1.2</v>
      </c>
      <c r="S760" s="51" t="str">
        <f>IF(tblWorkPackages[[#This Row],[Request date serial]]&lt;ValidationStart,"Train 2024",IF(tblWorkPackages[[#This Row],[Request date serial]]&lt;HoldoutStart,"Validation H1","Holdout H2"))</f>
        <v>Train 2024</v>
      </c>
      <c r="T760" s="51" t="str">
        <f>IF(tblWorkPackages[[#This Row],[Time split]]="Train 2024","",tblWorkPackages[[#This Row],[Estimated labor hours]]+VLOOKUP(tblWorkPackages[[#This Row],[Task type]],'Forecast validation'!$A$14:$E$25,IF(tblWorkPackages[[#This Row],[Time split]]="Validation H1",4,5),FALSE()))</f>
        <v/>
      </c>
      <c r="U760" s="51" t="str">
        <f>IF(tblWorkPackages[[#This Row],[Calibrated forecast hours]]="","",ABS(tblWorkPackages[[#This Row],[Actual labor hours]]-tblWorkPackages[[#This Row],[Calibrated forecast hours]]))</f>
        <v/>
      </c>
      <c r="V760" s="51">
        <f>IF(tblWorkPackages[[#This Row],[Time split]]="Train 2024",tblWorkPackages[[#This Row],[Estimated labor hours]],tblWorkPackages[[#This Row],[Calibrated forecast hours]])</f>
        <v>9.5</v>
      </c>
      <c r="W760" s="64">
        <f>DATEVALUE(tblWorkPackages[[#This Row],[Request date]])</f>
        <v>45610.0</v>
      </c>
      <c r="X760" s="64">
        <f>DATEVALUE(tblWorkPackages[[#This Row],[Due date]])</f>
        <v>45623.0</v>
      </c>
      <c r="Y760" s="64">
        <f>DATEVALUE(tblWorkPackages[[#This Row],[Completion date]])</f>
        <v>45615.0</v>
      </c>
      <c r="Z760" s="64">
        <f>_xlfn.MINIFS(tblLaborEntries[Work date serial],tblLaborEntries[Work package ID],tblWorkPackages[[#This Row],[Work package ID]])</f>
        <v>45611.0</v>
      </c>
      <c r="AA760" s="64">
        <f>_xlfn.MAXIFS(tblLaborEntries[Work date serial],tblLaborEntries[Work package ID],tblWorkPackages[[#This Row],[Work package ID]])</f>
        <v>45613.0</v>
      </c>
      <c r="AB760" s="65">
        <f>IF(tblWorkPackages[[#This Row],[Completion date serial]]&gt;tblWorkPackages[[#This Row],[Due date serial]],1,0)</f>
        <v>0</v>
      </c>
      <c r="AC760" s="65">
        <f>MAX(0,tblWorkPackages[[#This Row],[Completion date serial]]-tblWorkPackages[[#This Row],[Due date serial]])</f>
        <v>0</v>
      </c>
      <c r="AD760" s="65">
        <f>tblWorkPackages[[#This Row],[First labor date]]-tblWorkPackages[[#This Row],[Request date serial]]</f>
        <v>1</v>
      </c>
      <c r="AE760" s="65">
        <f>tblWorkPackages[[#This Row],[Last labor date]]-tblWorkPackages[[#This Row],[First labor date]]</f>
        <v>2</v>
      </c>
      <c r="AF760" s="65">
        <f>tblWorkPackages[[#This Row],[Completion date serial]]-tblWorkPackages[[#This Row],[Last labor date]]</f>
        <v>2</v>
      </c>
      <c r="AG760" s="65">
        <f>tblWorkPackages[[#This Row],[Completion date serial]]-tblWorkPackages[[#This Row],[Request date serial]]</f>
        <v>5</v>
      </c>
      <c r="AH760" s="65">
        <f>IFERROR(INDEX(tblParts[Delay days],MATCH(tblWorkPackages[[#This Row],[Work package ID]],tblParts[Work package ID],0)),0)</f>
        <v>0</v>
      </c>
      <c r="AI760" s="51" t="str">
        <f>IFERROR(INDEX(tblDisruptions[Event type],MATCH(tblWorkPackages[[#This Row],[Work package ID]],tblDisruptions[Work package ID],0)),"None")</f>
        <v>None</v>
      </c>
      <c r="AJ760" s="51" t="str">
        <f>TEXT(tblWorkPackages[[#This Row],[Due date serial]],"yyyy-mm")</f>
        <v>2024-11</v>
      </c>
    </row>
    <row r="761" spans="1:36" ht="15" x14ac:dyDescent="0.25">
      <c r="A761" s="53" t="s">
        <v>1635</v>
      </c>
      <c r="B761" s="53" t="s">
        <v>124</v>
      </c>
      <c r="C761" s="53" t="s">
        <v>1154</v>
      </c>
      <c r="D761" s="53" t="s">
        <v>227</v>
      </c>
      <c r="E761" s="53" t="s">
        <v>181</v>
      </c>
      <c r="F761" s="53" t="s">
        <v>182</v>
      </c>
      <c r="G761" s="53" t="s">
        <v>138</v>
      </c>
      <c r="H761" s="53">
        <v>4</v>
      </c>
      <c r="I761" s="53" t="s">
        <v>176</v>
      </c>
      <c r="J761" s="53">
        <v>0</v>
      </c>
      <c r="K761" s="53">
        <v>1</v>
      </c>
      <c r="L761" s="53">
        <v>14.3</v>
      </c>
      <c r="M761" s="53" t="s">
        <v>583</v>
      </c>
      <c r="N761" s="53">
        <v>19.7</v>
      </c>
      <c r="O761" s="51" t="str">
        <f>TEXT(tblWorkPackages[[#This Row],[Request date serial]]-WEEKDAY(tblWorkPackages[[#This Row],[Request date serial]],3),"yyyy-mm-dd")</f>
        <v>2025-07-21</v>
      </c>
      <c r="P761" s="51">
        <f>ABS(tblWorkPackages[[#This Row],[Actual labor hours]]-tblWorkPackages[[#This Row],[Estimated labor hours]])</f>
        <v>5.4</v>
      </c>
      <c r="Q761" s="51">
        <f>IF(tblWorkPackages[[#This Row],[Actual labor hours]]&gt;tblWorkPackages[[#This Row],[Estimated labor hours]],1,0)</f>
        <v>1</v>
      </c>
      <c r="R761" s="51">
        <f>tblWorkPackages[[#This Row],[Actual labor hours]]-tblWorkPackages[[#This Row],[Estimated labor hours]]</f>
        <v>5.4</v>
      </c>
      <c r="S761" s="51" t="str">
        <f>IF(tblWorkPackages[[#This Row],[Request date serial]]&lt;ValidationStart,"Train 2024",IF(tblWorkPackages[[#This Row],[Request date serial]]&lt;HoldoutStart,"Validation H1","Holdout H2"))</f>
        <v>Holdout H2</v>
      </c>
      <c r="T761" s="51">
        <f>IF(tblWorkPackages[[#This Row],[Time split]]="Train 2024","",tblWorkPackages[[#This Row],[Estimated labor hours]]+VLOOKUP(tblWorkPackages[[#This Row],[Task type]],'Forecast validation'!$A$14:$E$25,IF(tblWorkPackages[[#This Row],[Time split]]="Validation H1",4,5),FALSE()))</f>
        <v>14.8916083916084</v>
      </c>
      <c r="U761" s="51">
        <f>IF(tblWorkPackages[[#This Row],[Calibrated forecast hours]]="","",ABS(tblWorkPackages[[#This Row],[Actual labor hours]]-tblWorkPackages[[#This Row],[Calibrated forecast hours]]))</f>
        <v>4.80839160839161</v>
      </c>
      <c r="V761" s="51">
        <f>IF(tblWorkPackages[[#This Row],[Time split]]="Train 2024",tblWorkPackages[[#This Row],[Estimated labor hours]],tblWorkPackages[[#This Row],[Calibrated forecast hours]])</f>
        <v>14.8916083916084</v>
      </c>
      <c r="W761" s="64">
        <f>DATEVALUE(tblWorkPackages[[#This Row],[Request date]])</f>
        <v>45864.0</v>
      </c>
      <c r="X761" s="64">
        <f>DATEVALUE(tblWorkPackages[[#This Row],[Due date]])</f>
        <v>45870.0</v>
      </c>
      <c r="Y761" s="64">
        <f>DATEVALUE(tblWorkPackages[[#This Row],[Completion date]])</f>
        <v>45885.0</v>
      </c>
      <c r="Z761" s="64">
        <f>_xlfn.MINIFS(tblLaborEntries[Work date serial],tblLaborEntries[Work package ID],tblWorkPackages[[#This Row],[Work package ID]])</f>
        <v>45881.0</v>
      </c>
      <c r="AA761" s="64">
        <f>_xlfn.MAXIFS(tblLaborEntries[Work date serial],tblLaborEntries[Work package ID],tblWorkPackages[[#This Row],[Work package ID]])</f>
        <v>45882.0</v>
      </c>
      <c r="AB761" s="65">
        <f>IF(tblWorkPackages[[#This Row],[Completion date serial]]&gt;tblWorkPackages[[#This Row],[Due date serial]],1,0)</f>
        <v>1</v>
      </c>
      <c r="AC761" s="65">
        <f>MAX(0,tblWorkPackages[[#This Row],[Completion date serial]]-tblWorkPackages[[#This Row],[Due date serial]])</f>
        <v>15</v>
      </c>
      <c r="AD761" s="65">
        <f>tblWorkPackages[[#This Row],[First labor date]]-tblWorkPackages[[#This Row],[Request date serial]]</f>
        <v>17</v>
      </c>
      <c r="AE761" s="65">
        <f>tblWorkPackages[[#This Row],[Last labor date]]-tblWorkPackages[[#This Row],[First labor date]]</f>
        <v>1</v>
      </c>
      <c r="AF761" s="65">
        <f>tblWorkPackages[[#This Row],[Completion date serial]]-tblWorkPackages[[#This Row],[Last labor date]]</f>
        <v>3</v>
      </c>
      <c r="AG761" s="65">
        <f>tblWorkPackages[[#This Row],[Completion date serial]]-tblWorkPackages[[#This Row],[Request date serial]]</f>
        <v>21</v>
      </c>
      <c r="AH761" s="65">
        <f>IFERROR(INDEX(tblParts[Delay days],MATCH(tblWorkPackages[[#This Row],[Work package ID]],tblParts[Work package ID],0)),0)</f>
        <v>5</v>
      </c>
      <c r="AI761" s="51" t="str">
        <f>IFERROR(INDEX(tblDisruptions[Event type],MATCH(tblWorkPackages[[#This Row],[Work package ID]],tblDisruptions[Work package ID],0)),"None")</f>
        <v>Part delay</v>
      </c>
      <c r="AJ761" s="51" t="str">
        <f>TEXT(tblWorkPackages[[#This Row],[Due date serial]],"yyyy-mm")</f>
        <v>2025-08</v>
      </c>
    </row>
    <row r="762" spans="1:36" ht="15" x14ac:dyDescent="0.25">
      <c r="A762" s="53" t="s">
        <v>1636</v>
      </c>
      <c r="B762" s="53" t="s">
        <v>185</v>
      </c>
      <c r="C762" s="53" t="s">
        <v>481</v>
      </c>
      <c r="D762" s="53" t="s">
        <v>1028</v>
      </c>
      <c r="E762" s="53" t="s">
        <v>144</v>
      </c>
      <c r="F762" s="53" t="s">
        <v>145</v>
      </c>
      <c r="G762" s="53" t="s">
        <v>146</v>
      </c>
      <c r="H762" s="53">
        <v>2</v>
      </c>
      <c r="I762" s="53" t="s">
        <v>130</v>
      </c>
      <c r="J762" s="53">
        <v>0</v>
      </c>
      <c r="K762" s="53">
        <v>1</v>
      </c>
      <c r="L762" s="53">
        <v>9.9</v>
      </c>
      <c r="M762" s="53" t="s">
        <v>1028</v>
      </c>
      <c r="N762" s="53">
        <v>10.7</v>
      </c>
      <c r="O762" s="51" t="str">
        <f>TEXT(tblWorkPackages[[#This Row],[Request date serial]]-WEEKDAY(tblWorkPackages[[#This Row],[Request date serial]],3),"yyyy-mm-dd")</f>
        <v>2025-11-03</v>
      </c>
      <c r="P762" s="51">
        <f>ABS(tblWorkPackages[[#This Row],[Actual labor hours]]-tblWorkPackages[[#This Row],[Estimated labor hours]])</f>
        <v>0.799999999999999</v>
      </c>
      <c r="Q762" s="51">
        <f>IF(tblWorkPackages[[#This Row],[Actual labor hours]]&gt;tblWorkPackages[[#This Row],[Estimated labor hours]],1,0)</f>
        <v>1</v>
      </c>
      <c r="R762" s="51">
        <f>tblWorkPackages[[#This Row],[Actual labor hours]]-tblWorkPackages[[#This Row],[Estimated labor hours]]</f>
        <v>0.799999999999999</v>
      </c>
      <c r="S762" s="51" t="str">
        <f>IF(tblWorkPackages[[#This Row],[Request date serial]]&lt;ValidationStart,"Train 2024",IF(tblWorkPackages[[#This Row],[Request date serial]]&lt;HoldoutStart,"Validation H1","Holdout H2"))</f>
        <v>Holdout H2</v>
      </c>
      <c r="T762" s="51">
        <f>IF(tblWorkPackages[[#This Row],[Time split]]="Train 2024","",tblWorkPackages[[#This Row],[Estimated labor hours]]+VLOOKUP(tblWorkPackages[[#This Row],[Task type]],'Forecast validation'!$A$14:$E$25,IF(tblWorkPackages[[#This Row],[Time split]]="Validation H1",4,5),FALSE()))</f>
        <v>10.8735483870968</v>
      </c>
      <c r="U762" s="51">
        <f>IF(tblWorkPackages[[#This Row],[Calibrated forecast hours]]="","",ABS(tblWorkPackages[[#This Row],[Actual labor hours]]-tblWorkPackages[[#This Row],[Calibrated forecast hours]]))</f>
        <v>0.173548387096776</v>
      </c>
      <c r="V762" s="51">
        <f>IF(tblWorkPackages[[#This Row],[Time split]]="Train 2024",tblWorkPackages[[#This Row],[Estimated labor hours]],tblWorkPackages[[#This Row],[Calibrated forecast hours]])</f>
        <v>10.8735483870968</v>
      </c>
      <c r="W762" s="64">
        <f>DATEVALUE(tblWorkPackages[[#This Row],[Request date]])</f>
        <v>45968.0</v>
      </c>
      <c r="X762" s="64">
        <f>DATEVALUE(tblWorkPackages[[#This Row],[Due date]])</f>
        <v>45981.0</v>
      </c>
      <c r="Y762" s="64">
        <f>DATEVALUE(tblWorkPackages[[#This Row],[Completion date]])</f>
        <v>45981.0</v>
      </c>
      <c r="Z762" s="64">
        <f>_xlfn.MINIFS(tblLaborEntries[Work date serial],tblLaborEntries[Work package ID],tblWorkPackages[[#This Row],[Work package ID]])</f>
        <v>45979.0</v>
      </c>
      <c r="AA762" s="64">
        <f>_xlfn.MAXIFS(tblLaborEntries[Work date serial],tblLaborEntries[Work package ID],tblWorkPackages[[#This Row],[Work package ID]])</f>
        <v>45981.0</v>
      </c>
      <c r="AB762" s="65">
        <f>IF(tblWorkPackages[[#This Row],[Completion date serial]]&gt;tblWorkPackages[[#This Row],[Due date serial]],1,0)</f>
        <v>0</v>
      </c>
      <c r="AC762" s="65">
        <f>MAX(0,tblWorkPackages[[#This Row],[Completion date serial]]-tblWorkPackages[[#This Row],[Due date serial]])</f>
        <v>0</v>
      </c>
      <c r="AD762" s="65">
        <f>tblWorkPackages[[#This Row],[First labor date]]-tblWorkPackages[[#This Row],[Request date serial]]</f>
        <v>11</v>
      </c>
      <c r="AE762" s="65">
        <f>tblWorkPackages[[#This Row],[Last labor date]]-tblWorkPackages[[#This Row],[First labor date]]</f>
        <v>2</v>
      </c>
      <c r="AF762" s="65">
        <f>tblWorkPackages[[#This Row],[Completion date serial]]-tblWorkPackages[[#This Row],[Last labor date]]</f>
        <v>0</v>
      </c>
      <c r="AG762" s="65">
        <f>tblWorkPackages[[#This Row],[Completion date serial]]-tblWorkPackages[[#This Row],[Request date serial]]</f>
        <v>13</v>
      </c>
      <c r="AH762" s="65">
        <f>IFERROR(INDEX(tblParts[Delay days],MATCH(tblWorkPackages[[#This Row],[Work package ID]],tblParts[Work package ID],0)),0)</f>
        <v>8</v>
      </c>
      <c r="AI762" s="51" t="str">
        <f>IFERROR(INDEX(tblDisruptions[Event type],MATCH(tblWorkPackages[[#This Row],[Work package ID]],tblDisruptions[Work package ID],0)),"None")</f>
        <v>Part delay</v>
      </c>
      <c r="AJ762" s="51" t="str">
        <f>TEXT(tblWorkPackages[[#This Row],[Due date serial]],"yyyy-mm")</f>
        <v>2025-11</v>
      </c>
    </row>
    <row r="763" spans="1:36" ht="15" x14ac:dyDescent="0.25">
      <c r="A763" s="53" t="s">
        <v>1637</v>
      </c>
      <c r="B763" s="53" t="s">
        <v>203</v>
      </c>
      <c r="C763" s="53" t="s">
        <v>971</v>
      </c>
      <c r="D763" s="53" t="s">
        <v>1108</v>
      </c>
      <c r="E763" s="53" t="s">
        <v>181</v>
      </c>
      <c r="F763" s="53" t="s">
        <v>182</v>
      </c>
      <c r="G763" s="53" t="s">
        <v>138</v>
      </c>
      <c r="H763" s="53">
        <v>4</v>
      </c>
      <c r="I763" s="53" t="s">
        <v>130</v>
      </c>
      <c r="J763" s="53">
        <v>0</v>
      </c>
      <c r="K763" s="53">
        <v>1</v>
      </c>
      <c r="L763" s="53">
        <v>14.3</v>
      </c>
      <c r="M763" s="53" t="s">
        <v>303</v>
      </c>
      <c r="N763" s="53">
        <v>17.100000000000001</v>
      </c>
      <c r="O763" s="51" t="str">
        <f>TEXT(tblWorkPackages[[#This Row],[Request date serial]]-WEEKDAY(tblWorkPackages[[#This Row],[Request date serial]],3),"yyyy-mm-dd")</f>
        <v>2024-05-06</v>
      </c>
      <c r="P763" s="51">
        <f>ABS(tblWorkPackages[[#This Row],[Actual labor hours]]-tblWorkPackages[[#This Row],[Estimated labor hours]])</f>
        <v>2.8</v>
      </c>
      <c r="Q763" s="51">
        <f>IF(tblWorkPackages[[#This Row],[Actual labor hours]]&gt;tblWorkPackages[[#This Row],[Estimated labor hours]],1,0)</f>
        <v>1</v>
      </c>
      <c r="R763" s="51">
        <f>tblWorkPackages[[#This Row],[Actual labor hours]]-tblWorkPackages[[#This Row],[Estimated labor hours]]</f>
        <v>2.8</v>
      </c>
      <c r="S763" s="51" t="str">
        <f>IF(tblWorkPackages[[#This Row],[Request date serial]]&lt;ValidationStart,"Train 2024",IF(tblWorkPackages[[#This Row],[Request date serial]]&lt;HoldoutStart,"Validation H1","Holdout H2"))</f>
        <v>Train 2024</v>
      </c>
      <c r="T763" s="51" t="str">
        <f>IF(tblWorkPackages[[#This Row],[Time split]]="Train 2024","",tblWorkPackages[[#This Row],[Estimated labor hours]]+VLOOKUP(tblWorkPackages[[#This Row],[Task type]],'Forecast validation'!$A$14:$E$25,IF(tblWorkPackages[[#This Row],[Time split]]="Validation H1",4,5),FALSE()))</f>
        <v/>
      </c>
      <c r="U763" s="51" t="str">
        <f>IF(tblWorkPackages[[#This Row],[Calibrated forecast hours]]="","",ABS(tblWorkPackages[[#This Row],[Actual labor hours]]-tblWorkPackages[[#This Row],[Calibrated forecast hours]]))</f>
        <v/>
      </c>
      <c r="V763" s="51">
        <f>IF(tblWorkPackages[[#This Row],[Time split]]="Train 2024",tblWorkPackages[[#This Row],[Estimated labor hours]],tblWorkPackages[[#This Row],[Calibrated forecast hours]])</f>
        <v>14.3</v>
      </c>
      <c r="W763" s="64">
        <f>DATEVALUE(tblWorkPackages[[#This Row],[Request date]])</f>
        <v>45424.0</v>
      </c>
      <c r="X763" s="64">
        <f>DATEVALUE(tblWorkPackages[[#This Row],[Due date]])</f>
        <v>45437.0</v>
      </c>
      <c r="Y763" s="64">
        <f>DATEVALUE(tblWorkPackages[[#This Row],[Completion date]])</f>
        <v>45468.0</v>
      </c>
      <c r="Z763" s="64">
        <f>_xlfn.MINIFS(tblLaborEntries[Work date serial],tblLaborEntries[Work package ID],tblWorkPackages[[#This Row],[Work package ID]])</f>
        <v>45467.0</v>
      </c>
      <c r="AA763" s="64">
        <f>_xlfn.MAXIFS(tblLaborEntries[Work date serial],tblLaborEntries[Work package ID],tblWorkPackages[[#This Row],[Work package ID]])</f>
        <v>45467.0</v>
      </c>
      <c r="AB763" s="65">
        <f>IF(tblWorkPackages[[#This Row],[Completion date serial]]&gt;tblWorkPackages[[#This Row],[Due date serial]],1,0)</f>
        <v>1</v>
      </c>
      <c r="AC763" s="65">
        <f>MAX(0,tblWorkPackages[[#This Row],[Completion date serial]]-tblWorkPackages[[#This Row],[Due date serial]])</f>
        <v>31</v>
      </c>
      <c r="AD763" s="65">
        <f>tblWorkPackages[[#This Row],[First labor date]]-tblWorkPackages[[#This Row],[Request date serial]]</f>
        <v>43</v>
      </c>
      <c r="AE763" s="65">
        <f>tblWorkPackages[[#This Row],[Last labor date]]-tblWorkPackages[[#This Row],[First labor date]]</f>
        <v>0</v>
      </c>
      <c r="AF763" s="65">
        <f>tblWorkPackages[[#This Row],[Completion date serial]]-tblWorkPackages[[#This Row],[Last labor date]]</f>
        <v>1</v>
      </c>
      <c r="AG763" s="65">
        <f>tblWorkPackages[[#This Row],[Completion date serial]]-tblWorkPackages[[#This Row],[Request date serial]]</f>
        <v>44</v>
      </c>
      <c r="AH763" s="65">
        <f>IFERROR(INDEX(tblParts[Delay days],MATCH(tblWorkPackages[[#This Row],[Work package ID]],tblParts[Work package ID],0)),0)</f>
        <v>8</v>
      </c>
      <c r="AI763" s="51" t="str">
        <f>IFERROR(INDEX(tblDisruptions[Event type],MATCH(tblWorkPackages[[#This Row],[Work package ID]],tblDisruptions[Work package ID],0)),"None")</f>
        <v>Part delay</v>
      </c>
      <c r="AJ763" s="51" t="str">
        <f>TEXT(tblWorkPackages[[#This Row],[Due date serial]],"yyyy-mm")</f>
        <v>2024-05</v>
      </c>
    </row>
    <row r="764" spans="1:36" ht="15" x14ac:dyDescent="0.25">
      <c r="A764" s="53" t="s">
        <v>1638</v>
      </c>
      <c r="B764" s="53" t="s">
        <v>287</v>
      </c>
      <c r="C764" s="53" t="s">
        <v>690</v>
      </c>
      <c r="D764" s="53" t="s">
        <v>694</v>
      </c>
      <c r="E764" s="53" t="s">
        <v>237</v>
      </c>
      <c r="F764" s="53" t="s">
        <v>182</v>
      </c>
      <c r="G764" s="53" t="s">
        <v>138</v>
      </c>
      <c r="H764" s="53">
        <v>2</v>
      </c>
      <c r="I764" s="53" t="s">
        <v>176</v>
      </c>
      <c r="J764" s="53">
        <v>0</v>
      </c>
      <c r="K764" s="53">
        <v>0</v>
      </c>
      <c r="L764" s="53">
        <v>6</v>
      </c>
      <c r="M764" s="53" t="s">
        <v>1008</v>
      </c>
      <c r="N764" s="53">
        <v>6.9</v>
      </c>
      <c r="O764" s="51" t="str">
        <f>TEXT(tblWorkPackages[[#This Row],[Request date serial]]-WEEKDAY(tblWorkPackages[[#This Row],[Request date serial]],3),"yyyy-mm-dd")</f>
        <v>2024-04-15</v>
      </c>
      <c r="P764" s="51">
        <f>ABS(tblWorkPackages[[#This Row],[Actual labor hours]]-tblWorkPackages[[#This Row],[Estimated labor hours]])</f>
        <v>0.9</v>
      </c>
      <c r="Q764" s="51">
        <f>IF(tblWorkPackages[[#This Row],[Actual labor hours]]&gt;tblWorkPackages[[#This Row],[Estimated labor hours]],1,0)</f>
        <v>1</v>
      </c>
      <c r="R764" s="51">
        <f>tblWorkPackages[[#This Row],[Actual labor hours]]-tblWorkPackages[[#This Row],[Estimated labor hours]]</f>
        <v>0.9</v>
      </c>
      <c r="S764" s="51" t="str">
        <f>IF(tblWorkPackages[[#This Row],[Request date serial]]&lt;ValidationStart,"Train 2024",IF(tblWorkPackages[[#This Row],[Request date serial]]&lt;HoldoutStart,"Validation H1","Holdout H2"))</f>
        <v>Train 2024</v>
      </c>
      <c r="T764" s="51" t="str">
        <f>IF(tblWorkPackages[[#This Row],[Time split]]="Train 2024","",tblWorkPackages[[#This Row],[Estimated labor hours]]+VLOOKUP(tblWorkPackages[[#This Row],[Task type]],'Forecast validation'!$A$14:$E$25,IF(tblWorkPackages[[#This Row],[Time split]]="Validation H1",4,5),FALSE()))</f>
        <v/>
      </c>
      <c r="U764" s="51" t="str">
        <f>IF(tblWorkPackages[[#This Row],[Calibrated forecast hours]]="","",ABS(tblWorkPackages[[#This Row],[Actual labor hours]]-tblWorkPackages[[#This Row],[Calibrated forecast hours]]))</f>
        <v/>
      </c>
      <c r="V764" s="51">
        <f>IF(tblWorkPackages[[#This Row],[Time split]]="Train 2024",tblWorkPackages[[#This Row],[Estimated labor hours]],tblWorkPackages[[#This Row],[Calibrated forecast hours]])</f>
        <v>6</v>
      </c>
      <c r="W764" s="64">
        <f>DATEVALUE(tblWorkPackages[[#This Row],[Request date]])</f>
        <v>45398.0</v>
      </c>
      <c r="X764" s="64">
        <f>DATEVALUE(tblWorkPackages[[#This Row],[Due date]])</f>
        <v>45404.0</v>
      </c>
      <c r="Y764" s="64">
        <f>DATEVALUE(tblWorkPackages[[#This Row],[Completion date]])</f>
        <v>45409.0</v>
      </c>
      <c r="Z764" s="64">
        <f>_xlfn.MINIFS(tblLaborEntries[Work date serial],tblLaborEntries[Work package ID],tblWorkPackages[[#This Row],[Work package ID]])</f>
        <v>45405.0</v>
      </c>
      <c r="AA764" s="64">
        <f>_xlfn.MAXIFS(tblLaborEntries[Work date serial],tblLaborEntries[Work package ID],tblWorkPackages[[#This Row],[Work package ID]])</f>
        <v>45407.0</v>
      </c>
      <c r="AB764" s="65">
        <f>IF(tblWorkPackages[[#This Row],[Completion date serial]]&gt;tblWorkPackages[[#This Row],[Due date serial]],1,0)</f>
        <v>1</v>
      </c>
      <c r="AC764" s="65">
        <f>MAX(0,tblWorkPackages[[#This Row],[Completion date serial]]-tblWorkPackages[[#This Row],[Due date serial]])</f>
        <v>5</v>
      </c>
      <c r="AD764" s="65">
        <f>tblWorkPackages[[#This Row],[First labor date]]-tblWorkPackages[[#This Row],[Request date serial]]</f>
        <v>7</v>
      </c>
      <c r="AE764" s="65">
        <f>tblWorkPackages[[#This Row],[Last labor date]]-tblWorkPackages[[#This Row],[First labor date]]</f>
        <v>2</v>
      </c>
      <c r="AF764" s="65">
        <f>tblWorkPackages[[#This Row],[Completion date serial]]-tblWorkPackages[[#This Row],[Last labor date]]</f>
        <v>2</v>
      </c>
      <c r="AG764" s="65">
        <f>tblWorkPackages[[#This Row],[Completion date serial]]-tblWorkPackages[[#This Row],[Request date serial]]</f>
        <v>11</v>
      </c>
      <c r="AH764" s="65">
        <f>IFERROR(INDEX(tblParts[Delay days],MATCH(tblWorkPackages[[#This Row],[Work package ID]],tblParts[Work package ID],0)),0)</f>
        <v>0</v>
      </c>
      <c r="AI764" s="51" t="str">
        <f>IFERROR(INDEX(tblDisruptions[Event type],MATCH(tblWorkPackages[[#This Row],[Work package ID]],tblDisruptions[Work package ID],0)),"None")</f>
        <v>None</v>
      </c>
      <c r="AJ764" s="51" t="str">
        <f>TEXT(tblWorkPackages[[#This Row],[Due date serial]],"yyyy-mm")</f>
        <v>2024-04</v>
      </c>
    </row>
    <row r="765" spans="1:36" ht="15" x14ac:dyDescent="0.25">
      <c r="A765" s="53" t="s">
        <v>1639</v>
      </c>
      <c r="B765" s="53" t="s">
        <v>235</v>
      </c>
      <c r="C765" s="53" t="s">
        <v>830</v>
      </c>
      <c r="D765" s="53" t="s">
        <v>388</v>
      </c>
      <c r="E765" s="53" t="s">
        <v>223</v>
      </c>
      <c r="F765" s="53" t="s">
        <v>182</v>
      </c>
      <c r="G765" s="53" t="s">
        <v>154</v>
      </c>
      <c r="H765" s="53">
        <v>2</v>
      </c>
      <c r="I765" s="53" t="s">
        <v>130</v>
      </c>
      <c r="J765" s="53">
        <v>0</v>
      </c>
      <c r="K765" s="53">
        <v>0</v>
      </c>
      <c r="L765" s="53">
        <v>11.5</v>
      </c>
      <c r="M765" s="53" t="s">
        <v>1640</v>
      </c>
      <c r="N765" s="53">
        <v>9.1</v>
      </c>
      <c r="O765" s="51" t="str">
        <f>TEXT(tblWorkPackages[[#This Row],[Request date serial]]-WEEKDAY(tblWorkPackages[[#This Row],[Request date serial]],3),"yyyy-mm-dd")</f>
        <v>2024-08-19</v>
      </c>
      <c r="P765" s="51">
        <f>ABS(tblWorkPackages[[#This Row],[Actual labor hours]]-tblWorkPackages[[#This Row],[Estimated labor hours]])</f>
        <v>2.4</v>
      </c>
      <c r="Q765" s="51">
        <f>IF(tblWorkPackages[[#This Row],[Actual labor hours]]&gt;tblWorkPackages[[#This Row],[Estimated labor hours]],1,0)</f>
        <v>0</v>
      </c>
      <c r="R765" s="51">
        <f>tblWorkPackages[[#This Row],[Actual labor hours]]-tblWorkPackages[[#This Row],[Estimated labor hours]]</f>
        <v>-2.4</v>
      </c>
      <c r="S765" s="51" t="str">
        <f>IF(tblWorkPackages[[#This Row],[Request date serial]]&lt;ValidationStart,"Train 2024",IF(tblWorkPackages[[#This Row],[Request date serial]]&lt;HoldoutStart,"Validation H1","Holdout H2"))</f>
        <v>Train 2024</v>
      </c>
      <c r="T765" s="51" t="str">
        <f>IF(tblWorkPackages[[#This Row],[Time split]]="Train 2024","",tblWorkPackages[[#This Row],[Estimated labor hours]]+VLOOKUP(tblWorkPackages[[#This Row],[Task type]],'Forecast validation'!$A$14:$E$25,IF(tblWorkPackages[[#This Row],[Time split]]="Validation H1",4,5),FALSE()))</f>
        <v/>
      </c>
      <c r="U765" s="51" t="str">
        <f>IF(tblWorkPackages[[#This Row],[Calibrated forecast hours]]="","",ABS(tblWorkPackages[[#This Row],[Actual labor hours]]-tblWorkPackages[[#This Row],[Calibrated forecast hours]]))</f>
        <v/>
      </c>
      <c r="V765" s="51">
        <f>IF(tblWorkPackages[[#This Row],[Time split]]="Train 2024",tblWorkPackages[[#This Row],[Estimated labor hours]],tblWorkPackages[[#This Row],[Calibrated forecast hours]])</f>
        <v>11.5</v>
      </c>
      <c r="W765" s="64">
        <f>DATEVALUE(tblWorkPackages[[#This Row],[Request date]])</f>
        <v>45524.0</v>
      </c>
      <c r="X765" s="64">
        <f>DATEVALUE(tblWorkPackages[[#This Row],[Due date]])</f>
        <v>45537.0</v>
      </c>
      <c r="Y765" s="64">
        <f>DATEVALUE(tblWorkPackages[[#This Row],[Completion date]])</f>
        <v>45531.0</v>
      </c>
      <c r="Z765" s="64">
        <f>_xlfn.MINIFS(tblLaborEntries[Work date serial],tblLaborEntries[Work package ID],tblWorkPackages[[#This Row],[Work package ID]])</f>
        <v>45526.0</v>
      </c>
      <c r="AA765" s="64">
        <f>_xlfn.MAXIFS(tblLaborEntries[Work date serial],tblLaborEntries[Work package ID],tblWorkPackages[[#This Row],[Work package ID]])</f>
        <v>45528.0</v>
      </c>
      <c r="AB765" s="65">
        <f>IF(tblWorkPackages[[#This Row],[Completion date serial]]&gt;tblWorkPackages[[#This Row],[Due date serial]],1,0)</f>
        <v>0</v>
      </c>
      <c r="AC765" s="65">
        <f>MAX(0,tblWorkPackages[[#This Row],[Completion date serial]]-tblWorkPackages[[#This Row],[Due date serial]])</f>
        <v>0</v>
      </c>
      <c r="AD765" s="65">
        <f>tblWorkPackages[[#This Row],[First labor date]]-tblWorkPackages[[#This Row],[Request date serial]]</f>
        <v>2</v>
      </c>
      <c r="AE765" s="65">
        <f>tblWorkPackages[[#This Row],[Last labor date]]-tblWorkPackages[[#This Row],[First labor date]]</f>
        <v>2</v>
      </c>
      <c r="AF765" s="65">
        <f>tblWorkPackages[[#This Row],[Completion date serial]]-tblWorkPackages[[#This Row],[Last labor date]]</f>
        <v>3</v>
      </c>
      <c r="AG765" s="65">
        <f>tblWorkPackages[[#This Row],[Completion date serial]]-tblWorkPackages[[#This Row],[Request date serial]]</f>
        <v>7</v>
      </c>
      <c r="AH765" s="65">
        <f>IFERROR(INDEX(tblParts[Delay days],MATCH(tblWorkPackages[[#This Row],[Work package ID]],tblParts[Work package ID],0)),0)</f>
        <v>0</v>
      </c>
      <c r="AI765" s="51" t="str">
        <f>IFERROR(INDEX(tblDisruptions[Event type],MATCH(tblWorkPackages[[#This Row],[Work package ID]],tblDisruptions[Work package ID],0)),"None")</f>
        <v>None</v>
      </c>
      <c r="AJ765" s="51" t="str">
        <f>TEXT(tblWorkPackages[[#This Row],[Due date serial]],"yyyy-mm")</f>
        <v>2024-09</v>
      </c>
    </row>
    <row r="766" spans="1:36" ht="15" x14ac:dyDescent="0.25">
      <c r="A766" s="53" t="s">
        <v>1641</v>
      </c>
      <c r="B766" s="53" t="s">
        <v>141</v>
      </c>
      <c r="C766" s="53" t="s">
        <v>390</v>
      </c>
      <c r="D766" s="53" t="s">
        <v>1320</v>
      </c>
      <c r="E766" s="53" t="s">
        <v>242</v>
      </c>
      <c r="F766" s="53" t="s">
        <v>243</v>
      </c>
      <c r="G766" s="53" t="s">
        <v>129</v>
      </c>
      <c r="H766" s="53">
        <v>3</v>
      </c>
      <c r="I766" s="53" t="s">
        <v>147</v>
      </c>
      <c r="J766" s="53">
        <v>0</v>
      </c>
      <c r="K766" s="53">
        <v>0</v>
      </c>
      <c r="L766" s="53">
        <v>11.6</v>
      </c>
      <c r="M766" s="53" t="s">
        <v>1369</v>
      </c>
      <c r="N766" s="53">
        <v>10.7</v>
      </c>
      <c r="O766" s="51" t="str">
        <f>TEXT(tblWorkPackages[[#This Row],[Request date serial]]-WEEKDAY(tblWorkPackages[[#This Row],[Request date serial]],3),"yyyy-mm-dd")</f>
        <v>2024-07-22</v>
      </c>
      <c r="P766" s="51">
        <f>ABS(tblWorkPackages[[#This Row],[Actual labor hours]]-tblWorkPackages[[#This Row],[Estimated labor hours]])</f>
        <v>0.9</v>
      </c>
      <c r="Q766" s="51">
        <f>IF(tblWorkPackages[[#This Row],[Actual labor hours]]&gt;tblWorkPackages[[#This Row],[Estimated labor hours]],1,0)</f>
        <v>0</v>
      </c>
      <c r="R766" s="51">
        <f>tblWorkPackages[[#This Row],[Actual labor hours]]-tblWorkPackages[[#This Row],[Estimated labor hours]]</f>
        <v>-0.9</v>
      </c>
      <c r="S766" s="51" t="str">
        <f>IF(tblWorkPackages[[#This Row],[Request date serial]]&lt;ValidationStart,"Train 2024",IF(tblWorkPackages[[#This Row],[Request date serial]]&lt;HoldoutStart,"Validation H1","Holdout H2"))</f>
        <v>Train 2024</v>
      </c>
      <c r="T766" s="51" t="str">
        <f>IF(tblWorkPackages[[#This Row],[Time split]]="Train 2024","",tblWorkPackages[[#This Row],[Estimated labor hours]]+VLOOKUP(tblWorkPackages[[#This Row],[Task type]],'Forecast validation'!$A$14:$E$25,IF(tblWorkPackages[[#This Row],[Time split]]="Validation H1",4,5),FALSE()))</f>
        <v/>
      </c>
      <c r="U766" s="51" t="str">
        <f>IF(tblWorkPackages[[#This Row],[Calibrated forecast hours]]="","",ABS(tblWorkPackages[[#This Row],[Actual labor hours]]-tblWorkPackages[[#This Row],[Calibrated forecast hours]]))</f>
        <v/>
      </c>
      <c r="V766" s="51">
        <f>IF(tblWorkPackages[[#This Row],[Time split]]="Train 2024",tblWorkPackages[[#This Row],[Estimated labor hours]],tblWorkPackages[[#This Row],[Calibrated forecast hours]])</f>
        <v>11.6</v>
      </c>
      <c r="W766" s="64">
        <f>DATEVALUE(tblWorkPackages[[#This Row],[Request date]])</f>
        <v>45497.0</v>
      </c>
      <c r="X766" s="64">
        <f>DATEVALUE(tblWorkPackages[[#This Row],[Due date]])</f>
        <v>45499.0</v>
      </c>
      <c r="Y766" s="64">
        <f>DATEVALUE(tblWorkPackages[[#This Row],[Completion date]])</f>
        <v>45513.0</v>
      </c>
      <c r="Z766" s="64">
        <f>_xlfn.MINIFS(tblLaborEntries[Work date serial],tblLaborEntries[Work package ID],tblWorkPackages[[#This Row],[Work package ID]])</f>
        <v>45512.0</v>
      </c>
      <c r="AA766" s="64">
        <f>_xlfn.MAXIFS(tblLaborEntries[Work date serial],tblLaborEntries[Work package ID],tblWorkPackages[[#This Row],[Work package ID]])</f>
        <v>45513.0</v>
      </c>
      <c r="AB766" s="65">
        <f>IF(tblWorkPackages[[#This Row],[Completion date serial]]&gt;tblWorkPackages[[#This Row],[Due date serial]],1,0)</f>
        <v>1</v>
      </c>
      <c r="AC766" s="65">
        <f>MAX(0,tblWorkPackages[[#This Row],[Completion date serial]]-tblWorkPackages[[#This Row],[Due date serial]])</f>
        <v>14</v>
      </c>
      <c r="AD766" s="65">
        <f>tblWorkPackages[[#This Row],[First labor date]]-tblWorkPackages[[#This Row],[Request date serial]]</f>
        <v>15</v>
      </c>
      <c r="AE766" s="65">
        <f>tblWorkPackages[[#This Row],[Last labor date]]-tblWorkPackages[[#This Row],[First labor date]]</f>
        <v>1</v>
      </c>
      <c r="AF766" s="65">
        <f>tblWorkPackages[[#This Row],[Completion date serial]]-tblWorkPackages[[#This Row],[Last labor date]]</f>
        <v>0</v>
      </c>
      <c r="AG766" s="65">
        <f>tblWorkPackages[[#This Row],[Completion date serial]]-tblWorkPackages[[#This Row],[Request date serial]]</f>
        <v>16</v>
      </c>
      <c r="AH766" s="65">
        <f>IFERROR(INDEX(tblParts[Delay days],MATCH(tblWorkPackages[[#This Row],[Work package ID]],tblParts[Work package ID],0)),0)</f>
        <v>0</v>
      </c>
      <c r="AI766" s="51" t="str">
        <f>IFERROR(INDEX(tblDisruptions[Event type],MATCH(tblWorkPackages[[#This Row],[Work package ID]],tblDisruptions[Work package ID],0)),"None")</f>
        <v>None</v>
      </c>
      <c r="AJ766" s="51" t="str">
        <f>TEXT(tblWorkPackages[[#This Row],[Due date serial]],"yyyy-mm")</f>
        <v>2024-07</v>
      </c>
    </row>
    <row r="767" spans="1:36" ht="15" x14ac:dyDescent="0.25">
      <c r="A767" s="53" t="s">
        <v>1642</v>
      </c>
      <c r="B767" s="53" t="s">
        <v>124</v>
      </c>
      <c r="C767" s="53" t="s">
        <v>179</v>
      </c>
      <c r="D767" s="53" t="s">
        <v>180</v>
      </c>
      <c r="E767" s="53" t="s">
        <v>127</v>
      </c>
      <c r="F767" s="53" t="s">
        <v>128</v>
      </c>
      <c r="G767" s="53" t="s">
        <v>129</v>
      </c>
      <c r="H767" s="53">
        <v>1</v>
      </c>
      <c r="I767" s="53" t="s">
        <v>130</v>
      </c>
      <c r="J767" s="53">
        <v>0</v>
      </c>
      <c r="K767" s="53">
        <v>0</v>
      </c>
      <c r="L767" s="53">
        <v>5.3</v>
      </c>
      <c r="M767" s="53" t="s">
        <v>1183</v>
      </c>
      <c r="N767" s="53">
        <v>5.4</v>
      </c>
      <c r="O767" s="51" t="str">
        <f>TEXT(tblWorkPackages[[#This Row],[Request date serial]]-WEEKDAY(tblWorkPackages[[#This Row],[Request date serial]],3),"yyyy-mm-dd")</f>
        <v>2025-05-12</v>
      </c>
      <c r="P767" s="51">
        <f>ABS(tblWorkPackages[[#This Row],[Actual labor hours]]-tblWorkPackages[[#This Row],[Estimated labor hours]])</f>
        <v>0.100000000000001</v>
      </c>
      <c r="Q767" s="51">
        <f>IF(tblWorkPackages[[#This Row],[Actual labor hours]]&gt;tblWorkPackages[[#This Row],[Estimated labor hours]],1,0)</f>
        <v>1</v>
      </c>
      <c r="R767" s="51">
        <f>tblWorkPackages[[#This Row],[Actual labor hours]]-tblWorkPackages[[#This Row],[Estimated labor hours]]</f>
        <v>0.100000000000001</v>
      </c>
      <c r="S767" s="51" t="str">
        <f>IF(tblWorkPackages[[#This Row],[Request date serial]]&lt;ValidationStart,"Train 2024",IF(tblWorkPackages[[#This Row],[Request date serial]]&lt;HoldoutStart,"Validation H1","Holdout H2"))</f>
        <v>Validation H1</v>
      </c>
      <c r="T767" s="51">
        <f>IF(tblWorkPackages[[#This Row],[Time split]]="Train 2024","",tblWorkPackages[[#This Row],[Estimated labor hours]]+VLOOKUP(tblWorkPackages[[#This Row],[Task type]],'Forecast validation'!$A$14:$E$25,IF(tblWorkPackages[[#This Row],[Time split]]="Validation H1",4,5),FALSE()))</f>
        <v>5.77564102564103</v>
      </c>
      <c r="U767" s="51">
        <f>IF(tblWorkPackages[[#This Row],[Calibrated forecast hours]]="","",ABS(tblWorkPackages[[#This Row],[Actual labor hours]]-tblWorkPackages[[#This Row],[Calibrated forecast hours]]))</f>
        <v>0.375641025641025</v>
      </c>
      <c r="V767" s="51">
        <f>IF(tblWorkPackages[[#This Row],[Time split]]="Train 2024",tblWorkPackages[[#This Row],[Estimated labor hours]],tblWorkPackages[[#This Row],[Calibrated forecast hours]])</f>
        <v>5.77564102564103</v>
      </c>
      <c r="W767" s="64">
        <f>DATEVALUE(tblWorkPackages[[#This Row],[Request date]])</f>
        <v>45792.0</v>
      </c>
      <c r="X767" s="64">
        <f>DATEVALUE(tblWorkPackages[[#This Row],[Due date]])</f>
        <v>45805.0</v>
      </c>
      <c r="Y767" s="64">
        <f>DATEVALUE(tblWorkPackages[[#This Row],[Completion date]])</f>
        <v>45798.0</v>
      </c>
      <c r="Z767" s="64">
        <f>_xlfn.MINIFS(tblLaborEntries[Work date serial],tblLaborEntries[Work package ID],tblWorkPackages[[#This Row],[Work package ID]])</f>
        <v>45796.0</v>
      </c>
      <c r="AA767" s="64">
        <f>_xlfn.MAXIFS(tblLaborEntries[Work date serial],tblLaborEntries[Work package ID],tblWorkPackages[[#This Row],[Work package ID]])</f>
        <v>45797.0</v>
      </c>
      <c r="AB767" s="65">
        <f>IF(tblWorkPackages[[#This Row],[Completion date serial]]&gt;tblWorkPackages[[#This Row],[Due date serial]],1,0)</f>
        <v>0</v>
      </c>
      <c r="AC767" s="65">
        <f>MAX(0,tblWorkPackages[[#This Row],[Completion date serial]]-tblWorkPackages[[#This Row],[Due date serial]])</f>
        <v>0</v>
      </c>
      <c r="AD767" s="65">
        <f>tblWorkPackages[[#This Row],[First labor date]]-tblWorkPackages[[#This Row],[Request date serial]]</f>
        <v>4</v>
      </c>
      <c r="AE767" s="65">
        <f>tblWorkPackages[[#This Row],[Last labor date]]-tblWorkPackages[[#This Row],[First labor date]]</f>
        <v>1</v>
      </c>
      <c r="AF767" s="65">
        <f>tblWorkPackages[[#This Row],[Completion date serial]]-tblWorkPackages[[#This Row],[Last labor date]]</f>
        <v>1</v>
      </c>
      <c r="AG767" s="65">
        <f>tblWorkPackages[[#This Row],[Completion date serial]]-tblWorkPackages[[#This Row],[Request date serial]]</f>
        <v>6</v>
      </c>
      <c r="AH767" s="65">
        <f>IFERROR(INDEX(tblParts[Delay days],MATCH(tblWorkPackages[[#This Row],[Work package ID]],tblParts[Work package ID],0)),0)</f>
        <v>0</v>
      </c>
      <c r="AI767" s="51" t="str">
        <f>IFERROR(INDEX(tblDisruptions[Event type],MATCH(tblWorkPackages[[#This Row],[Work package ID]],tblDisruptions[Work package ID],0)),"None")</f>
        <v>None</v>
      </c>
      <c r="AJ767" s="51" t="str">
        <f>TEXT(tblWorkPackages[[#This Row],[Due date serial]],"yyyy-mm")</f>
        <v>2025-05</v>
      </c>
    </row>
    <row r="768" spans="1:36" ht="15" x14ac:dyDescent="0.25">
      <c r="A768" s="53" t="s">
        <v>1643</v>
      </c>
      <c r="B768" s="53" t="s">
        <v>235</v>
      </c>
      <c r="C768" s="53" t="s">
        <v>553</v>
      </c>
      <c r="D768" s="53" t="s">
        <v>1369</v>
      </c>
      <c r="E768" s="53" t="s">
        <v>223</v>
      </c>
      <c r="F768" s="53" t="s">
        <v>182</v>
      </c>
      <c r="G768" s="53" t="s">
        <v>154</v>
      </c>
      <c r="H768" s="53">
        <v>1</v>
      </c>
      <c r="I768" s="53" t="s">
        <v>147</v>
      </c>
      <c r="J768" s="53">
        <v>0</v>
      </c>
      <c r="K768" s="53">
        <v>0</v>
      </c>
      <c r="L768" s="53">
        <v>7.6</v>
      </c>
      <c r="M768" s="53" t="s">
        <v>1644</v>
      </c>
      <c r="N768" s="53">
        <v>7.2</v>
      </c>
      <c r="O768" s="51" t="str">
        <f>TEXT(tblWorkPackages[[#This Row],[Request date serial]]-WEEKDAY(tblWorkPackages[[#This Row],[Request date serial]],3),"yyyy-mm-dd")</f>
        <v>2024-08-05</v>
      </c>
      <c r="P768" s="51">
        <f>ABS(tblWorkPackages[[#This Row],[Actual labor hours]]-tblWorkPackages[[#This Row],[Estimated labor hours]])</f>
        <v>0.399999999999999</v>
      </c>
      <c r="Q768" s="51">
        <f>IF(tblWorkPackages[[#This Row],[Actual labor hours]]&gt;tblWorkPackages[[#This Row],[Estimated labor hours]],1,0)</f>
        <v>0</v>
      </c>
      <c r="R768" s="51">
        <f>tblWorkPackages[[#This Row],[Actual labor hours]]-tblWorkPackages[[#This Row],[Estimated labor hours]]</f>
        <v>-0.399999999999999</v>
      </c>
      <c r="S768" s="51" t="str">
        <f>IF(tblWorkPackages[[#This Row],[Request date serial]]&lt;ValidationStart,"Train 2024",IF(tblWorkPackages[[#This Row],[Request date serial]]&lt;HoldoutStart,"Validation H1","Holdout H2"))</f>
        <v>Train 2024</v>
      </c>
      <c r="T768" s="51" t="str">
        <f>IF(tblWorkPackages[[#This Row],[Time split]]="Train 2024","",tblWorkPackages[[#This Row],[Estimated labor hours]]+VLOOKUP(tblWorkPackages[[#This Row],[Task type]],'Forecast validation'!$A$14:$E$25,IF(tblWorkPackages[[#This Row],[Time split]]="Validation H1",4,5),FALSE()))</f>
        <v/>
      </c>
      <c r="U768" s="51" t="str">
        <f>IF(tblWorkPackages[[#This Row],[Calibrated forecast hours]]="","",ABS(tblWorkPackages[[#This Row],[Actual labor hours]]-tblWorkPackages[[#This Row],[Calibrated forecast hours]]))</f>
        <v/>
      </c>
      <c r="V768" s="51">
        <f>IF(tblWorkPackages[[#This Row],[Time split]]="Train 2024",tblWorkPackages[[#This Row],[Estimated labor hours]],tblWorkPackages[[#This Row],[Calibrated forecast hours]])</f>
        <v>7.6</v>
      </c>
      <c r="W768" s="64">
        <f>DATEVALUE(tblWorkPackages[[#This Row],[Request date]])</f>
        <v>45511.0</v>
      </c>
      <c r="X768" s="64">
        <f>DATEVALUE(tblWorkPackages[[#This Row],[Due date]])</f>
        <v>45513.0</v>
      </c>
      <c r="Y768" s="64">
        <f>DATEVALUE(tblWorkPackages[[#This Row],[Completion date]])</f>
        <v>45514.0</v>
      </c>
      <c r="Z768" s="64">
        <f>_xlfn.MINIFS(tblLaborEntries[Work date serial],tblLaborEntries[Work package ID],tblWorkPackages[[#This Row],[Work package ID]])</f>
        <v>45512.0</v>
      </c>
      <c r="AA768" s="64">
        <f>_xlfn.MAXIFS(tblLaborEntries[Work date serial],tblLaborEntries[Work package ID],tblWorkPackages[[#This Row],[Work package ID]])</f>
        <v>45512.0</v>
      </c>
      <c r="AB768" s="65">
        <f>IF(tblWorkPackages[[#This Row],[Completion date serial]]&gt;tblWorkPackages[[#This Row],[Due date serial]],1,0)</f>
        <v>1</v>
      </c>
      <c r="AC768" s="65">
        <f>MAX(0,tblWorkPackages[[#This Row],[Completion date serial]]-tblWorkPackages[[#This Row],[Due date serial]])</f>
        <v>1</v>
      </c>
      <c r="AD768" s="65">
        <f>tblWorkPackages[[#This Row],[First labor date]]-tblWorkPackages[[#This Row],[Request date serial]]</f>
        <v>1</v>
      </c>
      <c r="AE768" s="65">
        <f>tblWorkPackages[[#This Row],[Last labor date]]-tblWorkPackages[[#This Row],[First labor date]]</f>
        <v>0</v>
      </c>
      <c r="AF768" s="65">
        <f>tblWorkPackages[[#This Row],[Completion date serial]]-tblWorkPackages[[#This Row],[Last labor date]]</f>
        <v>2</v>
      </c>
      <c r="AG768" s="65">
        <f>tblWorkPackages[[#This Row],[Completion date serial]]-tblWorkPackages[[#This Row],[Request date serial]]</f>
        <v>3</v>
      </c>
      <c r="AH768" s="65">
        <f>IFERROR(INDEX(tblParts[Delay days],MATCH(tblWorkPackages[[#This Row],[Work package ID]],tblParts[Work package ID],0)),0)</f>
        <v>0</v>
      </c>
      <c r="AI768" s="51" t="str">
        <f>IFERROR(INDEX(tblDisruptions[Event type],MATCH(tblWorkPackages[[#This Row],[Work package ID]],tblDisruptions[Work package ID],0)),"None")</f>
        <v>None</v>
      </c>
      <c r="AJ768" s="51" t="str">
        <f>TEXT(tblWorkPackages[[#This Row],[Due date serial]],"yyyy-mm")</f>
        <v>2024-08</v>
      </c>
    </row>
    <row r="769" spans="1:36" ht="15" x14ac:dyDescent="0.25">
      <c r="A769" s="53" t="s">
        <v>1645</v>
      </c>
      <c r="B769" s="53" t="s">
        <v>150</v>
      </c>
      <c r="C769" s="53" t="s">
        <v>1402</v>
      </c>
      <c r="D769" s="53" t="s">
        <v>283</v>
      </c>
      <c r="E769" s="53" t="s">
        <v>200</v>
      </c>
      <c r="F769" s="53" t="s">
        <v>128</v>
      </c>
      <c r="G769" s="53" t="s">
        <v>129</v>
      </c>
      <c r="H769" s="53">
        <v>1</v>
      </c>
      <c r="I769" s="53" t="s">
        <v>176</v>
      </c>
      <c r="J769" s="53">
        <v>0</v>
      </c>
      <c r="K769" s="53">
        <v>0</v>
      </c>
      <c r="L769" s="53">
        <v>2</v>
      </c>
      <c r="M769" s="53" t="s">
        <v>532</v>
      </c>
      <c r="N769" s="53">
        <v>2.2000000000000002</v>
      </c>
      <c r="O769" s="51" t="str">
        <f>TEXT(tblWorkPackages[[#This Row],[Request date serial]]-WEEKDAY(tblWorkPackages[[#This Row],[Request date serial]],3),"yyyy-mm-dd")</f>
        <v>2025-08-18</v>
      </c>
      <c r="P769" s="51">
        <f>ABS(tblWorkPackages[[#This Row],[Actual labor hours]]-tblWorkPackages[[#This Row],[Estimated labor hours]])</f>
        <v>0.2</v>
      </c>
      <c r="Q769" s="51">
        <f>IF(tblWorkPackages[[#This Row],[Actual labor hours]]&gt;tblWorkPackages[[#This Row],[Estimated labor hours]],1,0)</f>
        <v>1</v>
      </c>
      <c r="R769" s="51">
        <f>tblWorkPackages[[#This Row],[Actual labor hours]]-tblWorkPackages[[#This Row],[Estimated labor hours]]</f>
        <v>0.2</v>
      </c>
      <c r="S769" s="51" t="str">
        <f>IF(tblWorkPackages[[#This Row],[Request date serial]]&lt;ValidationStart,"Train 2024",IF(tblWorkPackages[[#This Row],[Request date serial]]&lt;HoldoutStart,"Validation H1","Holdout H2"))</f>
        <v>Holdout H2</v>
      </c>
      <c r="T769" s="51">
        <f>IF(tblWorkPackages[[#This Row],[Time split]]="Train 2024","",tblWorkPackages[[#This Row],[Estimated labor hours]]+VLOOKUP(tblWorkPackages[[#This Row],[Task type]],'Forecast validation'!$A$14:$E$25,IF(tblWorkPackages[[#This Row],[Time split]]="Validation H1",4,5),FALSE()))</f>
        <v>2.32893081761006</v>
      </c>
      <c r="U769" s="51">
        <f>IF(tblWorkPackages[[#This Row],[Calibrated forecast hours]]="","",ABS(tblWorkPackages[[#This Row],[Actual labor hours]]-tblWorkPackages[[#This Row],[Calibrated forecast hours]]))</f>
        <v>0.128930817610063</v>
      </c>
      <c r="V769" s="51">
        <f>IF(tblWorkPackages[[#This Row],[Time split]]="Train 2024",tblWorkPackages[[#This Row],[Estimated labor hours]],tblWorkPackages[[#This Row],[Calibrated forecast hours]])</f>
        <v>2.32893081761006</v>
      </c>
      <c r="W769" s="64">
        <f>DATEVALUE(tblWorkPackages[[#This Row],[Request date]])</f>
        <v>45891.0</v>
      </c>
      <c r="X769" s="64">
        <f>DATEVALUE(tblWorkPackages[[#This Row],[Due date]])</f>
        <v>45897.0</v>
      </c>
      <c r="Y769" s="64">
        <f>DATEVALUE(tblWorkPackages[[#This Row],[Completion date]])</f>
        <v>45904.0</v>
      </c>
      <c r="Z769" s="64">
        <f>_xlfn.MINIFS(tblLaborEntries[Work date serial],tblLaborEntries[Work package ID],tblWorkPackages[[#This Row],[Work package ID]])</f>
        <v>45901.0</v>
      </c>
      <c r="AA769" s="64">
        <f>_xlfn.MAXIFS(tblLaborEntries[Work date serial],tblLaborEntries[Work package ID],tblWorkPackages[[#This Row],[Work package ID]])</f>
        <v>45901.0</v>
      </c>
      <c r="AB769" s="65">
        <f>IF(tblWorkPackages[[#This Row],[Completion date serial]]&gt;tblWorkPackages[[#This Row],[Due date serial]],1,0)</f>
        <v>1</v>
      </c>
      <c r="AC769" s="65">
        <f>MAX(0,tblWorkPackages[[#This Row],[Completion date serial]]-tblWorkPackages[[#This Row],[Due date serial]])</f>
        <v>7</v>
      </c>
      <c r="AD769" s="65">
        <f>tblWorkPackages[[#This Row],[First labor date]]-tblWorkPackages[[#This Row],[Request date serial]]</f>
        <v>10</v>
      </c>
      <c r="AE769" s="65">
        <f>tblWorkPackages[[#This Row],[Last labor date]]-tblWorkPackages[[#This Row],[First labor date]]</f>
        <v>0</v>
      </c>
      <c r="AF769" s="65">
        <f>tblWorkPackages[[#This Row],[Completion date serial]]-tblWorkPackages[[#This Row],[Last labor date]]</f>
        <v>3</v>
      </c>
      <c r="AG769" s="65">
        <f>tblWorkPackages[[#This Row],[Completion date serial]]-tblWorkPackages[[#This Row],[Request date serial]]</f>
        <v>13</v>
      </c>
      <c r="AH769" s="65">
        <f>IFERROR(INDEX(tblParts[Delay days],MATCH(tblWorkPackages[[#This Row],[Work package ID]],tblParts[Work package ID],0)),0)</f>
        <v>0</v>
      </c>
      <c r="AI769" s="51" t="str">
        <f>IFERROR(INDEX(tblDisruptions[Event type],MATCH(tblWorkPackages[[#This Row],[Work package ID]],tblDisruptions[Work package ID],0)),"None")</f>
        <v>None</v>
      </c>
      <c r="AJ769" s="51" t="str">
        <f>TEXT(tblWorkPackages[[#This Row],[Due date serial]],"yyyy-mm")</f>
        <v>2025-08</v>
      </c>
    </row>
    <row r="770" spans="1:36" ht="15" x14ac:dyDescent="0.25">
      <c r="A770" s="53" t="s">
        <v>1646</v>
      </c>
      <c r="B770" s="53" t="s">
        <v>133</v>
      </c>
      <c r="C770" s="53" t="s">
        <v>960</v>
      </c>
      <c r="D770" s="53" t="s">
        <v>206</v>
      </c>
      <c r="E770" s="53" t="s">
        <v>127</v>
      </c>
      <c r="F770" s="53" t="s">
        <v>128</v>
      </c>
      <c r="G770" s="53" t="s">
        <v>129</v>
      </c>
      <c r="H770" s="53">
        <v>1</v>
      </c>
      <c r="I770" s="53" t="s">
        <v>130</v>
      </c>
      <c r="J770" s="53">
        <v>0</v>
      </c>
      <c r="K770" s="53">
        <v>0</v>
      </c>
      <c r="L770" s="53">
        <v>4</v>
      </c>
      <c r="M770" s="53" t="s">
        <v>509</v>
      </c>
      <c r="N770" s="53">
        <v>3.9</v>
      </c>
      <c r="O770" s="51" t="str">
        <f>TEXT(tblWorkPackages[[#This Row],[Request date serial]]-WEEKDAY(tblWorkPackages[[#This Row],[Request date serial]],3),"yyyy-mm-dd")</f>
        <v>2024-10-28</v>
      </c>
      <c r="P770" s="51">
        <f>ABS(tblWorkPackages[[#This Row],[Actual labor hours]]-tblWorkPackages[[#This Row],[Estimated labor hours]])</f>
        <v>0.1</v>
      </c>
      <c r="Q770" s="51">
        <f>IF(tblWorkPackages[[#This Row],[Actual labor hours]]&gt;tblWorkPackages[[#This Row],[Estimated labor hours]],1,0)</f>
        <v>0</v>
      </c>
      <c r="R770" s="51">
        <f>tblWorkPackages[[#This Row],[Actual labor hours]]-tblWorkPackages[[#This Row],[Estimated labor hours]]</f>
        <v>-0.1</v>
      </c>
      <c r="S770" s="51" t="str">
        <f>IF(tblWorkPackages[[#This Row],[Request date serial]]&lt;ValidationStart,"Train 2024",IF(tblWorkPackages[[#This Row],[Request date serial]]&lt;HoldoutStart,"Validation H1","Holdout H2"))</f>
        <v>Train 2024</v>
      </c>
      <c r="T770" s="51" t="str">
        <f>IF(tblWorkPackages[[#This Row],[Time split]]="Train 2024","",tblWorkPackages[[#This Row],[Estimated labor hours]]+VLOOKUP(tblWorkPackages[[#This Row],[Task type]],'Forecast validation'!$A$14:$E$25,IF(tblWorkPackages[[#This Row],[Time split]]="Validation H1",4,5),FALSE()))</f>
        <v/>
      </c>
      <c r="U770" s="51" t="str">
        <f>IF(tblWorkPackages[[#This Row],[Calibrated forecast hours]]="","",ABS(tblWorkPackages[[#This Row],[Actual labor hours]]-tblWorkPackages[[#This Row],[Calibrated forecast hours]]))</f>
        <v/>
      </c>
      <c r="V770" s="51">
        <f>IF(tblWorkPackages[[#This Row],[Time split]]="Train 2024",tblWorkPackages[[#This Row],[Estimated labor hours]],tblWorkPackages[[#This Row],[Calibrated forecast hours]])</f>
        <v>4</v>
      </c>
      <c r="W770" s="64">
        <f>DATEVALUE(tblWorkPackages[[#This Row],[Request date]])</f>
        <v>45594.0</v>
      </c>
      <c r="X770" s="64">
        <f>DATEVALUE(tblWorkPackages[[#This Row],[Due date]])</f>
        <v>45607.0</v>
      </c>
      <c r="Y770" s="64">
        <f>DATEVALUE(tblWorkPackages[[#This Row],[Completion date]])</f>
        <v>45597.0</v>
      </c>
      <c r="Z770" s="64">
        <f>_xlfn.MINIFS(tblLaborEntries[Work date serial],tblLaborEntries[Work package ID],tblWorkPackages[[#This Row],[Work package ID]])</f>
        <v>45597.0</v>
      </c>
      <c r="AA770" s="64">
        <f>_xlfn.MAXIFS(tblLaborEntries[Work date serial],tblLaborEntries[Work package ID],tblWorkPackages[[#This Row],[Work package ID]])</f>
        <v>45597.0</v>
      </c>
      <c r="AB770" s="65">
        <f>IF(tblWorkPackages[[#This Row],[Completion date serial]]&gt;tblWorkPackages[[#This Row],[Due date serial]],1,0)</f>
        <v>0</v>
      </c>
      <c r="AC770" s="65">
        <f>MAX(0,tblWorkPackages[[#This Row],[Completion date serial]]-tblWorkPackages[[#This Row],[Due date serial]])</f>
        <v>0</v>
      </c>
      <c r="AD770" s="65">
        <f>tblWorkPackages[[#This Row],[First labor date]]-tblWorkPackages[[#This Row],[Request date serial]]</f>
        <v>3</v>
      </c>
      <c r="AE770" s="65">
        <f>tblWorkPackages[[#This Row],[Last labor date]]-tblWorkPackages[[#This Row],[First labor date]]</f>
        <v>0</v>
      </c>
      <c r="AF770" s="65">
        <f>tblWorkPackages[[#This Row],[Completion date serial]]-tblWorkPackages[[#This Row],[Last labor date]]</f>
        <v>0</v>
      </c>
      <c r="AG770" s="65">
        <f>tblWorkPackages[[#This Row],[Completion date serial]]-tblWorkPackages[[#This Row],[Request date serial]]</f>
        <v>3</v>
      </c>
      <c r="AH770" s="65">
        <f>IFERROR(INDEX(tblParts[Delay days],MATCH(tblWorkPackages[[#This Row],[Work package ID]],tblParts[Work package ID],0)),0)</f>
        <v>0</v>
      </c>
      <c r="AI770" s="51" t="str">
        <f>IFERROR(INDEX(tblDisruptions[Event type],MATCH(tblWorkPackages[[#This Row],[Work package ID]],tblDisruptions[Work package ID],0)),"None")</f>
        <v>None</v>
      </c>
      <c r="AJ770" s="51" t="str">
        <f>TEXT(tblWorkPackages[[#This Row],[Due date serial]],"yyyy-mm")</f>
        <v>2024-11</v>
      </c>
    </row>
    <row r="771" spans="1:36" ht="15" x14ac:dyDescent="0.25">
      <c r="A771" s="53" t="s">
        <v>1647</v>
      </c>
      <c r="B771" s="53" t="s">
        <v>235</v>
      </c>
      <c r="C771" s="53" t="s">
        <v>790</v>
      </c>
      <c r="D771" s="53" t="s">
        <v>464</v>
      </c>
      <c r="E771" s="53" t="s">
        <v>200</v>
      </c>
      <c r="F771" s="53" t="s">
        <v>128</v>
      </c>
      <c r="G771" s="53" t="s">
        <v>129</v>
      </c>
      <c r="H771" s="53">
        <v>3</v>
      </c>
      <c r="I771" s="53" t="s">
        <v>130</v>
      </c>
      <c r="J771" s="53">
        <v>0</v>
      </c>
      <c r="K771" s="53">
        <v>1</v>
      </c>
      <c r="L771" s="53">
        <v>3.7</v>
      </c>
      <c r="M771" s="53" t="s">
        <v>942</v>
      </c>
      <c r="N771" s="53">
        <v>3.7</v>
      </c>
      <c r="O771" s="51" t="str">
        <f>TEXT(tblWorkPackages[[#This Row],[Request date serial]]-WEEKDAY(tblWorkPackages[[#This Row],[Request date serial]],3),"yyyy-mm-dd")</f>
        <v>2025-09-15</v>
      </c>
      <c r="P771" s="51">
        <f>ABS(tblWorkPackages[[#This Row],[Actual labor hours]]-tblWorkPackages[[#This Row],[Estimated labor hours]])</f>
        <v>0</v>
      </c>
      <c r="Q771" s="51">
        <f>IF(tblWorkPackages[[#This Row],[Actual labor hours]]&gt;tblWorkPackages[[#This Row],[Estimated labor hours]],1,0)</f>
        <v>0</v>
      </c>
      <c r="R771" s="51">
        <f>tblWorkPackages[[#This Row],[Actual labor hours]]-tblWorkPackages[[#This Row],[Estimated labor hours]]</f>
        <v>0</v>
      </c>
      <c r="S771" s="51" t="str">
        <f>IF(tblWorkPackages[[#This Row],[Request date serial]]&lt;ValidationStart,"Train 2024",IF(tblWorkPackages[[#This Row],[Request date serial]]&lt;HoldoutStart,"Validation H1","Holdout H2"))</f>
        <v>Holdout H2</v>
      </c>
      <c r="T771" s="51">
        <f>IF(tblWorkPackages[[#This Row],[Time split]]="Train 2024","",tblWorkPackages[[#This Row],[Estimated labor hours]]+VLOOKUP(tblWorkPackages[[#This Row],[Task type]],'Forecast validation'!$A$14:$E$25,IF(tblWorkPackages[[#This Row],[Time split]]="Validation H1",4,5),FALSE()))</f>
        <v>4.02893081761006</v>
      </c>
      <c r="U771" s="51">
        <f>IF(tblWorkPackages[[#This Row],[Calibrated forecast hours]]="","",ABS(tblWorkPackages[[#This Row],[Actual labor hours]]-tblWorkPackages[[#This Row],[Calibrated forecast hours]]))</f>
        <v>0.328930817610063</v>
      </c>
      <c r="V771" s="51">
        <f>IF(tblWorkPackages[[#This Row],[Time split]]="Train 2024",tblWorkPackages[[#This Row],[Estimated labor hours]],tblWorkPackages[[#This Row],[Calibrated forecast hours]])</f>
        <v>4.02893081761006</v>
      </c>
      <c r="W771" s="64">
        <f>DATEVALUE(tblWorkPackages[[#This Row],[Request date]])</f>
        <v>45916.0</v>
      </c>
      <c r="X771" s="64">
        <f>DATEVALUE(tblWorkPackages[[#This Row],[Due date]])</f>
        <v>45929.0</v>
      </c>
      <c r="Y771" s="64">
        <f>DATEVALUE(tblWorkPackages[[#This Row],[Completion date]])</f>
        <v>45946.0</v>
      </c>
      <c r="Z771" s="64">
        <f>_xlfn.MINIFS(tblLaborEntries[Work date serial],tblLaborEntries[Work package ID],tblWorkPackages[[#This Row],[Work package ID]])</f>
        <v>45944.0</v>
      </c>
      <c r="AA771" s="64">
        <f>_xlfn.MAXIFS(tblLaborEntries[Work date serial],tblLaborEntries[Work package ID],tblWorkPackages[[#This Row],[Work package ID]])</f>
        <v>45945.0</v>
      </c>
      <c r="AB771" s="65">
        <f>IF(tblWorkPackages[[#This Row],[Completion date serial]]&gt;tblWorkPackages[[#This Row],[Due date serial]],1,0)</f>
        <v>1</v>
      </c>
      <c r="AC771" s="65">
        <f>MAX(0,tblWorkPackages[[#This Row],[Completion date serial]]-tblWorkPackages[[#This Row],[Due date serial]])</f>
        <v>17</v>
      </c>
      <c r="AD771" s="65">
        <f>tblWorkPackages[[#This Row],[First labor date]]-tblWorkPackages[[#This Row],[Request date serial]]</f>
        <v>28</v>
      </c>
      <c r="AE771" s="65">
        <f>tblWorkPackages[[#This Row],[Last labor date]]-tblWorkPackages[[#This Row],[First labor date]]</f>
        <v>1</v>
      </c>
      <c r="AF771" s="65">
        <f>tblWorkPackages[[#This Row],[Completion date serial]]-tblWorkPackages[[#This Row],[Last labor date]]</f>
        <v>1</v>
      </c>
      <c r="AG771" s="65">
        <f>tblWorkPackages[[#This Row],[Completion date serial]]-tblWorkPackages[[#This Row],[Request date serial]]</f>
        <v>30</v>
      </c>
      <c r="AH771" s="65">
        <f>IFERROR(INDEX(tblParts[Delay days],MATCH(tblWorkPackages[[#This Row],[Work package ID]],tblParts[Work package ID],0)),0)</f>
        <v>0</v>
      </c>
      <c r="AI771" s="51" t="str">
        <f>IFERROR(INDEX(tblDisruptions[Event type],MATCH(tblWorkPackages[[#This Row],[Work package ID]],tblDisruptions[Work package ID],0)),"None")</f>
        <v>None</v>
      </c>
      <c r="AJ771" s="51" t="str">
        <f>TEXT(tblWorkPackages[[#This Row],[Due date serial]],"yyyy-mm")</f>
        <v>2025-09</v>
      </c>
    </row>
    <row r="772" spans="1:36" ht="15" x14ac:dyDescent="0.25">
      <c r="A772" s="53" t="s">
        <v>1648</v>
      </c>
      <c r="B772" s="53" t="s">
        <v>230</v>
      </c>
      <c r="C772" s="53" t="s">
        <v>280</v>
      </c>
      <c r="D772" s="53" t="s">
        <v>1166</v>
      </c>
      <c r="E772" s="53" t="s">
        <v>242</v>
      </c>
      <c r="F772" s="53" t="s">
        <v>243</v>
      </c>
      <c r="G772" s="53" t="s">
        <v>129</v>
      </c>
      <c r="H772" s="53">
        <v>2</v>
      </c>
      <c r="I772" s="53" t="s">
        <v>176</v>
      </c>
      <c r="J772" s="53">
        <v>0</v>
      </c>
      <c r="K772" s="53">
        <v>0</v>
      </c>
      <c r="L772" s="53">
        <v>9</v>
      </c>
      <c r="M772" s="53" t="s">
        <v>383</v>
      </c>
      <c r="N772" s="53">
        <v>10.7</v>
      </c>
      <c r="O772" s="51" t="str">
        <f>TEXT(tblWorkPackages[[#This Row],[Request date serial]]-WEEKDAY(tblWorkPackages[[#This Row],[Request date serial]],3),"yyyy-mm-dd")</f>
        <v>2025-01-27</v>
      </c>
      <c r="P772" s="51">
        <f>ABS(tblWorkPackages[[#This Row],[Actual labor hours]]-tblWorkPackages[[#This Row],[Estimated labor hours]])</f>
        <v>1.7</v>
      </c>
      <c r="Q772" s="51">
        <f>IF(tblWorkPackages[[#This Row],[Actual labor hours]]&gt;tblWorkPackages[[#This Row],[Estimated labor hours]],1,0)</f>
        <v>1</v>
      </c>
      <c r="R772" s="51">
        <f>tblWorkPackages[[#This Row],[Actual labor hours]]-tblWorkPackages[[#This Row],[Estimated labor hours]]</f>
        <v>1.7</v>
      </c>
      <c r="S772" s="51" t="str">
        <f>IF(tblWorkPackages[[#This Row],[Request date serial]]&lt;ValidationStart,"Train 2024",IF(tblWorkPackages[[#This Row],[Request date serial]]&lt;HoldoutStart,"Validation H1","Holdout H2"))</f>
        <v>Validation H1</v>
      </c>
      <c r="T772" s="51">
        <f>IF(tblWorkPackages[[#This Row],[Time split]]="Train 2024","",tblWorkPackages[[#This Row],[Estimated labor hours]]+VLOOKUP(tblWorkPackages[[#This Row],[Task type]],'Forecast validation'!$A$14:$E$25,IF(tblWorkPackages[[#This Row],[Time split]]="Validation H1",4,5),FALSE()))</f>
        <v>9.55612244897959</v>
      </c>
      <c r="U772" s="51">
        <f>IF(tblWorkPackages[[#This Row],[Calibrated forecast hours]]="","",ABS(tblWorkPackages[[#This Row],[Actual labor hours]]-tblWorkPackages[[#This Row],[Calibrated forecast hours]]))</f>
        <v>1.14387755102041</v>
      </c>
      <c r="V772" s="51">
        <f>IF(tblWorkPackages[[#This Row],[Time split]]="Train 2024",tblWorkPackages[[#This Row],[Estimated labor hours]],tblWorkPackages[[#This Row],[Calibrated forecast hours]])</f>
        <v>9.55612244897959</v>
      </c>
      <c r="W772" s="64">
        <f>DATEVALUE(tblWorkPackages[[#This Row],[Request date]])</f>
        <v>45685.0</v>
      </c>
      <c r="X772" s="64">
        <f>DATEVALUE(tblWorkPackages[[#This Row],[Due date]])</f>
        <v>45691.0</v>
      </c>
      <c r="Y772" s="64">
        <f>DATEVALUE(tblWorkPackages[[#This Row],[Completion date]])</f>
        <v>45693.0</v>
      </c>
      <c r="Z772" s="64">
        <f>_xlfn.MINIFS(tblLaborEntries[Work date serial],tblLaborEntries[Work package ID],tblWorkPackages[[#This Row],[Work package ID]])</f>
        <v>45690.0</v>
      </c>
      <c r="AA772" s="64">
        <f>_xlfn.MAXIFS(tblLaborEntries[Work date serial],tblLaborEntries[Work package ID],tblWorkPackages[[#This Row],[Work package ID]])</f>
        <v>45691.0</v>
      </c>
      <c r="AB772" s="65">
        <f>IF(tblWorkPackages[[#This Row],[Completion date serial]]&gt;tblWorkPackages[[#This Row],[Due date serial]],1,0)</f>
        <v>1</v>
      </c>
      <c r="AC772" s="65">
        <f>MAX(0,tblWorkPackages[[#This Row],[Completion date serial]]-tblWorkPackages[[#This Row],[Due date serial]])</f>
        <v>2</v>
      </c>
      <c r="AD772" s="65">
        <f>tblWorkPackages[[#This Row],[First labor date]]-tblWorkPackages[[#This Row],[Request date serial]]</f>
        <v>5</v>
      </c>
      <c r="AE772" s="65">
        <f>tblWorkPackages[[#This Row],[Last labor date]]-tblWorkPackages[[#This Row],[First labor date]]</f>
        <v>1</v>
      </c>
      <c r="AF772" s="65">
        <f>tblWorkPackages[[#This Row],[Completion date serial]]-tblWorkPackages[[#This Row],[Last labor date]]</f>
        <v>2</v>
      </c>
      <c r="AG772" s="65">
        <f>tblWorkPackages[[#This Row],[Completion date serial]]-tblWorkPackages[[#This Row],[Request date serial]]</f>
        <v>8</v>
      </c>
      <c r="AH772" s="65">
        <f>IFERROR(INDEX(tblParts[Delay days],MATCH(tblWorkPackages[[#This Row],[Work package ID]],tblParts[Work package ID],0)),0)</f>
        <v>0</v>
      </c>
      <c r="AI772" s="51" t="str">
        <f>IFERROR(INDEX(tblDisruptions[Event type],MATCH(tblWorkPackages[[#This Row],[Work package ID]],tblDisruptions[Work package ID],0)),"None")</f>
        <v>None</v>
      </c>
      <c r="AJ772" s="51" t="str">
        <f>TEXT(tblWorkPackages[[#This Row],[Due date serial]],"yyyy-mm")</f>
        <v>2025-02</v>
      </c>
    </row>
    <row r="773" spans="1:36" ht="15" x14ac:dyDescent="0.25">
      <c r="A773" s="53" t="s">
        <v>1649</v>
      </c>
      <c r="B773" s="53" t="s">
        <v>150</v>
      </c>
      <c r="C773" s="53" t="s">
        <v>871</v>
      </c>
      <c r="D773" s="53" t="s">
        <v>447</v>
      </c>
      <c r="E773" s="53" t="s">
        <v>127</v>
      </c>
      <c r="F773" s="53" t="s">
        <v>128</v>
      </c>
      <c r="G773" s="53" t="s">
        <v>129</v>
      </c>
      <c r="H773" s="53">
        <v>1</v>
      </c>
      <c r="I773" s="53" t="s">
        <v>176</v>
      </c>
      <c r="J773" s="53">
        <v>0</v>
      </c>
      <c r="K773" s="53">
        <v>1</v>
      </c>
      <c r="L773" s="53">
        <v>5.5</v>
      </c>
      <c r="M773" s="53" t="s">
        <v>686</v>
      </c>
      <c r="N773" s="53">
        <v>6.4</v>
      </c>
      <c r="O773" s="51" t="str">
        <f>TEXT(tblWorkPackages[[#This Row],[Request date serial]]-WEEKDAY(tblWorkPackages[[#This Row],[Request date serial]],3),"yyyy-mm-dd")</f>
        <v>2025-03-17</v>
      </c>
      <c r="P773" s="51">
        <f>ABS(tblWorkPackages[[#This Row],[Actual labor hours]]-tblWorkPackages[[#This Row],[Estimated labor hours]])</f>
        <v>0.9</v>
      </c>
      <c r="Q773" s="51">
        <f>IF(tblWorkPackages[[#This Row],[Actual labor hours]]&gt;tblWorkPackages[[#This Row],[Estimated labor hours]],1,0)</f>
        <v>1</v>
      </c>
      <c r="R773" s="51">
        <f>tblWorkPackages[[#This Row],[Actual labor hours]]-tblWorkPackages[[#This Row],[Estimated labor hours]]</f>
        <v>0.9</v>
      </c>
      <c r="S773" s="51" t="str">
        <f>IF(tblWorkPackages[[#This Row],[Request date serial]]&lt;ValidationStart,"Train 2024",IF(tblWorkPackages[[#This Row],[Request date serial]]&lt;HoldoutStart,"Validation H1","Holdout H2"))</f>
        <v>Validation H1</v>
      </c>
      <c r="T773" s="51">
        <f>IF(tblWorkPackages[[#This Row],[Time split]]="Train 2024","",tblWorkPackages[[#This Row],[Estimated labor hours]]+VLOOKUP(tblWorkPackages[[#This Row],[Task type]],'Forecast validation'!$A$14:$E$25,IF(tblWorkPackages[[#This Row],[Time split]]="Validation H1",4,5),FALSE()))</f>
        <v>5.97564102564103</v>
      </c>
      <c r="U773" s="51">
        <f>IF(tblWorkPackages[[#This Row],[Calibrated forecast hours]]="","",ABS(tblWorkPackages[[#This Row],[Actual labor hours]]-tblWorkPackages[[#This Row],[Calibrated forecast hours]]))</f>
        <v>0.424358974358975</v>
      </c>
      <c r="V773" s="51">
        <f>IF(tblWorkPackages[[#This Row],[Time split]]="Train 2024",tblWorkPackages[[#This Row],[Estimated labor hours]],tblWorkPackages[[#This Row],[Calibrated forecast hours]])</f>
        <v>5.97564102564103</v>
      </c>
      <c r="W773" s="64">
        <f>DATEVALUE(tblWorkPackages[[#This Row],[Request date]])</f>
        <v>45738.0</v>
      </c>
      <c r="X773" s="64">
        <f>DATEVALUE(tblWorkPackages[[#This Row],[Due date]])</f>
        <v>45744.0</v>
      </c>
      <c r="Y773" s="64">
        <f>DATEVALUE(tblWorkPackages[[#This Row],[Completion date]])</f>
        <v>45743.0</v>
      </c>
      <c r="Z773" s="64">
        <f>_xlfn.MINIFS(tblLaborEntries[Work date serial],tblLaborEntries[Work package ID],tblWorkPackages[[#This Row],[Work package ID]])</f>
        <v>45739.0</v>
      </c>
      <c r="AA773" s="64">
        <f>_xlfn.MAXIFS(tblLaborEntries[Work date serial],tblLaborEntries[Work package ID],tblWorkPackages[[#This Row],[Work package ID]])</f>
        <v>45740.0</v>
      </c>
      <c r="AB773" s="65">
        <f>IF(tblWorkPackages[[#This Row],[Completion date serial]]&gt;tblWorkPackages[[#This Row],[Due date serial]],1,0)</f>
        <v>0</v>
      </c>
      <c r="AC773" s="65">
        <f>MAX(0,tblWorkPackages[[#This Row],[Completion date serial]]-tblWorkPackages[[#This Row],[Due date serial]])</f>
        <v>0</v>
      </c>
      <c r="AD773" s="65">
        <f>tblWorkPackages[[#This Row],[First labor date]]-tblWorkPackages[[#This Row],[Request date serial]]</f>
        <v>1</v>
      </c>
      <c r="AE773" s="65">
        <f>tblWorkPackages[[#This Row],[Last labor date]]-tblWorkPackages[[#This Row],[First labor date]]</f>
        <v>1</v>
      </c>
      <c r="AF773" s="65">
        <f>tblWorkPackages[[#This Row],[Completion date serial]]-tblWorkPackages[[#This Row],[Last labor date]]</f>
        <v>3</v>
      </c>
      <c r="AG773" s="65">
        <f>tblWorkPackages[[#This Row],[Completion date serial]]-tblWorkPackages[[#This Row],[Request date serial]]</f>
        <v>5</v>
      </c>
      <c r="AH773" s="65">
        <f>IFERROR(INDEX(tblParts[Delay days],MATCH(tblWorkPackages[[#This Row],[Work package ID]],tblParts[Work package ID],0)),0)</f>
        <v>0</v>
      </c>
      <c r="AI773" s="51" t="str">
        <f>IFERROR(INDEX(tblDisruptions[Event type],MATCH(tblWorkPackages[[#This Row],[Work package ID]],tblDisruptions[Work package ID],0)),"None")</f>
        <v>None</v>
      </c>
      <c r="AJ773" s="51" t="str">
        <f>TEXT(tblWorkPackages[[#This Row],[Due date serial]],"yyyy-mm")</f>
        <v>2025-03</v>
      </c>
    </row>
    <row r="774" spans="1:36" ht="15" x14ac:dyDescent="0.25">
      <c r="A774" s="53" t="s">
        <v>1650</v>
      </c>
      <c r="B774" s="53" t="s">
        <v>173</v>
      </c>
      <c r="C774" s="53" t="s">
        <v>369</v>
      </c>
      <c r="D774" s="53" t="s">
        <v>705</v>
      </c>
      <c r="E774" s="53" t="s">
        <v>237</v>
      </c>
      <c r="F774" s="53" t="s">
        <v>182</v>
      </c>
      <c r="G774" s="53" t="s">
        <v>138</v>
      </c>
      <c r="H774" s="53">
        <v>3</v>
      </c>
      <c r="I774" s="53" t="s">
        <v>176</v>
      </c>
      <c r="J774" s="53">
        <v>0</v>
      </c>
      <c r="K774" s="53">
        <v>0</v>
      </c>
      <c r="L774" s="53">
        <v>7.2</v>
      </c>
      <c r="M774" s="53" t="s">
        <v>549</v>
      </c>
      <c r="N774" s="53">
        <v>7.8</v>
      </c>
      <c r="O774" s="51" t="str">
        <f>TEXT(tblWorkPackages[[#This Row],[Request date serial]]-WEEKDAY(tblWorkPackages[[#This Row],[Request date serial]],3),"yyyy-mm-dd")</f>
        <v>2024-06-10</v>
      </c>
      <c r="P774" s="51">
        <f>ABS(tblWorkPackages[[#This Row],[Actual labor hours]]-tblWorkPackages[[#This Row],[Estimated labor hours]])</f>
        <v>0.6</v>
      </c>
      <c r="Q774" s="51">
        <f>IF(tblWorkPackages[[#This Row],[Actual labor hours]]&gt;tblWorkPackages[[#This Row],[Estimated labor hours]],1,0)</f>
        <v>1</v>
      </c>
      <c r="R774" s="51">
        <f>tblWorkPackages[[#This Row],[Actual labor hours]]-tblWorkPackages[[#This Row],[Estimated labor hours]]</f>
        <v>0.6</v>
      </c>
      <c r="S774" s="51" t="str">
        <f>IF(tblWorkPackages[[#This Row],[Request date serial]]&lt;ValidationStart,"Train 2024",IF(tblWorkPackages[[#This Row],[Request date serial]]&lt;HoldoutStart,"Validation H1","Holdout H2"))</f>
        <v>Train 2024</v>
      </c>
      <c r="T774" s="51" t="str">
        <f>IF(tblWorkPackages[[#This Row],[Time split]]="Train 2024","",tblWorkPackages[[#This Row],[Estimated labor hours]]+VLOOKUP(tblWorkPackages[[#This Row],[Task type]],'Forecast validation'!$A$14:$E$25,IF(tblWorkPackages[[#This Row],[Time split]]="Validation H1",4,5),FALSE()))</f>
        <v/>
      </c>
      <c r="U774" s="51" t="str">
        <f>IF(tblWorkPackages[[#This Row],[Calibrated forecast hours]]="","",ABS(tblWorkPackages[[#This Row],[Actual labor hours]]-tblWorkPackages[[#This Row],[Calibrated forecast hours]]))</f>
        <v/>
      </c>
      <c r="V774" s="51">
        <f>IF(tblWorkPackages[[#This Row],[Time split]]="Train 2024",tblWorkPackages[[#This Row],[Estimated labor hours]],tblWorkPackages[[#This Row],[Calibrated forecast hours]])</f>
        <v>7.2</v>
      </c>
      <c r="W774" s="64">
        <f>DATEVALUE(tblWorkPackages[[#This Row],[Request date]])</f>
        <v>45455.0</v>
      </c>
      <c r="X774" s="64">
        <f>DATEVALUE(tblWorkPackages[[#This Row],[Due date]])</f>
        <v>45461.0</v>
      </c>
      <c r="Y774" s="64">
        <f>DATEVALUE(tblWorkPackages[[#This Row],[Completion date]])</f>
        <v>45469.0</v>
      </c>
      <c r="Z774" s="64">
        <f>_xlfn.MINIFS(tblLaborEntries[Work date serial],tblLaborEntries[Work package ID],tblWorkPackages[[#This Row],[Work package ID]])</f>
        <v>45468.0</v>
      </c>
      <c r="AA774" s="64">
        <f>_xlfn.MAXIFS(tblLaborEntries[Work date serial],tblLaborEntries[Work package ID],tblWorkPackages[[#This Row],[Work package ID]])</f>
        <v>45469.0</v>
      </c>
      <c r="AB774" s="65">
        <f>IF(tblWorkPackages[[#This Row],[Completion date serial]]&gt;tblWorkPackages[[#This Row],[Due date serial]],1,0)</f>
        <v>1</v>
      </c>
      <c r="AC774" s="65">
        <f>MAX(0,tblWorkPackages[[#This Row],[Completion date serial]]-tblWorkPackages[[#This Row],[Due date serial]])</f>
        <v>8</v>
      </c>
      <c r="AD774" s="65">
        <f>tblWorkPackages[[#This Row],[First labor date]]-tblWorkPackages[[#This Row],[Request date serial]]</f>
        <v>13</v>
      </c>
      <c r="AE774" s="65">
        <f>tblWorkPackages[[#This Row],[Last labor date]]-tblWorkPackages[[#This Row],[First labor date]]</f>
        <v>1</v>
      </c>
      <c r="AF774" s="65">
        <f>tblWorkPackages[[#This Row],[Completion date serial]]-tblWorkPackages[[#This Row],[Last labor date]]</f>
        <v>0</v>
      </c>
      <c r="AG774" s="65">
        <f>tblWorkPackages[[#This Row],[Completion date serial]]-tblWorkPackages[[#This Row],[Request date serial]]</f>
        <v>14</v>
      </c>
      <c r="AH774" s="65">
        <f>IFERROR(INDEX(tblParts[Delay days],MATCH(tblWorkPackages[[#This Row],[Work package ID]],tblParts[Work package ID],0)),0)</f>
        <v>0</v>
      </c>
      <c r="AI774" s="51" t="str">
        <f>IFERROR(INDEX(tblDisruptions[Event type],MATCH(tblWorkPackages[[#This Row],[Work package ID]],tblDisruptions[Work package ID],0)),"None")</f>
        <v>None</v>
      </c>
      <c r="AJ774" s="51" t="str">
        <f>TEXT(tblWorkPackages[[#This Row],[Due date serial]],"yyyy-mm")</f>
        <v>2024-06</v>
      </c>
    </row>
    <row r="775" spans="1:36" ht="15" x14ac:dyDescent="0.25">
      <c r="A775" s="53" t="s">
        <v>1651</v>
      </c>
      <c r="B775" s="53" t="s">
        <v>157</v>
      </c>
      <c r="C775" s="53" t="s">
        <v>1089</v>
      </c>
      <c r="D775" s="53" t="s">
        <v>553</v>
      </c>
      <c r="E775" s="53" t="s">
        <v>272</v>
      </c>
      <c r="F775" s="53" t="s">
        <v>145</v>
      </c>
      <c r="G775" s="53" t="s">
        <v>273</v>
      </c>
      <c r="H775" s="53">
        <v>1</v>
      </c>
      <c r="I775" s="53" t="s">
        <v>176</v>
      </c>
      <c r="J775" s="53">
        <v>1</v>
      </c>
      <c r="K775" s="53">
        <v>1</v>
      </c>
      <c r="L775" s="53">
        <v>6.5</v>
      </c>
      <c r="M775" s="53" t="s">
        <v>553</v>
      </c>
      <c r="N775" s="53">
        <v>9.8000000000000007</v>
      </c>
      <c r="O775" s="51" t="str">
        <f>TEXT(tblWorkPackages[[#This Row],[Request date serial]]-WEEKDAY(tblWorkPackages[[#This Row],[Request date serial]],3),"yyyy-mm-dd")</f>
        <v>2024-07-29</v>
      </c>
      <c r="P775" s="51">
        <f>ABS(tblWorkPackages[[#This Row],[Actual labor hours]]-tblWorkPackages[[#This Row],[Estimated labor hours]])</f>
        <v>3.3</v>
      </c>
      <c r="Q775" s="51">
        <f>IF(tblWorkPackages[[#This Row],[Actual labor hours]]&gt;tblWorkPackages[[#This Row],[Estimated labor hours]],1,0)</f>
        <v>1</v>
      </c>
      <c r="R775" s="51">
        <f>tblWorkPackages[[#This Row],[Actual labor hours]]-tblWorkPackages[[#This Row],[Estimated labor hours]]</f>
        <v>3.3</v>
      </c>
      <c r="S775" s="51" t="str">
        <f>IF(tblWorkPackages[[#This Row],[Request date serial]]&lt;ValidationStart,"Train 2024",IF(tblWorkPackages[[#This Row],[Request date serial]]&lt;HoldoutStart,"Validation H1","Holdout H2"))</f>
        <v>Train 2024</v>
      </c>
      <c r="T775" s="51" t="str">
        <f>IF(tblWorkPackages[[#This Row],[Time split]]="Train 2024","",tblWorkPackages[[#This Row],[Estimated labor hours]]+VLOOKUP(tblWorkPackages[[#This Row],[Task type]],'Forecast validation'!$A$14:$E$25,IF(tblWorkPackages[[#This Row],[Time split]]="Validation H1",4,5),FALSE()))</f>
        <v/>
      </c>
      <c r="U775" s="51" t="str">
        <f>IF(tblWorkPackages[[#This Row],[Calibrated forecast hours]]="","",ABS(tblWorkPackages[[#This Row],[Actual labor hours]]-tblWorkPackages[[#This Row],[Calibrated forecast hours]]))</f>
        <v/>
      </c>
      <c r="V775" s="51">
        <f>IF(tblWorkPackages[[#This Row],[Time split]]="Train 2024",tblWorkPackages[[#This Row],[Estimated labor hours]],tblWorkPackages[[#This Row],[Calibrated forecast hours]])</f>
        <v>6.5</v>
      </c>
      <c r="W775" s="64">
        <f>DATEVALUE(tblWorkPackages[[#This Row],[Request date]])</f>
        <v>45505.0</v>
      </c>
      <c r="X775" s="64">
        <f>DATEVALUE(tblWorkPackages[[#This Row],[Due date]])</f>
        <v>45511.0</v>
      </c>
      <c r="Y775" s="64">
        <f>DATEVALUE(tblWorkPackages[[#This Row],[Completion date]])</f>
        <v>45511.0</v>
      </c>
      <c r="Z775" s="64">
        <f>_xlfn.MINIFS(tblLaborEntries[Work date serial],tblLaborEntries[Work package ID],tblWorkPackages[[#This Row],[Work package ID]])</f>
        <v>45508.0</v>
      </c>
      <c r="AA775" s="64">
        <f>_xlfn.MAXIFS(tblLaborEntries[Work date serial],tblLaborEntries[Work package ID],tblWorkPackages[[#This Row],[Work package ID]])</f>
        <v>45510.0</v>
      </c>
      <c r="AB775" s="65">
        <f>IF(tblWorkPackages[[#This Row],[Completion date serial]]&gt;tblWorkPackages[[#This Row],[Due date serial]],1,0)</f>
        <v>0</v>
      </c>
      <c r="AC775" s="65">
        <f>MAX(0,tblWorkPackages[[#This Row],[Completion date serial]]-tblWorkPackages[[#This Row],[Due date serial]])</f>
        <v>0</v>
      </c>
      <c r="AD775" s="65">
        <f>tblWorkPackages[[#This Row],[First labor date]]-tblWorkPackages[[#This Row],[Request date serial]]</f>
        <v>3</v>
      </c>
      <c r="AE775" s="65">
        <f>tblWorkPackages[[#This Row],[Last labor date]]-tblWorkPackages[[#This Row],[First labor date]]</f>
        <v>2</v>
      </c>
      <c r="AF775" s="65">
        <f>tblWorkPackages[[#This Row],[Completion date serial]]-tblWorkPackages[[#This Row],[Last labor date]]</f>
        <v>1</v>
      </c>
      <c r="AG775" s="65">
        <f>tblWorkPackages[[#This Row],[Completion date serial]]-tblWorkPackages[[#This Row],[Request date serial]]</f>
        <v>6</v>
      </c>
      <c r="AH775" s="65">
        <f>IFERROR(INDEX(tblParts[Delay days],MATCH(tblWorkPackages[[#This Row],[Work package ID]],tblParts[Work package ID],0)),0)</f>
        <v>0</v>
      </c>
      <c r="AI775" s="51" t="str">
        <f>IFERROR(INDEX(tblDisruptions[Event type],MATCH(tblWorkPackages[[#This Row],[Work package ID]],tblDisruptions[Work package ID],0)),"None")</f>
        <v>Repeat inspection</v>
      </c>
      <c r="AJ775" s="51" t="str">
        <f>TEXT(tblWorkPackages[[#This Row],[Due date serial]],"yyyy-mm")</f>
        <v>2024-08</v>
      </c>
    </row>
    <row r="776" spans="1:36" ht="15" x14ac:dyDescent="0.25">
      <c r="A776" s="53" t="s">
        <v>1652</v>
      </c>
      <c r="B776" s="53" t="s">
        <v>157</v>
      </c>
      <c r="C776" s="53" t="s">
        <v>171</v>
      </c>
      <c r="D776" s="53" t="s">
        <v>204</v>
      </c>
      <c r="E776" s="53" t="s">
        <v>209</v>
      </c>
      <c r="F776" s="53" t="s">
        <v>145</v>
      </c>
      <c r="G776" s="53" t="s">
        <v>210</v>
      </c>
      <c r="H776" s="53">
        <v>2</v>
      </c>
      <c r="I776" s="53" t="s">
        <v>176</v>
      </c>
      <c r="J776" s="53">
        <v>0</v>
      </c>
      <c r="K776" s="53">
        <v>0</v>
      </c>
      <c r="L776" s="53">
        <v>17</v>
      </c>
      <c r="M776" s="53" t="s">
        <v>268</v>
      </c>
      <c r="N776" s="53">
        <v>18.3</v>
      </c>
      <c r="O776" s="51" t="str">
        <f>TEXT(tblWorkPackages[[#This Row],[Request date serial]]-WEEKDAY(tblWorkPackages[[#This Row],[Request date serial]],3),"yyyy-mm-dd")</f>
        <v>2024-10-21</v>
      </c>
      <c r="P776" s="51">
        <f>ABS(tblWorkPackages[[#This Row],[Actual labor hours]]-tblWorkPackages[[#This Row],[Estimated labor hours]])</f>
        <v>1.3</v>
      </c>
      <c r="Q776" s="51">
        <f>IF(tblWorkPackages[[#This Row],[Actual labor hours]]&gt;tblWorkPackages[[#This Row],[Estimated labor hours]],1,0)</f>
        <v>1</v>
      </c>
      <c r="R776" s="51">
        <f>tblWorkPackages[[#This Row],[Actual labor hours]]-tblWorkPackages[[#This Row],[Estimated labor hours]]</f>
        <v>1.3</v>
      </c>
      <c r="S776" s="51" t="str">
        <f>IF(tblWorkPackages[[#This Row],[Request date serial]]&lt;ValidationStart,"Train 2024",IF(tblWorkPackages[[#This Row],[Request date serial]]&lt;HoldoutStart,"Validation H1","Holdout H2"))</f>
        <v>Train 2024</v>
      </c>
      <c r="T776" s="51" t="str">
        <f>IF(tblWorkPackages[[#This Row],[Time split]]="Train 2024","",tblWorkPackages[[#This Row],[Estimated labor hours]]+VLOOKUP(tblWorkPackages[[#This Row],[Task type]],'Forecast validation'!$A$14:$E$25,IF(tblWorkPackages[[#This Row],[Time split]]="Validation H1",4,5),FALSE()))</f>
        <v/>
      </c>
      <c r="U776" s="51" t="str">
        <f>IF(tblWorkPackages[[#This Row],[Calibrated forecast hours]]="","",ABS(tblWorkPackages[[#This Row],[Actual labor hours]]-tblWorkPackages[[#This Row],[Calibrated forecast hours]]))</f>
        <v/>
      </c>
      <c r="V776" s="51">
        <f>IF(tblWorkPackages[[#This Row],[Time split]]="Train 2024",tblWorkPackages[[#This Row],[Estimated labor hours]],tblWorkPackages[[#This Row],[Calibrated forecast hours]])</f>
        <v>17</v>
      </c>
      <c r="W776" s="64">
        <f>DATEVALUE(tblWorkPackages[[#This Row],[Request date]])</f>
        <v>45590.0</v>
      </c>
      <c r="X776" s="64">
        <f>DATEVALUE(tblWorkPackages[[#This Row],[Due date]])</f>
        <v>45596.0</v>
      </c>
      <c r="Y776" s="64">
        <f>DATEVALUE(tblWorkPackages[[#This Row],[Completion date]])</f>
        <v>45644.0</v>
      </c>
      <c r="Z776" s="64">
        <f>_xlfn.MINIFS(tblLaborEntries[Work date serial],tblLaborEntries[Work package ID],tblWorkPackages[[#This Row],[Work package ID]])</f>
        <v>45640.0</v>
      </c>
      <c r="AA776" s="64">
        <f>_xlfn.MAXIFS(tblLaborEntries[Work date serial],tblLaborEntries[Work package ID],tblWorkPackages[[#This Row],[Work package ID]])</f>
        <v>45642.0</v>
      </c>
      <c r="AB776" s="65">
        <f>IF(tblWorkPackages[[#This Row],[Completion date serial]]&gt;tblWorkPackages[[#This Row],[Due date serial]],1,0)</f>
        <v>1</v>
      </c>
      <c r="AC776" s="65">
        <f>MAX(0,tblWorkPackages[[#This Row],[Completion date serial]]-tblWorkPackages[[#This Row],[Due date serial]])</f>
        <v>48</v>
      </c>
      <c r="AD776" s="65">
        <f>tblWorkPackages[[#This Row],[First labor date]]-tblWorkPackages[[#This Row],[Request date serial]]</f>
        <v>50</v>
      </c>
      <c r="AE776" s="65">
        <f>tblWorkPackages[[#This Row],[Last labor date]]-tblWorkPackages[[#This Row],[First labor date]]</f>
        <v>2</v>
      </c>
      <c r="AF776" s="65">
        <f>tblWorkPackages[[#This Row],[Completion date serial]]-tblWorkPackages[[#This Row],[Last labor date]]</f>
        <v>2</v>
      </c>
      <c r="AG776" s="65">
        <f>tblWorkPackages[[#This Row],[Completion date serial]]-tblWorkPackages[[#This Row],[Request date serial]]</f>
        <v>54</v>
      </c>
      <c r="AH776" s="65">
        <f>IFERROR(INDEX(tblParts[Delay days],MATCH(tblWorkPackages[[#This Row],[Work package ID]],tblParts[Work package ID],0)),0)</f>
        <v>0</v>
      </c>
      <c r="AI776" s="51" t="str">
        <f>IFERROR(INDEX(tblDisruptions[Event type],MATCH(tblWorkPackages[[#This Row],[Work package ID]],tblDisruptions[Work package ID],0)),"None")</f>
        <v>None</v>
      </c>
      <c r="AJ776" s="51" t="str">
        <f>TEXT(tblWorkPackages[[#This Row],[Due date serial]],"yyyy-mm")</f>
        <v>2024-10</v>
      </c>
    </row>
    <row r="777" spans="1:36" ht="15" x14ac:dyDescent="0.25">
      <c r="A777" s="53" t="s">
        <v>1653</v>
      </c>
      <c r="B777" s="53" t="s">
        <v>235</v>
      </c>
      <c r="C777" s="53" t="s">
        <v>443</v>
      </c>
      <c r="D777" s="53" t="s">
        <v>246</v>
      </c>
      <c r="E777" s="53" t="s">
        <v>209</v>
      </c>
      <c r="F777" s="53" t="s">
        <v>145</v>
      </c>
      <c r="G777" s="53" t="s">
        <v>210</v>
      </c>
      <c r="H777" s="53">
        <v>4</v>
      </c>
      <c r="I777" s="53" t="s">
        <v>130</v>
      </c>
      <c r="J777" s="53">
        <v>0</v>
      </c>
      <c r="K777" s="53">
        <v>0</v>
      </c>
      <c r="L777" s="53">
        <v>40.4</v>
      </c>
      <c r="M777" s="53" t="s">
        <v>701</v>
      </c>
      <c r="N777" s="53">
        <v>31.8</v>
      </c>
      <c r="O777" s="51" t="str">
        <f>TEXT(tblWorkPackages[[#This Row],[Request date serial]]-WEEKDAY(tblWorkPackages[[#This Row],[Request date serial]],3),"yyyy-mm-dd")</f>
        <v>2024-02-26</v>
      </c>
      <c r="P777" s="51">
        <f>ABS(tblWorkPackages[[#This Row],[Actual labor hours]]-tblWorkPackages[[#This Row],[Estimated labor hours]])</f>
        <v>8.6</v>
      </c>
      <c r="Q777" s="51">
        <f>IF(tblWorkPackages[[#This Row],[Actual labor hours]]&gt;tblWorkPackages[[#This Row],[Estimated labor hours]],1,0)</f>
        <v>0</v>
      </c>
      <c r="R777" s="51">
        <f>tblWorkPackages[[#This Row],[Actual labor hours]]-tblWorkPackages[[#This Row],[Estimated labor hours]]</f>
        <v>-8.6</v>
      </c>
      <c r="S777" s="51" t="str">
        <f>IF(tblWorkPackages[[#This Row],[Request date serial]]&lt;ValidationStart,"Train 2024",IF(tblWorkPackages[[#This Row],[Request date serial]]&lt;HoldoutStart,"Validation H1","Holdout H2"))</f>
        <v>Train 2024</v>
      </c>
      <c r="T777" s="51" t="str">
        <f>IF(tblWorkPackages[[#This Row],[Time split]]="Train 2024","",tblWorkPackages[[#This Row],[Estimated labor hours]]+VLOOKUP(tblWorkPackages[[#This Row],[Task type]],'Forecast validation'!$A$14:$E$25,IF(tblWorkPackages[[#This Row],[Time split]]="Validation H1",4,5),FALSE()))</f>
        <v/>
      </c>
      <c r="U777" s="51" t="str">
        <f>IF(tblWorkPackages[[#This Row],[Calibrated forecast hours]]="","",ABS(tblWorkPackages[[#This Row],[Actual labor hours]]-tblWorkPackages[[#This Row],[Calibrated forecast hours]]))</f>
        <v/>
      </c>
      <c r="V777" s="51">
        <f>IF(tblWorkPackages[[#This Row],[Time split]]="Train 2024",tblWorkPackages[[#This Row],[Estimated labor hours]],tblWorkPackages[[#This Row],[Calibrated forecast hours]])</f>
        <v>40.4</v>
      </c>
      <c r="W777" s="64">
        <f>DATEVALUE(tblWorkPackages[[#This Row],[Request date]])</f>
        <v>45351.0</v>
      </c>
      <c r="X777" s="64">
        <f>DATEVALUE(tblWorkPackages[[#This Row],[Due date]])</f>
        <v>45364.0</v>
      </c>
      <c r="Y777" s="64">
        <f>DATEVALUE(tblWorkPackages[[#This Row],[Completion date]])</f>
        <v>45362.0</v>
      </c>
      <c r="Z777" s="64">
        <f>_xlfn.MINIFS(tblLaborEntries[Work date serial],tblLaborEntries[Work package ID],tblWorkPackages[[#This Row],[Work package ID]])</f>
        <v>45359.0</v>
      </c>
      <c r="AA777" s="64">
        <f>_xlfn.MAXIFS(tblLaborEntries[Work date serial],tblLaborEntries[Work package ID],tblWorkPackages[[#This Row],[Work package ID]])</f>
        <v>45359.0</v>
      </c>
      <c r="AB777" s="65">
        <f>IF(tblWorkPackages[[#This Row],[Completion date serial]]&gt;tblWorkPackages[[#This Row],[Due date serial]],1,0)</f>
        <v>0</v>
      </c>
      <c r="AC777" s="65">
        <f>MAX(0,tblWorkPackages[[#This Row],[Completion date serial]]-tblWorkPackages[[#This Row],[Due date serial]])</f>
        <v>0</v>
      </c>
      <c r="AD777" s="65">
        <f>tblWorkPackages[[#This Row],[First labor date]]-tblWorkPackages[[#This Row],[Request date serial]]</f>
        <v>8</v>
      </c>
      <c r="AE777" s="65">
        <f>tblWorkPackages[[#This Row],[Last labor date]]-tblWorkPackages[[#This Row],[First labor date]]</f>
        <v>0</v>
      </c>
      <c r="AF777" s="65">
        <f>tblWorkPackages[[#This Row],[Completion date serial]]-tblWorkPackages[[#This Row],[Last labor date]]</f>
        <v>3</v>
      </c>
      <c r="AG777" s="65">
        <f>tblWorkPackages[[#This Row],[Completion date serial]]-tblWorkPackages[[#This Row],[Request date serial]]</f>
        <v>11</v>
      </c>
      <c r="AH777" s="65">
        <f>IFERROR(INDEX(tblParts[Delay days],MATCH(tblWorkPackages[[#This Row],[Work package ID]],tblParts[Work package ID],0)),0)</f>
        <v>0</v>
      </c>
      <c r="AI777" s="51" t="str">
        <f>IFERROR(INDEX(tblDisruptions[Event type],MATCH(tblWorkPackages[[#This Row],[Work package ID]],tblDisruptions[Work package ID],0)),"None")</f>
        <v>None</v>
      </c>
      <c r="AJ777" s="51" t="str">
        <f>TEXT(tblWorkPackages[[#This Row],[Due date serial]],"yyyy-mm")</f>
        <v>2024-03</v>
      </c>
    </row>
    <row r="778" spans="1:36" ht="15" x14ac:dyDescent="0.25">
      <c r="A778" s="53" t="s">
        <v>1654</v>
      </c>
      <c r="B778" s="53" t="s">
        <v>230</v>
      </c>
      <c r="C778" s="53" t="s">
        <v>714</v>
      </c>
      <c r="D778" s="53" t="s">
        <v>201</v>
      </c>
      <c r="E778" s="53" t="s">
        <v>181</v>
      </c>
      <c r="F778" s="53" t="s">
        <v>182</v>
      </c>
      <c r="G778" s="53" t="s">
        <v>138</v>
      </c>
      <c r="H778" s="53">
        <v>2</v>
      </c>
      <c r="I778" s="53" t="s">
        <v>176</v>
      </c>
      <c r="J778" s="53">
        <v>0</v>
      </c>
      <c r="K778" s="53">
        <v>1</v>
      </c>
      <c r="L778" s="53">
        <v>8.5</v>
      </c>
      <c r="M778" s="53" t="s">
        <v>1256</v>
      </c>
      <c r="N778" s="53">
        <v>10</v>
      </c>
      <c r="O778" s="51" t="str">
        <f>TEXT(tblWorkPackages[[#This Row],[Request date serial]]-WEEKDAY(tblWorkPackages[[#This Row],[Request date serial]],3),"yyyy-mm-dd")</f>
        <v>2025-06-16</v>
      </c>
      <c r="P778" s="51">
        <f>ABS(tblWorkPackages[[#This Row],[Actual labor hours]]-tblWorkPackages[[#This Row],[Estimated labor hours]])</f>
        <v>1.5</v>
      </c>
      <c r="Q778" s="51">
        <f>IF(tblWorkPackages[[#This Row],[Actual labor hours]]&gt;tblWorkPackages[[#This Row],[Estimated labor hours]],1,0)</f>
        <v>1</v>
      </c>
      <c r="R778" s="51">
        <f>tblWorkPackages[[#This Row],[Actual labor hours]]-tblWorkPackages[[#This Row],[Estimated labor hours]]</f>
        <v>1.5</v>
      </c>
      <c r="S778" s="51" t="str">
        <f>IF(tblWorkPackages[[#This Row],[Request date serial]]&lt;ValidationStart,"Train 2024",IF(tblWorkPackages[[#This Row],[Request date serial]]&lt;HoldoutStart,"Validation H1","Holdout H2"))</f>
        <v>Validation H1</v>
      </c>
      <c r="T778" s="51">
        <f>IF(tblWorkPackages[[#This Row],[Time split]]="Train 2024","",tblWorkPackages[[#This Row],[Estimated labor hours]]+VLOOKUP(tblWorkPackages[[#This Row],[Task type]],'Forecast validation'!$A$14:$E$25,IF(tblWorkPackages[[#This Row],[Time split]]="Validation H1",4,5),FALSE()))</f>
        <v>9.08409090909091</v>
      </c>
      <c r="U778" s="51">
        <f>IF(tblWorkPackages[[#This Row],[Calibrated forecast hours]]="","",ABS(tblWorkPackages[[#This Row],[Actual labor hours]]-tblWorkPackages[[#This Row],[Calibrated forecast hours]]))</f>
        <v>0.915909090909091</v>
      </c>
      <c r="V778" s="51">
        <f>IF(tblWorkPackages[[#This Row],[Time split]]="Train 2024",tblWorkPackages[[#This Row],[Estimated labor hours]],tblWorkPackages[[#This Row],[Calibrated forecast hours]])</f>
        <v>9.08409090909091</v>
      </c>
      <c r="W778" s="64">
        <f>DATEVALUE(tblWorkPackages[[#This Row],[Request date]])</f>
        <v>45829.0</v>
      </c>
      <c r="X778" s="64">
        <f>DATEVALUE(tblWorkPackages[[#This Row],[Due date]])</f>
        <v>45835.0</v>
      </c>
      <c r="Y778" s="64">
        <f>DATEVALUE(tblWorkPackages[[#This Row],[Completion date]])</f>
        <v>45831.0</v>
      </c>
      <c r="Z778" s="64">
        <f>_xlfn.MINIFS(tblLaborEntries[Work date serial],tblLaborEntries[Work package ID],tblWorkPackages[[#This Row],[Work package ID]])</f>
        <v>45831.0</v>
      </c>
      <c r="AA778" s="64">
        <f>_xlfn.MAXIFS(tblLaborEntries[Work date serial],tblLaborEntries[Work package ID],tblWorkPackages[[#This Row],[Work package ID]])</f>
        <v>45831.0</v>
      </c>
      <c r="AB778" s="65">
        <f>IF(tblWorkPackages[[#This Row],[Completion date serial]]&gt;tblWorkPackages[[#This Row],[Due date serial]],1,0)</f>
        <v>0</v>
      </c>
      <c r="AC778" s="65">
        <f>MAX(0,tblWorkPackages[[#This Row],[Completion date serial]]-tblWorkPackages[[#This Row],[Due date serial]])</f>
        <v>0</v>
      </c>
      <c r="AD778" s="65">
        <f>tblWorkPackages[[#This Row],[First labor date]]-tblWorkPackages[[#This Row],[Request date serial]]</f>
        <v>2</v>
      </c>
      <c r="AE778" s="65">
        <f>tblWorkPackages[[#This Row],[Last labor date]]-tblWorkPackages[[#This Row],[First labor date]]</f>
        <v>0</v>
      </c>
      <c r="AF778" s="65">
        <f>tblWorkPackages[[#This Row],[Completion date serial]]-tblWorkPackages[[#This Row],[Last labor date]]</f>
        <v>0</v>
      </c>
      <c r="AG778" s="65">
        <f>tblWorkPackages[[#This Row],[Completion date serial]]-tblWorkPackages[[#This Row],[Request date serial]]</f>
        <v>2</v>
      </c>
      <c r="AH778" s="65">
        <f>IFERROR(INDEX(tblParts[Delay days],MATCH(tblWorkPackages[[#This Row],[Work package ID]],tblParts[Work package ID],0)),0)</f>
        <v>0</v>
      </c>
      <c r="AI778" s="51" t="str">
        <f>IFERROR(INDEX(tblDisruptions[Event type],MATCH(tblWorkPackages[[#This Row],[Work package ID]],tblDisruptions[Work package ID],0)),"None")</f>
        <v>None</v>
      </c>
      <c r="AJ778" s="51" t="str">
        <f>TEXT(tblWorkPackages[[#This Row],[Due date serial]],"yyyy-mm")</f>
        <v>2025-06</v>
      </c>
    </row>
    <row r="779" spans="1:36" ht="15" x14ac:dyDescent="0.25">
      <c r="A779" s="53" t="s">
        <v>1655</v>
      </c>
      <c r="B779" s="53" t="s">
        <v>235</v>
      </c>
      <c r="C779" s="53" t="s">
        <v>259</v>
      </c>
      <c r="D779" s="53" t="s">
        <v>260</v>
      </c>
      <c r="E779" s="53" t="s">
        <v>223</v>
      </c>
      <c r="F779" s="53" t="s">
        <v>182</v>
      </c>
      <c r="G779" s="53" t="s">
        <v>154</v>
      </c>
      <c r="H779" s="53">
        <v>3</v>
      </c>
      <c r="I779" s="53" t="s">
        <v>130</v>
      </c>
      <c r="J779" s="53">
        <v>0</v>
      </c>
      <c r="K779" s="53">
        <v>0</v>
      </c>
      <c r="L779" s="53">
        <v>16.7</v>
      </c>
      <c r="M779" s="53" t="s">
        <v>962</v>
      </c>
      <c r="N779" s="53">
        <v>14.2</v>
      </c>
      <c r="O779" s="51" t="str">
        <f>TEXT(tblWorkPackages[[#This Row],[Request date serial]]-WEEKDAY(tblWorkPackages[[#This Row],[Request date serial]],3),"yyyy-mm-dd")</f>
        <v>2025-01-13</v>
      </c>
      <c r="P779" s="51">
        <f>ABS(tblWorkPackages[[#This Row],[Actual labor hours]]-tblWorkPackages[[#This Row],[Estimated labor hours]])</f>
        <v>2.5</v>
      </c>
      <c r="Q779" s="51">
        <f>IF(tblWorkPackages[[#This Row],[Actual labor hours]]&gt;tblWorkPackages[[#This Row],[Estimated labor hours]],1,0)</f>
        <v>0</v>
      </c>
      <c r="R779" s="51">
        <f>tblWorkPackages[[#This Row],[Actual labor hours]]-tblWorkPackages[[#This Row],[Estimated labor hours]]</f>
        <v>-2.5</v>
      </c>
      <c r="S779" s="51" t="str">
        <f>IF(tblWorkPackages[[#This Row],[Request date serial]]&lt;ValidationStart,"Train 2024",IF(tblWorkPackages[[#This Row],[Request date serial]]&lt;HoldoutStart,"Validation H1","Holdout H2"))</f>
        <v>Validation H1</v>
      </c>
      <c r="T779" s="51">
        <f>IF(tblWorkPackages[[#This Row],[Time split]]="Train 2024","",tblWorkPackages[[#This Row],[Estimated labor hours]]+VLOOKUP(tblWorkPackages[[#This Row],[Task type]],'Forecast validation'!$A$14:$E$25,IF(tblWorkPackages[[#This Row],[Time split]]="Validation H1",4,5),FALSE()))</f>
        <v>17.5824175824176</v>
      </c>
      <c r="U779" s="51">
        <f>IF(tblWorkPackages[[#This Row],[Calibrated forecast hours]]="","",ABS(tblWorkPackages[[#This Row],[Actual labor hours]]-tblWorkPackages[[#This Row],[Calibrated forecast hours]]))</f>
        <v>3.38241758241758</v>
      </c>
      <c r="V779" s="51">
        <f>IF(tblWorkPackages[[#This Row],[Time split]]="Train 2024",tblWorkPackages[[#This Row],[Estimated labor hours]],tblWorkPackages[[#This Row],[Calibrated forecast hours]])</f>
        <v>17.5824175824176</v>
      </c>
      <c r="W779" s="64">
        <f>DATEVALUE(tblWorkPackages[[#This Row],[Request date]])</f>
        <v>45673.0</v>
      </c>
      <c r="X779" s="64">
        <f>DATEVALUE(tblWorkPackages[[#This Row],[Due date]])</f>
        <v>45686.0</v>
      </c>
      <c r="Y779" s="64">
        <f>DATEVALUE(tblWorkPackages[[#This Row],[Completion date]])</f>
        <v>45694.0</v>
      </c>
      <c r="Z779" s="64">
        <f>_xlfn.MINIFS(tblLaborEntries[Work date serial],tblLaborEntries[Work package ID],tblWorkPackages[[#This Row],[Work package ID]])</f>
        <v>45693.0</v>
      </c>
      <c r="AA779" s="64">
        <f>_xlfn.MAXIFS(tblLaborEntries[Work date serial],tblLaborEntries[Work package ID],tblWorkPackages[[#This Row],[Work package ID]])</f>
        <v>45693.0</v>
      </c>
      <c r="AB779" s="65">
        <f>IF(tblWorkPackages[[#This Row],[Completion date serial]]&gt;tblWorkPackages[[#This Row],[Due date serial]],1,0)</f>
        <v>1</v>
      </c>
      <c r="AC779" s="65">
        <f>MAX(0,tblWorkPackages[[#This Row],[Completion date serial]]-tblWorkPackages[[#This Row],[Due date serial]])</f>
        <v>8</v>
      </c>
      <c r="AD779" s="65">
        <f>tblWorkPackages[[#This Row],[First labor date]]-tblWorkPackages[[#This Row],[Request date serial]]</f>
        <v>20</v>
      </c>
      <c r="AE779" s="65">
        <f>tblWorkPackages[[#This Row],[Last labor date]]-tblWorkPackages[[#This Row],[First labor date]]</f>
        <v>0</v>
      </c>
      <c r="AF779" s="65">
        <f>tblWorkPackages[[#This Row],[Completion date serial]]-tblWorkPackages[[#This Row],[Last labor date]]</f>
        <v>1</v>
      </c>
      <c r="AG779" s="65">
        <f>tblWorkPackages[[#This Row],[Completion date serial]]-tblWorkPackages[[#This Row],[Request date serial]]</f>
        <v>21</v>
      </c>
      <c r="AH779" s="65">
        <f>IFERROR(INDEX(tblParts[Delay days],MATCH(tblWorkPackages[[#This Row],[Work package ID]],tblParts[Work package ID],0)),0)</f>
        <v>0</v>
      </c>
      <c r="AI779" s="51" t="str">
        <f>IFERROR(INDEX(tblDisruptions[Event type],MATCH(tblWorkPackages[[#This Row],[Work package ID]],tblDisruptions[Work package ID],0)),"None")</f>
        <v>None</v>
      </c>
      <c r="AJ779" s="51" t="str">
        <f>TEXT(tblWorkPackages[[#This Row],[Due date serial]],"yyyy-mm")</f>
        <v>2025-01</v>
      </c>
    </row>
    <row r="780" spans="1:36" ht="15" x14ac:dyDescent="0.25">
      <c r="A780" s="53" t="s">
        <v>1656</v>
      </c>
      <c r="B780" s="53" t="s">
        <v>150</v>
      </c>
      <c r="C780" s="53" t="s">
        <v>779</v>
      </c>
      <c r="D780" s="53" t="s">
        <v>1048</v>
      </c>
      <c r="E780" s="53" t="s">
        <v>209</v>
      </c>
      <c r="F780" s="53" t="s">
        <v>145</v>
      </c>
      <c r="G780" s="53" t="s">
        <v>210</v>
      </c>
      <c r="H780" s="53">
        <v>4</v>
      </c>
      <c r="I780" s="53" t="s">
        <v>176</v>
      </c>
      <c r="J780" s="53">
        <v>0</v>
      </c>
      <c r="K780" s="53">
        <v>0</v>
      </c>
      <c r="L780" s="53">
        <v>38.200000000000003</v>
      </c>
      <c r="M780" s="53" t="s">
        <v>357</v>
      </c>
      <c r="N780" s="53">
        <v>43.5</v>
      </c>
      <c r="O780" s="51" t="str">
        <f>TEXT(tblWorkPackages[[#This Row],[Request date serial]]-WEEKDAY(tblWorkPackages[[#This Row],[Request date serial]],3),"yyyy-mm-dd")</f>
        <v>2025-12-22</v>
      </c>
      <c r="P780" s="51">
        <f>ABS(tblWorkPackages[[#This Row],[Actual labor hours]]-tblWorkPackages[[#This Row],[Estimated labor hours]])</f>
        <v>5.3</v>
      </c>
      <c r="Q780" s="51">
        <f>IF(tblWorkPackages[[#This Row],[Actual labor hours]]&gt;tblWorkPackages[[#This Row],[Estimated labor hours]],1,0)</f>
        <v>1</v>
      </c>
      <c r="R780" s="51">
        <f>tblWorkPackages[[#This Row],[Actual labor hours]]-tblWorkPackages[[#This Row],[Estimated labor hours]]</f>
        <v>5.3</v>
      </c>
      <c r="S780" s="51" t="str">
        <f>IF(tblWorkPackages[[#This Row],[Request date serial]]&lt;ValidationStart,"Train 2024",IF(tblWorkPackages[[#This Row],[Request date serial]]&lt;HoldoutStart,"Validation H1","Holdout H2"))</f>
        <v>Holdout H2</v>
      </c>
      <c r="T780" s="51">
        <f>IF(tblWorkPackages[[#This Row],[Time split]]="Train 2024","",tblWorkPackages[[#This Row],[Estimated labor hours]]+VLOOKUP(tblWorkPackages[[#This Row],[Task type]],'Forecast validation'!$A$14:$E$25,IF(tblWorkPackages[[#This Row],[Time split]]="Validation H1",4,5),FALSE()))</f>
        <v>39.995652173913</v>
      </c>
      <c r="U780" s="51">
        <f>IF(tblWorkPackages[[#This Row],[Calibrated forecast hours]]="","",ABS(tblWorkPackages[[#This Row],[Actual labor hours]]-tblWorkPackages[[#This Row],[Calibrated forecast hours]]))</f>
        <v>3.50434782608696</v>
      </c>
      <c r="V780" s="51">
        <f>IF(tblWorkPackages[[#This Row],[Time split]]="Train 2024",tblWorkPackages[[#This Row],[Estimated labor hours]],tblWorkPackages[[#This Row],[Calibrated forecast hours]])</f>
        <v>39.995652173913</v>
      </c>
      <c r="W780" s="64">
        <f>DATEVALUE(tblWorkPackages[[#This Row],[Request date]])</f>
        <v>46018.0</v>
      </c>
      <c r="X780" s="64">
        <f>DATEVALUE(tblWorkPackages[[#This Row],[Due date]])</f>
        <v>46024.0</v>
      </c>
      <c r="Y780" s="64">
        <f>DATEVALUE(tblWorkPackages[[#This Row],[Completion date]])</f>
        <v>46025.0</v>
      </c>
      <c r="Z780" s="64">
        <f>_xlfn.MINIFS(tblLaborEntries[Work date serial],tblLaborEntries[Work package ID],tblWorkPackages[[#This Row],[Work package ID]])</f>
        <v>46022.0</v>
      </c>
      <c r="AA780" s="64">
        <f>_xlfn.MAXIFS(tblLaborEntries[Work date serial],tblLaborEntries[Work package ID],tblWorkPackages[[#This Row],[Work package ID]])</f>
        <v>46023.0</v>
      </c>
      <c r="AB780" s="65">
        <f>IF(tblWorkPackages[[#This Row],[Completion date serial]]&gt;tblWorkPackages[[#This Row],[Due date serial]],1,0)</f>
        <v>1</v>
      </c>
      <c r="AC780" s="65">
        <f>MAX(0,tblWorkPackages[[#This Row],[Completion date serial]]-tblWorkPackages[[#This Row],[Due date serial]])</f>
        <v>1</v>
      </c>
      <c r="AD780" s="65">
        <f>tblWorkPackages[[#This Row],[First labor date]]-tblWorkPackages[[#This Row],[Request date serial]]</f>
        <v>4</v>
      </c>
      <c r="AE780" s="65">
        <f>tblWorkPackages[[#This Row],[Last labor date]]-tblWorkPackages[[#This Row],[First labor date]]</f>
        <v>1</v>
      </c>
      <c r="AF780" s="65">
        <f>tblWorkPackages[[#This Row],[Completion date serial]]-tblWorkPackages[[#This Row],[Last labor date]]</f>
        <v>2</v>
      </c>
      <c r="AG780" s="65">
        <f>tblWorkPackages[[#This Row],[Completion date serial]]-tblWorkPackages[[#This Row],[Request date serial]]</f>
        <v>7</v>
      </c>
      <c r="AH780" s="65">
        <f>IFERROR(INDEX(tblParts[Delay days],MATCH(tblWorkPackages[[#This Row],[Work package ID]],tblParts[Work package ID],0)),0)</f>
        <v>0</v>
      </c>
      <c r="AI780" s="51" t="str">
        <f>IFERROR(INDEX(tblDisruptions[Event type],MATCH(tblWorkPackages[[#This Row],[Work package ID]],tblDisruptions[Work package ID],0)),"None")</f>
        <v>Technician absence</v>
      </c>
      <c r="AJ780" s="51" t="str">
        <f>TEXT(tblWorkPackages[[#This Row],[Due date serial]],"yyyy-mm")</f>
        <v>2026-01</v>
      </c>
    </row>
    <row r="781" spans="1:36" ht="15" x14ac:dyDescent="0.25">
      <c r="A781" s="53" t="s">
        <v>1657</v>
      </c>
      <c r="B781" s="53" t="s">
        <v>124</v>
      </c>
      <c r="C781" s="53" t="s">
        <v>1260</v>
      </c>
      <c r="D781" s="53" t="s">
        <v>248</v>
      </c>
      <c r="E781" s="53" t="s">
        <v>242</v>
      </c>
      <c r="F781" s="53" t="s">
        <v>243</v>
      </c>
      <c r="G781" s="53" t="s">
        <v>129</v>
      </c>
      <c r="H781" s="53">
        <v>3</v>
      </c>
      <c r="I781" s="53" t="s">
        <v>130</v>
      </c>
      <c r="J781" s="53">
        <v>0</v>
      </c>
      <c r="K781" s="53">
        <v>0</v>
      </c>
      <c r="L781" s="53">
        <v>13.2</v>
      </c>
      <c r="M781" s="53" t="s">
        <v>328</v>
      </c>
      <c r="N781" s="53">
        <v>12</v>
      </c>
      <c r="O781" s="51" t="str">
        <f>TEXT(tblWorkPackages[[#This Row],[Request date serial]]-WEEKDAY(tblWorkPackages[[#This Row],[Request date serial]],3),"yyyy-mm-dd")</f>
        <v>2024-03-04</v>
      </c>
      <c r="P781" s="51">
        <f>ABS(tblWorkPackages[[#This Row],[Actual labor hours]]-tblWorkPackages[[#This Row],[Estimated labor hours]])</f>
        <v>1.2</v>
      </c>
      <c r="Q781" s="51">
        <f>IF(tblWorkPackages[[#This Row],[Actual labor hours]]&gt;tblWorkPackages[[#This Row],[Estimated labor hours]],1,0)</f>
        <v>0</v>
      </c>
      <c r="R781" s="51">
        <f>tblWorkPackages[[#This Row],[Actual labor hours]]-tblWorkPackages[[#This Row],[Estimated labor hours]]</f>
        <v>-1.2</v>
      </c>
      <c r="S781" s="51" t="str">
        <f>IF(tblWorkPackages[[#This Row],[Request date serial]]&lt;ValidationStart,"Train 2024",IF(tblWorkPackages[[#This Row],[Request date serial]]&lt;HoldoutStart,"Validation H1","Holdout H2"))</f>
        <v>Train 2024</v>
      </c>
      <c r="T781" s="51" t="str">
        <f>IF(tblWorkPackages[[#This Row],[Time split]]="Train 2024","",tblWorkPackages[[#This Row],[Estimated labor hours]]+VLOOKUP(tblWorkPackages[[#This Row],[Task type]],'Forecast validation'!$A$14:$E$25,IF(tblWorkPackages[[#This Row],[Time split]]="Validation H1",4,5),FALSE()))</f>
        <v/>
      </c>
      <c r="U781" s="51" t="str">
        <f>IF(tblWorkPackages[[#This Row],[Calibrated forecast hours]]="","",ABS(tblWorkPackages[[#This Row],[Actual labor hours]]-tblWorkPackages[[#This Row],[Calibrated forecast hours]]))</f>
        <v/>
      </c>
      <c r="V781" s="51">
        <f>IF(tblWorkPackages[[#This Row],[Time split]]="Train 2024",tblWorkPackages[[#This Row],[Estimated labor hours]],tblWorkPackages[[#This Row],[Calibrated forecast hours]])</f>
        <v>13.2</v>
      </c>
      <c r="W781" s="64">
        <f>DATEVALUE(tblWorkPackages[[#This Row],[Request date]])</f>
        <v>45355.0</v>
      </c>
      <c r="X781" s="64">
        <f>DATEVALUE(tblWorkPackages[[#This Row],[Due date]])</f>
        <v>45368.0</v>
      </c>
      <c r="Y781" s="64">
        <f>DATEVALUE(tblWorkPackages[[#This Row],[Completion date]])</f>
        <v>45361.0</v>
      </c>
      <c r="Z781" s="64">
        <f>_xlfn.MINIFS(tblLaborEntries[Work date serial],tblLaborEntries[Work package ID],tblWorkPackages[[#This Row],[Work package ID]])</f>
        <v>45356.0</v>
      </c>
      <c r="AA781" s="64">
        <f>_xlfn.MAXIFS(tblLaborEntries[Work date serial],tblLaborEntries[Work package ID],tblWorkPackages[[#This Row],[Work package ID]])</f>
        <v>45358.0</v>
      </c>
      <c r="AB781" s="65">
        <f>IF(tblWorkPackages[[#This Row],[Completion date serial]]&gt;tblWorkPackages[[#This Row],[Due date serial]],1,0)</f>
        <v>0</v>
      </c>
      <c r="AC781" s="65">
        <f>MAX(0,tblWorkPackages[[#This Row],[Completion date serial]]-tblWorkPackages[[#This Row],[Due date serial]])</f>
        <v>0</v>
      </c>
      <c r="AD781" s="65">
        <f>tblWorkPackages[[#This Row],[First labor date]]-tblWorkPackages[[#This Row],[Request date serial]]</f>
        <v>1</v>
      </c>
      <c r="AE781" s="65">
        <f>tblWorkPackages[[#This Row],[Last labor date]]-tblWorkPackages[[#This Row],[First labor date]]</f>
        <v>2</v>
      </c>
      <c r="AF781" s="65">
        <f>tblWorkPackages[[#This Row],[Completion date serial]]-tblWorkPackages[[#This Row],[Last labor date]]</f>
        <v>3</v>
      </c>
      <c r="AG781" s="65">
        <f>tblWorkPackages[[#This Row],[Completion date serial]]-tblWorkPackages[[#This Row],[Request date serial]]</f>
        <v>6</v>
      </c>
      <c r="AH781" s="65">
        <f>IFERROR(INDEX(tblParts[Delay days],MATCH(tblWorkPackages[[#This Row],[Work package ID]],tblParts[Work package ID],0)),0)</f>
        <v>0</v>
      </c>
      <c r="AI781" s="51" t="str">
        <f>IFERROR(INDEX(tblDisruptions[Event type],MATCH(tblWorkPackages[[#This Row],[Work package ID]],tblDisruptions[Work package ID],0)),"None")</f>
        <v>None</v>
      </c>
      <c r="AJ781" s="51" t="str">
        <f>TEXT(tblWorkPackages[[#This Row],[Due date serial]],"yyyy-mm")</f>
        <v>2024-03</v>
      </c>
    </row>
    <row r="782" spans="1:36" ht="15" x14ac:dyDescent="0.25">
      <c r="A782" s="53" t="s">
        <v>1658</v>
      </c>
      <c r="B782" s="53" t="s">
        <v>163</v>
      </c>
      <c r="C782" s="53" t="s">
        <v>778</v>
      </c>
      <c r="D782" s="53" t="s">
        <v>219</v>
      </c>
      <c r="E782" s="53" t="s">
        <v>160</v>
      </c>
      <c r="F782" s="53" t="s">
        <v>128</v>
      </c>
      <c r="G782" s="53" t="s">
        <v>138</v>
      </c>
      <c r="H782" s="53">
        <v>2</v>
      </c>
      <c r="I782" s="53" t="s">
        <v>176</v>
      </c>
      <c r="J782" s="53">
        <v>0</v>
      </c>
      <c r="K782" s="53">
        <v>0</v>
      </c>
      <c r="L782" s="53">
        <v>4.0999999999999996</v>
      </c>
      <c r="M782" s="53" t="s">
        <v>1429</v>
      </c>
      <c r="N782" s="53">
        <v>4.9000000000000004</v>
      </c>
      <c r="O782" s="51" t="str">
        <f>TEXT(tblWorkPackages[[#This Row],[Request date serial]]-WEEKDAY(tblWorkPackages[[#This Row],[Request date serial]],3),"yyyy-mm-dd")</f>
        <v>2025-12-08</v>
      </c>
      <c r="P782" s="51">
        <f>ABS(tblWorkPackages[[#This Row],[Actual labor hours]]-tblWorkPackages[[#This Row],[Estimated labor hours]])</f>
        <v>0.800000000000001</v>
      </c>
      <c r="Q782" s="51">
        <f>IF(tblWorkPackages[[#This Row],[Actual labor hours]]&gt;tblWorkPackages[[#This Row],[Estimated labor hours]],1,0)</f>
        <v>1</v>
      </c>
      <c r="R782" s="51">
        <f>tblWorkPackages[[#This Row],[Actual labor hours]]-tblWorkPackages[[#This Row],[Estimated labor hours]]</f>
        <v>0.800000000000001</v>
      </c>
      <c r="S782" s="51" t="str">
        <f>IF(tblWorkPackages[[#This Row],[Request date serial]]&lt;ValidationStart,"Train 2024",IF(tblWorkPackages[[#This Row],[Request date serial]]&lt;HoldoutStart,"Validation H1","Holdout H2"))</f>
        <v>Holdout H2</v>
      </c>
      <c r="T782" s="51">
        <f>IF(tblWorkPackages[[#This Row],[Time split]]="Train 2024","",tblWorkPackages[[#This Row],[Estimated labor hours]]+VLOOKUP(tblWorkPackages[[#This Row],[Task type]],'Forecast validation'!$A$14:$E$25,IF(tblWorkPackages[[#This Row],[Time split]]="Validation H1",4,5),FALSE()))</f>
        <v>4.53739837398374</v>
      </c>
      <c r="U782" s="51">
        <f>IF(tblWorkPackages[[#This Row],[Calibrated forecast hours]]="","",ABS(tblWorkPackages[[#This Row],[Actual labor hours]]-tblWorkPackages[[#This Row],[Calibrated forecast hours]]))</f>
        <v>0.362601626016261</v>
      </c>
      <c r="V782" s="51">
        <f>IF(tblWorkPackages[[#This Row],[Time split]]="Train 2024",tblWorkPackages[[#This Row],[Estimated labor hours]],tblWorkPackages[[#This Row],[Calibrated forecast hours]])</f>
        <v>4.53739837398374</v>
      </c>
      <c r="W782" s="64">
        <f>DATEVALUE(tblWorkPackages[[#This Row],[Request date]])</f>
        <v>46005.0</v>
      </c>
      <c r="X782" s="64">
        <f>DATEVALUE(tblWorkPackages[[#This Row],[Due date]])</f>
        <v>46011.0</v>
      </c>
      <c r="Y782" s="64">
        <f>DATEVALUE(tblWorkPackages[[#This Row],[Completion date]])</f>
        <v>46016.0</v>
      </c>
      <c r="Z782" s="64">
        <f>_xlfn.MINIFS(tblLaborEntries[Work date serial],tblLaborEntries[Work package ID],tblWorkPackages[[#This Row],[Work package ID]])</f>
        <v>46016.0</v>
      </c>
      <c r="AA782" s="64">
        <f>_xlfn.MAXIFS(tblLaborEntries[Work date serial],tblLaborEntries[Work package ID],tblWorkPackages[[#This Row],[Work package ID]])</f>
        <v>46016.0</v>
      </c>
      <c r="AB782" s="65">
        <f>IF(tblWorkPackages[[#This Row],[Completion date serial]]&gt;tblWorkPackages[[#This Row],[Due date serial]],1,0)</f>
        <v>1</v>
      </c>
      <c r="AC782" s="65">
        <f>MAX(0,tblWorkPackages[[#This Row],[Completion date serial]]-tblWorkPackages[[#This Row],[Due date serial]])</f>
        <v>5</v>
      </c>
      <c r="AD782" s="65">
        <f>tblWorkPackages[[#This Row],[First labor date]]-tblWorkPackages[[#This Row],[Request date serial]]</f>
        <v>11</v>
      </c>
      <c r="AE782" s="65">
        <f>tblWorkPackages[[#This Row],[Last labor date]]-tblWorkPackages[[#This Row],[First labor date]]</f>
        <v>0</v>
      </c>
      <c r="AF782" s="65">
        <f>tblWorkPackages[[#This Row],[Completion date serial]]-tblWorkPackages[[#This Row],[Last labor date]]</f>
        <v>0</v>
      </c>
      <c r="AG782" s="65">
        <f>tblWorkPackages[[#This Row],[Completion date serial]]-tblWorkPackages[[#This Row],[Request date serial]]</f>
        <v>11</v>
      </c>
      <c r="AH782" s="65">
        <f>IFERROR(INDEX(tblParts[Delay days],MATCH(tblWorkPackages[[#This Row],[Work package ID]],tblParts[Work package ID],0)),0)</f>
        <v>0</v>
      </c>
      <c r="AI782" s="51" t="str">
        <f>IFERROR(INDEX(tblDisruptions[Event type],MATCH(tblWorkPackages[[#This Row],[Work package ID]],tblDisruptions[Work package ID],0)),"None")</f>
        <v>None</v>
      </c>
      <c r="AJ782" s="51" t="str">
        <f>TEXT(tblWorkPackages[[#This Row],[Due date serial]],"yyyy-mm")</f>
        <v>2025-12</v>
      </c>
    </row>
    <row r="783" spans="1:36" ht="15" x14ac:dyDescent="0.25">
      <c r="A783" s="53" t="s">
        <v>1659</v>
      </c>
      <c r="B783" s="53" t="s">
        <v>163</v>
      </c>
      <c r="C783" s="53" t="s">
        <v>1484</v>
      </c>
      <c r="D783" s="53" t="s">
        <v>376</v>
      </c>
      <c r="E783" s="53" t="s">
        <v>237</v>
      </c>
      <c r="F783" s="53" t="s">
        <v>182</v>
      </c>
      <c r="G783" s="53" t="s">
        <v>138</v>
      </c>
      <c r="H783" s="53">
        <v>2</v>
      </c>
      <c r="I783" s="53" t="s">
        <v>130</v>
      </c>
      <c r="J783" s="53">
        <v>0</v>
      </c>
      <c r="K783" s="53">
        <v>0</v>
      </c>
      <c r="L783" s="53">
        <v>5.6</v>
      </c>
      <c r="M783" s="53" t="s">
        <v>861</v>
      </c>
      <c r="N783" s="53">
        <v>5.2</v>
      </c>
      <c r="O783" s="51" t="str">
        <f>TEXT(tblWorkPackages[[#This Row],[Request date serial]]-WEEKDAY(tblWorkPackages[[#This Row],[Request date serial]],3),"yyyy-mm-dd")</f>
        <v>2025-04-14</v>
      </c>
      <c r="P783" s="51">
        <f>ABS(tblWorkPackages[[#This Row],[Actual labor hours]]-tblWorkPackages[[#This Row],[Estimated labor hours]])</f>
        <v>0.399999999999999</v>
      </c>
      <c r="Q783" s="51">
        <f>IF(tblWorkPackages[[#This Row],[Actual labor hours]]&gt;tblWorkPackages[[#This Row],[Estimated labor hours]],1,0)</f>
        <v>0</v>
      </c>
      <c r="R783" s="51">
        <f>tblWorkPackages[[#This Row],[Actual labor hours]]-tblWorkPackages[[#This Row],[Estimated labor hours]]</f>
        <v>-0.399999999999999</v>
      </c>
      <c r="S783" s="51" t="str">
        <f>IF(tblWorkPackages[[#This Row],[Request date serial]]&lt;ValidationStart,"Train 2024",IF(tblWorkPackages[[#This Row],[Request date serial]]&lt;HoldoutStart,"Validation H1","Holdout H2"))</f>
        <v>Validation H1</v>
      </c>
      <c r="T783" s="51">
        <f>IF(tblWorkPackages[[#This Row],[Time split]]="Train 2024","",tblWorkPackages[[#This Row],[Estimated labor hours]]+VLOOKUP(tblWorkPackages[[#This Row],[Task type]],'Forecast validation'!$A$14:$E$25,IF(tblWorkPackages[[#This Row],[Time split]]="Validation H1",4,5),FALSE()))</f>
        <v>6.1037037037037</v>
      </c>
      <c r="U783" s="51">
        <f>IF(tblWorkPackages[[#This Row],[Calibrated forecast hours]]="","",ABS(tblWorkPackages[[#This Row],[Actual labor hours]]-tblWorkPackages[[#This Row],[Calibrated forecast hours]]))</f>
        <v>0.903703703703704</v>
      </c>
      <c r="V783" s="51">
        <f>IF(tblWorkPackages[[#This Row],[Time split]]="Train 2024",tblWorkPackages[[#This Row],[Estimated labor hours]],tblWorkPackages[[#This Row],[Calibrated forecast hours]])</f>
        <v>6.1037037037037</v>
      </c>
      <c r="W783" s="64">
        <f>DATEVALUE(tblWorkPackages[[#This Row],[Request date]])</f>
        <v>45763.0</v>
      </c>
      <c r="X783" s="64">
        <f>DATEVALUE(tblWorkPackages[[#This Row],[Due date]])</f>
        <v>45776.0</v>
      </c>
      <c r="Y783" s="64">
        <f>DATEVALUE(tblWorkPackages[[#This Row],[Completion date]])</f>
        <v>45767.0</v>
      </c>
      <c r="Z783" s="64">
        <f>_xlfn.MINIFS(tblLaborEntries[Work date serial],tblLaborEntries[Work package ID],tblWorkPackages[[#This Row],[Work package ID]])</f>
        <v>45766.0</v>
      </c>
      <c r="AA783" s="64">
        <f>_xlfn.MAXIFS(tblLaborEntries[Work date serial],tblLaborEntries[Work package ID],tblWorkPackages[[#This Row],[Work package ID]])</f>
        <v>45766.0</v>
      </c>
      <c r="AB783" s="65">
        <f>IF(tblWorkPackages[[#This Row],[Completion date serial]]&gt;tblWorkPackages[[#This Row],[Due date serial]],1,0)</f>
        <v>0</v>
      </c>
      <c r="AC783" s="65">
        <f>MAX(0,tblWorkPackages[[#This Row],[Completion date serial]]-tblWorkPackages[[#This Row],[Due date serial]])</f>
        <v>0</v>
      </c>
      <c r="AD783" s="65">
        <f>tblWorkPackages[[#This Row],[First labor date]]-tblWorkPackages[[#This Row],[Request date serial]]</f>
        <v>3</v>
      </c>
      <c r="AE783" s="65">
        <f>tblWorkPackages[[#This Row],[Last labor date]]-tblWorkPackages[[#This Row],[First labor date]]</f>
        <v>0</v>
      </c>
      <c r="AF783" s="65">
        <f>tblWorkPackages[[#This Row],[Completion date serial]]-tblWorkPackages[[#This Row],[Last labor date]]</f>
        <v>1</v>
      </c>
      <c r="AG783" s="65">
        <f>tblWorkPackages[[#This Row],[Completion date serial]]-tblWorkPackages[[#This Row],[Request date serial]]</f>
        <v>4</v>
      </c>
      <c r="AH783" s="65">
        <f>IFERROR(INDEX(tblParts[Delay days],MATCH(tblWorkPackages[[#This Row],[Work package ID]],tblParts[Work package ID],0)),0)</f>
        <v>0</v>
      </c>
      <c r="AI783" s="51" t="str">
        <f>IFERROR(INDEX(tblDisruptions[Event type],MATCH(tblWorkPackages[[#This Row],[Work package ID]],tblDisruptions[Work package ID],0)),"None")</f>
        <v>None</v>
      </c>
      <c r="AJ783" s="51" t="str">
        <f>TEXT(tblWorkPackages[[#This Row],[Due date serial]],"yyyy-mm")</f>
        <v>2025-04</v>
      </c>
    </row>
    <row r="784" spans="1:36" ht="15" x14ac:dyDescent="0.25">
      <c r="A784" s="53" t="s">
        <v>1660</v>
      </c>
      <c r="B784" s="53" t="s">
        <v>287</v>
      </c>
      <c r="C784" s="53" t="s">
        <v>1404</v>
      </c>
      <c r="D784" s="53" t="s">
        <v>951</v>
      </c>
      <c r="E784" s="53" t="s">
        <v>200</v>
      </c>
      <c r="F784" s="53" t="s">
        <v>128</v>
      </c>
      <c r="G784" s="53" t="s">
        <v>129</v>
      </c>
      <c r="H784" s="53">
        <v>1</v>
      </c>
      <c r="I784" s="53" t="s">
        <v>176</v>
      </c>
      <c r="J784" s="53">
        <v>0</v>
      </c>
      <c r="K784" s="53">
        <v>0</v>
      </c>
      <c r="L784" s="53">
        <v>1.8</v>
      </c>
      <c r="M784" s="53" t="s">
        <v>960</v>
      </c>
      <c r="N784" s="53">
        <v>2</v>
      </c>
      <c r="O784" s="51" t="str">
        <f>TEXT(tblWorkPackages[[#This Row],[Request date serial]]-WEEKDAY(tblWorkPackages[[#This Row],[Request date serial]],3),"yyyy-mm-dd")</f>
        <v>2024-09-23</v>
      </c>
      <c r="P784" s="51">
        <f>ABS(tblWorkPackages[[#This Row],[Actual labor hours]]-tblWorkPackages[[#This Row],[Estimated labor hours]])</f>
        <v>0.2</v>
      </c>
      <c r="Q784" s="51">
        <f>IF(tblWorkPackages[[#This Row],[Actual labor hours]]&gt;tblWorkPackages[[#This Row],[Estimated labor hours]],1,0)</f>
        <v>1</v>
      </c>
      <c r="R784" s="51">
        <f>tblWorkPackages[[#This Row],[Actual labor hours]]-tblWorkPackages[[#This Row],[Estimated labor hours]]</f>
        <v>0.2</v>
      </c>
      <c r="S784" s="51" t="str">
        <f>IF(tblWorkPackages[[#This Row],[Request date serial]]&lt;ValidationStart,"Train 2024",IF(tblWorkPackages[[#This Row],[Request date serial]]&lt;HoldoutStart,"Validation H1","Holdout H2"))</f>
        <v>Train 2024</v>
      </c>
      <c r="T784" s="51" t="str">
        <f>IF(tblWorkPackages[[#This Row],[Time split]]="Train 2024","",tblWorkPackages[[#This Row],[Estimated labor hours]]+VLOOKUP(tblWorkPackages[[#This Row],[Task type]],'Forecast validation'!$A$14:$E$25,IF(tblWorkPackages[[#This Row],[Time split]]="Validation H1",4,5),FALSE()))</f>
        <v/>
      </c>
      <c r="U784" s="51" t="str">
        <f>IF(tblWorkPackages[[#This Row],[Calibrated forecast hours]]="","",ABS(tblWorkPackages[[#This Row],[Actual labor hours]]-tblWorkPackages[[#This Row],[Calibrated forecast hours]]))</f>
        <v/>
      </c>
      <c r="V784" s="51">
        <f>IF(tblWorkPackages[[#This Row],[Time split]]="Train 2024",tblWorkPackages[[#This Row],[Estimated labor hours]],tblWorkPackages[[#This Row],[Calibrated forecast hours]])</f>
        <v>1.8</v>
      </c>
      <c r="W784" s="64">
        <f>DATEVALUE(tblWorkPackages[[#This Row],[Request date]])</f>
        <v>45559.0</v>
      </c>
      <c r="X784" s="64">
        <f>DATEVALUE(tblWorkPackages[[#This Row],[Due date]])</f>
        <v>45565.0</v>
      </c>
      <c r="Y784" s="64">
        <f>DATEVALUE(tblWorkPackages[[#This Row],[Completion date]])</f>
        <v>45594.0</v>
      </c>
      <c r="Z784" s="64">
        <f>_xlfn.MINIFS(tblLaborEntries[Work date serial],tblLaborEntries[Work package ID],tblWorkPackages[[#This Row],[Work package ID]])</f>
        <v>45591.0</v>
      </c>
      <c r="AA784" s="64">
        <f>_xlfn.MAXIFS(tblLaborEntries[Work date serial],tblLaborEntries[Work package ID],tblWorkPackages[[#This Row],[Work package ID]])</f>
        <v>45592.0</v>
      </c>
      <c r="AB784" s="65">
        <f>IF(tblWorkPackages[[#This Row],[Completion date serial]]&gt;tblWorkPackages[[#This Row],[Due date serial]],1,0)</f>
        <v>1</v>
      </c>
      <c r="AC784" s="65">
        <f>MAX(0,tblWorkPackages[[#This Row],[Completion date serial]]-tblWorkPackages[[#This Row],[Due date serial]])</f>
        <v>29</v>
      </c>
      <c r="AD784" s="65">
        <f>tblWorkPackages[[#This Row],[First labor date]]-tblWorkPackages[[#This Row],[Request date serial]]</f>
        <v>32</v>
      </c>
      <c r="AE784" s="65">
        <f>tblWorkPackages[[#This Row],[Last labor date]]-tblWorkPackages[[#This Row],[First labor date]]</f>
        <v>1</v>
      </c>
      <c r="AF784" s="65">
        <f>tblWorkPackages[[#This Row],[Completion date serial]]-tblWorkPackages[[#This Row],[Last labor date]]</f>
        <v>2</v>
      </c>
      <c r="AG784" s="65">
        <f>tblWorkPackages[[#This Row],[Completion date serial]]-tblWorkPackages[[#This Row],[Request date serial]]</f>
        <v>35</v>
      </c>
      <c r="AH784" s="65">
        <f>IFERROR(INDEX(tblParts[Delay days],MATCH(tblWorkPackages[[#This Row],[Work package ID]],tblParts[Work package ID],0)),0)</f>
        <v>0</v>
      </c>
      <c r="AI784" s="51" t="str">
        <f>IFERROR(INDEX(tblDisruptions[Event type],MATCH(tblWorkPackages[[#This Row],[Work package ID]],tblDisruptions[Work package ID],0)),"None")</f>
        <v>None</v>
      </c>
      <c r="AJ784" s="51" t="str">
        <f>TEXT(tblWorkPackages[[#This Row],[Due date serial]],"yyyy-mm")</f>
        <v>2024-09</v>
      </c>
    </row>
    <row r="785" spans="1:36" ht="15" x14ac:dyDescent="0.25">
      <c r="A785" s="53" t="s">
        <v>1661</v>
      </c>
      <c r="B785" s="53" t="s">
        <v>124</v>
      </c>
      <c r="C785" s="53" t="s">
        <v>1035</v>
      </c>
      <c r="D785" s="53" t="s">
        <v>1036</v>
      </c>
      <c r="E785" s="53" t="s">
        <v>237</v>
      </c>
      <c r="F785" s="53" t="s">
        <v>182</v>
      </c>
      <c r="G785" s="53" t="s">
        <v>138</v>
      </c>
      <c r="H785" s="53">
        <v>2</v>
      </c>
      <c r="I785" s="53" t="s">
        <v>176</v>
      </c>
      <c r="J785" s="53">
        <v>0</v>
      </c>
      <c r="K785" s="53">
        <v>0</v>
      </c>
      <c r="L785" s="53">
        <v>5.7</v>
      </c>
      <c r="M785" s="53" t="s">
        <v>1044</v>
      </c>
      <c r="N785" s="53">
        <v>5.9</v>
      </c>
      <c r="O785" s="51" t="str">
        <f>TEXT(tblWorkPackages[[#This Row],[Request date serial]]-WEEKDAY(tblWorkPackages[[#This Row],[Request date serial]],3),"yyyy-mm-dd")</f>
        <v>2025-06-02</v>
      </c>
      <c r="P785" s="51">
        <f>ABS(tblWorkPackages[[#This Row],[Actual labor hours]]-tblWorkPackages[[#This Row],[Estimated labor hours]])</f>
        <v>0.2</v>
      </c>
      <c r="Q785" s="51">
        <f>IF(tblWorkPackages[[#This Row],[Actual labor hours]]&gt;tblWorkPackages[[#This Row],[Estimated labor hours]],1,0)</f>
        <v>1</v>
      </c>
      <c r="R785" s="51">
        <f>tblWorkPackages[[#This Row],[Actual labor hours]]-tblWorkPackages[[#This Row],[Estimated labor hours]]</f>
        <v>0.2</v>
      </c>
      <c r="S785" s="51" t="str">
        <f>IF(tblWorkPackages[[#This Row],[Request date serial]]&lt;ValidationStart,"Train 2024",IF(tblWorkPackages[[#This Row],[Request date serial]]&lt;HoldoutStart,"Validation H1","Holdout H2"))</f>
        <v>Validation H1</v>
      </c>
      <c r="T785" s="51">
        <f>IF(tblWorkPackages[[#This Row],[Time split]]="Train 2024","",tblWorkPackages[[#This Row],[Estimated labor hours]]+VLOOKUP(tblWorkPackages[[#This Row],[Task type]],'Forecast validation'!$A$14:$E$25,IF(tblWorkPackages[[#This Row],[Time split]]="Validation H1",4,5),FALSE()))</f>
        <v>6.2037037037037</v>
      </c>
      <c r="U785" s="51">
        <f>IF(tblWorkPackages[[#This Row],[Calibrated forecast hours]]="","",ABS(tblWorkPackages[[#This Row],[Actual labor hours]]-tblWorkPackages[[#This Row],[Calibrated forecast hours]]))</f>
        <v>0.303703703703704</v>
      </c>
      <c r="V785" s="51">
        <f>IF(tblWorkPackages[[#This Row],[Time split]]="Train 2024",tblWorkPackages[[#This Row],[Estimated labor hours]],tblWorkPackages[[#This Row],[Calibrated forecast hours]])</f>
        <v>6.2037037037037</v>
      </c>
      <c r="W785" s="64">
        <f>DATEVALUE(tblWorkPackages[[#This Row],[Request date]])</f>
        <v>45811.0</v>
      </c>
      <c r="X785" s="64">
        <f>DATEVALUE(tblWorkPackages[[#This Row],[Due date]])</f>
        <v>45817.0</v>
      </c>
      <c r="Y785" s="64">
        <f>DATEVALUE(tblWorkPackages[[#This Row],[Completion date]])</f>
        <v>45822.0</v>
      </c>
      <c r="Z785" s="64">
        <f>_xlfn.MINIFS(tblLaborEntries[Work date serial],tblLaborEntries[Work package ID],tblWorkPackages[[#This Row],[Work package ID]])</f>
        <v>45817.0</v>
      </c>
      <c r="AA785" s="64">
        <f>_xlfn.MAXIFS(tblLaborEntries[Work date serial],tblLaborEntries[Work package ID],tblWorkPackages[[#This Row],[Work package ID]])</f>
        <v>45819.0</v>
      </c>
      <c r="AB785" s="65">
        <f>IF(tblWorkPackages[[#This Row],[Completion date serial]]&gt;tblWorkPackages[[#This Row],[Due date serial]],1,0)</f>
        <v>1</v>
      </c>
      <c r="AC785" s="65">
        <f>MAX(0,tblWorkPackages[[#This Row],[Completion date serial]]-tblWorkPackages[[#This Row],[Due date serial]])</f>
        <v>5</v>
      </c>
      <c r="AD785" s="65">
        <f>tblWorkPackages[[#This Row],[First labor date]]-tblWorkPackages[[#This Row],[Request date serial]]</f>
        <v>6</v>
      </c>
      <c r="AE785" s="65">
        <f>tblWorkPackages[[#This Row],[Last labor date]]-tblWorkPackages[[#This Row],[First labor date]]</f>
        <v>2</v>
      </c>
      <c r="AF785" s="65">
        <f>tblWorkPackages[[#This Row],[Completion date serial]]-tblWorkPackages[[#This Row],[Last labor date]]</f>
        <v>3</v>
      </c>
      <c r="AG785" s="65">
        <f>tblWorkPackages[[#This Row],[Completion date serial]]-tblWorkPackages[[#This Row],[Request date serial]]</f>
        <v>11</v>
      </c>
      <c r="AH785" s="65">
        <f>IFERROR(INDEX(tblParts[Delay days],MATCH(tblWorkPackages[[#This Row],[Work package ID]],tblParts[Work package ID],0)),0)</f>
        <v>0</v>
      </c>
      <c r="AI785" s="51" t="str">
        <f>IFERROR(INDEX(tblDisruptions[Event type],MATCH(tblWorkPackages[[#This Row],[Work package ID]],tblDisruptions[Work package ID],0)),"None")</f>
        <v>None</v>
      </c>
      <c r="AJ785" s="51" t="str">
        <f>TEXT(tblWorkPackages[[#This Row],[Due date serial]],"yyyy-mm")</f>
        <v>2025-06</v>
      </c>
    </row>
    <row r="786" spans="1:36" ht="15" x14ac:dyDescent="0.25">
      <c r="A786" s="53" t="s">
        <v>1662</v>
      </c>
      <c r="B786" s="53" t="s">
        <v>163</v>
      </c>
      <c r="C786" s="53" t="s">
        <v>759</v>
      </c>
      <c r="D786" s="53" t="s">
        <v>630</v>
      </c>
      <c r="E786" s="53" t="s">
        <v>181</v>
      </c>
      <c r="F786" s="53" t="s">
        <v>182</v>
      </c>
      <c r="G786" s="53" t="s">
        <v>138</v>
      </c>
      <c r="H786" s="53">
        <v>3</v>
      </c>
      <c r="I786" s="53" t="s">
        <v>130</v>
      </c>
      <c r="J786" s="53">
        <v>0</v>
      </c>
      <c r="K786" s="53">
        <v>1</v>
      </c>
      <c r="L786" s="53">
        <v>11</v>
      </c>
      <c r="M786" s="53" t="s">
        <v>663</v>
      </c>
      <c r="N786" s="53">
        <v>12.1</v>
      </c>
      <c r="O786" s="51" t="str">
        <f>TEXT(tblWorkPackages[[#This Row],[Request date serial]]-WEEKDAY(tblWorkPackages[[#This Row],[Request date serial]],3),"yyyy-mm-dd")</f>
        <v>2024-03-11</v>
      </c>
      <c r="P786" s="51">
        <f>ABS(tblWorkPackages[[#This Row],[Actual labor hours]]-tblWorkPackages[[#This Row],[Estimated labor hours]])</f>
        <v>1.1</v>
      </c>
      <c r="Q786" s="51">
        <f>IF(tblWorkPackages[[#This Row],[Actual labor hours]]&gt;tblWorkPackages[[#This Row],[Estimated labor hours]],1,0)</f>
        <v>1</v>
      </c>
      <c r="R786" s="51">
        <f>tblWorkPackages[[#This Row],[Actual labor hours]]-tblWorkPackages[[#This Row],[Estimated labor hours]]</f>
        <v>1.1</v>
      </c>
      <c r="S786" s="51" t="str">
        <f>IF(tblWorkPackages[[#This Row],[Request date serial]]&lt;ValidationStart,"Train 2024",IF(tblWorkPackages[[#This Row],[Request date serial]]&lt;HoldoutStart,"Validation H1","Holdout H2"))</f>
        <v>Train 2024</v>
      </c>
      <c r="T786" s="51" t="str">
        <f>IF(tblWorkPackages[[#This Row],[Time split]]="Train 2024","",tblWorkPackages[[#This Row],[Estimated labor hours]]+VLOOKUP(tblWorkPackages[[#This Row],[Task type]],'Forecast validation'!$A$14:$E$25,IF(tblWorkPackages[[#This Row],[Time split]]="Validation H1",4,5),FALSE()))</f>
        <v/>
      </c>
      <c r="U786" s="51" t="str">
        <f>IF(tblWorkPackages[[#This Row],[Calibrated forecast hours]]="","",ABS(tblWorkPackages[[#This Row],[Actual labor hours]]-tblWorkPackages[[#This Row],[Calibrated forecast hours]]))</f>
        <v/>
      </c>
      <c r="V786" s="51">
        <f>IF(tblWorkPackages[[#This Row],[Time split]]="Train 2024",tblWorkPackages[[#This Row],[Estimated labor hours]],tblWorkPackages[[#This Row],[Calibrated forecast hours]])</f>
        <v>11</v>
      </c>
      <c r="W786" s="64">
        <f>DATEVALUE(tblWorkPackages[[#This Row],[Request date]])</f>
        <v>45363.0</v>
      </c>
      <c r="X786" s="64">
        <f>DATEVALUE(tblWorkPackages[[#This Row],[Due date]])</f>
        <v>45376.0</v>
      </c>
      <c r="Y786" s="64">
        <f>DATEVALUE(tblWorkPackages[[#This Row],[Completion date]])</f>
        <v>45366.0</v>
      </c>
      <c r="Z786" s="64">
        <f>_xlfn.MINIFS(tblLaborEntries[Work date serial],tblLaborEntries[Work package ID],tblWorkPackages[[#This Row],[Work package ID]])</f>
        <v>45365.0</v>
      </c>
      <c r="AA786" s="64">
        <f>_xlfn.MAXIFS(tblLaborEntries[Work date serial],tblLaborEntries[Work package ID],tblWorkPackages[[#This Row],[Work package ID]])</f>
        <v>45366.0</v>
      </c>
      <c r="AB786" s="65">
        <f>IF(tblWorkPackages[[#This Row],[Completion date serial]]&gt;tblWorkPackages[[#This Row],[Due date serial]],1,0)</f>
        <v>0</v>
      </c>
      <c r="AC786" s="65">
        <f>MAX(0,tblWorkPackages[[#This Row],[Completion date serial]]-tblWorkPackages[[#This Row],[Due date serial]])</f>
        <v>0</v>
      </c>
      <c r="AD786" s="65">
        <f>tblWorkPackages[[#This Row],[First labor date]]-tblWorkPackages[[#This Row],[Request date serial]]</f>
        <v>2</v>
      </c>
      <c r="AE786" s="65">
        <f>tblWorkPackages[[#This Row],[Last labor date]]-tblWorkPackages[[#This Row],[First labor date]]</f>
        <v>1</v>
      </c>
      <c r="AF786" s="65">
        <f>tblWorkPackages[[#This Row],[Completion date serial]]-tblWorkPackages[[#This Row],[Last labor date]]</f>
        <v>0</v>
      </c>
      <c r="AG786" s="65">
        <f>tblWorkPackages[[#This Row],[Completion date serial]]-tblWorkPackages[[#This Row],[Request date serial]]</f>
        <v>3</v>
      </c>
      <c r="AH786" s="65">
        <f>IFERROR(INDEX(tblParts[Delay days],MATCH(tblWorkPackages[[#This Row],[Work package ID]],tblParts[Work package ID],0)),0)</f>
        <v>0</v>
      </c>
      <c r="AI786" s="51" t="str">
        <f>IFERROR(INDEX(tblDisruptions[Event type],MATCH(tblWorkPackages[[#This Row],[Work package ID]],tblDisruptions[Work package ID],0)),"None")</f>
        <v>None</v>
      </c>
      <c r="AJ786" s="51" t="str">
        <f>TEXT(tblWorkPackages[[#This Row],[Due date serial]],"yyyy-mm")</f>
        <v>2024-03</v>
      </c>
    </row>
    <row r="787" spans="1:36" ht="15" x14ac:dyDescent="0.25">
      <c r="A787" s="53" t="s">
        <v>1663</v>
      </c>
      <c r="B787" s="53" t="s">
        <v>173</v>
      </c>
      <c r="C787" s="53" t="s">
        <v>1560</v>
      </c>
      <c r="D787" s="53" t="s">
        <v>741</v>
      </c>
      <c r="E787" s="53" t="s">
        <v>237</v>
      </c>
      <c r="F787" s="53" t="s">
        <v>182</v>
      </c>
      <c r="G787" s="53" t="s">
        <v>138</v>
      </c>
      <c r="H787" s="53">
        <v>3</v>
      </c>
      <c r="I787" s="53" t="s">
        <v>130</v>
      </c>
      <c r="J787" s="53">
        <v>0</v>
      </c>
      <c r="K787" s="53">
        <v>0</v>
      </c>
      <c r="L787" s="53">
        <v>7.5</v>
      </c>
      <c r="M787" s="53" t="s">
        <v>424</v>
      </c>
      <c r="N787" s="53">
        <v>6.8</v>
      </c>
      <c r="O787" s="51" t="str">
        <f>TEXT(tblWorkPackages[[#This Row],[Request date serial]]-WEEKDAY(tblWorkPackages[[#This Row],[Request date serial]],3),"yyyy-mm-dd")</f>
        <v>2025-05-19</v>
      </c>
      <c r="P787" s="51">
        <f>ABS(tblWorkPackages[[#This Row],[Actual labor hours]]-tblWorkPackages[[#This Row],[Estimated labor hours]])</f>
        <v>0.7</v>
      </c>
      <c r="Q787" s="51">
        <f>IF(tblWorkPackages[[#This Row],[Actual labor hours]]&gt;tblWorkPackages[[#This Row],[Estimated labor hours]],1,0)</f>
        <v>0</v>
      </c>
      <c r="R787" s="51">
        <f>tblWorkPackages[[#This Row],[Actual labor hours]]-tblWorkPackages[[#This Row],[Estimated labor hours]]</f>
        <v>-0.7</v>
      </c>
      <c r="S787" s="51" t="str">
        <f>IF(tblWorkPackages[[#This Row],[Request date serial]]&lt;ValidationStart,"Train 2024",IF(tblWorkPackages[[#This Row],[Request date serial]]&lt;HoldoutStart,"Validation H1","Holdout H2"))</f>
        <v>Validation H1</v>
      </c>
      <c r="T787" s="51">
        <f>IF(tblWorkPackages[[#This Row],[Time split]]="Train 2024","",tblWorkPackages[[#This Row],[Estimated labor hours]]+VLOOKUP(tblWorkPackages[[#This Row],[Task type]],'Forecast validation'!$A$14:$E$25,IF(tblWorkPackages[[#This Row],[Time split]]="Validation H1",4,5),FALSE()))</f>
        <v>8.0037037037037</v>
      </c>
      <c r="U787" s="51">
        <f>IF(tblWorkPackages[[#This Row],[Calibrated forecast hours]]="","",ABS(tblWorkPackages[[#This Row],[Actual labor hours]]-tblWorkPackages[[#This Row],[Calibrated forecast hours]]))</f>
        <v>1.2037037037037</v>
      </c>
      <c r="V787" s="51">
        <f>IF(tblWorkPackages[[#This Row],[Time split]]="Train 2024",tblWorkPackages[[#This Row],[Estimated labor hours]],tblWorkPackages[[#This Row],[Calibrated forecast hours]])</f>
        <v>8.0037037037037</v>
      </c>
      <c r="W787" s="64">
        <f>DATEVALUE(tblWorkPackages[[#This Row],[Request date]])</f>
        <v>45801.0</v>
      </c>
      <c r="X787" s="64">
        <f>DATEVALUE(tblWorkPackages[[#This Row],[Due date]])</f>
        <v>45814.0</v>
      </c>
      <c r="Y787" s="64">
        <f>DATEVALUE(tblWorkPackages[[#This Row],[Completion date]])</f>
        <v>45819.0</v>
      </c>
      <c r="Z787" s="64">
        <f>_xlfn.MINIFS(tblLaborEntries[Work date serial],tblLaborEntries[Work package ID],tblWorkPackages[[#This Row],[Work package ID]])</f>
        <v>45816.0</v>
      </c>
      <c r="AA787" s="64">
        <f>_xlfn.MAXIFS(tblLaborEntries[Work date serial],tblLaborEntries[Work package ID],tblWorkPackages[[#This Row],[Work package ID]])</f>
        <v>45818.0</v>
      </c>
      <c r="AB787" s="65">
        <f>IF(tblWorkPackages[[#This Row],[Completion date serial]]&gt;tblWorkPackages[[#This Row],[Due date serial]],1,0)</f>
        <v>1</v>
      </c>
      <c r="AC787" s="65">
        <f>MAX(0,tblWorkPackages[[#This Row],[Completion date serial]]-tblWorkPackages[[#This Row],[Due date serial]])</f>
        <v>5</v>
      </c>
      <c r="AD787" s="65">
        <f>tblWorkPackages[[#This Row],[First labor date]]-tblWorkPackages[[#This Row],[Request date serial]]</f>
        <v>15</v>
      </c>
      <c r="AE787" s="65">
        <f>tblWorkPackages[[#This Row],[Last labor date]]-tblWorkPackages[[#This Row],[First labor date]]</f>
        <v>2</v>
      </c>
      <c r="AF787" s="65">
        <f>tblWorkPackages[[#This Row],[Completion date serial]]-tblWorkPackages[[#This Row],[Last labor date]]</f>
        <v>1</v>
      </c>
      <c r="AG787" s="65">
        <f>tblWorkPackages[[#This Row],[Completion date serial]]-tblWorkPackages[[#This Row],[Request date serial]]</f>
        <v>18</v>
      </c>
      <c r="AH787" s="65">
        <f>IFERROR(INDEX(tblParts[Delay days],MATCH(tblWorkPackages[[#This Row],[Work package ID]],tblParts[Work package ID],0)),0)</f>
        <v>0</v>
      </c>
      <c r="AI787" s="51" t="str">
        <f>IFERROR(INDEX(tblDisruptions[Event type],MATCH(tblWorkPackages[[#This Row],[Work package ID]],tblDisruptions[Work package ID],0)),"None")</f>
        <v>None</v>
      </c>
      <c r="AJ787" s="51" t="str">
        <f>TEXT(tblWorkPackages[[#This Row],[Due date serial]],"yyyy-mm")</f>
        <v>2025-06</v>
      </c>
    </row>
    <row r="788" spans="1:36" ht="15" x14ac:dyDescent="0.25">
      <c r="A788" s="53" t="s">
        <v>1664</v>
      </c>
      <c r="B788" s="53" t="s">
        <v>203</v>
      </c>
      <c r="C788" s="53" t="s">
        <v>447</v>
      </c>
      <c r="D788" s="53" t="s">
        <v>592</v>
      </c>
      <c r="E788" s="53" t="s">
        <v>144</v>
      </c>
      <c r="F788" s="53" t="s">
        <v>145</v>
      </c>
      <c r="G788" s="53" t="s">
        <v>146</v>
      </c>
      <c r="H788" s="53">
        <v>4</v>
      </c>
      <c r="I788" s="53" t="s">
        <v>130</v>
      </c>
      <c r="J788" s="53">
        <v>0</v>
      </c>
      <c r="K788" s="53">
        <v>1</v>
      </c>
      <c r="L788" s="53">
        <v>19.7</v>
      </c>
      <c r="M788" s="53" t="s">
        <v>467</v>
      </c>
      <c r="N788" s="53">
        <v>21.6</v>
      </c>
      <c r="O788" s="51" t="str">
        <f>TEXT(tblWorkPackages[[#This Row],[Request date serial]]-WEEKDAY(tblWorkPackages[[#This Row],[Request date serial]],3),"yyyy-mm-dd")</f>
        <v>2025-03-24</v>
      </c>
      <c r="P788" s="51">
        <f>ABS(tblWorkPackages[[#This Row],[Actual labor hours]]-tblWorkPackages[[#This Row],[Estimated labor hours]])</f>
        <v>1.9</v>
      </c>
      <c r="Q788" s="51">
        <f>IF(tblWorkPackages[[#This Row],[Actual labor hours]]&gt;tblWorkPackages[[#This Row],[Estimated labor hours]],1,0)</f>
        <v>1</v>
      </c>
      <c r="R788" s="51">
        <f>tblWorkPackages[[#This Row],[Actual labor hours]]-tblWorkPackages[[#This Row],[Estimated labor hours]]</f>
        <v>1.9</v>
      </c>
      <c r="S788" s="51" t="str">
        <f>IF(tblWorkPackages[[#This Row],[Request date serial]]&lt;ValidationStart,"Train 2024",IF(tblWorkPackages[[#This Row],[Request date serial]]&lt;HoldoutStart,"Validation H1","Holdout H2"))</f>
        <v>Validation H1</v>
      </c>
      <c r="T788" s="51">
        <f>IF(tblWorkPackages[[#This Row],[Time split]]="Train 2024","",tblWorkPackages[[#This Row],[Estimated labor hours]]+VLOOKUP(tblWorkPackages[[#This Row],[Task type]],'Forecast validation'!$A$14:$E$25,IF(tblWorkPackages[[#This Row],[Time split]]="Validation H1",4,5),FALSE()))</f>
        <v>20.4547368421053</v>
      </c>
      <c r="U788" s="51">
        <f>IF(tblWorkPackages[[#This Row],[Calibrated forecast hours]]="","",ABS(tblWorkPackages[[#This Row],[Actual labor hours]]-tblWorkPackages[[#This Row],[Calibrated forecast hours]]))</f>
        <v>1.14526315789474</v>
      </c>
      <c r="V788" s="51">
        <f>IF(tblWorkPackages[[#This Row],[Time split]]="Train 2024",tblWorkPackages[[#This Row],[Estimated labor hours]],tblWorkPackages[[#This Row],[Calibrated forecast hours]])</f>
        <v>20.4547368421053</v>
      </c>
      <c r="W788" s="64">
        <f>DATEVALUE(tblWorkPackages[[#This Row],[Request date]])</f>
        <v>45744.0</v>
      </c>
      <c r="X788" s="64">
        <f>DATEVALUE(tblWorkPackages[[#This Row],[Due date]])</f>
        <v>45757.0</v>
      </c>
      <c r="Y788" s="64">
        <f>DATEVALUE(tblWorkPackages[[#This Row],[Completion date]])</f>
        <v>45752.0</v>
      </c>
      <c r="Z788" s="64">
        <f>_xlfn.MINIFS(tblLaborEntries[Work date serial],tblLaborEntries[Work package ID],tblWorkPackages[[#This Row],[Work package ID]])</f>
        <v>45748.0</v>
      </c>
      <c r="AA788" s="64">
        <f>_xlfn.MAXIFS(tblLaborEntries[Work date serial],tblLaborEntries[Work package ID],tblWorkPackages[[#This Row],[Work package ID]])</f>
        <v>45750.0</v>
      </c>
      <c r="AB788" s="65">
        <f>IF(tblWorkPackages[[#This Row],[Completion date serial]]&gt;tblWorkPackages[[#This Row],[Due date serial]],1,0)</f>
        <v>0</v>
      </c>
      <c r="AC788" s="65">
        <f>MAX(0,tblWorkPackages[[#This Row],[Completion date serial]]-tblWorkPackages[[#This Row],[Due date serial]])</f>
        <v>0</v>
      </c>
      <c r="AD788" s="65">
        <f>tblWorkPackages[[#This Row],[First labor date]]-tblWorkPackages[[#This Row],[Request date serial]]</f>
        <v>4</v>
      </c>
      <c r="AE788" s="65">
        <f>tblWorkPackages[[#This Row],[Last labor date]]-tblWorkPackages[[#This Row],[First labor date]]</f>
        <v>2</v>
      </c>
      <c r="AF788" s="65">
        <f>tblWorkPackages[[#This Row],[Completion date serial]]-tblWorkPackages[[#This Row],[Last labor date]]</f>
        <v>2</v>
      </c>
      <c r="AG788" s="65">
        <f>tblWorkPackages[[#This Row],[Completion date serial]]-tblWorkPackages[[#This Row],[Request date serial]]</f>
        <v>8</v>
      </c>
      <c r="AH788" s="65">
        <f>IFERROR(INDEX(tblParts[Delay days],MATCH(tblWorkPackages[[#This Row],[Work package ID]],tblParts[Work package ID],0)),0)</f>
        <v>0</v>
      </c>
      <c r="AI788" s="51" t="str">
        <f>IFERROR(INDEX(tblDisruptions[Event type],MATCH(tblWorkPackages[[#This Row],[Work package ID]],tblDisruptions[Work package ID],0)),"None")</f>
        <v>None</v>
      </c>
      <c r="AJ788" s="51" t="str">
        <f>TEXT(tblWorkPackages[[#This Row],[Due date serial]],"yyyy-mm")</f>
        <v>2025-04</v>
      </c>
    </row>
    <row r="789" spans="1:36" ht="15" x14ac:dyDescent="0.25">
      <c r="A789" s="53" t="s">
        <v>1665</v>
      </c>
      <c r="B789" s="53" t="s">
        <v>157</v>
      </c>
      <c r="C789" s="53" t="s">
        <v>449</v>
      </c>
      <c r="D789" s="53" t="s">
        <v>524</v>
      </c>
      <c r="E789" s="53" t="s">
        <v>242</v>
      </c>
      <c r="F789" s="53" t="s">
        <v>243</v>
      </c>
      <c r="G789" s="53" t="s">
        <v>129</v>
      </c>
      <c r="H789" s="53">
        <v>2</v>
      </c>
      <c r="I789" s="53" t="s">
        <v>147</v>
      </c>
      <c r="J789" s="53">
        <v>0</v>
      </c>
      <c r="K789" s="53">
        <v>1</v>
      </c>
      <c r="L789" s="53">
        <v>7.9</v>
      </c>
      <c r="M789" s="53" t="s">
        <v>166</v>
      </c>
      <c r="N789" s="53">
        <v>6.9</v>
      </c>
      <c r="O789" s="51" t="str">
        <f>TEXT(tblWorkPackages[[#This Row],[Request date serial]]-WEEKDAY(tblWorkPackages[[#This Row],[Request date serial]],3),"yyyy-mm-dd")</f>
        <v>2024-07-08</v>
      </c>
      <c r="P789" s="51">
        <f>ABS(tblWorkPackages[[#This Row],[Actual labor hours]]-tblWorkPackages[[#This Row],[Estimated labor hours]])</f>
        <v>1</v>
      </c>
      <c r="Q789" s="51">
        <f>IF(tblWorkPackages[[#This Row],[Actual labor hours]]&gt;tblWorkPackages[[#This Row],[Estimated labor hours]],1,0)</f>
        <v>0</v>
      </c>
      <c r="R789" s="51">
        <f>tblWorkPackages[[#This Row],[Actual labor hours]]-tblWorkPackages[[#This Row],[Estimated labor hours]]</f>
        <v>-1</v>
      </c>
      <c r="S789" s="51" t="str">
        <f>IF(tblWorkPackages[[#This Row],[Request date serial]]&lt;ValidationStart,"Train 2024",IF(tblWorkPackages[[#This Row],[Request date serial]]&lt;HoldoutStart,"Validation H1","Holdout H2"))</f>
        <v>Train 2024</v>
      </c>
      <c r="T789" s="51" t="str">
        <f>IF(tblWorkPackages[[#This Row],[Time split]]="Train 2024","",tblWorkPackages[[#This Row],[Estimated labor hours]]+VLOOKUP(tblWorkPackages[[#This Row],[Task type]],'Forecast validation'!$A$14:$E$25,IF(tblWorkPackages[[#This Row],[Time split]]="Validation H1",4,5),FALSE()))</f>
        <v/>
      </c>
      <c r="U789" s="51" t="str">
        <f>IF(tblWorkPackages[[#This Row],[Calibrated forecast hours]]="","",ABS(tblWorkPackages[[#This Row],[Actual labor hours]]-tblWorkPackages[[#This Row],[Calibrated forecast hours]]))</f>
        <v/>
      </c>
      <c r="V789" s="51">
        <f>IF(tblWorkPackages[[#This Row],[Time split]]="Train 2024",tblWorkPackages[[#This Row],[Estimated labor hours]],tblWorkPackages[[#This Row],[Calibrated forecast hours]])</f>
        <v>7.9</v>
      </c>
      <c r="W789" s="64">
        <f>DATEVALUE(tblWorkPackages[[#This Row],[Request date]])</f>
        <v>45481.0</v>
      </c>
      <c r="X789" s="64">
        <f>DATEVALUE(tblWorkPackages[[#This Row],[Due date]])</f>
        <v>45483.0</v>
      </c>
      <c r="Y789" s="64">
        <f>DATEVALUE(tblWorkPackages[[#This Row],[Completion date]])</f>
        <v>45485.0</v>
      </c>
      <c r="Z789" s="64">
        <f>_xlfn.MINIFS(tblLaborEntries[Work date serial],tblLaborEntries[Work package ID],tblWorkPackages[[#This Row],[Work package ID]])</f>
        <v>45482.0</v>
      </c>
      <c r="AA789" s="64">
        <f>_xlfn.MAXIFS(tblLaborEntries[Work date serial],tblLaborEntries[Work package ID],tblWorkPackages[[#This Row],[Work package ID]])</f>
        <v>45482.0</v>
      </c>
      <c r="AB789" s="65">
        <f>IF(tblWorkPackages[[#This Row],[Completion date serial]]&gt;tblWorkPackages[[#This Row],[Due date serial]],1,0)</f>
        <v>1</v>
      </c>
      <c r="AC789" s="65">
        <f>MAX(0,tblWorkPackages[[#This Row],[Completion date serial]]-tblWorkPackages[[#This Row],[Due date serial]])</f>
        <v>2</v>
      </c>
      <c r="AD789" s="65">
        <f>tblWorkPackages[[#This Row],[First labor date]]-tblWorkPackages[[#This Row],[Request date serial]]</f>
        <v>1</v>
      </c>
      <c r="AE789" s="65">
        <f>tblWorkPackages[[#This Row],[Last labor date]]-tblWorkPackages[[#This Row],[First labor date]]</f>
        <v>0</v>
      </c>
      <c r="AF789" s="65">
        <f>tblWorkPackages[[#This Row],[Completion date serial]]-tblWorkPackages[[#This Row],[Last labor date]]</f>
        <v>3</v>
      </c>
      <c r="AG789" s="65">
        <f>tblWorkPackages[[#This Row],[Completion date serial]]-tblWorkPackages[[#This Row],[Request date serial]]</f>
        <v>4</v>
      </c>
      <c r="AH789" s="65">
        <f>IFERROR(INDEX(tblParts[Delay days],MATCH(tblWorkPackages[[#This Row],[Work package ID]],tblParts[Work package ID],0)),0)</f>
        <v>0</v>
      </c>
      <c r="AI789" s="51" t="str">
        <f>IFERROR(INDEX(tblDisruptions[Event type],MATCH(tblWorkPackages[[#This Row],[Work package ID]],tblDisruptions[Work package ID],0)),"None")</f>
        <v>None</v>
      </c>
      <c r="AJ789" s="51" t="str">
        <f>TEXT(tblWorkPackages[[#This Row],[Due date serial]],"yyyy-mm")</f>
        <v>2024-07</v>
      </c>
    </row>
    <row r="790" spans="1:36" ht="15" x14ac:dyDescent="0.25">
      <c r="A790" s="53" t="s">
        <v>1666</v>
      </c>
      <c r="B790" s="53" t="s">
        <v>163</v>
      </c>
      <c r="C790" s="53" t="s">
        <v>1667</v>
      </c>
      <c r="D790" s="53" t="s">
        <v>1668</v>
      </c>
      <c r="E790" s="53" t="s">
        <v>153</v>
      </c>
      <c r="F790" s="53" t="s">
        <v>128</v>
      </c>
      <c r="G790" s="53" t="s">
        <v>154</v>
      </c>
      <c r="H790" s="53">
        <v>2</v>
      </c>
      <c r="I790" s="53" t="s">
        <v>130</v>
      </c>
      <c r="J790" s="53">
        <v>0</v>
      </c>
      <c r="K790" s="53">
        <v>1</v>
      </c>
      <c r="L790" s="53">
        <v>9.1</v>
      </c>
      <c r="M790" s="53" t="s">
        <v>214</v>
      </c>
      <c r="N790" s="53">
        <v>7.3</v>
      </c>
      <c r="O790" s="51" t="str">
        <f>TEXT(tblWorkPackages[[#This Row],[Request date serial]]-WEEKDAY(tblWorkPackages[[#This Row],[Request date serial]],3),"yyyy-mm-dd")</f>
        <v>2024-01-08</v>
      </c>
      <c r="P790" s="51">
        <f>ABS(tblWorkPackages[[#This Row],[Actual labor hours]]-tblWorkPackages[[#This Row],[Estimated labor hours]])</f>
        <v>1.8</v>
      </c>
      <c r="Q790" s="51">
        <f>IF(tblWorkPackages[[#This Row],[Actual labor hours]]&gt;tblWorkPackages[[#This Row],[Estimated labor hours]],1,0)</f>
        <v>0</v>
      </c>
      <c r="R790" s="51">
        <f>tblWorkPackages[[#This Row],[Actual labor hours]]-tblWorkPackages[[#This Row],[Estimated labor hours]]</f>
        <v>-1.8</v>
      </c>
      <c r="S790" s="51" t="str">
        <f>IF(tblWorkPackages[[#This Row],[Request date serial]]&lt;ValidationStart,"Train 2024",IF(tblWorkPackages[[#This Row],[Request date serial]]&lt;HoldoutStart,"Validation H1","Holdout H2"))</f>
        <v>Train 2024</v>
      </c>
      <c r="T790" s="51" t="str">
        <f>IF(tblWorkPackages[[#This Row],[Time split]]="Train 2024","",tblWorkPackages[[#This Row],[Estimated labor hours]]+VLOOKUP(tblWorkPackages[[#This Row],[Task type]],'Forecast validation'!$A$14:$E$25,IF(tblWorkPackages[[#This Row],[Time split]]="Validation H1",4,5),FALSE()))</f>
        <v/>
      </c>
      <c r="U790" s="51" t="str">
        <f>IF(tblWorkPackages[[#This Row],[Calibrated forecast hours]]="","",ABS(tblWorkPackages[[#This Row],[Actual labor hours]]-tblWorkPackages[[#This Row],[Calibrated forecast hours]]))</f>
        <v/>
      </c>
      <c r="V790" s="51">
        <f>IF(tblWorkPackages[[#This Row],[Time split]]="Train 2024",tblWorkPackages[[#This Row],[Estimated labor hours]],tblWorkPackages[[#This Row],[Calibrated forecast hours]])</f>
        <v>9.1</v>
      </c>
      <c r="W790" s="64">
        <f>DATEVALUE(tblWorkPackages[[#This Row],[Request date]])</f>
        <v>45301.0</v>
      </c>
      <c r="X790" s="64">
        <f>DATEVALUE(tblWorkPackages[[#This Row],[Due date]])</f>
        <v>45314.0</v>
      </c>
      <c r="Y790" s="64">
        <f>DATEVALUE(tblWorkPackages[[#This Row],[Completion date]])</f>
        <v>45311.0</v>
      </c>
      <c r="Z790" s="64">
        <f>_xlfn.MINIFS(tblLaborEntries[Work date serial],tblLaborEntries[Work package ID],tblWorkPackages[[#This Row],[Work package ID]])</f>
        <v>45310.0</v>
      </c>
      <c r="AA790" s="64">
        <f>_xlfn.MAXIFS(tblLaborEntries[Work date serial],tblLaborEntries[Work package ID],tblWorkPackages[[#This Row],[Work package ID]])</f>
        <v>45311.0</v>
      </c>
      <c r="AB790" s="65">
        <f>IF(tblWorkPackages[[#This Row],[Completion date serial]]&gt;tblWorkPackages[[#This Row],[Due date serial]],1,0)</f>
        <v>0</v>
      </c>
      <c r="AC790" s="65">
        <f>MAX(0,tblWorkPackages[[#This Row],[Completion date serial]]-tblWorkPackages[[#This Row],[Due date serial]])</f>
        <v>0</v>
      </c>
      <c r="AD790" s="65">
        <f>tblWorkPackages[[#This Row],[First labor date]]-tblWorkPackages[[#This Row],[Request date serial]]</f>
        <v>9</v>
      </c>
      <c r="AE790" s="65">
        <f>tblWorkPackages[[#This Row],[Last labor date]]-tblWorkPackages[[#This Row],[First labor date]]</f>
        <v>1</v>
      </c>
      <c r="AF790" s="65">
        <f>tblWorkPackages[[#This Row],[Completion date serial]]-tblWorkPackages[[#This Row],[Last labor date]]</f>
        <v>0</v>
      </c>
      <c r="AG790" s="65">
        <f>tblWorkPackages[[#This Row],[Completion date serial]]-tblWorkPackages[[#This Row],[Request date serial]]</f>
        <v>10</v>
      </c>
      <c r="AH790" s="65">
        <f>IFERROR(INDEX(tblParts[Delay days],MATCH(tblWorkPackages[[#This Row],[Work package ID]],tblParts[Work package ID],0)),0)</f>
        <v>0</v>
      </c>
      <c r="AI790" s="51" t="str">
        <f>IFERROR(INDEX(tblDisruptions[Event type],MATCH(tblWorkPackages[[#This Row],[Work package ID]],tblDisruptions[Work package ID],0)),"None")</f>
        <v>None</v>
      </c>
      <c r="AJ790" s="51" t="str">
        <f>TEXT(tblWorkPackages[[#This Row],[Due date serial]],"yyyy-mm")</f>
        <v>2024-01</v>
      </c>
    </row>
    <row r="791" spans="1:36" ht="15" x14ac:dyDescent="0.25">
      <c r="A791" s="53" t="s">
        <v>1669</v>
      </c>
      <c r="B791" s="53" t="s">
        <v>141</v>
      </c>
      <c r="C791" s="53" t="s">
        <v>515</v>
      </c>
      <c r="D791" s="53" t="s">
        <v>158</v>
      </c>
      <c r="E791" s="53" t="s">
        <v>144</v>
      </c>
      <c r="F791" s="53" t="s">
        <v>145</v>
      </c>
      <c r="G791" s="53" t="s">
        <v>146</v>
      </c>
      <c r="H791" s="53">
        <v>3</v>
      </c>
      <c r="I791" s="53" t="s">
        <v>176</v>
      </c>
      <c r="J791" s="53">
        <v>0</v>
      </c>
      <c r="K791" s="53">
        <v>1</v>
      </c>
      <c r="L791" s="53">
        <v>12.7</v>
      </c>
      <c r="M791" s="53" t="s">
        <v>933</v>
      </c>
      <c r="N791" s="53">
        <v>15.7</v>
      </c>
      <c r="O791" s="51" t="str">
        <f>TEXT(tblWorkPackages[[#This Row],[Request date serial]]-WEEKDAY(tblWorkPackages[[#This Row],[Request date serial]],3),"yyyy-mm-dd")</f>
        <v>2024-11-25</v>
      </c>
      <c r="P791" s="51">
        <f>ABS(tblWorkPackages[[#This Row],[Actual labor hours]]-tblWorkPackages[[#This Row],[Estimated labor hours]])</f>
        <v>3</v>
      </c>
      <c r="Q791" s="51">
        <f>IF(tblWorkPackages[[#This Row],[Actual labor hours]]&gt;tblWorkPackages[[#This Row],[Estimated labor hours]],1,0)</f>
        <v>1</v>
      </c>
      <c r="R791" s="51">
        <f>tblWorkPackages[[#This Row],[Actual labor hours]]-tblWorkPackages[[#This Row],[Estimated labor hours]]</f>
        <v>3</v>
      </c>
      <c r="S791" s="51" t="str">
        <f>IF(tblWorkPackages[[#This Row],[Request date serial]]&lt;ValidationStart,"Train 2024",IF(tblWorkPackages[[#This Row],[Request date serial]]&lt;HoldoutStart,"Validation H1","Holdout H2"))</f>
        <v>Train 2024</v>
      </c>
      <c r="T791" s="51" t="str">
        <f>IF(tblWorkPackages[[#This Row],[Time split]]="Train 2024","",tblWorkPackages[[#This Row],[Estimated labor hours]]+VLOOKUP(tblWorkPackages[[#This Row],[Task type]],'Forecast validation'!$A$14:$E$25,IF(tblWorkPackages[[#This Row],[Time split]]="Validation H1",4,5),FALSE()))</f>
        <v/>
      </c>
      <c r="U791" s="51" t="str">
        <f>IF(tblWorkPackages[[#This Row],[Calibrated forecast hours]]="","",ABS(tblWorkPackages[[#This Row],[Actual labor hours]]-tblWorkPackages[[#This Row],[Calibrated forecast hours]]))</f>
        <v/>
      </c>
      <c r="V791" s="51">
        <f>IF(tblWorkPackages[[#This Row],[Time split]]="Train 2024",tblWorkPackages[[#This Row],[Estimated labor hours]],tblWorkPackages[[#This Row],[Calibrated forecast hours]])</f>
        <v>12.7</v>
      </c>
      <c r="W791" s="64">
        <f>DATEVALUE(tblWorkPackages[[#This Row],[Request date]])</f>
        <v>45621.0</v>
      </c>
      <c r="X791" s="64">
        <f>DATEVALUE(tblWorkPackages[[#This Row],[Due date]])</f>
        <v>45627.0</v>
      </c>
      <c r="Y791" s="64">
        <f>DATEVALUE(tblWorkPackages[[#This Row],[Completion date]])</f>
        <v>45625.0</v>
      </c>
      <c r="Z791" s="64">
        <f>_xlfn.MINIFS(tblLaborEntries[Work date serial],tblLaborEntries[Work package ID],tblWorkPackages[[#This Row],[Work package ID]])</f>
        <v>45623.0</v>
      </c>
      <c r="AA791" s="64">
        <f>_xlfn.MAXIFS(tblLaborEntries[Work date serial],tblLaborEntries[Work package ID],tblWorkPackages[[#This Row],[Work package ID]])</f>
        <v>45624.0</v>
      </c>
      <c r="AB791" s="65">
        <f>IF(tblWorkPackages[[#This Row],[Completion date serial]]&gt;tblWorkPackages[[#This Row],[Due date serial]],1,0)</f>
        <v>0</v>
      </c>
      <c r="AC791" s="65">
        <f>MAX(0,tblWorkPackages[[#This Row],[Completion date serial]]-tblWorkPackages[[#This Row],[Due date serial]])</f>
        <v>0</v>
      </c>
      <c r="AD791" s="65">
        <f>tblWorkPackages[[#This Row],[First labor date]]-tblWorkPackages[[#This Row],[Request date serial]]</f>
        <v>2</v>
      </c>
      <c r="AE791" s="65">
        <f>tblWorkPackages[[#This Row],[Last labor date]]-tblWorkPackages[[#This Row],[First labor date]]</f>
        <v>1</v>
      </c>
      <c r="AF791" s="65">
        <f>tblWorkPackages[[#This Row],[Completion date serial]]-tblWorkPackages[[#This Row],[Last labor date]]</f>
        <v>1</v>
      </c>
      <c r="AG791" s="65">
        <f>tblWorkPackages[[#This Row],[Completion date serial]]-tblWorkPackages[[#This Row],[Request date serial]]</f>
        <v>4</v>
      </c>
      <c r="AH791" s="65">
        <f>IFERROR(INDEX(tblParts[Delay days],MATCH(tblWorkPackages[[#This Row],[Work package ID]],tblParts[Work package ID],0)),0)</f>
        <v>0</v>
      </c>
      <c r="AI791" s="51" t="str">
        <f>IFERROR(INDEX(tblDisruptions[Event type],MATCH(tblWorkPackages[[#This Row],[Work package ID]],tblDisruptions[Work package ID],0)),"None")</f>
        <v>None</v>
      </c>
      <c r="AJ791" s="51" t="str">
        <f>TEXT(tblWorkPackages[[#This Row],[Due date serial]],"yyyy-mm")</f>
        <v>2024-12</v>
      </c>
    </row>
    <row r="792" spans="1:36" ht="15" x14ac:dyDescent="0.25">
      <c r="A792" s="53" t="s">
        <v>1670</v>
      </c>
      <c r="B792" s="53" t="s">
        <v>185</v>
      </c>
      <c r="C792" s="53" t="s">
        <v>329</v>
      </c>
      <c r="D792" s="53" t="s">
        <v>655</v>
      </c>
      <c r="E792" s="53" t="s">
        <v>242</v>
      </c>
      <c r="F792" s="53" t="s">
        <v>243</v>
      </c>
      <c r="G792" s="53" t="s">
        <v>129</v>
      </c>
      <c r="H792" s="53">
        <v>1</v>
      </c>
      <c r="I792" s="53" t="s">
        <v>147</v>
      </c>
      <c r="J792" s="53">
        <v>0</v>
      </c>
      <c r="K792" s="53">
        <v>1</v>
      </c>
      <c r="L792" s="53">
        <v>6.6</v>
      </c>
      <c r="M792" s="53" t="s">
        <v>317</v>
      </c>
      <c r="N792" s="53">
        <v>5.6</v>
      </c>
      <c r="O792" s="51" t="str">
        <f>TEXT(tblWorkPackages[[#This Row],[Request date serial]]-WEEKDAY(tblWorkPackages[[#This Row],[Request date serial]],3),"yyyy-mm-dd")</f>
        <v>2024-03-11</v>
      </c>
      <c r="P792" s="51">
        <f>ABS(tblWorkPackages[[#This Row],[Actual labor hours]]-tblWorkPackages[[#This Row],[Estimated labor hours]])</f>
        <v>1</v>
      </c>
      <c r="Q792" s="51">
        <f>IF(tblWorkPackages[[#This Row],[Actual labor hours]]&gt;tblWorkPackages[[#This Row],[Estimated labor hours]],1,0)</f>
        <v>0</v>
      </c>
      <c r="R792" s="51">
        <f>tblWorkPackages[[#This Row],[Actual labor hours]]-tblWorkPackages[[#This Row],[Estimated labor hours]]</f>
        <v>-1</v>
      </c>
      <c r="S792" s="51" t="str">
        <f>IF(tblWorkPackages[[#This Row],[Request date serial]]&lt;ValidationStart,"Train 2024",IF(tblWorkPackages[[#This Row],[Request date serial]]&lt;HoldoutStart,"Validation H1","Holdout H2"))</f>
        <v>Train 2024</v>
      </c>
      <c r="T792" s="51" t="str">
        <f>IF(tblWorkPackages[[#This Row],[Time split]]="Train 2024","",tblWorkPackages[[#This Row],[Estimated labor hours]]+VLOOKUP(tblWorkPackages[[#This Row],[Task type]],'Forecast validation'!$A$14:$E$25,IF(tblWorkPackages[[#This Row],[Time split]]="Validation H1",4,5),FALSE()))</f>
        <v/>
      </c>
      <c r="U792" s="51" t="str">
        <f>IF(tblWorkPackages[[#This Row],[Calibrated forecast hours]]="","",ABS(tblWorkPackages[[#This Row],[Actual labor hours]]-tblWorkPackages[[#This Row],[Calibrated forecast hours]]))</f>
        <v/>
      </c>
      <c r="V792" s="51">
        <f>IF(tblWorkPackages[[#This Row],[Time split]]="Train 2024",tblWorkPackages[[#This Row],[Estimated labor hours]],tblWorkPackages[[#This Row],[Calibrated forecast hours]])</f>
        <v>6.6</v>
      </c>
      <c r="W792" s="64">
        <f>DATEVALUE(tblWorkPackages[[#This Row],[Request date]])</f>
        <v>45367.0</v>
      </c>
      <c r="X792" s="64">
        <f>DATEVALUE(tblWorkPackages[[#This Row],[Due date]])</f>
        <v>45369.0</v>
      </c>
      <c r="Y792" s="64">
        <f>DATEVALUE(tblWorkPackages[[#This Row],[Completion date]])</f>
        <v>45394.0</v>
      </c>
      <c r="Z792" s="64">
        <f>_xlfn.MINIFS(tblLaborEntries[Work date serial],tblLaborEntries[Work package ID],tblWorkPackages[[#This Row],[Work package ID]])</f>
        <v>45392.0</v>
      </c>
      <c r="AA792" s="64">
        <f>_xlfn.MAXIFS(tblLaborEntries[Work date serial],tblLaborEntries[Work package ID],tblWorkPackages[[#This Row],[Work package ID]])</f>
        <v>45392.0</v>
      </c>
      <c r="AB792" s="65">
        <f>IF(tblWorkPackages[[#This Row],[Completion date serial]]&gt;tblWorkPackages[[#This Row],[Due date serial]],1,0)</f>
        <v>1</v>
      </c>
      <c r="AC792" s="65">
        <f>MAX(0,tblWorkPackages[[#This Row],[Completion date serial]]-tblWorkPackages[[#This Row],[Due date serial]])</f>
        <v>25</v>
      </c>
      <c r="AD792" s="65">
        <f>tblWorkPackages[[#This Row],[First labor date]]-tblWorkPackages[[#This Row],[Request date serial]]</f>
        <v>25</v>
      </c>
      <c r="AE792" s="65">
        <f>tblWorkPackages[[#This Row],[Last labor date]]-tblWorkPackages[[#This Row],[First labor date]]</f>
        <v>0</v>
      </c>
      <c r="AF792" s="65">
        <f>tblWorkPackages[[#This Row],[Completion date serial]]-tblWorkPackages[[#This Row],[Last labor date]]</f>
        <v>2</v>
      </c>
      <c r="AG792" s="65">
        <f>tblWorkPackages[[#This Row],[Completion date serial]]-tblWorkPackages[[#This Row],[Request date serial]]</f>
        <v>27</v>
      </c>
      <c r="AH792" s="65">
        <f>IFERROR(INDEX(tblParts[Delay days],MATCH(tblWorkPackages[[#This Row],[Work package ID]],tblParts[Work package ID],0)),0)</f>
        <v>0</v>
      </c>
      <c r="AI792" s="51" t="str">
        <f>IFERROR(INDEX(tblDisruptions[Event type],MATCH(tblWorkPackages[[#This Row],[Work package ID]],tblDisruptions[Work package ID],0)),"None")</f>
        <v>None</v>
      </c>
      <c r="AJ792" s="51" t="str">
        <f>TEXT(tblWorkPackages[[#This Row],[Due date serial]],"yyyy-mm")</f>
        <v>2024-03</v>
      </c>
    </row>
    <row r="793" spans="1:36" ht="15" x14ac:dyDescent="0.25">
      <c r="A793" s="53" t="s">
        <v>1671</v>
      </c>
      <c r="B793" s="53" t="s">
        <v>203</v>
      </c>
      <c r="C793" s="53" t="s">
        <v>870</v>
      </c>
      <c r="D793" s="53" t="s">
        <v>590</v>
      </c>
      <c r="E793" s="53" t="s">
        <v>144</v>
      </c>
      <c r="F793" s="53" t="s">
        <v>145</v>
      </c>
      <c r="G793" s="53" t="s">
        <v>146</v>
      </c>
      <c r="H793" s="53">
        <v>1</v>
      </c>
      <c r="I793" s="53" t="s">
        <v>130</v>
      </c>
      <c r="J793" s="53">
        <v>0</v>
      </c>
      <c r="K793" s="53">
        <v>1</v>
      </c>
      <c r="L793" s="53">
        <v>7</v>
      </c>
      <c r="M793" s="53" t="s">
        <v>1620</v>
      </c>
      <c r="N793" s="53">
        <v>8.4</v>
      </c>
      <c r="O793" s="51" t="str">
        <f>TEXT(tblWorkPackages[[#This Row],[Request date serial]]-WEEKDAY(tblWorkPackages[[#This Row],[Request date serial]],3),"yyyy-mm-dd")</f>
        <v>2025-03-10</v>
      </c>
      <c r="P793" s="51">
        <f>ABS(tblWorkPackages[[#This Row],[Actual labor hours]]-tblWorkPackages[[#This Row],[Estimated labor hours]])</f>
        <v>1.4</v>
      </c>
      <c r="Q793" s="51">
        <f>IF(tblWorkPackages[[#This Row],[Actual labor hours]]&gt;tblWorkPackages[[#This Row],[Estimated labor hours]],1,0)</f>
        <v>1</v>
      </c>
      <c r="R793" s="51">
        <f>tblWorkPackages[[#This Row],[Actual labor hours]]-tblWorkPackages[[#This Row],[Estimated labor hours]]</f>
        <v>1.4</v>
      </c>
      <c r="S793" s="51" t="str">
        <f>IF(tblWorkPackages[[#This Row],[Request date serial]]&lt;ValidationStart,"Train 2024",IF(tblWorkPackages[[#This Row],[Request date serial]]&lt;HoldoutStart,"Validation H1","Holdout H2"))</f>
        <v>Validation H1</v>
      </c>
      <c r="T793" s="51">
        <f>IF(tblWorkPackages[[#This Row],[Time split]]="Train 2024","",tblWorkPackages[[#This Row],[Estimated labor hours]]+VLOOKUP(tblWorkPackages[[#This Row],[Task type]],'Forecast validation'!$A$14:$E$25,IF(tblWorkPackages[[#This Row],[Time split]]="Validation H1",4,5),FALSE()))</f>
        <v>7.75473684210526</v>
      </c>
      <c r="U793" s="51">
        <f>IF(tblWorkPackages[[#This Row],[Calibrated forecast hours]]="","",ABS(tblWorkPackages[[#This Row],[Actual labor hours]]-tblWorkPackages[[#This Row],[Calibrated forecast hours]]))</f>
        <v>0.645263157894737</v>
      </c>
      <c r="V793" s="51">
        <f>IF(tblWorkPackages[[#This Row],[Time split]]="Train 2024",tblWorkPackages[[#This Row],[Estimated labor hours]],tblWorkPackages[[#This Row],[Calibrated forecast hours]])</f>
        <v>7.75473684210526</v>
      </c>
      <c r="W793" s="64">
        <f>DATEVALUE(tblWorkPackages[[#This Row],[Request date]])</f>
        <v>45732.0</v>
      </c>
      <c r="X793" s="64">
        <f>DATEVALUE(tblWorkPackages[[#This Row],[Due date]])</f>
        <v>45745.0</v>
      </c>
      <c r="Y793" s="64">
        <f>DATEVALUE(tblWorkPackages[[#This Row],[Completion date]])</f>
        <v>45741.0</v>
      </c>
      <c r="Z793" s="64">
        <f>_xlfn.MINIFS(tblLaborEntries[Work date serial],tblLaborEntries[Work package ID],tblWorkPackages[[#This Row],[Work package ID]])</f>
        <v>45736.0</v>
      </c>
      <c r="AA793" s="64">
        <f>_xlfn.MAXIFS(tblLaborEntries[Work date serial],tblLaborEntries[Work package ID],tblWorkPackages[[#This Row],[Work package ID]])</f>
        <v>45738.0</v>
      </c>
      <c r="AB793" s="65">
        <f>IF(tblWorkPackages[[#This Row],[Completion date serial]]&gt;tblWorkPackages[[#This Row],[Due date serial]],1,0)</f>
        <v>0</v>
      </c>
      <c r="AC793" s="65">
        <f>MAX(0,tblWorkPackages[[#This Row],[Completion date serial]]-tblWorkPackages[[#This Row],[Due date serial]])</f>
        <v>0</v>
      </c>
      <c r="AD793" s="65">
        <f>tblWorkPackages[[#This Row],[First labor date]]-tblWorkPackages[[#This Row],[Request date serial]]</f>
        <v>4</v>
      </c>
      <c r="AE793" s="65">
        <f>tblWorkPackages[[#This Row],[Last labor date]]-tblWorkPackages[[#This Row],[First labor date]]</f>
        <v>2</v>
      </c>
      <c r="AF793" s="65">
        <f>tblWorkPackages[[#This Row],[Completion date serial]]-tblWorkPackages[[#This Row],[Last labor date]]</f>
        <v>3</v>
      </c>
      <c r="AG793" s="65">
        <f>tblWorkPackages[[#This Row],[Completion date serial]]-tblWorkPackages[[#This Row],[Request date serial]]</f>
        <v>9</v>
      </c>
      <c r="AH793" s="65">
        <f>IFERROR(INDEX(tblParts[Delay days],MATCH(tblWorkPackages[[#This Row],[Work package ID]],tblParts[Work package ID],0)),0)</f>
        <v>0</v>
      </c>
      <c r="AI793" s="51" t="str">
        <f>IFERROR(INDEX(tblDisruptions[Event type],MATCH(tblWorkPackages[[#This Row],[Work package ID]],tblDisruptions[Work package ID],0)),"None")</f>
        <v>None</v>
      </c>
      <c r="AJ793" s="51" t="str">
        <f>TEXT(tblWorkPackages[[#This Row],[Due date serial]],"yyyy-mm")</f>
        <v>2025-03</v>
      </c>
    </row>
    <row r="794" spans="1:36" ht="15" x14ac:dyDescent="0.25">
      <c r="A794" s="53" t="s">
        <v>1672</v>
      </c>
      <c r="B794" s="53" t="s">
        <v>168</v>
      </c>
      <c r="C794" s="53" t="s">
        <v>685</v>
      </c>
      <c r="D794" s="53" t="s">
        <v>1445</v>
      </c>
      <c r="E794" s="53" t="s">
        <v>136</v>
      </c>
      <c r="F794" s="53" t="s">
        <v>137</v>
      </c>
      <c r="G794" s="53" t="s">
        <v>138</v>
      </c>
      <c r="H794" s="53">
        <v>2</v>
      </c>
      <c r="I794" s="53" t="s">
        <v>176</v>
      </c>
      <c r="J794" s="53">
        <v>0</v>
      </c>
      <c r="K794" s="53">
        <v>0</v>
      </c>
      <c r="L794" s="53">
        <v>16.100000000000001</v>
      </c>
      <c r="M794" s="53" t="s">
        <v>966</v>
      </c>
      <c r="N794" s="53">
        <v>20.3</v>
      </c>
      <c r="O794" s="51" t="str">
        <f>TEXT(tblWorkPackages[[#This Row],[Request date serial]]-WEEKDAY(tblWorkPackages[[#This Row],[Request date serial]],3),"yyyy-mm-dd")</f>
        <v>2025-03-10</v>
      </c>
      <c r="P794" s="51">
        <f>ABS(tblWorkPackages[[#This Row],[Actual labor hours]]-tblWorkPackages[[#This Row],[Estimated labor hours]])</f>
        <v>4.2</v>
      </c>
      <c r="Q794" s="51">
        <f>IF(tblWorkPackages[[#This Row],[Actual labor hours]]&gt;tblWorkPackages[[#This Row],[Estimated labor hours]],1,0)</f>
        <v>1</v>
      </c>
      <c r="R794" s="51">
        <f>tblWorkPackages[[#This Row],[Actual labor hours]]-tblWorkPackages[[#This Row],[Estimated labor hours]]</f>
        <v>4.2</v>
      </c>
      <c r="S794" s="51" t="str">
        <f>IF(tblWorkPackages[[#This Row],[Request date serial]]&lt;ValidationStart,"Train 2024",IF(tblWorkPackages[[#This Row],[Request date serial]]&lt;HoldoutStart,"Validation H1","Holdout H2"))</f>
        <v>Validation H1</v>
      </c>
      <c r="T794" s="51">
        <f>IF(tblWorkPackages[[#This Row],[Time split]]="Train 2024","",tblWorkPackages[[#This Row],[Estimated labor hours]]+VLOOKUP(tblWorkPackages[[#This Row],[Task type]],'Forecast validation'!$A$14:$E$25,IF(tblWorkPackages[[#This Row],[Time split]]="Validation H1",4,5),FALSE()))</f>
        <v>16.9765306122449</v>
      </c>
      <c r="U794" s="51">
        <f>IF(tblWorkPackages[[#This Row],[Calibrated forecast hours]]="","",ABS(tblWorkPackages[[#This Row],[Actual labor hours]]-tblWorkPackages[[#This Row],[Calibrated forecast hours]]))</f>
        <v>3.3234693877551</v>
      </c>
      <c r="V794" s="51">
        <f>IF(tblWorkPackages[[#This Row],[Time split]]="Train 2024",tblWorkPackages[[#This Row],[Estimated labor hours]],tblWorkPackages[[#This Row],[Calibrated forecast hours]])</f>
        <v>16.9765306122449</v>
      </c>
      <c r="W794" s="64">
        <f>DATEVALUE(tblWorkPackages[[#This Row],[Request date]])</f>
        <v>45730.0</v>
      </c>
      <c r="X794" s="64">
        <f>DATEVALUE(tblWorkPackages[[#This Row],[Due date]])</f>
        <v>45736.0</v>
      </c>
      <c r="Y794" s="64">
        <f>DATEVALUE(tblWorkPackages[[#This Row],[Completion date]])</f>
        <v>45733.0</v>
      </c>
      <c r="Z794" s="64">
        <f>_xlfn.MINIFS(tblLaborEntries[Work date serial],tblLaborEntries[Work package ID],tblWorkPackages[[#This Row],[Work package ID]])</f>
        <v>45731.0</v>
      </c>
      <c r="AA794" s="64">
        <f>_xlfn.MAXIFS(tblLaborEntries[Work date serial],tblLaborEntries[Work package ID],tblWorkPackages[[#This Row],[Work package ID]])</f>
        <v>45733.0</v>
      </c>
      <c r="AB794" s="65">
        <f>IF(tblWorkPackages[[#This Row],[Completion date serial]]&gt;tblWorkPackages[[#This Row],[Due date serial]],1,0)</f>
        <v>0</v>
      </c>
      <c r="AC794" s="65">
        <f>MAX(0,tblWorkPackages[[#This Row],[Completion date serial]]-tblWorkPackages[[#This Row],[Due date serial]])</f>
        <v>0</v>
      </c>
      <c r="AD794" s="65">
        <f>tblWorkPackages[[#This Row],[First labor date]]-tblWorkPackages[[#This Row],[Request date serial]]</f>
        <v>1</v>
      </c>
      <c r="AE794" s="65">
        <f>tblWorkPackages[[#This Row],[Last labor date]]-tblWorkPackages[[#This Row],[First labor date]]</f>
        <v>2</v>
      </c>
      <c r="AF794" s="65">
        <f>tblWorkPackages[[#This Row],[Completion date serial]]-tblWorkPackages[[#This Row],[Last labor date]]</f>
        <v>0</v>
      </c>
      <c r="AG794" s="65">
        <f>tblWorkPackages[[#This Row],[Completion date serial]]-tblWorkPackages[[#This Row],[Request date serial]]</f>
        <v>3</v>
      </c>
      <c r="AH794" s="65">
        <f>IFERROR(INDEX(tblParts[Delay days],MATCH(tblWorkPackages[[#This Row],[Work package ID]],tblParts[Work package ID],0)),0)</f>
        <v>0</v>
      </c>
      <c r="AI794" s="51" t="str">
        <f>IFERROR(INDEX(tblDisruptions[Event type],MATCH(tblWorkPackages[[#This Row],[Work package ID]],tblDisruptions[Work package ID],0)),"None")</f>
        <v>None</v>
      </c>
      <c r="AJ794" s="51" t="str">
        <f>TEXT(tblWorkPackages[[#This Row],[Due date serial]],"yyyy-mm")</f>
        <v>2025-03</v>
      </c>
    </row>
    <row r="795" spans="1:36" ht="15" x14ac:dyDescent="0.25">
      <c r="A795" s="53" t="s">
        <v>1673</v>
      </c>
      <c r="B795" s="53" t="s">
        <v>287</v>
      </c>
      <c r="C795" s="53" t="s">
        <v>1581</v>
      </c>
      <c r="D795" s="53" t="s">
        <v>778</v>
      </c>
      <c r="E795" s="53" t="s">
        <v>136</v>
      </c>
      <c r="F795" s="53" t="s">
        <v>137</v>
      </c>
      <c r="G795" s="53" t="s">
        <v>138</v>
      </c>
      <c r="H795" s="53">
        <v>3</v>
      </c>
      <c r="I795" s="53" t="s">
        <v>130</v>
      </c>
      <c r="J795" s="53">
        <v>0</v>
      </c>
      <c r="K795" s="53">
        <v>1</v>
      </c>
      <c r="L795" s="53">
        <v>18.7</v>
      </c>
      <c r="M795" s="53" t="s">
        <v>848</v>
      </c>
      <c r="N795" s="53">
        <v>17.5</v>
      </c>
      <c r="O795" s="51" t="str">
        <f>TEXT(tblWorkPackages[[#This Row],[Request date serial]]-WEEKDAY(tblWorkPackages[[#This Row],[Request date serial]],3),"yyyy-mm-dd")</f>
        <v>2025-12-01</v>
      </c>
      <c r="P795" s="51">
        <f>ABS(tblWorkPackages[[#This Row],[Actual labor hours]]-tblWorkPackages[[#This Row],[Estimated labor hours]])</f>
        <v>1.2</v>
      </c>
      <c r="Q795" s="51">
        <f>IF(tblWorkPackages[[#This Row],[Actual labor hours]]&gt;tblWorkPackages[[#This Row],[Estimated labor hours]],1,0)</f>
        <v>0</v>
      </c>
      <c r="R795" s="51">
        <f>tblWorkPackages[[#This Row],[Actual labor hours]]-tblWorkPackages[[#This Row],[Estimated labor hours]]</f>
        <v>-1.2</v>
      </c>
      <c r="S795" s="51" t="str">
        <f>IF(tblWorkPackages[[#This Row],[Request date serial]]&lt;ValidationStart,"Train 2024",IF(tblWorkPackages[[#This Row],[Request date serial]]&lt;HoldoutStart,"Validation H1","Holdout H2"))</f>
        <v>Holdout H2</v>
      </c>
      <c r="T795" s="51">
        <f>IF(tblWorkPackages[[#This Row],[Time split]]="Train 2024","",tblWorkPackages[[#This Row],[Estimated labor hours]]+VLOOKUP(tblWorkPackages[[#This Row],[Task type]],'Forecast validation'!$A$14:$E$25,IF(tblWorkPackages[[#This Row],[Time split]]="Validation H1",4,5),FALSE()))</f>
        <v>19.6207547169811</v>
      </c>
      <c r="U795" s="51">
        <f>IF(tblWorkPackages[[#This Row],[Calibrated forecast hours]]="","",ABS(tblWorkPackages[[#This Row],[Actual labor hours]]-tblWorkPackages[[#This Row],[Calibrated forecast hours]]))</f>
        <v>2.12075471698113</v>
      </c>
      <c r="V795" s="51">
        <f>IF(tblWorkPackages[[#This Row],[Time split]]="Train 2024",tblWorkPackages[[#This Row],[Estimated labor hours]],tblWorkPackages[[#This Row],[Calibrated forecast hours]])</f>
        <v>19.6207547169811</v>
      </c>
      <c r="W795" s="64">
        <f>DATEVALUE(tblWorkPackages[[#This Row],[Request date]])</f>
        <v>45992.0</v>
      </c>
      <c r="X795" s="64">
        <f>DATEVALUE(tblWorkPackages[[#This Row],[Due date]])</f>
        <v>46005.0</v>
      </c>
      <c r="Y795" s="64">
        <f>DATEVALUE(tblWorkPackages[[#This Row],[Completion date]])</f>
        <v>46006.0</v>
      </c>
      <c r="Z795" s="64">
        <f>_xlfn.MINIFS(tblLaborEntries[Work date serial],tblLaborEntries[Work package ID],tblWorkPackages[[#This Row],[Work package ID]])</f>
        <v>46005.0</v>
      </c>
      <c r="AA795" s="64">
        <f>_xlfn.MAXIFS(tblLaborEntries[Work date serial],tblLaborEntries[Work package ID],tblWorkPackages[[#This Row],[Work package ID]])</f>
        <v>46005.0</v>
      </c>
      <c r="AB795" s="65">
        <f>IF(tblWorkPackages[[#This Row],[Completion date serial]]&gt;tblWorkPackages[[#This Row],[Due date serial]],1,0)</f>
        <v>1</v>
      </c>
      <c r="AC795" s="65">
        <f>MAX(0,tblWorkPackages[[#This Row],[Completion date serial]]-tblWorkPackages[[#This Row],[Due date serial]])</f>
        <v>1</v>
      </c>
      <c r="AD795" s="65">
        <f>tblWorkPackages[[#This Row],[First labor date]]-tblWorkPackages[[#This Row],[Request date serial]]</f>
        <v>13</v>
      </c>
      <c r="AE795" s="65">
        <f>tblWorkPackages[[#This Row],[Last labor date]]-tblWorkPackages[[#This Row],[First labor date]]</f>
        <v>0</v>
      </c>
      <c r="AF795" s="65">
        <f>tblWorkPackages[[#This Row],[Completion date serial]]-tblWorkPackages[[#This Row],[Last labor date]]</f>
        <v>1</v>
      </c>
      <c r="AG795" s="65">
        <f>tblWorkPackages[[#This Row],[Completion date serial]]-tblWorkPackages[[#This Row],[Request date serial]]</f>
        <v>14</v>
      </c>
      <c r="AH795" s="65">
        <f>IFERROR(INDEX(tblParts[Delay days],MATCH(tblWorkPackages[[#This Row],[Work package ID]],tblParts[Work package ID],0)),0)</f>
        <v>0</v>
      </c>
      <c r="AI795" s="51" t="str">
        <f>IFERROR(INDEX(tblDisruptions[Event type],MATCH(tblWorkPackages[[#This Row],[Work package ID]],tblDisruptions[Work package ID],0)),"None")</f>
        <v>Equipment unavailable</v>
      </c>
      <c r="AJ795" s="51" t="str">
        <f>TEXT(tblWorkPackages[[#This Row],[Due date serial]],"yyyy-mm")</f>
        <v>2025-12</v>
      </c>
    </row>
    <row r="796" spans="1:36" ht="15" x14ac:dyDescent="0.25">
      <c r="A796" s="53" t="s">
        <v>1674</v>
      </c>
      <c r="B796" s="53" t="s">
        <v>124</v>
      </c>
      <c r="C796" s="53" t="s">
        <v>590</v>
      </c>
      <c r="D796" s="53" t="s">
        <v>967</v>
      </c>
      <c r="E796" s="53" t="s">
        <v>209</v>
      </c>
      <c r="F796" s="53" t="s">
        <v>145</v>
      </c>
      <c r="G796" s="53" t="s">
        <v>210</v>
      </c>
      <c r="H796" s="53">
        <v>4</v>
      </c>
      <c r="I796" s="53" t="s">
        <v>130</v>
      </c>
      <c r="J796" s="53">
        <v>0</v>
      </c>
      <c r="K796" s="53">
        <v>1</v>
      </c>
      <c r="L796" s="53">
        <v>43.5</v>
      </c>
      <c r="M796" s="53" t="s">
        <v>1226</v>
      </c>
      <c r="N796" s="53">
        <v>51.2</v>
      </c>
      <c r="O796" s="51" t="str">
        <f>TEXT(tblWorkPackages[[#This Row],[Request date serial]]-WEEKDAY(tblWorkPackages[[#This Row],[Request date serial]],3),"yyyy-mm-dd")</f>
        <v>2025-03-24</v>
      </c>
      <c r="P796" s="51">
        <f>ABS(tblWorkPackages[[#This Row],[Actual labor hours]]-tblWorkPackages[[#This Row],[Estimated labor hours]])</f>
        <v>7.7</v>
      </c>
      <c r="Q796" s="51">
        <f>IF(tblWorkPackages[[#This Row],[Actual labor hours]]&gt;tblWorkPackages[[#This Row],[Estimated labor hours]],1,0)</f>
        <v>1</v>
      </c>
      <c r="R796" s="51">
        <f>tblWorkPackages[[#This Row],[Actual labor hours]]-tblWorkPackages[[#This Row],[Estimated labor hours]]</f>
        <v>7.7</v>
      </c>
      <c r="S796" s="51" t="str">
        <f>IF(tblWorkPackages[[#This Row],[Request date serial]]&lt;ValidationStart,"Train 2024",IF(tblWorkPackages[[#This Row],[Request date serial]]&lt;HoldoutStart,"Validation H1","Holdout H2"))</f>
        <v>Validation H1</v>
      </c>
      <c r="T796" s="51">
        <f>IF(tblWorkPackages[[#This Row],[Time split]]="Train 2024","",tblWorkPackages[[#This Row],[Estimated labor hours]]+VLOOKUP(tblWorkPackages[[#This Row],[Task type]],'Forecast validation'!$A$14:$E$25,IF(tblWorkPackages[[#This Row],[Time split]]="Validation H1",4,5),FALSE()))</f>
        <v>44.6029850746269</v>
      </c>
      <c r="U796" s="51">
        <f>IF(tblWorkPackages[[#This Row],[Calibrated forecast hours]]="","",ABS(tblWorkPackages[[#This Row],[Actual labor hours]]-tblWorkPackages[[#This Row],[Calibrated forecast hours]]))</f>
        <v>6.59701492537314</v>
      </c>
      <c r="V796" s="51">
        <f>IF(tblWorkPackages[[#This Row],[Time split]]="Train 2024",tblWorkPackages[[#This Row],[Estimated labor hours]],tblWorkPackages[[#This Row],[Calibrated forecast hours]])</f>
        <v>44.6029850746269</v>
      </c>
      <c r="W796" s="64">
        <f>DATEVALUE(tblWorkPackages[[#This Row],[Request date]])</f>
        <v>45745.0</v>
      </c>
      <c r="X796" s="64">
        <f>DATEVALUE(tblWorkPackages[[#This Row],[Due date]])</f>
        <v>45758.0</v>
      </c>
      <c r="Y796" s="64">
        <f>DATEVALUE(tblWorkPackages[[#This Row],[Completion date]])</f>
        <v>45750.0</v>
      </c>
      <c r="Z796" s="64">
        <f>_xlfn.MINIFS(tblLaborEntries[Work date serial],tblLaborEntries[Work package ID],tblWorkPackages[[#This Row],[Work package ID]])</f>
        <v>45747.0</v>
      </c>
      <c r="AA796" s="64">
        <f>_xlfn.MAXIFS(tblLaborEntries[Work date serial],tblLaborEntries[Work package ID],tblWorkPackages[[#This Row],[Work package ID]])</f>
        <v>45748.0</v>
      </c>
      <c r="AB796" s="65">
        <f>IF(tblWorkPackages[[#This Row],[Completion date serial]]&gt;tblWorkPackages[[#This Row],[Due date serial]],1,0)</f>
        <v>0</v>
      </c>
      <c r="AC796" s="65">
        <f>MAX(0,tblWorkPackages[[#This Row],[Completion date serial]]-tblWorkPackages[[#This Row],[Due date serial]])</f>
        <v>0</v>
      </c>
      <c r="AD796" s="65">
        <f>tblWorkPackages[[#This Row],[First labor date]]-tblWorkPackages[[#This Row],[Request date serial]]</f>
        <v>2</v>
      </c>
      <c r="AE796" s="65">
        <f>tblWorkPackages[[#This Row],[Last labor date]]-tblWorkPackages[[#This Row],[First labor date]]</f>
        <v>1</v>
      </c>
      <c r="AF796" s="65">
        <f>tblWorkPackages[[#This Row],[Completion date serial]]-tblWorkPackages[[#This Row],[Last labor date]]</f>
        <v>2</v>
      </c>
      <c r="AG796" s="65">
        <f>tblWorkPackages[[#This Row],[Completion date serial]]-tblWorkPackages[[#This Row],[Request date serial]]</f>
        <v>5</v>
      </c>
      <c r="AH796" s="65">
        <f>IFERROR(INDEX(tblParts[Delay days],MATCH(tblWorkPackages[[#This Row],[Work package ID]],tblParts[Work package ID],0)),0)</f>
        <v>0</v>
      </c>
      <c r="AI796" s="51" t="str">
        <f>IFERROR(INDEX(tblDisruptions[Event type],MATCH(tblWorkPackages[[#This Row],[Work package ID]],tblDisruptions[Work package ID],0)),"None")</f>
        <v>None</v>
      </c>
      <c r="AJ796" s="51" t="str">
        <f>TEXT(tblWorkPackages[[#This Row],[Due date serial]],"yyyy-mm")</f>
        <v>2025-04</v>
      </c>
    </row>
    <row r="797" spans="1:36" ht="15" x14ac:dyDescent="0.25">
      <c r="A797" s="53" t="s">
        <v>1675</v>
      </c>
      <c r="B797" s="53" t="s">
        <v>185</v>
      </c>
      <c r="C797" s="53" t="s">
        <v>1067</v>
      </c>
      <c r="D797" s="53" t="s">
        <v>1068</v>
      </c>
      <c r="E797" s="53" t="s">
        <v>144</v>
      </c>
      <c r="F797" s="53" t="s">
        <v>145</v>
      </c>
      <c r="G797" s="53" t="s">
        <v>146</v>
      </c>
      <c r="H797" s="53">
        <v>3</v>
      </c>
      <c r="I797" s="53" t="s">
        <v>130</v>
      </c>
      <c r="J797" s="53">
        <v>0</v>
      </c>
      <c r="K797" s="53">
        <v>1</v>
      </c>
      <c r="L797" s="53">
        <v>16.600000000000001</v>
      </c>
      <c r="M797" s="53" t="s">
        <v>920</v>
      </c>
      <c r="N797" s="53">
        <v>21.3</v>
      </c>
      <c r="O797" s="51" t="str">
        <f>TEXT(tblWorkPackages[[#This Row],[Request date serial]]-WEEKDAY(tblWorkPackages[[#This Row],[Request date serial]],3),"yyyy-mm-dd")</f>
        <v>2024-03-04</v>
      </c>
      <c r="P797" s="51">
        <f>ABS(tblWorkPackages[[#This Row],[Actual labor hours]]-tblWorkPackages[[#This Row],[Estimated labor hours]])</f>
        <v>4.7</v>
      </c>
      <c r="Q797" s="51">
        <f>IF(tblWorkPackages[[#This Row],[Actual labor hours]]&gt;tblWorkPackages[[#This Row],[Estimated labor hours]],1,0)</f>
        <v>1</v>
      </c>
      <c r="R797" s="51">
        <f>tblWorkPackages[[#This Row],[Actual labor hours]]-tblWorkPackages[[#This Row],[Estimated labor hours]]</f>
        <v>4.7</v>
      </c>
      <c r="S797" s="51" t="str">
        <f>IF(tblWorkPackages[[#This Row],[Request date serial]]&lt;ValidationStart,"Train 2024",IF(tblWorkPackages[[#This Row],[Request date serial]]&lt;HoldoutStart,"Validation H1","Holdout H2"))</f>
        <v>Train 2024</v>
      </c>
      <c r="T797" s="51" t="str">
        <f>IF(tblWorkPackages[[#This Row],[Time split]]="Train 2024","",tblWorkPackages[[#This Row],[Estimated labor hours]]+VLOOKUP(tblWorkPackages[[#This Row],[Task type]],'Forecast validation'!$A$14:$E$25,IF(tblWorkPackages[[#This Row],[Time split]]="Validation H1",4,5),FALSE()))</f>
        <v/>
      </c>
      <c r="U797" s="51" t="str">
        <f>IF(tblWorkPackages[[#This Row],[Calibrated forecast hours]]="","",ABS(tblWorkPackages[[#This Row],[Actual labor hours]]-tblWorkPackages[[#This Row],[Calibrated forecast hours]]))</f>
        <v/>
      </c>
      <c r="V797" s="51">
        <f>IF(tblWorkPackages[[#This Row],[Time split]]="Train 2024",tblWorkPackages[[#This Row],[Estimated labor hours]],tblWorkPackages[[#This Row],[Calibrated forecast hours]])</f>
        <v>16.6</v>
      </c>
      <c r="W797" s="64">
        <f>DATEVALUE(tblWorkPackages[[#This Row],[Request date]])</f>
        <v>45357.0</v>
      </c>
      <c r="X797" s="64">
        <f>DATEVALUE(tblWorkPackages[[#This Row],[Due date]])</f>
        <v>45370.0</v>
      </c>
      <c r="Y797" s="64">
        <f>DATEVALUE(tblWorkPackages[[#This Row],[Completion date]])</f>
        <v>45401.0</v>
      </c>
      <c r="Z797" s="64">
        <f>_xlfn.MINIFS(tblLaborEntries[Work date serial],tblLaborEntries[Work package ID],tblWorkPackages[[#This Row],[Work package ID]])</f>
        <v>45396.0</v>
      </c>
      <c r="AA797" s="64">
        <f>_xlfn.MAXIFS(tblLaborEntries[Work date serial],tblLaborEntries[Work package ID],tblWorkPackages[[#This Row],[Work package ID]])</f>
        <v>45398.0</v>
      </c>
      <c r="AB797" s="65">
        <f>IF(tblWorkPackages[[#This Row],[Completion date serial]]&gt;tblWorkPackages[[#This Row],[Due date serial]],1,0)</f>
        <v>1</v>
      </c>
      <c r="AC797" s="65">
        <f>MAX(0,tblWorkPackages[[#This Row],[Completion date serial]]-tblWorkPackages[[#This Row],[Due date serial]])</f>
        <v>31</v>
      </c>
      <c r="AD797" s="65">
        <f>tblWorkPackages[[#This Row],[First labor date]]-tblWorkPackages[[#This Row],[Request date serial]]</f>
        <v>39</v>
      </c>
      <c r="AE797" s="65">
        <f>tblWorkPackages[[#This Row],[Last labor date]]-tblWorkPackages[[#This Row],[First labor date]]</f>
        <v>2</v>
      </c>
      <c r="AF797" s="65">
        <f>tblWorkPackages[[#This Row],[Completion date serial]]-tblWorkPackages[[#This Row],[Last labor date]]</f>
        <v>3</v>
      </c>
      <c r="AG797" s="65">
        <f>tblWorkPackages[[#This Row],[Completion date serial]]-tblWorkPackages[[#This Row],[Request date serial]]</f>
        <v>44</v>
      </c>
      <c r="AH797" s="65">
        <f>IFERROR(INDEX(tblParts[Delay days],MATCH(tblWorkPackages[[#This Row],[Work package ID]],tblParts[Work package ID],0)),0)</f>
        <v>0</v>
      </c>
      <c r="AI797" s="51" t="str">
        <f>IFERROR(INDEX(tblDisruptions[Event type],MATCH(tblWorkPackages[[#This Row],[Work package ID]],tblDisruptions[Work package ID],0)),"None")</f>
        <v>None</v>
      </c>
      <c r="AJ797" s="51" t="str">
        <f>TEXT(tblWorkPackages[[#This Row],[Due date serial]],"yyyy-mm")</f>
        <v>2024-03</v>
      </c>
    </row>
    <row r="798" spans="1:36" ht="15" x14ac:dyDescent="0.25">
      <c r="A798" s="53" t="s">
        <v>1676</v>
      </c>
      <c r="B798" s="53" t="s">
        <v>124</v>
      </c>
      <c r="C798" s="53" t="s">
        <v>451</v>
      </c>
      <c r="D798" s="53" t="s">
        <v>390</v>
      </c>
      <c r="E798" s="53" t="s">
        <v>223</v>
      </c>
      <c r="F798" s="53" t="s">
        <v>182</v>
      </c>
      <c r="G798" s="53" t="s">
        <v>154</v>
      </c>
      <c r="H798" s="53">
        <v>1</v>
      </c>
      <c r="I798" s="53" t="s">
        <v>130</v>
      </c>
      <c r="J798" s="53">
        <v>0</v>
      </c>
      <c r="K798" s="53">
        <v>0</v>
      </c>
      <c r="L798" s="53">
        <v>8.3000000000000007</v>
      </c>
      <c r="M798" s="53" t="s">
        <v>854</v>
      </c>
      <c r="N798" s="53">
        <v>11.4</v>
      </c>
      <c r="O798" s="51" t="str">
        <f>TEXT(tblWorkPackages[[#This Row],[Request date serial]]-WEEKDAY(tblWorkPackages[[#This Row],[Request date serial]],3),"yyyy-mm-dd")</f>
        <v>2024-07-08</v>
      </c>
      <c r="P798" s="51">
        <f>ABS(tblWorkPackages[[#This Row],[Actual labor hours]]-tblWorkPackages[[#This Row],[Estimated labor hours]])</f>
        <v>3.1</v>
      </c>
      <c r="Q798" s="51">
        <f>IF(tblWorkPackages[[#This Row],[Actual labor hours]]&gt;tblWorkPackages[[#This Row],[Estimated labor hours]],1,0)</f>
        <v>1</v>
      </c>
      <c r="R798" s="51">
        <f>tblWorkPackages[[#This Row],[Actual labor hours]]-tblWorkPackages[[#This Row],[Estimated labor hours]]</f>
        <v>3.1</v>
      </c>
      <c r="S798" s="51" t="str">
        <f>IF(tblWorkPackages[[#This Row],[Request date serial]]&lt;ValidationStart,"Train 2024",IF(tblWorkPackages[[#This Row],[Request date serial]]&lt;HoldoutStart,"Validation H1","Holdout H2"))</f>
        <v>Train 2024</v>
      </c>
      <c r="T798" s="51" t="str">
        <f>IF(tblWorkPackages[[#This Row],[Time split]]="Train 2024","",tblWorkPackages[[#This Row],[Estimated labor hours]]+VLOOKUP(tblWorkPackages[[#This Row],[Task type]],'Forecast validation'!$A$14:$E$25,IF(tblWorkPackages[[#This Row],[Time split]]="Validation H1",4,5),FALSE()))</f>
        <v/>
      </c>
      <c r="U798" s="51" t="str">
        <f>IF(tblWorkPackages[[#This Row],[Calibrated forecast hours]]="","",ABS(tblWorkPackages[[#This Row],[Actual labor hours]]-tblWorkPackages[[#This Row],[Calibrated forecast hours]]))</f>
        <v/>
      </c>
      <c r="V798" s="51">
        <f>IF(tblWorkPackages[[#This Row],[Time split]]="Train 2024",tblWorkPackages[[#This Row],[Estimated labor hours]],tblWorkPackages[[#This Row],[Calibrated forecast hours]])</f>
        <v>8.3</v>
      </c>
      <c r="W798" s="64">
        <f>DATEVALUE(tblWorkPackages[[#This Row],[Request date]])</f>
        <v>45484.0</v>
      </c>
      <c r="X798" s="64">
        <f>DATEVALUE(tblWorkPackages[[#This Row],[Due date]])</f>
        <v>45497.0</v>
      </c>
      <c r="Y798" s="64">
        <f>DATEVALUE(tblWorkPackages[[#This Row],[Completion date]])</f>
        <v>45492.0</v>
      </c>
      <c r="Z798" s="64">
        <f>_xlfn.MINIFS(tblLaborEntries[Work date serial],tblLaborEntries[Work package ID],tblWorkPackages[[#This Row],[Work package ID]])</f>
        <v>45491.0</v>
      </c>
      <c r="AA798" s="64">
        <f>_xlfn.MAXIFS(tblLaborEntries[Work date serial],tblLaborEntries[Work package ID],tblWorkPackages[[#This Row],[Work package ID]])</f>
        <v>45492.0</v>
      </c>
      <c r="AB798" s="65">
        <f>IF(tblWorkPackages[[#This Row],[Completion date serial]]&gt;tblWorkPackages[[#This Row],[Due date serial]],1,0)</f>
        <v>0</v>
      </c>
      <c r="AC798" s="65">
        <f>MAX(0,tblWorkPackages[[#This Row],[Completion date serial]]-tblWorkPackages[[#This Row],[Due date serial]])</f>
        <v>0</v>
      </c>
      <c r="AD798" s="65">
        <f>tblWorkPackages[[#This Row],[First labor date]]-tblWorkPackages[[#This Row],[Request date serial]]</f>
        <v>7</v>
      </c>
      <c r="AE798" s="65">
        <f>tblWorkPackages[[#This Row],[Last labor date]]-tblWorkPackages[[#This Row],[First labor date]]</f>
        <v>1</v>
      </c>
      <c r="AF798" s="65">
        <f>tblWorkPackages[[#This Row],[Completion date serial]]-tblWorkPackages[[#This Row],[Last labor date]]</f>
        <v>0</v>
      </c>
      <c r="AG798" s="65">
        <f>tblWorkPackages[[#This Row],[Completion date serial]]-tblWorkPackages[[#This Row],[Request date serial]]</f>
        <v>8</v>
      </c>
      <c r="AH798" s="65">
        <f>IFERROR(INDEX(tblParts[Delay days],MATCH(tblWorkPackages[[#This Row],[Work package ID]],tblParts[Work package ID],0)),0)</f>
        <v>0</v>
      </c>
      <c r="AI798" s="51" t="str">
        <f>IFERROR(INDEX(tblDisruptions[Event type],MATCH(tblWorkPackages[[#This Row],[Work package ID]],tblDisruptions[Work package ID],0)),"None")</f>
        <v>Technician absence</v>
      </c>
      <c r="AJ798" s="51" t="str">
        <f>TEXT(tblWorkPackages[[#This Row],[Due date serial]],"yyyy-mm")</f>
        <v>2024-07</v>
      </c>
    </row>
    <row r="799" spans="1:36" ht="15" x14ac:dyDescent="0.25">
      <c r="A799" s="53" t="s">
        <v>1677</v>
      </c>
      <c r="B799" s="53" t="s">
        <v>124</v>
      </c>
      <c r="C799" s="53" t="s">
        <v>895</v>
      </c>
      <c r="D799" s="53" t="s">
        <v>1678</v>
      </c>
      <c r="E799" s="53" t="s">
        <v>200</v>
      </c>
      <c r="F799" s="53" t="s">
        <v>128</v>
      </c>
      <c r="G799" s="53" t="s">
        <v>129</v>
      </c>
      <c r="H799" s="53">
        <v>2</v>
      </c>
      <c r="I799" s="53" t="s">
        <v>147</v>
      </c>
      <c r="J799" s="53">
        <v>0</v>
      </c>
      <c r="K799" s="53">
        <v>0</v>
      </c>
      <c r="L799" s="53">
        <v>2.8</v>
      </c>
      <c r="M799" s="53" t="s">
        <v>757</v>
      </c>
      <c r="N799" s="53">
        <v>2.9</v>
      </c>
      <c r="O799" s="51" t="str">
        <f>TEXT(tblWorkPackages[[#This Row],[Request date serial]]-WEEKDAY(tblWorkPackages[[#This Row],[Request date serial]],3),"yyyy-mm-dd")</f>
        <v>2024-09-16</v>
      </c>
      <c r="P799" s="51">
        <f>ABS(tblWorkPackages[[#This Row],[Actual labor hours]]-tblWorkPackages[[#This Row],[Estimated labor hours]])</f>
        <v>0.1</v>
      </c>
      <c r="Q799" s="51">
        <f>IF(tblWorkPackages[[#This Row],[Actual labor hours]]&gt;tblWorkPackages[[#This Row],[Estimated labor hours]],1,0)</f>
        <v>1</v>
      </c>
      <c r="R799" s="51">
        <f>tblWorkPackages[[#This Row],[Actual labor hours]]-tblWorkPackages[[#This Row],[Estimated labor hours]]</f>
        <v>0.1</v>
      </c>
      <c r="S799" s="51" t="str">
        <f>IF(tblWorkPackages[[#This Row],[Request date serial]]&lt;ValidationStart,"Train 2024",IF(tblWorkPackages[[#This Row],[Request date serial]]&lt;HoldoutStart,"Validation H1","Holdout H2"))</f>
        <v>Train 2024</v>
      </c>
      <c r="T799" s="51" t="str">
        <f>IF(tblWorkPackages[[#This Row],[Time split]]="Train 2024","",tblWorkPackages[[#This Row],[Estimated labor hours]]+VLOOKUP(tblWorkPackages[[#This Row],[Task type]],'Forecast validation'!$A$14:$E$25,IF(tblWorkPackages[[#This Row],[Time split]]="Validation H1",4,5),FALSE()))</f>
        <v/>
      </c>
      <c r="U799" s="51" t="str">
        <f>IF(tblWorkPackages[[#This Row],[Calibrated forecast hours]]="","",ABS(tblWorkPackages[[#This Row],[Actual labor hours]]-tblWorkPackages[[#This Row],[Calibrated forecast hours]]))</f>
        <v/>
      </c>
      <c r="V799" s="51">
        <f>IF(tblWorkPackages[[#This Row],[Time split]]="Train 2024",tblWorkPackages[[#This Row],[Estimated labor hours]],tblWorkPackages[[#This Row],[Calibrated forecast hours]])</f>
        <v>2.8</v>
      </c>
      <c r="W799" s="64">
        <f>DATEVALUE(tblWorkPackages[[#This Row],[Request date]])</f>
        <v>45553.0</v>
      </c>
      <c r="X799" s="64">
        <f>DATEVALUE(tblWorkPackages[[#This Row],[Due date]])</f>
        <v>45555.0</v>
      </c>
      <c r="Y799" s="64">
        <f>DATEVALUE(tblWorkPackages[[#This Row],[Completion date]])</f>
        <v>45557.0</v>
      </c>
      <c r="Z799" s="64">
        <f>_xlfn.MINIFS(tblLaborEntries[Work date serial],tblLaborEntries[Work package ID],tblWorkPackages[[#This Row],[Work package ID]])</f>
        <v>45555.0</v>
      </c>
      <c r="AA799" s="64">
        <f>_xlfn.MAXIFS(tblLaborEntries[Work date serial],tblLaborEntries[Work package ID],tblWorkPackages[[#This Row],[Work package ID]])</f>
        <v>45556.0</v>
      </c>
      <c r="AB799" s="65">
        <f>IF(tblWorkPackages[[#This Row],[Completion date serial]]&gt;tblWorkPackages[[#This Row],[Due date serial]],1,0)</f>
        <v>1</v>
      </c>
      <c r="AC799" s="65">
        <f>MAX(0,tblWorkPackages[[#This Row],[Completion date serial]]-tblWorkPackages[[#This Row],[Due date serial]])</f>
        <v>2</v>
      </c>
      <c r="AD799" s="65">
        <f>tblWorkPackages[[#This Row],[First labor date]]-tblWorkPackages[[#This Row],[Request date serial]]</f>
        <v>2</v>
      </c>
      <c r="AE799" s="65">
        <f>tblWorkPackages[[#This Row],[Last labor date]]-tblWorkPackages[[#This Row],[First labor date]]</f>
        <v>1</v>
      </c>
      <c r="AF799" s="65">
        <f>tblWorkPackages[[#This Row],[Completion date serial]]-tblWorkPackages[[#This Row],[Last labor date]]</f>
        <v>1</v>
      </c>
      <c r="AG799" s="65">
        <f>tblWorkPackages[[#This Row],[Completion date serial]]-tblWorkPackages[[#This Row],[Request date serial]]</f>
        <v>4</v>
      </c>
      <c r="AH799" s="65">
        <f>IFERROR(INDEX(tblParts[Delay days],MATCH(tblWorkPackages[[#This Row],[Work package ID]],tblParts[Work package ID],0)),0)</f>
        <v>0</v>
      </c>
      <c r="AI799" s="51" t="str">
        <f>IFERROR(INDEX(tblDisruptions[Event type],MATCH(tblWorkPackages[[#This Row],[Work package ID]],tblDisruptions[Work package ID],0)),"None")</f>
        <v>None</v>
      </c>
      <c r="AJ799" s="51" t="str">
        <f>TEXT(tblWorkPackages[[#This Row],[Due date serial]],"yyyy-mm")</f>
        <v>2024-09</v>
      </c>
    </row>
    <row r="800" spans="1:36" ht="15" x14ac:dyDescent="0.25">
      <c r="A800" s="53" t="s">
        <v>1679</v>
      </c>
      <c r="B800" s="53" t="s">
        <v>173</v>
      </c>
      <c r="C800" s="53" t="s">
        <v>244</v>
      </c>
      <c r="D800" s="53" t="s">
        <v>824</v>
      </c>
      <c r="E800" s="53" t="s">
        <v>181</v>
      </c>
      <c r="F800" s="53" t="s">
        <v>182</v>
      </c>
      <c r="G800" s="53" t="s">
        <v>138</v>
      </c>
      <c r="H800" s="53">
        <v>1</v>
      </c>
      <c r="I800" s="53" t="s">
        <v>176</v>
      </c>
      <c r="J800" s="53">
        <v>0</v>
      </c>
      <c r="K800" s="53">
        <v>0</v>
      </c>
      <c r="L800" s="53">
        <v>4.3</v>
      </c>
      <c r="M800" s="53" t="s">
        <v>556</v>
      </c>
      <c r="N800" s="53">
        <v>5.4</v>
      </c>
      <c r="O800" s="51" t="str">
        <f>TEXT(tblWorkPackages[[#This Row],[Request date serial]]-WEEKDAY(tblWorkPackages[[#This Row],[Request date serial]],3),"yyyy-mm-dd")</f>
        <v>2024-11-18</v>
      </c>
      <c r="P800" s="51">
        <f>ABS(tblWorkPackages[[#This Row],[Actual labor hours]]-tblWorkPackages[[#This Row],[Estimated labor hours]])</f>
        <v>1.1</v>
      </c>
      <c r="Q800" s="51">
        <f>IF(tblWorkPackages[[#This Row],[Actual labor hours]]&gt;tblWorkPackages[[#This Row],[Estimated labor hours]],1,0)</f>
        <v>1</v>
      </c>
      <c r="R800" s="51">
        <f>tblWorkPackages[[#This Row],[Actual labor hours]]-tblWorkPackages[[#This Row],[Estimated labor hours]]</f>
        <v>1.1</v>
      </c>
      <c r="S800" s="51" t="str">
        <f>IF(tblWorkPackages[[#This Row],[Request date serial]]&lt;ValidationStart,"Train 2024",IF(tblWorkPackages[[#This Row],[Request date serial]]&lt;HoldoutStart,"Validation H1","Holdout H2"))</f>
        <v>Train 2024</v>
      </c>
      <c r="T800" s="51" t="str">
        <f>IF(tblWorkPackages[[#This Row],[Time split]]="Train 2024","",tblWorkPackages[[#This Row],[Estimated labor hours]]+VLOOKUP(tblWorkPackages[[#This Row],[Task type]],'Forecast validation'!$A$14:$E$25,IF(tblWorkPackages[[#This Row],[Time split]]="Validation H1",4,5),FALSE()))</f>
        <v/>
      </c>
      <c r="U800" s="51" t="str">
        <f>IF(tblWorkPackages[[#This Row],[Calibrated forecast hours]]="","",ABS(tblWorkPackages[[#This Row],[Actual labor hours]]-tblWorkPackages[[#This Row],[Calibrated forecast hours]]))</f>
        <v/>
      </c>
      <c r="V800" s="51">
        <f>IF(tblWorkPackages[[#This Row],[Time split]]="Train 2024",tblWorkPackages[[#This Row],[Estimated labor hours]],tblWorkPackages[[#This Row],[Calibrated forecast hours]])</f>
        <v>4.3</v>
      </c>
      <c r="W800" s="64">
        <f>DATEVALUE(tblWorkPackages[[#This Row],[Request date]])</f>
        <v>45614.0</v>
      </c>
      <c r="X800" s="64">
        <f>DATEVALUE(tblWorkPackages[[#This Row],[Due date]])</f>
        <v>45620.0</v>
      </c>
      <c r="Y800" s="64">
        <f>DATEVALUE(tblWorkPackages[[#This Row],[Completion date]])</f>
        <v>45635.0</v>
      </c>
      <c r="Z800" s="64">
        <f>_xlfn.MINIFS(tblLaborEntries[Work date serial],tblLaborEntries[Work package ID],tblWorkPackages[[#This Row],[Work package ID]])</f>
        <v>45631.0</v>
      </c>
      <c r="AA800" s="64">
        <f>_xlfn.MAXIFS(tblLaborEntries[Work date serial],tblLaborEntries[Work package ID],tblWorkPackages[[#This Row],[Work package ID]])</f>
        <v>45633.0</v>
      </c>
      <c r="AB800" s="65">
        <f>IF(tblWorkPackages[[#This Row],[Completion date serial]]&gt;tblWorkPackages[[#This Row],[Due date serial]],1,0)</f>
        <v>1</v>
      </c>
      <c r="AC800" s="65">
        <f>MAX(0,tblWorkPackages[[#This Row],[Completion date serial]]-tblWorkPackages[[#This Row],[Due date serial]])</f>
        <v>15</v>
      </c>
      <c r="AD800" s="65">
        <f>tblWorkPackages[[#This Row],[First labor date]]-tblWorkPackages[[#This Row],[Request date serial]]</f>
        <v>17</v>
      </c>
      <c r="AE800" s="65">
        <f>tblWorkPackages[[#This Row],[Last labor date]]-tblWorkPackages[[#This Row],[First labor date]]</f>
        <v>2</v>
      </c>
      <c r="AF800" s="65">
        <f>tblWorkPackages[[#This Row],[Completion date serial]]-tblWorkPackages[[#This Row],[Last labor date]]</f>
        <v>2</v>
      </c>
      <c r="AG800" s="65">
        <f>tblWorkPackages[[#This Row],[Completion date serial]]-tblWorkPackages[[#This Row],[Request date serial]]</f>
        <v>21</v>
      </c>
      <c r="AH800" s="65">
        <f>IFERROR(INDEX(tblParts[Delay days],MATCH(tblWorkPackages[[#This Row],[Work package ID]],tblParts[Work package ID],0)),0)</f>
        <v>0</v>
      </c>
      <c r="AI800" s="51" t="str">
        <f>IFERROR(INDEX(tblDisruptions[Event type],MATCH(tblWorkPackages[[#This Row],[Work package ID]],tblDisruptions[Work package ID],0)),"None")</f>
        <v>None</v>
      </c>
      <c r="AJ800" s="51" t="str">
        <f>TEXT(tblWorkPackages[[#This Row],[Due date serial]],"yyyy-mm")</f>
        <v>2024-11</v>
      </c>
    </row>
    <row r="801" spans="1:36" ht="15" x14ac:dyDescent="0.25">
      <c r="A801" s="53" t="s">
        <v>1680</v>
      </c>
      <c r="B801" s="53" t="s">
        <v>124</v>
      </c>
      <c r="C801" s="53" t="s">
        <v>1019</v>
      </c>
      <c r="D801" s="53" t="s">
        <v>177</v>
      </c>
      <c r="E801" s="53" t="s">
        <v>153</v>
      </c>
      <c r="F801" s="53" t="s">
        <v>128</v>
      </c>
      <c r="G801" s="53" t="s">
        <v>154</v>
      </c>
      <c r="H801" s="53">
        <v>2</v>
      </c>
      <c r="I801" s="53" t="s">
        <v>147</v>
      </c>
      <c r="J801" s="53">
        <v>1</v>
      </c>
      <c r="K801" s="53">
        <v>1</v>
      </c>
      <c r="L801" s="53">
        <v>9.1</v>
      </c>
      <c r="M801" s="53" t="s">
        <v>1152</v>
      </c>
      <c r="N801" s="53">
        <v>12.9</v>
      </c>
      <c r="O801" s="51" t="str">
        <f>TEXT(tblWorkPackages[[#This Row],[Request date serial]]-WEEKDAY(tblWorkPackages[[#This Row],[Request date serial]],3),"yyyy-mm-dd")</f>
        <v>2025-08-11</v>
      </c>
      <c r="P801" s="51">
        <f>ABS(tblWorkPackages[[#This Row],[Actual labor hours]]-tblWorkPackages[[#This Row],[Estimated labor hours]])</f>
        <v>3.8</v>
      </c>
      <c r="Q801" s="51">
        <f>IF(tblWorkPackages[[#This Row],[Actual labor hours]]&gt;tblWorkPackages[[#This Row],[Estimated labor hours]],1,0)</f>
        <v>1</v>
      </c>
      <c r="R801" s="51">
        <f>tblWorkPackages[[#This Row],[Actual labor hours]]-tblWorkPackages[[#This Row],[Estimated labor hours]]</f>
        <v>3.8</v>
      </c>
      <c r="S801" s="51" t="str">
        <f>IF(tblWorkPackages[[#This Row],[Request date serial]]&lt;ValidationStart,"Train 2024",IF(tblWorkPackages[[#This Row],[Request date serial]]&lt;HoldoutStart,"Validation H1","Holdout H2"))</f>
        <v>Holdout H2</v>
      </c>
      <c r="T801" s="51">
        <f>IF(tblWorkPackages[[#This Row],[Time split]]="Train 2024","",tblWorkPackages[[#This Row],[Estimated labor hours]]+VLOOKUP(tblWorkPackages[[#This Row],[Task type]],'Forecast validation'!$A$14:$E$25,IF(tblWorkPackages[[#This Row],[Time split]]="Validation H1",4,5),FALSE()))</f>
        <v>9.70266666666667</v>
      </c>
      <c r="U801" s="51">
        <f>IF(tblWorkPackages[[#This Row],[Calibrated forecast hours]]="","",ABS(tblWorkPackages[[#This Row],[Actual labor hours]]-tblWorkPackages[[#This Row],[Calibrated forecast hours]]))</f>
        <v>3.19733333333333</v>
      </c>
      <c r="V801" s="51">
        <f>IF(tblWorkPackages[[#This Row],[Time split]]="Train 2024",tblWorkPackages[[#This Row],[Estimated labor hours]],tblWorkPackages[[#This Row],[Calibrated forecast hours]])</f>
        <v>9.70266666666667</v>
      </c>
      <c r="W801" s="64">
        <f>DATEVALUE(tblWorkPackages[[#This Row],[Request date]])</f>
        <v>45884.0</v>
      </c>
      <c r="X801" s="64">
        <f>DATEVALUE(tblWorkPackages[[#This Row],[Due date]])</f>
        <v>45886.0</v>
      </c>
      <c r="Y801" s="64">
        <f>DATEVALUE(tblWorkPackages[[#This Row],[Completion date]])</f>
        <v>45893.0</v>
      </c>
      <c r="Z801" s="64">
        <f>_xlfn.MINIFS(tblLaborEntries[Work date serial],tblLaborEntries[Work package ID],tblWorkPackages[[#This Row],[Work package ID]])</f>
        <v>45888.0</v>
      </c>
      <c r="AA801" s="64">
        <f>_xlfn.MAXIFS(tblLaborEntries[Work date serial],tblLaborEntries[Work package ID],tblWorkPackages[[#This Row],[Work package ID]])</f>
        <v>45890.0</v>
      </c>
      <c r="AB801" s="65">
        <f>IF(tblWorkPackages[[#This Row],[Completion date serial]]&gt;tblWorkPackages[[#This Row],[Due date serial]],1,0)</f>
        <v>1</v>
      </c>
      <c r="AC801" s="65">
        <f>MAX(0,tblWorkPackages[[#This Row],[Completion date serial]]-tblWorkPackages[[#This Row],[Due date serial]])</f>
        <v>7</v>
      </c>
      <c r="AD801" s="65">
        <f>tblWorkPackages[[#This Row],[First labor date]]-tblWorkPackages[[#This Row],[Request date serial]]</f>
        <v>4</v>
      </c>
      <c r="AE801" s="65">
        <f>tblWorkPackages[[#This Row],[Last labor date]]-tblWorkPackages[[#This Row],[First labor date]]</f>
        <v>2</v>
      </c>
      <c r="AF801" s="65">
        <f>tblWorkPackages[[#This Row],[Completion date serial]]-tblWorkPackages[[#This Row],[Last labor date]]</f>
        <v>3</v>
      </c>
      <c r="AG801" s="65">
        <f>tblWorkPackages[[#This Row],[Completion date serial]]-tblWorkPackages[[#This Row],[Request date serial]]</f>
        <v>9</v>
      </c>
      <c r="AH801" s="65">
        <f>IFERROR(INDEX(tblParts[Delay days],MATCH(tblWorkPackages[[#This Row],[Work package ID]],tblParts[Work package ID],0)),0)</f>
        <v>0</v>
      </c>
      <c r="AI801" s="51" t="str">
        <f>IFERROR(INDEX(tblDisruptions[Event type],MATCH(tblWorkPackages[[#This Row],[Work package ID]],tblDisruptions[Work package ID],0)),"None")</f>
        <v>Scope change</v>
      </c>
      <c r="AJ801" s="51" t="str">
        <f>TEXT(tblWorkPackages[[#This Row],[Due date serial]],"yyyy-mm")</f>
        <v>2025-08</v>
      </c>
    </row>
    <row r="802" spans="1:36" ht="15" x14ac:dyDescent="0.25">
      <c r="A802" s="53" t="s">
        <v>1681</v>
      </c>
      <c r="B802" s="53" t="s">
        <v>150</v>
      </c>
      <c r="C802" s="53" t="s">
        <v>222</v>
      </c>
      <c r="D802" s="53" t="s">
        <v>1682</v>
      </c>
      <c r="E802" s="53" t="s">
        <v>181</v>
      </c>
      <c r="F802" s="53" t="s">
        <v>182</v>
      </c>
      <c r="G802" s="53" t="s">
        <v>138</v>
      </c>
      <c r="H802" s="53">
        <v>4</v>
      </c>
      <c r="I802" s="53" t="s">
        <v>130</v>
      </c>
      <c r="J802" s="53">
        <v>0</v>
      </c>
      <c r="K802" s="53">
        <v>0</v>
      </c>
      <c r="L802" s="53">
        <v>13.9</v>
      </c>
      <c r="M802" s="53" t="s">
        <v>224</v>
      </c>
      <c r="N802" s="53">
        <v>19.7</v>
      </c>
      <c r="O802" s="51" t="str">
        <f>TEXT(tblWorkPackages[[#This Row],[Request date serial]]-WEEKDAY(tblWorkPackages[[#This Row],[Request date serial]],3),"yyyy-mm-dd")</f>
        <v>2024-12-16</v>
      </c>
      <c r="P802" s="51">
        <f>ABS(tblWorkPackages[[#This Row],[Actual labor hours]]-tblWorkPackages[[#This Row],[Estimated labor hours]])</f>
        <v>5.8</v>
      </c>
      <c r="Q802" s="51">
        <f>IF(tblWorkPackages[[#This Row],[Actual labor hours]]&gt;tblWorkPackages[[#This Row],[Estimated labor hours]],1,0)</f>
        <v>1</v>
      </c>
      <c r="R802" s="51">
        <f>tblWorkPackages[[#This Row],[Actual labor hours]]-tblWorkPackages[[#This Row],[Estimated labor hours]]</f>
        <v>5.8</v>
      </c>
      <c r="S802" s="51" t="str">
        <f>IF(tblWorkPackages[[#This Row],[Request date serial]]&lt;ValidationStart,"Train 2024",IF(tblWorkPackages[[#This Row],[Request date serial]]&lt;HoldoutStart,"Validation H1","Holdout H2"))</f>
        <v>Train 2024</v>
      </c>
      <c r="T802" s="51" t="str">
        <f>IF(tblWorkPackages[[#This Row],[Time split]]="Train 2024","",tblWorkPackages[[#This Row],[Estimated labor hours]]+VLOOKUP(tblWorkPackages[[#This Row],[Task type]],'Forecast validation'!$A$14:$E$25,IF(tblWorkPackages[[#This Row],[Time split]]="Validation H1",4,5),FALSE()))</f>
        <v/>
      </c>
      <c r="U802" s="51" t="str">
        <f>IF(tblWorkPackages[[#This Row],[Calibrated forecast hours]]="","",ABS(tblWorkPackages[[#This Row],[Actual labor hours]]-tblWorkPackages[[#This Row],[Calibrated forecast hours]]))</f>
        <v/>
      </c>
      <c r="V802" s="51">
        <f>IF(tblWorkPackages[[#This Row],[Time split]]="Train 2024",tblWorkPackages[[#This Row],[Estimated labor hours]],tblWorkPackages[[#This Row],[Calibrated forecast hours]])</f>
        <v>13.9</v>
      </c>
      <c r="W802" s="64">
        <f>DATEVALUE(tblWorkPackages[[#This Row],[Request date]])</f>
        <v>45647.0</v>
      </c>
      <c r="X802" s="64">
        <f>DATEVALUE(tblWorkPackages[[#This Row],[Due date]])</f>
        <v>45660.0</v>
      </c>
      <c r="Y802" s="64">
        <f>DATEVALUE(tblWorkPackages[[#This Row],[Completion date]])</f>
        <v>45648.0</v>
      </c>
      <c r="Z802" s="64">
        <f>_xlfn.MINIFS(tblLaborEntries[Work date serial],tblLaborEntries[Work package ID],tblWorkPackages[[#This Row],[Work package ID]])</f>
        <v>45648.0</v>
      </c>
      <c r="AA802" s="64">
        <f>_xlfn.MAXIFS(tblLaborEntries[Work date serial],tblLaborEntries[Work package ID],tblWorkPackages[[#This Row],[Work package ID]])</f>
        <v>45648.0</v>
      </c>
      <c r="AB802" s="65">
        <f>IF(tblWorkPackages[[#This Row],[Completion date serial]]&gt;tblWorkPackages[[#This Row],[Due date serial]],1,0)</f>
        <v>0</v>
      </c>
      <c r="AC802" s="65">
        <f>MAX(0,tblWorkPackages[[#This Row],[Completion date serial]]-tblWorkPackages[[#This Row],[Due date serial]])</f>
        <v>0</v>
      </c>
      <c r="AD802" s="65">
        <f>tblWorkPackages[[#This Row],[First labor date]]-tblWorkPackages[[#This Row],[Request date serial]]</f>
        <v>1</v>
      </c>
      <c r="AE802" s="65">
        <f>tblWorkPackages[[#This Row],[Last labor date]]-tblWorkPackages[[#This Row],[First labor date]]</f>
        <v>0</v>
      </c>
      <c r="AF802" s="65">
        <f>tblWorkPackages[[#This Row],[Completion date serial]]-tblWorkPackages[[#This Row],[Last labor date]]</f>
        <v>0</v>
      </c>
      <c r="AG802" s="65">
        <f>tblWorkPackages[[#This Row],[Completion date serial]]-tblWorkPackages[[#This Row],[Request date serial]]</f>
        <v>1</v>
      </c>
      <c r="AH802" s="65">
        <f>IFERROR(INDEX(tblParts[Delay days],MATCH(tblWorkPackages[[#This Row],[Work package ID]],tblParts[Work package ID],0)),0)</f>
        <v>0</v>
      </c>
      <c r="AI802" s="51" t="str">
        <f>IFERROR(INDEX(tblDisruptions[Event type],MATCH(tblWorkPackages[[#This Row],[Work package ID]],tblDisruptions[Work package ID],0)),"None")</f>
        <v>Technician absence</v>
      </c>
      <c r="AJ802" s="51" t="str">
        <f>TEXT(tblWorkPackages[[#This Row],[Due date serial]],"yyyy-mm")</f>
        <v>2025-01</v>
      </c>
    </row>
    <row r="803" spans="1:36" ht="15" x14ac:dyDescent="0.25">
      <c r="A803" s="53" t="s">
        <v>1683</v>
      </c>
      <c r="B803" s="53" t="s">
        <v>141</v>
      </c>
      <c r="C803" s="53" t="s">
        <v>1346</v>
      </c>
      <c r="D803" s="53" t="s">
        <v>434</v>
      </c>
      <c r="E803" s="53" t="s">
        <v>136</v>
      </c>
      <c r="F803" s="53" t="s">
        <v>137</v>
      </c>
      <c r="G803" s="53" t="s">
        <v>138</v>
      </c>
      <c r="H803" s="53">
        <v>4</v>
      </c>
      <c r="I803" s="53" t="s">
        <v>130</v>
      </c>
      <c r="J803" s="53">
        <v>0</v>
      </c>
      <c r="K803" s="53">
        <v>0</v>
      </c>
      <c r="L803" s="53">
        <v>24.4</v>
      </c>
      <c r="M803" s="53" t="s">
        <v>294</v>
      </c>
      <c r="N803" s="53">
        <v>21.7</v>
      </c>
      <c r="O803" s="51" t="str">
        <f>TEXT(tblWorkPackages[[#This Row],[Request date serial]]-WEEKDAY(tblWorkPackages[[#This Row],[Request date serial]],3),"yyyy-mm-dd")</f>
        <v>2024-08-26</v>
      </c>
      <c r="P803" s="51">
        <f>ABS(tblWorkPackages[[#This Row],[Actual labor hours]]-tblWorkPackages[[#This Row],[Estimated labor hours]])</f>
        <v>2.7</v>
      </c>
      <c r="Q803" s="51">
        <f>IF(tblWorkPackages[[#This Row],[Actual labor hours]]&gt;tblWorkPackages[[#This Row],[Estimated labor hours]],1,0)</f>
        <v>0</v>
      </c>
      <c r="R803" s="51">
        <f>tblWorkPackages[[#This Row],[Actual labor hours]]-tblWorkPackages[[#This Row],[Estimated labor hours]]</f>
        <v>-2.7</v>
      </c>
      <c r="S803" s="51" t="str">
        <f>IF(tblWorkPackages[[#This Row],[Request date serial]]&lt;ValidationStart,"Train 2024",IF(tblWorkPackages[[#This Row],[Request date serial]]&lt;HoldoutStart,"Validation H1","Holdout H2"))</f>
        <v>Train 2024</v>
      </c>
      <c r="T803" s="51" t="str">
        <f>IF(tblWorkPackages[[#This Row],[Time split]]="Train 2024","",tblWorkPackages[[#This Row],[Estimated labor hours]]+VLOOKUP(tblWorkPackages[[#This Row],[Task type]],'Forecast validation'!$A$14:$E$25,IF(tblWorkPackages[[#This Row],[Time split]]="Validation H1",4,5),FALSE()))</f>
        <v/>
      </c>
      <c r="U803" s="51" t="str">
        <f>IF(tblWorkPackages[[#This Row],[Calibrated forecast hours]]="","",ABS(tblWorkPackages[[#This Row],[Actual labor hours]]-tblWorkPackages[[#This Row],[Calibrated forecast hours]]))</f>
        <v/>
      </c>
      <c r="V803" s="51">
        <f>IF(tblWorkPackages[[#This Row],[Time split]]="Train 2024",tblWorkPackages[[#This Row],[Estimated labor hours]],tblWorkPackages[[#This Row],[Calibrated forecast hours]])</f>
        <v>24.4</v>
      </c>
      <c r="W803" s="64">
        <f>DATEVALUE(tblWorkPackages[[#This Row],[Request date]])</f>
        <v>45532.0</v>
      </c>
      <c r="X803" s="64">
        <f>DATEVALUE(tblWorkPackages[[#This Row],[Due date]])</f>
        <v>45545.0</v>
      </c>
      <c r="Y803" s="64">
        <f>DATEVALUE(tblWorkPackages[[#This Row],[Completion date]])</f>
        <v>45543.0</v>
      </c>
      <c r="Z803" s="64">
        <f>_xlfn.MINIFS(tblLaborEntries[Work date serial],tblLaborEntries[Work package ID],tblWorkPackages[[#This Row],[Work package ID]])</f>
        <v>45542.0</v>
      </c>
      <c r="AA803" s="64">
        <f>_xlfn.MAXIFS(tblLaborEntries[Work date serial],tblLaborEntries[Work package ID],tblWorkPackages[[#This Row],[Work package ID]])</f>
        <v>45542.0</v>
      </c>
      <c r="AB803" s="65">
        <f>IF(tblWorkPackages[[#This Row],[Completion date serial]]&gt;tblWorkPackages[[#This Row],[Due date serial]],1,0)</f>
        <v>0</v>
      </c>
      <c r="AC803" s="65">
        <f>MAX(0,tblWorkPackages[[#This Row],[Completion date serial]]-tblWorkPackages[[#This Row],[Due date serial]])</f>
        <v>0</v>
      </c>
      <c r="AD803" s="65">
        <f>tblWorkPackages[[#This Row],[First labor date]]-tblWorkPackages[[#This Row],[Request date serial]]</f>
        <v>10</v>
      </c>
      <c r="AE803" s="65">
        <f>tblWorkPackages[[#This Row],[Last labor date]]-tblWorkPackages[[#This Row],[First labor date]]</f>
        <v>0</v>
      </c>
      <c r="AF803" s="65">
        <f>tblWorkPackages[[#This Row],[Completion date serial]]-tblWorkPackages[[#This Row],[Last labor date]]</f>
        <v>1</v>
      </c>
      <c r="AG803" s="65">
        <f>tblWorkPackages[[#This Row],[Completion date serial]]-tblWorkPackages[[#This Row],[Request date serial]]</f>
        <v>11</v>
      </c>
      <c r="AH803" s="65">
        <f>IFERROR(INDEX(tblParts[Delay days],MATCH(tblWorkPackages[[#This Row],[Work package ID]],tblParts[Work package ID],0)),0)</f>
        <v>0</v>
      </c>
      <c r="AI803" s="51" t="str">
        <f>IFERROR(INDEX(tblDisruptions[Event type],MATCH(tblWorkPackages[[#This Row],[Work package ID]],tblDisruptions[Work package ID],0)),"None")</f>
        <v>None</v>
      </c>
      <c r="AJ803" s="51" t="str">
        <f>TEXT(tblWorkPackages[[#This Row],[Due date serial]],"yyyy-mm")</f>
        <v>2024-09</v>
      </c>
    </row>
    <row r="804" spans="1:36" ht="15" x14ac:dyDescent="0.25">
      <c r="A804" s="53" t="s">
        <v>1684</v>
      </c>
      <c r="B804" s="53" t="s">
        <v>250</v>
      </c>
      <c r="C804" s="53" t="s">
        <v>631</v>
      </c>
      <c r="D804" s="53" t="s">
        <v>299</v>
      </c>
      <c r="E804" s="53" t="s">
        <v>181</v>
      </c>
      <c r="F804" s="53" t="s">
        <v>182</v>
      </c>
      <c r="G804" s="53" t="s">
        <v>138</v>
      </c>
      <c r="H804" s="53">
        <v>1</v>
      </c>
      <c r="I804" s="53" t="s">
        <v>130</v>
      </c>
      <c r="J804" s="53">
        <v>0</v>
      </c>
      <c r="K804" s="53">
        <v>0</v>
      </c>
      <c r="L804" s="53">
        <v>5.5</v>
      </c>
      <c r="M804" s="53" t="s">
        <v>1685</v>
      </c>
      <c r="N804" s="53">
        <v>6.2</v>
      </c>
      <c r="O804" s="51" t="str">
        <f>TEXT(tblWorkPackages[[#This Row],[Request date serial]]-WEEKDAY(tblWorkPackages[[#This Row],[Request date serial]],3),"yyyy-mm-dd")</f>
        <v>2024-03-25</v>
      </c>
      <c r="P804" s="51">
        <f>ABS(tblWorkPackages[[#This Row],[Actual labor hours]]-tblWorkPackages[[#This Row],[Estimated labor hours]])</f>
        <v>0.7</v>
      </c>
      <c r="Q804" s="51">
        <f>IF(tblWorkPackages[[#This Row],[Actual labor hours]]&gt;tblWorkPackages[[#This Row],[Estimated labor hours]],1,0)</f>
        <v>1</v>
      </c>
      <c r="R804" s="51">
        <f>tblWorkPackages[[#This Row],[Actual labor hours]]-tblWorkPackages[[#This Row],[Estimated labor hours]]</f>
        <v>0.7</v>
      </c>
      <c r="S804" s="51" t="str">
        <f>IF(tblWorkPackages[[#This Row],[Request date serial]]&lt;ValidationStart,"Train 2024",IF(tblWorkPackages[[#This Row],[Request date serial]]&lt;HoldoutStart,"Validation H1","Holdout H2"))</f>
        <v>Train 2024</v>
      </c>
      <c r="T804" s="51" t="str">
        <f>IF(tblWorkPackages[[#This Row],[Time split]]="Train 2024","",tblWorkPackages[[#This Row],[Estimated labor hours]]+VLOOKUP(tblWorkPackages[[#This Row],[Task type]],'Forecast validation'!$A$14:$E$25,IF(tblWorkPackages[[#This Row],[Time split]]="Validation H1",4,5),FALSE()))</f>
        <v/>
      </c>
      <c r="U804" s="51" t="str">
        <f>IF(tblWorkPackages[[#This Row],[Calibrated forecast hours]]="","",ABS(tblWorkPackages[[#This Row],[Actual labor hours]]-tblWorkPackages[[#This Row],[Calibrated forecast hours]]))</f>
        <v/>
      </c>
      <c r="V804" s="51">
        <f>IF(tblWorkPackages[[#This Row],[Time split]]="Train 2024",tblWorkPackages[[#This Row],[Estimated labor hours]],tblWorkPackages[[#This Row],[Calibrated forecast hours]])</f>
        <v>5.5</v>
      </c>
      <c r="W804" s="64">
        <f>DATEVALUE(tblWorkPackages[[#This Row],[Request date]])</f>
        <v>45382.0</v>
      </c>
      <c r="X804" s="64">
        <f>DATEVALUE(tblWorkPackages[[#This Row],[Due date]])</f>
        <v>45395.0</v>
      </c>
      <c r="Y804" s="64">
        <f>DATEVALUE(tblWorkPackages[[#This Row],[Completion date]])</f>
        <v>45387.0</v>
      </c>
      <c r="Z804" s="64">
        <f>_xlfn.MINIFS(tblLaborEntries[Work date serial],tblLaborEntries[Work package ID],tblWorkPackages[[#This Row],[Work package ID]])</f>
        <v>45385.0</v>
      </c>
      <c r="AA804" s="64">
        <f>_xlfn.MAXIFS(tblLaborEntries[Work date serial],tblLaborEntries[Work package ID],tblWorkPackages[[#This Row],[Work package ID]])</f>
        <v>45385.0</v>
      </c>
      <c r="AB804" s="65">
        <f>IF(tblWorkPackages[[#This Row],[Completion date serial]]&gt;tblWorkPackages[[#This Row],[Due date serial]],1,0)</f>
        <v>0</v>
      </c>
      <c r="AC804" s="65">
        <f>MAX(0,tblWorkPackages[[#This Row],[Completion date serial]]-tblWorkPackages[[#This Row],[Due date serial]])</f>
        <v>0</v>
      </c>
      <c r="AD804" s="65">
        <f>tblWorkPackages[[#This Row],[First labor date]]-tblWorkPackages[[#This Row],[Request date serial]]</f>
        <v>3</v>
      </c>
      <c r="AE804" s="65">
        <f>tblWorkPackages[[#This Row],[Last labor date]]-tblWorkPackages[[#This Row],[First labor date]]</f>
        <v>0</v>
      </c>
      <c r="AF804" s="65">
        <f>tblWorkPackages[[#This Row],[Completion date serial]]-tblWorkPackages[[#This Row],[Last labor date]]</f>
        <v>2</v>
      </c>
      <c r="AG804" s="65">
        <f>tblWorkPackages[[#This Row],[Completion date serial]]-tblWorkPackages[[#This Row],[Request date serial]]</f>
        <v>5</v>
      </c>
      <c r="AH804" s="65">
        <f>IFERROR(INDEX(tblParts[Delay days],MATCH(tblWorkPackages[[#This Row],[Work package ID]],tblParts[Work package ID],0)),0)</f>
        <v>0</v>
      </c>
      <c r="AI804" s="51" t="str">
        <f>IFERROR(INDEX(tblDisruptions[Event type],MATCH(tblWorkPackages[[#This Row],[Work package ID]],tblDisruptions[Work package ID],0)),"None")</f>
        <v>None</v>
      </c>
      <c r="AJ804" s="51" t="str">
        <f>TEXT(tblWorkPackages[[#This Row],[Due date serial]],"yyyy-mm")</f>
        <v>2024-04</v>
      </c>
    </row>
    <row r="805" spans="1:36" ht="15" x14ac:dyDescent="0.25">
      <c r="A805" s="53" t="s">
        <v>1686</v>
      </c>
      <c r="B805" s="53" t="s">
        <v>150</v>
      </c>
      <c r="C805" s="53" t="s">
        <v>639</v>
      </c>
      <c r="D805" s="53" t="s">
        <v>710</v>
      </c>
      <c r="E805" s="53" t="s">
        <v>200</v>
      </c>
      <c r="F805" s="53" t="s">
        <v>128</v>
      </c>
      <c r="G805" s="53" t="s">
        <v>129</v>
      </c>
      <c r="H805" s="53">
        <v>1</v>
      </c>
      <c r="I805" s="53" t="s">
        <v>176</v>
      </c>
      <c r="J805" s="53">
        <v>0</v>
      </c>
      <c r="K805" s="53">
        <v>1</v>
      </c>
      <c r="L805" s="53">
        <v>2.2000000000000002</v>
      </c>
      <c r="M805" s="53" t="s">
        <v>628</v>
      </c>
      <c r="N805" s="53">
        <v>2.6</v>
      </c>
      <c r="O805" s="51" t="str">
        <f>TEXT(tblWorkPackages[[#This Row],[Request date serial]]-WEEKDAY(tblWorkPackages[[#This Row],[Request date serial]],3),"yyyy-mm-dd")</f>
        <v>2025-06-02</v>
      </c>
      <c r="P805" s="51">
        <f>ABS(tblWorkPackages[[#This Row],[Actual labor hours]]-tblWorkPackages[[#This Row],[Estimated labor hours]])</f>
        <v>0.4</v>
      </c>
      <c r="Q805" s="51">
        <f>IF(tblWorkPackages[[#This Row],[Actual labor hours]]&gt;tblWorkPackages[[#This Row],[Estimated labor hours]],1,0)</f>
        <v>1</v>
      </c>
      <c r="R805" s="51">
        <f>tblWorkPackages[[#This Row],[Actual labor hours]]-tblWorkPackages[[#This Row],[Estimated labor hours]]</f>
        <v>0.4</v>
      </c>
      <c r="S805" s="51" t="str">
        <f>IF(tblWorkPackages[[#This Row],[Request date serial]]&lt;ValidationStart,"Train 2024",IF(tblWorkPackages[[#This Row],[Request date serial]]&lt;HoldoutStart,"Validation H1","Holdout H2"))</f>
        <v>Validation H1</v>
      </c>
      <c r="T805" s="51">
        <f>IF(tblWorkPackages[[#This Row],[Time split]]="Train 2024","",tblWorkPackages[[#This Row],[Estimated labor hours]]+VLOOKUP(tblWorkPackages[[#This Row],[Task type]],'Forecast validation'!$A$14:$E$25,IF(tblWorkPackages[[#This Row],[Time split]]="Validation H1",4,5),FALSE()))</f>
        <v>2.53069306930693</v>
      </c>
      <c r="U805" s="51">
        <f>IF(tblWorkPackages[[#This Row],[Calibrated forecast hours]]="","",ABS(tblWorkPackages[[#This Row],[Actual labor hours]]-tblWorkPackages[[#This Row],[Calibrated forecast hours]]))</f>
        <v>0.0693069306930694</v>
      </c>
      <c r="V805" s="51">
        <f>IF(tblWorkPackages[[#This Row],[Time split]]="Train 2024",tblWorkPackages[[#This Row],[Estimated labor hours]],tblWorkPackages[[#This Row],[Calibrated forecast hours]])</f>
        <v>2.53069306930693</v>
      </c>
      <c r="W805" s="64">
        <f>DATEVALUE(tblWorkPackages[[#This Row],[Request date]])</f>
        <v>45815.0</v>
      </c>
      <c r="X805" s="64">
        <f>DATEVALUE(tblWorkPackages[[#This Row],[Due date]])</f>
        <v>45821.0</v>
      </c>
      <c r="Y805" s="64">
        <f>DATEVALUE(tblWorkPackages[[#This Row],[Completion date]])</f>
        <v>45849.0</v>
      </c>
      <c r="Z805" s="64">
        <f>_xlfn.MINIFS(tblLaborEntries[Work date serial],tblLaborEntries[Work package ID],tblWorkPackages[[#This Row],[Work package ID]])</f>
        <v>45844.0</v>
      </c>
      <c r="AA805" s="64">
        <f>_xlfn.MAXIFS(tblLaborEntries[Work date serial],tblLaborEntries[Work package ID],tblWorkPackages[[#This Row],[Work package ID]])</f>
        <v>45846.0</v>
      </c>
      <c r="AB805" s="65">
        <f>IF(tblWorkPackages[[#This Row],[Completion date serial]]&gt;tblWorkPackages[[#This Row],[Due date serial]],1,0)</f>
        <v>1</v>
      </c>
      <c r="AC805" s="65">
        <f>MAX(0,tblWorkPackages[[#This Row],[Completion date serial]]-tblWorkPackages[[#This Row],[Due date serial]])</f>
        <v>28</v>
      </c>
      <c r="AD805" s="65">
        <f>tblWorkPackages[[#This Row],[First labor date]]-tblWorkPackages[[#This Row],[Request date serial]]</f>
        <v>29</v>
      </c>
      <c r="AE805" s="65">
        <f>tblWorkPackages[[#This Row],[Last labor date]]-tblWorkPackages[[#This Row],[First labor date]]</f>
        <v>2</v>
      </c>
      <c r="AF805" s="65">
        <f>tblWorkPackages[[#This Row],[Completion date serial]]-tblWorkPackages[[#This Row],[Last labor date]]</f>
        <v>3</v>
      </c>
      <c r="AG805" s="65">
        <f>tblWorkPackages[[#This Row],[Completion date serial]]-tblWorkPackages[[#This Row],[Request date serial]]</f>
        <v>34</v>
      </c>
      <c r="AH805" s="65">
        <f>IFERROR(INDEX(tblParts[Delay days],MATCH(tblWorkPackages[[#This Row],[Work package ID]],tblParts[Work package ID],0)),0)</f>
        <v>0</v>
      </c>
      <c r="AI805" s="51" t="str">
        <f>IFERROR(INDEX(tblDisruptions[Event type],MATCH(tblWorkPackages[[#This Row],[Work package ID]],tblDisruptions[Work package ID],0)),"None")</f>
        <v>None</v>
      </c>
      <c r="AJ805" s="51" t="str">
        <f>TEXT(tblWorkPackages[[#This Row],[Due date serial]],"yyyy-mm")</f>
        <v>2025-06</v>
      </c>
    </row>
    <row r="806" spans="1:36" ht="15" x14ac:dyDescent="0.25">
      <c r="A806" s="53" t="s">
        <v>1687</v>
      </c>
      <c r="B806" s="53" t="s">
        <v>133</v>
      </c>
      <c r="C806" s="53" t="s">
        <v>259</v>
      </c>
      <c r="D806" s="53" t="s">
        <v>279</v>
      </c>
      <c r="E806" s="53" t="s">
        <v>237</v>
      </c>
      <c r="F806" s="53" t="s">
        <v>182</v>
      </c>
      <c r="G806" s="53" t="s">
        <v>138</v>
      </c>
      <c r="H806" s="53">
        <v>3</v>
      </c>
      <c r="I806" s="53" t="s">
        <v>176</v>
      </c>
      <c r="J806" s="53">
        <v>0</v>
      </c>
      <c r="K806" s="53">
        <v>1</v>
      </c>
      <c r="L806" s="53">
        <v>6.8</v>
      </c>
      <c r="M806" s="53" t="s">
        <v>1058</v>
      </c>
      <c r="N806" s="53">
        <v>5.5</v>
      </c>
      <c r="O806" s="51" t="str">
        <f>TEXT(tblWorkPackages[[#This Row],[Request date serial]]-WEEKDAY(tblWorkPackages[[#This Row],[Request date serial]],3),"yyyy-mm-dd")</f>
        <v>2025-01-13</v>
      </c>
      <c r="P806" s="51">
        <f>ABS(tblWorkPackages[[#This Row],[Actual labor hours]]-tblWorkPackages[[#This Row],[Estimated labor hours]])</f>
        <v>1.3</v>
      </c>
      <c r="Q806" s="51">
        <f>IF(tblWorkPackages[[#This Row],[Actual labor hours]]&gt;tblWorkPackages[[#This Row],[Estimated labor hours]],1,0)</f>
        <v>0</v>
      </c>
      <c r="R806" s="51">
        <f>tblWorkPackages[[#This Row],[Actual labor hours]]-tblWorkPackages[[#This Row],[Estimated labor hours]]</f>
        <v>-1.3</v>
      </c>
      <c r="S806" s="51" t="str">
        <f>IF(tblWorkPackages[[#This Row],[Request date serial]]&lt;ValidationStart,"Train 2024",IF(tblWorkPackages[[#This Row],[Request date serial]]&lt;HoldoutStart,"Validation H1","Holdout H2"))</f>
        <v>Validation H1</v>
      </c>
      <c r="T806" s="51">
        <f>IF(tblWorkPackages[[#This Row],[Time split]]="Train 2024","",tblWorkPackages[[#This Row],[Estimated labor hours]]+VLOOKUP(tblWorkPackages[[#This Row],[Task type]],'Forecast validation'!$A$14:$E$25,IF(tblWorkPackages[[#This Row],[Time split]]="Validation H1",4,5),FALSE()))</f>
        <v>7.3037037037037</v>
      </c>
      <c r="U806" s="51">
        <f>IF(tblWorkPackages[[#This Row],[Calibrated forecast hours]]="","",ABS(tblWorkPackages[[#This Row],[Actual labor hours]]-tblWorkPackages[[#This Row],[Calibrated forecast hours]]))</f>
        <v>1.8037037037037</v>
      </c>
      <c r="V806" s="51">
        <f>IF(tblWorkPackages[[#This Row],[Time split]]="Train 2024",tblWorkPackages[[#This Row],[Estimated labor hours]],tblWorkPackages[[#This Row],[Calibrated forecast hours]])</f>
        <v>7.3037037037037</v>
      </c>
      <c r="W806" s="64">
        <f>DATEVALUE(tblWorkPackages[[#This Row],[Request date]])</f>
        <v>45673.0</v>
      </c>
      <c r="X806" s="64">
        <f>DATEVALUE(tblWorkPackages[[#This Row],[Due date]])</f>
        <v>45679.0</v>
      </c>
      <c r="Y806" s="64">
        <f>DATEVALUE(tblWorkPackages[[#This Row],[Completion date]])</f>
        <v>45680.0</v>
      </c>
      <c r="Z806" s="64">
        <f>_xlfn.MINIFS(tblLaborEntries[Work date serial],tblLaborEntries[Work package ID],tblWorkPackages[[#This Row],[Work package ID]])</f>
        <v>45678.0</v>
      </c>
      <c r="AA806" s="64">
        <f>_xlfn.MAXIFS(tblLaborEntries[Work date serial],tblLaborEntries[Work package ID],tblWorkPackages[[#This Row],[Work package ID]])</f>
        <v>45680.0</v>
      </c>
      <c r="AB806" s="65">
        <f>IF(tblWorkPackages[[#This Row],[Completion date serial]]&gt;tblWorkPackages[[#This Row],[Due date serial]],1,0)</f>
        <v>1</v>
      </c>
      <c r="AC806" s="65">
        <f>MAX(0,tblWorkPackages[[#This Row],[Completion date serial]]-tblWorkPackages[[#This Row],[Due date serial]])</f>
        <v>1</v>
      </c>
      <c r="AD806" s="65">
        <f>tblWorkPackages[[#This Row],[First labor date]]-tblWorkPackages[[#This Row],[Request date serial]]</f>
        <v>5</v>
      </c>
      <c r="AE806" s="65">
        <f>tblWorkPackages[[#This Row],[Last labor date]]-tblWorkPackages[[#This Row],[First labor date]]</f>
        <v>2</v>
      </c>
      <c r="AF806" s="65">
        <f>tblWorkPackages[[#This Row],[Completion date serial]]-tblWorkPackages[[#This Row],[Last labor date]]</f>
        <v>0</v>
      </c>
      <c r="AG806" s="65">
        <f>tblWorkPackages[[#This Row],[Completion date serial]]-tblWorkPackages[[#This Row],[Request date serial]]</f>
        <v>7</v>
      </c>
      <c r="AH806" s="65">
        <f>IFERROR(INDEX(tblParts[Delay days],MATCH(tblWorkPackages[[#This Row],[Work package ID]],tblParts[Work package ID],0)),0)</f>
        <v>0</v>
      </c>
      <c r="AI806" s="51" t="str">
        <f>IFERROR(INDEX(tblDisruptions[Event type],MATCH(tblWorkPackages[[#This Row],[Work package ID]],tblDisruptions[Work package ID],0)),"None")</f>
        <v>None</v>
      </c>
      <c r="AJ806" s="51" t="str">
        <f>TEXT(tblWorkPackages[[#This Row],[Due date serial]],"yyyy-mm")</f>
        <v>2025-01</v>
      </c>
    </row>
    <row r="807" spans="1:36" ht="15" x14ac:dyDescent="0.25">
      <c r="A807" s="53" t="s">
        <v>1688</v>
      </c>
      <c r="B807" s="53" t="s">
        <v>173</v>
      </c>
      <c r="C807" s="53" t="s">
        <v>1260</v>
      </c>
      <c r="D807" s="53" t="s">
        <v>248</v>
      </c>
      <c r="E807" s="53" t="s">
        <v>200</v>
      </c>
      <c r="F807" s="53" t="s">
        <v>128</v>
      </c>
      <c r="G807" s="53" t="s">
        <v>129</v>
      </c>
      <c r="H807" s="53">
        <v>1</v>
      </c>
      <c r="I807" s="53" t="s">
        <v>130</v>
      </c>
      <c r="J807" s="53">
        <v>0</v>
      </c>
      <c r="K807" s="53">
        <v>0</v>
      </c>
      <c r="L807" s="53">
        <v>2.1</v>
      </c>
      <c r="M807" s="53" t="s">
        <v>347</v>
      </c>
      <c r="N807" s="53">
        <v>2.4</v>
      </c>
      <c r="O807" s="51" t="str">
        <f>TEXT(tblWorkPackages[[#This Row],[Request date serial]]-WEEKDAY(tblWorkPackages[[#This Row],[Request date serial]],3),"yyyy-mm-dd")</f>
        <v>2024-03-04</v>
      </c>
      <c r="P807" s="51">
        <f>ABS(tblWorkPackages[[#This Row],[Actual labor hours]]-tblWorkPackages[[#This Row],[Estimated labor hours]])</f>
        <v>0.3</v>
      </c>
      <c r="Q807" s="51">
        <f>IF(tblWorkPackages[[#This Row],[Actual labor hours]]&gt;tblWorkPackages[[#This Row],[Estimated labor hours]],1,0)</f>
        <v>1</v>
      </c>
      <c r="R807" s="51">
        <f>tblWorkPackages[[#This Row],[Actual labor hours]]-tblWorkPackages[[#This Row],[Estimated labor hours]]</f>
        <v>0.3</v>
      </c>
      <c r="S807" s="51" t="str">
        <f>IF(tblWorkPackages[[#This Row],[Request date serial]]&lt;ValidationStart,"Train 2024",IF(tblWorkPackages[[#This Row],[Request date serial]]&lt;HoldoutStart,"Validation H1","Holdout H2"))</f>
        <v>Train 2024</v>
      </c>
      <c r="T807" s="51" t="str">
        <f>IF(tblWorkPackages[[#This Row],[Time split]]="Train 2024","",tblWorkPackages[[#This Row],[Estimated labor hours]]+VLOOKUP(tblWorkPackages[[#This Row],[Task type]],'Forecast validation'!$A$14:$E$25,IF(tblWorkPackages[[#This Row],[Time split]]="Validation H1",4,5),FALSE()))</f>
        <v/>
      </c>
      <c r="U807" s="51" t="str">
        <f>IF(tblWorkPackages[[#This Row],[Calibrated forecast hours]]="","",ABS(tblWorkPackages[[#This Row],[Actual labor hours]]-tblWorkPackages[[#This Row],[Calibrated forecast hours]]))</f>
        <v/>
      </c>
      <c r="V807" s="51">
        <f>IF(tblWorkPackages[[#This Row],[Time split]]="Train 2024",tblWorkPackages[[#This Row],[Estimated labor hours]],tblWorkPackages[[#This Row],[Calibrated forecast hours]])</f>
        <v>2.1</v>
      </c>
      <c r="W807" s="64">
        <f>DATEVALUE(tblWorkPackages[[#This Row],[Request date]])</f>
        <v>45355.0</v>
      </c>
      <c r="X807" s="64">
        <f>DATEVALUE(tblWorkPackages[[#This Row],[Due date]])</f>
        <v>45368.0</v>
      </c>
      <c r="Y807" s="64">
        <f>DATEVALUE(tblWorkPackages[[#This Row],[Completion date]])</f>
        <v>45358.0</v>
      </c>
      <c r="Z807" s="64">
        <f>_xlfn.MINIFS(tblLaborEntries[Work date serial],tblLaborEntries[Work package ID],tblWorkPackages[[#This Row],[Work package ID]])</f>
        <v>45357.0</v>
      </c>
      <c r="AA807" s="64">
        <f>_xlfn.MAXIFS(tblLaborEntries[Work date serial],tblLaborEntries[Work package ID],tblWorkPackages[[#This Row],[Work package ID]])</f>
        <v>45357.0</v>
      </c>
      <c r="AB807" s="65">
        <f>IF(tblWorkPackages[[#This Row],[Completion date serial]]&gt;tblWorkPackages[[#This Row],[Due date serial]],1,0)</f>
        <v>0</v>
      </c>
      <c r="AC807" s="65">
        <f>MAX(0,tblWorkPackages[[#This Row],[Completion date serial]]-tblWorkPackages[[#This Row],[Due date serial]])</f>
        <v>0</v>
      </c>
      <c r="AD807" s="65">
        <f>tblWorkPackages[[#This Row],[First labor date]]-tblWorkPackages[[#This Row],[Request date serial]]</f>
        <v>2</v>
      </c>
      <c r="AE807" s="65">
        <f>tblWorkPackages[[#This Row],[Last labor date]]-tblWorkPackages[[#This Row],[First labor date]]</f>
        <v>0</v>
      </c>
      <c r="AF807" s="65">
        <f>tblWorkPackages[[#This Row],[Completion date serial]]-tblWorkPackages[[#This Row],[Last labor date]]</f>
        <v>1</v>
      </c>
      <c r="AG807" s="65">
        <f>tblWorkPackages[[#This Row],[Completion date serial]]-tblWorkPackages[[#This Row],[Request date serial]]</f>
        <v>3</v>
      </c>
      <c r="AH807" s="65">
        <f>IFERROR(INDEX(tblParts[Delay days],MATCH(tblWorkPackages[[#This Row],[Work package ID]],tblParts[Work package ID],0)),0)</f>
        <v>0</v>
      </c>
      <c r="AI807" s="51" t="str">
        <f>IFERROR(INDEX(tblDisruptions[Event type],MATCH(tblWorkPackages[[#This Row],[Work package ID]],tblDisruptions[Work package ID],0)),"None")</f>
        <v>None</v>
      </c>
      <c r="AJ807" s="51" t="str">
        <f>TEXT(tblWorkPackages[[#This Row],[Due date serial]],"yyyy-mm")</f>
        <v>2024-03</v>
      </c>
    </row>
    <row r="808" spans="1:36" ht="15" x14ac:dyDescent="0.25">
      <c r="A808" s="53" t="s">
        <v>1689</v>
      </c>
      <c r="B808" s="53" t="s">
        <v>173</v>
      </c>
      <c r="C808" s="53" t="s">
        <v>764</v>
      </c>
      <c r="D808" s="53" t="s">
        <v>765</v>
      </c>
      <c r="E808" s="53" t="s">
        <v>127</v>
      </c>
      <c r="F808" s="53" t="s">
        <v>128</v>
      </c>
      <c r="G808" s="53" t="s">
        <v>129</v>
      </c>
      <c r="H808" s="53">
        <v>1</v>
      </c>
      <c r="I808" s="53" t="s">
        <v>130</v>
      </c>
      <c r="J808" s="53">
        <v>0</v>
      </c>
      <c r="K808" s="53">
        <v>0</v>
      </c>
      <c r="L808" s="53">
        <v>4.2</v>
      </c>
      <c r="M808" s="53" t="s">
        <v>1162</v>
      </c>
      <c r="N808" s="53">
        <v>4.2</v>
      </c>
      <c r="O808" s="51" t="str">
        <f>TEXT(tblWorkPackages[[#This Row],[Request date serial]]-WEEKDAY(tblWorkPackages[[#This Row],[Request date serial]],3),"yyyy-mm-dd")</f>
        <v>2025-12-15</v>
      </c>
      <c r="P808" s="51">
        <f>ABS(tblWorkPackages[[#This Row],[Actual labor hours]]-tblWorkPackages[[#This Row],[Estimated labor hours]])</f>
        <v>0</v>
      </c>
      <c r="Q808" s="51">
        <f>IF(tblWorkPackages[[#This Row],[Actual labor hours]]&gt;tblWorkPackages[[#This Row],[Estimated labor hours]],1,0)</f>
        <v>0</v>
      </c>
      <c r="R808" s="51">
        <f>tblWorkPackages[[#This Row],[Actual labor hours]]-tblWorkPackages[[#This Row],[Estimated labor hours]]</f>
        <v>0</v>
      </c>
      <c r="S808" s="51" t="str">
        <f>IF(tblWorkPackages[[#This Row],[Request date serial]]&lt;ValidationStart,"Train 2024",IF(tblWorkPackages[[#This Row],[Request date serial]]&lt;HoldoutStart,"Validation H1","Holdout H2"))</f>
        <v>Holdout H2</v>
      </c>
      <c r="T808" s="51">
        <f>IF(tblWorkPackages[[#This Row],[Time split]]="Train 2024","",tblWorkPackages[[#This Row],[Estimated labor hours]]+VLOOKUP(tblWorkPackages[[#This Row],[Task type]],'Forecast validation'!$A$14:$E$25,IF(tblWorkPackages[[#This Row],[Time split]]="Validation H1",4,5),FALSE()))</f>
        <v>4.74341085271318</v>
      </c>
      <c r="U808" s="51">
        <f>IF(tblWorkPackages[[#This Row],[Calibrated forecast hours]]="","",ABS(tblWorkPackages[[#This Row],[Actual labor hours]]-tblWorkPackages[[#This Row],[Calibrated forecast hours]]))</f>
        <v>0.543410852713178</v>
      </c>
      <c r="V808" s="51">
        <f>IF(tblWorkPackages[[#This Row],[Time split]]="Train 2024",tblWorkPackages[[#This Row],[Estimated labor hours]],tblWorkPackages[[#This Row],[Calibrated forecast hours]])</f>
        <v>4.74341085271318</v>
      </c>
      <c r="W808" s="64">
        <f>DATEVALUE(tblWorkPackages[[#This Row],[Request date]])</f>
        <v>46007.0</v>
      </c>
      <c r="X808" s="64">
        <f>DATEVALUE(tblWorkPackages[[#This Row],[Due date]])</f>
        <v>46020.0</v>
      </c>
      <c r="Y808" s="64">
        <f>DATEVALUE(tblWorkPackages[[#This Row],[Completion date]])</f>
        <v>46023.0</v>
      </c>
      <c r="Z808" s="64">
        <f>_xlfn.MINIFS(tblLaborEntries[Work date serial],tblLaborEntries[Work package ID],tblWorkPackages[[#This Row],[Work package ID]])</f>
        <v>46021.0</v>
      </c>
      <c r="AA808" s="64">
        <f>_xlfn.MAXIFS(tblLaborEntries[Work date serial],tblLaborEntries[Work package ID],tblWorkPackages[[#This Row],[Work package ID]])</f>
        <v>46021.0</v>
      </c>
      <c r="AB808" s="65">
        <f>IF(tblWorkPackages[[#This Row],[Completion date serial]]&gt;tblWorkPackages[[#This Row],[Due date serial]],1,0)</f>
        <v>1</v>
      </c>
      <c r="AC808" s="65">
        <f>MAX(0,tblWorkPackages[[#This Row],[Completion date serial]]-tblWorkPackages[[#This Row],[Due date serial]])</f>
        <v>3</v>
      </c>
      <c r="AD808" s="65">
        <f>tblWorkPackages[[#This Row],[First labor date]]-tblWorkPackages[[#This Row],[Request date serial]]</f>
        <v>14</v>
      </c>
      <c r="AE808" s="65">
        <f>tblWorkPackages[[#This Row],[Last labor date]]-tblWorkPackages[[#This Row],[First labor date]]</f>
        <v>0</v>
      </c>
      <c r="AF808" s="65">
        <f>tblWorkPackages[[#This Row],[Completion date serial]]-tblWorkPackages[[#This Row],[Last labor date]]</f>
        <v>2</v>
      </c>
      <c r="AG808" s="65">
        <f>tblWorkPackages[[#This Row],[Completion date serial]]-tblWorkPackages[[#This Row],[Request date serial]]</f>
        <v>16</v>
      </c>
      <c r="AH808" s="65">
        <f>IFERROR(INDEX(tblParts[Delay days],MATCH(tblWorkPackages[[#This Row],[Work package ID]],tblParts[Work package ID],0)),0)</f>
        <v>0</v>
      </c>
      <c r="AI808" s="51" t="str">
        <f>IFERROR(INDEX(tblDisruptions[Event type],MATCH(tblWorkPackages[[#This Row],[Work package ID]],tblDisruptions[Work package ID],0)),"None")</f>
        <v>None</v>
      </c>
      <c r="AJ808" s="51" t="str">
        <f>TEXT(tblWorkPackages[[#This Row],[Due date serial]],"yyyy-mm")</f>
        <v>2025-12</v>
      </c>
    </row>
    <row r="809" spans="1:36" ht="15" x14ac:dyDescent="0.25">
      <c r="A809" s="53" t="s">
        <v>1690</v>
      </c>
      <c r="B809" s="53" t="s">
        <v>230</v>
      </c>
      <c r="C809" s="53" t="s">
        <v>661</v>
      </c>
      <c r="D809" s="53" t="s">
        <v>1135</v>
      </c>
      <c r="E809" s="53" t="s">
        <v>272</v>
      </c>
      <c r="F809" s="53" t="s">
        <v>145</v>
      </c>
      <c r="G809" s="53" t="s">
        <v>273</v>
      </c>
      <c r="H809" s="53">
        <v>4</v>
      </c>
      <c r="I809" s="53" t="s">
        <v>176</v>
      </c>
      <c r="J809" s="53">
        <v>1</v>
      </c>
      <c r="K809" s="53">
        <v>1</v>
      </c>
      <c r="L809" s="53">
        <v>19.899999999999999</v>
      </c>
      <c r="M809" s="53" t="s">
        <v>756</v>
      </c>
      <c r="N809" s="53">
        <v>28.4</v>
      </c>
      <c r="O809" s="51" t="str">
        <f>TEXT(tblWorkPackages[[#This Row],[Request date serial]]-WEEKDAY(tblWorkPackages[[#This Row],[Request date serial]],3),"yyyy-mm-dd")</f>
        <v>2024-09-16</v>
      </c>
      <c r="P809" s="51">
        <f>ABS(tblWorkPackages[[#This Row],[Actual labor hours]]-tblWorkPackages[[#This Row],[Estimated labor hours]])</f>
        <v>8.5</v>
      </c>
      <c r="Q809" s="51">
        <f>IF(tblWorkPackages[[#This Row],[Actual labor hours]]&gt;tblWorkPackages[[#This Row],[Estimated labor hours]],1,0)</f>
        <v>1</v>
      </c>
      <c r="R809" s="51">
        <f>tblWorkPackages[[#This Row],[Actual labor hours]]-tblWorkPackages[[#This Row],[Estimated labor hours]]</f>
        <v>8.5</v>
      </c>
      <c r="S809" s="51" t="str">
        <f>IF(tblWorkPackages[[#This Row],[Request date serial]]&lt;ValidationStart,"Train 2024",IF(tblWorkPackages[[#This Row],[Request date serial]]&lt;HoldoutStart,"Validation H1","Holdout H2"))</f>
        <v>Train 2024</v>
      </c>
      <c r="T809" s="51" t="str">
        <f>IF(tblWorkPackages[[#This Row],[Time split]]="Train 2024","",tblWorkPackages[[#This Row],[Estimated labor hours]]+VLOOKUP(tblWorkPackages[[#This Row],[Task type]],'Forecast validation'!$A$14:$E$25,IF(tblWorkPackages[[#This Row],[Time split]]="Validation H1",4,5),FALSE()))</f>
        <v/>
      </c>
      <c r="U809" s="51" t="str">
        <f>IF(tblWorkPackages[[#This Row],[Calibrated forecast hours]]="","",ABS(tblWorkPackages[[#This Row],[Actual labor hours]]-tblWorkPackages[[#This Row],[Calibrated forecast hours]]))</f>
        <v/>
      </c>
      <c r="V809" s="51">
        <f>IF(tblWorkPackages[[#This Row],[Time split]]="Train 2024",tblWorkPackages[[#This Row],[Estimated labor hours]],tblWorkPackages[[#This Row],[Calibrated forecast hours]])</f>
        <v>19.9</v>
      </c>
      <c r="W809" s="64">
        <f>DATEVALUE(tblWorkPackages[[#This Row],[Request date]])</f>
        <v>45554.0</v>
      </c>
      <c r="X809" s="64">
        <f>DATEVALUE(tblWorkPackages[[#This Row],[Due date]])</f>
        <v>45560.0</v>
      </c>
      <c r="Y809" s="64">
        <f>DATEVALUE(tblWorkPackages[[#This Row],[Completion date]])</f>
        <v>45563.0</v>
      </c>
      <c r="Z809" s="64">
        <f>_xlfn.MINIFS(tblLaborEntries[Work date serial],tblLaborEntries[Work package ID],tblWorkPackages[[#This Row],[Work package ID]])</f>
        <v>45560.0</v>
      </c>
      <c r="AA809" s="64">
        <f>_xlfn.MAXIFS(tblLaborEntries[Work date serial],tblLaborEntries[Work package ID],tblWorkPackages[[#This Row],[Work package ID]])</f>
        <v>45560.0</v>
      </c>
      <c r="AB809" s="65">
        <f>IF(tblWorkPackages[[#This Row],[Completion date serial]]&gt;tblWorkPackages[[#This Row],[Due date serial]],1,0)</f>
        <v>1</v>
      </c>
      <c r="AC809" s="65">
        <f>MAX(0,tblWorkPackages[[#This Row],[Completion date serial]]-tblWorkPackages[[#This Row],[Due date serial]])</f>
        <v>3</v>
      </c>
      <c r="AD809" s="65">
        <f>tblWorkPackages[[#This Row],[First labor date]]-tblWorkPackages[[#This Row],[Request date serial]]</f>
        <v>6</v>
      </c>
      <c r="AE809" s="65">
        <f>tblWorkPackages[[#This Row],[Last labor date]]-tblWorkPackages[[#This Row],[First labor date]]</f>
        <v>0</v>
      </c>
      <c r="AF809" s="65">
        <f>tblWorkPackages[[#This Row],[Completion date serial]]-tblWorkPackages[[#This Row],[Last labor date]]</f>
        <v>3</v>
      </c>
      <c r="AG809" s="65">
        <f>tblWorkPackages[[#This Row],[Completion date serial]]-tblWorkPackages[[#This Row],[Request date serial]]</f>
        <v>9</v>
      </c>
      <c r="AH809" s="65">
        <f>IFERROR(INDEX(tblParts[Delay days],MATCH(tblWorkPackages[[#This Row],[Work package ID]],tblParts[Work package ID],0)),0)</f>
        <v>3</v>
      </c>
      <c r="AI809" s="51" t="str">
        <f>IFERROR(INDEX(tblDisruptions[Event type],MATCH(tblWorkPackages[[#This Row],[Work package ID]],tblDisruptions[Work package ID],0)),"None")</f>
        <v>Part delay</v>
      </c>
      <c r="AJ809" s="51" t="str">
        <f>TEXT(tblWorkPackages[[#This Row],[Due date serial]],"yyyy-mm")</f>
        <v>2024-09</v>
      </c>
    </row>
    <row r="810" spans="1:36" ht="15" x14ac:dyDescent="0.25">
      <c r="A810" s="53" t="s">
        <v>1691</v>
      </c>
      <c r="B810" s="53" t="s">
        <v>124</v>
      </c>
      <c r="C810" s="53" t="s">
        <v>1324</v>
      </c>
      <c r="D810" s="53" t="s">
        <v>360</v>
      </c>
      <c r="E810" s="53" t="s">
        <v>136</v>
      </c>
      <c r="F810" s="53" t="s">
        <v>137</v>
      </c>
      <c r="G810" s="53" t="s">
        <v>138</v>
      </c>
      <c r="H810" s="53">
        <v>1</v>
      </c>
      <c r="I810" s="53" t="s">
        <v>130</v>
      </c>
      <c r="J810" s="53">
        <v>0</v>
      </c>
      <c r="K810" s="53">
        <v>0</v>
      </c>
      <c r="L810" s="53">
        <v>9.6</v>
      </c>
      <c r="M810" s="53" t="s">
        <v>392</v>
      </c>
      <c r="N810" s="53">
        <v>8.1</v>
      </c>
      <c r="O810" s="51" t="str">
        <f>TEXT(tblWorkPackages[[#This Row],[Request date serial]]-WEEKDAY(tblWorkPackages[[#This Row],[Request date serial]],3),"yyyy-mm-dd")</f>
        <v>2024-07-01</v>
      </c>
      <c r="P810" s="51">
        <f>ABS(tblWorkPackages[[#This Row],[Actual labor hours]]-tblWorkPackages[[#This Row],[Estimated labor hours]])</f>
        <v>1.5</v>
      </c>
      <c r="Q810" s="51">
        <f>IF(tblWorkPackages[[#This Row],[Actual labor hours]]&gt;tblWorkPackages[[#This Row],[Estimated labor hours]],1,0)</f>
        <v>0</v>
      </c>
      <c r="R810" s="51">
        <f>tblWorkPackages[[#This Row],[Actual labor hours]]-tblWorkPackages[[#This Row],[Estimated labor hours]]</f>
        <v>-1.5</v>
      </c>
      <c r="S810" s="51" t="str">
        <f>IF(tblWorkPackages[[#This Row],[Request date serial]]&lt;ValidationStart,"Train 2024",IF(tblWorkPackages[[#This Row],[Request date serial]]&lt;HoldoutStart,"Validation H1","Holdout H2"))</f>
        <v>Train 2024</v>
      </c>
      <c r="T810" s="51" t="str">
        <f>IF(tblWorkPackages[[#This Row],[Time split]]="Train 2024","",tblWorkPackages[[#This Row],[Estimated labor hours]]+VLOOKUP(tblWorkPackages[[#This Row],[Task type]],'Forecast validation'!$A$14:$E$25,IF(tblWorkPackages[[#This Row],[Time split]]="Validation H1",4,5),FALSE()))</f>
        <v/>
      </c>
      <c r="U810" s="51" t="str">
        <f>IF(tblWorkPackages[[#This Row],[Calibrated forecast hours]]="","",ABS(tblWorkPackages[[#This Row],[Actual labor hours]]-tblWorkPackages[[#This Row],[Calibrated forecast hours]]))</f>
        <v/>
      </c>
      <c r="V810" s="51">
        <f>IF(tblWorkPackages[[#This Row],[Time split]]="Train 2024",tblWorkPackages[[#This Row],[Estimated labor hours]],tblWorkPackages[[#This Row],[Calibrated forecast hours]])</f>
        <v>9.6</v>
      </c>
      <c r="W810" s="64">
        <f>DATEVALUE(tblWorkPackages[[#This Row],[Request date]])</f>
        <v>45476.0</v>
      </c>
      <c r="X810" s="64">
        <f>DATEVALUE(tblWorkPackages[[#This Row],[Due date]])</f>
        <v>45489.0</v>
      </c>
      <c r="Y810" s="64">
        <f>DATEVALUE(tblWorkPackages[[#This Row],[Completion date]])</f>
        <v>45534.0</v>
      </c>
      <c r="Z810" s="64">
        <f>_xlfn.MINIFS(tblLaborEntries[Work date serial],tblLaborEntries[Work package ID],tblWorkPackages[[#This Row],[Work package ID]])</f>
        <v>45532.0</v>
      </c>
      <c r="AA810" s="64">
        <f>_xlfn.MAXIFS(tblLaborEntries[Work date serial],tblLaborEntries[Work package ID],tblWorkPackages[[#This Row],[Work package ID]])</f>
        <v>45534.0</v>
      </c>
      <c r="AB810" s="65">
        <f>IF(tblWorkPackages[[#This Row],[Completion date serial]]&gt;tblWorkPackages[[#This Row],[Due date serial]],1,0)</f>
        <v>1</v>
      </c>
      <c r="AC810" s="65">
        <f>MAX(0,tblWorkPackages[[#This Row],[Completion date serial]]-tblWorkPackages[[#This Row],[Due date serial]])</f>
        <v>45</v>
      </c>
      <c r="AD810" s="65">
        <f>tblWorkPackages[[#This Row],[First labor date]]-tblWorkPackages[[#This Row],[Request date serial]]</f>
        <v>56</v>
      </c>
      <c r="AE810" s="65">
        <f>tblWorkPackages[[#This Row],[Last labor date]]-tblWorkPackages[[#This Row],[First labor date]]</f>
        <v>2</v>
      </c>
      <c r="AF810" s="65">
        <f>tblWorkPackages[[#This Row],[Completion date serial]]-tblWorkPackages[[#This Row],[Last labor date]]</f>
        <v>0</v>
      </c>
      <c r="AG810" s="65">
        <f>tblWorkPackages[[#This Row],[Completion date serial]]-tblWorkPackages[[#This Row],[Request date serial]]</f>
        <v>58</v>
      </c>
      <c r="AH810" s="65">
        <f>IFERROR(INDEX(tblParts[Delay days],MATCH(tblWorkPackages[[#This Row],[Work package ID]],tblParts[Work package ID],0)),0)</f>
        <v>0</v>
      </c>
      <c r="AI810" s="51" t="str">
        <f>IFERROR(INDEX(tblDisruptions[Event type],MATCH(tblWorkPackages[[#This Row],[Work package ID]],tblDisruptions[Work package ID],0)),"None")</f>
        <v>None</v>
      </c>
      <c r="AJ810" s="51" t="str">
        <f>TEXT(tblWorkPackages[[#This Row],[Due date serial]],"yyyy-mm")</f>
        <v>2024-07</v>
      </c>
    </row>
    <row r="811" spans="1:36" ht="15" x14ac:dyDescent="0.25">
      <c r="A811" s="53" t="s">
        <v>1692</v>
      </c>
      <c r="B811" s="53" t="s">
        <v>235</v>
      </c>
      <c r="C811" s="53" t="s">
        <v>583</v>
      </c>
      <c r="D811" s="53" t="s">
        <v>1078</v>
      </c>
      <c r="E811" s="53" t="s">
        <v>200</v>
      </c>
      <c r="F811" s="53" t="s">
        <v>128</v>
      </c>
      <c r="G811" s="53" t="s">
        <v>129</v>
      </c>
      <c r="H811" s="53">
        <v>2</v>
      </c>
      <c r="I811" s="53" t="s">
        <v>130</v>
      </c>
      <c r="J811" s="53">
        <v>0</v>
      </c>
      <c r="K811" s="53">
        <v>0</v>
      </c>
      <c r="L811" s="53">
        <v>2.8</v>
      </c>
      <c r="M811" s="53" t="s">
        <v>522</v>
      </c>
      <c r="N811" s="53">
        <v>3.5</v>
      </c>
      <c r="O811" s="51" t="str">
        <f>TEXT(tblWorkPackages[[#This Row],[Request date serial]]-WEEKDAY(tblWorkPackages[[#This Row],[Request date serial]],3),"yyyy-mm-dd")</f>
        <v>2025-08-11</v>
      </c>
      <c r="P811" s="51">
        <f>ABS(tblWorkPackages[[#This Row],[Actual labor hours]]-tblWorkPackages[[#This Row],[Estimated labor hours]])</f>
        <v>0.7</v>
      </c>
      <c r="Q811" s="51">
        <f>IF(tblWorkPackages[[#This Row],[Actual labor hours]]&gt;tblWorkPackages[[#This Row],[Estimated labor hours]],1,0)</f>
        <v>1</v>
      </c>
      <c r="R811" s="51">
        <f>tblWorkPackages[[#This Row],[Actual labor hours]]-tblWorkPackages[[#This Row],[Estimated labor hours]]</f>
        <v>0.7</v>
      </c>
      <c r="S811" s="51" t="str">
        <f>IF(tblWorkPackages[[#This Row],[Request date serial]]&lt;ValidationStart,"Train 2024",IF(tblWorkPackages[[#This Row],[Request date serial]]&lt;HoldoutStart,"Validation H1","Holdout H2"))</f>
        <v>Holdout H2</v>
      </c>
      <c r="T811" s="51">
        <f>IF(tblWorkPackages[[#This Row],[Time split]]="Train 2024","",tblWorkPackages[[#This Row],[Estimated labor hours]]+VLOOKUP(tblWorkPackages[[#This Row],[Task type]],'Forecast validation'!$A$14:$E$25,IF(tblWorkPackages[[#This Row],[Time split]]="Validation H1",4,5),FALSE()))</f>
        <v>3.12893081761006</v>
      </c>
      <c r="U811" s="51">
        <f>IF(tblWorkPackages[[#This Row],[Calibrated forecast hours]]="","",ABS(tblWorkPackages[[#This Row],[Actual labor hours]]-tblWorkPackages[[#This Row],[Calibrated forecast hours]]))</f>
        <v>0.371069182389937</v>
      </c>
      <c r="V811" s="51">
        <f>IF(tblWorkPackages[[#This Row],[Time split]]="Train 2024",tblWorkPackages[[#This Row],[Estimated labor hours]],tblWorkPackages[[#This Row],[Calibrated forecast hours]])</f>
        <v>3.12893081761006</v>
      </c>
      <c r="W811" s="64">
        <f>DATEVALUE(tblWorkPackages[[#This Row],[Request date]])</f>
        <v>45885.0</v>
      </c>
      <c r="X811" s="64">
        <f>DATEVALUE(tblWorkPackages[[#This Row],[Due date]])</f>
        <v>45898.0</v>
      </c>
      <c r="Y811" s="64">
        <f>DATEVALUE(tblWorkPackages[[#This Row],[Completion date]])</f>
        <v>45895.0</v>
      </c>
      <c r="Z811" s="64">
        <f>_xlfn.MINIFS(tblLaborEntries[Work date serial],tblLaborEntries[Work package ID],tblWorkPackages[[#This Row],[Work package ID]])</f>
        <v>45893.0</v>
      </c>
      <c r="AA811" s="64">
        <f>_xlfn.MAXIFS(tblLaborEntries[Work date serial],tblLaborEntries[Work package ID],tblWorkPackages[[#This Row],[Work package ID]])</f>
        <v>45894.0</v>
      </c>
      <c r="AB811" s="65">
        <f>IF(tblWorkPackages[[#This Row],[Completion date serial]]&gt;tblWorkPackages[[#This Row],[Due date serial]],1,0)</f>
        <v>0</v>
      </c>
      <c r="AC811" s="65">
        <f>MAX(0,tblWorkPackages[[#This Row],[Completion date serial]]-tblWorkPackages[[#This Row],[Due date serial]])</f>
        <v>0</v>
      </c>
      <c r="AD811" s="65">
        <f>tblWorkPackages[[#This Row],[First labor date]]-tblWorkPackages[[#This Row],[Request date serial]]</f>
        <v>8</v>
      </c>
      <c r="AE811" s="65">
        <f>tblWorkPackages[[#This Row],[Last labor date]]-tblWorkPackages[[#This Row],[First labor date]]</f>
        <v>1</v>
      </c>
      <c r="AF811" s="65">
        <f>tblWorkPackages[[#This Row],[Completion date serial]]-tblWorkPackages[[#This Row],[Last labor date]]</f>
        <v>1</v>
      </c>
      <c r="AG811" s="65">
        <f>tblWorkPackages[[#This Row],[Completion date serial]]-tblWorkPackages[[#This Row],[Request date serial]]</f>
        <v>10</v>
      </c>
      <c r="AH811" s="65">
        <f>IFERROR(INDEX(tblParts[Delay days],MATCH(tblWorkPackages[[#This Row],[Work package ID]],tblParts[Work package ID],0)),0)</f>
        <v>0</v>
      </c>
      <c r="AI811" s="51" t="str">
        <f>IFERROR(INDEX(tblDisruptions[Event type],MATCH(tblWorkPackages[[#This Row],[Work package ID]],tblDisruptions[Work package ID],0)),"None")</f>
        <v>None</v>
      </c>
      <c r="AJ811" s="51" t="str">
        <f>TEXT(tblWorkPackages[[#This Row],[Due date serial]],"yyyy-mm")</f>
        <v>2025-08</v>
      </c>
    </row>
    <row r="812" spans="1:36" ht="15" x14ac:dyDescent="0.25">
      <c r="A812" s="53" t="s">
        <v>1693</v>
      </c>
      <c r="B812" s="53" t="s">
        <v>124</v>
      </c>
      <c r="C812" s="53" t="s">
        <v>600</v>
      </c>
      <c r="D812" s="53" t="s">
        <v>877</v>
      </c>
      <c r="E812" s="53" t="s">
        <v>209</v>
      </c>
      <c r="F812" s="53" t="s">
        <v>145</v>
      </c>
      <c r="G812" s="53" t="s">
        <v>210</v>
      </c>
      <c r="H812" s="53">
        <v>1</v>
      </c>
      <c r="I812" s="53" t="s">
        <v>176</v>
      </c>
      <c r="J812" s="53">
        <v>0</v>
      </c>
      <c r="K812" s="53">
        <v>1</v>
      </c>
      <c r="L812" s="53">
        <v>12.6</v>
      </c>
      <c r="M812" s="53" t="s">
        <v>877</v>
      </c>
      <c r="N812" s="53">
        <v>14.1</v>
      </c>
      <c r="O812" s="51" t="str">
        <f>TEXT(tblWorkPackages[[#This Row],[Request date serial]]-WEEKDAY(tblWorkPackages[[#This Row],[Request date serial]],3),"yyyy-mm-dd")</f>
        <v>2024-11-18</v>
      </c>
      <c r="P812" s="51">
        <f>ABS(tblWorkPackages[[#This Row],[Actual labor hours]]-tblWorkPackages[[#This Row],[Estimated labor hours]])</f>
        <v>1.5</v>
      </c>
      <c r="Q812" s="51">
        <f>IF(tblWorkPackages[[#This Row],[Actual labor hours]]&gt;tblWorkPackages[[#This Row],[Estimated labor hours]],1,0)</f>
        <v>1</v>
      </c>
      <c r="R812" s="51">
        <f>tblWorkPackages[[#This Row],[Actual labor hours]]-tblWorkPackages[[#This Row],[Estimated labor hours]]</f>
        <v>1.5</v>
      </c>
      <c r="S812" s="51" t="str">
        <f>IF(tblWorkPackages[[#This Row],[Request date serial]]&lt;ValidationStart,"Train 2024",IF(tblWorkPackages[[#This Row],[Request date serial]]&lt;HoldoutStart,"Validation H1","Holdout H2"))</f>
        <v>Train 2024</v>
      </c>
      <c r="T812" s="51" t="str">
        <f>IF(tblWorkPackages[[#This Row],[Time split]]="Train 2024","",tblWorkPackages[[#This Row],[Estimated labor hours]]+VLOOKUP(tblWorkPackages[[#This Row],[Task type]],'Forecast validation'!$A$14:$E$25,IF(tblWorkPackages[[#This Row],[Time split]]="Validation H1",4,5),FALSE()))</f>
        <v/>
      </c>
      <c r="U812" s="51" t="str">
        <f>IF(tblWorkPackages[[#This Row],[Calibrated forecast hours]]="","",ABS(tblWorkPackages[[#This Row],[Actual labor hours]]-tblWorkPackages[[#This Row],[Calibrated forecast hours]]))</f>
        <v/>
      </c>
      <c r="V812" s="51">
        <f>IF(tblWorkPackages[[#This Row],[Time split]]="Train 2024",tblWorkPackages[[#This Row],[Estimated labor hours]],tblWorkPackages[[#This Row],[Calibrated forecast hours]])</f>
        <v>12.6</v>
      </c>
      <c r="W812" s="64">
        <f>DATEVALUE(tblWorkPackages[[#This Row],[Request date]])</f>
        <v>45618.0</v>
      </c>
      <c r="X812" s="64">
        <f>DATEVALUE(tblWorkPackages[[#This Row],[Due date]])</f>
        <v>45624.0</v>
      </c>
      <c r="Y812" s="64">
        <f>DATEVALUE(tblWorkPackages[[#This Row],[Completion date]])</f>
        <v>45624.0</v>
      </c>
      <c r="Z812" s="64">
        <f>_xlfn.MINIFS(tblLaborEntries[Work date serial],tblLaborEntries[Work package ID],tblWorkPackages[[#This Row],[Work package ID]])</f>
        <v>45620.0</v>
      </c>
      <c r="AA812" s="64">
        <f>_xlfn.MAXIFS(tblLaborEntries[Work date serial],tblLaborEntries[Work package ID],tblWorkPackages[[#This Row],[Work package ID]])</f>
        <v>45622.0</v>
      </c>
      <c r="AB812" s="65">
        <f>IF(tblWorkPackages[[#This Row],[Completion date serial]]&gt;tblWorkPackages[[#This Row],[Due date serial]],1,0)</f>
        <v>0</v>
      </c>
      <c r="AC812" s="65">
        <f>MAX(0,tblWorkPackages[[#This Row],[Completion date serial]]-tblWorkPackages[[#This Row],[Due date serial]])</f>
        <v>0</v>
      </c>
      <c r="AD812" s="65">
        <f>tblWorkPackages[[#This Row],[First labor date]]-tblWorkPackages[[#This Row],[Request date serial]]</f>
        <v>2</v>
      </c>
      <c r="AE812" s="65">
        <f>tblWorkPackages[[#This Row],[Last labor date]]-tblWorkPackages[[#This Row],[First labor date]]</f>
        <v>2</v>
      </c>
      <c r="AF812" s="65">
        <f>tblWorkPackages[[#This Row],[Completion date serial]]-tblWorkPackages[[#This Row],[Last labor date]]</f>
        <v>2</v>
      </c>
      <c r="AG812" s="65">
        <f>tblWorkPackages[[#This Row],[Completion date serial]]-tblWorkPackages[[#This Row],[Request date serial]]</f>
        <v>6</v>
      </c>
      <c r="AH812" s="65">
        <f>IFERROR(INDEX(tblParts[Delay days],MATCH(tblWorkPackages[[#This Row],[Work package ID]],tblParts[Work package ID],0)),0)</f>
        <v>0</v>
      </c>
      <c r="AI812" s="51" t="str">
        <f>IFERROR(INDEX(tblDisruptions[Event type],MATCH(tblWorkPackages[[#This Row],[Work package ID]],tblDisruptions[Work package ID],0)),"None")</f>
        <v>None</v>
      </c>
      <c r="AJ812" s="51" t="str">
        <f>TEXT(tblWorkPackages[[#This Row],[Due date serial]],"yyyy-mm")</f>
        <v>2024-11</v>
      </c>
    </row>
    <row r="813" spans="1:36" ht="15" x14ac:dyDescent="0.25">
      <c r="A813" s="53" t="s">
        <v>1694</v>
      </c>
      <c r="B813" s="53" t="s">
        <v>230</v>
      </c>
      <c r="C813" s="53" t="s">
        <v>284</v>
      </c>
      <c r="D813" s="53" t="s">
        <v>790</v>
      </c>
      <c r="E813" s="53" t="s">
        <v>242</v>
      </c>
      <c r="F813" s="53" t="s">
        <v>243</v>
      </c>
      <c r="G813" s="53" t="s">
        <v>129</v>
      </c>
      <c r="H813" s="53">
        <v>3</v>
      </c>
      <c r="I813" s="53" t="s">
        <v>176</v>
      </c>
      <c r="J813" s="53">
        <v>0</v>
      </c>
      <c r="K813" s="53">
        <v>1</v>
      </c>
      <c r="L813" s="53">
        <v>11</v>
      </c>
      <c r="M813" s="53" t="s">
        <v>1130</v>
      </c>
      <c r="N813" s="53">
        <v>13.3</v>
      </c>
      <c r="O813" s="51" t="str">
        <f>TEXT(tblWorkPackages[[#This Row],[Request date serial]]-WEEKDAY(tblWorkPackages[[#This Row],[Request date serial]],3),"yyyy-mm-dd")</f>
        <v>2025-09-08</v>
      </c>
      <c r="P813" s="51">
        <f>ABS(tblWorkPackages[[#This Row],[Actual labor hours]]-tblWorkPackages[[#This Row],[Estimated labor hours]])</f>
        <v>2.3</v>
      </c>
      <c r="Q813" s="51">
        <f>IF(tblWorkPackages[[#This Row],[Actual labor hours]]&gt;tblWorkPackages[[#This Row],[Estimated labor hours]],1,0)</f>
        <v>1</v>
      </c>
      <c r="R813" s="51">
        <f>tblWorkPackages[[#This Row],[Actual labor hours]]-tblWorkPackages[[#This Row],[Estimated labor hours]]</f>
        <v>2.3</v>
      </c>
      <c r="S813" s="51" t="str">
        <f>IF(tblWorkPackages[[#This Row],[Request date serial]]&lt;ValidationStart,"Train 2024",IF(tblWorkPackages[[#This Row],[Request date serial]]&lt;HoldoutStart,"Validation H1","Holdout H2"))</f>
        <v>Holdout H2</v>
      </c>
      <c r="T813" s="51">
        <f>IF(tblWorkPackages[[#This Row],[Time split]]="Train 2024","",tblWorkPackages[[#This Row],[Estimated labor hours]]+VLOOKUP(tblWorkPackages[[#This Row],[Task type]],'Forecast validation'!$A$14:$E$25,IF(tblWorkPackages[[#This Row],[Time split]]="Validation H1",4,5),FALSE()))</f>
        <v>11.8254545454545</v>
      </c>
      <c r="U813" s="51">
        <f>IF(tblWorkPackages[[#This Row],[Calibrated forecast hours]]="","",ABS(tblWorkPackages[[#This Row],[Actual labor hours]]-tblWorkPackages[[#This Row],[Calibrated forecast hours]]))</f>
        <v>1.47454545454545</v>
      </c>
      <c r="V813" s="51">
        <f>IF(tblWorkPackages[[#This Row],[Time split]]="Train 2024",tblWorkPackages[[#This Row],[Estimated labor hours]],tblWorkPackages[[#This Row],[Calibrated forecast hours]])</f>
        <v>11.8254545454545</v>
      </c>
      <c r="W813" s="64">
        <f>DATEVALUE(tblWorkPackages[[#This Row],[Request date]])</f>
        <v>45910.0</v>
      </c>
      <c r="X813" s="64">
        <f>DATEVALUE(tblWorkPackages[[#This Row],[Due date]])</f>
        <v>45916.0</v>
      </c>
      <c r="Y813" s="64">
        <f>DATEVALUE(tblWorkPackages[[#This Row],[Completion date]])</f>
        <v>45935.0</v>
      </c>
      <c r="Z813" s="64">
        <f>_xlfn.MINIFS(tblLaborEntries[Work date serial],tblLaborEntries[Work package ID],tblWorkPackages[[#This Row],[Work package ID]])</f>
        <v>45932.0</v>
      </c>
      <c r="AA813" s="64">
        <f>_xlfn.MAXIFS(tblLaborEntries[Work date serial],tblLaborEntries[Work package ID],tblWorkPackages[[#This Row],[Work package ID]])</f>
        <v>45932.0</v>
      </c>
      <c r="AB813" s="65">
        <f>IF(tblWorkPackages[[#This Row],[Completion date serial]]&gt;tblWorkPackages[[#This Row],[Due date serial]],1,0)</f>
        <v>1</v>
      </c>
      <c r="AC813" s="65">
        <f>MAX(0,tblWorkPackages[[#This Row],[Completion date serial]]-tblWorkPackages[[#This Row],[Due date serial]])</f>
        <v>19</v>
      </c>
      <c r="AD813" s="65">
        <f>tblWorkPackages[[#This Row],[First labor date]]-tblWorkPackages[[#This Row],[Request date serial]]</f>
        <v>22</v>
      </c>
      <c r="AE813" s="65">
        <f>tblWorkPackages[[#This Row],[Last labor date]]-tblWorkPackages[[#This Row],[First labor date]]</f>
        <v>0</v>
      </c>
      <c r="AF813" s="65">
        <f>tblWorkPackages[[#This Row],[Completion date serial]]-tblWorkPackages[[#This Row],[Last labor date]]</f>
        <v>3</v>
      </c>
      <c r="AG813" s="65">
        <f>tblWorkPackages[[#This Row],[Completion date serial]]-tblWorkPackages[[#This Row],[Request date serial]]</f>
        <v>25</v>
      </c>
      <c r="AH813" s="65">
        <f>IFERROR(INDEX(tblParts[Delay days],MATCH(tblWorkPackages[[#This Row],[Work package ID]],tblParts[Work package ID],0)),0)</f>
        <v>0</v>
      </c>
      <c r="AI813" s="51" t="str">
        <f>IFERROR(INDEX(tblDisruptions[Event type],MATCH(tblWorkPackages[[#This Row],[Work package ID]],tblDisruptions[Work package ID],0)),"None")</f>
        <v>None</v>
      </c>
      <c r="AJ813" s="51" t="str">
        <f>TEXT(tblWorkPackages[[#This Row],[Due date serial]],"yyyy-mm")</f>
        <v>2025-09</v>
      </c>
    </row>
    <row r="814" spans="1:36" ht="15" x14ac:dyDescent="0.25">
      <c r="A814" s="53" t="s">
        <v>1695</v>
      </c>
      <c r="B814" s="53" t="s">
        <v>133</v>
      </c>
      <c r="C814" s="53" t="s">
        <v>911</v>
      </c>
      <c r="D814" s="53" t="s">
        <v>462</v>
      </c>
      <c r="E814" s="53" t="s">
        <v>127</v>
      </c>
      <c r="F814" s="53" t="s">
        <v>128</v>
      </c>
      <c r="G814" s="53" t="s">
        <v>129</v>
      </c>
      <c r="H814" s="53">
        <v>4</v>
      </c>
      <c r="I814" s="53" t="s">
        <v>147</v>
      </c>
      <c r="J814" s="53">
        <v>0</v>
      </c>
      <c r="K814" s="53">
        <v>0</v>
      </c>
      <c r="L814" s="53">
        <v>11.3</v>
      </c>
      <c r="M814" s="53" t="s">
        <v>288</v>
      </c>
      <c r="N814" s="53">
        <v>8.8000000000000007</v>
      </c>
      <c r="O814" s="51" t="str">
        <f>TEXT(tblWorkPackages[[#This Row],[Request date serial]]-WEEKDAY(tblWorkPackages[[#This Row],[Request date serial]],3),"yyyy-mm-dd")</f>
        <v>2025-09-22</v>
      </c>
      <c r="P814" s="51">
        <f>ABS(tblWorkPackages[[#This Row],[Actual labor hours]]-tblWorkPackages[[#This Row],[Estimated labor hours]])</f>
        <v>2.5</v>
      </c>
      <c r="Q814" s="51">
        <f>IF(tblWorkPackages[[#This Row],[Actual labor hours]]&gt;tblWorkPackages[[#This Row],[Estimated labor hours]],1,0)</f>
        <v>0</v>
      </c>
      <c r="R814" s="51">
        <f>tblWorkPackages[[#This Row],[Actual labor hours]]-tblWorkPackages[[#This Row],[Estimated labor hours]]</f>
        <v>-2.5</v>
      </c>
      <c r="S814" s="51" t="str">
        <f>IF(tblWorkPackages[[#This Row],[Request date serial]]&lt;ValidationStart,"Train 2024",IF(tblWorkPackages[[#This Row],[Request date serial]]&lt;HoldoutStart,"Validation H1","Holdout H2"))</f>
        <v>Holdout H2</v>
      </c>
      <c r="T814" s="51">
        <f>IF(tblWorkPackages[[#This Row],[Time split]]="Train 2024","",tblWorkPackages[[#This Row],[Estimated labor hours]]+VLOOKUP(tblWorkPackages[[#This Row],[Task type]],'Forecast validation'!$A$14:$E$25,IF(tblWorkPackages[[#This Row],[Time split]]="Validation H1",4,5),FALSE()))</f>
        <v>11.8434108527132</v>
      </c>
      <c r="U814" s="51">
        <f>IF(tblWorkPackages[[#This Row],[Calibrated forecast hours]]="","",ABS(tblWorkPackages[[#This Row],[Actual labor hours]]-tblWorkPackages[[#This Row],[Calibrated forecast hours]]))</f>
        <v>3.04341085271318</v>
      </c>
      <c r="V814" s="51">
        <f>IF(tblWorkPackages[[#This Row],[Time split]]="Train 2024",tblWorkPackages[[#This Row],[Estimated labor hours]],tblWorkPackages[[#This Row],[Calibrated forecast hours]])</f>
        <v>11.8434108527132</v>
      </c>
      <c r="W814" s="64">
        <f>DATEVALUE(tblWorkPackages[[#This Row],[Request date]])</f>
        <v>45923.0</v>
      </c>
      <c r="X814" s="64">
        <f>DATEVALUE(tblWorkPackages[[#This Row],[Due date]])</f>
        <v>45925.0</v>
      </c>
      <c r="Y814" s="64">
        <f>DATEVALUE(tblWorkPackages[[#This Row],[Completion date]])</f>
        <v>45928.0</v>
      </c>
      <c r="Z814" s="64">
        <f>_xlfn.MINIFS(tblLaborEntries[Work date serial],tblLaborEntries[Work package ID],tblWorkPackages[[#This Row],[Work package ID]])</f>
        <v>45927.0</v>
      </c>
      <c r="AA814" s="64">
        <f>_xlfn.MAXIFS(tblLaborEntries[Work date serial],tblLaborEntries[Work package ID],tblWorkPackages[[#This Row],[Work package ID]])</f>
        <v>45928.0</v>
      </c>
      <c r="AB814" s="65">
        <f>IF(tblWorkPackages[[#This Row],[Completion date serial]]&gt;tblWorkPackages[[#This Row],[Due date serial]],1,0)</f>
        <v>1</v>
      </c>
      <c r="AC814" s="65">
        <f>MAX(0,tblWorkPackages[[#This Row],[Completion date serial]]-tblWorkPackages[[#This Row],[Due date serial]])</f>
        <v>3</v>
      </c>
      <c r="AD814" s="65">
        <f>tblWorkPackages[[#This Row],[First labor date]]-tblWorkPackages[[#This Row],[Request date serial]]</f>
        <v>4</v>
      </c>
      <c r="AE814" s="65">
        <f>tblWorkPackages[[#This Row],[Last labor date]]-tblWorkPackages[[#This Row],[First labor date]]</f>
        <v>1</v>
      </c>
      <c r="AF814" s="65">
        <f>tblWorkPackages[[#This Row],[Completion date serial]]-tblWorkPackages[[#This Row],[Last labor date]]</f>
        <v>0</v>
      </c>
      <c r="AG814" s="65">
        <f>tblWorkPackages[[#This Row],[Completion date serial]]-tblWorkPackages[[#This Row],[Request date serial]]</f>
        <v>5</v>
      </c>
      <c r="AH814" s="65">
        <f>IFERROR(INDEX(tblParts[Delay days],MATCH(tblWorkPackages[[#This Row],[Work package ID]],tblParts[Work package ID],0)),0)</f>
        <v>0</v>
      </c>
      <c r="AI814" s="51" t="str">
        <f>IFERROR(INDEX(tblDisruptions[Event type],MATCH(tblWorkPackages[[#This Row],[Work package ID]],tblDisruptions[Work package ID],0)),"None")</f>
        <v>None</v>
      </c>
      <c r="AJ814" s="51" t="str">
        <f>TEXT(tblWorkPackages[[#This Row],[Due date serial]],"yyyy-mm")</f>
        <v>2025-09</v>
      </c>
    </row>
    <row r="815" spans="1:36" ht="15" x14ac:dyDescent="0.25">
      <c r="A815" s="53" t="s">
        <v>1696</v>
      </c>
      <c r="B815" s="53" t="s">
        <v>133</v>
      </c>
      <c r="C815" s="53" t="s">
        <v>300</v>
      </c>
      <c r="D815" s="53" t="s">
        <v>931</v>
      </c>
      <c r="E815" s="53" t="s">
        <v>136</v>
      </c>
      <c r="F815" s="53" t="s">
        <v>137</v>
      </c>
      <c r="G815" s="53" t="s">
        <v>138</v>
      </c>
      <c r="H815" s="53">
        <v>1</v>
      </c>
      <c r="I815" s="53" t="s">
        <v>130</v>
      </c>
      <c r="J815" s="53">
        <v>0</v>
      </c>
      <c r="K815" s="53">
        <v>1</v>
      </c>
      <c r="L815" s="53">
        <v>10.1</v>
      </c>
      <c r="M815" s="53" t="s">
        <v>675</v>
      </c>
      <c r="N815" s="53">
        <v>11.8</v>
      </c>
      <c r="O815" s="51" t="str">
        <f>TEXT(tblWorkPackages[[#This Row],[Request date serial]]-WEEKDAY(tblWorkPackages[[#This Row],[Request date serial]],3),"yyyy-mm-dd")</f>
        <v>2024-04-15</v>
      </c>
      <c r="P815" s="51">
        <f>ABS(tblWorkPackages[[#This Row],[Actual labor hours]]-tblWorkPackages[[#This Row],[Estimated labor hours]])</f>
        <v>1.7</v>
      </c>
      <c r="Q815" s="51">
        <f>IF(tblWorkPackages[[#This Row],[Actual labor hours]]&gt;tblWorkPackages[[#This Row],[Estimated labor hours]],1,0)</f>
        <v>1</v>
      </c>
      <c r="R815" s="51">
        <f>tblWorkPackages[[#This Row],[Actual labor hours]]-tblWorkPackages[[#This Row],[Estimated labor hours]]</f>
        <v>1.7</v>
      </c>
      <c r="S815" s="51" t="str">
        <f>IF(tblWorkPackages[[#This Row],[Request date serial]]&lt;ValidationStart,"Train 2024",IF(tblWorkPackages[[#This Row],[Request date serial]]&lt;HoldoutStart,"Validation H1","Holdout H2"))</f>
        <v>Train 2024</v>
      </c>
      <c r="T815" s="51" t="str">
        <f>IF(tblWorkPackages[[#This Row],[Time split]]="Train 2024","",tblWorkPackages[[#This Row],[Estimated labor hours]]+VLOOKUP(tblWorkPackages[[#This Row],[Task type]],'Forecast validation'!$A$14:$E$25,IF(tblWorkPackages[[#This Row],[Time split]]="Validation H1",4,5),FALSE()))</f>
        <v/>
      </c>
      <c r="U815" s="51" t="str">
        <f>IF(tblWorkPackages[[#This Row],[Calibrated forecast hours]]="","",ABS(tblWorkPackages[[#This Row],[Actual labor hours]]-tblWorkPackages[[#This Row],[Calibrated forecast hours]]))</f>
        <v/>
      </c>
      <c r="V815" s="51">
        <f>IF(tblWorkPackages[[#This Row],[Time split]]="Train 2024",tblWorkPackages[[#This Row],[Estimated labor hours]],tblWorkPackages[[#This Row],[Calibrated forecast hours]])</f>
        <v>10.1</v>
      </c>
      <c r="W815" s="64">
        <f>DATEVALUE(tblWorkPackages[[#This Row],[Request date]])</f>
        <v>45397.0</v>
      </c>
      <c r="X815" s="64">
        <f>DATEVALUE(tblWorkPackages[[#This Row],[Due date]])</f>
        <v>45410.0</v>
      </c>
      <c r="Y815" s="64">
        <f>DATEVALUE(tblWorkPackages[[#This Row],[Completion date]])</f>
        <v>45399.0</v>
      </c>
      <c r="Z815" s="64">
        <f>_xlfn.MINIFS(tblLaborEntries[Work date serial],tblLaborEntries[Work package ID],tblWorkPackages[[#This Row],[Work package ID]])</f>
        <v>45398.0</v>
      </c>
      <c r="AA815" s="64">
        <f>_xlfn.MAXIFS(tblLaborEntries[Work date serial],tblLaborEntries[Work package ID],tblWorkPackages[[#This Row],[Work package ID]])</f>
        <v>45398.0</v>
      </c>
      <c r="AB815" s="65">
        <f>IF(tblWorkPackages[[#This Row],[Completion date serial]]&gt;tblWorkPackages[[#This Row],[Due date serial]],1,0)</f>
        <v>0</v>
      </c>
      <c r="AC815" s="65">
        <f>MAX(0,tblWorkPackages[[#This Row],[Completion date serial]]-tblWorkPackages[[#This Row],[Due date serial]])</f>
        <v>0</v>
      </c>
      <c r="AD815" s="65">
        <f>tblWorkPackages[[#This Row],[First labor date]]-tblWorkPackages[[#This Row],[Request date serial]]</f>
        <v>1</v>
      </c>
      <c r="AE815" s="65">
        <f>tblWorkPackages[[#This Row],[Last labor date]]-tblWorkPackages[[#This Row],[First labor date]]</f>
        <v>0</v>
      </c>
      <c r="AF815" s="65">
        <f>tblWorkPackages[[#This Row],[Completion date serial]]-tblWorkPackages[[#This Row],[Last labor date]]</f>
        <v>1</v>
      </c>
      <c r="AG815" s="65">
        <f>tblWorkPackages[[#This Row],[Completion date serial]]-tblWorkPackages[[#This Row],[Request date serial]]</f>
        <v>2</v>
      </c>
      <c r="AH815" s="65">
        <f>IFERROR(INDEX(tblParts[Delay days],MATCH(tblWorkPackages[[#This Row],[Work package ID]],tblParts[Work package ID],0)),0)</f>
        <v>0</v>
      </c>
      <c r="AI815" s="51" t="str">
        <f>IFERROR(INDEX(tblDisruptions[Event type],MATCH(tblWorkPackages[[#This Row],[Work package ID]],tblDisruptions[Work package ID],0)),"None")</f>
        <v>None</v>
      </c>
      <c r="AJ815" s="51" t="str">
        <f>TEXT(tblWorkPackages[[#This Row],[Due date serial]],"yyyy-mm")</f>
        <v>2024-04</v>
      </c>
    </row>
    <row r="816" spans="1:36" ht="15" x14ac:dyDescent="0.25">
      <c r="A816" s="53" t="s">
        <v>1697</v>
      </c>
      <c r="B816" s="53" t="s">
        <v>185</v>
      </c>
      <c r="C816" s="53" t="s">
        <v>824</v>
      </c>
      <c r="D816" s="53" t="s">
        <v>601</v>
      </c>
      <c r="E816" s="53" t="s">
        <v>223</v>
      </c>
      <c r="F816" s="53" t="s">
        <v>182</v>
      </c>
      <c r="G816" s="53" t="s">
        <v>154</v>
      </c>
      <c r="H816" s="53">
        <v>3</v>
      </c>
      <c r="I816" s="53" t="s">
        <v>130</v>
      </c>
      <c r="J816" s="53">
        <v>0</v>
      </c>
      <c r="K816" s="53">
        <v>0</v>
      </c>
      <c r="L816" s="53">
        <v>15.9</v>
      </c>
      <c r="M816" s="53" t="s">
        <v>556</v>
      </c>
      <c r="N816" s="53">
        <v>13.8</v>
      </c>
      <c r="O816" s="51" t="str">
        <f>TEXT(tblWorkPackages[[#This Row],[Request date serial]]-WEEKDAY(tblWorkPackages[[#This Row],[Request date serial]],3),"yyyy-mm-dd")</f>
        <v>2024-11-18</v>
      </c>
      <c r="P816" s="51">
        <f>ABS(tblWorkPackages[[#This Row],[Actual labor hours]]-tblWorkPackages[[#This Row],[Estimated labor hours]])</f>
        <v>2.1</v>
      </c>
      <c r="Q816" s="51">
        <f>IF(tblWorkPackages[[#This Row],[Actual labor hours]]&gt;tblWorkPackages[[#This Row],[Estimated labor hours]],1,0)</f>
        <v>0</v>
      </c>
      <c r="R816" s="51">
        <f>tblWorkPackages[[#This Row],[Actual labor hours]]-tblWorkPackages[[#This Row],[Estimated labor hours]]</f>
        <v>-2.1</v>
      </c>
      <c r="S816" s="51" t="str">
        <f>IF(tblWorkPackages[[#This Row],[Request date serial]]&lt;ValidationStart,"Train 2024",IF(tblWorkPackages[[#This Row],[Request date serial]]&lt;HoldoutStart,"Validation H1","Holdout H2"))</f>
        <v>Train 2024</v>
      </c>
      <c r="T816" s="51" t="str">
        <f>IF(tblWorkPackages[[#This Row],[Time split]]="Train 2024","",tblWorkPackages[[#This Row],[Estimated labor hours]]+VLOOKUP(tblWorkPackages[[#This Row],[Task type]],'Forecast validation'!$A$14:$E$25,IF(tblWorkPackages[[#This Row],[Time split]]="Validation H1",4,5),FALSE()))</f>
        <v/>
      </c>
      <c r="U816" s="51" t="str">
        <f>IF(tblWorkPackages[[#This Row],[Calibrated forecast hours]]="","",ABS(tblWorkPackages[[#This Row],[Actual labor hours]]-tblWorkPackages[[#This Row],[Calibrated forecast hours]]))</f>
        <v/>
      </c>
      <c r="V816" s="51">
        <f>IF(tblWorkPackages[[#This Row],[Time split]]="Train 2024",tblWorkPackages[[#This Row],[Estimated labor hours]],tblWorkPackages[[#This Row],[Calibrated forecast hours]])</f>
        <v>15.9</v>
      </c>
      <c r="W816" s="64">
        <f>DATEVALUE(tblWorkPackages[[#This Row],[Request date]])</f>
        <v>45620.0</v>
      </c>
      <c r="X816" s="64">
        <f>DATEVALUE(tblWorkPackages[[#This Row],[Due date]])</f>
        <v>45633.0</v>
      </c>
      <c r="Y816" s="64">
        <f>DATEVALUE(tblWorkPackages[[#This Row],[Completion date]])</f>
        <v>45635.0</v>
      </c>
      <c r="Z816" s="64">
        <f>_xlfn.MINIFS(tblLaborEntries[Work date serial],tblLaborEntries[Work package ID],tblWorkPackages[[#This Row],[Work package ID]])</f>
        <v>45632.0</v>
      </c>
      <c r="AA816" s="64">
        <f>_xlfn.MAXIFS(tblLaborEntries[Work date serial],tblLaborEntries[Work package ID],tblWorkPackages[[#This Row],[Work package ID]])</f>
        <v>45633.0</v>
      </c>
      <c r="AB816" s="65">
        <f>IF(tblWorkPackages[[#This Row],[Completion date serial]]&gt;tblWorkPackages[[#This Row],[Due date serial]],1,0)</f>
        <v>1</v>
      </c>
      <c r="AC816" s="65">
        <f>MAX(0,tblWorkPackages[[#This Row],[Completion date serial]]-tblWorkPackages[[#This Row],[Due date serial]])</f>
        <v>2</v>
      </c>
      <c r="AD816" s="65">
        <f>tblWorkPackages[[#This Row],[First labor date]]-tblWorkPackages[[#This Row],[Request date serial]]</f>
        <v>12</v>
      </c>
      <c r="AE816" s="65">
        <f>tblWorkPackages[[#This Row],[Last labor date]]-tblWorkPackages[[#This Row],[First labor date]]</f>
        <v>1</v>
      </c>
      <c r="AF816" s="65">
        <f>tblWorkPackages[[#This Row],[Completion date serial]]-tblWorkPackages[[#This Row],[Last labor date]]</f>
        <v>2</v>
      </c>
      <c r="AG816" s="65">
        <f>tblWorkPackages[[#This Row],[Completion date serial]]-tblWorkPackages[[#This Row],[Request date serial]]</f>
        <v>15</v>
      </c>
      <c r="AH816" s="65">
        <f>IFERROR(INDEX(tblParts[Delay days],MATCH(tblWorkPackages[[#This Row],[Work package ID]],tblParts[Work package ID],0)),0)</f>
        <v>0</v>
      </c>
      <c r="AI816" s="51" t="str">
        <f>IFERROR(INDEX(tblDisruptions[Event type],MATCH(tblWorkPackages[[#This Row],[Work package ID]],tblDisruptions[Work package ID],0)),"None")</f>
        <v>None</v>
      </c>
      <c r="AJ816" s="51" t="str">
        <f>TEXT(tblWorkPackages[[#This Row],[Due date serial]],"yyyy-mm")</f>
        <v>2024-12</v>
      </c>
    </row>
    <row r="817" spans="1:36" ht="15" x14ac:dyDescent="0.25">
      <c r="A817" s="53" t="s">
        <v>1698</v>
      </c>
      <c r="B817" s="53" t="s">
        <v>235</v>
      </c>
      <c r="C817" s="53" t="s">
        <v>264</v>
      </c>
      <c r="D817" s="53" t="s">
        <v>787</v>
      </c>
      <c r="E817" s="53" t="s">
        <v>237</v>
      </c>
      <c r="F817" s="53" t="s">
        <v>182</v>
      </c>
      <c r="G817" s="53" t="s">
        <v>138</v>
      </c>
      <c r="H817" s="53">
        <v>3</v>
      </c>
      <c r="I817" s="53" t="s">
        <v>130</v>
      </c>
      <c r="J817" s="53">
        <v>1</v>
      </c>
      <c r="K817" s="53">
        <v>1</v>
      </c>
      <c r="L817" s="53">
        <v>6.6</v>
      </c>
      <c r="M817" s="53" t="s">
        <v>265</v>
      </c>
      <c r="N817" s="53">
        <v>6.6</v>
      </c>
      <c r="O817" s="51" t="str">
        <f>TEXT(tblWorkPackages[[#This Row],[Request date serial]]-WEEKDAY(tblWorkPackages[[#This Row],[Request date serial]],3),"yyyy-mm-dd")</f>
        <v>2024-08-19</v>
      </c>
      <c r="P817" s="51">
        <f>ABS(tblWorkPackages[[#This Row],[Actual labor hours]]-tblWorkPackages[[#This Row],[Estimated labor hours]])</f>
        <v>0</v>
      </c>
      <c r="Q817" s="51">
        <f>IF(tblWorkPackages[[#This Row],[Actual labor hours]]&gt;tblWorkPackages[[#This Row],[Estimated labor hours]],1,0)</f>
        <v>0</v>
      </c>
      <c r="R817" s="51">
        <f>tblWorkPackages[[#This Row],[Actual labor hours]]-tblWorkPackages[[#This Row],[Estimated labor hours]]</f>
        <v>0</v>
      </c>
      <c r="S817" s="51" t="str">
        <f>IF(tblWorkPackages[[#This Row],[Request date serial]]&lt;ValidationStart,"Train 2024",IF(tblWorkPackages[[#This Row],[Request date serial]]&lt;HoldoutStart,"Validation H1","Holdout H2"))</f>
        <v>Train 2024</v>
      </c>
      <c r="T817" s="51" t="str">
        <f>IF(tblWorkPackages[[#This Row],[Time split]]="Train 2024","",tblWorkPackages[[#This Row],[Estimated labor hours]]+VLOOKUP(tblWorkPackages[[#This Row],[Task type]],'Forecast validation'!$A$14:$E$25,IF(tblWorkPackages[[#This Row],[Time split]]="Validation H1",4,5),FALSE()))</f>
        <v/>
      </c>
      <c r="U817" s="51" t="str">
        <f>IF(tblWorkPackages[[#This Row],[Calibrated forecast hours]]="","",ABS(tblWorkPackages[[#This Row],[Actual labor hours]]-tblWorkPackages[[#This Row],[Calibrated forecast hours]]))</f>
        <v/>
      </c>
      <c r="V817" s="51">
        <f>IF(tblWorkPackages[[#This Row],[Time split]]="Train 2024",tblWorkPackages[[#This Row],[Estimated labor hours]],tblWorkPackages[[#This Row],[Calibrated forecast hours]])</f>
        <v>6.6</v>
      </c>
      <c r="W817" s="64">
        <f>DATEVALUE(tblWorkPackages[[#This Row],[Request date]])</f>
        <v>45528.0</v>
      </c>
      <c r="X817" s="64">
        <f>DATEVALUE(tblWorkPackages[[#This Row],[Due date]])</f>
        <v>45541.0</v>
      </c>
      <c r="Y817" s="64">
        <f>DATEVALUE(tblWorkPackages[[#This Row],[Completion date]])</f>
        <v>45536.0</v>
      </c>
      <c r="Z817" s="64">
        <f>_xlfn.MINIFS(tblLaborEntries[Work date serial],tblLaborEntries[Work package ID],tblWorkPackages[[#This Row],[Work package ID]])</f>
        <v>45531.0</v>
      </c>
      <c r="AA817" s="64">
        <f>_xlfn.MAXIFS(tblLaborEntries[Work date serial],tblLaborEntries[Work package ID],tblWorkPackages[[#This Row],[Work package ID]])</f>
        <v>45533.0</v>
      </c>
      <c r="AB817" s="65">
        <f>IF(tblWorkPackages[[#This Row],[Completion date serial]]&gt;tblWorkPackages[[#This Row],[Due date serial]],1,0)</f>
        <v>0</v>
      </c>
      <c r="AC817" s="65">
        <f>MAX(0,tblWorkPackages[[#This Row],[Completion date serial]]-tblWorkPackages[[#This Row],[Due date serial]])</f>
        <v>0</v>
      </c>
      <c r="AD817" s="65">
        <f>tblWorkPackages[[#This Row],[First labor date]]-tblWorkPackages[[#This Row],[Request date serial]]</f>
        <v>3</v>
      </c>
      <c r="AE817" s="65">
        <f>tblWorkPackages[[#This Row],[Last labor date]]-tblWorkPackages[[#This Row],[First labor date]]</f>
        <v>2</v>
      </c>
      <c r="AF817" s="65">
        <f>tblWorkPackages[[#This Row],[Completion date serial]]-tblWorkPackages[[#This Row],[Last labor date]]</f>
        <v>3</v>
      </c>
      <c r="AG817" s="65">
        <f>tblWorkPackages[[#This Row],[Completion date serial]]-tblWorkPackages[[#This Row],[Request date serial]]</f>
        <v>8</v>
      </c>
      <c r="AH817" s="65">
        <f>IFERROR(INDEX(tblParts[Delay days],MATCH(tblWorkPackages[[#This Row],[Work package ID]],tblParts[Work package ID],0)),0)</f>
        <v>0</v>
      </c>
      <c r="AI817" s="51" t="str">
        <f>IFERROR(INDEX(tblDisruptions[Event type],MATCH(tblWorkPackages[[#This Row],[Work package ID]],tblDisruptions[Work package ID],0)),"None")</f>
        <v>None</v>
      </c>
      <c r="AJ817" s="51" t="str">
        <f>TEXT(tblWorkPackages[[#This Row],[Due date serial]],"yyyy-mm")</f>
        <v>2024-09</v>
      </c>
    </row>
    <row r="818" spans="1:36" ht="15" x14ac:dyDescent="0.25">
      <c r="A818" s="53" t="s">
        <v>1699</v>
      </c>
      <c r="B818" s="53" t="s">
        <v>230</v>
      </c>
      <c r="C818" s="53" t="s">
        <v>1361</v>
      </c>
      <c r="D818" s="53" t="s">
        <v>415</v>
      </c>
      <c r="E818" s="53" t="s">
        <v>181</v>
      </c>
      <c r="F818" s="53" t="s">
        <v>182</v>
      </c>
      <c r="G818" s="53" t="s">
        <v>138</v>
      </c>
      <c r="H818" s="53">
        <v>2</v>
      </c>
      <c r="I818" s="53" t="s">
        <v>130</v>
      </c>
      <c r="J818" s="53">
        <v>0</v>
      </c>
      <c r="K818" s="53">
        <v>0</v>
      </c>
      <c r="L818" s="53">
        <v>7.5</v>
      </c>
      <c r="M818" s="53" t="s">
        <v>625</v>
      </c>
      <c r="N818" s="53">
        <v>10.6</v>
      </c>
      <c r="O818" s="51" t="str">
        <f>TEXT(tblWorkPackages[[#This Row],[Request date serial]]-WEEKDAY(tblWorkPackages[[#This Row],[Request date serial]],3),"yyyy-mm-dd")</f>
        <v>2025-08-18</v>
      </c>
      <c r="P818" s="51">
        <f>ABS(tblWorkPackages[[#This Row],[Actual labor hours]]-tblWorkPackages[[#This Row],[Estimated labor hours]])</f>
        <v>3.1</v>
      </c>
      <c r="Q818" s="51">
        <f>IF(tblWorkPackages[[#This Row],[Actual labor hours]]&gt;tblWorkPackages[[#This Row],[Estimated labor hours]],1,0)</f>
        <v>1</v>
      </c>
      <c r="R818" s="51">
        <f>tblWorkPackages[[#This Row],[Actual labor hours]]-tblWorkPackages[[#This Row],[Estimated labor hours]]</f>
        <v>3.1</v>
      </c>
      <c r="S818" s="51" t="str">
        <f>IF(tblWorkPackages[[#This Row],[Request date serial]]&lt;ValidationStart,"Train 2024",IF(tblWorkPackages[[#This Row],[Request date serial]]&lt;HoldoutStart,"Validation H1","Holdout H2"))</f>
        <v>Holdout H2</v>
      </c>
      <c r="T818" s="51">
        <f>IF(tblWorkPackages[[#This Row],[Time split]]="Train 2024","",tblWorkPackages[[#This Row],[Estimated labor hours]]+VLOOKUP(tblWorkPackages[[#This Row],[Task type]],'Forecast validation'!$A$14:$E$25,IF(tblWorkPackages[[#This Row],[Time split]]="Validation H1",4,5),FALSE()))</f>
        <v>8.09160839160839</v>
      </c>
      <c r="U818" s="51">
        <f>IF(tblWorkPackages[[#This Row],[Calibrated forecast hours]]="","",ABS(tblWorkPackages[[#This Row],[Actual labor hours]]-tblWorkPackages[[#This Row],[Calibrated forecast hours]]))</f>
        <v>2.50839160839161</v>
      </c>
      <c r="V818" s="51">
        <f>IF(tblWorkPackages[[#This Row],[Time split]]="Train 2024",tblWorkPackages[[#This Row],[Estimated labor hours]],tblWorkPackages[[#This Row],[Calibrated forecast hours]])</f>
        <v>8.09160839160839</v>
      </c>
      <c r="W818" s="64">
        <f>DATEVALUE(tblWorkPackages[[#This Row],[Request date]])</f>
        <v>45889.0</v>
      </c>
      <c r="X818" s="64">
        <f>DATEVALUE(tblWorkPackages[[#This Row],[Due date]])</f>
        <v>45902.0</v>
      </c>
      <c r="Y818" s="64">
        <f>DATEVALUE(tblWorkPackages[[#This Row],[Completion date]])</f>
        <v>45924.0</v>
      </c>
      <c r="Z818" s="64">
        <f>_xlfn.MINIFS(tblLaborEntries[Work date serial],tblLaborEntries[Work package ID],tblWorkPackages[[#This Row],[Work package ID]])</f>
        <v>45923.0</v>
      </c>
      <c r="AA818" s="64">
        <f>_xlfn.MAXIFS(tblLaborEntries[Work date serial],tblLaborEntries[Work package ID],tblWorkPackages[[#This Row],[Work package ID]])</f>
        <v>45924.0</v>
      </c>
      <c r="AB818" s="65">
        <f>IF(tblWorkPackages[[#This Row],[Completion date serial]]&gt;tblWorkPackages[[#This Row],[Due date serial]],1,0)</f>
        <v>1</v>
      </c>
      <c r="AC818" s="65">
        <f>MAX(0,tblWorkPackages[[#This Row],[Completion date serial]]-tblWorkPackages[[#This Row],[Due date serial]])</f>
        <v>22</v>
      </c>
      <c r="AD818" s="65">
        <f>tblWorkPackages[[#This Row],[First labor date]]-tblWorkPackages[[#This Row],[Request date serial]]</f>
        <v>34</v>
      </c>
      <c r="AE818" s="65">
        <f>tblWorkPackages[[#This Row],[Last labor date]]-tblWorkPackages[[#This Row],[First labor date]]</f>
        <v>1</v>
      </c>
      <c r="AF818" s="65">
        <f>tblWorkPackages[[#This Row],[Completion date serial]]-tblWorkPackages[[#This Row],[Last labor date]]</f>
        <v>0</v>
      </c>
      <c r="AG818" s="65">
        <f>tblWorkPackages[[#This Row],[Completion date serial]]-tblWorkPackages[[#This Row],[Request date serial]]</f>
        <v>35</v>
      </c>
      <c r="AH818" s="65">
        <f>IFERROR(INDEX(tblParts[Delay days],MATCH(tblWorkPackages[[#This Row],[Work package ID]],tblParts[Work package ID],0)),0)</f>
        <v>0</v>
      </c>
      <c r="AI818" s="51" t="str">
        <f>IFERROR(INDEX(tblDisruptions[Event type],MATCH(tblWorkPackages[[#This Row],[Work package ID]],tblDisruptions[Work package ID],0)),"None")</f>
        <v>Repeat inspection</v>
      </c>
      <c r="AJ818" s="51" t="str">
        <f>TEXT(tblWorkPackages[[#This Row],[Due date serial]],"yyyy-mm")</f>
        <v>2025-09</v>
      </c>
    </row>
    <row r="819" spans="1:36" ht="15" x14ac:dyDescent="0.25">
      <c r="A819" s="53" t="s">
        <v>1700</v>
      </c>
      <c r="B819" s="53" t="s">
        <v>168</v>
      </c>
      <c r="C819" s="53" t="s">
        <v>517</v>
      </c>
      <c r="D819" s="53" t="s">
        <v>1560</v>
      </c>
      <c r="E819" s="53" t="s">
        <v>209</v>
      </c>
      <c r="F819" s="53" t="s">
        <v>145</v>
      </c>
      <c r="G819" s="53" t="s">
        <v>210</v>
      </c>
      <c r="H819" s="53">
        <v>3</v>
      </c>
      <c r="I819" s="53" t="s">
        <v>130</v>
      </c>
      <c r="J819" s="53">
        <v>0</v>
      </c>
      <c r="K819" s="53">
        <v>0</v>
      </c>
      <c r="L819" s="53">
        <v>32.200000000000003</v>
      </c>
      <c r="M819" s="53" t="s">
        <v>740</v>
      </c>
      <c r="N819" s="53">
        <v>40.200000000000003</v>
      </c>
      <c r="O819" s="51" t="str">
        <f>TEXT(tblWorkPackages[[#This Row],[Request date serial]]-WEEKDAY(tblWorkPackages[[#This Row],[Request date serial]],3),"yyyy-mm-dd")</f>
        <v>2025-05-05</v>
      </c>
      <c r="P819" s="51">
        <f>ABS(tblWorkPackages[[#This Row],[Actual labor hours]]-tblWorkPackages[[#This Row],[Estimated labor hours]])</f>
        <v>8</v>
      </c>
      <c r="Q819" s="51">
        <f>IF(tblWorkPackages[[#This Row],[Actual labor hours]]&gt;tblWorkPackages[[#This Row],[Estimated labor hours]],1,0)</f>
        <v>1</v>
      </c>
      <c r="R819" s="51">
        <f>tblWorkPackages[[#This Row],[Actual labor hours]]-tblWorkPackages[[#This Row],[Estimated labor hours]]</f>
        <v>8</v>
      </c>
      <c r="S819" s="51" t="str">
        <f>IF(tblWorkPackages[[#This Row],[Request date serial]]&lt;ValidationStart,"Train 2024",IF(tblWorkPackages[[#This Row],[Request date serial]]&lt;HoldoutStart,"Validation H1","Holdout H2"))</f>
        <v>Validation H1</v>
      </c>
      <c r="T819" s="51">
        <f>IF(tblWorkPackages[[#This Row],[Time split]]="Train 2024","",tblWorkPackages[[#This Row],[Estimated labor hours]]+VLOOKUP(tblWorkPackages[[#This Row],[Task type]],'Forecast validation'!$A$14:$E$25,IF(tblWorkPackages[[#This Row],[Time split]]="Validation H1",4,5),FALSE()))</f>
        <v>33.3029850746269</v>
      </c>
      <c r="U819" s="51">
        <f>IF(tblWorkPackages[[#This Row],[Calibrated forecast hours]]="","",ABS(tblWorkPackages[[#This Row],[Actual labor hours]]-tblWorkPackages[[#This Row],[Calibrated forecast hours]]))</f>
        <v>6.89701492537314</v>
      </c>
      <c r="V819" s="51">
        <f>IF(tblWorkPackages[[#This Row],[Time split]]="Train 2024",tblWorkPackages[[#This Row],[Estimated labor hours]],tblWorkPackages[[#This Row],[Calibrated forecast hours]])</f>
        <v>33.3029850746269</v>
      </c>
      <c r="W819" s="64">
        <f>DATEVALUE(tblWorkPackages[[#This Row],[Request date]])</f>
        <v>45788.0</v>
      </c>
      <c r="X819" s="64">
        <f>DATEVALUE(tblWorkPackages[[#This Row],[Due date]])</f>
        <v>45801.0</v>
      </c>
      <c r="Y819" s="64">
        <f>DATEVALUE(tblWorkPackages[[#This Row],[Completion date]])</f>
        <v>45797.0</v>
      </c>
      <c r="Z819" s="64">
        <f>_xlfn.MINIFS(tblLaborEntries[Work date serial],tblLaborEntries[Work package ID],tblWorkPackages[[#This Row],[Work package ID]])</f>
        <v>45794.0</v>
      </c>
      <c r="AA819" s="64">
        <f>_xlfn.MAXIFS(tblLaborEntries[Work date serial],tblLaborEntries[Work package ID],tblWorkPackages[[#This Row],[Work package ID]])</f>
        <v>45796.0</v>
      </c>
      <c r="AB819" s="65">
        <f>IF(tblWorkPackages[[#This Row],[Completion date serial]]&gt;tblWorkPackages[[#This Row],[Due date serial]],1,0)</f>
        <v>0</v>
      </c>
      <c r="AC819" s="65">
        <f>MAX(0,tblWorkPackages[[#This Row],[Completion date serial]]-tblWorkPackages[[#This Row],[Due date serial]])</f>
        <v>0</v>
      </c>
      <c r="AD819" s="65">
        <f>tblWorkPackages[[#This Row],[First labor date]]-tblWorkPackages[[#This Row],[Request date serial]]</f>
        <v>6</v>
      </c>
      <c r="AE819" s="65">
        <f>tblWorkPackages[[#This Row],[Last labor date]]-tblWorkPackages[[#This Row],[First labor date]]</f>
        <v>2</v>
      </c>
      <c r="AF819" s="65">
        <f>tblWorkPackages[[#This Row],[Completion date serial]]-tblWorkPackages[[#This Row],[Last labor date]]</f>
        <v>1</v>
      </c>
      <c r="AG819" s="65">
        <f>tblWorkPackages[[#This Row],[Completion date serial]]-tblWorkPackages[[#This Row],[Request date serial]]</f>
        <v>9</v>
      </c>
      <c r="AH819" s="65">
        <f>IFERROR(INDEX(tblParts[Delay days],MATCH(tblWorkPackages[[#This Row],[Work package ID]],tblParts[Work package ID],0)),0)</f>
        <v>0</v>
      </c>
      <c r="AI819" s="51" t="str">
        <f>IFERROR(INDEX(tblDisruptions[Event type],MATCH(tblWorkPackages[[#This Row],[Work package ID]],tblDisruptions[Work package ID],0)),"None")</f>
        <v>None</v>
      </c>
      <c r="AJ819" s="51" t="str">
        <f>TEXT(tblWorkPackages[[#This Row],[Due date serial]],"yyyy-mm")</f>
        <v>2025-05</v>
      </c>
    </row>
    <row r="820" spans="1:36" ht="15" x14ac:dyDescent="0.25">
      <c r="A820" s="53" t="s">
        <v>1701</v>
      </c>
      <c r="B820" s="53" t="s">
        <v>287</v>
      </c>
      <c r="C820" s="53" t="s">
        <v>665</v>
      </c>
      <c r="D820" s="53" t="s">
        <v>1007</v>
      </c>
      <c r="E820" s="53" t="s">
        <v>272</v>
      </c>
      <c r="F820" s="53" t="s">
        <v>145</v>
      </c>
      <c r="G820" s="53" t="s">
        <v>273</v>
      </c>
      <c r="H820" s="53">
        <v>2</v>
      </c>
      <c r="I820" s="53" t="s">
        <v>130</v>
      </c>
      <c r="J820" s="53">
        <v>0</v>
      </c>
      <c r="K820" s="53">
        <v>1</v>
      </c>
      <c r="L820" s="53">
        <v>12.9</v>
      </c>
      <c r="M820" s="53" t="s">
        <v>436</v>
      </c>
      <c r="N820" s="53">
        <v>13.5</v>
      </c>
      <c r="O820" s="51" t="str">
        <f>TEXT(tblWorkPackages[[#This Row],[Request date serial]]-WEEKDAY(tblWorkPackages[[#This Row],[Request date serial]],3),"yyyy-mm-dd")</f>
        <v>2024-03-25</v>
      </c>
      <c r="P820" s="51">
        <f>ABS(tblWorkPackages[[#This Row],[Actual labor hours]]-tblWorkPackages[[#This Row],[Estimated labor hours]])</f>
        <v>0.6</v>
      </c>
      <c r="Q820" s="51">
        <f>IF(tblWorkPackages[[#This Row],[Actual labor hours]]&gt;tblWorkPackages[[#This Row],[Estimated labor hours]],1,0)</f>
        <v>1</v>
      </c>
      <c r="R820" s="51">
        <f>tblWorkPackages[[#This Row],[Actual labor hours]]-tblWorkPackages[[#This Row],[Estimated labor hours]]</f>
        <v>0.6</v>
      </c>
      <c r="S820" s="51" t="str">
        <f>IF(tblWorkPackages[[#This Row],[Request date serial]]&lt;ValidationStart,"Train 2024",IF(tblWorkPackages[[#This Row],[Request date serial]]&lt;HoldoutStart,"Validation H1","Holdout H2"))</f>
        <v>Train 2024</v>
      </c>
      <c r="T820" s="51" t="str">
        <f>IF(tblWorkPackages[[#This Row],[Time split]]="Train 2024","",tblWorkPackages[[#This Row],[Estimated labor hours]]+VLOOKUP(tblWorkPackages[[#This Row],[Task type]],'Forecast validation'!$A$14:$E$25,IF(tblWorkPackages[[#This Row],[Time split]]="Validation H1",4,5),FALSE()))</f>
        <v/>
      </c>
      <c r="U820" s="51" t="str">
        <f>IF(tblWorkPackages[[#This Row],[Calibrated forecast hours]]="","",ABS(tblWorkPackages[[#This Row],[Actual labor hours]]-tblWorkPackages[[#This Row],[Calibrated forecast hours]]))</f>
        <v/>
      </c>
      <c r="V820" s="51">
        <f>IF(tblWorkPackages[[#This Row],[Time split]]="Train 2024",tblWorkPackages[[#This Row],[Estimated labor hours]],tblWorkPackages[[#This Row],[Calibrated forecast hours]])</f>
        <v>12.9</v>
      </c>
      <c r="W820" s="64">
        <f>DATEVALUE(tblWorkPackages[[#This Row],[Request date]])</f>
        <v>45378.0</v>
      </c>
      <c r="X820" s="64">
        <f>DATEVALUE(tblWorkPackages[[#This Row],[Due date]])</f>
        <v>45391.0</v>
      </c>
      <c r="Y820" s="64">
        <f>DATEVALUE(tblWorkPackages[[#This Row],[Completion date]])</f>
        <v>45383.0</v>
      </c>
      <c r="Z820" s="64">
        <f>_xlfn.MINIFS(tblLaborEntries[Work date serial],tblLaborEntries[Work package ID],tblWorkPackages[[#This Row],[Work package ID]])</f>
        <v>45380.0</v>
      </c>
      <c r="AA820" s="64">
        <f>_xlfn.MAXIFS(tblLaborEntries[Work date serial],tblLaborEntries[Work package ID],tblWorkPackages[[#This Row],[Work package ID]])</f>
        <v>45381.0</v>
      </c>
      <c r="AB820" s="65">
        <f>IF(tblWorkPackages[[#This Row],[Completion date serial]]&gt;tblWorkPackages[[#This Row],[Due date serial]],1,0)</f>
        <v>0</v>
      </c>
      <c r="AC820" s="65">
        <f>MAX(0,tblWorkPackages[[#This Row],[Completion date serial]]-tblWorkPackages[[#This Row],[Due date serial]])</f>
        <v>0</v>
      </c>
      <c r="AD820" s="65">
        <f>tblWorkPackages[[#This Row],[First labor date]]-tblWorkPackages[[#This Row],[Request date serial]]</f>
        <v>2</v>
      </c>
      <c r="AE820" s="65">
        <f>tblWorkPackages[[#This Row],[Last labor date]]-tblWorkPackages[[#This Row],[First labor date]]</f>
        <v>1</v>
      </c>
      <c r="AF820" s="65">
        <f>tblWorkPackages[[#This Row],[Completion date serial]]-tblWorkPackages[[#This Row],[Last labor date]]</f>
        <v>2</v>
      </c>
      <c r="AG820" s="65">
        <f>tblWorkPackages[[#This Row],[Completion date serial]]-tblWorkPackages[[#This Row],[Request date serial]]</f>
        <v>5</v>
      </c>
      <c r="AH820" s="65">
        <f>IFERROR(INDEX(tblParts[Delay days],MATCH(tblWorkPackages[[#This Row],[Work package ID]],tblParts[Work package ID],0)),0)</f>
        <v>0</v>
      </c>
      <c r="AI820" s="51" t="str">
        <f>IFERROR(INDEX(tblDisruptions[Event type],MATCH(tblWorkPackages[[#This Row],[Work package ID]],tblDisruptions[Work package ID],0)),"None")</f>
        <v>None</v>
      </c>
      <c r="AJ820" s="51" t="str">
        <f>TEXT(tblWorkPackages[[#This Row],[Due date serial]],"yyyy-mm")</f>
        <v>2024-04</v>
      </c>
    </row>
    <row r="821" spans="1:36" ht="15" x14ac:dyDescent="0.25">
      <c r="A821" s="53" t="s">
        <v>1702</v>
      </c>
      <c r="B821" s="53" t="s">
        <v>150</v>
      </c>
      <c r="C821" s="53" t="s">
        <v>1128</v>
      </c>
      <c r="D821" s="53" t="s">
        <v>251</v>
      </c>
      <c r="E821" s="53" t="s">
        <v>242</v>
      </c>
      <c r="F821" s="53" t="s">
        <v>243</v>
      </c>
      <c r="G821" s="53" t="s">
        <v>129</v>
      </c>
      <c r="H821" s="53">
        <v>1</v>
      </c>
      <c r="I821" s="53" t="s">
        <v>130</v>
      </c>
      <c r="J821" s="53">
        <v>0</v>
      </c>
      <c r="K821" s="53">
        <v>0</v>
      </c>
      <c r="L821" s="53">
        <v>5.6</v>
      </c>
      <c r="M821" s="53" t="s">
        <v>395</v>
      </c>
      <c r="N821" s="53">
        <v>6.6</v>
      </c>
      <c r="O821" s="51" t="str">
        <f>TEXT(tblWorkPackages[[#This Row],[Request date serial]]-WEEKDAY(tblWorkPackages[[#This Row],[Request date serial]],3),"yyyy-mm-dd")</f>
        <v>2024-12-09</v>
      </c>
      <c r="P821" s="51">
        <f>ABS(tblWorkPackages[[#This Row],[Actual labor hours]]-tblWorkPackages[[#This Row],[Estimated labor hours]])</f>
        <v>1</v>
      </c>
      <c r="Q821" s="51">
        <f>IF(tblWorkPackages[[#This Row],[Actual labor hours]]&gt;tblWorkPackages[[#This Row],[Estimated labor hours]],1,0)</f>
        <v>1</v>
      </c>
      <c r="R821" s="51">
        <f>tblWorkPackages[[#This Row],[Actual labor hours]]-tblWorkPackages[[#This Row],[Estimated labor hours]]</f>
        <v>1</v>
      </c>
      <c r="S821" s="51" t="str">
        <f>IF(tblWorkPackages[[#This Row],[Request date serial]]&lt;ValidationStart,"Train 2024",IF(tblWorkPackages[[#This Row],[Request date serial]]&lt;HoldoutStart,"Validation H1","Holdout H2"))</f>
        <v>Train 2024</v>
      </c>
      <c r="T821" s="51" t="str">
        <f>IF(tblWorkPackages[[#This Row],[Time split]]="Train 2024","",tblWorkPackages[[#This Row],[Estimated labor hours]]+VLOOKUP(tblWorkPackages[[#This Row],[Task type]],'Forecast validation'!$A$14:$E$25,IF(tblWorkPackages[[#This Row],[Time split]]="Validation H1",4,5),FALSE()))</f>
        <v/>
      </c>
      <c r="U821" s="51" t="str">
        <f>IF(tblWorkPackages[[#This Row],[Calibrated forecast hours]]="","",ABS(tblWorkPackages[[#This Row],[Actual labor hours]]-tblWorkPackages[[#This Row],[Calibrated forecast hours]]))</f>
        <v/>
      </c>
      <c r="V821" s="51">
        <f>IF(tblWorkPackages[[#This Row],[Time split]]="Train 2024",tblWorkPackages[[#This Row],[Estimated labor hours]],tblWorkPackages[[#This Row],[Calibrated forecast hours]])</f>
        <v>5.6</v>
      </c>
      <c r="W821" s="64">
        <f>DATEVALUE(tblWorkPackages[[#This Row],[Request date]])</f>
        <v>45639.0</v>
      </c>
      <c r="X821" s="64">
        <f>DATEVALUE(tblWorkPackages[[#This Row],[Due date]])</f>
        <v>45652.0</v>
      </c>
      <c r="Y821" s="64">
        <f>DATEVALUE(tblWorkPackages[[#This Row],[Completion date]])</f>
        <v>45659.0</v>
      </c>
      <c r="Z821" s="64">
        <f>_xlfn.MINIFS(tblLaborEntries[Work date serial],tblLaborEntries[Work package ID],tblWorkPackages[[#This Row],[Work package ID]])</f>
        <v>45654.0</v>
      </c>
      <c r="AA821" s="64">
        <f>_xlfn.MAXIFS(tblLaborEntries[Work date serial],tblLaborEntries[Work package ID],tblWorkPackages[[#This Row],[Work package ID]])</f>
        <v>45656.0</v>
      </c>
      <c r="AB821" s="65">
        <f>IF(tblWorkPackages[[#This Row],[Completion date serial]]&gt;tblWorkPackages[[#This Row],[Due date serial]],1,0)</f>
        <v>1</v>
      </c>
      <c r="AC821" s="65">
        <f>MAX(0,tblWorkPackages[[#This Row],[Completion date serial]]-tblWorkPackages[[#This Row],[Due date serial]])</f>
        <v>7</v>
      </c>
      <c r="AD821" s="65">
        <f>tblWorkPackages[[#This Row],[First labor date]]-tblWorkPackages[[#This Row],[Request date serial]]</f>
        <v>15</v>
      </c>
      <c r="AE821" s="65">
        <f>tblWorkPackages[[#This Row],[Last labor date]]-tblWorkPackages[[#This Row],[First labor date]]</f>
        <v>2</v>
      </c>
      <c r="AF821" s="65">
        <f>tblWorkPackages[[#This Row],[Completion date serial]]-tblWorkPackages[[#This Row],[Last labor date]]</f>
        <v>3</v>
      </c>
      <c r="AG821" s="65">
        <f>tblWorkPackages[[#This Row],[Completion date serial]]-tblWorkPackages[[#This Row],[Request date serial]]</f>
        <v>20</v>
      </c>
      <c r="AH821" s="65">
        <f>IFERROR(INDEX(tblParts[Delay days],MATCH(tblWorkPackages[[#This Row],[Work package ID]],tblParts[Work package ID],0)),0)</f>
        <v>0</v>
      </c>
      <c r="AI821" s="51" t="str">
        <f>IFERROR(INDEX(tblDisruptions[Event type],MATCH(tblWorkPackages[[#This Row],[Work package ID]],tblDisruptions[Work package ID],0)),"None")</f>
        <v>None</v>
      </c>
      <c r="AJ821" s="51" t="str">
        <f>TEXT(tblWorkPackages[[#This Row],[Due date serial]],"yyyy-mm")</f>
        <v>2024-12</v>
      </c>
    </row>
    <row r="822" spans="1:36" ht="15" x14ac:dyDescent="0.25">
      <c r="A822" s="53" t="s">
        <v>1703</v>
      </c>
      <c r="B822" s="53" t="s">
        <v>133</v>
      </c>
      <c r="C822" s="53" t="s">
        <v>1195</v>
      </c>
      <c r="D822" s="53" t="s">
        <v>1297</v>
      </c>
      <c r="E822" s="53" t="s">
        <v>153</v>
      </c>
      <c r="F822" s="53" t="s">
        <v>128</v>
      </c>
      <c r="G822" s="53" t="s">
        <v>154</v>
      </c>
      <c r="H822" s="53">
        <v>3</v>
      </c>
      <c r="I822" s="53" t="s">
        <v>130</v>
      </c>
      <c r="J822" s="53">
        <v>0</v>
      </c>
      <c r="K822" s="53">
        <v>0</v>
      </c>
      <c r="L822" s="53">
        <v>10.9</v>
      </c>
      <c r="M822" s="53" t="s">
        <v>1133</v>
      </c>
      <c r="N822" s="53">
        <v>11</v>
      </c>
      <c r="O822" s="51" t="str">
        <f>TEXT(tblWorkPackages[[#This Row],[Request date serial]]-WEEKDAY(tblWorkPackages[[#This Row],[Request date serial]],3),"yyyy-mm-dd")</f>
        <v>2025-10-20</v>
      </c>
      <c r="P822" s="51">
        <f>ABS(tblWorkPackages[[#This Row],[Actual labor hours]]-tblWorkPackages[[#This Row],[Estimated labor hours]])</f>
        <v>0.0999999999999996</v>
      </c>
      <c r="Q822" s="51">
        <f>IF(tblWorkPackages[[#This Row],[Actual labor hours]]&gt;tblWorkPackages[[#This Row],[Estimated labor hours]],1,0)</f>
        <v>1</v>
      </c>
      <c r="R822" s="51">
        <f>tblWorkPackages[[#This Row],[Actual labor hours]]-tblWorkPackages[[#This Row],[Estimated labor hours]]</f>
        <v>0.0999999999999996</v>
      </c>
      <c r="S822" s="51" t="str">
        <f>IF(tblWorkPackages[[#This Row],[Request date serial]]&lt;ValidationStart,"Train 2024",IF(tblWorkPackages[[#This Row],[Request date serial]]&lt;HoldoutStart,"Validation H1","Holdout H2"))</f>
        <v>Holdout H2</v>
      </c>
      <c r="T822" s="51">
        <f>IF(tblWorkPackages[[#This Row],[Time split]]="Train 2024","",tblWorkPackages[[#This Row],[Estimated labor hours]]+VLOOKUP(tblWorkPackages[[#This Row],[Task type]],'Forecast validation'!$A$14:$E$25,IF(tblWorkPackages[[#This Row],[Time split]]="Validation H1",4,5),FALSE()))</f>
        <v>11.5026666666667</v>
      </c>
      <c r="U822" s="51">
        <f>IF(tblWorkPackages[[#This Row],[Calibrated forecast hours]]="","",ABS(tblWorkPackages[[#This Row],[Actual labor hours]]-tblWorkPackages[[#This Row],[Calibrated forecast hours]]))</f>
        <v>0.502666666666666</v>
      </c>
      <c r="V822" s="51">
        <f>IF(tblWorkPackages[[#This Row],[Time split]]="Train 2024",tblWorkPackages[[#This Row],[Estimated labor hours]],tblWorkPackages[[#This Row],[Calibrated forecast hours]])</f>
        <v>11.5026666666667</v>
      </c>
      <c r="W822" s="64">
        <f>DATEVALUE(tblWorkPackages[[#This Row],[Request date]])</f>
        <v>45953.0</v>
      </c>
      <c r="X822" s="64">
        <f>DATEVALUE(tblWorkPackages[[#This Row],[Due date]])</f>
        <v>45966.0</v>
      </c>
      <c r="Y822" s="64">
        <f>DATEVALUE(tblWorkPackages[[#This Row],[Completion date]])</f>
        <v>45957.0</v>
      </c>
      <c r="Z822" s="64">
        <f>_xlfn.MINIFS(tblLaborEntries[Work date serial],tblLaborEntries[Work package ID],tblWorkPackages[[#This Row],[Work package ID]])</f>
        <v>45957.0</v>
      </c>
      <c r="AA822" s="64">
        <f>_xlfn.MAXIFS(tblLaborEntries[Work date serial],tblLaborEntries[Work package ID],tblWorkPackages[[#This Row],[Work package ID]])</f>
        <v>45957.0</v>
      </c>
      <c r="AB822" s="65">
        <f>IF(tblWorkPackages[[#This Row],[Completion date serial]]&gt;tblWorkPackages[[#This Row],[Due date serial]],1,0)</f>
        <v>0</v>
      </c>
      <c r="AC822" s="65">
        <f>MAX(0,tblWorkPackages[[#This Row],[Completion date serial]]-tblWorkPackages[[#This Row],[Due date serial]])</f>
        <v>0</v>
      </c>
      <c r="AD822" s="65">
        <f>tblWorkPackages[[#This Row],[First labor date]]-tblWorkPackages[[#This Row],[Request date serial]]</f>
        <v>4</v>
      </c>
      <c r="AE822" s="65">
        <f>tblWorkPackages[[#This Row],[Last labor date]]-tblWorkPackages[[#This Row],[First labor date]]</f>
        <v>0</v>
      </c>
      <c r="AF822" s="65">
        <f>tblWorkPackages[[#This Row],[Completion date serial]]-tblWorkPackages[[#This Row],[Last labor date]]</f>
        <v>0</v>
      </c>
      <c r="AG822" s="65">
        <f>tblWorkPackages[[#This Row],[Completion date serial]]-tblWorkPackages[[#This Row],[Request date serial]]</f>
        <v>4</v>
      </c>
      <c r="AH822" s="65">
        <f>IFERROR(INDEX(tblParts[Delay days],MATCH(tblWorkPackages[[#This Row],[Work package ID]],tblParts[Work package ID],0)),0)</f>
        <v>0</v>
      </c>
      <c r="AI822" s="51" t="str">
        <f>IFERROR(INDEX(tblDisruptions[Event type],MATCH(tblWorkPackages[[#This Row],[Work package ID]],tblDisruptions[Work package ID],0)),"None")</f>
        <v>None</v>
      </c>
      <c r="AJ822" s="51" t="str">
        <f>TEXT(tblWorkPackages[[#This Row],[Due date serial]],"yyyy-mm")</f>
        <v>2025-11</v>
      </c>
    </row>
    <row r="823" spans="1:36" ht="15" x14ac:dyDescent="0.25">
      <c r="A823" s="53" t="s">
        <v>1704</v>
      </c>
      <c r="B823" s="53" t="s">
        <v>157</v>
      </c>
      <c r="C823" s="53" t="s">
        <v>540</v>
      </c>
      <c r="D823" s="53" t="s">
        <v>1546</v>
      </c>
      <c r="E823" s="53" t="s">
        <v>209</v>
      </c>
      <c r="F823" s="53" t="s">
        <v>145</v>
      </c>
      <c r="G823" s="53" t="s">
        <v>210</v>
      </c>
      <c r="H823" s="53">
        <v>2</v>
      </c>
      <c r="I823" s="53" t="s">
        <v>130</v>
      </c>
      <c r="J823" s="53">
        <v>0</v>
      </c>
      <c r="K823" s="53">
        <v>0</v>
      </c>
      <c r="L823" s="53">
        <v>17.3</v>
      </c>
      <c r="M823" s="53" t="s">
        <v>787</v>
      </c>
      <c r="N823" s="53">
        <v>14.2</v>
      </c>
      <c r="O823" s="51" t="str">
        <f>TEXT(tblWorkPackages[[#This Row],[Request date serial]]-WEEKDAY(tblWorkPackages[[#This Row],[Request date serial]],3),"yyyy-mm-dd")</f>
        <v>2024-09-02</v>
      </c>
      <c r="P823" s="51">
        <f>ABS(tblWorkPackages[[#This Row],[Actual labor hours]]-tblWorkPackages[[#This Row],[Estimated labor hours]])</f>
        <v>3.1</v>
      </c>
      <c r="Q823" s="51">
        <f>IF(tblWorkPackages[[#This Row],[Actual labor hours]]&gt;tblWorkPackages[[#This Row],[Estimated labor hours]],1,0)</f>
        <v>0</v>
      </c>
      <c r="R823" s="51">
        <f>tblWorkPackages[[#This Row],[Actual labor hours]]-tblWorkPackages[[#This Row],[Estimated labor hours]]</f>
        <v>-3.1</v>
      </c>
      <c r="S823" s="51" t="str">
        <f>IF(tblWorkPackages[[#This Row],[Request date serial]]&lt;ValidationStart,"Train 2024",IF(tblWorkPackages[[#This Row],[Request date serial]]&lt;HoldoutStart,"Validation H1","Holdout H2"))</f>
        <v>Train 2024</v>
      </c>
      <c r="T823" s="51" t="str">
        <f>IF(tblWorkPackages[[#This Row],[Time split]]="Train 2024","",tblWorkPackages[[#This Row],[Estimated labor hours]]+VLOOKUP(tblWorkPackages[[#This Row],[Task type]],'Forecast validation'!$A$14:$E$25,IF(tblWorkPackages[[#This Row],[Time split]]="Validation H1",4,5),FALSE()))</f>
        <v/>
      </c>
      <c r="U823" s="51" t="str">
        <f>IF(tblWorkPackages[[#This Row],[Calibrated forecast hours]]="","",ABS(tblWorkPackages[[#This Row],[Actual labor hours]]-tblWorkPackages[[#This Row],[Calibrated forecast hours]]))</f>
        <v/>
      </c>
      <c r="V823" s="51">
        <f>IF(tblWorkPackages[[#This Row],[Time split]]="Train 2024",tblWorkPackages[[#This Row],[Estimated labor hours]],tblWorkPackages[[#This Row],[Calibrated forecast hours]])</f>
        <v>17.3</v>
      </c>
      <c r="W823" s="64">
        <f>DATEVALUE(tblWorkPackages[[#This Row],[Request date]])</f>
        <v>45538.0</v>
      </c>
      <c r="X823" s="64">
        <f>DATEVALUE(tblWorkPackages[[#This Row],[Due date]])</f>
        <v>45551.0</v>
      </c>
      <c r="Y823" s="64">
        <f>DATEVALUE(tblWorkPackages[[#This Row],[Completion date]])</f>
        <v>45541.0</v>
      </c>
      <c r="Z823" s="64">
        <f>_xlfn.MINIFS(tblLaborEntries[Work date serial],tblLaborEntries[Work package ID],tblWorkPackages[[#This Row],[Work package ID]])</f>
        <v>45539.0</v>
      </c>
      <c r="AA823" s="64">
        <f>_xlfn.MAXIFS(tblLaborEntries[Work date serial],tblLaborEntries[Work package ID],tblWorkPackages[[#This Row],[Work package ID]])</f>
        <v>45540.0</v>
      </c>
      <c r="AB823" s="65">
        <f>IF(tblWorkPackages[[#This Row],[Completion date serial]]&gt;tblWorkPackages[[#This Row],[Due date serial]],1,0)</f>
        <v>0</v>
      </c>
      <c r="AC823" s="65">
        <f>MAX(0,tblWorkPackages[[#This Row],[Completion date serial]]-tblWorkPackages[[#This Row],[Due date serial]])</f>
        <v>0</v>
      </c>
      <c r="AD823" s="65">
        <f>tblWorkPackages[[#This Row],[First labor date]]-tblWorkPackages[[#This Row],[Request date serial]]</f>
        <v>1</v>
      </c>
      <c r="AE823" s="65">
        <f>tblWorkPackages[[#This Row],[Last labor date]]-tblWorkPackages[[#This Row],[First labor date]]</f>
        <v>1</v>
      </c>
      <c r="AF823" s="65">
        <f>tblWorkPackages[[#This Row],[Completion date serial]]-tblWorkPackages[[#This Row],[Last labor date]]</f>
        <v>1</v>
      </c>
      <c r="AG823" s="65">
        <f>tblWorkPackages[[#This Row],[Completion date serial]]-tblWorkPackages[[#This Row],[Request date serial]]</f>
        <v>3</v>
      </c>
      <c r="AH823" s="65">
        <f>IFERROR(INDEX(tblParts[Delay days],MATCH(tblWorkPackages[[#This Row],[Work package ID]],tblParts[Work package ID],0)),0)</f>
        <v>0</v>
      </c>
      <c r="AI823" s="51" t="str">
        <f>IFERROR(INDEX(tblDisruptions[Event type],MATCH(tblWorkPackages[[#This Row],[Work package ID]],tblDisruptions[Work package ID],0)),"None")</f>
        <v>None</v>
      </c>
      <c r="AJ823" s="51" t="str">
        <f>TEXT(tblWorkPackages[[#This Row],[Due date serial]],"yyyy-mm")</f>
        <v>2024-09</v>
      </c>
    </row>
    <row r="824" spans="1:36" ht="15" x14ac:dyDescent="0.25">
      <c r="A824" s="53" t="s">
        <v>1705</v>
      </c>
      <c r="B824" s="53" t="s">
        <v>157</v>
      </c>
      <c r="C824" s="53" t="s">
        <v>297</v>
      </c>
      <c r="D824" s="53" t="s">
        <v>540</v>
      </c>
      <c r="E824" s="53" t="s">
        <v>200</v>
      </c>
      <c r="F824" s="53" t="s">
        <v>128</v>
      </c>
      <c r="G824" s="53" t="s">
        <v>129</v>
      </c>
      <c r="H824" s="53">
        <v>4</v>
      </c>
      <c r="I824" s="53" t="s">
        <v>130</v>
      </c>
      <c r="J824" s="53">
        <v>0</v>
      </c>
      <c r="K824" s="53">
        <v>0</v>
      </c>
      <c r="L824" s="53">
        <v>4.9000000000000004</v>
      </c>
      <c r="M824" s="53" t="s">
        <v>433</v>
      </c>
      <c r="N824" s="53">
        <v>6</v>
      </c>
      <c r="O824" s="51" t="str">
        <f>TEXT(tblWorkPackages[[#This Row],[Request date serial]]-WEEKDAY(tblWorkPackages[[#This Row],[Request date serial]],3),"yyyy-mm-dd")</f>
        <v>2024-08-19</v>
      </c>
      <c r="P824" s="51">
        <f>ABS(tblWorkPackages[[#This Row],[Actual labor hours]]-tblWorkPackages[[#This Row],[Estimated labor hours]])</f>
        <v>1.1</v>
      </c>
      <c r="Q824" s="51">
        <f>IF(tblWorkPackages[[#This Row],[Actual labor hours]]&gt;tblWorkPackages[[#This Row],[Estimated labor hours]],1,0)</f>
        <v>1</v>
      </c>
      <c r="R824" s="51">
        <f>tblWorkPackages[[#This Row],[Actual labor hours]]-tblWorkPackages[[#This Row],[Estimated labor hours]]</f>
        <v>1.1</v>
      </c>
      <c r="S824" s="51" t="str">
        <f>IF(tblWorkPackages[[#This Row],[Request date serial]]&lt;ValidationStart,"Train 2024",IF(tblWorkPackages[[#This Row],[Request date serial]]&lt;HoldoutStart,"Validation H1","Holdout H2"))</f>
        <v>Train 2024</v>
      </c>
      <c r="T824" s="51" t="str">
        <f>IF(tblWorkPackages[[#This Row],[Time split]]="Train 2024","",tblWorkPackages[[#This Row],[Estimated labor hours]]+VLOOKUP(tblWorkPackages[[#This Row],[Task type]],'Forecast validation'!$A$14:$E$25,IF(tblWorkPackages[[#This Row],[Time split]]="Validation H1",4,5),FALSE()))</f>
        <v/>
      </c>
      <c r="U824" s="51" t="str">
        <f>IF(tblWorkPackages[[#This Row],[Calibrated forecast hours]]="","",ABS(tblWorkPackages[[#This Row],[Actual labor hours]]-tblWorkPackages[[#This Row],[Calibrated forecast hours]]))</f>
        <v/>
      </c>
      <c r="V824" s="51">
        <f>IF(tblWorkPackages[[#This Row],[Time split]]="Train 2024",tblWorkPackages[[#This Row],[Estimated labor hours]],tblWorkPackages[[#This Row],[Calibrated forecast hours]])</f>
        <v>4.9</v>
      </c>
      <c r="W824" s="64">
        <f>DATEVALUE(tblWorkPackages[[#This Row],[Request date]])</f>
        <v>45525.0</v>
      </c>
      <c r="X824" s="64">
        <f>DATEVALUE(tblWorkPackages[[#This Row],[Due date]])</f>
        <v>45538.0</v>
      </c>
      <c r="Y824" s="64">
        <f>DATEVALUE(tblWorkPackages[[#This Row],[Completion date]])</f>
        <v>45539.0</v>
      </c>
      <c r="Z824" s="64">
        <f>_xlfn.MINIFS(tblLaborEntries[Work date serial],tblLaborEntries[Work package ID],tblWorkPackages[[#This Row],[Work package ID]])</f>
        <v>45535.0</v>
      </c>
      <c r="AA824" s="64">
        <f>_xlfn.MAXIFS(tblLaborEntries[Work date serial],tblLaborEntries[Work package ID],tblWorkPackages[[#This Row],[Work package ID]])</f>
        <v>45537.0</v>
      </c>
      <c r="AB824" s="65">
        <f>IF(tblWorkPackages[[#This Row],[Completion date serial]]&gt;tblWorkPackages[[#This Row],[Due date serial]],1,0)</f>
        <v>1</v>
      </c>
      <c r="AC824" s="65">
        <f>MAX(0,tblWorkPackages[[#This Row],[Completion date serial]]-tblWorkPackages[[#This Row],[Due date serial]])</f>
        <v>1</v>
      </c>
      <c r="AD824" s="65">
        <f>tblWorkPackages[[#This Row],[First labor date]]-tblWorkPackages[[#This Row],[Request date serial]]</f>
        <v>10</v>
      </c>
      <c r="AE824" s="65">
        <f>tblWorkPackages[[#This Row],[Last labor date]]-tblWorkPackages[[#This Row],[First labor date]]</f>
        <v>2</v>
      </c>
      <c r="AF824" s="65">
        <f>tblWorkPackages[[#This Row],[Completion date serial]]-tblWorkPackages[[#This Row],[Last labor date]]</f>
        <v>2</v>
      </c>
      <c r="AG824" s="65">
        <f>tblWorkPackages[[#This Row],[Completion date serial]]-tblWorkPackages[[#This Row],[Request date serial]]</f>
        <v>14</v>
      </c>
      <c r="AH824" s="65">
        <f>IFERROR(INDEX(tblParts[Delay days],MATCH(tblWorkPackages[[#This Row],[Work package ID]],tblParts[Work package ID],0)),0)</f>
        <v>0</v>
      </c>
      <c r="AI824" s="51" t="str">
        <f>IFERROR(INDEX(tblDisruptions[Event type],MATCH(tblWorkPackages[[#This Row],[Work package ID]],tblDisruptions[Work package ID],0)),"None")</f>
        <v>None</v>
      </c>
      <c r="AJ824" s="51" t="str">
        <f>TEXT(tblWorkPackages[[#This Row],[Due date serial]],"yyyy-mm")</f>
        <v>2024-09</v>
      </c>
    </row>
    <row r="825" spans="1:36" ht="15" x14ac:dyDescent="0.25">
      <c r="A825" s="53" t="s">
        <v>1706</v>
      </c>
      <c r="B825" s="53" t="s">
        <v>133</v>
      </c>
      <c r="C825" s="53" t="s">
        <v>428</v>
      </c>
      <c r="D825" s="53" t="s">
        <v>1380</v>
      </c>
      <c r="E825" s="53" t="s">
        <v>127</v>
      </c>
      <c r="F825" s="53" t="s">
        <v>128</v>
      </c>
      <c r="G825" s="53" t="s">
        <v>129</v>
      </c>
      <c r="H825" s="53">
        <v>1</v>
      </c>
      <c r="I825" s="53" t="s">
        <v>130</v>
      </c>
      <c r="J825" s="53">
        <v>0</v>
      </c>
      <c r="K825" s="53">
        <v>0</v>
      </c>
      <c r="L825" s="53">
        <v>5</v>
      </c>
      <c r="M825" s="53" t="s">
        <v>1008</v>
      </c>
      <c r="N825" s="53">
        <v>6.2</v>
      </c>
      <c r="O825" s="51" t="str">
        <f>TEXT(tblWorkPackages[[#This Row],[Request date serial]]-WEEKDAY(tblWorkPackages[[#This Row],[Request date serial]],3),"yyyy-mm-dd")</f>
        <v>2024-04-15</v>
      </c>
      <c r="P825" s="51">
        <f>ABS(tblWorkPackages[[#This Row],[Actual labor hours]]-tblWorkPackages[[#This Row],[Estimated labor hours]])</f>
        <v>1.2</v>
      </c>
      <c r="Q825" s="51">
        <f>IF(tblWorkPackages[[#This Row],[Actual labor hours]]&gt;tblWorkPackages[[#This Row],[Estimated labor hours]],1,0)</f>
        <v>1</v>
      </c>
      <c r="R825" s="51">
        <f>tblWorkPackages[[#This Row],[Actual labor hours]]-tblWorkPackages[[#This Row],[Estimated labor hours]]</f>
        <v>1.2</v>
      </c>
      <c r="S825" s="51" t="str">
        <f>IF(tblWorkPackages[[#This Row],[Request date serial]]&lt;ValidationStart,"Train 2024",IF(tblWorkPackages[[#This Row],[Request date serial]]&lt;HoldoutStart,"Validation H1","Holdout H2"))</f>
        <v>Train 2024</v>
      </c>
      <c r="T825" s="51" t="str">
        <f>IF(tblWorkPackages[[#This Row],[Time split]]="Train 2024","",tblWorkPackages[[#This Row],[Estimated labor hours]]+VLOOKUP(tblWorkPackages[[#This Row],[Task type]],'Forecast validation'!$A$14:$E$25,IF(tblWorkPackages[[#This Row],[Time split]]="Validation H1",4,5),FALSE()))</f>
        <v/>
      </c>
      <c r="U825" s="51" t="str">
        <f>IF(tblWorkPackages[[#This Row],[Calibrated forecast hours]]="","",ABS(tblWorkPackages[[#This Row],[Actual labor hours]]-tblWorkPackages[[#This Row],[Calibrated forecast hours]]))</f>
        <v/>
      </c>
      <c r="V825" s="51">
        <f>IF(tblWorkPackages[[#This Row],[Time split]]="Train 2024",tblWorkPackages[[#This Row],[Estimated labor hours]],tblWorkPackages[[#This Row],[Calibrated forecast hours]])</f>
        <v>5</v>
      </c>
      <c r="W825" s="64">
        <f>DATEVALUE(tblWorkPackages[[#This Row],[Request date]])</f>
        <v>45402.0</v>
      </c>
      <c r="X825" s="64">
        <f>DATEVALUE(tblWorkPackages[[#This Row],[Due date]])</f>
        <v>45415.0</v>
      </c>
      <c r="Y825" s="64">
        <f>DATEVALUE(tblWorkPackages[[#This Row],[Completion date]])</f>
        <v>45409.0</v>
      </c>
      <c r="Z825" s="64">
        <f>_xlfn.MINIFS(tblLaborEntries[Work date serial],tblLaborEntries[Work package ID],tblWorkPackages[[#This Row],[Work package ID]])</f>
        <v>45405.0</v>
      </c>
      <c r="AA825" s="64">
        <f>_xlfn.MAXIFS(tblLaborEntries[Work date serial],tblLaborEntries[Work package ID],tblWorkPackages[[#This Row],[Work package ID]])</f>
        <v>45406.0</v>
      </c>
      <c r="AB825" s="65">
        <f>IF(tblWorkPackages[[#This Row],[Completion date serial]]&gt;tblWorkPackages[[#This Row],[Due date serial]],1,0)</f>
        <v>0</v>
      </c>
      <c r="AC825" s="65">
        <f>MAX(0,tblWorkPackages[[#This Row],[Completion date serial]]-tblWorkPackages[[#This Row],[Due date serial]])</f>
        <v>0</v>
      </c>
      <c r="AD825" s="65">
        <f>tblWorkPackages[[#This Row],[First labor date]]-tblWorkPackages[[#This Row],[Request date serial]]</f>
        <v>3</v>
      </c>
      <c r="AE825" s="65">
        <f>tblWorkPackages[[#This Row],[Last labor date]]-tblWorkPackages[[#This Row],[First labor date]]</f>
        <v>1</v>
      </c>
      <c r="AF825" s="65">
        <f>tblWorkPackages[[#This Row],[Completion date serial]]-tblWorkPackages[[#This Row],[Last labor date]]</f>
        <v>3</v>
      </c>
      <c r="AG825" s="65">
        <f>tblWorkPackages[[#This Row],[Completion date serial]]-tblWorkPackages[[#This Row],[Request date serial]]</f>
        <v>7</v>
      </c>
      <c r="AH825" s="65">
        <f>IFERROR(INDEX(tblParts[Delay days],MATCH(tblWorkPackages[[#This Row],[Work package ID]],tblParts[Work package ID],0)),0)</f>
        <v>0</v>
      </c>
      <c r="AI825" s="51" t="str">
        <f>IFERROR(INDEX(tblDisruptions[Event type],MATCH(tblWorkPackages[[#This Row],[Work package ID]],tblDisruptions[Work package ID],0)),"None")</f>
        <v>None</v>
      </c>
      <c r="AJ825" s="51" t="str">
        <f>TEXT(tblWorkPackages[[#This Row],[Due date serial]],"yyyy-mm")</f>
        <v>2024-05</v>
      </c>
    </row>
    <row r="826" spans="1:36" ht="15" x14ac:dyDescent="0.25">
      <c r="A826" s="53" t="s">
        <v>1707</v>
      </c>
      <c r="B826" s="53" t="s">
        <v>124</v>
      </c>
      <c r="C826" s="53" t="s">
        <v>139</v>
      </c>
      <c r="D826" s="53" t="s">
        <v>624</v>
      </c>
      <c r="E826" s="53" t="s">
        <v>160</v>
      </c>
      <c r="F826" s="53" t="s">
        <v>128</v>
      </c>
      <c r="G826" s="53" t="s">
        <v>138</v>
      </c>
      <c r="H826" s="53">
        <v>1</v>
      </c>
      <c r="I826" s="53" t="s">
        <v>130</v>
      </c>
      <c r="J826" s="53">
        <v>0</v>
      </c>
      <c r="K826" s="53">
        <v>0</v>
      </c>
      <c r="L826" s="53">
        <v>2.8</v>
      </c>
      <c r="M826" s="53" t="s">
        <v>988</v>
      </c>
      <c r="N826" s="53">
        <v>3.2</v>
      </c>
      <c r="O826" s="51" t="str">
        <f>TEXT(tblWorkPackages[[#This Row],[Request date serial]]-WEEKDAY(tblWorkPackages[[#This Row],[Request date serial]],3),"yyyy-mm-dd")</f>
        <v>2025-09-08</v>
      </c>
      <c r="P826" s="51">
        <f>ABS(tblWorkPackages[[#This Row],[Actual labor hours]]-tblWorkPackages[[#This Row],[Estimated labor hours]])</f>
        <v>0.4</v>
      </c>
      <c r="Q826" s="51">
        <f>IF(tblWorkPackages[[#This Row],[Actual labor hours]]&gt;tblWorkPackages[[#This Row],[Estimated labor hours]],1,0)</f>
        <v>1</v>
      </c>
      <c r="R826" s="51">
        <f>tblWorkPackages[[#This Row],[Actual labor hours]]-tblWorkPackages[[#This Row],[Estimated labor hours]]</f>
        <v>0.4</v>
      </c>
      <c r="S826" s="51" t="str">
        <f>IF(tblWorkPackages[[#This Row],[Request date serial]]&lt;ValidationStart,"Train 2024",IF(tblWorkPackages[[#This Row],[Request date serial]]&lt;HoldoutStart,"Validation H1","Holdout H2"))</f>
        <v>Holdout H2</v>
      </c>
      <c r="T826" s="51">
        <f>IF(tblWorkPackages[[#This Row],[Time split]]="Train 2024","",tblWorkPackages[[#This Row],[Estimated labor hours]]+VLOOKUP(tblWorkPackages[[#This Row],[Task type]],'Forecast validation'!$A$14:$E$25,IF(tblWorkPackages[[#This Row],[Time split]]="Validation H1",4,5),FALSE()))</f>
        <v>3.23739837398374</v>
      </c>
      <c r="U826" s="51">
        <f>IF(tblWorkPackages[[#This Row],[Calibrated forecast hours]]="","",ABS(tblWorkPackages[[#This Row],[Actual labor hours]]-tblWorkPackages[[#This Row],[Calibrated forecast hours]]))</f>
        <v>0.0373983739837396</v>
      </c>
      <c r="V826" s="51">
        <f>IF(tblWorkPackages[[#This Row],[Time split]]="Train 2024",tblWorkPackages[[#This Row],[Estimated labor hours]],tblWorkPackages[[#This Row],[Calibrated forecast hours]])</f>
        <v>3.23739837398374</v>
      </c>
      <c r="W826" s="64">
        <f>DATEVALUE(tblWorkPackages[[#This Row],[Request date]])</f>
        <v>45908.0</v>
      </c>
      <c r="X826" s="64">
        <f>DATEVALUE(tblWorkPackages[[#This Row],[Due date]])</f>
        <v>45921.0</v>
      </c>
      <c r="Y826" s="64">
        <f>DATEVALUE(tblWorkPackages[[#This Row],[Completion date]])</f>
        <v>45934.0</v>
      </c>
      <c r="Z826" s="64">
        <f>_xlfn.MINIFS(tblLaborEntries[Work date serial],tblLaborEntries[Work package ID],tblWorkPackages[[#This Row],[Work package ID]])</f>
        <v>45934.0</v>
      </c>
      <c r="AA826" s="64">
        <f>_xlfn.MAXIFS(tblLaborEntries[Work date serial],tblLaborEntries[Work package ID],tblWorkPackages[[#This Row],[Work package ID]])</f>
        <v>45934.0</v>
      </c>
      <c r="AB826" s="65">
        <f>IF(tblWorkPackages[[#This Row],[Completion date serial]]&gt;tblWorkPackages[[#This Row],[Due date serial]],1,0)</f>
        <v>1</v>
      </c>
      <c r="AC826" s="65">
        <f>MAX(0,tblWorkPackages[[#This Row],[Completion date serial]]-tblWorkPackages[[#This Row],[Due date serial]])</f>
        <v>13</v>
      </c>
      <c r="AD826" s="65">
        <f>tblWorkPackages[[#This Row],[First labor date]]-tblWorkPackages[[#This Row],[Request date serial]]</f>
        <v>26</v>
      </c>
      <c r="AE826" s="65">
        <f>tblWorkPackages[[#This Row],[Last labor date]]-tblWorkPackages[[#This Row],[First labor date]]</f>
        <v>0</v>
      </c>
      <c r="AF826" s="65">
        <f>tblWorkPackages[[#This Row],[Completion date serial]]-tblWorkPackages[[#This Row],[Last labor date]]</f>
        <v>0</v>
      </c>
      <c r="AG826" s="65">
        <f>tblWorkPackages[[#This Row],[Completion date serial]]-tblWorkPackages[[#This Row],[Request date serial]]</f>
        <v>26</v>
      </c>
      <c r="AH826" s="65">
        <f>IFERROR(INDEX(tblParts[Delay days],MATCH(tblWorkPackages[[#This Row],[Work package ID]],tblParts[Work package ID],0)),0)</f>
        <v>0</v>
      </c>
      <c r="AI826" s="51" t="str">
        <f>IFERROR(INDEX(tblDisruptions[Event type],MATCH(tblWorkPackages[[#This Row],[Work package ID]],tblDisruptions[Work package ID],0)),"None")</f>
        <v>Technician absence</v>
      </c>
      <c r="AJ826" s="51" t="str">
        <f>TEXT(tblWorkPackages[[#This Row],[Due date serial]],"yyyy-mm")</f>
        <v>2025-09</v>
      </c>
    </row>
    <row r="827" spans="1:36" ht="15" x14ac:dyDescent="0.25">
      <c r="A827" s="53" t="s">
        <v>1708</v>
      </c>
      <c r="B827" s="53" t="s">
        <v>173</v>
      </c>
      <c r="C827" s="53" t="s">
        <v>776</v>
      </c>
      <c r="D827" s="53" t="s">
        <v>257</v>
      </c>
      <c r="E827" s="53" t="s">
        <v>242</v>
      </c>
      <c r="F827" s="53" t="s">
        <v>243</v>
      </c>
      <c r="G827" s="53" t="s">
        <v>129</v>
      </c>
      <c r="H827" s="53">
        <v>4</v>
      </c>
      <c r="I827" s="53" t="s">
        <v>147</v>
      </c>
      <c r="J827" s="53">
        <v>0</v>
      </c>
      <c r="K827" s="53">
        <v>0</v>
      </c>
      <c r="L827" s="53">
        <v>14.2</v>
      </c>
      <c r="M827" s="53" t="s">
        <v>1073</v>
      </c>
      <c r="N827" s="53">
        <v>14.9</v>
      </c>
      <c r="O827" s="51" t="str">
        <f>TEXT(tblWorkPackages[[#This Row],[Request date serial]]-WEEKDAY(tblWorkPackages[[#This Row],[Request date serial]],3),"yyyy-mm-dd")</f>
        <v>2024-12-09</v>
      </c>
      <c r="P827" s="51">
        <f>ABS(tblWorkPackages[[#This Row],[Actual labor hours]]-tblWorkPackages[[#This Row],[Estimated labor hours]])</f>
        <v>0.700000000000001</v>
      </c>
      <c r="Q827" s="51">
        <f>IF(tblWorkPackages[[#This Row],[Actual labor hours]]&gt;tblWorkPackages[[#This Row],[Estimated labor hours]],1,0)</f>
        <v>1</v>
      </c>
      <c r="R827" s="51">
        <f>tblWorkPackages[[#This Row],[Actual labor hours]]-tblWorkPackages[[#This Row],[Estimated labor hours]]</f>
        <v>0.700000000000001</v>
      </c>
      <c r="S827" s="51" t="str">
        <f>IF(tblWorkPackages[[#This Row],[Request date serial]]&lt;ValidationStart,"Train 2024",IF(tblWorkPackages[[#This Row],[Request date serial]]&lt;HoldoutStart,"Validation H1","Holdout H2"))</f>
        <v>Train 2024</v>
      </c>
      <c r="T827" s="51" t="str">
        <f>IF(tblWorkPackages[[#This Row],[Time split]]="Train 2024","",tblWorkPackages[[#This Row],[Estimated labor hours]]+VLOOKUP(tblWorkPackages[[#This Row],[Task type]],'Forecast validation'!$A$14:$E$25,IF(tblWorkPackages[[#This Row],[Time split]]="Validation H1",4,5),FALSE()))</f>
        <v/>
      </c>
      <c r="U827" s="51" t="str">
        <f>IF(tblWorkPackages[[#This Row],[Calibrated forecast hours]]="","",ABS(tblWorkPackages[[#This Row],[Actual labor hours]]-tblWorkPackages[[#This Row],[Calibrated forecast hours]]))</f>
        <v/>
      </c>
      <c r="V827" s="51">
        <f>IF(tblWorkPackages[[#This Row],[Time split]]="Train 2024",tblWorkPackages[[#This Row],[Estimated labor hours]],tblWorkPackages[[#This Row],[Calibrated forecast hours]])</f>
        <v>14.2</v>
      </c>
      <c r="W827" s="64">
        <f>DATEVALUE(tblWorkPackages[[#This Row],[Request date]])</f>
        <v>45636.0</v>
      </c>
      <c r="X827" s="64">
        <f>DATEVALUE(tblWorkPackages[[#This Row],[Due date]])</f>
        <v>45638.0</v>
      </c>
      <c r="Y827" s="64">
        <f>DATEVALUE(tblWorkPackages[[#This Row],[Completion date]])</f>
        <v>45642.0</v>
      </c>
      <c r="Z827" s="64">
        <f>_xlfn.MINIFS(tblLaborEntries[Work date serial],tblLaborEntries[Work package ID],tblWorkPackages[[#This Row],[Work package ID]])</f>
        <v>45640.0</v>
      </c>
      <c r="AA827" s="64">
        <f>_xlfn.MAXIFS(tblLaborEntries[Work date serial],tblLaborEntries[Work package ID],tblWorkPackages[[#This Row],[Work package ID]])</f>
        <v>45641.0</v>
      </c>
      <c r="AB827" s="65">
        <f>IF(tblWorkPackages[[#This Row],[Completion date serial]]&gt;tblWorkPackages[[#This Row],[Due date serial]],1,0)</f>
        <v>1</v>
      </c>
      <c r="AC827" s="65">
        <f>MAX(0,tblWorkPackages[[#This Row],[Completion date serial]]-tblWorkPackages[[#This Row],[Due date serial]])</f>
        <v>4</v>
      </c>
      <c r="AD827" s="65">
        <f>tblWorkPackages[[#This Row],[First labor date]]-tblWorkPackages[[#This Row],[Request date serial]]</f>
        <v>4</v>
      </c>
      <c r="AE827" s="65">
        <f>tblWorkPackages[[#This Row],[Last labor date]]-tblWorkPackages[[#This Row],[First labor date]]</f>
        <v>1</v>
      </c>
      <c r="AF827" s="65">
        <f>tblWorkPackages[[#This Row],[Completion date serial]]-tblWorkPackages[[#This Row],[Last labor date]]</f>
        <v>1</v>
      </c>
      <c r="AG827" s="65">
        <f>tblWorkPackages[[#This Row],[Completion date serial]]-tblWorkPackages[[#This Row],[Request date serial]]</f>
        <v>6</v>
      </c>
      <c r="AH827" s="65">
        <f>IFERROR(INDEX(tblParts[Delay days],MATCH(tblWorkPackages[[#This Row],[Work package ID]],tblParts[Work package ID],0)),0)</f>
        <v>0</v>
      </c>
      <c r="AI827" s="51" t="str">
        <f>IFERROR(INDEX(tblDisruptions[Event type],MATCH(tblWorkPackages[[#This Row],[Work package ID]],tblDisruptions[Work package ID],0)),"None")</f>
        <v>None</v>
      </c>
      <c r="AJ827" s="51" t="str">
        <f>TEXT(tblWorkPackages[[#This Row],[Due date serial]],"yyyy-mm")</f>
        <v>2024-12</v>
      </c>
    </row>
    <row r="828" spans="1:36" ht="15" x14ac:dyDescent="0.25">
      <c r="A828" s="53" t="s">
        <v>1709</v>
      </c>
      <c r="B828" s="53" t="s">
        <v>157</v>
      </c>
      <c r="C828" s="53" t="s">
        <v>528</v>
      </c>
      <c r="D828" s="53" t="s">
        <v>135</v>
      </c>
      <c r="E828" s="53" t="s">
        <v>136</v>
      </c>
      <c r="F828" s="53" t="s">
        <v>137</v>
      </c>
      <c r="G828" s="53" t="s">
        <v>138</v>
      </c>
      <c r="H828" s="53">
        <v>3</v>
      </c>
      <c r="I828" s="53" t="s">
        <v>176</v>
      </c>
      <c r="J828" s="53">
        <v>0</v>
      </c>
      <c r="K828" s="53">
        <v>0</v>
      </c>
      <c r="L828" s="53">
        <v>16.100000000000001</v>
      </c>
      <c r="M828" s="53" t="s">
        <v>790</v>
      </c>
      <c r="N828" s="53">
        <v>15.2</v>
      </c>
      <c r="O828" s="51" t="str">
        <f>TEXT(tblWorkPackages[[#This Row],[Request date serial]]-WEEKDAY(tblWorkPackages[[#This Row],[Request date serial]],3),"yyyy-mm-dd")</f>
        <v>2025-09-08</v>
      </c>
      <c r="P828" s="51">
        <f>ABS(tblWorkPackages[[#This Row],[Actual labor hours]]-tblWorkPackages[[#This Row],[Estimated labor hours]])</f>
        <v>0.900000000000002</v>
      </c>
      <c r="Q828" s="51">
        <f>IF(tblWorkPackages[[#This Row],[Actual labor hours]]&gt;tblWorkPackages[[#This Row],[Estimated labor hours]],1,0)</f>
        <v>0</v>
      </c>
      <c r="R828" s="51">
        <f>tblWorkPackages[[#This Row],[Actual labor hours]]-tblWorkPackages[[#This Row],[Estimated labor hours]]</f>
        <v>-0.900000000000002</v>
      </c>
      <c r="S828" s="51" t="str">
        <f>IF(tblWorkPackages[[#This Row],[Request date serial]]&lt;ValidationStart,"Train 2024",IF(tblWorkPackages[[#This Row],[Request date serial]]&lt;HoldoutStart,"Validation H1","Holdout H2"))</f>
        <v>Holdout H2</v>
      </c>
      <c r="T828" s="51">
        <f>IF(tblWorkPackages[[#This Row],[Time split]]="Train 2024","",tblWorkPackages[[#This Row],[Estimated labor hours]]+VLOOKUP(tblWorkPackages[[#This Row],[Task type]],'Forecast validation'!$A$14:$E$25,IF(tblWorkPackages[[#This Row],[Time split]]="Validation H1",4,5),FALSE()))</f>
        <v>17.0207547169811</v>
      </c>
      <c r="U828" s="51">
        <f>IF(tblWorkPackages[[#This Row],[Calibrated forecast hours]]="","",ABS(tblWorkPackages[[#This Row],[Actual labor hours]]-tblWorkPackages[[#This Row],[Calibrated forecast hours]]))</f>
        <v>1.82075471698114</v>
      </c>
      <c r="V828" s="51">
        <f>IF(tblWorkPackages[[#This Row],[Time split]]="Train 2024",tblWorkPackages[[#This Row],[Estimated labor hours]],tblWorkPackages[[#This Row],[Calibrated forecast hours]])</f>
        <v>17.0207547169811</v>
      </c>
      <c r="W828" s="64">
        <f>DATEVALUE(tblWorkPackages[[#This Row],[Request date]])</f>
        <v>45912.0</v>
      </c>
      <c r="X828" s="64">
        <f>DATEVALUE(tblWorkPackages[[#This Row],[Due date]])</f>
        <v>45918.0</v>
      </c>
      <c r="Y828" s="64">
        <f>DATEVALUE(tblWorkPackages[[#This Row],[Completion date]])</f>
        <v>45916.0</v>
      </c>
      <c r="Z828" s="64">
        <f>_xlfn.MINIFS(tblLaborEntries[Work date serial],tblLaborEntries[Work package ID],tblWorkPackages[[#This Row],[Work package ID]])</f>
        <v>45913.0</v>
      </c>
      <c r="AA828" s="64">
        <f>_xlfn.MAXIFS(tblLaborEntries[Work date serial],tblLaborEntries[Work package ID],tblWorkPackages[[#This Row],[Work package ID]])</f>
        <v>45914.0</v>
      </c>
      <c r="AB828" s="65">
        <f>IF(tblWorkPackages[[#This Row],[Completion date serial]]&gt;tblWorkPackages[[#This Row],[Due date serial]],1,0)</f>
        <v>0</v>
      </c>
      <c r="AC828" s="65">
        <f>MAX(0,tblWorkPackages[[#This Row],[Completion date serial]]-tblWorkPackages[[#This Row],[Due date serial]])</f>
        <v>0</v>
      </c>
      <c r="AD828" s="65">
        <f>tblWorkPackages[[#This Row],[First labor date]]-tblWorkPackages[[#This Row],[Request date serial]]</f>
        <v>1</v>
      </c>
      <c r="AE828" s="65">
        <f>tblWorkPackages[[#This Row],[Last labor date]]-tblWorkPackages[[#This Row],[First labor date]]</f>
        <v>1</v>
      </c>
      <c r="AF828" s="65">
        <f>tblWorkPackages[[#This Row],[Completion date serial]]-tblWorkPackages[[#This Row],[Last labor date]]</f>
        <v>2</v>
      </c>
      <c r="AG828" s="65">
        <f>tblWorkPackages[[#This Row],[Completion date serial]]-tblWorkPackages[[#This Row],[Request date serial]]</f>
        <v>4</v>
      </c>
      <c r="AH828" s="65">
        <f>IFERROR(INDEX(tblParts[Delay days],MATCH(tblWorkPackages[[#This Row],[Work package ID]],tblParts[Work package ID],0)),0)</f>
        <v>0</v>
      </c>
      <c r="AI828" s="51" t="str">
        <f>IFERROR(INDEX(tblDisruptions[Event type],MATCH(tblWorkPackages[[#This Row],[Work package ID]],tblDisruptions[Work package ID],0)),"None")</f>
        <v>None</v>
      </c>
      <c r="AJ828" s="51" t="str">
        <f>TEXT(tblWorkPackages[[#This Row],[Due date serial]],"yyyy-mm")</f>
        <v>2025-09</v>
      </c>
    </row>
    <row r="829" spans="1:36" ht="15" x14ac:dyDescent="0.25">
      <c r="A829" s="53" t="s">
        <v>1710</v>
      </c>
      <c r="B829" s="53" t="s">
        <v>168</v>
      </c>
      <c r="C829" s="53" t="s">
        <v>1067</v>
      </c>
      <c r="D829" s="53" t="s">
        <v>1068</v>
      </c>
      <c r="E829" s="53" t="s">
        <v>153</v>
      </c>
      <c r="F829" s="53" t="s">
        <v>128</v>
      </c>
      <c r="G829" s="53" t="s">
        <v>154</v>
      </c>
      <c r="H829" s="53">
        <v>3</v>
      </c>
      <c r="I829" s="53" t="s">
        <v>130</v>
      </c>
      <c r="J829" s="53">
        <v>0</v>
      </c>
      <c r="K829" s="53">
        <v>1</v>
      </c>
      <c r="L829" s="53">
        <v>14.6</v>
      </c>
      <c r="M829" s="53" t="s">
        <v>667</v>
      </c>
      <c r="N829" s="53">
        <v>18</v>
      </c>
      <c r="O829" s="51" t="str">
        <f>TEXT(tblWorkPackages[[#This Row],[Request date serial]]-WEEKDAY(tblWorkPackages[[#This Row],[Request date serial]],3),"yyyy-mm-dd")</f>
        <v>2024-03-04</v>
      </c>
      <c r="P829" s="51">
        <f>ABS(tblWorkPackages[[#This Row],[Actual labor hours]]-tblWorkPackages[[#This Row],[Estimated labor hours]])</f>
        <v>3.4</v>
      </c>
      <c r="Q829" s="51">
        <f>IF(tblWorkPackages[[#This Row],[Actual labor hours]]&gt;tblWorkPackages[[#This Row],[Estimated labor hours]],1,0)</f>
        <v>1</v>
      </c>
      <c r="R829" s="51">
        <f>tblWorkPackages[[#This Row],[Actual labor hours]]-tblWorkPackages[[#This Row],[Estimated labor hours]]</f>
        <v>3.4</v>
      </c>
      <c r="S829" s="51" t="str">
        <f>IF(tblWorkPackages[[#This Row],[Request date serial]]&lt;ValidationStart,"Train 2024",IF(tblWorkPackages[[#This Row],[Request date serial]]&lt;HoldoutStart,"Validation H1","Holdout H2"))</f>
        <v>Train 2024</v>
      </c>
      <c r="T829" s="51" t="str">
        <f>IF(tblWorkPackages[[#This Row],[Time split]]="Train 2024","",tblWorkPackages[[#This Row],[Estimated labor hours]]+VLOOKUP(tblWorkPackages[[#This Row],[Task type]],'Forecast validation'!$A$14:$E$25,IF(tblWorkPackages[[#This Row],[Time split]]="Validation H1",4,5),FALSE()))</f>
        <v/>
      </c>
      <c r="U829" s="51" t="str">
        <f>IF(tblWorkPackages[[#This Row],[Calibrated forecast hours]]="","",ABS(tblWorkPackages[[#This Row],[Actual labor hours]]-tblWorkPackages[[#This Row],[Calibrated forecast hours]]))</f>
        <v/>
      </c>
      <c r="V829" s="51">
        <f>IF(tblWorkPackages[[#This Row],[Time split]]="Train 2024",tblWorkPackages[[#This Row],[Estimated labor hours]],tblWorkPackages[[#This Row],[Calibrated forecast hours]])</f>
        <v>14.6</v>
      </c>
      <c r="W829" s="64">
        <f>DATEVALUE(tblWorkPackages[[#This Row],[Request date]])</f>
        <v>45357.0</v>
      </c>
      <c r="X829" s="64">
        <f>DATEVALUE(tblWorkPackages[[#This Row],[Due date]])</f>
        <v>45370.0</v>
      </c>
      <c r="Y829" s="64">
        <f>DATEVALUE(tblWorkPackages[[#This Row],[Completion date]])</f>
        <v>45373.0</v>
      </c>
      <c r="Z829" s="64">
        <f>_xlfn.MINIFS(tblLaborEntries[Work date serial],tblLaborEntries[Work package ID],tblWorkPackages[[#This Row],[Work package ID]])</f>
        <v>45370.0</v>
      </c>
      <c r="AA829" s="64">
        <f>_xlfn.MAXIFS(tblLaborEntries[Work date serial],tblLaborEntries[Work package ID],tblWorkPackages[[#This Row],[Work package ID]])</f>
        <v>45370.0</v>
      </c>
      <c r="AB829" s="65">
        <f>IF(tblWorkPackages[[#This Row],[Completion date serial]]&gt;tblWorkPackages[[#This Row],[Due date serial]],1,0)</f>
        <v>1</v>
      </c>
      <c r="AC829" s="65">
        <f>MAX(0,tblWorkPackages[[#This Row],[Completion date serial]]-tblWorkPackages[[#This Row],[Due date serial]])</f>
        <v>3</v>
      </c>
      <c r="AD829" s="65">
        <f>tblWorkPackages[[#This Row],[First labor date]]-tblWorkPackages[[#This Row],[Request date serial]]</f>
        <v>13</v>
      </c>
      <c r="AE829" s="65">
        <f>tblWorkPackages[[#This Row],[Last labor date]]-tblWorkPackages[[#This Row],[First labor date]]</f>
        <v>0</v>
      </c>
      <c r="AF829" s="65">
        <f>tblWorkPackages[[#This Row],[Completion date serial]]-tblWorkPackages[[#This Row],[Last labor date]]</f>
        <v>3</v>
      </c>
      <c r="AG829" s="65">
        <f>tblWorkPackages[[#This Row],[Completion date serial]]-tblWorkPackages[[#This Row],[Request date serial]]</f>
        <v>16</v>
      </c>
      <c r="AH829" s="65">
        <f>IFERROR(INDEX(tblParts[Delay days],MATCH(tblWorkPackages[[#This Row],[Work package ID]],tblParts[Work package ID],0)),0)</f>
        <v>0</v>
      </c>
      <c r="AI829" s="51" t="str">
        <f>IFERROR(INDEX(tblDisruptions[Event type],MATCH(tblWorkPackages[[#This Row],[Work package ID]],tblDisruptions[Work package ID],0)),"None")</f>
        <v>None</v>
      </c>
      <c r="AJ829" s="51" t="str">
        <f>TEXT(tblWorkPackages[[#This Row],[Due date serial]],"yyyy-mm")</f>
        <v>2024-03</v>
      </c>
    </row>
    <row r="830" spans="1:36" ht="15" x14ac:dyDescent="0.25">
      <c r="A830" s="53" t="s">
        <v>1711</v>
      </c>
      <c r="B830" s="53" t="s">
        <v>150</v>
      </c>
      <c r="C830" s="53" t="s">
        <v>165</v>
      </c>
      <c r="D830" s="53" t="s">
        <v>450</v>
      </c>
      <c r="E830" s="53" t="s">
        <v>237</v>
      </c>
      <c r="F830" s="53" t="s">
        <v>182</v>
      </c>
      <c r="G830" s="53" t="s">
        <v>138</v>
      </c>
      <c r="H830" s="53">
        <v>4</v>
      </c>
      <c r="I830" s="53" t="s">
        <v>130</v>
      </c>
      <c r="J830" s="53">
        <v>0</v>
      </c>
      <c r="K830" s="53">
        <v>1</v>
      </c>
      <c r="L830" s="53">
        <v>10.199999999999999</v>
      </c>
      <c r="M830" s="53" t="s">
        <v>450</v>
      </c>
      <c r="N830" s="53">
        <v>12</v>
      </c>
      <c r="O830" s="51" t="str">
        <f>TEXT(tblWorkPackages[[#This Row],[Request date serial]]-WEEKDAY(tblWorkPackages[[#This Row],[Request date serial]],3),"yyyy-mm-dd")</f>
        <v>2024-07-01</v>
      </c>
      <c r="P830" s="51">
        <f>ABS(tblWorkPackages[[#This Row],[Actual labor hours]]-tblWorkPackages[[#This Row],[Estimated labor hours]])</f>
        <v>1.8</v>
      </c>
      <c r="Q830" s="51">
        <f>IF(tblWorkPackages[[#This Row],[Actual labor hours]]&gt;tblWorkPackages[[#This Row],[Estimated labor hours]],1,0)</f>
        <v>1</v>
      </c>
      <c r="R830" s="51">
        <f>tblWorkPackages[[#This Row],[Actual labor hours]]-tblWorkPackages[[#This Row],[Estimated labor hours]]</f>
        <v>1.8</v>
      </c>
      <c r="S830" s="51" t="str">
        <f>IF(tblWorkPackages[[#This Row],[Request date serial]]&lt;ValidationStart,"Train 2024",IF(tblWorkPackages[[#This Row],[Request date serial]]&lt;HoldoutStart,"Validation H1","Holdout H2"))</f>
        <v>Train 2024</v>
      </c>
      <c r="T830" s="51" t="str">
        <f>IF(tblWorkPackages[[#This Row],[Time split]]="Train 2024","",tblWorkPackages[[#This Row],[Estimated labor hours]]+VLOOKUP(tblWorkPackages[[#This Row],[Task type]],'Forecast validation'!$A$14:$E$25,IF(tblWorkPackages[[#This Row],[Time split]]="Validation H1",4,5),FALSE()))</f>
        <v/>
      </c>
      <c r="U830" s="51" t="str">
        <f>IF(tblWorkPackages[[#This Row],[Calibrated forecast hours]]="","",ABS(tblWorkPackages[[#This Row],[Actual labor hours]]-tblWorkPackages[[#This Row],[Calibrated forecast hours]]))</f>
        <v/>
      </c>
      <c r="V830" s="51">
        <f>IF(tblWorkPackages[[#This Row],[Time split]]="Train 2024",tblWorkPackages[[#This Row],[Estimated labor hours]],tblWorkPackages[[#This Row],[Calibrated forecast hours]])</f>
        <v>10.2</v>
      </c>
      <c r="W830" s="64">
        <f>DATEVALUE(tblWorkPackages[[#This Row],[Request date]])</f>
        <v>45474.0</v>
      </c>
      <c r="X830" s="64">
        <f>DATEVALUE(tblWorkPackages[[#This Row],[Due date]])</f>
        <v>45487.0</v>
      </c>
      <c r="Y830" s="64">
        <f>DATEVALUE(tblWorkPackages[[#This Row],[Completion date]])</f>
        <v>45487.0</v>
      </c>
      <c r="Z830" s="64">
        <f>_xlfn.MINIFS(tblLaborEntries[Work date serial],tblLaborEntries[Work package ID],tblWorkPackages[[#This Row],[Work package ID]])</f>
        <v>45486.0</v>
      </c>
      <c r="AA830" s="64">
        <f>_xlfn.MAXIFS(tblLaborEntries[Work date serial],tblLaborEntries[Work package ID],tblWorkPackages[[#This Row],[Work package ID]])</f>
        <v>45487.0</v>
      </c>
      <c r="AB830" s="65">
        <f>IF(tblWorkPackages[[#This Row],[Completion date serial]]&gt;tblWorkPackages[[#This Row],[Due date serial]],1,0)</f>
        <v>0</v>
      </c>
      <c r="AC830" s="65">
        <f>MAX(0,tblWorkPackages[[#This Row],[Completion date serial]]-tblWorkPackages[[#This Row],[Due date serial]])</f>
        <v>0</v>
      </c>
      <c r="AD830" s="65">
        <f>tblWorkPackages[[#This Row],[First labor date]]-tblWorkPackages[[#This Row],[Request date serial]]</f>
        <v>12</v>
      </c>
      <c r="AE830" s="65">
        <f>tblWorkPackages[[#This Row],[Last labor date]]-tblWorkPackages[[#This Row],[First labor date]]</f>
        <v>1</v>
      </c>
      <c r="AF830" s="65">
        <f>tblWorkPackages[[#This Row],[Completion date serial]]-tblWorkPackages[[#This Row],[Last labor date]]</f>
        <v>0</v>
      </c>
      <c r="AG830" s="65">
        <f>tblWorkPackages[[#This Row],[Completion date serial]]-tblWorkPackages[[#This Row],[Request date serial]]</f>
        <v>13</v>
      </c>
      <c r="AH830" s="65">
        <f>IFERROR(INDEX(tblParts[Delay days],MATCH(tblWorkPackages[[#This Row],[Work package ID]],tblParts[Work package ID],0)),0)</f>
        <v>9</v>
      </c>
      <c r="AI830" s="51" t="str">
        <f>IFERROR(INDEX(tblDisruptions[Event type],MATCH(tblWorkPackages[[#This Row],[Work package ID]],tblDisruptions[Work package ID],0)),"None")</f>
        <v>Part delay</v>
      </c>
      <c r="AJ830" s="51" t="str">
        <f>TEXT(tblWorkPackages[[#This Row],[Due date serial]],"yyyy-mm")</f>
        <v>2024-07</v>
      </c>
    </row>
    <row r="831" spans="1:36" ht="15" x14ac:dyDescent="0.25">
      <c r="A831" s="53" t="s">
        <v>1712</v>
      </c>
      <c r="B831" s="53" t="s">
        <v>124</v>
      </c>
      <c r="C831" s="53" t="s">
        <v>462</v>
      </c>
      <c r="D831" s="53" t="s">
        <v>463</v>
      </c>
      <c r="E831" s="53" t="s">
        <v>237</v>
      </c>
      <c r="F831" s="53" t="s">
        <v>182</v>
      </c>
      <c r="G831" s="53" t="s">
        <v>138</v>
      </c>
      <c r="H831" s="53">
        <v>3</v>
      </c>
      <c r="I831" s="53" t="s">
        <v>176</v>
      </c>
      <c r="J831" s="53">
        <v>0</v>
      </c>
      <c r="K831" s="53">
        <v>0</v>
      </c>
      <c r="L831" s="53">
        <v>6.5</v>
      </c>
      <c r="M831" s="53" t="s">
        <v>422</v>
      </c>
      <c r="N831" s="53">
        <v>7.6</v>
      </c>
      <c r="O831" s="51" t="str">
        <f>TEXT(tblWorkPackages[[#This Row],[Request date serial]]-WEEKDAY(tblWorkPackages[[#This Row],[Request date serial]],3),"yyyy-mm-dd")</f>
        <v>2025-09-22</v>
      </c>
      <c r="P831" s="51">
        <f>ABS(tblWorkPackages[[#This Row],[Actual labor hours]]-tblWorkPackages[[#This Row],[Estimated labor hours]])</f>
        <v>1.1</v>
      </c>
      <c r="Q831" s="51">
        <f>IF(tblWorkPackages[[#This Row],[Actual labor hours]]&gt;tblWorkPackages[[#This Row],[Estimated labor hours]],1,0)</f>
        <v>1</v>
      </c>
      <c r="R831" s="51">
        <f>tblWorkPackages[[#This Row],[Actual labor hours]]-tblWorkPackages[[#This Row],[Estimated labor hours]]</f>
        <v>1.1</v>
      </c>
      <c r="S831" s="51" t="str">
        <f>IF(tblWorkPackages[[#This Row],[Request date serial]]&lt;ValidationStart,"Train 2024",IF(tblWorkPackages[[#This Row],[Request date serial]]&lt;HoldoutStart,"Validation H1","Holdout H2"))</f>
        <v>Holdout H2</v>
      </c>
      <c r="T831" s="51">
        <f>IF(tblWorkPackages[[#This Row],[Time split]]="Train 2024","",tblWorkPackages[[#This Row],[Estimated labor hours]]+VLOOKUP(tblWorkPackages[[#This Row],[Task type]],'Forecast validation'!$A$14:$E$25,IF(tblWorkPackages[[#This Row],[Time split]]="Validation H1",4,5),FALSE()))</f>
        <v>6.953125</v>
      </c>
      <c r="U831" s="51">
        <f>IF(tblWorkPackages[[#This Row],[Calibrated forecast hours]]="","",ABS(tblWorkPackages[[#This Row],[Actual labor hours]]-tblWorkPackages[[#This Row],[Calibrated forecast hours]]))</f>
        <v>0.646875</v>
      </c>
      <c r="V831" s="51">
        <f>IF(tblWorkPackages[[#This Row],[Time split]]="Train 2024",tblWorkPackages[[#This Row],[Estimated labor hours]],tblWorkPackages[[#This Row],[Calibrated forecast hours]])</f>
        <v>6.953125</v>
      </c>
      <c r="W831" s="64">
        <f>DATEVALUE(tblWorkPackages[[#This Row],[Request date]])</f>
        <v>45925.0</v>
      </c>
      <c r="X831" s="64">
        <f>DATEVALUE(tblWorkPackages[[#This Row],[Due date]])</f>
        <v>45931.0</v>
      </c>
      <c r="Y831" s="64">
        <f>DATEVALUE(tblWorkPackages[[#This Row],[Completion date]])</f>
        <v>45973.0</v>
      </c>
      <c r="Z831" s="64">
        <f>_xlfn.MINIFS(tblLaborEntries[Work date serial],tblLaborEntries[Work package ID],tblWorkPackages[[#This Row],[Work package ID]])</f>
        <v>45971.0</v>
      </c>
      <c r="AA831" s="64">
        <f>_xlfn.MAXIFS(tblLaborEntries[Work date serial],tblLaborEntries[Work package ID],tblWorkPackages[[#This Row],[Work package ID]])</f>
        <v>45972.0</v>
      </c>
      <c r="AB831" s="65">
        <f>IF(tblWorkPackages[[#This Row],[Completion date serial]]&gt;tblWorkPackages[[#This Row],[Due date serial]],1,0)</f>
        <v>1</v>
      </c>
      <c r="AC831" s="65">
        <f>MAX(0,tblWorkPackages[[#This Row],[Completion date serial]]-tblWorkPackages[[#This Row],[Due date serial]])</f>
        <v>42</v>
      </c>
      <c r="AD831" s="65">
        <f>tblWorkPackages[[#This Row],[First labor date]]-tblWorkPackages[[#This Row],[Request date serial]]</f>
        <v>46</v>
      </c>
      <c r="AE831" s="65">
        <f>tblWorkPackages[[#This Row],[Last labor date]]-tblWorkPackages[[#This Row],[First labor date]]</f>
        <v>1</v>
      </c>
      <c r="AF831" s="65">
        <f>tblWorkPackages[[#This Row],[Completion date serial]]-tblWorkPackages[[#This Row],[Last labor date]]</f>
        <v>1</v>
      </c>
      <c r="AG831" s="65">
        <f>tblWorkPackages[[#This Row],[Completion date serial]]-tblWorkPackages[[#This Row],[Request date serial]]</f>
        <v>48</v>
      </c>
      <c r="AH831" s="65">
        <f>IFERROR(INDEX(tblParts[Delay days],MATCH(tblWorkPackages[[#This Row],[Work package ID]],tblParts[Work package ID],0)),0)</f>
        <v>0</v>
      </c>
      <c r="AI831" s="51" t="str">
        <f>IFERROR(INDEX(tblDisruptions[Event type],MATCH(tblWorkPackages[[#This Row],[Work package ID]],tblDisruptions[Work package ID],0)),"None")</f>
        <v>None</v>
      </c>
      <c r="AJ831" s="51" t="str">
        <f>TEXT(tblWorkPackages[[#This Row],[Due date serial]],"yyyy-mm")</f>
        <v>2025-10</v>
      </c>
    </row>
    <row r="832" spans="1:36" ht="15" x14ac:dyDescent="0.25">
      <c r="A832" s="53" t="s">
        <v>1713</v>
      </c>
      <c r="B832" s="53" t="s">
        <v>124</v>
      </c>
      <c r="C832" s="53" t="s">
        <v>131</v>
      </c>
      <c r="D832" s="53" t="s">
        <v>1076</v>
      </c>
      <c r="E832" s="53" t="s">
        <v>144</v>
      </c>
      <c r="F832" s="53" t="s">
        <v>145</v>
      </c>
      <c r="G832" s="53" t="s">
        <v>146</v>
      </c>
      <c r="H832" s="53">
        <v>1</v>
      </c>
      <c r="I832" s="53" t="s">
        <v>130</v>
      </c>
      <c r="J832" s="53">
        <v>0</v>
      </c>
      <c r="K832" s="53">
        <v>0</v>
      </c>
      <c r="L832" s="53">
        <v>7.8</v>
      </c>
      <c r="M832" s="53" t="s">
        <v>597</v>
      </c>
      <c r="N832" s="53">
        <v>6.2</v>
      </c>
      <c r="O832" s="51" t="str">
        <f>TEXT(tblWorkPackages[[#This Row],[Request date serial]]-WEEKDAY(tblWorkPackages[[#This Row],[Request date serial]],3),"yyyy-mm-dd")</f>
        <v>2025-05-12</v>
      </c>
      <c r="P832" s="51">
        <f>ABS(tblWorkPackages[[#This Row],[Actual labor hours]]-tblWorkPackages[[#This Row],[Estimated labor hours]])</f>
        <v>1.6</v>
      </c>
      <c r="Q832" s="51">
        <f>IF(tblWorkPackages[[#This Row],[Actual labor hours]]&gt;tblWorkPackages[[#This Row],[Estimated labor hours]],1,0)</f>
        <v>0</v>
      </c>
      <c r="R832" s="51">
        <f>tblWorkPackages[[#This Row],[Actual labor hours]]-tblWorkPackages[[#This Row],[Estimated labor hours]]</f>
        <v>-1.6</v>
      </c>
      <c r="S832" s="51" t="str">
        <f>IF(tblWorkPackages[[#This Row],[Request date serial]]&lt;ValidationStart,"Train 2024",IF(tblWorkPackages[[#This Row],[Request date serial]]&lt;HoldoutStart,"Validation H1","Holdout H2"))</f>
        <v>Validation H1</v>
      </c>
      <c r="T832" s="51">
        <f>IF(tblWorkPackages[[#This Row],[Time split]]="Train 2024","",tblWorkPackages[[#This Row],[Estimated labor hours]]+VLOOKUP(tblWorkPackages[[#This Row],[Task type]],'Forecast validation'!$A$14:$E$25,IF(tblWorkPackages[[#This Row],[Time split]]="Validation H1",4,5),FALSE()))</f>
        <v>8.55473684210526</v>
      </c>
      <c r="U832" s="51">
        <f>IF(tblWorkPackages[[#This Row],[Calibrated forecast hours]]="","",ABS(tblWorkPackages[[#This Row],[Actual labor hours]]-tblWorkPackages[[#This Row],[Calibrated forecast hours]]))</f>
        <v>2.35473684210526</v>
      </c>
      <c r="V832" s="51">
        <f>IF(tblWorkPackages[[#This Row],[Time split]]="Train 2024",tblWorkPackages[[#This Row],[Estimated labor hours]],tblWorkPackages[[#This Row],[Calibrated forecast hours]])</f>
        <v>8.55473684210526</v>
      </c>
      <c r="W832" s="64">
        <f>DATEVALUE(tblWorkPackages[[#This Row],[Request date]])</f>
        <v>45791.0</v>
      </c>
      <c r="X832" s="64">
        <f>DATEVALUE(tblWorkPackages[[#This Row],[Due date]])</f>
        <v>45804.0</v>
      </c>
      <c r="Y832" s="64">
        <f>DATEVALUE(tblWorkPackages[[#This Row],[Completion date]])</f>
        <v>45803.0</v>
      </c>
      <c r="Z832" s="64">
        <f>_xlfn.MINIFS(tblLaborEntries[Work date serial],tblLaborEntries[Work package ID],tblWorkPackages[[#This Row],[Work package ID]])</f>
        <v>45799.0</v>
      </c>
      <c r="AA832" s="64">
        <f>_xlfn.MAXIFS(tblLaborEntries[Work date serial],tblLaborEntries[Work package ID],tblWorkPackages[[#This Row],[Work package ID]])</f>
        <v>45801.0</v>
      </c>
      <c r="AB832" s="65">
        <f>IF(tblWorkPackages[[#This Row],[Completion date serial]]&gt;tblWorkPackages[[#This Row],[Due date serial]],1,0)</f>
        <v>0</v>
      </c>
      <c r="AC832" s="65">
        <f>MAX(0,tblWorkPackages[[#This Row],[Completion date serial]]-tblWorkPackages[[#This Row],[Due date serial]])</f>
        <v>0</v>
      </c>
      <c r="AD832" s="65">
        <f>tblWorkPackages[[#This Row],[First labor date]]-tblWorkPackages[[#This Row],[Request date serial]]</f>
        <v>8</v>
      </c>
      <c r="AE832" s="65">
        <f>tblWorkPackages[[#This Row],[Last labor date]]-tblWorkPackages[[#This Row],[First labor date]]</f>
        <v>2</v>
      </c>
      <c r="AF832" s="65">
        <f>tblWorkPackages[[#This Row],[Completion date serial]]-tblWorkPackages[[#This Row],[Last labor date]]</f>
        <v>2</v>
      </c>
      <c r="AG832" s="65">
        <f>tblWorkPackages[[#This Row],[Completion date serial]]-tblWorkPackages[[#This Row],[Request date serial]]</f>
        <v>12</v>
      </c>
      <c r="AH832" s="65">
        <f>IFERROR(INDEX(tblParts[Delay days],MATCH(tblWorkPackages[[#This Row],[Work package ID]],tblParts[Work package ID],0)),0)</f>
        <v>0</v>
      </c>
      <c r="AI832" s="51" t="str">
        <f>IFERROR(INDEX(tblDisruptions[Event type],MATCH(tblWorkPackages[[#This Row],[Work package ID]],tblDisruptions[Work package ID],0)),"None")</f>
        <v>None</v>
      </c>
      <c r="AJ832" s="51" t="str">
        <f>TEXT(tblWorkPackages[[#This Row],[Due date serial]],"yyyy-mm")</f>
        <v>2025-05</v>
      </c>
    </row>
    <row r="833" spans="1:36" ht="15" x14ac:dyDescent="0.25">
      <c r="A833" s="53" t="s">
        <v>1714</v>
      </c>
      <c r="B833" s="53" t="s">
        <v>185</v>
      </c>
      <c r="C833" s="53" t="s">
        <v>535</v>
      </c>
      <c r="D833" s="53" t="s">
        <v>793</v>
      </c>
      <c r="E833" s="53" t="s">
        <v>242</v>
      </c>
      <c r="F833" s="53" t="s">
        <v>243</v>
      </c>
      <c r="G833" s="53" t="s">
        <v>129</v>
      </c>
      <c r="H833" s="53">
        <v>2</v>
      </c>
      <c r="I833" s="53" t="s">
        <v>176</v>
      </c>
      <c r="J833" s="53">
        <v>0</v>
      </c>
      <c r="K833" s="53">
        <v>0</v>
      </c>
      <c r="L833" s="53">
        <v>8.1</v>
      </c>
      <c r="M833" s="53" t="s">
        <v>793</v>
      </c>
      <c r="N833" s="53">
        <v>7.3</v>
      </c>
      <c r="O833" s="51" t="str">
        <f>TEXT(tblWorkPackages[[#This Row],[Request date serial]]-WEEKDAY(tblWorkPackages[[#This Row],[Request date serial]],3),"yyyy-mm-dd")</f>
        <v>2024-11-04</v>
      </c>
      <c r="P833" s="51">
        <f>ABS(tblWorkPackages[[#This Row],[Actual labor hours]]-tblWorkPackages[[#This Row],[Estimated labor hours]])</f>
        <v>0.8</v>
      </c>
      <c r="Q833" s="51">
        <f>IF(tblWorkPackages[[#This Row],[Actual labor hours]]&gt;tblWorkPackages[[#This Row],[Estimated labor hours]],1,0)</f>
        <v>0</v>
      </c>
      <c r="R833" s="51">
        <f>tblWorkPackages[[#This Row],[Actual labor hours]]-tblWorkPackages[[#This Row],[Estimated labor hours]]</f>
        <v>-0.8</v>
      </c>
      <c r="S833" s="51" t="str">
        <f>IF(tblWorkPackages[[#This Row],[Request date serial]]&lt;ValidationStart,"Train 2024",IF(tblWorkPackages[[#This Row],[Request date serial]]&lt;HoldoutStart,"Validation H1","Holdout H2"))</f>
        <v>Train 2024</v>
      </c>
      <c r="T833" s="51" t="str">
        <f>IF(tblWorkPackages[[#This Row],[Time split]]="Train 2024","",tblWorkPackages[[#This Row],[Estimated labor hours]]+VLOOKUP(tblWorkPackages[[#This Row],[Task type]],'Forecast validation'!$A$14:$E$25,IF(tblWorkPackages[[#This Row],[Time split]]="Validation H1",4,5),FALSE()))</f>
        <v/>
      </c>
      <c r="U833" s="51" t="str">
        <f>IF(tblWorkPackages[[#This Row],[Calibrated forecast hours]]="","",ABS(tblWorkPackages[[#This Row],[Actual labor hours]]-tblWorkPackages[[#This Row],[Calibrated forecast hours]]))</f>
        <v/>
      </c>
      <c r="V833" s="51">
        <f>IF(tblWorkPackages[[#This Row],[Time split]]="Train 2024",tblWorkPackages[[#This Row],[Estimated labor hours]],tblWorkPackages[[#This Row],[Calibrated forecast hours]])</f>
        <v>8.1</v>
      </c>
      <c r="W833" s="64">
        <f>DATEVALUE(tblWorkPackages[[#This Row],[Request date]])</f>
        <v>45602.0</v>
      </c>
      <c r="X833" s="64">
        <f>DATEVALUE(tblWorkPackages[[#This Row],[Due date]])</f>
        <v>45608.0</v>
      </c>
      <c r="Y833" s="64">
        <f>DATEVALUE(tblWorkPackages[[#This Row],[Completion date]])</f>
        <v>45608.0</v>
      </c>
      <c r="Z833" s="64">
        <f>_xlfn.MINIFS(tblLaborEntries[Work date serial],tblLaborEntries[Work package ID],tblWorkPackages[[#This Row],[Work package ID]])</f>
        <v>45604.0</v>
      </c>
      <c r="AA833" s="64">
        <f>_xlfn.MAXIFS(tblLaborEntries[Work date serial],tblLaborEntries[Work package ID],tblWorkPackages[[#This Row],[Work package ID]])</f>
        <v>45605.0</v>
      </c>
      <c r="AB833" s="65">
        <f>IF(tblWorkPackages[[#This Row],[Completion date serial]]&gt;tblWorkPackages[[#This Row],[Due date serial]],1,0)</f>
        <v>0</v>
      </c>
      <c r="AC833" s="65">
        <f>MAX(0,tblWorkPackages[[#This Row],[Completion date serial]]-tblWorkPackages[[#This Row],[Due date serial]])</f>
        <v>0</v>
      </c>
      <c r="AD833" s="65">
        <f>tblWorkPackages[[#This Row],[First labor date]]-tblWorkPackages[[#This Row],[Request date serial]]</f>
        <v>2</v>
      </c>
      <c r="AE833" s="65">
        <f>tblWorkPackages[[#This Row],[Last labor date]]-tblWorkPackages[[#This Row],[First labor date]]</f>
        <v>1</v>
      </c>
      <c r="AF833" s="65">
        <f>tblWorkPackages[[#This Row],[Completion date serial]]-tblWorkPackages[[#This Row],[Last labor date]]</f>
        <v>3</v>
      </c>
      <c r="AG833" s="65">
        <f>tblWorkPackages[[#This Row],[Completion date serial]]-tblWorkPackages[[#This Row],[Request date serial]]</f>
        <v>6</v>
      </c>
      <c r="AH833" s="65">
        <f>IFERROR(INDEX(tblParts[Delay days],MATCH(tblWorkPackages[[#This Row],[Work package ID]],tblParts[Work package ID],0)),0)</f>
        <v>0</v>
      </c>
      <c r="AI833" s="51" t="str">
        <f>IFERROR(INDEX(tblDisruptions[Event type],MATCH(tblWorkPackages[[#This Row],[Work package ID]],tblDisruptions[Work package ID],0)),"None")</f>
        <v>Repeat inspection</v>
      </c>
      <c r="AJ833" s="51" t="str">
        <f>TEXT(tblWorkPackages[[#This Row],[Due date serial]],"yyyy-mm")</f>
        <v>2024-11</v>
      </c>
    </row>
    <row r="834" spans="1:36" ht="15" x14ac:dyDescent="0.25">
      <c r="A834" s="53" t="s">
        <v>1715</v>
      </c>
      <c r="B834" s="53" t="s">
        <v>203</v>
      </c>
      <c r="C834" s="53" t="s">
        <v>1398</v>
      </c>
      <c r="D834" s="53" t="s">
        <v>217</v>
      </c>
      <c r="E834" s="53" t="s">
        <v>200</v>
      </c>
      <c r="F834" s="53" t="s">
        <v>128</v>
      </c>
      <c r="G834" s="53" t="s">
        <v>129</v>
      </c>
      <c r="H834" s="53">
        <v>2</v>
      </c>
      <c r="I834" s="53" t="s">
        <v>176</v>
      </c>
      <c r="J834" s="53">
        <v>0</v>
      </c>
      <c r="K834" s="53">
        <v>1</v>
      </c>
      <c r="L834" s="53">
        <v>2.6</v>
      </c>
      <c r="M834" s="53" t="s">
        <v>218</v>
      </c>
      <c r="N834" s="53">
        <v>3</v>
      </c>
      <c r="O834" s="51" t="str">
        <f>TEXT(tblWorkPackages[[#This Row],[Request date serial]]-WEEKDAY(tblWorkPackages[[#This Row],[Request date serial]],3),"yyyy-mm-dd")</f>
        <v>2025-12-01</v>
      </c>
      <c r="P834" s="51">
        <f>ABS(tblWorkPackages[[#This Row],[Actual labor hours]]-tblWorkPackages[[#This Row],[Estimated labor hours]])</f>
        <v>0.4</v>
      </c>
      <c r="Q834" s="51">
        <f>IF(tblWorkPackages[[#This Row],[Actual labor hours]]&gt;tblWorkPackages[[#This Row],[Estimated labor hours]],1,0)</f>
        <v>1</v>
      </c>
      <c r="R834" s="51">
        <f>tblWorkPackages[[#This Row],[Actual labor hours]]-tblWorkPackages[[#This Row],[Estimated labor hours]]</f>
        <v>0.4</v>
      </c>
      <c r="S834" s="51" t="str">
        <f>IF(tblWorkPackages[[#This Row],[Request date serial]]&lt;ValidationStart,"Train 2024",IF(tblWorkPackages[[#This Row],[Request date serial]]&lt;HoldoutStart,"Validation H1","Holdout H2"))</f>
        <v>Holdout H2</v>
      </c>
      <c r="T834" s="51">
        <f>IF(tblWorkPackages[[#This Row],[Time split]]="Train 2024","",tblWorkPackages[[#This Row],[Estimated labor hours]]+VLOOKUP(tblWorkPackages[[#This Row],[Task type]],'Forecast validation'!$A$14:$E$25,IF(tblWorkPackages[[#This Row],[Time split]]="Validation H1",4,5),FALSE()))</f>
        <v>2.92893081761006</v>
      </c>
      <c r="U834" s="51">
        <f>IF(tblWorkPackages[[#This Row],[Calibrated forecast hours]]="","",ABS(tblWorkPackages[[#This Row],[Actual labor hours]]-tblWorkPackages[[#This Row],[Calibrated forecast hours]]))</f>
        <v>0.071069182389937</v>
      </c>
      <c r="V834" s="51">
        <f>IF(tblWorkPackages[[#This Row],[Time split]]="Train 2024",tblWorkPackages[[#This Row],[Estimated labor hours]],tblWorkPackages[[#This Row],[Calibrated forecast hours]])</f>
        <v>2.92893081761006</v>
      </c>
      <c r="W834" s="64">
        <f>DATEVALUE(tblWorkPackages[[#This Row],[Request date]])</f>
        <v>45998.0</v>
      </c>
      <c r="X834" s="64">
        <f>DATEVALUE(tblWorkPackages[[#This Row],[Due date]])</f>
        <v>46004.0</v>
      </c>
      <c r="Y834" s="64">
        <f>DATEVALUE(tblWorkPackages[[#This Row],[Completion date]])</f>
        <v>46017.0</v>
      </c>
      <c r="Z834" s="64">
        <f>_xlfn.MINIFS(tblLaborEntries[Work date serial],tblLaborEntries[Work package ID],tblWorkPackages[[#This Row],[Work package ID]])</f>
        <v>46017.0</v>
      </c>
      <c r="AA834" s="64">
        <f>_xlfn.MAXIFS(tblLaborEntries[Work date serial],tblLaborEntries[Work package ID],tblWorkPackages[[#This Row],[Work package ID]])</f>
        <v>46017.0</v>
      </c>
      <c r="AB834" s="65">
        <f>IF(tblWorkPackages[[#This Row],[Completion date serial]]&gt;tblWorkPackages[[#This Row],[Due date serial]],1,0)</f>
        <v>1</v>
      </c>
      <c r="AC834" s="65">
        <f>MAX(0,tblWorkPackages[[#This Row],[Completion date serial]]-tblWorkPackages[[#This Row],[Due date serial]])</f>
        <v>13</v>
      </c>
      <c r="AD834" s="65">
        <f>tblWorkPackages[[#This Row],[First labor date]]-tblWorkPackages[[#This Row],[Request date serial]]</f>
        <v>19</v>
      </c>
      <c r="AE834" s="65">
        <f>tblWorkPackages[[#This Row],[Last labor date]]-tblWorkPackages[[#This Row],[First labor date]]</f>
        <v>0</v>
      </c>
      <c r="AF834" s="65">
        <f>tblWorkPackages[[#This Row],[Completion date serial]]-tblWorkPackages[[#This Row],[Last labor date]]</f>
        <v>0</v>
      </c>
      <c r="AG834" s="65">
        <f>tblWorkPackages[[#This Row],[Completion date serial]]-tblWorkPackages[[#This Row],[Request date serial]]</f>
        <v>19</v>
      </c>
      <c r="AH834" s="65">
        <f>IFERROR(INDEX(tblParts[Delay days],MATCH(tblWorkPackages[[#This Row],[Work package ID]],tblParts[Work package ID],0)),0)</f>
        <v>0</v>
      </c>
      <c r="AI834" s="51" t="str">
        <f>IFERROR(INDEX(tblDisruptions[Event type],MATCH(tblWorkPackages[[#This Row],[Work package ID]],tblDisruptions[Work package ID],0)),"None")</f>
        <v>None</v>
      </c>
      <c r="AJ834" s="51" t="str">
        <f>TEXT(tblWorkPackages[[#This Row],[Due date serial]],"yyyy-mm")</f>
        <v>2025-12</v>
      </c>
    </row>
    <row r="835" spans="1:36" ht="15" x14ac:dyDescent="0.25">
      <c r="A835" s="53" t="s">
        <v>1716</v>
      </c>
      <c r="B835" s="53" t="s">
        <v>287</v>
      </c>
      <c r="C835" s="53" t="s">
        <v>1457</v>
      </c>
      <c r="D835" s="53" t="s">
        <v>926</v>
      </c>
      <c r="E835" s="53" t="s">
        <v>153</v>
      </c>
      <c r="F835" s="53" t="s">
        <v>128</v>
      </c>
      <c r="G835" s="53" t="s">
        <v>154</v>
      </c>
      <c r="H835" s="53">
        <v>1</v>
      </c>
      <c r="I835" s="53" t="s">
        <v>176</v>
      </c>
      <c r="J835" s="53">
        <v>0</v>
      </c>
      <c r="K835" s="53">
        <v>0</v>
      </c>
      <c r="L835" s="53">
        <v>6.8</v>
      </c>
      <c r="M835" s="53" t="s">
        <v>748</v>
      </c>
      <c r="N835" s="53">
        <v>7.9</v>
      </c>
      <c r="O835" s="51" t="str">
        <f>TEXT(tblWorkPackages[[#This Row],[Request date serial]]-WEEKDAY(tblWorkPackages[[#This Row],[Request date serial]],3),"yyyy-mm-dd")</f>
        <v>2024-02-12</v>
      </c>
      <c r="P835" s="51">
        <f>ABS(tblWorkPackages[[#This Row],[Actual labor hours]]-tblWorkPackages[[#This Row],[Estimated labor hours]])</f>
        <v>1.1</v>
      </c>
      <c r="Q835" s="51">
        <f>IF(tblWorkPackages[[#This Row],[Actual labor hours]]&gt;tblWorkPackages[[#This Row],[Estimated labor hours]],1,0)</f>
        <v>1</v>
      </c>
      <c r="R835" s="51">
        <f>tblWorkPackages[[#This Row],[Actual labor hours]]-tblWorkPackages[[#This Row],[Estimated labor hours]]</f>
        <v>1.1</v>
      </c>
      <c r="S835" s="51" t="str">
        <f>IF(tblWorkPackages[[#This Row],[Request date serial]]&lt;ValidationStart,"Train 2024",IF(tblWorkPackages[[#This Row],[Request date serial]]&lt;HoldoutStart,"Validation H1","Holdout H2"))</f>
        <v>Train 2024</v>
      </c>
      <c r="T835" s="51" t="str">
        <f>IF(tblWorkPackages[[#This Row],[Time split]]="Train 2024","",tblWorkPackages[[#This Row],[Estimated labor hours]]+VLOOKUP(tblWorkPackages[[#This Row],[Task type]],'Forecast validation'!$A$14:$E$25,IF(tblWorkPackages[[#This Row],[Time split]]="Validation H1",4,5),FALSE()))</f>
        <v/>
      </c>
      <c r="U835" s="51" t="str">
        <f>IF(tblWorkPackages[[#This Row],[Calibrated forecast hours]]="","",ABS(tblWorkPackages[[#This Row],[Actual labor hours]]-tblWorkPackages[[#This Row],[Calibrated forecast hours]]))</f>
        <v/>
      </c>
      <c r="V835" s="51">
        <f>IF(tblWorkPackages[[#This Row],[Time split]]="Train 2024",tblWorkPackages[[#This Row],[Estimated labor hours]],tblWorkPackages[[#This Row],[Calibrated forecast hours]])</f>
        <v>6.8</v>
      </c>
      <c r="W835" s="64">
        <f>DATEVALUE(tblWorkPackages[[#This Row],[Request date]])</f>
        <v>45334.0</v>
      </c>
      <c r="X835" s="64">
        <f>DATEVALUE(tblWorkPackages[[#This Row],[Due date]])</f>
        <v>45340.0</v>
      </c>
      <c r="Y835" s="64">
        <f>DATEVALUE(tblWorkPackages[[#This Row],[Completion date]])</f>
        <v>45339.0</v>
      </c>
      <c r="Z835" s="64">
        <f>_xlfn.MINIFS(tblLaborEntries[Work date serial],tblLaborEntries[Work package ID],tblWorkPackages[[#This Row],[Work package ID]])</f>
        <v>45338.0</v>
      </c>
      <c r="AA835" s="64">
        <f>_xlfn.MAXIFS(tblLaborEntries[Work date serial],tblLaborEntries[Work package ID],tblWorkPackages[[#This Row],[Work package ID]])</f>
        <v>45338.0</v>
      </c>
      <c r="AB835" s="65">
        <f>IF(tblWorkPackages[[#This Row],[Completion date serial]]&gt;tblWorkPackages[[#This Row],[Due date serial]],1,0)</f>
        <v>0</v>
      </c>
      <c r="AC835" s="65">
        <f>MAX(0,tblWorkPackages[[#This Row],[Completion date serial]]-tblWorkPackages[[#This Row],[Due date serial]])</f>
        <v>0</v>
      </c>
      <c r="AD835" s="65">
        <f>tblWorkPackages[[#This Row],[First labor date]]-tblWorkPackages[[#This Row],[Request date serial]]</f>
        <v>4</v>
      </c>
      <c r="AE835" s="65">
        <f>tblWorkPackages[[#This Row],[Last labor date]]-tblWorkPackages[[#This Row],[First labor date]]</f>
        <v>0</v>
      </c>
      <c r="AF835" s="65">
        <f>tblWorkPackages[[#This Row],[Completion date serial]]-tblWorkPackages[[#This Row],[Last labor date]]</f>
        <v>1</v>
      </c>
      <c r="AG835" s="65">
        <f>tblWorkPackages[[#This Row],[Completion date serial]]-tblWorkPackages[[#This Row],[Request date serial]]</f>
        <v>5</v>
      </c>
      <c r="AH835" s="65">
        <f>IFERROR(INDEX(tblParts[Delay days],MATCH(tblWorkPackages[[#This Row],[Work package ID]],tblParts[Work package ID],0)),0)</f>
        <v>0</v>
      </c>
      <c r="AI835" s="51" t="str">
        <f>IFERROR(INDEX(tblDisruptions[Event type],MATCH(tblWorkPackages[[#This Row],[Work package ID]],tblDisruptions[Work package ID],0)),"None")</f>
        <v>None</v>
      </c>
      <c r="AJ835" s="51" t="str">
        <f>TEXT(tblWorkPackages[[#This Row],[Due date serial]],"yyyy-mm")</f>
        <v>2024-02</v>
      </c>
    </row>
    <row r="836" spans="1:36" ht="15" x14ac:dyDescent="0.25">
      <c r="A836" s="53" t="s">
        <v>1717</v>
      </c>
      <c r="B836" s="53" t="s">
        <v>185</v>
      </c>
      <c r="C836" s="53" t="s">
        <v>854</v>
      </c>
      <c r="D836" s="53" t="s">
        <v>1089</v>
      </c>
      <c r="E836" s="53" t="s">
        <v>153</v>
      </c>
      <c r="F836" s="53" t="s">
        <v>128</v>
      </c>
      <c r="G836" s="53" t="s">
        <v>154</v>
      </c>
      <c r="H836" s="53">
        <v>3</v>
      </c>
      <c r="I836" s="53" t="s">
        <v>130</v>
      </c>
      <c r="J836" s="53">
        <v>0</v>
      </c>
      <c r="K836" s="53">
        <v>0</v>
      </c>
      <c r="L836" s="53">
        <v>13.7</v>
      </c>
      <c r="M836" s="53" t="s">
        <v>390</v>
      </c>
      <c r="N836" s="53">
        <v>10.6</v>
      </c>
      <c r="O836" s="51" t="str">
        <f>TEXT(tblWorkPackages[[#This Row],[Request date serial]]-WEEKDAY(tblWorkPackages[[#This Row],[Request date serial]],3),"yyyy-mm-dd")</f>
        <v>2024-07-15</v>
      </c>
      <c r="P836" s="51">
        <f>ABS(tblWorkPackages[[#This Row],[Actual labor hours]]-tblWorkPackages[[#This Row],[Estimated labor hours]])</f>
        <v>3.1</v>
      </c>
      <c r="Q836" s="51">
        <f>IF(tblWorkPackages[[#This Row],[Actual labor hours]]&gt;tblWorkPackages[[#This Row],[Estimated labor hours]],1,0)</f>
        <v>0</v>
      </c>
      <c r="R836" s="51">
        <f>tblWorkPackages[[#This Row],[Actual labor hours]]-tblWorkPackages[[#This Row],[Estimated labor hours]]</f>
        <v>-3.1</v>
      </c>
      <c r="S836" s="51" t="str">
        <f>IF(tblWorkPackages[[#This Row],[Request date serial]]&lt;ValidationStart,"Train 2024",IF(tblWorkPackages[[#This Row],[Request date serial]]&lt;HoldoutStart,"Validation H1","Holdout H2"))</f>
        <v>Train 2024</v>
      </c>
      <c r="T836" s="51" t="str">
        <f>IF(tblWorkPackages[[#This Row],[Time split]]="Train 2024","",tblWorkPackages[[#This Row],[Estimated labor hours]]+VLOOKUP(tblWorkPackages[[#This Row],[Task type]],'Forecast validation'!$A$14:$E$25,IF(tblWorkPackages[[#This Row],[Time split]]="Validation H1",4,5),FALSE()))</f>
        <v/>
      </c>
      <c r="U836" s="51" t="str">
        <f>IF(tblWorkPackages[[#This Row],[Calibrated forecast hours]]="","",ABS(tblWorkPackages[[#This Row],[Actual labor hours]]-tblWorkPackages[[#This Row],[Calibrated forecast hours]]))</f>
        <v/>
      </c>
      <c r="V836" s="51">
        <f>IF(tblWorkPackages[[#This Row],[Time split]]="Train 2024",tblWorkPackages[[#This Row],[Estimated labor hours]],tblWorkPackages[[#This Row],[Calibrated forecast hours]])</f>
        <v>13.7</v>
      </c>
      <c r="W836" s="64">
        <f>DATEVALUE(tblWorkPackages[[#This Row],[Request date]])</f>
        <v>45492.0</v>
      </c>
      <c r="X836" s="64">
        <f>DATEVALUE(tblWorkPackages[[#This Row],[Due date]])</f>
        <v>45505.0</v>
      </c>
      <c r="Y836" s="64">
        <f>DATEVALUE(tblWorkPackages[[#This Row],[Completion date]])</f>
        <v>45497.0</v>
      </c>
      <c r="Z836" s="64">
        <f>_xlfn.MINIFS(tblLaborEntries[Work date serial],tblLaborEntries[Work package ID],tblWorkPackages[[#This Row],[Work package ID]])</f>
        <v>45493.0</v>
      </c>
      <c r="AA836" s="64">
        <f>_xlfn.MAXIFS(tblLaborEntries[Work date serial],tblLaborEntries[Work package ID],tblWorkPackages[[#This Row],[Work package ID]])</f>
        <v>45495.0</v>
      </c>
      <c r="AB836" s="65">
        <f>IF(tblWorkPackages[[#This Row],[Completion date serial]]&gt;tblWorkPackages[[#This Row],[Due date serial]],1,0)</f>
        <v>0</v>
      </c>
      <c r="AC836" s="65">
        <f>MAX(0,tblWorkPackages[[#This Row],[Completion date serial]]-tblWorkPackages[[#This Row],[Due date serial]])</f>
        <v>0</v>
      </c>
      <c r="AD836" s="65">
        <f>tblWorkPackages[[#This Row],[First labor date]]-tblWorkPackages[[#This Row],[Request date serial]]</f>
        <v>1</v>
      </c>
      <c r="AE836" s="65">
        <f>tblWorkPackages[[#This Row],[Last labor date]]-tblWorkPackages[[#This Row],[First labor date]]</f>
        <v>2</v>
      </c>
      <c r="AF836" s="65">
        <f>tblWorkPackages[[#This Row],[Completion date serial]]-tblWorkPackages[[#This Row],[Last labor date]]</f>
        <v>2</v>
      </c>
      <c r="AG836" s="65">
        <f>tblWorkPackages[[#This Row],[Completion date serial]]-tblWorkPackages[[#This Row],[Request date serial]]</f>
        <v>5</v>
      </c>
      <c r="AH836" s="65">
        <f>IFERROR(INDEX(tblParts[Delay days],MATCH(tblWorkPackages[[#This Row],[Work package ID]],tblParts[Work package ID],0)),0)</f>
        <v>0</v>
      </c>
      <c r="AI836" s="51" t="str">
        <f>IFERROR(INDEX(tblDisruptions[Event type],MATCH(tblWorkPackages[[#This Row],[Work package ID]],tblDisruptions[Work package ID],0)),"None")</f>
        <v>None</v>
      </c>
      <c r="AJ836" s="51" t="str">
        <f>TEXT(tblWorkPackages[[#This Row],[Due date serial]],"yyyy-mm")</f>
        <v>2024-08</v>
      </c>
    </row>
    <row r="837" spans="1:36" ht="15" x14ac:dyDescent="0.25">
      <c r="A837" s="53" t="s">
        <v>1718</v>
      </c>
      <c r="B837" s="53" t="s">
        <v>133</v>
      </c>
      <c r="C837" s="53" t="s">
        <v>690</v>
      </c>
      <c r="D837" s="53" t="s">
        <v>337</v>
      </c>
      <c r="E837" s="53" t="s">
        <v>127</v>
      </c>
      <c r="F837" s="53" t="s">
        <v>128</v>
      </c>
      <c r="G837" s="53" t="s">
        <v>129</v>
      </c>
      <c r="H837" s="53">
        <v>1</v>
      </c>
      <c r="I837" s="53" t="s">
        <v>130</v>
      </c>
      <c r="J837" s="53">
        <v>1</v>
      </c>
      <c r="K837" s="53">
        <v>0</v>
      </c>
      <c r="L837" s="53">
        <v>5</v>
      </c>
      <c r="M837" s="53" t="s">
        <v>1115</v>
      </c>
      <c r="N837" s="53">
        <v>5</v>
      </c>
      <c r="O837" s="51" t="str">
        <f>TEXT(tblWorkPackages[[#This Row],[Request date serial]]-WEEKDAY(tblWorkPackages[[#This Row],[Request date serial]],3),"yyyy-mm-dd")</f>
        <v>2024-04-15</v>
      </c>
      <c r="P837" s="51">
        <f>ABS(tblWorkPackages[[#This Row],[Actual labor hours]]-tblWorkPackages[[#This Row],[Estimated labor hours]])</f>
        <v>0</v>
      </c>
      <c r="Q837" s="51">
        <f>IF(tblWorkPackages[[#This Row],[Actual labor hours]]&gt;tblWorkPackages[[#This Row],[Estimated labor hours]],1,0)</f>
        <v>0</v>
      </c>
      <c r="R837" s="51">
        <f>tblWorkPackages[[#This Row],[Actual labor hours]]-tblWorkPackages[[#This Row],[Estimated labor hours]]</f>
        <v>0</v>
      </c>
      <c r="S837" s="51" t="str">
        <f>IF(tblWorkPackages[[#This Row],[Request date serial]]&lt;ValidationStart,"Train 2024",IF(tblWorkPackages[[#This Row],[Request date serial]]&lt;HoldoutStart,"Validation H1","Holdout H2"))</f>
        <v>Train 2024</v>
      </c>
      <c r="T837" s="51" t="str">
        <f>IF(tblWorkPackages[[#This Row],[Time split]]="Train 2024","",tblWorkPackages[[#This Row],[Estimated labor hours]]+VLOOKUP(tblWorkPackages[[#This Row],[Task type]],'Forecast validation'!$A$14:$E$25,IF(tblWorkPackages[[#This Row],[Time split]]="Validation H1",4,5),FALSE()))</f>
        <v/>
      </c>
      <c r="U837" s="51" t="str">
        <f>IF(tblWorkPackages[[#This Row],[Calibrated forecast hours]]="","",ABS(tblWorkPackages[[#This Row],[Actual labor hours]]-tblWorkPackages[[#This Row],[Calibrated forecast hours]]))</f>
        <v/>
      </c>
      <c r="V837" s="51">
        <f>IF(tblWorkPackages[[#This Row],[Time split]]="Train 2024",tblWorkPackages[[#This Row],[Estimated labor hours]],tblWorkPackages[[#This Row],[Calibrated forecast hours]])</f>
        <v>5</v>
      </c>
      <c r="W837" s="64">
        <f>DATEVALUE(tblWorkPackages[[#This Row],[Request date]])</f>
        <v>45398.0</v>
      </c>
      <c r="X837" s="64">
        <f>DATEVALUE(tblWorkPackages[[#This Row],[Due date]])</f>
        <v>45411.0</v>
      </c>
      <c r="Y837" s="64">
        <f>DATEVALUE(tblWorkPackages[[#This Row],[Completion date]])</f>
        <v>45414.0</v>
      </c>
      <c r="Z837" s="64">
        <f>_xlfn.MINIFS(tblLaborEntries[Work date serial],tblLaborEntries[Work package ID],tblWorkPackages[[#This Row],[Work package ID]])</f>
        <v>45409.0</v>
      </c>
      <c r="AA837" s="64">
        <f>_xlfn.MAXIFS(tblLaborEntries[Work date serial],tblLaborEntries[Work package ID],tblWorkPackages[[#This Row],[Work package ID]])</f>
        <v>45411.0</v>
      </c>
      <c r="AB837" s="65">
        <f>IF(tblWorkPackages[[#This Row],[Completion date serial]]&gt;tblWorkPackages[[#This Row],[Due date serial]],1,0)</f>
        <v>1</v>
      </c>
      <c r="AC837" s="65">
        <f>MAX(0,tblWorkPackages[[#This Row],[Completion date serial]]-tblWorkPackages[[#This Row],[Due date serial]])</f>
        <v>3</v>
      </c>
      <c r="AD837" s="65">
        <f>tblWorkPackages[[#This Row],[First labor date]]-tblWorkPackages[[#This Row],[Request date serial]]</f>
        <v>11</v>
      </c>
      <c r="AE837" s="65">
        <f>tblWorkPackages[[#This Row],[Last labor date]]-tblWorkPackages[[#This Row],[First labor date]]</f>
        <v>2</v>
      </c>
      <c r="AF837" s="65">
        <f>tblWorkPackages[[#This Row],[Completion date serial]]-tblWorkPackages[[#This Row],[Last labor date]]</f>
        <v>3</v>
      </c>
      <c r="AG837" s="65">
        <f>tblWorkPackages[[#This Row],[Completion date serial]]-tblWorkPackages[[#This Row],[Request date serial]]</f>
        <v>16</v>
      </c>
      <c r="AH837" s="65">
        <f>IFERROR(INDEX(tblParts[Delay days],MATCH(tblWorkPackages[[#This Row],[Work package ID]],tblParts[Work package ID],0)),0)</f>
        <v>0</v>
      </c>
      <c r="AI837" s="51" t="str">
        <f>IFERROR(INDEX(tblDisruptions[Event type],MATCH(tblWorkPackages[[#This Row],[Work package ID]],tblDisruptions[Work package ID],0)),"None")</f>
        <v>None</v>
      </c>
      <c r="AJ837" s="51" t="str">
        <f>TEXT(tblWorkPackages[[#This Row],[Due date serial]],"yyyy-mm")</f>
        <v>2024-04</v>
      </c>
    </row>
    <row r="838" spans="1:36" ht="15" x14ac:dyDescent="0.25">
      <c r="A838" s="53" t="s">
        <v>1719</v>
      </c>
      <c r="B838" s="53" t="s">
        <v>163</v>
      </c>
      <c r="C838" s="53" t="s">
        <v>751</v>
      </c>
      <c r="D838" s="53" t="s">
        <v>709</v>
      </c>
      <c r="E838" s="53" t="s">
        <v>242</v>
      </c>
      <c r="F838" s="53" t="s">
        <v>243</v>
      </c>
      <c r="G838" s="53" t="s">
        <v>129</v>
      </c>
      <c r="H838" s="53">
        <v>3</v>
      </c>
      <c r="I838" s="53" t="s">
        <v>130</v>
      </c>
      <c r="J838" s="53">
        <v>0</v>
      </c>
      <c r="K838" s="53">
        <v>1</v>
      </c>
      <c r="L838" s="53">
        <v>12.3</v>
      </c>
      <c r="M838" s="53" t="s">
        <v>183</v>
      </c>
      <c r="N838" s="53">
        <v>10.9</v>
      </c>
      <c r="O838" s="51" t="str">
        <f>TEXT(tblWorkPackages[[#This Row],[Request date serial]]-WEEKDAY(tblWorkPackages[[#This Row],[Request date serial]],3),"yyyy-mm-dd")</f>
        <v>2025-05-12</v>
      </c>
      <c r="P838" s="51">
        <f>ABS(tblWorkPackages[[#This Row],[Actual labor hours]]-tblWorkPackages[[#This Row],[Estimated labor hours]])</f>
        <v>1.4</v>
      </c>
      <c r="Q838" s="51">
        <f>IF(tblWorkPackages[[#This Row],[Actual labor hours]]&gt;tblWorkPackages[[#This Row],[Estimated labor hours]],1,0)</f>
        <v>0</v>
      </c>
      <c r="R838" s="51">
        <f>tblWorkPackages[[#This Row],[Actual labor hours]]-tblWorkPackages[[#This Row],[Estimated labor hours]]</f>
        <v>-1.4</v>
      </c>
      <c r="S838" s="51" t="str">
        <f>IF(tblWorkPackages[[#This Row],[Request date serial]]&lt;ValidationStart,"Train 2024",IF(tblWorkPackages[[#This Row],[Request date serial]]&lt;HoldoutStart,"Validation H1","Holdout H2"))</f>
        <v>Validation H1</v>
      </c>
      <c r="T838" s="51">
        <f>IF(tblWorkPackages[[#This Row],[Time split]]="Train 2024","",tblWorkPackages[[#This Row],[Estimated labor hours]]+VLOOKUP(tblWorkPackages[[#This Row],[Task type]],'Forecast validation'!$A$14:$E$25,IF(tblWorkPackages[[#This Row],[Time split]]="Validation H1",4,5),FALSE()))</f>
        <v>12.8561224489796</v>
      </c>
      <c r="U838" s="51">
        <f>IF(tblWorkPackages[[#This Row],[Calibrated forecast hours]]="","",ABS(tblWorkPackages[[#This Row],[Actual labor hours]]-tblWorkPackages[[#This Row],[Calibrated forecast hours]]))</f>
        <v>1.95612244897959</v>
      </c>
      <c r="V838" s="51">
        <f>IF(tblWorkPackages[[#This Row],[Time split]]="Train 2024",tblWorkPackages[[#This Row],[Estimated labor hours]],tblWorkPackages[[#This Row],[Calibrated forecast hours]])</f>
        <v>12.8561224489796</v>
      </c>
      <c r="W838" s="64">
        <f>DATEVALUE(tblWorkPackages[[#This Row],[Request date]])</f>
        <v>45795.0</v>
      </c>
      <c r="X838" s="64">
        <f>DATEVALUE(tblWorkPackages[[#This Row],[Due date]])</f>
        <v>45808.0</v>
      </c>
      <c r="Y838" s="64">
        <f>DATEVALUE(tblWorkPackages[[#This Row],[Completion date]])</f>
        <v>45799.0</v>
      </c>
      <c r="Z838" s="64">
        <f>_xlfn.MINIFS(tblLaborEntries[Work date serial],tblLaborEntries[Work package ID],tblWorkPackages[[#This Row],[Work package ID]])</f>
        <v>45798.0</v>
      </c>
      <c r="AA838" s="64">
        <f>_xlfn.MAXIFS(tblLaborEntries[Work date serial],tblLaborEntries[Work package ID],tblWorkPackages[[#This Row],[Work package ID]])</f>
        <v>45799.0</v>
      </c>
      <c r="AB838" s="65">
        <f>IF(tblWorkPackages[[#This Row],[Completion date serial]]&gt;tblWorkPackages[[#This Row],[Due date serial]],1,0)</f>
        <v>0</v>
      </c>
      <c r="AC838" s="65">
        <f>MAX(0,tblWorkPackages[[#This Row],[Completion date serial]]-tblWorkPackages[[#This Row],[Due date serial]])</f>
        <v>0</v>
      </c>
      <c r="AD838" s="65">
        <f>tblWorkPackages[[#This Row],[First labor date]]-tblWorkPackages[[#This Row],[Request date serial]]</f>
        <v>3</v>
      </c>
      <c r="AE838" s="65">
        <f>tblWorkPackages[[#This Row],[Last labor date]]-tblWorkPackages[[#This Row],[First labor date]]</f>
        <v>1</v>
      </c>
      <c r="AF838" s="65">
        <f>tblWorkPackages[[#This Row],[Completion date serial]]-tblWorkPackages[[#This Row],[Last labor date]]</f>
        <v>0</v>
      </c>
      <c r="AG838" s="65">
        <f>tblWorkPackages[[#This Row],[Completion date serial]]-tblWorkPackages[[#This Row],[Request date serial]]</f>
        <v>4</v>
      </c>
      <c r="AH838" s="65">
        <f>IFERROR(INDEX(tblParts[Delay days],MATCH(tblWorkPackages[[#This Row],[Work package ID]],tblParts[Work package ID],0)),0)</f>
        <v>0</v>
      </c>
      <c r="AI838" s="51" t="str">
        <f>IFERROR(INDEX(tblDisruptions[Event type],MATCH(tblWorkPackages[[#This Row],[Work package ID]],tblDisruptions[Work package ID],0)),"None")</f>
        <v>None</v>
      </c>
      <c r="AJ838" s="51" t="str">
        <f>TEXT(tblWorkPackages[[#This Row],[Due date serial]],"yyyy-mm")</f>
        <v>2025-05</v>
      </c>
    </row>
    <row r="839" spans="1:36" ht="15" x14ac:dyDescent="0.25">
      <c r="A839" s="53" t="s">
        <v>1720</v>
      </c>
      <c r="B839" s="53" t="s">
        <v>250</v>
      </c>
      <c r="C839" s="53" t="s">
        <v>594</v>
      </c>
      <c r="D839" s="53" t="s">
        <v>1721</v>
      </c>
      <c r="E839" s="53" t="s">
        <v>200</v>
      </c>
      <c r="F839" s="53" t="s">
        <v>128</v>
      </c>
      <c r="G839" s="53" t="s">
        <v>129</v>
      </c>
      <c r="H839" s="53">
        <v>4</v>
      </c>
      <c r="I839" s="53" t="s">
        <v>176</v>
      </c>
      <c r="J839" s="53">
        <v>0</v>
      </c>
      <c r="K839" s="53">
        <v>0</v>
      </c>
      <c r="L839" s="53">
        <v>4.9000000000000004</v>
      </c>
      <c r="M839" s="53" t="s">
        <v>891</v>
      </c>
      <c r="N839" s="53">
        <v>5.9</v>
      </c>
      <c r="O839" s="51" t="str">
        <f>TEXT(tblWorkPackages[[#This Row],[Request date serial]]-WEEKDAY(tblWorkPackages[[#This Row],[Request date serial]],3),"yyyy-mm-dd")</f>
        <v>2024-10-28</v>
      </c>
      <c r="P839" s="51">
        <f>ABS(tblWorkPackages[[#This Row],[Actual labor hours]]-tblWorkPackages[[#This Row],[Estimated labor hours]])</f>
        <v>1</v>
      </c>
      <c r="Q839" s="51">
        <f>IF(tblWorkPackages[[#This Row],[Actual labor hours]]&gt;tblWorkPackages[[#This Row],[Estimated labor hours]],1,0)</f>
        <v>1</v>
      </c>
      <c r="R839" s="51">
        <f>tblWorkPackages[[#This Row],[Actual labor hours]]-tblWorkPackages[[#This Row],[Estimated labor hours]]</f>
        <v>1</v>
      </c>
      <c r="S839" s="51" t="str">
        <f>IF(tblWorkPackages[[#This Row],[Request date serial]]&lt;ValidationStart,"Train 2024",IF(tblWorkPackages[[#This Row],[Request date serial]]&lt;HoldoutStart,"Validation H1","Holdout H2"))</f>
        <v>Train 2024</v>
      </c>
      <c r="T839" s="51" t="str">
        <f>IF(tblWorkPackages[[#This Row],[Time split]]="Train 2024","",tblWorkPackages[[#This Row],[Estimated labor hours]]+VLOOKUP(tblWorkPackages[[#This Row],[Task type]],'Forecast validation'!$A$14:$E$25,IF(tblWorkPackages[[#This Row],[Time split]]="Validation H1",4,5),FALSE()))</f>
        <v/>
      </c>
      <c r="U839" s="51" t="str">
        <f>IF(tblWorkPackages[[#This Row],[Calibrated forecast hours]]="","",ABS(tblWorkPackages[[#This Row],[Actual labor hours]]-tblWorkPackages[[#This Row],[Calibrated forecast hours]]))</f>
        <v/>
      </c>
      <c r="V839" s="51">
        <f>IF(tblWorkPackages[[#This Row],[Time split]]="Train 2024",tblWorkPackages[[#This Row],[Estimated labor hours]],tblWorkPackages[[#This Row],[Calibrated forecast hours]])</f>
        <v>4.9</v>
      </c>
      <c r="W839" s="64">
        <f>DATEVALUE(tblWorkPackages[[#This Row],[Request date]])</f>
        <v>45593.0</v>
      </c>
      <c r="X839" s="64">
        <f>DATEVALUE(tblWorkPackages[[#This Row],[Due date]])</f>
        <v>45599.0</v>
      </c>
      <c r="Y839" s="64">
        <f>DATEVALUE(tblWorkPackages[[#This Row],[Completion date]])</f>
        <v>45626.0</v>
      </c>
      <c r="Z839" s="64">
        <f>_xlfn.MINIFS(tblLaborEntries[Work date serial],tblLaborEntries[Work package ID],tblWorkPackages[[#This Row],[Work package ID]])</f>
        <v>45624.0</v>
      </c>
      <c r="AA839" s="64">
        <f>_xlfn.MAXIFS(tblLaborEntries[Work date serial],tblLaborEntries[Work package ID],tblWorkPackages[[#This Row],[Work package ID]])</f>
        <v>45625.0</v>
      </c>
      <c r="AB839" s="65">
        <f>IF(tblWorkPackages[[#This Row],[Completion date serial]]&gt;tblWorkPackages[[#This Row],[Due date serial]],1,0)</f>
        <v>1</v>
      </c>
      <c r="AC839" s="65">
        <f>MAX(0,tblWorkPackages[[#This Row],[Completion date serial]]-tblWorkPackages[[#This Row],[Due date serial]])</f>
        <v>27</v>
      </c>
      <c r="AD839" s="65">
        <f>tblWorkPackages[[#This Row],[First labor date]]-tblWorkPackages[[#This Row],[Request date serial]]</f>
        <v>31</v>
      </c>
      <c r="AE839" s="65">
        <f>tblWorkPackages[[#This Row],[Last labor date]]-tblWorkPackages[[#This Row],[First labor date]]</f>
        <v>1</v>
      </c>
      <c r="AF839" s="65">
        <f>tblWorkPackages[[#This Row],[Completion date serial]]-tblWorkPackages[[#This Row],[Last labor date]]</f>
        <v>1</v>
      </c>
      <c r="AG839" s="65">
        <f>tblWorkPackages[[#This Row],[Completion date serial]]-tblWorkPackages[[#This Row],[Request date serial]]</f>
        <v>33</v>
      </c>
      <c r="AH839" s="65">
        <f>IFERROR(INDEX(tblParts[Delay days],MATCH(tblWorkPackages[[#This Row],[Work package ID]],tblParts[Work package ID],0)),0)</f>
        <v>0</v>
      </c>
      <c r="AI839" s="51" t="str">
        <f>IFERROR(INDEX(tblDisruptions[Event type],MATCH(tblWorkPackages[[#This Row],[Work package ID]],tblDisruptions[Work package ID],0)),"None")</f>
        <v>Scope change</v>
      </c>
      <c r="AJ839" s="51" t="str">
        <f>TEXT(tblWorkPackages[[#This Row],[Due date serial]],"yyyy-mm")</f>
        <v>2024-11</v>
      </c>
    </row>
    <row r="840" spans="1:36" ht="15" x14ac:dyDescent="0.25">
      <c r="A840" s="53" t="s">
        <v>1722</v>
      </c>
      <c r="B840" s="53" t="s">
        <v>287</v>
      </c>
      <c r="C840" s="53" t="s">
        <v>396</v>
      </c>
      <c r="D840" s="53" t="s">
        <v>732</v>
      </c>
      <c r="E840" s="53" t="s">
        <v>242</v>
      </c>
      <c r="F840" s="53" t="s">
        <v>243</v>
      </c>
      <c r="G840" s="53" t="s">
        <v>129</v>
      </c>
      <c r="H840" s="53">
        <v>1</v>
      </c>
      <c r="I840" s="53" t="s">
        <v>130</v>
      </c>
      <c r="J840" s="53">
        <v>0</v>
      </c>
      <c r="K840" s="53">
        <v>1</v>
      </c>
      <c r="L840" s="53">
        <v>5.4</v>
      </c>
      <c r="M840" s="53" t="s">
        <v>837</v>
      </c>
      <c r="N840" s="53">
        <v>5.9</v>
      </c>
      <c r="O840" s="51" t="str">
        <f>TEXT(tblWorkPackages[[#This Row],[Request date serial]]-WEEKDAY(tblWorkPackages[[#This Row],[Request date serial]],3),"yyyy-mm-dd")</f>
        <v>2024-12-30</v>
      </c>
      <c r="P840" s="51">
        <f>ABS(tblWorkPackages[[#This Row],[Actual labor hours]]-tblWorkPackages[[#This Row],[Estimated labor hours]])</f>
        <v>0.5</v>
      </c>
      <c r="Q840" s="51">
        <f>IF(tblWorkPackages[[#This Row],[Actual labor hours]]&gt;tblWorkPackages[[#This Row],[Estimated labor hours]],1,0)</f>
        <v>1</v>
      </c>
      <c r="R840" s="51">
        <f>tblWorkPackages[[#This Row],[Actual labor hours]]-tblWorkPackages[[#This Row],[Estimated labor hours]]</f>
        <v>0.5</v>
      </c>
      <c r="S840" s="51" t="str">
        <f>IF(tblWorkPackages[[#This Row],[Request date serial]]&lt;ValidationStart,"Train 2024",IF(tblWorkPackages[[#This Row],[Request date serial]]&lt;HoldoutStart,"Validation H1","Holdout H2"))</f>
        <v>Train 2024</v>
      </c>
      <c r="T840" s="51" t="str">
        <f>IF(tblWorkPackages[[#This Row],[Time split]]="Train 2024","",tblWorkPackages[[#This Row],[Estimated labor hours]]+VLOOKUP(tblWorkPackages[[#This Row],[Task type]],'Forecast validation'!$A$14:$E$25,IF(tblWorkPackages[[#This Row],[Time split]]="Validation H1",4,5),FALSE()))</f>
        <v/>
      </c>
      <c r="U840" s="51" t="str">
        <f>IF(tblWorkPackages[[#This Row],[Calibrated forecast hours]]="","",ABS(tblWorkPackages[[#This Row],[Actual labor hours]]-tblWorkPackages[[#This Row],[Calibrated forecast hours]]))</f>
        <v/>
      </c>
      <c r="V840" s="51">
        <f>IF(tblWorkPackages[[#This Row],[Time split]]="Train 2024",tblWorkPackages[[#This Row],[Estimated labor hours]],tblWorkPackages[[#This Row],[Calibrated forecast hours]])</f>
        <v>5.4</v>
      </c>
      <c r="W840" s="64">
        <f>DATEVALUE(tblWorkPackages[[#This Row],[Request date]])</f>
        <v>45657.0</v>
      </c>
      <c r="X840" s="64">
        <f>DATEVALUE(tblWorkPackages[[#This Row],[Due date]])</f>
        <v>45670.0</v>
      </c>
      <c r="Y840" s="64">
        <f>DATEVALUE(tblWorkPackages[[#This Row],[Completion date]])</f>
        <v>45665.0</v>
      </c>
      <c r="Z840" s="64">
        <f>_xlfn.MINIFS(tblLaborEntries[Work date serial],tblLaborEntries[Work package ID],tblWorkPackages[[#This Row],[Work package ID]])</f>
        <v>45663.0</v>
      </c>
      <c r="AA840" s="64">
        <f>_xlfn.MAXIFS(tblLaborEntries[Work date serial],tblLaborEntries[Work package ID],tblWorkPackages[[#This Row],[Work package ID]])</f>
        <v>45663.0</v>
      </c>
      <c r="AB840" s="65">
        <f>IF(tblWorkPackages[[#This Row],[Completion date serial]]&gt;tblWorkPackages[[#This Row],[Due date serial]],1,0)</f>
        <v>0</v>
      </c>
      <c r="AC840" s="65">
        <f>MAX(0,tblWorkPackages[[#This Row],[Completion date serial]]-tblWorkPackages[[#This Row],[Due date serial]])</f>
        <v>0</v>
      </c>
      <c r="AD840" s="65">
        <f>tblWorkPackages[[#This Row],[First labor date]]-tblWorkPackages[[#This Row],[Request date serial]]</f>
        <v>6</v>
      </c>
      <c r="AE840" s="65">
        <f>tblWorkPackages[[#This Row],[Last labor date]]-tblWorkPackages[[#This Row],[First labor date]]</f>
        <v>0</v>
      </c>
      <c r="AF840" s="65">
        <f>tblWorkPackages[[#This Row],[Completion date serial]]-tblWorkPackages[[#This Row],[Last labor date]]</f>
        <v>2</v>
      </c>
      <c r="AG840" s="65">
        <f>tblWorkPackages[[#This Row],[Completion date serial]]-tblWorkPackages[[#This Row],[Request date serial]]</f>
        <v>8</v>
      </c>
      <c r="AH840" s="65">
        <f>IFERROR(INDEX(tblParts[Delay days],MATCH(tblWorkPackages[[#This Row],[Work package ID]],tblParts[Work package ID],0)),0)</f>
        <v>0</v>
      </c>
      <c r="AI840" s="51" t="str">
        <f>IFERROR(INDEX(tblDisruptions[Event type],MATCH(tblWorkPackages[[#This Row],[Work package ID]],tblDisruptions[Work package ID],0)),"None")</f>
        <v>None</v>
      </c>
      <c r="AJ840" s="51" t="str">
        <f>TEXT(tblWorkPackages[[#This Row],[Due date serial]],"yyyy-mm")</f>
        <v>2025-01</v>
      </c>
    </row>
    <row r="841" spans="1:36" ht="15" x14ac:dyDescent="0.25">
      <c r="A841" s="53" t="s">
        <v>1723</v>
      </c>
      <c r="B841" s="53" t="s">
        <v>287</v>
      </c>
      <c r="C841" s="53" t="s">
        <v>560</v>
      </c>
      <c r="D841" s="53" t="s">
        <v>833</v>
      </c>
      <c r="E841" s="53" t="s">
        <v>144</v>
      </c>
      <c r="F841" s="53" t="s">
        <v>145</v>
      </c>
      <c r="G841" s="53" t="s">
        <v>146</v>
      </c>
      <c r="H841" s="53">
        <v>2</v>
      </c>
      <c r="I841" s="53" t="s">
        <v>176</v>
      </c>
      <c r="J841" s="53">
        <v>0</v>
      </c>
      <c r="K841" s="53">
        <v>1</v>
      </c>
      <c r="L841" s="53">
        <v>9.6</v>
      </c>
      <c r="M841" s="53" t="s">
        <v>308</v>
      </c>
      <c r="N841" s="53">
        <v>14.1</v>
      </c>
      <c r="O841" s="51" t="str">
        <f>TEXT(tblWorkPackages[[#This Row],[Request date serial]]-WEEKDAY(tblWorkPackages[[#This Row],[Request date serial]],3),"yyyy-mm-dd")</f>
        <v>2025-11-03</v>
      </c>
      <c r="P841" s="51">
        <f>ABS(tblWorkPackages[[#This Row],[Actual labor hours]]-tblWorkPackages[[#This Row],[Estimated labor hours]])</f>
        <v>4.5</v>
      </c>
      <c r="Q841" s="51">
        <f>IF(tblWorkPackages[[#This Row],[Actual labor hours]]&gt;tblWorkPackages[[#This Row],[Estimated labor hours]],1,0)</f>
        <v>1</v>
      </c>
      <c r="R841" s="51">
        <f>tblWorkPackages[[#This Row],[Actual labor hours]]-tblWorkPackages[[#This Row],[Estimated labor hours]]</f>
        <v>4.5</v>
      </c>
      <c r="S841" s="51" t="str">
        <f>IF(tblWorkPackages[[#This Row],[Request date serial]]&lt;ValidationStart,"Train 2024",IF(tblWorkPackages[[#This Row],[Request date serial]]&lt;HoldoutStart,"Validation H1","Holdout H2"))</f>
        <v>Holdout H2</v>
      </c>
      <c r="T841" s="51">
        <f>IF(tblWorkPackages[[#This Row],[Time split]]="Train 2024","",tblWorkPackages[[#This Row],[Estimated labor hours]]+VLOOKUP(tblWorkPackages[[#This Row],[Task type]],'Forecast validation'!$A$14:$E$25,IF(tblWorkPackages[[#This Row],[Time split]]="Validation H1",4,5),FALSE()))</f>
        <v>10.5735483870968</v>
      </c>
      <c r="U841" s="51">
        <f>IF(tblWorkPackages[[#This Row],[Calibrated forecast hours]]="","",ABS(tblWorkPackages[[#This Row],[Actual labor hours]]-tblWorkPackages[[#This Row],[Calibrated forecast hours]]))</f>
        <v>3.52645161290323</v>
      </c>
      <c r="V841" s="51">
        <f>IF(tblWorkPackages[[#This Row],[Time split]]="Train 2024",tblWorkPackages[[#This Row],[Estimated labor hours]],tblWorkPackages[[#This Row],[Calibrated forecast hours]])</f>
        <v>10.5735483870968</v>
      </c>
      <c r="W841" s="64">
        <f>DATEVALUE(tblWorkPackages[[#This Row],[Request date]])</f>
        <v>45970.0</v>
      </c>
      <c r="X841" s="64">
        <f>DATEVALUE(tblWorkPackages[[#This Row],[Due date]])</f>
        <v>45976.0</v>
      </c>
      <c r="Y841" s="64">
        <f>DATEVALUE(tblWorkPackages[[#This Row],[Completion date]])</f>
        <v>45977.0</v>
      </c>
      <c r="Z841" s="64">
        <f>_xlfn.MINIFS(tblLaborEntries[Work date serial],tblLaborEntries[Work package ID],tblWorkPackages[[#This Row],[Work package ID]])</f>
        <v>45972.0</v>
      </c>
      <c r="AA841" s="64">
        <f>_xlfn.MAXIFS(tblLaborEntries[Work date serial],tblLaborEntries[Work package ID],tblWorkPackages[[#This Row],[Work package ID]])</f>
        <v>45974.0</v>
      </c>
      <c r="AB841" s="65">
        <f>IF(tblWorkPackages[[#This Row],[Completion date serial]]&gt;tblWorkPackages[[#This Row],[Due date serial]],1,0)</f>
        <v>1</v>
      </c>
      <c r="AC841" s="65">
        <f>MAX(0,tblWorkPackages[[#This Row],[Completion date serial]]-tblWorkPackages[[#This Row],[Due date serial]])</f>
        <v>1</v>
      </c>
      <c r="AD841" s="65">
        <f>tblWorkPackages[[#This Row],[First labor date]]-tblWorkPackages[[#This Row],[Request date serial]]</f>
        <v>2</v>
      </c>
      <c r="AE841" s="65">
        <f>tblWorkPackages[[#This Row],[Last labor date]]-tblWorkPackages[[#This Row],[First labor date]]</f>
        <v>2</v>
      </c>
      <c r="AF841" s="65">
        <f>tblWorkPackages[[#This Row],[Completion date serial]]-tblWorkPackages[[#This Row],[Last labor date]]</f>
        <v>3</v>
      </c>
      <c r="AG841" s="65">
        <f>tblWorkPackages[[#This Row],[Completion date serial]]-tblWorkPackages[[#This Row],[Request date serial]]</f>
        <v>7</v>
      </c>
      <c r="AH841" s="65">
        <f>IFERROR(INDEX(tblParts[Delay days],MATCH(tblWorkPackages[[#This Row],[Work package ID]],tblParts[Work package ID],0)),0)</f>
        <v>0</v>
      </c>
      <c r="AI841" s="51" t="str">
        <f>IFERROR(INDEX(tblDisruptions[Event type],MATCH(tblWorkPackages[[#This Row],[Work package ID]],tblDisruptions[Work package ID],0)),"None")</f>
        <v>Scope change</v>
      </c>
      <c r="AJ841" s="51" t="str">
        <f>TEXT(tblWorkPackages[[#This Row],[Due date serial]],"yyyy-mm")</f>
        <v>2025-11</v>
      </c>
    </row>
    <row r="842" spans="1:36" ht="15" x14ac:dyDescent="0.25">
      <c r="A842" s="53" t="s">
        <v>1724</v>
      </c>
      <c r="B842" s="53" t="s">
        <v>124</v>
      </c>
      <c r="C842" s="53" t="s">
        <v>746</v>
      </c>
      <c r="D842" s="53" t="s">
        <v>343</v>
      </c>
      <c r="E842" s="53" t="s">
        <v>209</v>
      </c>
      <c r="F842" s="53" t="s">
        <v>145</v>
      </c>
      <c r="G842" s="53" t="s">
        <v>210</v>
      </c>
      <c r="H842" s="53">
        <v>2</v>
      </c>
      <c r="I842" s="53" t="s">
        <v>147</v>
      </c>
      <c r="J842" s="53">
        <v>0</v>
      </c>
      <c r="K842" s="53">
        <v>1</v>
      </c>
      <c r="L842" s="53">
        <v>21.4</v>
      </c>
      <c r="M842" s="53" t="s">
        <v>844</v>
      </c>
      <c r="N842" s="53">
        <v>26.6</v>
      </c>
      <c r="O842" s="51" t="str">
        <f>TEXT(tblWorkPackages[[#This Row],[Request date serial]]-WEEKDAY(tblWorkPackages[[#This Row],[Request date serial]],3),"yyyy-mm-dd")</f>
        <v>2025-07-21</v>
      </c>
      <c r="P842" s="51">
        <f>ABS(tblWorkPackages[[#This Row],[Actual labor hours]]-tblWorkPackages[[#This Row],[Estimated labor hours]])</f>
        <v>5.2</v>
      </c>
      <c r="Q842" s="51">
        <f>IF(tblWorkPackages[[#This Row],[Actual labor hours]]&gt;tblWorkPackages[[#This Row],[Estimated labor hours]],1,0)</f>
        <v>1</v>
      </c>
      <c r="R842" s="51">
        <f>tblWorkPackages[[#This Row],[Actual labor hours]]-tblWorkPackages[[#This Row],[Estimated labor hours]]</f>
        <v>5.2</v>
      </c>
      <c r="S842" s="51" t="str">
        <f>IF(tblWorkPackages[[#This Row],[Request date serial]]&lt;ValidationStart,"Train 2024",IF(tblWorkPackages[[#This Row],[Request date serial]]&lt;HoldoutStart,"Validation H1","Holdout H2"))</f>
        <v>Holdout H2</v>
      </c>
      <c r="T842" s="51">
        <f>IF(tblWorkPackages[[#This Row],[Time split]]="Train 2024","",tblWorkPackages[[#This Row],[Estimated labor hours]]+VLOOKUP(tblWorkPackages[[#This Row],[Task type]],'Forecast validation'!$A$14:$E$25,IF(tblWorkPackages[[#This Row],[Time split]]="Validation H1",4,5),FALSE()))</f>
        <v>23.195652173913</v>
      </c>
      <c r="U842" s="51">
        <f>IF(tblWorkPackages[[#This Row],[Calibrated forecast hours]]="","",ABS(tblWorkPackages[[#This Row],[Actual labor hours]]-tblWorkPackages[[#This Row],[Calibrated forecast hours]]))</f>
        <v>3.40434782608696</v>
      </c>
      <c r="V842" s="51">
        <f>IF(tblWorkPackages[[#This Row],[Time split]]="Train 2024",tblWorkPackages[[#This Row],[Estimated labor hours]],tblWorkPackages[[#This Row],[Calibrated forecast hours]])</f>
        <v>23.195652173913</v>
      </c>
      <c r="W842" s="64">
        <f>DATEVALUE(tblWorkPackages[[#This Row],[Request date]])</f>
        <v>45860.0</v>
      </c>
      <c r="X842" s="64">
        <f>DATEVALUE(tblWorkPackages[[#This Row],[Due date]])</f>
        <v>45862.0</v>
      </c>
      <c r="Y842" s="64">
        <f>DATEVALUE(tblWorkPackages[[#This Row],[Completion date]])</f>
        <v>45874.0</v>
      </c>
      <c r="Z842" s="64">
        <f>_xlfn.MINIFS(tblLaborEntries[Work date serial],tblLaborEntries[Work package ID],tblWorkPackages[[#This Row],[Work package ID]])</f>
        <v>45874.0</v>
      </c>
      <c r="AA842" s="64">
        <f>_xlfn.MAXIFS(tblLaborEntries[Work date serial],tblLaborEntries[Work package ID],tblWorkPackages[[#This Row],[Work package ID]])</f>
        <v>45874.0</v>
      </c>
      <c r="AB842" s="65">
        <f>IF(tblWorkPackages[[#This Row],[Completion date serial]]&gt;tblWorkPackages[[#This Row],[Due date serial]],1,0)</f>
        <v>1</v>
      </c>
      <c r="AC842" s="65">
        <f>MAX(0,tblWorkPackages[[#This Row],[Completion date serial]]-tblWorkPackages[[#This Row],[Due date serial]])</f>
        <v>12</v>
      </c>
      <c r="AD842" s="65">
        <f>tblWorkPackages[[#This Row],[First labor date]]-tblWorkPackages[[#This Row],[Request date serial]]</f>
        <v>14</v>
      </c>
      <c r="AE842" s="65">
        <f>tblWorkPackages[[#This Row],[Last labor date]]-tblWorkPackages[[#This Row],[First labor date]]</f>
        <v>0</v>
      </c>
      <c r="AF842" s="65">
        <f>tblWorkPackages[[#This Row],[Completion date serial]]-tblWorkPackages[[#This Row],[Last labor date]]</f>
        <v>0</v>
      </c>
      <c r="AG842" s="65">
        <f>tblWorkPackages[[#This Row],[Completion date serial]]-tblWorkPackages[[#This Row],[Request date serial]]</f>
        <v>14</v>
      </c>
      <c r="AH842" s="65">
        <f>IFERROR(INDEX(tblParts[Delay days],MATCH(tblWorkPackages[[#This Row],[Work package ID]],tblParts[Work package ID],0)),0)</f>
        <v>0</v>
      </c>
      <c r="AI842" s="51" t="str">
        <f>IFERROR(INDEX(tblDisruptions[Event type],MATCH(tblWorkPackages[[#This Row],[Work package ID]],tblDisruptions[Work package ID],0)),"None")</f>
        <v>None</v>
      </c>
      <c r="AJ842" s="51" t="str">
        <f>TEXT(tblWorkPackages[[#This Row],[Due date serial]],"yyyy-mm")</f>
        <v>2025-07</v>
      </c>
    </row>
    <row r="843" spans="1:36" ht="15" x14ac:dyDescent="0.25">
      <c r="A843" s="53" t="s">
        <v>1725</v>
      </c>
      <c r="B843" s="53" t="s">
        <v>230</v>
      </c>
      <c r="C843" s="53" t="s">
        <v>691</v>
      </c>
      <c r="D843" s="53" t="s">
        <v>299</v>
      </c>
      <c r="E843" s="53" t="s">
        <v>136</v>
      </c>
      <c r="F843" s="53" t="s">
        <v>137</v>
      </c>
      <c r="G843" s="53" t="s">
        <v>138</v>
      </c>
      <c r="H843" s="53">
        <v>4</v>
      </c>
      <c r="I843" s="53" t="s">
        <v>176</v>
      </c>
      <c r="J843" s="53">
        <v>0</v>
      </c>
      <c r="K843" s="53">
        <v>0</v>
      </c>
      <c r="L843" s="53">
        <v>31</v>
      </c>
      <c r="M843" s="53" t="s">
        <v>317</v>
      </c>
      <c r="N843" s="53">
        <v>29.2</v>
      </c>
      <c r="O843" s="51" t="str">
        <f>TEXT(tblWorkPackages[[#This Row],[Request date serial]]-WEEKDAY(tblWorkPackages[[#This Row],[Request date serial]],3),"yyyy-mm-dd")</f>
        <v>2024-04-01</v>
      </c>
      <c r="P843" s="51">
        <f>ABS(tblWorkPackages[[#This Row],[Actual labor hours]]-tblWorkPackages[[#This Row],[Estimated labor hours]])</f>
        <v>1.8</v>
      </c>
      <c r="Q843" s="51">
        <f>IF(tblWorkPackages[[#This Row],[Actual labor hours]]&gt;tblWorkPackages[[#This Row],[Estimated labor hours]],1,0)</f>
        <v>0</v>
      </c>
      <c r="R843" s="51">
        <f>tblWorkPackages[[#This Row],[Actual labor hours]]-tblWorkPackages[[#This Row],[Estimated labor hours]]</f>
        <v>-1.8</v>
      </c>
      <c r="S843" s="51" t="str">
        <f>IF(tblWorkPackages[[#This Row],[Request date serial]]&lt;ValidationStart,"Train 2024",IF(tblWorkPackages[[#This Row],[Request date serial]]&lt;HoldoutStart,"Validation H1","Holdout H2"))</f>
        <v>Train 2024</v>
      </c>
      <c r="T843" s="51" t="str">
        <f>IF(tblWorkPackages[[#This Row],[Time split]]="Train 2024","",tblWorkPackages[[#This Row],[Estimated labor hours]]+VLOOKUP(tblWorkPackages[[#This Row],[Task type]],'Forecast validation'!$A$14:$E$25,IF(tblWorkPackages[[#This Row],[Time split]]="Validation H1",4,5),FALSE()))</f>
        <v/>
      </c>
      <c r="U843" s="51" t="str">
        <f>IF(tblWorkPackages[[#This Row],[Calibrated forecast hours]]="","",ABS(tblWorkPackages[[#This Row],[Actual labor hours]]-tblWorkPackages[[#This Row],[Calibrated forecast hours]]))</f>
        <v/>
      </c>
      <c r="V843" s="51">
        <f>IF(tblWorkPackages[[#This Row],[Time split]]="Train 2024",tblWorkPackages[[#This Row],[Estimated labor hours]],tblWorkPackages[[#This Row],[Calibrated forecast hours]])</f>
        <v>31</v>
      </c>
      <c r="W843" s="64">
        <f>DATEVALUE(tblWorkPackages[[#This Row],[Request date]])</f>
        <v>45389.0</v>
      </c>
      <c r="X843" s="64">
        <f>DATEVALUE(tblWorkPackages[[#This Row],[Due date]])</f>
        <v>45395.0</v>
      </c>
      <c r="Y843" s="64">
        <f>DATEVALUE(tblWorkPackages[[#This Row],[Completion date]])</f>
        <v>45394.0</v>
      </c>
      <c r="Z843" s="64">
        <f>_xlfn.MINIFS(tblLaborEntries[Work date serial],tblLaborEntries[Work package ID],tblWorkPackages[[#This Row],[Work package ID]])</f>
        <v>45393.0</v>
      </c>
      <c r="AA843" s="64">
        <f>_xlfn.MAXIFS(tblLaborEntries[Work date serial],tblLaborEntries[Work package ID],tblWorkPackages[[#This Row],[Work package ID]])</f>
        <v>45393.0</v>
      </c>
      <c r="AB843" s="65">
        <f>IF(tblWorkPackages[[#This Row],[Completion date serial]]&gt;tblWorkPackages[[#This Row],[Due date serial]],1,0)</f>
        <v>0</v>
      </c>
      <c r="AC843" s="65">
        <f>MAX(0,tblWorkPackages[[#This Row],[Completion date serial]]-tblWorkPackages[[#This Row],[Due date serial]])</f>
        <v>0</v>
      </c>
      <c r="AD843" s="65">
        <f>tblWorkPackages[[#This Row],[First labor date]]-tblWorkPackages[[#This Row],[Request date serial]]</f>
        <v>4</v>
      </c>
      <c r="AE843" s="65">
        <f>tblWorkPackages[[#This Row],[Last labor date]]-tblWorkPackages[[#This Row],[First labor date]]</f>
        <v>0</v>
      </c>
      <c r="AF843" s="65">
        <f>tblWorkPackages[[#This Row],[Completion date serial]]-tblWorkPackages[[#This Row],[Last labor date]]</f>
        <v>1</v>
      </c>
      <c r="AG843" s="65">
        <f>tblWorkPackages[[#This Row],[Completion date serial]]-tblWorkPackages[[#This Row],[Request date serial]]</f>
        <v>5</v>
      </c>
      <c r="AH843" s="65">
        <f>IFERROR(INDEX(tblParts[Delay days],MATCH(tblWorkPackages[[#This Row],[Work package ID]],tblParts[Work package ID],0)),0)</f>
        <v>0</v>
      </c>
      <c r="AI843" s="51" t="str">
        <f>IFERROR(INDEX(tblDisruptions[Event type],MATCH(tblWorkPackages[[#This Row],[Work package ID]],tblDisruptions[Work package ID],0)),"None")</f>
        <v>None</v>
      </c>
      <c r="AJ843" s="51" t="str">
        <f>TEXT(tblWorkPackages[[#This Row],[Due date serial]],"yyyy-mm")</f>
        <v>2024-04</v>
      </c>
    </row>
    <row r="844" spans="1:36" ht="15" x14ac:dyDescent="0.25">
      <c r="A844" s="53" t="s">
        <v>1726</v>
      </c>
      <c r="B844" s="53" t="s">
        <v>250</v>
      </c>
      <c r="C844" s="53" t="s">
        <v>848</v>
      </c>
      <c r="D844" s="53" t="s">
        <v>356</v>
      </c>
      <c r="E844" s="53" t="s">
        <v>200</v>
      </c>
      <c r="F844" s="53" t="s">
        <v>128</v>
      </c>
      <c r="G844" s="53" t="s">
        <v>129</v>
      </c>
      <c r="H844" s="53">
        <v>1</v>
      </c>
      <c r="I844" s="53" t="s">
        <v>176</v>
      </c>
      <c r="J844" s="53">
        <v>0</v>
      </c>
      <c r="K844" s="53">
        <v>0</v>
      </c>
      <c r="L844" s="53">
        <v>1.9</v>
      </c>
      <c r="M844" s="53" t="s">
        <v>780</v>
      </c>
      <c r="N844" s="53">
        <v>2.2000000000000002</v>
      </c>
      <c r="O844" s="51" t="str">
        <f>TEXT(tblWorkPackages[[#This Row],[Request date serial]]-WEEKDAY(tblWorkPackages[[#This Row],[Request date serial]],3),"yyyy-mm-dd")</f>
        <v>2025-12-15</v>
      </c>
      <c r="P844" s="51">
        <f>ABS(tblWorkPackages[[#This Row],[Actual labor hours]]-tblWorkPackages[[#This Row],[Estimated labor hours]])</f>
        <v>0.3</v>
      </c>
      <c r="Q844" s="51">
        <f>IF(tblWorkPackages[[#This Row],[Actual labor hours]]&gt;tblWorkPackages[[#This Row],[Estimated labor hours]],1,0)</f>
        <v>1</v>
      </c>
      <c r="R844" s="51">
        <f>tblWorkPackages[[#This Row],[Actual labor hours]]-tblWorkPackages[[#This Row],[Estimated labor hours]]</f>
        <v>0.3</v>
      </c>
      <c r="S844" s="51" t="str">
        <f>IF(tblWorkPackages[[#This Row],[Request date serial]]&lt;ValidationStart,"Train 2024",IF(tblWorkPackages[[#This Row],[Request date serial]]&lt;HoldoutStart,"Validation H1","Holdout H2"))</f>
        <v>Holdout H2</v>
      </c>
      <c r="T844" s="51">
        <f>IF(tblWorkPackages[[#This Row],[Time split]]="Train 2024","",tblWorkPackages[[#This Row],[Estimated labor hours]]+VLOOKUP(tblWorkPackages[[#This Row],[Task type]],'Forecast validation'!$A$14:$E$25,IF(tblWorkPackages[[#This Row],[Time split]]="Validation H1",4,5),FALSE()))</f>
        <v>2.22893081761006</v>
      </c>
      <c r="U844" s="51">
        <f>IF(tblWorkPackages[[#This Row],[Calibrated forecast hours]]="","",ABS(tblWorkPackages[[#This Row],[Actual labor hours]]-tblWorkPackages[[#This Row],[Calibrated forecast hours]]))</f>
        <v>0.0289308176100627</v>
      </c>
      <c r="V844" s="51">
        <f>IF(tblWorkPackages[[#This Row],[Time split]]="Train 2024",tblWorkPackages[[#This Row],[Estimated labor hours]],tblWorkPackages[[#This Row],[Calibrated forecast hours]])</f>
        <v>2.22893081761006</v>
      </c>
      <c r="W844" s="64">
        <f>DATEVALUE(tblWorkPackages[[#This Row],[Request date]])</f>
        <v>46006.0</v>
      </c>
      <c r="X844" s="64">
        <f>DATEVALUE(tblWorkPackages[[#This Row],[Due date]])</f>
        <v>46012.0</v>
      </c>
      <c r="Y844" s="64">
        <f>DATEVALUE(tblWorkPackages[[#This Row],[Completion date]])</f>
        <v>46009.0</v>
      </c>
      <c r="Z844" s="64">
        <f>_xlfn.MINIFS(tblLaborEntries[Work date serial],tblLaborEntries[Work package ID],tblWorkPackages[[#This Row],[Work package ID]])</f>
        <v>46007.0</v>
      </c>
      <c r="AA844" s="64">
        <f>_xlfn.MAXIFS(tblLaborEntries[Work date serial],tblLaborEntries[Work package ID],tblWorkPackages[[#This Row],[Work package ID]])</f>
        <v>46007.0</v>
      </c>
      <c r="AB844" s="65">
        <f>IF(tblWorkPackages[[#This Row],[Completion date serial]]&gt;tblWorkPackages[[#This Row],[Due date serial]],1,0)</f>
        <v>0</v>
      </c>
      <c r="AC844" s="65">
        <f>MAX(0,tblWorkPackages[[#This Row],[Completion date serial]]-tblWorkPackages[[#This Row],[Due date serial]])</f>
        <v>0</v>
      </c>
      <c r="AD844" s="65">
        <f>tblWorkPackages[[#This Row],[First labor date]]-tblWorkPackages[[#This Row],[Request date serial]]</f>
        <v>1</v>
      </c>
      <c r="AE844" s="65">
        <f>tblWorkPackages[[#This Row],[Last labor date]]-tblWorkPackages[[#This Row],[First labor date]]</f>
        <v>0</v>
      </c>
      <c r="AF844" s="65">
        <f>tblWorkPackages[[#This Row],[Completion date serial]]-tblWorkPackages[[#This Row],[Last labor date]]</f>
        <v>2</v>
      </c>
      <c r="AG844" s="65">
        <f>tblWorkPackages[[#This Row],[Completion date serial]]-tblWorkPackages[[#This Row],[Request date serial]]</f>
        <v>3</v>
      </c>
      <c r="AH844" s="65">
        <f>IFERROR(INDEX(tblParts[Delay days],MATCH(tblWorkPackages[[#This Row],[Work package ID]],tblParts[Work package ID],0)),0)</f>
        <v>0</v>
      </c>
      <c r="AI844" s="51" t="str">
        <f>IFERROR(INDEX(tblDisruptions[Event type],MATCH(tblWorkPackages[[#This Row],[Work package ID]],tblDisruptions[Work package ID],0)),"None")</f>
        <v>None</v>
      </c>
      <c r="AJ844" s="51" t="str">
        <f>TEXT(tblWorkPackages[[#This Row],[Due date serial]],"yyyy-mm")</f>
        <v>2025-12</v>
      </c>
    </row>
    <row r="845" spans="1:36" ht="15" x14ac:dyDescent="0.25">
      <c r="A845" s="53" t="s">
        <v>1727</v>
      </c>
      <c r="B845" s="53" t="s">
        <v>157</v>
      </c>
      <c r="C845" s="53" t="s">
        <v>1728</v>
      </c>
      <c r="D845" s="53" t="s">
        <v>1174</v>
      </c>
      <c r="E845" s="53" t="s">
        <v>223</v>
      </c>
      <c r="F845" s="53" t="s">
        <v>182</v>
      </c>
      <c r="G845" s="53" t="s">
        <v>154</v>
      </c>
      <c r="H845" s="53">
        <v>3</v>
      </c>
      <c r="I845" s="53" t="s">
        <v>176</v>
      </c>
      <c r="J845" s="53">
        <v>0</v>
      </c>
      <c r="K845" s="53">
        <v>1</v>
      </c>
      <c r="L845" s="53">
        <v>17.2</v>
      </c>
      <c r="M845" s="53" t="s">
        <v>956</v>
      </c>
      <c r="N845" s="53">
        <v>15.6</v>
      </c>
      <c r="O845" s="51" t="str">
        <f>TEXT(tblWorkPackages[[#This Row],[Request date serial]]-WEEKDAY(tblWorkPackages[[#This Row],[Request date serial]],3),"yyyy-mm-dd")</f>
        <v>2024-05-27</v>
      </c>
      <c r="P845" s="51">
        <f>ABS(tblWorkPackages[[#This Row],[Actual labor hours]]-tblWorkPackages[[#This Row],[Estimated labor hours]])</f>
        <v>1.6</v>
      </c>
      <c r="Q845" s="51">
        <f>IF(tblWorkPackages[[#This Row],[Actual labor hours]]&gt;tblWorkPackages[[#This Row],[Estimated labor hours]],1,0)</f>
        <v>0</v>
      </c>
      <c r="R845" s="51">
        <f>tblWorkPackages[[#This Row],[Actual labor hours]]-tblWorkPackages[[#This Row],[Estimated labor hours]]</f>
        <v>-1.6</v>
      </c>
      <c r="S845" s="51" t="str">
        <f>IF(tblWorkPackages[[#This Row],[Request date serial]]&lt;ValidationStart,"Train 2024",IF(tblWorkPackages[[#This Row],[Request date serial]]&lt;HoldoutStart,"Validation H1","Holdout H2"))</f>
        <v>Train 2024</v>
      </c>
      <c r="T845" s="51" t="str">
        <f>IF(tblWorkPackages[[#This Row],[Time split]]="Train 2024","",tblWorkPackages[[#This Row],[Estimated labor hours]]+VLOOKUP(tblWorkPackages[[#This Row],[Task type]],'Forecast validation'!$A$14:$E$25,IF(tblWorkPackages[[#This Row],[Time split]]="Validation H1",4,5),FALSE()))</f>
        <v/>
      </c>
      <c r="U845" s="51" t="str">
        <f>IF(tblWorkPackages[[#This Row],[Calibrated forecast hours]]="","",ABS(tblWorkPackages[[#This Row],[Actual labor hours]]-tblWorkPackages[[#This Row],[Calibrated forecast hours]]))</f>
        <v/>
      </c>
      <c r="V845" s="51">
        <f>IF(tblWorkPackages[[#This Row],[Time split]]="Train 2024",tblWorkPackages[[#This Row],[Estimated labor hours]],tblWorkPackages[[#This Row],[Calibrated forecast hours]])</f>
        <v>17.2</v>
      </c>
      <c r="W845" s="64">
        <f>DATEVALUE(tblWorkPackages[[#This Row],[Request date]])</f>
        <v>45443.0</v>
      </c>
      <c r="X845" s="64">
        <f>DATEVALUE(tblWorkPackages[[#This Row],[Due date]])</f>
        <v>45449.0</v>
      </c>
      <c r="Y845" s="64">
        <f>DATEVALUE(tblWorkPackages[[#This Row],[Completion date]])</f>
        <v>45456.0</v>
      </c>
      <c r="Z845" s="64">
        <f>_xlfn.MINIFS(tblLaborEntries[Work date serial],tblLaborEntries[Work package ID],tblWorkPackages[[#This Row],[Work package ID]])</f>
        <v>45452.0</v>
      </c>
      <c r="AA845" s="64">
        <f>_xlfn.MAXIFS(tblLaborEntries[Work date serial],tblLaborEntries[Work package ID],tblWorkPackages[[#This Row],[Work package ID]])</f>
        <v>45453.0</v>
      </c>
      <c r="AB845" s="65">
        <f>IF(tblWorkPackages[[#This Row],[Completion date serial]]&gt;tblWorkPackages[[#This Row],[Due date serial]],1,0)</f>
        <v>1</v>
      </c>
      <c r="AC845" s="65">
        <f>MAX(0,tblWorkPackages[[#This Row],[Completion date serial]]-tblWorkPackages[[#This Row],[Due date serial]])</f>
        <v>7</v>
      </c>
      <c r="AD845" s="65">
        <f>tblWorkPackages[[#This Row],[First labor date]]-tblWorkPackages[[#This Row],[Request date serial]]</f>
        <v>9</v>
      </c>
      <c r="AE845" s="65">
        <f>tblWorkPackages[[#This Row],[Last labor date]]-tblWorkPackages[[#This Row],[First labor date]]</f>
        <v>1</v>
      </c>
      <c r="AF845" s="65">
        <f>tblWorkPackages[[#This Row],[Completion date serial]]-tblWorkPackages[[#This Row],[Last labor date]]</f>
        <v>3</v>
      </c>
      <c r="AG845" s="65">
        <f>tblWorkPackages[[#This Row],[Completion date serial]]-tblWorkPackages[[#This Row],[Request date serial]]</f>
        <v>13</v>
      </c>
      <c r="AH845" s="65">
        <f>IFERROR(INDEX(tblParts[Delay days],MATCH(tblWorkPackages[[#This Row],[Work package ID]],tblParts[Work package ID],0)),0)</f>
        <v>0</v>
      </c>
      <c r="AI845" s="51" t="str">
        <f>IFERROR(INDEX(tblDisruptions[Event type],MATCH(tblWorkPackages[[#This Row],[Work package ID]],tblDisruptions[Work package ID],0)),"None")</f>
        <v>None</v>
      </c>
      <c r="AJ845" s="51" t="str">
        <f>TEXT(tblWorkPackages[[#This Row],[Due date serial]],"yyyy-mm")</f>
        <v>2024-06</v>
      </c>
    </row>
    <row r="846" spans="1:36" ht="15" x14ac:dyDescent="0.25">
      <c r="A846" s="53" t="s">
        <v>1729</v>
      </c>
      <c r="B846" s="53" t="s">
        <v>287</v>
      </c>
      <c r="C846" s="53" t="s">
        <v>403</v>
      </c>
      <c r="D846" s="53" t="s">
        <v>883</v>
      </c>
      <c r="E846" s="53" t="s">
        <v>153</v>
      </c>
      <c r="F846" s="53" t="s">
        <v>128</v>
      </c>
      <c r="G846" s="53" t="s">
        <v>154</v>
      </c>
      <c r="H846" s="53">
        <v>4</v>
      </c>
      <c r="I846" s="53" t="s">
        <v>176</v>
      </c>
      <c r="J846" s="53">
        <v>1</v>
      </c>
      <c r="K846" s="53">
        <v>0</v>
      </c>
      <c r="L846" s="53">
        <v>15.8</v>
      </c>
      <c r="M846" s="53" t="s">
        <v>1730</v>
      </c>
      <c r="N846" s="53">
        <v>24.2</v>
      </c>
      <c r="O846" s="51" t="str">
        <f>TEXT(tblWorkPackages[[#This Row],[Request date serial]]-WEEKDAY(tblWorkPackages[[#This Row],[Request date serial]],3),"yyyy-mm-dd")</f>
        <v>2024-10-07</v>
      </c>
      <c r="P846" s="51">
        <f>ABS(tblWorkPackages[[#This Row],[Actual labor hours]]-tblWorkPackages[[#This Row],[Estimated labor hours]])</f>
        <v>8.4</v>
      </c>
      <c r="Q846" s="51">
        <f>IF(tblWorkPackages[[#This Row],[Actual labor hours]]&gt;tblWorkPackages[[#This Row],[Estimated labor hours]],1,0)</f>
        <v>1</v>
      </c>
      <c r="R846" s="51">
        <f>tblWorkPackages[[#This Row],[Actual labor hours]]-tblWorkPackages[[#This Row],[Estimated labor hours]]</f>
        <v>8.4</v>
      </c>
      <c r="S846" s="51" t="str">
        <f>IF(tblWorkPackages[[#This Row],[Request date serial]]&lt;ValidationStart,"Train 2024",IF(tblWorkPackages[[#This Row],[Request date serial]]&lt;HoldoutStart,"Validation H1","Holdout H2"))</f>
        <v>Train 2024</v>
      </c>
      <c r="T846" s="51" t="str">
        <f>IF(tblWorkPackages[[#This Row],[Time split]]="Train 2024","",tblWorkPackages[[#This Row],[Estimated labor hours]]+VLOOKUP(tblWorkPackages[[#This Row],[Task type]],'Forecast validation'!$A$14:$E$25,IF(tblWorkPackages[[#This Row],[Time split]]="Validation H1",4,5),FALSE()))</f>
        <v/>
      </c>
      <c r="U846" s="51" t="str">
        <f>IF(tblWorkPackages[[#This Row],[Calibrated forecast hours]]="","",ABS(tblWorkPackages[[#This Row],[Actual labor hours]]-tblWorkPackages[[#This Row],[Calibrated forecast hours]]))</f>
        <v/>
      </c>
      <c r="V846" s="51">
        <f>IF(tblWorkPackages[[#This Row],[Time split]]="Train 2024",tblWorkPackages[[#This Row],[Estimated labor hours]],tblWorkPackages[[#This Row],[Calibrated forecast hours]])</f>
        <v>15.8</v>
      </c>
      <c r="W846" s="64">
        <f>DATEVALUE(tblWorkPackages[[#This Row],[Request date]])</f>
        <v>45577.0</v>
      </c>
      <c r="X846" s="64">
        <f>DATEVALUE(tblWorkPackages[[#This Row],[Due date]])</f>
        <v>45583.0</v>
      </c>
      <c r="Y846" s="64">
        <f>DATEVALUE(tblWorkPackages[[#This Row],[Completion date]])</f>
        <v>45579.0</v>
      </c>
      <c r="Z846" s="64">
        <f>_xlfn.MINIFS(tblLaborEntries[Work date serial],tblLaborEntries[Work package ID],tblWorkPackages[[#This Row],[Work package ID]])</f>
        <v>45579.0</v>
      </c>
      <c r="AA846" s="64">
        <f>_xlfn.MAXIFS(tblLaborEntries[Work date serial],tblLaborEntries[Work package ID],tblWorkPackages[[#This Row],[Work package ID]])</f>
        <v>45579.0</v>
      </c>
      <c r="AB846" s="65">
        <f>IF(tblWorkPackages[[#This Row],[Completion date serial]]&gt;tblWorkPackages[[#This Row],[Due date serial]],1,0)</f>
        <v>0</v>
      </c>
      <c r="AC846" s="65">
        <f>MAX(0,tblWorkPackages[[#This Row],[Completion date serial]]-tblWorkPackages[[#This Row],[Due date serial]])</f>
        <v>0</v>
      </c>
      <c r="AD846" s="65">
        <f>tblWorkPackages[[#This Row],[First labor date]]-tblWorkPackages[[#This Row],[Request date serial]]</f>
        <v>2</v>
      </c>
      <c r="AE846" s="65">
        <f>tblWorkPackages[[#This Row],[Last labor date]]-tblWorkPackages[[#This Row],[First labor date]]</f>
        <v>0</v>
      </c>
      <c r="AF846" s="65">
        <f>tblWorkPackages[[#This Row],[Completion date serial]]-tblWorkPackages[[#This Row],[Last labor date]]</f>
        <v>0</v>
      </c>
      <c r="AG846" s="65">
        <f>tblWorkPackages[[#This Row],[Completion date serial]]-tblWorkPackages[[#This Row],[Request date serial]]</f>
        <v>2</v>
      </c>
      <c r="AH846" s="65">
        <f>IFERROR(INDEX(tblParts[Delay days],MATCH(tblWorkPackages[[#This Row],[Work package ID]],tblParts[Work package ID],0)),0)</f>
        <v>0</v>
      </c>
      <c r="AI846" s="51" t="str">
        <f>IFERROR(INDEX(tblDisruptions[Event type],MATCH(tblWorkPackages[[#This Row],[Work package ID]],tblDisruptions[Work package ID],0)),"None")</f>
        <v>None</v>
      </c>
      <c r="AJ846" s="51" t="str">
        <f>TEXT(tblWorkPackages[[#This Row],[Due date serial]],"yyyy-mm")</f>
        <v>2024-10</v>
      </c>
    </row>
    <row r="847" spans="1:36" ht="15" x14ac:dyDescent="0.25">
      <c r="A847" s="53" t="s">
        <v>1731</v>
      </c>
      <c r="B847" s="53" t="s">
        <v>141</v>
      </c>
      <c r="C847" s="53" t="s">
        <v>304</v>
      </c>
      <c r="D847" s="53" t="s">
        <v>1324</v>
      </c>
      <c r="E847" s="53" t="s">
        <v>200</v>
      </c>
      <c r="F847" s="53" t="s">
        <v>128</v>
      </c>
      <c r="G847" s="53" t="s">
        <v>129</v>
      </c>
      <c r="H847" s="53">
        <v>4</v>
      </c>
      <c r="I847" s="53" t="s">
        <v>176</v>
      </c>
      <c r="J847" s="53">
        <v>0</v>
      </c>
      <c r="K847" s="53">
        <v>0</v>
      </c>
      <c r="L847" s="53">
        <v>5.9</v>
      </c>
      <c r="M847" s="53" t="s">
        <v>362</v>
      </c>
      <c r="N847" s="53">
        <v>7.5</v>
      </c>
      <c r="O847" s="51" t="str">
        <f>TEXT(tblWorkPackages[[#This Row],[Request date serial]]-WEEKDAY(tblWorkPackages[[#This Row],[Request date serial]],3),"yyyy-mm-dd")</f>
        <v>2024-06-24</v>
      </c>
      <c r="P847" s="51">
        <f>ABS(tblWorkPackages[[#This Row],[Actual labor hours]]-tblWorkPackages[[#This Row],[Estimated labor hours]])</f>
        <v>1.6</v>
      </c>
      <c r="Q847" s="51">
        <f>IF(tblWorkPackages[[#This Row],[Actual labor hours]]&gt;tblWorkPackages[[#This Row],[Estimated labor hours]],1,0)</f>
        <v>1</v>
      </c>
      <c r="R847" s="51">
        <f>tblWorkPackages[[#This Row],[Actual labor hours]]-tblWorkPackages[[#This Row],[Estimated labor hours]]</f>
        <v>1.6</v>
      </c>
      <c r="S847" s="51" t="str">
        <f>IF(tblWorkPackages[[#This Row],[Request date serial]]&lt;ValidationStart,"Train 2024",IF(tblWorkPackages[[#This Row],[Request date serial]]&lt;HoldoutStart,"Validation H1","Holdout H2"))</f>
        <v>Train 2024</v>
      </c>
      <c r="T847" s="51" t="str">
        <f>IF(tblWorkPackages[[#This Row],[Time split]]="Train 2024","",tblWorkPackages[[#This Row],[Estimated labor hours]]+VLOOKUP(tblWorkPackages[[#This Row],[Task type]],'Forecast validation'!$A$14:$E$25,IF(tblWorkPackages[[#This Row],[Time split]]="Validation H1",4,5),FALSE()))</f>
        <v/>
      </c>
      <c r="U847" s="51" t="str">
        <f>IF(tblWorkPackages[[#This Row],[Calibrated forecast hours]]="","",ABS(tblWorkPackages[[#This Row],[Actual labor hours]]-tblWorkPackages[[#This Row],[Calibrated forecast hours]]))</f>
        <v/>
      </c>
      <c r="V847" s="51">
        <f>IF(tblWorkPackages[[#This Row],[Time split]]="Train 2024",tblWorkPackages[[#This Row],[Estimated labor hours]],tblWorkPackages[[#This Row],[Calibrated forecast hours]])</f>
        <v>5.9</v>
      </c>
      <c r="W847" s="64">
        <f>DATEVALUE(tblWorkPackages[[#This Row],[Request date]])</f>
        <v>45470.0</v>
      </c>
      <c r="X847" s="64">
        <f>DATEVALUE(tblWorkPackages[[#This Row],[Due date]])</f>
        <v>45476.0</v>
      </c>
      <c r="Y847" s="64">
        <f>DATEVALUE(tblWorkPackages[[#This Row],[Completion date]])</f>
        <v>45494.0</v>
      </c>
      <c r="Z847" s="64">
        <f>_xlfn.MINIFS(tblLaborEntries[Work date serial],tblLaborEntries[Work package ID],tblWorkPackages[[#This Row],[Work package ID]])</f>
        <v>45493.0</v>
      </c>
      <c r="AA847" s="64">
        <f>_xlfn.MAXIFS(tblLaborEntries[Work date serial],tblLaborEntries[Work package ID],tblWorkPackages[[#This Row],[Work package ID]])</f>
        <v>45493.0</v>
      </c>
      <c r="AB847" s="65">
        <f>IF(tblWorkPackages[[#This Row],[Completion date serial]]&gt;tblWorkPackages[[#This Row],[Due date serial]],1,0)</f>
        <v>1</v>
      </c>
      <c r="AC847" s="65">
        <f>MAX(0,tblWorkPackages[[#This Row],[Completion date serial]]-tblWorkPackages[[#This Row],[Due date serial]])</f>
        <v>18</v>
      </c>
      <c r="AD847" s="65">
        <f>tblWorkPackages[[#This Row],[First labor date]]-tblWorkPackages[[#This Row],[Request date serial]]</f>
        <v>23</v>
      </c>
      <c r="AE847" s="65">
        <f>tblWorkPackages[[#This Row],[Last labor date]]-tblWorkPackages[[#This Row],[First labor date]]</f>
        <v>0</v>
      </c>
      <c r="AF847" s="65">
        <f>tblWorkPackages[[#This Row],[Completion date serial]]-tblWorkPackages[[#This Row],[Last labor date]]</f>
        <v>1</v>
      </c>
      <c r="AG847" s="65">
        <f>tblWorkPackages[[#This Row],[Completion date serial]]-tblWorkPackages[[#This Row],[Request date serial]]</f>
        <v>24</v>
      </c>
      <c r="AH847" s="65">
        <f>IFERROR(INDEX(tblParts[Delay days],MATCH(tblWorkPackages[[#This Row],[Work package ID]],tblParts[Work package ID],0)),0)</f>
        <v>0</v>
      </c>
      <c r="AI847" s="51" t="str">
        <f>IFERROR(INDEX(tblDisruptions[Event type],MATCH(tblWorkPackages[[#This Row],[Work package ID]],tblDisruptions[Work package ID],0)),"None")</f>
        <v>Repeat inspection</v>
      </c>
      <c r="AJ847" s="51" t="str">
        <f>TEXT(tblWorkPackages[[#This Row],[Due date serial]],"yyyy-mm")</f>
        <v>2024-07</v>
      </c>
    </row>
    <row r="848" spans="1:36" ht="15" x14ac:dyDescent="0.25">
      <c r="A848" s="53" t="s">
        <v>1732</v>
      </c>
      <c r="B848" s="53" t="s">
        <v>235</v>
      </c>
      <c r="C848" s="53" t="s">
        <v>1578</v>
      </c>
      <c r="D848" s="53" t="s">
        <v>947</v>
      </c>
      <c r="E848" s="53" t="s">
        <v>209</v>
      </c>
      <c r="F848" s="53" t="s">
        <v>145</v>
      </c>
      <c r="G848" s="53" t="s">
        <v>210</v>
      </c>
      <c r="H848" s="53">
        <v>4</v>
      </c>
      <c r="I848" s="53" t="s">
        <v>176</v>
      </c>
      <c r="J848" s="53">
        <v>0</v>
      </c>
      <c r="K848" s="53">
        <v>1</v>
      </c>
      <c r="L848" s="53">
        <v>34.200000000000003</v>
      </c>
      <c r="M848" s="53" t="s">
        <v>771</v>
      </c>
      <c r="N848" s="53">
        <v>31.2</v>
      </c>
      <c r="O848" s="51" t="str">
        <f>TEXT(tblWorkPackages[[#This Row],[Request date serial]]-WEEKDAY(tblWorkPackages[[#This Row],[Request date serial]],3),"yyyy-mm-dd")</f>
        <v>2024-09-23</v>
      </c>
      <c r="P848" s="51">
        <f>ABS(tblWorkPackages[[#This Row],[Actual labor hours]]-tblWorkPackages[[#This Row],[Estimated labor hours]])</f>
        <v>3</v>
      </c>
      <c r="Q848" s="51">
        <f>IF(tblWorkPackages[[#This Row],[Actual labor hours]]&gt;tblWorkPackages[[#This Row],[Estimated labor hours]],1,0)</f>
        <v>0</v>
      </c>
      <c r="R848" s="51">
        <f>tblWorkPackages[[#This Row],[Actual labor hours]]-tblWorkPackages[[#This Row],[Estimated labor hours]]</f>
        <v>-3</v>
      </c>
      <c r="S848" s="51" t="str">
        <f>IF(tblWorkPackages[[#This Row],[Request date serial]]&lt;ValidationStart,"Train 2024",IF(tblWorkPackages[[#This Row],[Request date serial]]&lt;HoldoutStart,"Validation H1","Holdout H2"))</f>
        <v>Train 2024</v>
      </c>
      <c r="T848" s="51" t="str">
        <f>IF(tblWorkPackages[[#This Row],[Time split]]="Train 2024","",tblWorkPackages[[#This Row],[Estimated labor hours]]+VLOOKUP(tblWorkPackages[[#This Row],[Task type]],'Forecast validation'!$A$14:$E$25,IF(tblWorkPackages[[#This Row],[Time split]]="Validation H1",4,5),FALSE()))</f>
        <v/>
      </c>
      <c r="U848" s="51" t="str">
        <f>IF(tblWorkPackages[[#This Row],[Calibrated forecast hours]]="","",ABS(tblWorkPackages[[#This Row],[Actual labor hours]]-tblWorkPackages[[#This Row],[Calibrated forecast hours]]))</f>
        <v/>
      </c>
      <c r="V848" s="51">
        <f>IF(tblWorkPackages[[#This Row],[Time split]]="Train 2024",tblWorkPackages[[#This Row],[Estimated labor hours]],tblWorkPackages[[#This Row],[Calibrated forecast hours]])</f>
        <v>34.2</v>
      </c>
      <c r="W848" s="64">
        <f>DATEVALUE(tblWorkPackages[[#This Row],[Request date]])</f>
        <v>45564.0</v>
      </c>
      <c r="X848" s="64">
        <f>DATEVALUE(tblWorkPackages[[#This Row],[Due date]])</f>
        <v>45570.0</v>
      </c>
      <c r="Y848" s="64">
        <f>DATEVALUE(tblWorkPackages[[#This Row],[Completion date]])</f>
        <v>45571.0</v>
      </c>
      <c r="Z848" s="64">
        <f>_xlfn.MINIFS(tblLaborEntries[Work date serial],tblLaborEntries[Work package ID],tblWorkPackages[[#This Row],[Work package ID]])</f>
        <v>45568.0</v>
      </c>
      <c r="AA848" s="64">
        <f>_xlfn.MAXIFS(tblLaborEntries[Work date serial],tblLaborEntries[Work package ID],tblWorkPackages[[#This Row],[Work package ID]])</f>
        <v>45569.0</v>
      </c>
      <c r="AB848" s="65">
        <f>IF(tblWorkPackages[[#This Row],[Completion date serial]]&gt;tblWorkPackages[[#This Row],[Due date serial]],1,0)</f>
        <v>1</v>
      </c>
      <c r="AC848" s="65">
        <f>MAX(0,tblWorkPackages[[#This Row],[Completion date serial]]-tblWorkPackages[[#This Row],[Due date serial]])</f>
        <v>1</v>
      </c>
      <c r="AD848" s="65">
        <f>tblWorkPackages[[#This Row],[First labor date]]-tblWorkPackages[[#This Row],[Request date serial]]</f>
        <v>4</v>
      </c>
      <c r="AE848" s="65">
        <f>tblWorkPackages[[#This Row],[Last labor date]]-tblWorkPackages[[#This Row],[First labor date]]</f>
        <v>1</v>
      </c>
      <c r="AF848" s="65">
        <f>tblWorkPackages[[#This Row],[Completion date serial]]-tblWorkPackages[[#This Row],[Last labor date]]</f>
        <v>2</v>
      </c>
      <c r="AG848" s="65">
        <f>tblWorkPackages[[#This Row],[Completion date serial]]-tblWorkPackages[[#This Row],[Request date serial]]</f>
        <v>7</v>
      </c>
      <c r="AH848" s="65">
        <f>IFERROR(INDEX(tblParts[Delay days],MATCH(tblWorkPackages[[#This Row],[Work package ID]],tblParts[Work package ID],0)),0)</f>
        <v>0</v>
      </c>
      <c r="AI848" s="51" t="str">
        <f>IFERROR(INDEX(tblDisruptions[Event type],MATCH(tblWorkPackages[[#This Row],[Work package ID]],tblDisruptions[Work package ID],0)),"None")</f>
        <v>None</v>
      </c>
      <c r="AJ848" s="51" t="str">
        <f>TEXT(tblWorkPackages[[#This Row],[Due date serial]],"yyyy-mm")</f>
        <v>2024-10</v>
      </c>
    </row>
    <row r="849" spans="1:36" ht="15" x14ac:dyDescent="0.25">
      <c r="A849" s="53" t="s">
        <v>1733</v>
      </c>
      <c r="B849" s="53" t="s">
        <v>163</v>
      </c>
      <c r="C849" s="53" t="s">
        <v>755</v>
      </c>
      <c r="D849" s="53" t="s">
        <v>756</v>
      </c>
      <c r="E849" s="53" t="s">
        <v>200</v>
      </c>
      <c r="F849" s="53" t="s">
        <v>128</v>
      </c>
      <c r="G849" s="53" t="s">
        <v>129</v>
      </c>
      <c r="H849" s="53">
        <v>1</v>
      </c>
      <c r="I849" s="53" t="s">
        <v>130</v>
      </c>
      <c r="J849" s="53">
        <v>0</v>
      </c>
      <c r="K849" s="53">
        <v>1</v>
      </c>
      <c r="L849" s="53">
        <v>1.7</v>
      </c>
      <c r="M849" s="53" t="s">
        <v>1678</v>
      </c>
      <c r="N849" s="53">
        <v>1.9</v>
      </c>
      <c r="O849" s="51" t="str">
        <f>TEXT(tblWorkPackages[[#This Row],[Request date serial]]-WEEKDAY(tblWorkPackages[[#This Row],[Request date serial]],3),"yyyy-mm-dd")</f>
        <v>2024-09-09</v>
      </c>
      <c r="P849" s="51">
        <f>ABS(tblWorkPackages[[#This Row],[Actual labor hours]]-tblWorkPackages[[#This Row],[Estimated labor hours]])</f>
        <v>0.2</v>
      </c>
      <c r="Q849" s="51">
        <f>IF(tblWorkPackages[[#This Row],[Actual labor hours]]&gt;tblWorkPackages[[#This Row],[Estimated labor hours]],1,0)</f>
        <v>1</v>
      </c>
      <c r="R849" s="51">
        <f>tblWorkPackages[[#This Row],[Actual labor hours]]-tblWorkPackages[[#This Row],[Estimated labor hours]]</f>
        <v>0.2</v>
      </c>
      <c r="S849" s="51" t="str">
        <f>IF(tblWorkPackages[[#This Row],[Request date serial]]&lt;ValidationStart,"Train 2024",IF(tblWorkPackages[[#This Row],[Request date serial]]&lt;HoldoutStart,"Validation H1","Holdout H2"))</f>
        <v>Train 2024</v>
      </c>
      <c r="T849" s="51" t="str">
        <f>IF(tblWorkPackages[[#This Row],[Time split]]="Train 2024","",tblWorkPackages[[#This Row],[Estimated labor hours]]+VLOOKUP(tblWorkPackages[[#This Row],[Task type]],'Forecast validation'!$A$14:$E$25,IF(tblWorkPackages[[#This Row],[Time split]]="Validation H1",4,5),FALSE()))</f>
        <v/>
      </c>
      <c r="U849" s="51" t="str">
        <f>IF(tblWorkPackages[[#This Row],[Calibrated forecast hours]]="","",ABS(tblWorkPackages[[#This Row],[Actual labor hours]]-tblWorkPackages[[#This Row],[Calibrated forecast hours]]))</f>
        <v/>
      </c>
      <c r="V849" s="51">
        <f>IF(tblWorkPackages[[#This Row],[Time split]]="Train 2024",tblWorkPackages[[#This Row],[Estimated labor hours]],tblWorkPackages[[#This Row],[Calibrated forecast hours]])</f>
        <v>1.7</v>
      </c>
      <c r="W849" s="64">
        <f>DATEVALUE(tblWorkPackages[[#This Row],[Request date]])</f>
        <v>45550.0</v>
      </c>
      <c r="X849" s="64">
        <f>DATEVALUE(tblWorkPackages[[#This Row],[Due date]])</f>
        <v>45563.0</v>
      </c>
      <c r="Y849" s="64">
        <f>DATEVALUE(tblWorkPackages[[#This Row],[Completion date]])</f>
        <v>45555.0</v>
      </c>
      <c r="Z849" s="64">
        <f>_xlfn.MINIFS(tblLaborEntries[Work date serial],tblLaborEntries[Work package ID],tblWorkPackages[[#This Row],[Work package ID]])</f>
        <v>45551.0</v>
      </c>
      <c r="AA849" s="64">
        <f>_xlfn.MAXIFS(tblLaborEntries[Work date serial],tblLaborEntries[Work package ID],tblWorkPackages[[#This Row],[Work package ID]])</f>
        <v>45552.0</v>
      </c>
      <c r="AB849" s="65">
        <f>IF(tblWorkPackages[[#This Row],[Completion date serial]]&gt;tblWorkPackages[[#This Row],[Due date serial]],1,0)</f>
        <v>0</v>
      </c>
      <c r="AC849" s="65">
        <f>MAX(0,tblWorkPackages[[#This Row],[Completion date serial]]-tblWorkPackages[[#This Row],[Due date serial]])</f>
        <v>0</v>
      </c>
      <c r="AD849" s="65">
        <f>tblWorkPackages[[#This Row],[First labor date]]-tblWorkPackages[[#This Row],[Request date serial]]</f>
        <v>1</v>
      </c>
      <c r="AE849" s="65">
        <f>tblWorkPackages[[#This Row],[Last labor date]]-tblWorkPackages[[#This Row],[First labor date]]</f>
        <v>1</v>
      </c>
      <c r="AF849" s="65">
        <f>tblWorkPackages[[#This Row],[Completion date serial]]-tblWorkPackages[[#This Row],[Last labor date]]</f>
        <v>3</v>
      </c>
      <c r="AG849" s="65">
        <f>tblWorkPackages[[#This Row],[Completion date serial]]-tblWorkPackages[[#This Row],[Request date serial]]</f>
        <v>5</v>
      </c>
      <c r="AH849" s="65">
        <f>IFERROR(INDEX(tblParts[Delay days],MATCH(tblWorkPackages[[#This Row],[Work package ID]],tblParts[Work package ID],0)),0)</f>
        <v>0</v>
      </c>
      <c r="AI849" s="51" t="str">
        <f>IFERROR(INDEX(tblDisruptions[Event type],MATCH(tblWorkPackages[[#This Row],[Work package ID]],tblDisruptions[Work package ID],0)),"None")</f>
        <v>None</v>
      </c>
      <c r="AJ849" s="51" t="str">
        <f>TEXT(tblWorkPackages[[#This Row],[Due date serial]],"yyyy-mm")</f>
        <v>2024-09</v>
      </c>
    </row>
    <row r="850" spans="1:36" ht="15" x14ac:dyDescent="0.25">
      <c r="A850" s="53" t="s">
        <v>1734</v>
      </c>
      <c r="B850" s="53" t="s">
        <v>230</v>
      </c>
      <c r="C850" s="53" t="s">
        <v>1735</v>
      </c>
      <c r="D850" s="53" t="s">
        <v>433</v>
      </c>
      <c r="E850" s="53" t="s">
        <v>200</v>
      </c>
      <c r="F850" s="53" t="s">
        <v>128</v>
      </c>
      <c r="G850" s="53" t="s">
        <v>129</v>
      </c>
      <c r="H850" s="53">
        <v>3</v>
      </c>
      <c r="I850" s="53" t="s">
        <v>130</v>
      </c>
      <c r="J850" s="53">
        <v>1</v>
      </c>
      <c r="K850" s="53">
        <v>0</v>
      </c>
      <c r="L850" s="53">
        <v>4.0999999999999996</v>
      </c>
      <c r="M850" s="53" t="s">
        <v>540</v>
      </c>
      <c r="N850" s="53">
        <v>6</v>
      </c>
      <c r="O850" s="51" t="str">
        <f>TEXT(tblWorkPackages[[#This Row],[Request date serial]]-WEEKDAY(tblWorkPackages[[#This Row],[Request date serial]],3),"yyyy-mm-dd")</f>
        <v>2024-08-19</v>
      </c>
      <c r="P850" s="51">
        <f>ABS(tblWorkPackages[[#This Row],[Actual labor hours]]-tblWorkPackages[[#This Row],[Estimated labor hours]])</f>
        <v>1.9</v>
      </c>
      <c r="Q850" s="51">
        <f>IF(tblWorkPackages[[#This Row],[Actual labor hours]]&gt;tblWorkPackages[[#This Row],[Estimated labor hours]],1,0)</f>
        <v>1</v>
      </c>
      <c r="R850" s="51">
        <f>tblWorkPackages[[#This Row],[Actual labor hours]]-tblWorkPackages[[#This Row],[Estimated labor hours]]</f>
        <v>1.9</v>
      </c>
      <c r="S850" s="51" t="str">
        <f>IF(tblWorkPackages[[#This Row],[Request date serial]]&lt;ValidationStart,"Train 2024",IF(tblWorkPackages[[#This Row],[Request date serial]]&lt;HoldoutStart,"Validation H1","Holdout H2"))</f>
        <v>Train 2024</v>
      </c>
      <c r="T850" s="51" t="str">
        <f>IF(tblWorkPackages[[#This Row],[Time split]]="Train 2024","",tblWorkPackages[[#This Row],[Estimated labor hours]]+VLOOKUP(tblWorkPackages[[#This Row],[Task type]],'Forecast validation'!$A$14:$E$25,IF(tblWorkPackages[[#This Row],[Time split]]="Validation H1",4,5),FALSE()))</f>
        <v/>
      </c>
      <c r="U850" s="51" t="str">
        <f>IF(tblWorkPackages[[#This Row],[Calibrated forecast hours]]="","",ABS(tblWorkPackages[[#This Row],[Actual labor hours]]-tblWorkPackages[[#This Row],[Calibrated forecast hours]]))</f>
        <v/>
      </c>
      <c r="V850" s="51">
        <f>IF(tblWorkPackages[[#This Row],[Time split]]="Train 2024",tblWorkPackages[[#This Row],[Estimated labor hours]],tblWorkPackages[[#This Row],[Calibrated forecast hours]])</f>
        <v>4.1</v>
      </c>
      <c r="W850" s="64">
        <f>DATEVALUE(tblWorkPackages[[#This Row],[Request date]])</f>
        <v>45526.0</v>
      </c>
      <c r="X850" s="64">
        <f>DATEVALUE(tblWorkPackages[[#This Row],[Due date]])</f>
        <v>45539.0</v>
      </c>
      <c r="Y850" s="64">
        <f>DATEVALUE(tblWorkPackages[[#This Row],[Completion date]])</f>
        <v>45538.0</v>
      </c>
      <c r="Z850" s="64">
        <f>_xlfn.MINIFS(tblLaborEntries[Work date serial],tblLaborEntries[Work package ID],tblWorkPackages[[#This Row],[Work package ID]])</f>
        <v>45538.0</v>
      </c>
      <c r="AA850" s="64">
        <f>_xlfn.MAXIFS(tblLaborEntries[Work date serial],tblLaborEntries[Work package ID],tblWorkPackages[[#This Row],[Work package ID]])</f>
        <v>45538.0</v>
      </c>
      <c r="AB850" s="65">
        <f>IF(tblWorkPackages[[#This Row],[Completion date serial]]&gt;tblWorkPackages[[#This Row],[Due date serial]],1,0)</f>
        <v>0</v>
      </c>
      <c r="AC850" s="65">
        <f>MAX(0,tblWorkPackages[[#This Row],[Completion date serial]]-tblWorkPackages[[#This Row],[Due date serial]])</f>
        <v>0</v>
      </c>
      <c r="AD850" s="65">
        <f>tblWorkPackages[[#This Row],[First labor date]]-tblWorkPackages[[#This Row],[Request date serial]]</f>
        <v>12</v>
      </c>
      <c r="AE850" s="65">
        <f>tblWorkPackages[[#This Row],[Last labor date]]-tblWorkPackages[[#This Row],[First labor date]]</f>
        <v>0</v>
      </c>
      <c r="AF850" s="65">
        <f>tblWorkPackages[[#This Row],[Completion date serial]]-tblWorkPackages[[#This Row],[Last labor date]]</f>
        <v>0</v>
      </c>
      <c r="AG850" s="65">
        <f>tblWorkPackages[[#This Row],[Completion date serial]]-tblWorkPackages[[#This Row],[Request date serial]]</f>
        <v>12</v>
      </c>
      <c r="AH850" s="65">
        <f>IFERROR(INDEX(tblParts[Delay days],MATCH(tblWorkPackages[[#This Row],[Work package ID]],tblParts[Work package ID],0)),0)</f>
        <v>0</v>
      </c>
      <c r="AI850" s="51" t="str">
        <f>IFERROR(INDEX(tblDisruptions[Event type],MATCH(tblWorkPackages[[#This Row],[Work package ID]],tblDisruptions[Work package ID],0)),"None")</f>
        <v>None</v>
      </c>
      <c r="AJ850" s="51" t="str">
        <f>TEXT(tblWorkPackages[[#This Row],[Due date serial]],"yyyy-mm")</f>
        <v>2024-09</v>
      </c>
    </row>
    <row r="851" spans="1:36" ht="15" x14ac:dyDescent="0.25">
      <c r="A851" s="53" t="s">
        <v>1736</v>
      </c>
      <c r="B851" s="53" t="s">
        <v>157</v>
      </c>
      <c r="C851" s="53" t="s">
        <v>484</v>
      </c>
      <c r="D851" s="53" t="s">
        <v>232</v>
      </c>
      <c r="E851" s="53" t="s">
        <v>223</v>
      </c>
      <c r="F851" s="53" t="s">
        <v>182</v>
      </c>
      <c r="G851" s="53" t="s">
        <v>154</v>
      </c>
      <c r="H851" s="53">
        <v>1</v>
      </c>
      <c r="I851" s="53" t="s">
        <v>176</v>
      </c>
      <c r="J851" s="53">
        <v>0</v>
      </c>
      <c r="K851" s="53">
        <v>0</v>
      </c>
      <c r="L851" s="53">
        <v>7.5</v>
      </c>
      <c r="M851" s="53" t="s">
        <v>232</v>
      </c>
      <c r="N851" s="53">
        <v>5.8</v>
      </c>
      <c r="O851" s="51" t="str">
        <f>TEXT(tblWorkPackages[[#This Row],[Request date serial]]-WEEKDAY(tblWorkPackages[[#This Row],[Request date serial]],3),"yyyy-mm-dd")</f>
        <v>2024-12-30</v>
      </c>
      <c r="P851" s="51">
        <f>ABS(tblWorkPackages[[#This Row],[Actual labor hours]]-tblWorkPackages[[#This Row],[Estimated labor hours]])</f>
        <v>1.7</v>
      </c>
      <c r="Q851" s="51">
        <f>IF(tblWorkPackages[[#This Row],[Actual labor hours]]&gt;tblWorkPackages[[#This Row],[Estimated labor hours]],1,0)</f>
        <v>0</v>
      </c>
      <c r="R851" s="51">
        <f>tblWorkPackages[[#This Row],[Actual labor hours]]-tblWorkPackages[[#This Row],[Estimated labor hours]]</f>
        <v>-1.7</v>
      </c>
      <c r="S851" s="51" t="str">
        <f>IF(tblWorkPackages[[#This Row],[Request date serial]]&lt;ValidationStart,"Train 2024",IF(tblWorkPackages[[#This Row],[Request date serial]]&lt;HoldoutStart,"Validation H1","Holdout H2"))</f>
        <v>Validation H1</v>
      </c>
      <c r="T851" s="51">
        <f>IF(tblWorkPackages[[#This Row],[Time split]]="Train 2024","",tblWorkPackages[[#This Row],[Estimated labor hours]]+VLOOKUP(tblWorkPackages[[#This Row],[Task type]],'Forecast validation'!$A$14:$E$25,IF(tblWorkPackages[[#This Row],[Time split]]="Validation H1",4,5),FALSE()))</f>
        <v>8.38241758241758</v>
      </c>
      <c r="U851" s="51">
        <f>IF(tblWorkPackages[[#This Row],[Calibrated forecast hours]]="","",ABS(tblWorkPackages[[#This Row],[Actual labor hours]]-tblWorkPackages[[#This Row],[Calibrated forecast hours]]))</f>
        <v>2.58241758241758</v>
      </c>
      <c r="V851" s="51">
        <f>IF(tblWorkPackages[[#This Row],[Time split]]="Train 2024",tblWorkPackages[[#This Row],[Estimated labor hours]],tblWorkPackages[[#This Row],[Calibrated forecast hours]])</f>
        <v>8.38241758241758</v>
      </c>
      <c r="W851" s="64">
        <f>DATEVALUE(tblWorkPackages[[#This Row],[Request date]])</f>
        <v>45662.0</v>
      </c>
      <c r="X851" s="64">
        <f>DATEVALUE(tblWorkPackages[[#This Row],[Due date]])</f>
        <v>45668.0</v>
      </c>
      <c r="Y851" s="64">
        <f>DATEVALUE(tblWorkPackages[[#This Row],[Completion date]])</f>
        <v>45668.0</v>
      </c>
      <c r="Z851" s="64">
        <f>_xlfn.MINIFS(tblLaborEntries[Work date serial],tblLaborEntries[Work package ID],tblWorkPackages[[#This Row],[Work package ID]])</f>
        <v>45665.0</v>
      </c>
      <c r="AA851" s="64">
        <f>_xlfn.MAXIFS(tblLaborEntries[Work date serial],tblLaborEntries[Work package ID],tblWorkPackages[[#This Row],[Work package ID]])</f>
        <v>45667.0</v>
      </c>
      <c r="AB851" s="65">
        <f>IF(tblWorkPackages[[#This Row],[Completion date serial]]&gt;tblWorkPackages[[#This Row],[Due date serial]],1,0)</f>
        <v>0</v>
      </c>
      <c r="AC851" s="65">
        <f>MAX(0,tblWorkPackages[[#This Row],[Completion date serial]]-tblWorkPackages[[#This Row],[Due date serial]])</f>
        <v>0</v>
      </c>
      <c r="AD851" s="65">
        <f>tblWorkPackages[[#This Row],[First labor date]]-tblWorkPackages[[#This Row],[Request date serial]]</f>
        <v>3</v>
      </c>
      <c r="AE851" s="65">
        <f>tblWorkPackages[[#This Row],[Last labor date]]-tblWorkPackages[[#This Row],[First labor date]]</f>
        <v>2</v>
      </c>
      <c r="AF851" s="65">
        <f>tblWorkPackages[[#This Row],[Completion date serial]]-tblWorkPackages[[#This Row],[Last labor date]]</f>
        <v>1</v>
      </c>
      <c r="AG851" s="65">
        <f>tblWorkPackages[[#This Row],[Completion date serial]]-tblWorkPackages[[#This Row],[Request date serial]]</f>
        <v>6</v>
      </c>
      <c r="AH851" s="65">
        <f>IFERROR(INDEX(tblParts[Delay days],MATCH(tblWorkPackages[[#This Row],[Work package ID]],tblParts[Work package ID],0)),0)</f>
        <v>0</v>
      </c>
      <c r="AI851" s="51" t="str">
        <f>IFERROR(INDEX(tblDisruptions[Event type],MATCH(tblWorkPackages[[#This Row],[Work package ID]],tblDisruptions[Work package ID],0)),"None")</f>
        <v>None</v>
      </c>
      <c r="AJ851" s="51" t="str">
        <f>TEXT(tblWorkPackages[[#This Row],[Due date serial]],"yyyy-mm")</f>
        <v>2025-01</v>
      </c>
    </row>
    <row r="852" spans="1:36" ht="15" x14ac:dyDescent="0.25">
      <c r="A852" s="53" t="s">
        <v>1737</v>
      </c>
      <c r="B852" s="53" t="s">
        <v>185</v>
      </c>
      <c r="C852" s="53" t="s">
        <v>486</v>
      </c>
      <c r="D852" s="53" t="s">
        <v>1058</v>
      </c>
      <c r="E852" s="53" t="s">
        <v>136</v>
      </c>
      <c r="F852" s="53" t="s">
        <v>137</v>
      </c>
      <c r="G852" s="53" t="s">
        <v>138</v>
      </c>
      <c r="H852" s="53">
        <v>3</v>
      </c>
      <c r="I852" s="53" t="s">
        <v>130</v>
      </c>
      <c r="J852" s="53">
        <v>0</v>
      </c>
      <c r="K852" s="53">
        <v>0</v>
      </c>
      <c r="L852" s="53">
        <v>20.5</v>
      </c>
      <c r="M852" s="53" t="s">
        <v>186</v>
      </c>
      <c r="N852" s="53">
        <v>20</v>
      </c>
      <c r="O852" s="51" t="str">
        <f>TEXT(tblWorkPackages[[#This Row],[Request date serial]]-WEEKDAY(tblWorkPackages[[#This Row],[Request date serial]],3),"yyyy-mm-dd")</f>
        <v>2025-01-06</v>
      </c>
      <c r="P852" s="51">
        <f>ABS(tblWorkPackages[[#This Row],[Actual labor hours]]-tblWorkPackages[[#This Row],[Estimated labor hours]])</f>
        <v>0.5</v>
      </c>
      <c r="Q852" s="51">
        <f>IF(tblWorkPackages[[#This Row],[Actual labor hours]]&gt;tblWorkPackages[[#This Row],[Estimated labor hours]],1,0)</f>
        <v>0</v>
      </c>
      <c r="R852" s="51">
        <f>tblWorkPackages[[#This Row],[Actual labor hours]]-tblWorkPackages[[#This Row],[Estimated labor hours]]</f>
        <v>-0.5</v>
      </c>
      <c r="S852" s="51" t="str">
        <f>IF(tblWorkPackages[[#This Row],[Request date serial]]&lt;ValidationStart,"Train 2024",IF(tblWorkPackages[[#This Row],[Request date serial]]&lt;HoldoutStart,"Validation H1","Holdout H2"))</f>
        <v>Validation H1</v>
      </c>
      <c r="T852" s="51">
        <f>IF(tblWorkPackages[[#This Row],[Time split]]="Train 2024","",tblWorkPackages[[#This Row],[Estimated labor hours]]+VLOOKUP(tblWorkPackages[[#This Row],[Task type]],'Forecast validation'!$A$14:$E$25,IF(tblWorkPackages[[#This Row],[Time split]]="Validation H1",4,5),FALSE()))</f>
        <v>21.3765306122449</v>
      </c>
      <c r="U852" s="51">
        <f>IF(tblWorkPackages[[#This Row],[Calibrated forecast hours]]="","",ABS(tblWorkPackages[[#This Row],[Actual labor hours]]-tblWorkPackages[[#This Row],[Calibrated forecast hours]]))</f>
        <v>1.3765306122449</v>
      </c>
      <c r="V852" s="51">
        <f>IF(tblWorkPackages[[#This Row],[Time split]]="Train 2024",tblWorkPackages[[#This Row],[Estimated labor hours]],tblWorkPackages[[#This Row],[Calibrated forecast hours]])</f>
        <v>21.3765306122449</v>
      </c>
      <c r="W852" s="64">
        <f>DATEVALUE(tblWorkPackages[[#This Row],[Request date]])</f>
        <v>45667.0</v>
      </c>
      <c r="X852" s="64">
        <f>DATEVALUE(tblWorkPackages[[#This Row],[Due date]])</f>
        <v>45680.0</v>
      </c>
      <c r="Y852" s="64">
        <f>DATEVALUE(tblWorkPackages[[#This Row],[Completion date]])</f>
        <v>45707.0</v>
      </c>
      <c r="Z852" s="64">
        <f>_xlfn.MINIFS(tblLaborEntries[Work date serial],tblLaborEntries[Work package ID],tblWorkPackages[[#This Row],[Work package ID]])</f>
        <v>45703.0</v>
      </c>
      <c r="AA852" s="64">
        <f>_xlfn.MAXIFS(tblLaborEntries[Work date serial],tblLaborEntries[Work package ID],tblWorkPackages[[#This Row],[Work package ID]])</f>
        <v>45705.0</v>
      </c>
      <c r="AB852" s="65">
        <f>IF(tblWorkPackages[[#This Row],[Completion date serial]]&gt;tblWorkPackages[[#This Row],[Due date serial]],1,0)</f>
        <v>1</v>
      </c>
      <c r="AC852" s="65">
        <f>MAX(0,tblWorkPackages[[#This Row],[Completion date serial]]-tblWorkPackages[[#This Row],[Due date serial]])</f>
        <v>27</v>
      </c>
      <c r="AD852" s="65">
        <f>tblWorkPackages[[#This Row],[First labor date]]-tblWorkPackages[[#This Row],[Request date serial]]</f>
        <v>36</v>
      </c>
      <c r="AE852" s="65">
        <f>tblWorkPackages[[#This Row],[Last labor date]]-tblWorkPackages[[#This Row],[First labor date]]</f>
        <v>2</v>
      </c>
      <c r="AF852" s="65">
        <f>tblWorkPackages[[#This Row],[Completion date serial]]-tblWorkPackages[[#This Row],[Last labor date]]</f>
        <v>2</v>
      </c>
      <c r="AG852" s="65">
        <f>tblWorkPackages[[#This Row],[Completion date serial]]-tblWorkPackages[[#This Row],[Request date serial]]</f>
        <v>40</v>
      </c>
      <c r="AH852" s="65">
        <f>IFERROR(INDEX(tblParts[Delay days],MATCH(tblWorkPackages[[#This Row],[Work package ID]],tblParts[Work package ID],0)),0)</f>
        <v>0</v>
      </c>
      <c r="AI852" s="51" t="str">
        <f>IFERROR(INDEX(tblDisruptions[Event type],MATCH(tblWorkPackages[[#This Row],[Work package ID]],tblDisruptions[Work package ID],0)),"None")</f>
        <v>None</v>
      </c>
      <c r="AJ852" s="51" t="str">
        <f>TEXT(tblWorkPackages[[#This Row],[Due date serial]],"yyyy-mm")</f>
        <v>2025-01</v>
      </c>
    </row>
    <row r="853" spans="1:36" ht="15" x14ac:dyDescent="0.25">
      <c r="A853" s="53" t="s">
        <v>1738</v>
      </c>
      <c r="B853" s="53" t="s">
        <v>163</v>
      </c>
      <c r="C853" s="53" t="s">
        <v>430</v>
      </c>
      <c r="D853" s="53" t="s">
        <v>431</v>
      </c>
      <c r="E853" s="53" t="s">
        <v>160</v>
      </c>
      <c r="F853" s="53" t="s">
        <v>128</v>
      </c>
      <c r="G853" s="53" t="s">
        <v>138</v>
      </c>
      <c r="H853" s="53">
        <v>4</v>
      </c>
      <c r="I853" s="53" t="s">
        <v>176</v>
      </c>
      <c r="J853" s="53">
        <v>0</v>
      </c>
      <c r="K853" s="53">
        <v>0</v>
      </c>
      <c r="L853" s="53">
        <v>8</v>
      </c>
      <c r="M853" s="53" t="s">
        <v>743</v>
      </c>
      <c r="N853" s="53">
        <v>7.7</v>
      </c>
      <c r="O853" s="51" t="str">
        <f>TEXT(tblWorkPackages[[#This Row],[Request date serial]]-WEEKDAY(tblWorkPackages[[#This Row],[Request date serial]],3),"yyyy-mm-dd")</f>
        <v>2025-07-07</v>
      </c>
      <c r="P853" s="51">
        <f>ABS(tblWorkPackages[[#This Row],[Actual labor hours]]-tblWorkPackages[[#This Row],[Estimated labor hours]])</f>
        <v>0.3</v>
      </c>
      <c r="Q853" s="51">
        <f>IF(tblWorkPackages[[#This Row],[Actual labor hours]]&gt;tblWorkPackages[[#This Row],[Estimated labor hours]],1,0)</f>
        <v>0</v>
      </c>
      <c r="R853" s="51">
        <f>tblWorkPackages[[#This Row],[Actual labor hours]]-tblWorkPackages[[#This Row],[Estimated labor hours]]</f>
        <v>-0.3</v>
      </c>
      <c r="S853" s="51" t="str">
        <f>IF(tblWorkPackages[[#This Row],[Request date serial]]&lt;ValidationStart,"Train 2024",IF(tblWorkPackages[[#This Row],[Request date serial]]&lt;HoldoutStart,"Validation H1","Holdout H2"))</f>
        <v>Holdout H2</v>
      </c>
      <c r="T853" s="51">
        <f>IF(tblWorkPackages[[#This Row],[Time split]]="Train 2024","",tblWorkPackages[[#This Row],[Estimated labor hours]]+VLOOKUP(tblWorkPackages[[#This Row],[Task type]],'Forecast validation'!$A$14:$E$25,IF(tblWorkPackages[[#This Row],[Time split]]="Validation H1",4,5),FALSE()))</f>
        <v>8.43739837398374</v>
      </c>
      <c r="U853" s="51">
        <f>IF(tblWorkPackages[[#This Row],[Calibrated forecast hours]]="","",ABS(tblWorkPackages[[#This Row],[Actual labor hours]]-tblWorkPackages[[#This Row],[Calibrated forecast hours]]))</f>
        <v>0.73739837398374</v>
      </c>
      <c r="V853" s="51">
        <f>IF(tblWorkPackages[[#This Row],[Time split]]="Train 2024",tblWorkPackages[[#This Row],[Estimated labor hours]],tblWorkPackages[[#This Row],[Calibrated forecast hours]])</f>
        <v>8.43739837398374</v>
      </c>
      <c r="W853" s="64">
        <f>DATEVALUE(tblWorkPackages[[#This Row],[Request date]])</f>
        <v>45846.0</v>
      </c>
      <c r="X853" s="64">
        <f>DATEVALUE(tblWorkPackages[[#This Row],[Due date]])</f>
        <v>45852.0</v>
      </c>
      <c r="Y853" s="64">
        <f>DATEVALUE(tblWorkPackages[[#This Row],[Completion date]])</f>
        <v>45856.0</v>
      </c>
      <c r="Z853" s="64">
        <f>_xlfn.MINIFS(tblLaborEntries[Work date serial],tblLaborEntries[Work package ID],tblWorkPackages[[#This Row],[Work package ID]])</f>
        <v>45853.0</v>
      </c>
      <c r="AA853" s="64">
        <f>_xlfn.MAXIFS(tblLaborEntries[Work date serial],tblLaborEntries[Work package ID],tblWorkPackages[[#This Row],[Work package ID]])</f>
        <v>45853.0</v>
      </c>
      <c r="AB853" s="65">
        <f>IF(tblWorkPackages[[#This Row],[Completion date serial]]&gt;tblWorkPackages[[#This Row],[Due date serial]],1,0)</f>
        <v>1</v>
      </c>
      <c r="AC853" s="65">
        <f>MAX(0,tblWorkPackages[[#This Row],[Completion date serial]]-tblWorkPackages[[#This Row],[Due date serial]])</f>
        <v>4</v>
      </c>
      <c r="AD853" s="65">
        <f>tblWorkPackages[[#This Row],[First labor date]]-tblWorkPackages[[#This Row],[Request date serial]]</f>
        <v>7</v>
      </c>
      <c r="AE853" s="65">
        <f>tblWorkPackages[[#This Row],[Last labor date]]-tblWorkPackages[[#This Row],[First labor date]]</f>
        <v>0</v>
      </c>
      <c r="AF853" s="65">
        <f>tblWorkPackages[[#This Row],[Completion date serial]]-tblWorkPackages[[#This Row],[Last labor date]]</f>
        <v>3</v>
      </c>
      <c r="AG853" s="65">
        <f>tblWorkPackages[[#This Row],[Completion date serial]]-tblWorkPackages[[#This Row],[Request date serial]]</f>
        <v>10</v>
      </c>
      <c r="AH853" s="65">
        <f>IFERROR(INDEX(tblParts[Delay days],MATCH(tblWorkPackages[[#This Row],[Work package ID]],tblParts[Work package ID],0)),0)</f>
        <v>0</v>
      </c>
      <c r="AI853" s="51" t="str">
        <f>IFERROR(INDEX(tblDisruptions[Event type],MATCH(tblWorkPackages[[#This Row],[Work package ID]],tblDisruptions[Work package ID],0)),"None")</f>
        <v>None</v>
      </c>
      <c r="AJ853" s="51" t="str">
        <f>TEXT(tblWorkPackages[[#This Row],[Due date serial]],"yyyy-mm")</f>
        <v>2025-07</v>
      </c>
    </row>
    <row r="854" spans="1:36" ht="15" x14ac:dyDescent="0.25">
      <c r="A854" s="53" t="s">
        <v>1739</v>
      </c>
      <c r="B854" s="53" t="s">
        <v>287</v>
      </c>
      <c r="C854" s="53" t="s">
        <v>194</v>
      </c>
      <c r="D854" s="53" t="s">
        <v>170</v>
      </c>
      <c r="E854" s="53" t="s">
        <v>237</v>
      </c>
      <c r="F854" s="53" t="s">
        <v>182</v>
      </c>
      <c r="G854" s="53" t="s">
        <v>138</v>
      </c>
      <c r="H854" s="53">
        <v>2</v>
      </c>
      <c r="I854" s="53" t="s">
        <v>130</v>
      </c>
      <c r="J854" s="53">
        <v>0</v>
      </c>
      <c r="K854" s="53">
        <v>0</v>
      </c>
      <c r="L854" s="53">
        <v>4.7</v>
      </c>
      <c r="M854" s="53" t="s">
        <v>722</v>
      </c>
      <c r="N854" s="53">
        <v>4.7</v>
      </c>
      <c r="O854" s="51" t="str">
        <f>TEXT(tblWorkPackages[[#This Row],[Request date serial]]-WEEKDAY(tblWorkPackages[[#This Row],[Request date serial]],3),"yyyy-mm-dd")</f>
        <v>2024-10-07</v>
      </c>
      <c r="P854" s="51">
        <f>ABS(tblWorkPackages[[#This Row],[Actual labor hours]]-tblWorkPackages[[#This Row],[Estimated labor hours]])</f>
        <v>0</v>
      </c>
      <c r="Q854" s="51">
        <f>IF(tblWorkPackages[[#This Row],[Actual labor hours]]&gt;tblWorkPackages[[#This Row],[Estimated labor hours]],1,0)</f>
        <v>0</v>
      </c>
      <c r="R854" s="51">
        <f>tblWorkPackages[[#This Row],[Actual labor hours]]-tblWorkPackages[[#This Row],[Estimated labor hours]]</f>
        <v>0</v>
      </c>
      <c r="S854" s="51" t="str">
        <f>IF(tblWorkPackages[[#This Row],[Request date serial]]&lt;ValidationStart,"Train 2024",IF(tblWorkPackages[[#This Row],[Request date serial]]&lt;HoldoutStart,"Validation H1","Holdout H2"))</f>
        <v>Train 2024</v>
      </c>
      <c r="T854" s="51" t="str">
        <f>IF(tblWorkPackages[[#This Row],[Time split]]="Train 2024","",tblWorkPackages[[#This Row],[Estimated labor hours]]+VLOOKUP(tblWorkPackages[[#This Row],[Task type]],'Forecast validation'!$A$14:$E$25,IF(tblWorkPackages[[#This Row],[Time split]]="Validation H1",4,5),FALSE()))</f>
        <v/>
      </c>
      <c r="U854" s="51" t="str">
        <f>IF(tblWorkPackages[[#This Row],[Calibrated forecast hours]]="","",ABS(tblWorkPackages[[#This Row],[Actual labor hours]]-tblWorkPackages[[#This Row],[Calibrated forecast hours]]))</f>
        <v/>
      </c>
      <c r="V854" s="51">
        <f>IF(tblWorkPackages[[#This Row],[Time split]]="Train 2024",tblWorkPackages[[#This Row],[Estimated labor hours]],tblWorkPackages[[#This Row],[Calibrated forecast hours]])</f>
        <v>4.7</v>
      </c>
      <c r="W854" s="64">
        <f>DATEVALUE(tblWorkPackages[[#This Row],[Request date]])</f>
        <v>45574.0</v>
      </c>
      <c r="X854" s="64">
        <f>DATEVALUE(tblWorkPackages[[#This Row],[Due date]])</f>
        <v>45587.0</v>
      </c>
      <c r="Y854" s="64">
        <f>DATEVALUE(tblWorkPackages[[#This Row],[Completion date]])</f>
        <v>45576.0</v>
      </c>
      <c r="Z854" s="64">
        <f>_xlfn.MINIFS(tblLaborEntries[Work date serial],tblLaborEntries[Work package ID],tblWorkPackages[[#This Row],[Work package ID]])</f>
        <v>45576.0</v>
      </c>
      <c r="AA854" s="64">
        <f>_xlfn.MAXIFS(tblLaborEntries[Work date serial],tblLaborEntries[Work package ID],tblWorkPackages[[#This Row],[Work package ID]])</f>
        <v>45576.0</v>
      </c>
      <c r="AB854" s="65">
        <f>IF(tblWorkPackages[[#This Row],[Completion date serial]]&gt;tblWorkPackages[[#This Row],[Due date serial]],1,0)</f>
        <v>0</v>
      </c>
      <c r="AC854" s="65">
        <f>MAX(0,tblWorkPackages[[#This Row],[Completion date serial]]-tblWorkPackages[[#This Row],[Due date serial]])</f>
        <v>0</v>
      </c>
      <c r="AD854" s="65">
        <f>tblWorkPackages[[#This Row],[First labor date]]-tblWorkPackages[[#This Row],[Request date serial]]</f>
        <v>2</v>
      </c>
      <c r="AE854" s="65">
        <f>tblWorkPackages[[#This Row],[Last labor date]]-tblWorkPackages[[#This Row],[First labor date]]</f>
        <v>0</v>
      </c>
      <c r="AF854" s="65">
        <f>tblWorkPackages[[#This Row],[Completion date serial]]-tblWorkPackages[[#This Row],[Last labor date]]</f>
        <v>0</v>
      </c>
      <c r="AG854" s="65">
        <f>tblWorkPackages[[#This Row],[Completion date serial]]-tblWorkPackages[[#This Row],[Request date serial]]</f>
        <v>2</v>
      </c>
      <c r="AH854" s="65">
        <f>IFERROR(INDEX(tblParts[Delay days],MATCH(tblWorkPackages[[#This Row],[Work package ID]],tblParts[Work package ID],0)),0)</f>
        <v>0</v>
      </c>
      <c r="AI854" s="51" t="str">
        <f>IFERROR(INDEX(tblDisruptions[Event type],MATCH(tblWorkPackages[[#This Row],[Work package ID]],tblDisruptions[Work package ID],0)),"None")</f>
        <v>None</v>
      </c>
      <c r="AJ854" s="51" t="str">
        <f>TEXT(tblWorkPackages[[#This Row],[Due date serial]],"yyyy-mm")</f>
        <v>2024-10</v>
      </c>
    </row>
    <row r="855" spans="1:36" ht="15" x14ac:dyDescent="0.25">
      <c r="A855" s="53" t="s">
        <v>1740</v>
      </c>
      <c r="B855" s="53" t="s">
        <v>157</v>
      </c>
      <c r="C855" s="53" t="s">
        <v>960</v>
      </c>
      <c r="D855" s="53" t="s">
        <v>1741</v>
      </c>
      <c r="E855" s="53" t="s">
        <v>223</v>
      </c>
      <c r="F855" s="53" t="s">
        <v>182</v>
      </c>
      <c r="G855" s="53" t="s">
        <v>154</v>
      </c>
      <c r="H855" s="53">
        <v>3</v>
      </c>
      <c r="I855" s="53" t="s">
        <v>176</v>
      </c>
      <c r="J855" s="53">
        <v>1</v>
      </c>
      <c r="K855" s="53">
        <v>1</v>
      </c>
      <c r="L855" s="53">
        <v>13.7</v>
      </c>
      <c r="M855" s="53" t="s">
        <v>890</v>
      </c>
      <c r="N855" s="53">
        <v>19.3</v>
      </c>
      <c r="O855" s="51" t="str">
        <f>TEXT(tblWorkPackages[[#This Row],[Request date serial]]-WEEKDAY(tblWorkPackages[[#This Row],[Request date serial]],3),"yyyy-mm-dd")</f>
        <v>2024-10-28</v>
      </c>
      <c r="P855" s="51">
        <f>ABS(tblWorkPackages[[#This Row],[Actual labor hours]]-tblWorkPackages[[#This Row],[Estimated labor hours]])</f>
        <v>5.6</v>
      </c>
      <c r="Q855" s="51">
        <f>IF(tblWorkPackages[[#This Row],[Actual labor hours]]&gt;tblWorkPackages[[#This Row],[Estimated labor hours]],1,0)</f>
        <v>1</v>
      </c>
      <c r="R855" s="51">
        <f>tblWorkPackages[[#This Row],[Actual labor hours]]-tblWorkPackages[[#This Row],[Estimated labor hours]]</f>
        <v>5.6</v>
      </c>
      <c r="S855" s="51" t="str">
        <f>IF(tblWorkPackages[[#This Row],[Request date serial]]&lt;ValidationStart,"Train 2024",IF(tblWorkPackages[[#This Row],[Request date serial]]&lt;HoldoutStart,"Validation H1","Holdout H2"))</f>
        <v>Train 2024</v>
      </c>
      <c r="T855" s="51" t="str">
        <f>IF(tblWorkPackages[[#This Row],[Time split]]="Train 2024","",tblWorkPackages[[#This Row],[Estimated labor hours]]+VLOOKUP(tblWorkPackages[[#This Row],[Task type]],'Forecast validation'!$A$14:$E$25,IF(tblWorkPackages[[#This Row],[Time split]]="Validation H1",4,5),FALSE()))</f>
        <v/>
      </c>
      <c r="U855" s="51" t="str">
        <f>IF(tblWorkPackages[[#This Row],[Calibrated forecast hours]]="","",ABS(tblWorkPackages[[#This Row],[Actual labor hours]]-tblWorkPackages[[#This Row],[Calibrated forecast hours]]))</f>
        <v/>
      </c>
      <c r="V855" s="51">
        <f>IF(tblWorkPackages[[#This Row],[Time split]]="Train 2024",tblWorkPackages[[#This Row],[Estimated labor hours]],tblWorkPackages[[#This Row],[Calibrated forecast hours]])</f>
        <v>13.7</v>
      </c>
      <c r="W855" s="64">
        <f>DATEVALUE(tblWorkPackages[[#This Row],[Request date]])</f>
        <v>45594.0</v>
      </c>
      <c r="X855" s="64">
        <f>DATEVALUE(tblWorkPackages[[#This Row],[Due date]])</f>
        <v>45600.0</v>
      </c>
      <c r="Y855" s="64">
        <f>DATEVALUE(tblWorkPackages[[#This Row],[Completion date]])</f>
        <v>45613.0</v>
      </c>
      <c r="Z855" s="64">
        <f>_xlfn.MINIFS(tblLaborEntries[Work date serial],tblLaborEntries[Work package ID],tblWorkPackages[[#This Row],[Work package ID]])</f>
        <v>45610.0</v>
      </c>
      <c r="AA855" s="64">
        <f>_xlfn.MAXIFS(tblLaborEntries[Work date serial],tblLaborEntries[Work package ID],tblWorkPackages[[#This Row],[Work package ID]])</f>
        <v>45612.0</v>
      </c>
      <c r="AB855" s="65">
        <f>IF(tblWorkPackages[[#This Row],[Completion date serial]]&gt;tblWorkPackages[[#This Row],[Due date serial]],1,0)</f>
        <v>1</v>
      </c>
      <c r="AC855" s="65">
        <f>MAX(0,tblWorkPackages[[#This Row],[Completion date serial]]-tblWorkPackages[[#This Row],[Due date serial]])</f>
        <v>13</v>
      </c>
      <c r="AD855" s="65">
        <f>tblWorkPackages[[#This Row],[First labor date]]-tblWorkPackages[[#This Row],[Request date serial]]</f>
        <v>16</v>
      </c>
      <c r="AE855" s="65">
        <f>tblWorkPackages[[#This Row],[Last labor date]]-tblWorkPackages[[#This Row],[First labor date]]</f>
        <v>2</v>
      </c>
      <c r="AF855" s="65">
        <f>tblWorkPackages[[#This Row],[Completion date serial]]-tblWorkPackages[[#This Row],[Last labor date]]</f>
        <v>1</v>
      </c>
      <c r="AG855" s="65">
        <f>tblWorkPackages[[#This Row],[Completion date serial]]-tblWorkPackages[[#This Row],[Request date serial]]</f>
        <v>19</v>
      </c>
      <c r="AH855" s="65">
        <f>IFERROR(INDEX(tblParts[Delay days],MATCH(tblWorkPackages[[#This Row],[Work package ID]],tblParts[Work package ID],0)),0)</f>
        <v>0</v>
      </c>
      <c r="AI855" s="51" t="str">
        <f>IFERROR(INDEX(tblDisruptions[Event type],MATCH(tblWorkPackages[[#This Row],[Work package ID]],tblDisruptions[Work package ID],0)),"None")</f>
        <v>None</v>
      </c>
      <c r="AJ855" s="51" t="str">
        <f>TEXT(tblWorkPackages[[#This Row],[Due date serial]],"yyyy-mm")</f>
        <v>2024-11</v>
      </c>
    </row>
    <row r="856" spans="1:36" ht="15" x14ac:dyDescent="0.25">
      <c r="A856" s="53" t="s">
        <v>1742</v>
      </c>
      <c r="B856" s="53" t="s">
        <v>157</v>
      </c>
      <c r="C856" s="53" t="s">
        <v>1218</v>
      </c>
      <c r="D856" s="53" t="s">
        <v>784</v>
      </c>
      <c r="E856" s="53" t="s">
        <v>127</v>
      </c>
      <c r="F856" s="53" t="s">
        <v>128</v>
      </c>
      <c r="G856" s="53" t="s">
        <v>129</v>
      </c>
      <c r="H856" s="53">
        <v>2</v>
      </c>
      <c r="I856" s="53" t="s">
        <v>176</v>
      </c>
      <c r="J856" s="53">
        <v>0</v>
      </c>
      <c r="K856" s="53">
        <v>0</v>
      </c>
      <c r="L856" s="53">
        <v>7.4</v>
      </c>
      <c r="M856" s="53" t="s">
        <v>784</v>
      </c>
      <c r="N856" s="53">
        <v>8.6</v>
      </c>
      <c r="O856" s="51" t="str">
        <f>TEXT(tblWorkPackages[[#This Row],[Request date serial]]-WEEKDAY(tblWorkPackages[[#This Row],[Request date serial]],3),"yyyy-mm-dd")</f>
        <v>2025-04-07</v>
      </c>
      <c r="P856" s="51">
        <f>ABS(tblWorkPackages[[#This Row],[Actual labor hours]]-tblWorkPackages[[#This Row],[Estimated labor hours]])</f>
        <v>1.2</v>
      </c>
      <c r="Q856" s="51">
        <f>IF(tblWorkPackages[[#This Row],[Actual labor hours]]&gt;tblWorkPackages[[#This Row],[Estimated labor hours]],1,0)</f>
        <v>1</v>
      </c>
      <c r="R856" s="51">
        <f>tblWorkPackages[[#This Row],[Actual labor hours]]-tblWorkPackages[[#This Row],[Estimated labor hours]]</f>
        <v>1.2</v>
      </c>
      <c r="S856" s="51" t="str">
        <f>IF(tblWorkPackages[[#This Row],[Request date serial]]&lt;ValidationStart,"Train 2024",IF(tblWorkPackages[[#This Row],[Request date serial]]&lt;HoldoutStart,"Validation H1","Holdout H2"))</f>
        <v>Validation H1</v>
      </c>
      <c r="T856" s="51">
        <f>IF(tblWorkPackages[[#This Row],[Time split]]="Train 2024","",tblWorkPackages[[#This Row],[Estimated labor hours]]+VLOOKUP(tblWorkPackages[[#This Row],[Task type]],'Forecast validation'!$A$14:$E$25,IF(tblWorkPackages[[#This Row],[Time split]]="Validation H1",4,5),FALSE()))</f>
        <v>7.87564102564103</v>
      </c>
      <c r="U856" s="51">
        <f>IF(tblWorkPackages[[#This Row],[Calibrated forecast hours]]="","",ABS(tblWorkPackages[[#This Row],[Actual labor hours]]-tblWorkPackages[[#This Row],[Calibrated forecast hours]]))</f>
        <v>0.724358974358974</v>
      </c>
      <c r="V856" s="51">
        <f>IF(tblWorkPackages[[#This Row],[Time split]]="Train 2024",tblWorkPackages[[#This Row],[Estimated labor hours]],tblWorkPackages[[#This Row],[Calibrated forecast hours]])</f>
        <v>7.87564102564103</v>
      </c>
      <c r="W856" s="64">
        <f>DATEVALUE(tblWorkPackages[[#This Row],[Request date]])</f>
        <v>45759.0</v>
      </c>
      <c r="X856" s="64">
        <f>DATEVALUE(tblWorkPackages[[#This Row],[Due date]])</f>
        <v>45765.0</v>
      </c>
      <c r="Y856" s="64">
        <f>DATEVALUE(tblWorkPackages[[#This Row],[Completion date]])</f>
        <v>45765.0</v>
      </c>
      <c r="Z856" s="64">
        <f>_xlfn.MINIFS(tblLaborEntries[Work date serial],tblLaborEntries[Work package ID],tblWorkPackages[[#This Row],[Work package ID]])</f>
        <v>45763.0</v>
      </c>
      <c r="AA856" s="64">
        <f>_xlfn.MAXIFS(tblLaborEntries[Work date serial],tblLaborEntries[Work package ID],tblWorkPackages[[#This Row],[Work package ID]])</f>
        <v>45763.0</v>
      </c>
      <c r="AB856" s="65">
        <f>IF(tblWorkPackages[[#This Row],[Completion date serial]]&gt;tblWorkPackages[[#This Row],[Due date serial]],1,0)</f>
        <v>0</v>
      </c>
      <c r="AC856" s="65">
        <f>MAX(0,tblWorkPackages[[#This Row],[Completion date serial]]-tblWorkPackages[[#This Row],[Due date serial]])</f>
        <v>0</v>
      </c>
      <c r="AD856" s="65">
        <f>tblWorkPackages[[#This Row],[First labor date]]-tblWorkPackages[[#This Row],[Request date serial]]</f>
        <v>4</v>
      </c>
      <c r="AE856" s="65">
        <f>tblWorkPackages[[#This Row],[Last labor date]]-tblWorkPackages[[#This Row],[First labor date]]</f>
        <v>0</v>
      </c>
      <c r="AF856" s="65">
        <f>tblWorkPackages[[#This Row],[Completion date serial]]-tblWorkPackages[[#This Row],[Last labor date]]</f>
        <v>2</v>
      </c>
      <c r="AG856" s="65">
        <f>tblWorkPackages[[#This Row],[Completion date serial]]-tblWorkPackages[[#This Row],[Request date serial]]</f>
        <v>6</v>
      </c>
      <c r="AH856" s="65">
        <f>IFERROR(INDEX(tblParts[Delay days],MATCH(tblWorkPackages[[#This Row],[Work package ID]],tblParts[Work package ID],0)),0)</f>
        <v>0</v>
      </c>
      <c r="AI856" s="51" t="str">
        <f>IFERROR(INDEX(tblDisruptions[Event type],MATCH(tblWorkPackages[[#This Row],[Work package ID]],tblDisruptions[Work package ID],0)),"None")</f>
        <v>None</v>
      </c>
      <c r="AJ856" s="51" t="str">
        <f>TEXT(tblWorkPackages[[#This Row],[Due date serial]],"yyyy-mm")</f>
        <v>2025-04</v>
      </c>
    </row>
    <row r="857" spans="1:36" ht="15" x14ac:dyDescent="0.25">
      <c r="A857" s="53" t="s">
        <v>1743</v>
      </c>
      <c r="B857" s="53" t="s">
        <v>124</v>
      </c>
      <c r="C857" s="53" t="s">
        <v>373</v>
      </c>
      <c r="D857" s="53" t="s">
        <v>381</v>
      </c>
      <c r="E857" s="53" t="s">
        <v>136</v>
      </c>
      <c r="F857" s="53" t="s">
        <v>137</v>
      </c>
      <c r="G857" s="53" t="s">
        <v>138</v>
      </c>
      <c r="H857" s="53">
        <v>1</v>
      </c>
      <c r="I857" s="53" t="s">
        <v>130</v>
      </c>
      <c r="J857" s="53">
        <v>1</v>
      </c>
      <c r="K857" s="53">
        <v>0</v>
      </c>
      <c r="L857" s="53">
        <v>8.5</v>
      </c>
      <c r="M857" s="53" t="s">
        <v>724</v>
      </c>
      <c r="N857" s="53">
        <v>10.6</v>
      </c>
      <c r="O857" s="51" t="str">
        <f>TEXT(tblWorkPackages[[#This Row],[Request date serial]]-WEEKDAY(tblWorkPackages[[#This Row],[Request date serial]],3),"yyyy-mm-dd")</f>
        <v>2024-10-07</v>
      </c>
      <c r="P857" s="51">
        <f>ABS(tblWorkPackages[[#This Row],[Actual labor hours]]-tblWorkPackages[[#This Row],[Estimated labor hours]])</f>
        <v>2.1</v>
      </c>
      <c r="Q857" s="51">
        <f>IF(tblWorkPackages[[#This Row],[Actual labor hours]]&gt;tblWorkPackages[[#This Row],[Estimated labor hours]],1,0)</f>
        <v>1</v>
      </c>
      <c r="R857" s="51">
        <f>tblWorkPackages[[#This Row],[Actual labor hours]]-tblWorkPackages[[#This Row],[Estimated labor hours]]</f>
        <v>2.1</v>
      </c>
      <c r="S857" s="51" t="str">
        <f>IF(tblWorkPackages[[#This Row],[Request date serial]]&lt;ValidationStart,"Train 2024",IF(tblWorkPackages[[#This Row],[Request date serial]]&lt;HoldoutStart,"Validation H1","Holdout H2"))</f>
        <v>Train 2024</v>
      </c>
      <c r="T857" s="51" t="str">
        <f>IF(tblWorkPackages[[#This Row],[Time split]]="Train 2024","",tblWorkPackages[[#This Row],[Estimated labor hours]]+VLOOKUP(tblWorkPackages[[#This Row],[Task type]],'Forecast validation'!$A$14:$E$25,IF(tblWorkPackages[[#This Row],[Time split]]="Validation H1",4,5),FALSE()))</f>
        <v/>
      </c>
      <c r="U857" s="51" t="str">
        <f>IF(tblWorkPackages[[#This Row],[Calibrated forecast hours]]="","",ABS(tblWorkPackages[[#This Row],[Actual labor hours]]-tblWorkPackages[[#This Row],[Calibrated forecast hours]]))</f>
        <v/>
      </c>
      <c r="V857" s="51">
        <f>IF(tblWorkPackages[[#This Row],[Time split]]="Train 2024",tblWorkPackages[[#This Row],[Estimated labor hours]],tblWorkPackages[[#This Row],[Calibrated forecast hours]])</f>
        <v>8.5</v>
      </c>
      <c r="W857" s="64">
        <f>DATEVALUE(tblWorkPackages[[#This Row],[Request date]])</f>
        <v>45575.0</v>
      </c>
      <c r="X857" s="64">
        <f>DATEVALUE(tblWorkPackages[[#This Row],[Due date]])</f>
        <v>45588.0</v>
      </c>
      <c r="Y857" s="64">
        <f>DATEVALUE(tblWorkPackages[[#This Row],[Completion date]])</f>
        <v>45581.0</v>
      </c>
      <c r="Z857" s="64">
        <f>_xlfn.MINIFS(tblLaborEntries[Work date serial],tblLaborEntries[Work package ID],tblWorkPackages[[#This Row],[Work package ID]])</f>
        <v>45576.0</v>
      </c>
      <c r="AA857" s="64">
        <f>_xlfn.MAXIFS(tblLaborEntries[Work date serial],tblLaborEntries[Work package ID],tblWorkPackages[[#This Row],[Work package ID]])</f>
        <v>45578.0</v>
      </c>
      <c r="AB857" s="65">
        <f>IF(tblWorkPackages[[#This Row],[Completion date serial]]&gt;tblWorkPackages[[#This Row],[Due date serial]],1,0)</f>
        <v>0</v>
      </c>
      <c r="AC857" s="65">
        <f>MAX(0,tblWorkPackages[[#This Row],[Completion date serial]]-tblWorkPackages[[#This Row],[Due date serial]])</f>
        <v>0</v>
      </c>
      <c r="AD857" s="65">
        <f>tblWorkPackages[[#This Row],[First labor date]]-tblWorkPackages[[#This Row],[Request date serial]]</f>
        <v>1</v>
      </c>
      <c r="AE857" s="65">
        <f>tblWorkPackages[[#This Row],[Last labor date]]-tblWorkPackages[[#This Row],[First labor date]]</f>
        <v>2</v>
      </c>
      <c r="AF857" s="65">
        <f>tblWorkPackages[[#This Row],[Completion date serial]]-tblWorkPackages[[#This Row],[Last labor date]]</f>
        <v>3</v>
      </c>
      <c r="AG857" s="65">
        <f>tblWorkPackages[[#This Row],[Completion date serial]]-tblWorkPackages[[#This Row],[Request date serial]]</f>
        <v>6</v>
      </c>
      <c r="AH857" s="65">
        <f>IFERROR(INDEX(tblParts[Delay days],MATCH(tblWorkPackages[[#This Row],[Work package ID]],tblParts[Work package ID],0)),0)</f>
        <v>0</v>
      </c>
      <c r="AI857" s="51" t="str">
        <f>IFERROR(INDEX(tblDisruptions[Event type],MATCH(tblWorkPackages[[#This Row],[Work package ID]],tblDisruptions[Work package ID],0)),"None")</f>
        <v>None</v>
      </c>
      <c r="AJ857" s="51" t="str">
        <f>TEXT(tblWorkPackages[[#This Row],[Due date serial]],"yyyy-mm")</f>
        <v>2024-10</v>
      </c>
    </row>
    <row r="858" spans="1:36" ht="15" x14ac:dyDescent="0.25">
      <c r="A858" s="53" t="s">
        <v>1744</v>
      </c>
      <c r="B858" s="53" t="s">
        <v>141</v>
      </c>
      <c r="C858" s="53" t="s">
        <v>568</v>
      </c>
      <c r="D858" s="53" t="s">
        <v>672</v>
      </c>
      <c r="E858" s="53" t="s">
        <v>144</v>
      </c>
      <c r="F858" s="53" t="s">
        <v>145</v>
      </c>
      <c r="G858" s="53" t="s">
        <v>146</v>
      </c>
      <c r="H858" s="53">
        <v>1</v>
      </c>
      <c r="I858" s="53" t="s">
        <v>130</v>
      </c>
      <c r="J858" s="53">
        <v>0</v>
      </c>
      <c r="K858" s="53">
        <v>1</v>
      </c>
      <c r="L858" s="53">
        <v>7.2</v>
      </c>
      <c r="M858" s="53" t="s">
        <v>603</v>
      </c>
      <c r="N858" s="53">
        <v>8.1999999999999993</v>
      </c>
      <c r="O858" s="51" t="str">
        <f>TEXT(tblWorkPackages[[#This Row],[Request date serial]]-WEEKDAY(tblWorkPackages[[#This Row],[Request date serial]],3),"yyyy-mm-dd")</f>
        <v>2025-06-02</v>
      </c>
      <c r="P858" s="51">
        <f>ABS(tblWorkPackages[[#This Row],[Actual labor hours]]-tblWorkPackages[[#This Row],[Estimated labor hours]])</f>
        <v>0.999999999999999</v>
      </c>
      <c r="Q858" s="51">
        <f>IF(tblWorkPackages[[#This Row],[Actual labor hours]]&gt;tblWorkPackages[[#This Row],[Estimated labor hours]],1,0)</f>
        <v>1</v>
      </c>
      <c r="R858" s="51">
        <f>tblWorkPackages[[#This Row],[Actual labor hours]]-tblWorkPackages[[#This Row],[Estimated labor hours]]</f>
        <v>0.999999999999999</v>
      </c>
      <c r="S858" s="51" t="str">
        <f>IF(tblWorkPackages[[#This Row],[Request date serial]]&lt;ValidationStart,"Train 2024",IF(tblWorkPackages[[#This Row],[Request date serial]]&lt;HoldoutStart,"Validation H1","Holdout H2"))</f>
        <v>Validation H1</v>
      </c>
      <c r="T858" s="51">
        <f>IF(tblWorkPackages[[#This Row],[Time split]]="Train 2024","",tblWorkPackages[[#This Row],[Estimated labor hours]]+VLOOKUP(tblWorkPackages[[#This Row],[Task type]],'Forecast validation'!$A$14:$E$25,IF(tblWorkPackages[[#This Row],[Time split]]="Validation H1",4,5),FALSE()))</f>
        <v>7.95473684210526</v>
      </c>
      <c r="U858" s="51">
        <f>IF(tblWorkPackages[[#This Row],[Calibrated forecast hours]]="","",ABS(tblWorkPackages[[#This Row],[Actual labor hours]]-tblWorkPackages[[#This Row],[Calibrated forecast hours]]))</f>
        <v>0.245263157894736</v>
      </c>
      <c r="V858" s="51">
        <f>IF(tblWorkPackages[[#This Row],[Time split]]="Train 2024",tblWorkPackages[[#This Row],[Estimated labor hours]],tblWorkPackages[[#This Row],[Calibrated forecast hours]])</f>
        <v>7.95473684210526</v>
      </c>
      <c r="W858" s="64">
        <f>DATEVALUE(tblWorkPackages[[#This Row],[Request date]])</f>
        <v>45813.0</v>
      </c>
      <c r="X858" s="64">
        <f>DATEVALUE(tblWorkPackages[[#This Row],[Due date]])</f>
        <v>45826.0</v>
      </c>
      <c r="Y858" s="64">
        <f>DATEVALUE(tblWorkPackages[[#This Row],[Completion date]])</f>
        <v>45834.0</v>
      </c>
      <c r="Z858" s="64">
        <f>_xlfn.MINIFS(tblLaborEntries[Work date serial],tblLaborEntries[Work package ID],tblWorkPackages[[#This Row],[Work package ID]])</f>
        <v>45834.0</v>
      </c>
      <c r="AA858" s="64">
        <f>_xlfn.MAXIFS(tblLaborEntries[Work date serial],tblLaborEntries[Work package ID],tblWorkPackages[[#This Row],[Work package ID]])</f>
        <v>45834.0</v>
      </c>
      <c r="AB858" s="65">
        <f>IF(tblWorkPackages[[#This Row],[Completion date serial]]&gt;tblWorkPackages[[#This Row],[Due date serial]],1,0)</f>
        <v>1</v>
      </c>
      <c r="AC858" s="65">
        <f>MAX(0,tblWorkPackages[[#This Row],[Completion date serial]]-tblWorkPackages[[#This Row],[Due date serial]])</f>
        <v>8</v>
      </c>
      <c r="AD858" s="65">
        <f>tblWorkPackages[[#This Row],[First labor date]]-tblWorkPackages[[#This Row],[Request date serial]]</f>
        <v>21</v>
      </c>
      <c r="AE858" s="65">
        <f>tblWorkPackages[[#This Row],[Last labor date]]-tblWorkPackages[[#This Row],[First labor date]]</f>
        <v>0</v>
      </c>
      <c r="AF858" s="65">
        <f>tblWorkPackages[[#This Row],[Completion date serial]]-tblWorkPackages[[#This Row],[Last labor date]]</f>
        <v>0</v>
      </c>
      <c r="AG858" s="65">
        <f>tblWorkPackages[[#This Row],[Completion date serial]]-tblWorkPackages[[#This Row],[Request date serial]]</f>
        <v>21</v>
      </c>
      <c r="AH858" s="65">
        <f>IFERROR(INDEX(tblParts[Delay days],MATCH(tblWorkPackages[[#This Row],[Work package ID]],tblParts[Work package ID],0)),0)</f>
        <v>11</v>
      </c>
      <c r="AI858" s="51" t="str">
        <f>IFERROR(INDEX(tblDisruptions[Event type],MATCH(tblWorkPackages[[#This Row],[Work package ID]],tblDisruptions[Work package ID],0)),"None")</f>
        <v>Part delay</v>
      </c>
      <c r="AJ858" s="51" t="str">
        <f>TEXT(tblWorkPackages[[#This Row],[Due date serial]],"yyyy-mm")</f>
        <v>2025-06</v>
      </c>
    </row>
    <row r="859" spans="1:36" ht="15" x14ac:dyDescent="0.25">
      <c r="A859" s="53" t="s">
        <v>1745</v>
      </c>
      <c r="B859" s="53" t="s">
        <v>173</v>
      </c>
      <c r="C859" s="53" t="s">
        <v>790</v>
      </c>
      <c r="D859" s="53" t="s">
        <v>464</v>
      </c>
      <c r="E859" s="53" t="s">
        <v>223</v>
      </c>
      <c r="F859" s="53" t="s">
        <v>182</v>
      </c>
      <c r="G859" s="53" t="s">
        <v>154</v>
      </c>
      <c r="H859" s="53">
        <v>1</v>
      </c>
      <c r="I859" s="53" t="s">
        <v>130</v>
      </c>
      <c r="J859" s="53">
        <v>1</v>
      </c>
      <c r="K859" s="53">
        <v>0</v>
      </c>
      <c r="L859" s="53">
        <v>7</v>
      </c>
      <c r="M859" s="53" t="s">
        <v>624</v>
      </c>
      <c r="N859" s="53">
        <v>8.3000000000000007</v>
      </c>
      <c r="O859" s="51" t="str">
        <f>TEXT(tblWorkPackages[[#This Row],[Request date serial]]-WEEKDAY(tblWorkPackages[[#This Row],[Request date serial]],3),"yyyy-mm-dd")</f>
        <v>2025-09-15</v>
      </c>
      <c r="P859" s="51">
        <f>ABS(tblWorkPackages[[#This Row],[Actual labor hours]]-tblWorkPackages[[#This Row],[Estimated labor hours]])</f>
        <v>1.3</v>
      </c>
      <c r="Q859" s="51">
        <f>IF(tblWorkPackages[[#This Row],[Actual labor hours]]&gt;tblWorkPackages[[#This Row],[Estimated labor hours]],1,0)</f>
        <v>1</v>
      </c>
      <c r="R859" s="51">
        <f>tblWorkPackages[[#This Row],[Actual labor hours]]-tblWorkPackages[[#This Row],[Estimated labor hours]]</f>
        <v>1.3</v>
      </c>
      <c r="S859" s="51" t="str">
        <f>IF(tblWorkPackages[[#This Row],[Request date serial]]&lt;ValidationStart,"Train 2024",IF(tblWorkPackages[[#This Row],[Request date serial]]&lt;HoldoutStart,"Validation H1","Holdout H2"))</f>
        <v>Holdout H2</v>
      </c>
      <c r="T859" s="51">
        <f>IF(tblWorkPackages[[#This Row],[Time split]]="Train 2024","",tblWorkPackages[[#This Row],[Estimated labor hours]]+VLOOKUP(tblWorkPackages[[#This Row],[Task type]],'Forecast validation'!$A$14:$E$25,IF(tblWorkPackages[[#This Row],[Time split]]="Validation H1",4,5),FALSE()))</f>
        <v>7.92465753424658</v>
      </c>
      <c r="U859" s="51">
        <f>IF(tblWorkPackages[[#This Row],[Calibrated forecast hours]]="","",ABS(tblWorkPackages[[#This Row],[Actual labor hours]]-tblWorkPackages[[#This Row],[Calibrated forecast hours]]))</f>
        <v>0.375342465753425</v>
      </c>
      <c r="V859" s="51">
        <f>IF(tblWorkPackages[[#This Row],[Time split]]="Train 2024",tblWorkPackages[[#This Row],[Estimated labor hours]],tblWorkPackages[[#This Row],[Calibrated forecast hours]])</f>
        <v>7.92465753424658</v>
      </c>
      <c r="W859" s="64">
        <f>DATEVALUE(tblWorkPackages[[#This Row],[Request date]])</f>
        <v>45916.0</v>
      </c>
      <c r="X859" s="64">
        <f>DATEVALUE(tblWorkPackages[[#This Row],[Due date]])</f>
        <v>45929.0</v>
      </c>
      <c r="Y859" s="64">
        <f>DATEVALUE(tblWorkPackages[[#This Row],[Completion date]])</f>
        <v>45921.0</v>
      </c>
      <c r="Z859" s="64">
        <f>_xlfn.MINIFS(tblLaborEntries[Work date serial],tblLaborEntries[Work package ID],tblWorkPackages[[#This Row],[Work package ID]])</f>
        <v>45919.0</v>
      </c>
      <c r="AA859" s="64">
        <f>_xlfn.MAXIFS(tblLaborEntries[Work date serial],tblLaborEntries[Work package ID],tblWorkPackages[[#This Row],[Work package ID]])</f>
        <v>45920.0</v>
      </c>
      <c r="AB859" s="65">
        <f>IF(tblWorkPackages[[#This Row],[Completion date serial]]&gt;tblWorkPackages[[#This Row],[Due date serial]],1,0)</f>
        <v>0</v>
      </c>
      <c r="AC859" s="65">
        <f>MAX(0,tblWorkPackages[[#This Row],[Completion date serial]]-tblWorkPackages[[#This Row],[Due date serial]])</f>
        <v>0</v>
      </c>
      <c r="AD859" s="65">
        <f>tblWorkPackages[[#This Row],[First labor date]]-tblWorkPackages[[#This Row],[Request date serial]]</f>
        <v>3</v>
      </c>
      <c r="AE859" s="65">
        <f>tblWorkPackages[[#This Row],[Last labor date]]-tblWorkPackages[[#This Row],[First labor date]]</f>
        <v>1</v>
      </c>
      <c r="AF859" s="65">
        <f>tblWorkPackages[[#This Row],[Completion date serial]]-tblWorkPackages[[#This Row],[Last labor date]]</f>
        <v>1</v>
      </c>
      <c r="AG859" s="65">
        <f>tblWorkPackages[[#This Row],[Completion date serial]]-tblWorkPackages[[#This Row],[Request date serial]]</f>
        <v>5</v>
      </c>
      <c r="AH859" s="65">
        <f>IFERROR(INDEX(tblParts[Delay days],MATCH(tblWorkPackages[[#This Row],[Work package ID]],tblParts[Work package ID],0)),0)</f>
        <v>0</v>
      </c>
      <c r="AI859" s="51" t="str">
        <f>IFERROR(INDEX(tblDisruptions[Event type],MATCH(tblWorkPackages[[#This Row],[Work package ID]],tblDisruptions[Work package ID],0)),"None")</f>
        <v>None</v>
      </c>
      <c r="AJ859" s="51" t="str">
        <f>TEXT(tblWorkPackages[[#This Row],[Due date serial]],"yyyy-mm")</f>
        <v>2025-09</v>
      </c>
    </row>
    <row r="860" spans="1:36" ht="15" x14ac:dyDescent="0.25">
      <c r="A860" s="53" t="s">
        <v>1746</v>
      </c>
      <c r="B860" s="53" t="s">
        <v>185</v>
      </c>
      <c r="C860" s="53" t="s">
        <v>1130</v>
      </c>
      <c r="D860" s="53" t="s">
        <v>542</v>
      </c>
      <c r="E860" s="53" t="s">
        <v>237</v>
      </c>
      <c r="F860" s="53" t="s">
        <v>182</v>
      </c>
      <c r="G860" s="53" t="s">
        <v>138</v>
      </c>
      <c r="H860" s="53">
        <v>3</v>
      </c>
      <c r="I860" s="53" t="s">
        <v>130</v>
      </c>
      <c r="J860" s="53">
        <v>0</v>
      </c>
      <c r="K860" s="53">
        <v>0</v>
      </c>
      <c r="L860" s="53">
        <v>6.6</v>
      </c>
      <c r="M860" s="53" t="s">
        <v>309</v>
      </c>
      <c r="N860" s="53">
        <v>7.7</v>
      </c>
      <c r="O860" s="51" t="str">
        <f>TEXT(tblWorkPackages[[#This Row],[Request date serial]]-WEEKDAY(tblWorkPackages[[#This Row],[Request date serial]],3),"yyyy-mm-dd")</f>
        <v>2025-09-29</v>
      </c>
      <c r="P860" s="51">
        <f>ABS(tblWorkPackages[[#This Row],[Actual labor hours]]-tblWorkPackages[[#This Row],[Estimated labor hours]])</f>
        <v>1.1</v>
      </c>
      <c r="Q860" s="51">
        <f>IF(tblWorkPackages[[#This Row],[Actual labor hours]]&gt;tblWorkPackages[[#This Row],[Estimated labor hours]],1,0)</f>
        <v>1</v>
      </c>
      <c r="R860" s="51">
        <f>tblWorkPackages[[#This Row],[Actual labor hours]]-tblWorkPackages[[#This Row],[Estimated labor hours]]</f>
        <v>1.1</v>
      </c>
      <c r="S860" s="51" t="str">
        <f>IF(tblWorkPackages[[#This Row],[Request date serial]]&lt;ValidationStart,"Train 2024",IF(tblWorkPackages[[#This Row],[Request date serial]]&lt;HoldoutStart,"Validation H1","Holdout H2"))</f>
        <v>Holdout H2</v>
      </c>
      <c r="T860" s="51">
        <f>IF(tblWorkPackages[[#This Row],[Time split]]="Train 2024","",tblWorkPackages[[#This Row],[Estimated labor hours]]+VLOOKUP(tblWorkPackages[[#This Row],[Task type]],'Forecast validation'!$A$14:$E$25,IF(tblWorkPackages[[#This Row],[Time split]]="Validation H1",4,5),FALSE()))</f>
        <v>7.053125</v>
      </c>
      <c r="U860" s="51">
        <f>IF(tblWorkPackages[[#This Row],[Calibrated forecast hours]]="","",ABS(tblWorkPackages[[#This Row],[Actual labor hours]]-tblWorkPackages[[#This Row],[Calibrated forecast hours]]))</f>
        <v>0.646875000000001</v>
      </c>
      <c r="V860" s="51">
        <f>IF(tblWorkPackages[[#This Row],[Time split]]="Train 2024",tblWorkPackages[[#This Row],[Estimated labor hours]],tblWorkPackages[[#This Row],[Calibrated forecast hours]])</f>
        <v>7.053125</v>
      </c>
      <c r="W860" s="64">
        <f>DATEVALUE(tblWorkPackages[[#This Row],[Request date]])</f>
        <v>45935.0</v>
      </c>
      <c r="X860" s="64">
        <f>DATEVALUE(tblWorkPackages[[#This Row],[Due date]])</f>
        <v>45948.0</v>
      </c>
      <c r="Y860" s="64">
        <f>DATEVALUE(tblWorkPackages[[#This Row],[Completion date]])</f>
        <v>45967.0</v>
      </c>
      <c r="Z860" s="64">
        <f>_xlfn.MINIFS(tblLaborEntries[Work date serial],tblLaborEntries[Work package ID],tblWorkPackages[[#This Row],[Work package ID]])</f>
        <v>45963.0</v>
      </c>
      <c r="AA860" s="64">
        <f>_xlfn.MAXIFS(tblLaborEntries[Work date serial],tblLaborEntries[Work package ID],tblWorkPackages[[#This Row],[Work package ID]])</f>
        <v>45965.0</v>
      </c>
      <c r="AB860" s="65">
        <f>IF(tblWorkPackages[[#This Row],[Completion date serial]]&gt;tblWorkPackages[[#This Row],[Due date serial]],1,0)</f>
        <v>1</v>
      </c>
      <c r="AC860" s="65">
        <f>MAX(0,tblWorkPackages[[#This Row],[Completion date serial]]-tblWorkPackages[[#This Row],[Due date serial]])</f>
        <v>19</v>
      </c>
      <c r="AD860" s="65">
        <f>tblWorkPackages[[#This Row],[First labor date]]-tblWorkPackages[[#This Row],[Request date serial]]</f>
        <v>28</v>
      </c>
      <c r="AE860" s="65">
        <f>tblWorkPackages[[#This Row],[Last labor date]]-tblWorkPackages[[#This Row],[First labor date]]</f>
        <v>2</v>
      </c>
      <c r="AF860" s="65">
        <f>tblWorkPackages[[#This Row],[Completion date serial]]-tblWorkPackages[[#This Row],[Last labor date]]</f>
        <v>2</v>
      </c>
      <c r="AG860" s="65">
        <f>tblWorkPackages[[#This Row],[Completion date serial]]-tblWorkPackages[[#This Row],[Request date serial]]</f>
        <v>32</v>
      </c>
      <c r="AH860" s="65">
        <f>IFERROR(INDEX(tblParts[Delay days],MATCH(tblWorkPackages[[#This Row],[Work package ID]],tblParts[Work package ID],0)),0)</f>
        <v>0</v>
      </c>
      <c r="AI860" s="51" t="str">
        <f>IFERROR(INDEX(tblDisruptions[Event type],MATCH(tblWorkPackages[[#This Row],[Work package ID]],tblDisruptions[Work package ID],0)),"None")</f>
        <v>None</v>
      </c>
      <c r="AJ860" s="51" t="str">
        <f>TEXT(tblWorkPackages[[#This Row],[Due date serial]],"yyyy-mm")</f>
        <v>2025-10</v>
      </c>
    </row>
    <row r="861" spans="1:36" ht="15" x14ac:dyDescent="0.25">
      <c r="A861" s="53" t="s">
        <v>1747</v>
      </c>
      <c r="B861" s="53" t="s">
        <v>168</v>
      </c>
      <c r="C861" s="53" t="s">
        <v>686</v>
      </c>
      <c r="D861" s="53" t="s">
        <v>1624</v>
      </c>
      <c r="E861" s="53" t="s">
        <v>242</v>
      </c>
      <c r="F861" s="53" t="s">
        <v>243</v>
      </c>
      <c r="G861" s="53" t="s">
        <v>129</v>
      </c>
      <c r="H861" s="53">
        <v>2</v>
      </c>
      <c r="I861" s="53" t="s">
        <v>130</v>
      </c>
      <c r="J861" s="53">
        <v>0</v>
      </c>
      <c r="K861" s="53">
        <v>0</v>
      </c>
      <c r="L861" s="53">
        <v>9.6999999999999993</v>
      </c>
      <c r="M861" s="53" t="s">
        <v>687</v>
      </c>
      <c r="N861" s="53">
        <v>8.1999999999999993</v>
      </c>
      <c r="O861" s="51" t="str">
        <f>TEXT(tblWorkPackages[[#This Row],[Request date serial]]-WEEKDAY(tblWorkPackages[[#This Row],[Request date serial]],3),"yyyy-mm-dd")</f>
        <v>2025-03-24</v>
      </c>
      <c r="P861" s="51">
        <f>ABS(tblWorkPackages[[#This Row],[Actual labor hours]]-tblWorkPackages[[#This Row],[Estimated labor hours]])</f>
        <v>1.5</v>
      </c>
      <c r="Q861" s="51">
        <f>IF(tblWorkPackages[[#This Row],[Actual labor hours]]&gt;tblWorkPackages[[#This Row],[Estimated labor hours]],1,0)</f>
        <v>0</v>
      </c>
      <c r="R861" s="51">
        <f>tblWorkPackages[[#This Row],[Actual labor hours]]-tblWorkPackages[[#This Row],[Estimated labor hours]]</f>
        <v>-1.5</v>
      </c>
      <c r="S861" s="51" t="str">
        <f>IF(tblWorkPackages[[#This Row],[Request date serial]]&lt;ValidationStart,"Train 2024",IF(tblWorkPackages[[#This Row],[Request date serial]]&lt;HoldoutStart,"Validation H1","Holdout H2"))</f>
        <v>Validation H1</v>
      </c>
      <c r="T861" s="51">
        <f>IF(tblWorkPackages[[#This Row],[Time split]]="Train 2024","",tblWorkPackages[[#This Row],[Estimated labor hours]]+VLOOKUP(tblWorkPackages[[#This Row],[Task type]],'Forecast validation'!$A$14:$E$25,IF(tblWorkPackages[[#This Row],[Time split]]="Validation H1",4,5),FALSE()))</f>
        <v>10.2561224489796</v>
      </c>
      <c r="U861" s="51">
        <f>IF(tblWorkPackages[[#This Row],[Calibrated forecast hours]]="","",ABS(tblWorkPackages[[#This Row],[Actual labor hours]]-tblWorkPackages[[#This Row],[Calibrated forecast hours]]))</f>
        <v>2.05612244897959</v>
      </c>
      <c r="V861" s="51">
        <f>IF(tblWorkPackages[[#This Row],[Time split]]="Train 2024",tblWorkPackages[[#This Row],[Estimated labor hours]],tblWorkPackages[[#This Row],[Calibrated forecast hours]])</f>
        <v>10.2561224489796</v>
      </c>
      <c r="W861" s="64">
        <f>DATEVALUE(tblWorkPackages[[#This Row],[Request date]])</f>
        <v>45743.0</v>
      </c>
      <c r="X861" s="64">
        <f>DATEVALUE(tblWorkPackages[[#This Row],[Due date]])</f>
        <v>45756.0</v>
      </c>
      <c r="Y861" s="64">
        <f>DATEVALUE(tblWorkPackages[[#This Row],[Completion date]])</f>
        <v>45753.0</v>
      </c>
      <c r="Z861" s="64">
        <f>_xlfn.MINIFS(tblLaborEntries[Work date serial],tblLaborEntries[Work package ID],tblWorkPackages[[#This Row],[Work package ID]])</f>
        <v>45748.0</v>
      </c>
      <c r="AA861" s="64">
        <f>_xlfn.MAXIFS(tblLaborEntries[Work date serial],tblLaborEntries[Work package ID],tblWorkPackages[[#This Row],[Work package ID]])</f>
        <v>45750.0</v>
      </c>
      <c r="AB861" s="65">
        <f>IF(tblWorkPackages[[#This Row],[Completion date serial]]&gt;tblWorkPackages[[#This Row],[Due date serial]],1,0)</f>
        <v>0</v>
      </c>
      <c r="AC861" s="65">
        <f>MAX(0,tblWorkPackages[[#This Row],[Completion date serial]]-tblWorkPackages[[#This Row],[Due date serial]])</f>
        <v>0</v>
      </c>
      <c r="AD861" s="65">
        <f>tblWorkPackages[[#This Row],[First labor date]]-tblWorkPackages[[#This Row],[Request date serial]]</f>
        <v>5</v>
      </c>
      <c r="AE861" s="65">
        <f>tblWorkPackages[[#This Row],[Last labor date]]-tblWorkPackages[[#This Row],[First labor date]]</f>
        <v>2</v>
      </c>
      <c r="AF861" s="65">
        <f>tblWorkPackages[[#This Row],[Completion date serial]]-tblWorkPackages[[#This Row],[Last labor date]]</f>
        <v>3</v>
      </c>
      <c r="AG861" s="65">
        <f>tblWorkPackages[[#This Row],[Completion date serial]]-tblWorkPackages[[#This Row],[Request date serial]]</f>
        <v>10</v>
      </c>
      <c r="AH861" s="65">
        <f>IFERROR(INDEX(tblParts[Delay days],MATCH(tblWorkPackages[[#This Row],[Work package ID]],tblParts[Work package ID],0)),0)</f>
        <v>0</v>
      </c>
      <c r="AI861" s="51" t="str">
        <f>IFERROR(INDEX(tblDisruptions[Event type],MATCH(tblWorkPackages[[#This Row],[Work package ID]],tblDisruptions[Work package ID],0)),"None")</f>
        <v>None</v>
      </c>
      <c r="AJ861" s="51" t="str">
        <f>TEXT(tblWorkPackages[[#This Row],[Due date serial]],"yyyy-mm")</f>
        <v>2025-04</v>
      </c>
    </row>
    <row r="862" spans="1:36" ht="15" x14ac:dyDescent="0.25">
      <c r="A862" s="53" t="s">
        <v>1748</v>
      </c>
      <c r="B862" s="53" t="s">
        <v>287</v>
      </c>
      <c r="C862" s="53" t="s">
        <v>177</v>
      </c>
      <c r="D862" s="53" t="s">
        <v>459</v>
      </c>
      <c r="E862" s="53" t="s">
        <v>200</v>
      </c>
      <c r="F862" s="53" t="s">
        <v>128</v>
      </c>
      <c r="G862" s="53" t="s">
        <v>129</v>
      </c>
      <c r="H862" s="53">
        <v>3</v>
      </c>
      <c r="I862" s="53" t="s">
        <v>176</v>
      </c>
      <c r="J862" s="53">
        <v>0</v>
      </c>
      <c r="K862" s="53">
        <v>0</v>
      </c>
      <c r="L862" s="53">
        <v>4</v>
      </c>
      <c r="M862" s="53" t="s">
        <v>1361</v>
      </c>
      <c r="N862" s="53">
        <v>4.7</v>
      </c>
      <c r="O862" s="51" t="str">
        <f>TEXT(tblWorkPackages[[#This Row],[Request date serial]]-WEEKDAY(tblWorkPackages[[#This Row],[Request date serial]],3),"yyyy-mm-dd")</f>
        <v>2025-08-11</v>
      </c>
      <c r="P862" s="51">
        <f>ABS(tblWorkPackages[[#This Row],[Actual labor hours]]-tblWorkPackages[[#This Row],[Estimated labor hours]])</f>
        <v>0.7</v>
      </c>
      <c r="Q862" s="51">
        <f>IF(tblWorkPackages[[#This Row],[Actual labor hours]]&gt;tblWorkPackages[[#This Row],[Estimated labor hours]],1,0)</f>
        <v>1</v>
      </c>
      <c r="R862" s="51">
        <f>tblWorkPackages[[#This Row],[Actual labor hours]]-tblWorkPackages[[#This Row],[Estimated labor hours]]</f>
        <v>0.7</v>
      </c>
      <c r="S862" s="51" t="str">
        <f>IF(tblWorkPackages[[#This Row],[Request date serial]]&lt;ValidationStart,"Train 2024",IF(tblWorkPackages[[#This Row],[Request date serial]]&lt;HoldoutStart,"Validation H1","Holdout H2"))</f>
        <v>Holdout H2</v>
      </c>
      <c r="T862" s="51">
        <f>IF(tblWorkPackages[[#This Row],[Time split]]="Train 2024","",tblWorkPackages[[#This Row],[Estimated labor hours]]+VLOOKUP(tblWorkPackages[[#This Row],[Task type]],'Forecast validation'!$A$14:$E$25,IF(tblWorkPackages[[#This Row],[Time split]]="Validation H1",4,5),FALSE()))</f>
        <v>4.32893081761006</v>
      </c>
      <c r="U862" s="51">
        <f>IF(tblWorkPackages[[#This Row],[Calibrated forecast hours]]="","",ABS(tblWorkPackages[[#This Row],[Actual labor hours]]-tblWorkPackages[[#This Row],[Calibrated forecast hours]]))</f>
        <v>0.371069182389937</v>
      </c>
      <c r="V862" s="51">
        <f>IF(tblWorkPackages[[#This Row],[Time split]]="Train 2024",tblWorkPackages[[#This Row],[Estimated labor hours]],tblWorkPackages[[#This Row],[Calibrated forecast hours]])</f>
        <v>4.32893081761006</v>
      </c>
      <c r="W862" s="64">
        <f>DATEVALUE(tblWorkPackages[[#This Row],[Request date]])</f>
        <v>45886.0</v>
      </c>
      <c r="X862" s="64">
        <f>DATEVALUE(tblWorkPackages[[#This Row],[Due date]])</f>
        <v>45892.0</v>
      </c>
      <c r="Y862" s="64">
        <f>DATEVALUE(tblWorkPackages[[#This Row],[Completion date]])</f>
        <v>45889.0</v>
      </c>
      <c r="Z862" s="64">
        <f>_xlfn.MINIFS(tblLaborEntries[Work date serial],tblLaborEntries[Work package ID],tblWorkPackages[[#This Row],[Work package ID]])</f>
        <v>45888.0</v>
      </c>
      <c r="AA862" s="64">
        <f>_xlfn.MAXIFS(tblLaborEntries[Work date serial],tblLaborEntries[Work package ID],tblWorkPackages[[#This Row],[Work package ID]])</f>
        <v>45889.0</v>
      </c>
      <c r="AB862" s="65">
        <f>IF(tblWorkPackages[[#This Row],[Completion date serial]]&gt;tblWorkPackages[[#This Row],[Due date serial]],1,0)</f>
        <v>0</v>
      </c>
      <c r="AC862" s="65">
        <f>MAX(0,tblWorkPackages[[#This Row],[Completion date serial]]-tblWorkPackages[[#This Row],[Due date serial]])</f>
        <v>0</v>
      </c>
      <c r="AD862" s="65">
        <f>tblWorkPackages[[#This Row],[First labor date]]-tblWorkPackages[[#This Row],[Request date serial]]</f>
        <v>2</v>
      </c>
      <c r="AE862" s="65">
        <f>tblWorkPackages[[#This Row],[Last labor date]]-tblWorkPackages[[#This Row],[First labor date]]</f>
        <v>1</v>
      </c>
      <c r="AF862" s="65">
        <f>tblWorkPackages[[#This Row],[Completion date serial]]-tblWorkPackages[[#This Row],[Last labor date]]</f>
        <v>0</v>
      </c>
      <c r="AG862" s="65">
        <f>tblWorkPackages[[#This Row],[Completion date serial]]-tblWorkPackages[[#This Row],[Request date serial]]</f>
        <v>3</v>
      </c>
      <c r="AH862" s="65">
        <f>IFERROR(INDEX(tblParts[Delay days],MATCH(tblWorkPackages[[#This Row],[Work package ID]],tblParts[Work package ID],0)),0)</f>
        <v>0</v>
      </c>
      <c r="AI862" s="51" t="str">
        <f>IFERROR(INDEX(tblDisruptions[Event type],MATCH(tblWorkPackages[[#This Row],[Work package ID]],tblDisruptions[Work package ID],0)),"None")</f>
        <v>None</v>
      </c>
      <c r="AJ862" s="51" t="str">
        <f>TEXT(tblWorkPackages[[#This Row],[Due date serial]],"yyyy-mm")</f>
        <v>2025-08</v>
      </c>
    </row>
    <row r="863" spans="1:36" ht="15" x14ac:dyDescent="0.25">
      <c r="A863" s="53" t="s">
        <v>1749</v>
      </c>
      <c r="B863" s="53" t="s">
        <v>124</v>
      </c>
      <c r="C863" s="53" t="s">
        <v>474</v>
      </c>
      <c r="D863" s="53" t="s">
        <v>1001</v>
      </c>
      <c r="E863" s="53" t="s">
        <v>153</v>
      </c>
      <c r="F863" s="53" t="s">
        <v>128</v>
      </c>
      <c r="G863" s="53" t="s">
        <v>154</v>
      </c>
      <c r="H863" s="53">
        <v>2</v>
      </c>
      <c r="I863" s="53" t="s">
        <v>130</v>
      </c>
      <c r="J863" s="53">
        <v>0</v>
      </c>
      <c r="K863" s="53">
        <v>0</v>
      </c>
      <c r="L863" s="53">
        <v>10.7</v>
      </c>
      <c r="M863" s="53" t="s">
        <v>248</v>
      </c>
      <c r="N863" s="53">
        <v>12.5</v>
      </c>
      <c r="O863" s="51" t="str">
        <f>TEXT(tblWorkPackages[[#This Row],[Request date serial]]-WEEKDAY(tblWorkPackages[[#This Row],[Request date serial]],3),"yyyy-mm-dd")</f>
        <v>2024-02-26</v>
      </c>
      <c r="P863" s="51">
        <f>ABS(tblWorkPackages[[#This Row],[Actual labor hours]]-tblWorkPackages[[#This Row],[Estimated labor hours]])</f>
        <v>1.8</v>
      </c>
      <c r="Q863" s="51">
        <f>IF(tblWorkPackages[[#This Row],[Actual labor hours]]&gt;tblWorkPackages[[#This Row],[Estimated labor hours]],1,0)</f>
        <v>1</v>
      </c>
      <c r="R863" s="51">
        <f>tblWorkPackages[[#This Row],[Actual labor hours]]-tblWorkPackages[[#This Row],[Estimated labor hours]]</f>
        <v>1.8</v>
      </c>
      <c r="S863" s="51" t="str">
        <f>IF(tblWorkPackages[[#This Row],[Request date serial]]&lt;ValidationStart,"Train 2024",IF(tblWorkPackages[[#This Row],[Request date serial]]&lt;HoldoutStart,"Validation H1","Holdout H2"))</f>
        <v>Train 2024</v>
      </c>
      <c r="T863" s="51" t="str">
        <f>IF(tblWorkPackages[[#This Row],[Time split]]="Train 2024","",tblWorkPackages[[#This Row],[Estimated labor hours]]+VLOOKUP(tblWorkPackages[[#This Row],[Task type]],'Forecast validation'!$A$14:$E$25,IF(tblWorkPackages[[#This Row],[Time split]]="Validation H1",4,5),FALSE()))</f>
        <v/>
      </c>
      <c r="U863" s="51" t="str">
        <f>IF(tblWorkPackages[[#This Row],[Calibrated forecast hours]]="","",ABS(tblWorkPackages[[#This Row],[Actual labor hours]]-tblWorkPackages[[#This Row],[Calibrated forecast hours]]))</f>
        <v/>
      </c>
      <c r="V863" s="51">
        <f>IF(tblWorkPackages[[#This Row],[Time split]]="Train 2024",tblWorkPackages[[#This Row],[Estimated labor hours]],tblWorkPackages[[#This Row],[Calibrated forecast hours]])</f>
        <v>10.7</v>
      </c>
      <c r="W863" s="64">
        <f>DATEVALUE(tblWorkPackages[[#This Row],[Request date]])</f>
        <v>45352.0</v>
      </c>
      <c r="X863" s="64">
        <f>DATEVALUE(tblWorkPackages[[#This Row],[Due date]])</f>
        <v>45365.0</v>
      </c>
      <c r="Y863" s="64">
        <f>DATEVALUE(tblWorkPackages[[#This Row],[Completion date]])</f>
        <v>45368.0</v>
      </c>
      <c r="Z863" s="64">
        <f>_xlfn.MINIFS(tblLaborEntries[Work date serial],tblLaborEntries[Work package ID],tblWorkPackages[[#This Row],[Work package ID]])</f>
        <v>45365.0</v>
      </c>
      <c r="AA863" s="64">
        <f>_xlfn.MAXIFS(tblLaborEntries[Work date serial],tblLaborEntries[Work package ID],tblWorkPackages[[#This Row],[Work package ID]])</f>
        <v>45367.0</v>
      </c>
      <c r="AB863" s="65">
        <f>IF(tblWorkPackages[[#This Row],[Completion date serial]]&gt;tblWorkPackages[[#This Row],[Due date serial]],1,0)</f>
        <v>1</v>
      </c>
      <c r="AC863" s="65">
        <f>MAX(0,tblWorkPackages[[#This Row],[Completion date serial]]-tblWorkPackages[[#This Row],[Due date serial]])</f>
        <v>3</v>
      </c>
      <c r="AD863" s="65">
        <f>tblWorkPackages[[#This Row],[First labor date]]-tblWorkPackages[[#This Row],[Request date serial]]</f>
        <v>13</v>
      </c>
      <c r="AE863" s="65">
        <f>tblWorkPackages[[#This Row],[Last labor date]]-tblWorkPackages[[#This Row],[First labor date]]</f>
        <v>2</v>
      </c>
      <c r="AF863" s="65">
        <f>tblWorkPackages[[#This Row],[Completion date serial]]-tblWorkPackages[[#This Row],[Last labor date]]</f>
        <v>1</v>
      </c>
      <c r="AG863" s="65">
        <f>tblWorkPackages[[#This Row],[Completion date serial]]-tblWorkPackages[[#This Row],[Request date serial]]</f>
        <v>16</v>
      </c>
      <c r="AH863" s="65">
        <f>IFERROR(INDEX(tblParts[Delay days],MATCH(tblWorkPackages[[#This Row],[Work package ID]],tblParts[Work package ID],0)),0)</f>
        <v>0</v>
      </c>
      <c r="AI863" s="51" t="str">
        <f>IFERROR(INDEX(tblDisruptions[Event type],MATCH(tblWorkPackages[[#This Row],[Work package ID]],tblDisruptions[Work package ID],0)),"None")</f>
        <v>None</v>
      </c>
      <c r="AJ863" s="51" t="str">
        <f>TEXT(tblWorkPackages[[#This Row],[Due date serial]],"yyyy-mm")</f>
        <v>2024-03</v>
      </c>
    </row>
    <row r="864" spans="1:36" ht="15" x14ac:dyDescent="0.25">
      <c r="A864" s="53" t="s">
        <v>1750</v>
      </c>
      <c r="B864" s="53" t="s">
        <v>250</v>
      </c>
      <c r="C864" s="53" t="s">
        <v>498</v>
      </c>
      <c r="D864" s="53" t="s">
        <v>499</v>
      </c>
      <c r="E864" s="53" t="s">
        <v>272</v>
      </c>
      <c r="F864" s="53" t="s">
        <v>145</v>
      </c>
      <c r="G864" s="53" t="s">
        <v>273</v>
      </c>
      <c r="H864" s="53">
        <v>4</v>
      </c>
      <c r="I864" s="53" t="s">
        <v>130</v>
      </c>
      <c r="J864" s="53">
        <v>0</v>
      </c>
      <c r="K864" s="53">
        <v>0</v>
      </c>
      <c r="L864" s="53">
        <v>18.600000000000001</v>
      </c>
      <c r="M864" s="53" t="s">
        <v>753</v>
      </c>
      <c r="N864" s="53">
        <v>22.5</v>
      </c>
      <c r="O864" s="51" t="str">
        <f>TEXT(tblWorkPackages[[#This Row],[Request date serial]]-WEEKDAY(tblWorkPackages[[#This Row],[Request date serial]],3),"yyyy-mm-dd")</f>
        <v>2025-11-17</v>
      </c>
      <c r="P864" s="51">
        <f>ABS(tblWorkPackages[[#This Row],[Actual labor hours]]-tblWorkPackages[[#This Row],[Estimated labor hours]])</f>
        <v>3.9</v>
      </c>
      <c r="Q864" s="51">
        <f>IF(tblWorkPackages[[#This Row],[Actual labor hours]]&gt;tblWorkPackages[[#This Row],[Estimated labor hours]],1,0)</f>
        <v>1</v>
      </c>
      <c r="R864" s="51">
        <f>tblWorkPackages[[#This Row],[Actual labor hours]]-tblWorkPackages[[#This Row],[Estimated labor hours]]</f>
        <v>3.9</v>
      </c>
      <c r="S864" s="51" t="str">
        <f>IF(tblWorkPackages[[#This Row],[Request date serial]]&lt;ValidationStart,"Train 2024",IF(tblWorkPackages[[#This Row],[Request date serial]]&lt;HoldoutStart,"Validation H1","Holdout H2"))</f>
        <v>Holdout H2</v>
      </c>
      <c r="T864" s="51">
        <f>IF(tblWorkPackages[[#This Row],[Time split]]="Train 2024","",tblWorkPackages[[#This Row],[Estimated labor hours]]+VLOOKUP(tblWorkPackages[[#This Row],[Task type]],'Forecast validation'!$A$14:$E$25,IF(tblWorkPackages[[#This Row],[Time split]]="Validation H1",4,5),FALSE()))</f>
        <v>19.58515625</v>
      </c>
      <c r="U864" s="51">
        <f>IF(tblWorkPackages[[#This Row],[Calibrated forecast hours]]="","",ABS(tblWorkPackages[[#This Row],[Actual labor hours]]-tblWorkPackages[[#This Row],[Calibrated forecast hours]]))</f>
        <v>2.91484375</v>
      </c>
      <c r="V864" s="51">
        <f>IF(tblWorkPackages[[#This Row],[Time split]]="Train 2024",tblWorkPackages[[#This Row],[Estimated labor hours]],tblWorkPackages[[#This Row],[Calibrated forecast hours]])</f>
        <v>19.58515625</v>
      </c>
      <c r="W864" s="64">
        <f>DATEVALUE(tblWorkPackages[[#This Row],[Request date]])</f>
        <v>45982.0</v>
      </c>
      <c r="X864" s="64">
        <f>DATEVALUE(tblWorkPackages[[#This Row],[Due date]])</f>
        <v>45995.0</v>
      </c>
      <c r="Y864" s="64">
        <f>DATEVALUE(tblWorkPackages[[#This Row],[Completion date]])</f>
        <v>45989.0</v>
      </c>
      <c r="Z864" s="64">
        <f>_xlfn.MINIFS(tblLaborEntries[Work date serial],tblLaborEntries[Work package ID],tblWorkPackages[[#This Row],[Work package ID]])</f>
        <v>45985.0</v>
      </c>
      <c r="AA864" s="64">
        <f>_xlfn.MAXIFS(tblLaborEntries[Work date serial],tblLaborEntries[Work package ID],tblWorkPackages[[#This Row],[Work package ID]])</f>
        <v>45987.0</v>
      </c>
      <c r="AB864" s="65">
        <f>IF(tblWorkPackages[[#This Row],[Completion date serial]]&gt;tblWorkPackages[[#This Row],[Due date serial]],1,0)</f>
        <v>0</v>
      </c>
      <c r="AC864" s="65">
        <f>MAX(0,tblWorkPackages[[#This Row],[Completion date serial]]-tblWorkPackages[[#This Row],[Due date serial]])</f>
        <v>0</v>
      </c>
      <c r="AD864" s="65">
        <f>tblWorkPackages[[#This Row],[First labor date]]-tblWorkPackages[[#This Row],[Request date serial]]</f>
        <v>3</v>
      </c>
      <c r="AE864" s="65">
        <f>tblWorkPackages[[#This Row],[Last labor date]]-tblWorkPackages[[#This Row],[First labor date]]</f>
        <v>2</v>
      </c>
      <c r="AF864" s="65">
        <f>tblWorkPackages[[#This Row],[Completion date serial]]-tblWorkPackages[[#This Row],[Last labor date]]</f>
        <v>2</v>
      </c>
      <c r="AG864" s="65">
        <f>tblWorkPackages[[#This Row],[Completion date serial]]-tblWorkPackages[[#This Row],[Request date serial]]</f>
        <v>7</v>
      </c>
      <c r="AH864" s="65">
        <f>IFERROR(INDEX(tblParts[Delay days],MATCH(tblWorkPackages[[#This Row],[Work package ID]],tblParts[Work package ID],0)),0)</f>
        <v>0</v>
      </c>
      <c r="AI864" s="51" t="str">
        <f>IFERROR(INDEX(tblDisruptions[Event type],MATCH(tblWorkPackages[[#This Row],[Work package ID]],tblDisruptions[Work package ID],0)),"None")</f>
        <v>None</v>
      </c>
      <c r="AJ864" s="51" t="str">
        <f>TEXT(tblWorkPackages[[#This Row],[Due date serial]],"yyyy-mm")</f>
        <v>2025-12</v>
      </c>
    </row>
    <row r="865" spans="1:36" ht="15" x14ac:dyDescent="0.25">
      <c r="A865" s="53" t="s">
        <v>1751</v>
      </c>
      <c r="B865" s="53" t="s">
        <v>173</v>
      </c>
      <c r="C865" s="53" t="s">
        <v>853</v>
      </c>
      <c r="D865" s="53" t="s">
        <v>1453</v>
      </c>
      <c r="E865" s="53" t="s">
        <v>160</v>
      </c>
      <c r="F865" s="53" t="s">
        <v>128</v>
      </c>
      <c r="G865" s="53" t="s">
        <v>138</v>
      </c>
      <c r="H865" s="53">
        <v>3</v>
      </c>
      <c r="I865" s="53" t="s">
        <v>130</v>
      </c>
      <c r="J865" s="53">
        <v>0</v>
      </c>
      <c r="K865" s="53">
        <v>1</v>
      </c>
      <c r="L865" s="53">
        <v>6.3</v>
      </c>
      <c r="M865" s="53" t="s">
        <v>296</v>
      </c>
      <c r="N865" s="53">
        <v>7.9</v>
      </c>
      <c r="O865" s="51" t="str">
        <f>TEXT(tblWorkPackages[[#This Row],[Request date serial]]-WEEKDAY(tblWorkPackages[[#This Row],[Request date serial]],3),"yyyy-mm-dd")</f>
        <v>2024-06-17</v>
      </c>
      <c r="P865" s="51">
        <f>ABS(tblWorkPackages[[#This Row],[Actual labor hours]]-tblWorkPackages[[#This Row],[Estimated labor hours]])</f>
        <v>1.6</v>
      </c>
      <c r="Q865" s="51">
        <f>IF(tblWorkPackages[[#This Row],[Actual labor hours]]&gt;tblWorkPackages[[#This Row],[Estimated labor hours]],1,0)</f>
        <v>1</v>
      </c>
      <c r="R865" s="51">
        <f>tblWorkPackages[[#This Row],[Actual labor hours]]-tblWorkPackages[[#This Row],[Estimated labor hours]]</f>
        <v>1.6</v>
      </c>
      <c r="S865" s="51" t="str">
        <f>IF(tblWorkPackages[[#This Row],[Request date serial]]&lt;ValidationStart,"Train 2024",IF(tblWorkPackages[[#This Row],[Request date serial]]&lt;HoldoutStart,"Validation H1","Holdout H2"))</f>
        <v>Train 2024</v>
      </c>
      <c r="T865" s="51" t="str">
        <f>IF(tblWorkPackages[[#This Row],[Time split]]="Train 2024","",tblWorkPackages[[#This Row],[Estimated labor hours]]+VLOOKUP(tblWorkPackages[[#This Row],[Task type]],'Forecast validation'!$A$14:$E$25,IF(tblWorkPackages[[#This Row],[Time split]]="Validation H1",4,5),FALSE()))</f>
        <v/>
      </c>
      <c r="U865" s="51" t="str">
        <f>IF(tblWorkPackages[[#This Row],[Calibrated forecast hours]]="","",ABS(tblWorkPackages[[#This Row],[Actual labor hours]]-tblWorkPackages[[#This Row],[Calibrated forecast hours]]))</f>
        <v/>
      </c>
      <c r="V865" s="51">
        <f>IF(tblWorkPackages[[#This Row],[Time split]]="Train 2024",tblWorkPackages[[#This Row],[Estimated labor hours]],tblWorkPackages[[#This Row],[Calibrated forecast hours]])</f>
        <v>6.3</v>
      </c>
      <c r="W865" s="64">
        <f>DATEVALUE(tblWorkPackages[[#This Row],[Request date]])</f>
        <v>45466.0</v>
      </c>
      <c r="X865" s="64">
        <f>DATEVALUE(tblWorkPackages[[#This Row],[Due date]])</f>
        <v>45479.0</v>
      </c>
      <c r="Y865" s="64">
        <f>DATEVALUE(tblWorkPackages[[#This Row],[Completion date]])</f>
        <v>45523.0</v>
      </c>
      <c r="Z865" s="64">
        <f>_xlfn.MINIFS(tblLaborEntries[Work date serial],tblLaborEntries[Work package ID],tblWorkPackages[[#This Row],[Work package ID]])</f>
        <v>45518.0</v>
      </c>
      <c r="AA865" s="64">
        <f>_xlfn.MAXIFS(tblLaborEntries[Work date serial],tblLaborEntries[Work package ID],tblWorkPackages[[#This Row],[Work package ID]])</f>
        <v>45520.0</v>
      </c>
      <c r="AB865" s="65">
        <f>IF(tblWorkPackages[[#This Row],[Completion date serial]]&gt;tblWorkPackages[[#This Row],[Due date serial]],1,0)</f>
        <v>1</v>
      </c>
      <c r="AC865" s="65">
        <f>MAX(0,tblWorkPackages[[#This Row],[Completion date serial]]-tblWorkPackages[[#This Row],[Due date serial]])</f>
        <v>44</v>
      </c>
      <c r="AD865" s="65">
        <f>tblWorkPackages[[#This Row],[First labor date]]-tblWorkPackages[[#This Row],[Request date serial]]</f>
        <v>52</v>
      </c>
      <c r="AE865" s="65">
        <f>tblWorkPackages[[#This Row],[Last labor date]]-tblWorkPackages[[#This Row],[First labor date]]</f>
        <v>2</v>
      </c>
      <c r="AF865" s="65">
        <f>tblWorkPackages[[#This Row],[Completion date serial]]-tblWorkPackages[[#This Row],[Last labor date]]</f>
        <v>3</v>
      </c>
      <c r="AG865" s="65">
        <f>tblWorkPackages[[#This Row],[Completion date serial]]-tblWorkPackages[[#This Row],[Request date serial]]</f>
        <v>57</v>
      </c>
      <c r="AH865" s="65">
        <f>IFERROR(INDEX(tblParts[Delay days],MATCH(tblWorkPackages[[#This Row],[Work package ID]],tblParts[Work package ID],0)),0)</f>
        <v>0</v>
      </c>
      <c r="AI865" s="51" t="str">
        <f>IFERROR(INDEX(tblDisruptions[Event type],MATCH(tblWorkPackages[[#This Row],[Work package ID]],tblDisruptions[Work package ID],0)),"None")</f>
        <v>Equipment unavailable</v>
      </c>
      <c r="AJ865" s="51" t="str">
        <f>TEXT(tblWorkPackages[[#This Row],[Due date serial]],"yyyy-mm")</f>
        <v>2024-07</v>
      </c>
    </row>
    <row r="866" spans="1:36" ht="15" x14ac:dyDescent="0.25">
      <c r="A866" s="53" t="s">
        <v>1752</v>
      </c>
      <c r="B866" s="53" t="s">
        <v>150</v>
      </c>
      <c r="C866" s="53" t="s">
        <v>131</v>
      </c>
      <c r="D866" s="53" t="s">
        <v>740</v>
      </c>
      <c r="E866" s="53" t="s">
        <v>223</v>
      </c>
      <c r="F866" s="53" t="s">
        <v>182</v>
      </c>
      <c r="G866" s="53" t="s">
        <v>154</v>
      </c>
      <c r="H866" s="53">
        <v>4</v>
      </c>
      <c r="I866" s="53" t="s">
        <v>176</v>
      </c>
      <c r="J866" s="53">
        <v>0</v>
      </c>
      <c r="K866" s="53">
        <v>0</v>
      </c>
      <c r="L866" s="53">
        <v>26.5</v>
      </c>
      <c r="M866" s="53" t="s">
        <v>183</v>
      </c>
      <c r="N866" s="53">
        <v>22</v>
      </c>
      <c r="O866" s="51" t="str">
        <f>TEXT(tblWorkPackages[[#This Row],[Request date serial]]-WEEKDAY(tblWorkPackages[[#This Row],[Request date serial]],3),"yyyy-mm-dd")</f>
        <v>2025-05-12</v>
      </c>
      <c r="P866" s="51">
        <f>ABS(tblWorkPackages[[#This Row],[Actual labor hours]]-tblWorkPackages[[#This Row],[Estimated labor hours]])</f>
        <v>4.5</v>
      </c>
      <c r="Q866" s="51">
        <f>IF(tblWorkPackages[[#This Row],[Actual labor hours]]&gt;tblWorkPackages[[#This Row],[Estimated labor hours]],1,0)</f>
        <v>0</v>
      </c>
      <c r="R866" s="51">
        <f>tblWorkPackages[[#This Row],[Actual labor hours]]-tblWorkPackages[[#This Row],[Estimated labor hours]]</f>
        <v>-4.5</v>
      </c>
      <c r="S866" s="51" t="str">
        <f>IF(tblWorkPackages[[#This Row],[Request date serial]]&lt;ValidationStart,"Train 2024",IF(tblWorkPackages[[#This Row],[Request date serial]]&lt;HoldoutStart,"Validation H1","Holdout H2"))</f>
        <v>Validation H1</v>
      </c>
      <c r="T866" s="51">
        <f>IF(tblWorkPackages[[#This Row],[Time split]]="Train 2024","",tblWorkPackages[[#This Row],[Estimated labor hours]]+VLOOKUP(tblWorkPackages[[#This Row],[Task type]],'Forecast validation'!$A$14:$E$25,IF(tblWorkPackages[[#This Row],[Time split]]="Validation H1",4,5),FALSE()))</f>
        <v>27.3824175824176</v>
      </c>
      <c r="U866" s="51">
        <f>IF(tblWorkPackages[[#This Row],[Calibrated forecast hours]]="","",ABS(tblWorkPackages[[#This Row],[Actual labor hours]]-tblWorkPackages[[#This Row],[Calibrated forecast hours]]))</f>
        <v>5.38241758241758</v>
      </c>
      <c r="V866" s="51">
        <f>IF(tblWorkPackages[[#This Row],[Time split]]="Train 2024",tblWorkPackages[[#This Row],[Estimated labor hours]],tblWorkPackages[[#This Row],[Calibrated forecast hours]])</f>
        <v>27.3824175824176</v>
      </c>
      <c r="W866" s="64">
        <f>DATEVALUE(tblWorkPackages[[#This Row],[Request date]])</f>
        <v>45791.0</v>
      </c>
      <c r="X866" s="64">
        <f>DATEVALUE(tblWorkPackages[[#This Row],[Due date]])</f>
        <v>45797.0</v>
      </c>
      <c r="Y866" s="64">
        <f>DATEVALUE(tblWorkPackages[[#This Row],[Completion date]])</f>
        <v>45799.0</v>
      </c>
      <c r="Z866" s="64">
        <f>_xlfn.MINIFS(tblLaborEntries[Work date serial],tblLaborEntries[Work package ID],tblWorkPackages[[#This Row],[Work package ID]])</f>
        <v>45799.0</v>
      </c>
      <c r="AA866" s="64">
        <f>_xlfn.MAXIFS(tblLaborEntries[Work date serial],tblLaborEntries[Work package ID],tblWorkPackages[[#This Row],[Work package ID]])</f>
        <v>45799.0</v>
      </c>
      <c r="AB866" s="65">
        <f>IF(tblWorkPackages[[#This Row],[Completion date serial]]&gt;tblWorkPackages[[#This Row],[Due date serial]],1,0)</f>
        <v>1</v>
      </c>
      <c r="AC866" s="65">
        <f>MAX(0,tblWorkPackages[[#This Row],[Completion date serial]]-tblWorkPackages[[#This Row],[Due date serial]])</f>
        <v>2</v>
      </c>
      <c r="AD866" s="65">
        <f>tblWorkPackages[[#This Row],[First labor date]]-tblWorkPackages[[#This Row],[Request date serial]]</f>
        <v>8</v>
      </c>
      <c r="AE866" s="65">
        <f>tblWorkPackages[[#This Row],[Last labor date]]-tblWorkPackages[[#This Row],[First labor date]]</f>
        <v>0</v>
      </c>
      <c r="AF866" s="65">
        <f>tblWorkPackages[[#This Row],[Completion date serial]]-tblWorkPackages[[#This Row],[Last labor date]]</f>
        <v>0</v>
      </c>
      <c r="AG866" s="65">
        <f>tblWorkPackages[[#This Row],[Completion date serial]]-tblWorkPackages[[#This Row],[Request date serial]]</f>
        <v>8</v>
      </c>
      <c r="AH866" s="65">
        <f>IFERROR(INDEX(tblParts[Delay days],MATCH(tblWorkPackages[[#This Row],[Work package ID]],tblParts[Work package ID],0)),0)</f>
        <v>0</v>
      </c>
      <c r="AI866" s="51" t="str">
        <f>IFERROR(INDEX(tblDisruptions[Event type],MATCH(tblWorkPackages[[#This Row],[Work package ID]],tblDisruptions[Work package ID],0)),"None")</f>
        <v>None</v>
      </c>
      <c r="AJ866" s="51" t="str">
        <f>TEXT(tblWorkPackages[[#This Row],[Due date serial]],"yyyy-mm")</f>
        <v>2025-05</v>
      </c>
    </row>
    <row r="867" spans="1:36" ht="15" x14ac:dyDescent="0.25">
      <c r="A867" s="53" t="s">
        <v>1753</v>
      </c>
      <c r="B867" s="53" t="s">
        <v>124</v>
      </c>
      <c r="C867" s="53" t="s">
        <v>824</v>
      </c>
      <c r="D867" s="53" t="s">
        <v>601</v>
      </c>
      <c r="E867" s="53" t="s">
        <v>144</v>
      </c>
      <c r="F867" s="53" t="s">
        <v>145</v>
      </c>
      <c r="G867" s="53" t="s">
        <v>146</v>
      </c>
      <c r="H867" s="53">
        <v>4</v>
      </c>
      <c r="I867" s="53" t="s">
        <v>130</v>
      </c>
      <c r="J867" s="53">
        <v>0</v>
      </c>
      <c r="K867" s="53">
        <v>0</v>
      </c>
      <c r="L867" s="53">
        <v>17.600000000000001</v>
      </c>
      <c r="M867" s="53" t="s">
        <v>877</v>
      </c>
      <c r="N867" s="53">
        <v>18</v>
      </c>
      <c r="O867" s="51" t="str">
        <f>TEXT(tblWorkPackages[[#This Row],[Request date serial]]-WEEKDAY(tblWorkPackages[[#This Row],[Request date serial]],3),"yyyy-mm-dd")</f>
        <v>2024-11-18</v>
      </c>
      <c r="P867" s="51">
        <f>ABS(tblWorkPackages[[#This Row],[Actual labor hours]]-tblWorkPackages[[#This Row],[Estimated labor hours]])</f>
        <v>0.399999999999999</v>
      </c>
      <c r="Q867" s="51">
        <f>IF(tblWorkPackages[[#This Row],[Actual labor hours]]&gt;tblWorkPackages[[#This Row],[Estimated labor hours]],1,0)</f>
        <v>1</v>
      </c>
      <c r="R867" s="51">
        <f>tblWorkPackages[[#This Row],[Actual labor hours]]-tblWorkPackages[[#This Row],[Estimated labor hours]]</f>
        <v>0.399999999999999</v>
      </c>
      <c r="S867" s="51" t="str">
        <f>IF(tblWorkPackages[[#This Row],[Request date serial]]&lt;ValidationStart,"Train 2024",IF(tblWorkPackages[[#This Row],[Request date serial]]&lt;HoldoutStart,"Validation H1","Holdout H2"))</f>
        <v>Train 2024</v>
      </c>
      <c r="T867" s="51" t="str">
        <f>IF(tblWorkPackages[[#This Row],[Time split]]="Train 2024","",tblWorkPackages[[#This Row],[Estimated labor hours]]+VLOOKUP(tblWorkPackages[[#This Row],[Task type]],'Forecast validation'!$A$14:$E$25,IF(tblWorkPackages[[#This Row],[Time split]]="Validation H1",4,5),FALSE()))</f>
        <v/>
      </c>
      <c r="U867" s="51" t="str">
        <f>IF(tblWorkPackages[[#This Row],[Calibrated forecast hours]]="","",ABS(tblWorkPackages[[#This Row],[Actual labor hours]]-tblWorkPackages[[#This Row],[Calibrated forecast hours]]))</f>
        <v/>
      </c>
      <c r="V867" s="51">
        <f>IF(tblWorkPackages[[#This Row],[Time split]]="Train 2024",tblWorkPackages[[#This Row],[Estimated labor hours]],tblWorkPackages[[#This Row],[Calibrated forecast hours]])</f>
        <v>17.6</v>
      </c>
      <c r="W867" s="64">
        <f>DATEVALUE(tblWorkPackages[[#This Row],[Request date]])</f>
        <v>45620.0</v>
      </c>
      <c r="X867" s="64">
        <f>DATEVALUE(tblWorkPackages[[#This Row],[Due date]])</f>
        <v>45633.0</v>
      </c>
      <c r="Y867" s="64">
        <f>DATEVALUE(tblWorkPackages[[#This Row],[Completion date]])</f>
        <v>45624.0</v>
      </c>
      <c r="Z867" s="64">
        <f>_xlfn.MINIFS(tblLaborEntries[Work date serial],tblLaborEntries[Work package ID],tblWorkPackages[[#This Row],[Work package ID]])</f>
        <v>45622.0</v>
      </c>
      <c r="AA867" s="64">
        <f>_xlfn.MAXIFS(tblLaborEntries[Work date serial],tblLaborEntries[Work package ID],tblWorkPackages[[#This Row],[Work package ID]])</f>
        <v>45623.0</v>
      </c>
      <c r="AB867" s="65">
        <f>IF(tblWorkPackages[[#This Row],[Completion date serial]]&gt;tblWorkPackages[[#This Row],[Due date serial]],1,0)</f>
        <v>0</v>
      </c>
      <c r="AC867" s="65">
        <f>MAX(0,tblWorkPackages[[#This Row],[Completion date serial]]-tblWorkPackages[[#This Row],[Due date serial]])</f>
        <v>0</v>
      </c>
      <c r="AD867" s="65">
        <f>tblWorkPackages[[#This Row],[First labor date]]-tblWorkPackages[[#This Row],[Request date serial]]</f>
        <v>2</v>
      </c>
      <c r="AE867" s="65">
        <f>tblWorkPackages[[#This Row],[Last labor date]]-tblWorkPackages[[#This Row],[First labor date]]</f>
        <v>1</v>
      </c>
      <c r="AF867" s="65">
        <f>tblWorkPackages[[#This Row],[Completion date serial]]-tblWorkPackages[[#This Row],[Last labor date]]</f>
        <v>1</v>
      </c>
      <c r="AG867" s="65">
        <f>tblWorkPackages[[#This Row],[Completion date serial]]-tblWorkPackages[[#This Row],[Request date serial]]</f>
        <v>4</v>
      </c>
      <c r="AH867" s="65">
        <f>IFERROR(INDEX(tblParts[Delay days],MATCH(tblWorkPackages[[#This Row],[Work package ID]],tblParts[Work package ID],0)),0)</f>
        <v>0</v>
      </c>
      <c r="AI867" s="51" t="str">
        <f>IFERROR(INDEX(tblDisruptions[Event type],MATCH(tblWorkPackages[[#This Row],[Work package ID]],tblDisruptions[Work package ID],0)),"None")</f>
        <v>None</v>
      </c>
      <c r="AJ867" s="51" t="str">
        <f>TEXT(tblWorkPackages[[#This Row],[Due date serial]],"yyyy-mm")</f>
        <v>2024-12</v>
      </c>
    </row>
    <row r="868" spans="1:36" ht="15" x14ac:dyDescent="0.25">
      <c r="A868" s="53" t="s">
        <v>1754</v>
      </c>
      <c r="B868" s="53" t="s">
        <v>124</v>
      </c>
      <c r="C868" s="53" t="s">
        <v>653</v>
      </c>
      <c r="D868" s="53" t="s">
        <v>914</v>
      </c>
      <c r="E868" s="53" t="s">
        <v>160</v>
      </c>
      <c r="F868" s="53" t="s">
        <v>128</v>
      </c>
      <c r="G868" s="53" t="s">
        <v>138</v>
      </c>
      <c r="H868" s="53">
        <v>4</v>
      </c>
      <c r="I868" s="53" t="s">
        <v>130</v>
      </c>
      <c r="J868" s="53">
        <v>0</v>
      </c>
      <c r="K868" s="53">
        <v>0</v>
      </c>
      <c r="L868" s="53">
        <v>8.1</v>
      </c>
      <c r="M868" s="53" t="s">
        <v>1162</v>
      </c>
      <c r="N868" s="53">
        <v>11.6</v>
      </c>
      <c r="O868" s="51" t="str">
        <f>TEXT(tblWorkPackages[[#This Row],[Request date serial]]-WEEKDAY(tblWorkPackages[[#This Row],[Request date serial]],3),"yyyy-mm-dd")</f>
        <v>2025-12-08</v>
      </c>
      <c r="P868" s="51">
        <f>ABS(tblWorkPackages[[#This Row],[Actual labor hours]]-tblWorkPackages[[#This Row],[Estimated labor hours]])</f>
        <v>3.5</v>
      </c>
      <c r="Q868" s="51">
        <f>IF(tblWorkPackages[[#This Row],[Actual labor hours]]&gt;tblWorkPackages[[#This Row],[Estimated labor hours]],1,0)</f>
        <v>1</v>
      </c>
      <c r="R868" s="51">
        <f>tblWorkPackages[[#This Row],[Actual labor hours]]-tblWorkPackages[[#This Row],[Estimated labor hours]]</f>
        <v>3.5</v>
      </c>
      <c r="S868" s="51" t="str">
        <f>IF(tblWorkPackages[[#This Row],[Request date serial]]&lt;ValidationStart,"Train 2024",IF(tblWorkPackages[[#This Row],[Request date serial]]&lt;HoldoutStart,"Validation H1","Holdout H2"))</f>
        <v>Holdout H2</v>
      </c>
      <c r="T868" s="51">
        <f>IF(tblWorkPackages[[#This Row],[Time split]]="Train 2024","",tblWorkPackages[[#This Row],[Estimated labor hours]]+VLOOKUP(tblWorkPackages[[#This Row],[Task type]],'Forecast validation'!$A$14:$E$25,IF(tblWorkPackages[[#This Row],[Time split]]="Validation H1",4,5),FALSE()))</f>
        <v>8.53739837398374</v>
      </c>
      <c r="U868" s="51">
        <f>IF(tblWorkPackages[[#This Row],[Calibrated forecast hours]]="","",ABS(tblWorkPackages[[#This Row],[Actual labor hours]]-tblWorkPackages[[#This Row],[Calibrated forecast hours]]))</f>
        <v>3.06260162601626</v>
      </c>
      <c r="V868" s="51">
        <f>IF(tblWorkPackages[[#This Row],[Time split]]="Train 2024",tblWorkPackages[[#This Row],[Estimated labor hours]],tblWorkPackages[[#This Row],[Calibrated forecast hours]])</f>
        <v>8.53739837398374</v>
      </c>
      <c r="W868" s="64">
        <f>DATEVALUE(tblWorkPackages[[#This Row],[Request date]])</f>
        <v>46000.0</v>
      </c>
      <c r="X868" s="64">
        <f>DATEVALUE(tblWorkPackages[[#This Row],[Due date]])</f>
        <v>46013.0</v>
      </c>
      <c r="Y868" s="64">
        <f>DATEVALUE(tblWorkPackages[[#This Row],[Completion date]])</f>
        <v>46023.0</v>
      </c>
      <c r="Z868" s="64">
        <f>_xlfn.MINIFS(tblLaborEntries[Work date serial],tblLaborEntries[Work package ID],tblWorkPackages[[#This Row],[Work package ID]])</f>
        <v>46020.0</v>
      </c>
      <c r="AA868" s="64">
        <f>_xlfn.MAXIFS(tblLaborEntries[Work date serial],tblLaborEntries[Work package ID],tblWorkPackages[[#This Row],[Work package ID]])</f>
        <v>46021.0</v>
      </c>
      <c r="AB868" s="65">
        <f>IF(tblWorkPackages[[#This Row],[Completion date serial]]&gt;tblWorkPackages[[#This Row],[Due date serial]],1,0)</f>
        <v>1</v>
      </c>
      <c r="AC868" s="65">
        <f>MAX(0,tblWorkPackages[[#This Row],[Completion date serial]]-tblWorkPackages[[#This Row],[Due date serial]])</f>
        <v>10</v>
      </c>
      <c r="AD868" s="65">
        <f>tblWorkPackages[[#This Row],[First labor date]]-tblWorkPackages[[#This Row],[Request date serial]]</f>
        <v>20</v>
      </c>
      <c r="AE868" s="65">
        <f>tblWorkPackages[[#This Row],[Last labor date]]-tblWorkPackages[[#This Row],[First labor date]]</f>
        <v>1</v>
      </c>
      <c r="AF868" s="65">
        <f>tblWorkPackages[[#This Row],[Completion date serial]]-tblWorkPackages[[#This Row],[Last labor date]]</f>
        <v>2</v>
      </c>
      <c r="AG868" s="65">
        <f>tblWorkPackages[[#This Row],[Completion date serial]]-tblWorkPackages[[#This Row],[Request date serial]]</f>
        <v>23</v>
      </c>
      <c r="AH868" s="65">
        <f>IFERROR(INDEX(tblParts[Delay days],MATCH(tblWorkPackages[[#This Row],[Work package ID]],tblParts[Work package ID],0)),0)</f>
        <v>0</v>
      </c>
      <c r="AI868" s="51" t="str">
        <f>IFERROR(INDEX(tblDisruptions[Event type],MATCH(tblWorkPackages[[#This Row],[Work package ID]],tblDisruptions[Work package ID],0)),"None")</f>
        <v>Scope change</v>
      </c>
      <c r="AJ868" s="51" t="str">
        <f>TEXT(tblWorkPackages[[#This Row],[Due date serial]],"yyyy-mm")</f>
        <v>2025-12</v>
      </c>
    </row>
    <row r="869" spans="1:36" ht="15" x14ac:dyDescent="0.25">
      <c r="A869" s="53" t="s">
        <v>1755</v>
      </c>
      <c r="B869" s="53" t="s">
        <v>163</v>
      </c>
      <c r="C869" s="53" t="s">
        <v>817</v>
      </c>
      <c r="D869" s="53" t="s">
        <v>707</v>
      </c>
      <c r="E869" s="53" t="s">
        <v>272</v>
      </c>
      <c r="F869" s="53" t="s">
        <v>145</v>
      </c>
      <c r="G869" s="53" t="s">
        <v>273</v>
      </c>
      <c r="H869" s="53">
        <v>1</v>
      </c>
      <c r="I869" s="53" t="s">
        <v>130</v>
      </c>
      <c r="J869" s="53">
        <v>0</v>
      </c>
      <c r="K869" s="53">
        <v>1</v>
      </c>
      <c r="L869" s="53">
        <v>6.8</v>
      </c>
      <c r="M869" s="53" t="s">
        <v>707</v>
      </c>
      <c r="N869" s="53">
        <v>7.3</v>
      </c>
      <c r="O869" s="51" t="str">
        <f>TEXT(tblWorkPackages[[#This Row],[Request date serial]]-WEEKDAY(tblWorkPackages[[#This Row],[Request date serial]],3),"yyyy-mm-dd")</f>
        <v>2024-12-09</v>
      </c>
      <c r="P869" s="51">
        <f>ABS(tblWorkPackages[[#This Row],[Actual labor hours]]-tblWorkPackages[[#This Row],[Estimated labor hours]])</f>
        <v>0.5</v>
      </c>
      <c r="Q869" s="51">
        <f>IF(tblWorkPackages[[#This Row],[Actual labor hours]]&gt;tblWorkPackages[[#This Row],[Estimated labor hours]],1,0)</f>
        <v>1</v>
      </c>
      <c r="R869" s="51">
        <f>tblWorkPackages[[#This Row],[Actual labor hours]]-tblWorkPackages[[#This Row],[Estimated labor hours]]</f>
        <v>0.5</v>
      </c>
      <c r="S869" s="51" t="str">
        <f>IF(tblWorkPackages[[#This Row],[Request date serial]]&lt;ValidationStart,"Train 2024",IF(tblWorkPackages[[#This Row],[Request date serial]]&lt;HoldoutStart,"Validation H1","Holdout H2"))</f>
        <v>Train 2024</v>
      </c>
      <c r="T869" s="51" t="str">
        <f>IF(tblWorkPackages[[#This Row],[Time split]]="Train 2024","",tblWorkPackages[[#This Row],[Estimated labor hours]]+VLOOKUP(tblWorkPackages[[#This Row],[Task type]],'Forecast validation'!$A$14:$E$25,IF(tblWorkPackages[[#This Row],[Time split]]="Validation H1",4,5),FALSE()))</f>
        <v/>
      </c>
      <c r="U869" s="51" t="str">
        <f>IF(tblWorkPackages[[#This Row],[Calibrated forecast hours]]="","",ABS(tblWorkPackages[[#This Row],[Actual labor hours]]-tblWorkPackages[[#This Row],[Calibrated forecast hours]]))</f>
        <v/>
      </c>
      <c r="V869" s="51">
        <f>IF(tblWorkPackages[[#This Row],[Time split]]="Train 2024",tblWorkPackages[[#This Row],[Estimated labor hours]],tblWorkPackages[[#This Row],[Calibrated forecast hours]])</f>
        <v>6.8</v>
      </c>
      <c r="W869" s="64">
        <f>DATEVALUE(tblWorkPackages[[#This Row],[Request date]])</f>
        <v>45637.0</v>
      </c>
      <c r="X869" s="64">
        <f>DATEVALUE(tblWorkPackages[[#This Row],[Due date]])</f>
        <v>45650.0</v>
      </c>
      <c r="Y869" s="64">
        <f>DATEVALUE(tblWorkPackages[[#This Row],[Completion date]])</f>
        <v>45650.0</v>
      </c>
      <c r="Z869" s="64">
        <f>_xlfn.MINIFS(tblLaborEntries[Work date serial],tblLaborEntries[Work package ID],tblWorkPackages[[#This Row],[Work package ID]])</f>
        <v>45645.0</v>
      </c>
      <c r="AA869" s="64">
        <f>_xlfn.MAXIFS(tblLaborEntries[Work date serial],tblLaborEntries[Work package ID],tblWorkPackages[[#This Row],[Work package ID]])</f>
        <v>45647.0</v>
      </c>
      <c r="AB869" s="65">
        <f>IF(tblWorkPackages[[#This Row],[Completion date serial]]&gt;tblWorkPackages[[#This Row],[Due date serial]],1,0)</f>
        <v>0</v>
      </c>
      <c r="AC869" s="65">
        <f>MAX(0,tblWorkPackages[[#This Row],[Completion date serial]]-tblWorkPackages[[#This Row],[Due date serial]])</f>
        <v>0</v>
      </c>
      <c r="AD869" s="65">
        <f>tblWorkPackages[[#This Row],[First labor date]]-tblWorkPackages[[#This Row],[Request date serial]]</f>
        <v>8</v>
      </c>
      <c r="AE869" s="65">
        <f>tblWorkPackages[[#This Row],[Last labor date]]-tblWorkPackages[[#This Row],[First labor date]]</f>
        <v>2</v>
      </c>
      <c r="AF869" s="65">
        <f>tblWorkPackages[[#This Row],[Completion date serial]]-tblWorkPackages[[#This Row],[Last labor date]]</f>
        <v>3</v>
      </c>
      <c r="AG869" s="65">
        <f>tblWorkPackages[[#This Row],[Completion date serial]]-tblWorkPackages[[#This Row],[Request date serial]]</f>
        <v>13</v>
      </c>
      <c r="AH869" s="65">
        <f>IFERROR(INDEX(tblParts[Delay days],MATCH(tblWorkPackages[[#This Row],[Work package ID]],tblParts[Work package ID],0)),0)</f>
        <v>4</v>
      </c>
      <c r="AI869" s="51" t="str">
        <f>IFERROR(INDEX(tblDisruptions[Event type],MATCH(tblWorkPackages[[#This Row],[Work package ID]],tblDisruptions[Work package ID],0)),"None")</f>
        <v>Part delay</v>
      </c>
      <c r="AJ869" s="51" t="str">
        <f>TEXT(tblWorkPackages[[#This Row],[Due date serial]],"yyyy-mm")</f>
        <v>2024-12</v>
      </c>
    </row>
    <row r="870" spans="1:36" ht="15" x14ac:dyDescent="0.25">
      <c r="A870" s="53" t="s">
        <v>1756</v>
      </c>
      <c r="B870" s="53" t="s">
        <v>157</v>
      </c>
      <c r="C870" s="53" t="s">
        <v>724</v>
      </c>
      <c r="D870" s="53" t="s">
        <v>960</v>
      </c>
      <c r="E870" s="53" t="s">
        <v>153</v>
      </c>
      <c r="F870" s="53" t="s">
        <v>128</v>
      </c>
      <c r="G870" s="53" t="s">
        <v>154</v>
      </c>
      <c r="H870" s="53">
        <v>3</v>
      </c>
      <c r="I870" s="53" t="s">
        <v>130</v>
      </c>
      <c r="J870" s="53">
        <v>0</v>
      </c>
      <c r="K870" s="53">
        <v>0</v>
      </c>
      <c r="L870" s="53">
        <v>10.6</v>
      </c>
      <c r="M870" s="53" t="s">
        <v>196</v>
      </c>
      <c r="N870" s="53">
        <v>13.1</v>
      </c>
      <c r="O870" s="51" t="str">
        <f>TEXT(tblWorkPackages[[#This Row],[Request date serial]]-WEEKDAY(tblWorkPackages[[#This Row],[Request date serial]],3),"yyyy-mm-dd")</f>
        <v>2024-10-14</v>
      </c>
      <c r="P870" s="51">
        <f>ABS(tblWorkPackages[[#This Row],[Actual labor hours]]-tblWorkPackages[[#This Row],[Estimated labor hours]])</f>
        <v>2.5</v>
      </c>
      <c r="Q870" s="51">
        <f>IF(tblWorkPackages[[#This Row],[Actual labor hours]]&gt;tblWorkPackages[[#This Row],[Estimated labor hours]],1,0)</f>
        <v>1</v>
      </c>
      <c r="R870" s="51">
        <f>tblWorkPackages[[#This Row],[Actual labor hours]]-tblWorkPackages[[#This Row],[Estimated labor hours]]</f>
        <v>2.5</v>
      </c>
      <c r="S870" s="51" t="str">
        <f>IF(tblWorkPackages[[#This Row],[Request date serial]]&lt;ValidationStart,"Train 2024",IF(tblWorkPackages[[#This Row],[Request date serial]]&lt;HoldoutStart,"Validation H1","Holdout H2"))</f>
        <v>Train 2024</v>
      </c>
      <c r="T870" s="51" t="str">
        <f>IF(tblWorkPackages[[#This Row],[Time split]]="Train 2024","",tblWorkPackages[[#This Row],[Estimated labor hours]]+VLOOKUP(tblWorkPackages[[#This Row],[Task type]],'Forecast validation'!$A$14:$E$25,IF(tblWorkPackages[[#This Row],[Time split]]="Validation H1",4,5),FALSE()))</f>
        <v/>
      </c>
      <c r="U870" s="51" t="str">
        <f>IF(tblWorkPackages[[#This Row],[Calibrated forecast hours]]="","",ABS(tblWorkPackages[[#This Row],[Actual labor hours]]-tblWorkPackages[[#This Row],[Calibrated forecast hours]]))</f>
        <v/>
      </c>
      <c r="V870" s="51">
        <f>IF(tblWorkPackages[[#This Row],[Time split]]="Train 2024",tblWorkPackages[[#This Row],[Estimated labor hours]],tblWorkPackages[[#This Row],[Calibrated forecast hours]])</f>
        <v>10.6</v>
      </c>
      <c r="W870" s="64">
        <f>DATEVALUE(tblWorkPackages[[#This Row],[Request date]])</f>
        <v>45581.0</v>
      </c>
      <c r="X870" s="64">
        <f>DATEVALUE(tblWorkPackages[[#This Row],[Due date]])</f>
        <v>45594.0</v>
      </c>
      <c r="Y870" s="64">
        <f>DATEVALUE(tblWorkPackages[[#This Row],[Completion date]])</f>
        <v>45582.0</v>
      </c>
      <c r="Z870" s="64">
        <f>_xlfn.MINIFS(tblLaborEntries[Work date serial],tblLaborEntries[Work package ID],tblWorkPackages[[#This Row],[Work package ID]])</f>
        <v>45582.0</v>
      </c>
      <c r="AA870" s="64">
        <f>_xlfn.MAXIFS(tblLaborEntries[Work date serial],tblLaborEntries[Work package ID],tblWorkPackages[[#This Row],[Work package ID]])</f>
        <v>45582.0</v>
      </c>
      <c r="AB870" s="65">
        <f>IF(tblWorkPackages[[#This Row],[Completion date serial]]&gt;tblWorkPackages[[#This Row],[Due date serial]],1,0)</f>
        <v>0</v>
      </c>
      <c r="AC870" s="65">
        <f>MAX(0,tblWorkPackages[[#This Row],[Completion date serial]]-tblWorkPackages[[#This Row],[Due date serial]])</f>
        <v>0</v>
      </c>
      <c r="AD870" s="65">
        <f>tblWorkPackages[[#This Row],[First labor date]]-tblWorkPackages[[#This Row],[Request date serial]]</f>
        <v>1</v>
      </c>
      <c r="AE870" s="65">
        <f>tblWorkPackages[[#This Row],[Last labor date]]-tblWorkPackages[[#This Row],[First labor date]]</f>
        <v>0</v>
      </c>
      <c r="AF870" s="65">
        <f>tblWorkPackages[[#This Row],[Completion date serial]]-tblWorkPackages[[#This Row],[Last labor date]]</f>
        <v>0</v>
      </c>
      <c r="AG870" s="65">
        <f>tblWorkPackages[[#This Row],[Completion date serial]]-tblWorkPackages[[#This Row],[Request date serial]]</f>
        <v>1</v>
      </c>
      <c r="AH870" s="65">
        <f>IFERROR(INDEX(tblParts[Delay days],MATCH(tblWorkPackages[[#This Row],[Work package ID]],tblParts[Work package ID],0)),0)</f>
        <v>0</v>
      </c>
      <c r="AI870" s="51" t="str">
        <f>IFERROR(INDEX(tblDisruptions[Event type],MATCH(tblWorkPackages[[#This Row],[Work package ID]],tblDisruptions[Work package ID],0)),"None")</f>
        <v>None</v>
      </c>
      <c r="AJ870" s="51" t="str">
        <f>TEXT(tblWorkPackages[[#This Row],[Due date serial]],"yyyy-mm")</f>
        <v>2024-10</v>
      </c>
    </row>
    <row r="871" spans="1:36" ht="15" x14ac:dyDescent="0.25">
      <c r="A871" s="53" t="s">
        <v>1757</v>
      </c>
      <c r="B871" s="53" t="s">
        <v>235</v>
      </c>
      <c r="C871" s="53" t="s">
        <v>1288</v>
      </c>
      <c r="D871" s="53" t="s">
        <v>1318</v>
      </c>
      <c r="E871" s="53" t="s">
        <v>242</v>
      </c>
      <c r="F871" s="53" t="s">
        <v>243</v>
      </c>
      <c r="G871" s="53" t="s">
        <v>129</v>
      </c>
      <c r="H871" s="53">
        <v>3</v>
      </c>
      <c r="I871" s="53" t="s">
        <v>176</v>
      </c>
      <c r="J871" s="53">
        <v>0</v>
      </c>
      <c r="K871" s="53">
        <v>0</v>
      </c>
      <c r="L871" s="53">
        <v>12.8</v>
      </c>
      <c r="M871" s="53" t="s">
        <v>870</v>
      </c>
      <c r="N871" s="53">
        <v>11.4</v>
      </c>
      <c r="O871" s="51" t="str">
        <f>TEXT(tblWorkPackages[[#This Row],[Request date serial]]-WEEKDAY(tblWorkPackages[[#This Row],[Request date serial]],3),"yyyy-mm-dd")</f>
        <v>2025-03-03</v>
      </c>
      <c r="P871" s="51">
        <f>ABS(tblWorkPackages[[#This Row],[Actual labor hours]]-tblWorkPackages[[#This Row],[Estimated labor hours]])</f>
        <v>1.4</v>
      </c>
      <c r="Q871" s="51">
        <f>IF(tblWorkPackages[[#This Row],[Actual labor hours]]&gt;tblWorkPackages[[#This Row],[Estimated labor hours]],1,0)</f>
        <v>0</v>
      </c>
      <c r="R871" s="51">
        <f>tblWorkPackages[[#This Row],[Actual labor hours]]-tblWorkPackages[[#This Row],[Estimated labor hours]]</f>
        <v>-1.4</v>
      </c>
      <c r="S871" s="51" t="str">
        <f>IF(tblWorkPackages[[#This Row],[Request date serial]]&lt;ValidationStart,"Train 2024",IF(tblWorkPackages[[#This Row],[Request date serial]]&lt;HoldoutStart,"Validation H1","Holdout H2"))</f>
        <v>Validation H1</v>
      </c>
      <c r="T871" s="51">
        <f>IF(tblWorkPackages[[#This Row],[Time split]]="Train 2024","",tblWorkPackages[[#This Row],[Estimated labor hours]]+VLOOKUP(tblWorkPackages[[#This Row],[Task type]],'Forecast validation'!$A$14:$E$25,IF(tblWorkPackages[[#This Row],[Time split]]="Validation H1",4,5),FALSE()))</f>
        <v>13.3561224489796</v>
      </c>
      <c r="U871" s="51">
        <f>IF(tblWorkPackages[[#This Row],[Calibrated forecast hours]]="","",ABS(tblWorkPackages[[#This Row],[Actual labor hours]]-tblWorkPackages[[#This Row],[Calibrated forecast hours]]))</f>
        <v>1.95612244897959</v>
      </c>
      <c r="V871" s="51">
        <f>IF(tblWorkPackages[[#This Row],[Time split]]="Train 2024",tblWorkPackages[[#This Row],[Estimated labor hours]],tblWorkPackages[[#This Row],[Calibrated forecast hours]])</f>
        <v>13.3561224489796</v>
      </c>
      <c r="W871" s="64">
        <f>DATEVALUE(tblWorkPackages[[#This Row],[Request date]])</f>
        <v>45720.0</v>
      </c>
      <c r="X871" s="64">
        <f>DATEVALUE(tblWorkPackages[[#This Row],[Due date]])</f>
        <v>45726.0</v>
      </c>
      <c r="Y871" s="64">
        <f>DATEVALUE(tblWorkPackages[[#This Row],[Completion date]])</f>
        <v>45732.0</v>
      </c>
      <c r="Z871" s="64">
        <f>_xlfn.MINIFS(tblLaborEntries[Work date serial],tblLaborEntries[Work package ID],tblWorkPackages[[#This Row],[Work package ID]])</f>
        <v>45731.0</v>
      </c>
      <c r="AA871" s="64">
        <f>_xlfn.MAXIFS(tblLaborEntries[Work date serial],tblLaborEntries[Work package ID],tblWorkPackages[[#This Row],[Work package ID]])</f>
        <v>45731.0</v>
      </c>
      <c r="AB871" s="65">
        <f>IF(tblWorkPackages[[#This Row],[Completion date serial]]&gt;tblWorkPackages[[#This Row],[Due date serial]],1,0)</f>
        <v>1</v>
      </c>
      <c r="AC871" s="65">
        <f>MAX(0,tblWorkPackages[[#This Row],[Completion date serial]]-tblWorkPackages[[#This Row],[Due date serial]])</f>
        <v>6</v>
      </c>
      <c r="AD871" s="65">
        <f>tblWorkPackages[[#This Row],[First labor date]]-tblWorkPackages[[#This Row],[Request date serial]]</f>
        <v>11</v>
      </c>
      <c r="AE871" s="65">
        <f>tblWorkPackages[[#This Row],[Last labor date]]-tblWorkPackages[[#This Row],[First labor date]]</f>
        <v>0</v>
      </c>
      <c r="AF871" s="65">
        <f>tblWorkPackages[[#This Row],[Completion date serial]]-tblWorkPackages[[#This Row],[Last labor date]]</f>
        <v>1</v>
      </c>
      <c r="AG871" s="65">
        <f>tblWorkPackages[[#This Row],[Completion date serial]]-tblWorkPackages[[#This Row],[Request date serial]]</f>
        <v>12</v>
      </c>
      <c r="AH871" s="65">
        <f>IFERROR(INDEX(tblParts[Delay days],MATCH(tblWorkPackages[[#This Row],[Work package ID]],tblParts[Work package ID],0)),0)</f>
        <v>0</v>
      </c>
      <c r="AI871" s="51" t="str">
        <f>IFERROR(INDEX(tblDisruptions[Event type],MATCH(tblWorkPackages[[#This Row],[Work package ID]],tblDisruptions[Work package ID],0)),"None")</f>
        <v>None</v>
      </c>
      <c r="AJ871" s="51" t="str">
        <f>TEXT(tblWorkPackages[[#This Row],[Due date serial]],"yyyy-mm")</f>
        <v>2025-03</v>
      </c>
    </row>
    <row r="872" spans="1:36" ht="15" x14ac:dyDescent="0.25">
      <c r="A872" s="53" t="s">
        <v>1758</v>
      </c>
      <c r="B872" s="53" t="s">
        <v>287</v>
      </c>
      <c r="C872" s="53" t="s">
        <v>477</v>
      </c>
      <c r="D872" s="53" t="s">
        <v>1100</v>
      </c>
      <c r="E872" s="53" t="s">
        <v>153</v>
      </c>
      <c r="F872" s="53" t="s">
        <v>128</v>
      </c>
      <c r="G872" s="53" t="s">
        <v>154</v>
      </c>
      <c r="H872" s="53">
        <v>3</v>
      </c>
      <c r="I872" s="53" t="s">
        <v>176</v>
      </c>
      <c r="J872" s="53">
        <v>1</v>
      </c>
      <c r="K872" s="53">
        <v>0</v>
      </c>
      <c r="L872" s="53">
        <v>14.1</v>
      </c>
      <c r="M872" s="53" t="s">
        <v>1627</v>
      </c>
      <c r="N872" s="53">
        <v>14.2</v>
      </c>
      <c r="O872" s="51" t="str">
        <f>TEXT(tblWorkPackages[[#This Row],[Request date serial]]-WEEKDAY(tblWorkPackages[[#This Row],[Request date serial]],3),"yyyy-mm-dd")</f>
        <v>2025-02-10</v>
      </c>
      <c r="P872" s="51">
        <f>ABS(tblWorkPackages[[#This Row],[Actual labor hours]]-tblWorkPackages[[#This Row],[Estimated labor hours]])</f>
        <v>0.0999999999999996</v>
      </c>
      <c r="Q872" s="51">
        <f>IF(tblWorkPackages[[#This Row],[Actual labor hours]]&gt;tblWorkPackages[[#This Row],[Estimated labor hours]],1,0)</f>
        <v>1</v>
      </c>
      <c r="R872" s="51">
        <f>tblWorkPackages[[#This Row],[Actual labor hours]]-tblWorkPackages[[#This Row],[Estimated labor hours]]</f>
        <v>0.0999999999999996</v>
      </c>
      <c r="S872" s="51" t="str">
        <f>IF(tblWorkPackages[[#This Row],[Request date serial]]&lt;ValidationStart,"Train 2024",IF(tblWorkPackages[[#This Row],[Request date serial]]&lt;HoldoutStart,"Validation H1","Holdout H2"))</f>
        <v>Validation H1</v>
      </c>
      <c r="T872" s="51">
        <f>IF(tblWorkPackages[[#This Row],[Time split]]="Train 2024","",tblWorkPackages[[#This Row],[Estimated labor hours]]+VLOOKUP(tblWorkPackages[[#This Row],[Task type]],'Forecast validation'!$A$14:$E$25,IF(tblWorkPackages[[#This Row],[Time split]]="Validation H1",4,5),FALSE()))</f>
        <v>14.6462264150943</v>
      </c>
      <c r="U872" s="51">
        <f>IF(tblWorkPackages[[#This Row],[Calibrated forecast hours]]="","",ABS(tblWorkPackages[[#This Row],[Actual labor hours]]-tblWorkPackages[[#This Row],[Calibrated forecast hours]]))</f>
        <v>0.44622641509434</v>
      </c>
      <c r="V872" s="51">
        <f>IF(tblWorkPackages[[#This Row],[Time split]]="Train 2024",tblWorkPackages[[#This Row],[Estimated labor hours]],tblWorkPackages[[#This Row],[Calibrated forecast hours]])</f>
        <v>14.6462264150943</v>
      </c>
      <c r="W872" s="64">
        <f>DATEVALUE(tblWorkPackages[[#This Row],[Request date]])</f>
        <v>45699.0</v>
      </c>
      <c r="X872" s="64">
        <f>DATEVALUE(tblWorkPackages[[#This Row],[Due date]])</f>
        <v>45705.0</v>
      </c>
      <c r="Y872" s="64">
        <f>DATEVALUE(tblWorkPackages[[#This Row],[Completion date]])</f>
        <v>45704.0</v>
      </c>
      <c r="Z872" s="64">
        <f>_xlfn.MINIFS(tblLaborEntries[Work date serial],tblLaborEntries[Work package ID],tblWorkPackages[[#This Row],[Work package ID]])</f>
        <v>45702.0</v>
      </c>
      <c r="AA872" s="64">
        <f>_xlfn.MAXIFS(tblLaborEntries[Work date serial],tblLaborEntries[Work package ID],tblWorkPackages[[#This Row],[Work package ID]])</f>
        <v>45702.0</v>
      </c>
      <c r="AB872" s="65">
        <f>IF(tblWorkPackages[[#This Row],[Completion date serial]]&gt;tblWorkPackages[[#This Row],[Due date serial]],1,0)</f>
        <v>0</v>
      </c>
      <c r="AC872" s="65">
        <f>MAX(0,tblWorkPackages[[#This Row],[Completion date serial]]-tblWorkPackages[[#This Row],[Due date serial]])</f>
        <v>0</v>
      </c>
      <c r="AD872" s="65">
        <f>tblWorkPackages[[#This Row],[First labor date]]-tblWorkPackages[[#This Row],[Request date serial]]</f>
        <v>3</v>
      </c>
      <c r="AE872" s="65">
        <f>tblWorkPackages[[#This Row],[Last labor date]]-tblWorkPackages[[#This Row],[First labor date]]</f>
        <v>0</v>
      </c>
      <c r="AF872" s="65">
        <f>tblWorkPackages[[#This Row],[Completion date serial]]-tblWorkPackages[[#This Row],[Last labor date]]</f>
        <v>2</v>
      </c>
      <c r="AG872" s="65">
        <f>tblWorkPackages[[#This Row],[Completion date serial]]-tblWorkPackages[[#This Row],[Request date serial]]</f>
        <v>5</v>
      </c>
      <c r="AH872" s="65">
        <f>IFERROR(INDEX(tblParts[Delay days],MATCH(tblWorkPackages[[#This Row],[Work package ID]],tblParts[Work package ID],0)),0)</f>
        <v>0</v>
      </c>
      <c r="AI872" s="51" t="str">
        <f>IFERROR(INDEX(tblDisruptions[Event type],MATCH(tblWorkPackages[[#This Row],[Work package ID]],tblDisruptions[Work package ID],0)),"None")</f>
        <v>None</v>
      </c>
      <c r="AJ872" s="51" t="str">
        <f>TEXT(tblWorkPackages[[#This Row],[Due date serial]],"yyyy-mm")</f>
        <v>2025-02</v>
      </c>
    </row>
    <row r="873" spans="1:36" ht="15" x14ac:dyDescent="0.25">
      <c r="A873" s="53" t="s">
        <v>1759</v>
      </c>
      <c r="B873" s="53" t="s">
        <v>235</v>
      </c>
      <c r="C873" s="53" t="s">
        <v>315</v>
      </c>
      <c r="D873" s="53" t="s">
        <v>316</v>
      </c>
      <c r="E873" s="53" t="s">
        <v>272</v>
      </c>
      <c r="F873" s="53" t="s">
        <v>145</v>
      </c>
      <c r="G873" s="53" t="s">
        <v>273</v>
      </c>
      <c r="H873" s="53">
        <v>3</v>
      </c>
      <c r="I873" s="53" t="s">
        <v>130</v>
      </c>
      <c r="J873" s="53">
        <v>0</v>
      </c>
      <c r="K873" s="53">
        <v>0</v>
      </c>
      <c r="L873" s="53">
        <v>17.3</v>
      </c>
      <c r="M873" s="53" t="s">
        <v>339</v>
      </c>
      <c r="N873" s="53">
        <v>21.5</v>
      </c>
      <c r="O873" s="51" t="str">
        <f>TEXT(tblWorkPackages[[#This Row],[Request date serial]]-WEEKDAY(tblWorkPackages[[#This Row],[Request date serial]],3),"yyyy-mm-dd")</f>
        <v>2024-04-08</v>
      </c>
      <c r="P873" s="51">
        <f>ABS(tblWorkPackages[[#This Row],[Actual labor hours]]-tblWorkPackages[[#This Row],[Estimated labor hours]])</f>
        <v>4.2</v>
      </c>
      <c r="Q873" s="51">
        <f>IF(tblWorkPackages[[#This Row],[Actual labor hours]]&gt;tblWorkPackages[[#This Row],[Estimated labor hours]],1,0)</f>
        <v>1</v>
      </c>
      <c r="R873" s="51">
        <f>tblWorkPackages[[#This Row],[Actual labor hours]]-tblWorkPackages[[#This Row],[Estimated labor hours]]</f>
        <v>4.2</v>
      </c>
      <c r="S873" s="51" t="str">
        <f>IF(tblWorkPackages[[#This Row],[Request date serial]]&lt;ValidationStart,"Train 2024",IF(tblWorkPackages[[#This Row],[Request date serial]]&lt;HoldoutStart,"Validation H1","Holdout H2"))</f>
        <v>Train 2024</v>
      </c>
      <c r="T873" s="51" t="str">
        <f>IF(tblWorkPackages[[#This Row],[Time split]]="Train 2024","",tblWorkPackages[[#This Row],[Estimated labor hours]]+VLOOKUP(tblWorkPackages[[#This Row],[Task type]],'Forecast validation'!$A$14:$E$25,IF(tblWorkPackages[[#This Row],[Time split]]="Validation H1",4,5),FALSE()))</f>
        <v/>
      </c>
      <c r="U873" s="51" t="str">
        <f>IF(tblWorkPackages[[#This Row],[Calibrated forecast hours]]="","",ABS(tblWorkPackages[[#This Row],[Actual labor hours]]-tblWorkPackages[[#This Row],[Calibrated forecast hours]]))</f>
        <v/>
      </c>
      <c r="V873" s="51">
        <f>IF(tblWorkPackages[[#This Row],[Time split]]="Train 2024",tblWorkPackages[[#This Row],[Estimated labor hours]],tblWorkPackages[[#This Row],[Calibrated forecast hours]])</f>
        <v>17.3</v>
      </c>
      <c r="W873" s="64">
        <f>DATEVALUE(tblWorkPackages[[#This Row],[Request date]])</f>
        <v>45390.0</v>
      </c>
      <c r="X873" s="64">
        <f>DATEVALUE(tblWorkPackages[[#This Row],[Due date]])</f>
        <v>45403.0</v>
      </c>
      <c r="Y873" s="64">
        <f>DATEVALUE(tblWorkPackages[[#This Row],[Completion date]])</f>
        <v>45426.0</v>
      </c>
      <c r="Z873" s="64">
        <f>_xlfn.MINIFS(tblLaborEntries[Work date serial],tblLaborEntries[Work package ID],tblWorkPackages[[#This Row],[Work package ID]])</f>
        <v>45423.0</v>
      </c>
      <c r="AA873" s="64">
        <f>_xlfn.MAXIFS(tblLaborEntries[Work date serial],tblLaborEntries[Work package ID],tblWorkPackages[[#This Row],[Work package ID]])</f>
        <v>45423.0</v>
      </c>
      <c r="AB873" s="65">
        <f>IF(tblWorkPackages[[#This Row],[Completion date serial]]&gt;tblWorkPackages[[#This Row],[Due date serial]],1,0)</f>
        <v>1</v>
      </c>
      <c r="AC873" s="65">
        <f>MAX(0,tblWorkPackages[[#This Row],[Completion date serial]]-tblWorkPackages[[#This Row],[Due date serial]])</f>
        <v>23</v>
      </c>
      <c r="AD873" s="65">
        <f>tblWorkPackages[[#This Row],[First labor date]]-tblWorkPackages[[#This Row],[Request date serial]]</f>
        <v>33</v>
      </c>
      <c r="AE873" s="65">
        <f>tblWorkPackages[[#This Row],[Last labor date]]-tblWorkPackages[[#This Row],[First labor date]]</f>
        <v>0</v>
      </c>
      <c r="AF873" s="65">
        <f>tblWorkPackages[[#This Row],[Completion date serial]]-tblWorkPackages[[#This Row],[Last labor date]]</f>
        <v>3</v>
      </c>
      <c r="AG873" s="65">
        <f>tblWorkPackages[[#This Row],[Completion date serial]]-tblWorkPackages[[#This Row],[Request date serial]]</f>
        <v>36</v>
      </c>
      <c r="AH873" s="65">
        <f>IFERROR(INDEX(tblParts[Delay days],MATCH(tblWorkPackages[[#This Row],[Work package ID]],tblParts[Work package ID],0)),0)</f>
        <v>0</v>
      </c>
      <c r="AI873" s="51" t="str">
        <f>IFERROR(INDEX(tblDisruptions[Event type],MATCH(tblWorkPackages[[#This Row],[Work package ID]],tblDisruptions[Work package ID],0)),"None")</f>
        <v>None</v>
      </c>
      <c r="AJ873" s="51" t="str">
        <f>TEXT(tblWorkPackages[[#This Row],[Due date serial]],"yyyy-mm")</f>
        <v>2024-04</v>
      </c>
    </row>
    <row r="874" spans="1:36" ht="15" x14ac:dyDescent="0.25">
      <c r="A874" s="53" t="s">
        <v>1760</v>
      </c>
      <c r="B874" s="53" t="s">
        <v>133</v>
      </c>
      <c r="C874" s="53" t="s">
        <v>1285</v>
      </c>
      <c r="D874" s="53" t="s">
        <v>1211</v>
      </c>
      <c r="E874" s="53" t="s">
        <v>181</v>
      </c>
      <c r="F874" s="53" t="s">
        <v>182</v>
      </c>
      <c r="G874" s="53" t="s">
        <v>138</v>
      </c>
      <c r="H874" s="53">
        <v>3</v>
      </c>
      <c r="I874" s="53" t="s">
        <v>176</v>
      </c>
      <c r="J874" s="53">
        <v>0</v>
      </c>
      <c r="K874" s="53">
        <v>0</v>
      </c>
      <c r="L874" s="53">
        <v>10.5</v>
      </c>
      <c r="M874" s="53" t="s">
        <v>425</v>
      </c>
      <c r="N874" s="53">
        <v>10.199999999999999</v>
      </c>
      <c r="O874" s="51" t="str">
        <f>TEXT(tblWorkPackages[[#This Row],[Request date serial]]-WEEKDAY(tblWorkPackages[[#This Row],[Request date serial]],3),"yyyy-mm-dd")</f>
        <v>2025-06-02</v>
      </c>
      <c r="P874" s="51">
        <f>ABS(tblWorkPackages[[#This Row],[Actual labor hours]]-tblWorkPackages[[#This Row],[Estimated labor hours]])</f>
        <v>0.300000000000001</v>
      </c>
      <c r="Q874" s="51">
        <f>IF(tblWorkPackages[[#This Row],[Actual labor hours]]&gt;tblWorkPackages[[#This Row],[Estimated labor hours]],1,0)</f>
        <v>0</v>
      </c>
      <c r="R874" s="51">
        <f>tblWorkPackages[[#This Row],[Actual labor hours]]-tblWorkPackages[[#This Row],[Estimated labor hours]]</f>
        <v>-0.300000000000001</v>
      </c>
      <c r="S874" s="51" t="str">
        <f>IF(tblWorkPackages[[#This Row],[Request date serial]]&lt;ValidationStart,"Train 2024",IF(tblWorkPackages[[#This Row],[Request date serial]]&lt;HoldoutStart,"Validation H1","Holdout H2"))</f>
        <v>Validation H1</v>
      </c>
      <c r="T874" s="51">
        <f>IF(tblWorkPackages[[#This Row],[Time split]]="Train 2024","",tblWorkPackages[[#This Row],[Estimated labor hours]]+VLOOKUP(tblWorkPackages[[#This Row],[Task type]],'Forecast validation'!$A$14:$E$25,IF(tblWorkPackages[[#This Row],[Time split]]="Validation H1",4,5),FALSE()))</f>
        <v>11.0840909090909</v>
      </c>
      <c r="U874" s="51">
        <f>IF(tblWorkPackages[[#This Row],[Calibrated forecast hours]]="","",ABS(tblWorkPackages[[#This Row],[Actual labor hours]]-tblWorkPackages[[#This Row],[Calibrated forecast hours]]))</f>
        <v>0.88409090909091</v>
      </c>
      <c r="V874" s="51">
        <f>IF(tblWorkPackages[[#This Row],[Time split]]="Train 2024",tblWorkPackages[[#This Row],[Estimated labor hours]],tblWorkPackages[[#This Row],[Calibrated forecast hours]])</f>
        <v>11.0840909090909</v>
      </c>
      <c r="W874" s="64">
        <f>DATEVALUE(tblWorkPackages[[#This Row],[Request date]])</f>
        <v>45812.0</v>
      </c>
      <c r="X874" s="64">
        <f>DATEVALUE(tblWorkPackages[[#This Row],[Due date]])</f>
        <v>45818.0</v>
      </c>
      <c r="Y874" s="64">
        <f>DATEVALUE(tblWorkPackages[[#This Row],[Completion date]])</f>
        <v>45820.0</v>
      </c>
      <c r="Z874" s="64">
        <f>_xlfn.MINIFS(tblLaborEntries[Work date serial],tblLaborEntries[Work package ID],tblWorkPackages[[#This Row],[Work package ID]])</f>
        <v>45818.0</v>
      </c>
      <c r="AA874" s="64">
        <f>_xlfn.MAXIFS(tblLaborEntries[Work date serial],tblLaborEntries[Work package ID],tblWorkPackages[[#This Row],[Work package ID]])</f>
        <v>45820.0</v>
      </c>
      <c r="AB874" s="65">
        <f>IF(tblWorkPackages[[#This Row],[Completion date serial]]&gt;tblWorkPackages[[#This Row],[Due date serial]],1,0)</f>
        <v>1</v>
      </c>
      <c r="AC874" s="65">
        <f>MAX(0,tblWorkPackages[[#This Row],[Completion date serial]]-tblWorkPackages[[#This Row],[Due date serial]])</f>
        <v>2</v>
      </c>
      <c r="AD874" s="65">
        <f>tblWorkPackages[[#This Row],[First labor date]]-tblWorkPackages[[#This Row],[Request date serial]]</f>
        <v>6</v>
      </c>
      <c r="AE874" s="65">
        <f>tblWorkPackages[[#This Row],[Last labor date]]-tblWorkPackages[[#This Row],[First labor date]]</f>
        <v>2</v>
      </c>
      <c r="AF874" s="65">
        <f>tblWorkPackages[[#This Row],[Completion date serial]]-tblWorkPackages[[#This Row],[Last labor date]]</f>
        <v>0</v>
      </c>
      <c r="AG874" s="65">
        <f>tblWorkPackages[[#This Row],[Completion date serial]]-tblWorkPackages[[#This Row],[Request date serial]]</f>
        <v>8</v>
      </c>
      <c r="AH874" s="65">
        <f>IFERROR(INDEX(tblParts[Delay days],MATCH(tblWorkPackages[[#This Row],[Work package ID]],tblParts[Work package ID],0)),0)</f>
        <v>0</v>
      </c>
      <c r="AI874" s="51" t="str">
        <f>IFERROR(INDEX(tblDisruptions[Event type],MATCH(tblWorkPackages[[#This Row],[Work package ID]],tblDisruptions[Work package ID],0)),"None")</f>
        <v>None</v>
      </c>
      <c r="AJ874" s="51" t="str">
        <f>TEXT(tblWorkPackages[[#This Row],[Due date serial]],"yyyy-mm")</f>
        <v>2025-06</v>
      </c>
    </row>
    <row r="875" spans="1:36" ht="15" x14ac:dyDescent="0.25">
      <c r="A875" s="53" t="s">
        <v>1761</v>
      </c>
      <c r="B875" s="53" t="s">
        <v>157</v>
      </c>
      <c r="C875" s="53" t="s">
        <v>339</v>
      </c>
      <c r="D875" s="53" t="s">
        <v>726</v>
      </c>
      <c r="E875" s="53" t="s">
        <v>237</v>
      </c>
      <c r="F875" s="53" t="s">
        <v>182</v>
      </c>
      <c r="G875" s="53" t="s">
        <v>138</v>
      </c>
      <c r="H875" s="53">
        <v>2</v>
      </c>
      <c r="I875" s="53" t="s">
        <v>176</v>
      </c>
      <c r="J875" s="53">
        <v>0</v>
      </c>
      <c r="K875" s="53">
        <v>0</v>
      </c>
      <c r="L875" s="53">
        <v>5.3</v>
      </c>
      <c r="M875" s="53" t="s">
        <v>633</v>
      </c>
      <c r="N875" s="53">
        <v>4.5</v>
      </c>
      <c r="O875" s="51" t="str">
        <f>TEXT(tblWorkPackages[[#This Row],[Request date serial]]-WEEKDAY(tblWorkPackages[[#This Row],[Request date serial]],3),"yyyy-mm-dd")</f>
        <v>2024-05-13</v>
      </c>
      <c r="P875" s="51">
        <f>ABS(tblWorkPackages[[#This Row],[Actual labor hours]]-tblWorkPackages[[#This Row],[Estimated labor hours]])</f>
        <v>0.8</v>
      </c>
      <c r="Q875" s="51">
        <f>IF(tblWorkPackages[[#This Row],[Actual labor hours]]&gt;tblWorkPackages[[#This Row],[Estimated labor hours]],1,0)</f>
        <v>0</v>
      </c>
      <c r="R875" s="51">
        <f>tblWorkPackages[[#This Row],[Actual labor hours]]-tblWorkPackages[[#This Row],[Estimated labor hours]]</f>
        <v>-0.8</v>
      </c>
      <c r="S875" s="51" t="str">
        <f>IF(tblWorkPackages[[#This Row],[Request date serial]]&lt;ValidationStart,"Train 2024",IF(tblWorkPackages[[#This Row],[Request date serial]]&lt;HoldoutStart,"Validation H1","Holdout H2"))</f>
        <v>Train 2024</v>
      </c>
      <c r="T875" s="51" t="str">
        <f>IF(tblWorkPackages[[#This Row],[Time split]]="Train 2024","",tblWorkPackages[[#This Row],[Estimated labor hours]]+VLOOKUP(tblWorkPackages[[#This Row],[Task type]],'Forecast validation'!$A$14:$E$25,IF(tblWorkPackages[[#This Row],[Time split]]="Validation H1",4,5),FALSE()))</f>
        <v/>
      </c>
      <c r="U875" s="51" t="str">
        <f>IF(tblWorkPackages[[#This Row],[Calibrated forecast hours]]="","",ABS(tblWorkPackages[[#This Row],[Actual labor hours]]-tblWorkPackages[[#This Row],[Calibrated forecast hours]]))</f>
        <v/>
      </c>
      <c r="V875" s="51">
        <f>IF(tblWorkPackages[[#This Row],[Time split]]="Train 2024",tblWorkPackages[[#This Row],[Estimated labor hours]],tblWorkPackages[[#This Row],[Calibrated forecast hours]])</f>
        <v>5.3</v>
      </c>
      <c r="W875" s="64">
        <f>DATEVALUE(tblWorkPackages[[#This Row],[Request date]])</f>
        <v>45426.0</v>
      </c>
      <c r="X875" s="64">
        <f>DATEVALUE(tblWorkPackages[[#This Row],[Due date]])</f>
        <v>45432.0</v>
      </c>
      <c r="Y875" s="64">
        <f>DATEVALUE(tblWorkPackages[[#This Row],[Completion date]])</f>
        <v>45431.0</v>
      </c>
      <c r="Z875" s="64">
        <f>_xlfn.MINIFS(tblLaborEntries[Work date serial],tblLaborEntries[Work package ID],tblWorkPackages[[#This Row],[Work package ID]])</f>
        <v>45428.0</v>
      </c>
      <c r="AA875" s="64">
        <f>_xlfn.MAXIFS(tblLaborEntries[Work date serial],tblLaborEntries[Work package ID],tblWorkPackages[[#This Row],[Work package ID]])</f>
        <v>45430.0</v>
      </c>
      <c r="AB875" s="65">
        <f>IF(tblWorkPackages[[#This Row],[Completion date serial]]&gt;tblWorkPackages[[#This Row],[Due date serial]],1,0)</f>
        <v>0</v>
      </c>
      <c r="AC875" s="65">
        <f>MAX(0,tblWorkPackages[[#This Row],[Completion date serial]]-tblWorkPackages[[#This Row],[Due date serial]])</f>
        <v>0</v>
      </c>
      <c r="AD875" s="65">
        <f>tblWorkPackages[[#This Row],[First labor date]]-tblWorkPackages[[#This Row],[Request date serial]]</f>
        <v>2</v>
      </c>
      <c r="AE875" s="65">
        <f>tblWorkPackages[[#This Row],[Last labor date]]-tblWorkPackages[[#This Row],[First labor date]]</f>
        <v>2</v>
      </c>
      <c r="AF875" s="65">
        <f>tblWorkPackages[[#This Row],[Completion date serial]]-tblWorkPackages[[#This Row],[Last labor date]]</f>
        <v>1</v>
      </c>
      <c r="AG875" s="65">
        <f>tblWorkPackages[[#This Row],[Completion date serial]]-tblWorkPackages[[#This Row],[Request date serial]]</f>
        <v>5</v>
      </c>
      <c r="AH875" s="65">
        <f>IFERROR(INDEX(tblParts[Delay days],MATCH(tblWorkPackages[[#This Row],[Work package ID]],tblParts[Work package ID],0)),0)</f>
        <v>0</v>
      </c>
      <c r="AI875" s="51" t="str">
        <f>IFERROR(INDEX(tblDisruptions[Event type],MATCH(tblWorkPackages[[#This Row],[Work package ID]],tblDisruptions[Work package ID],0)),"None")</f>
        <v>None</v>
      </c>
      <c r="AJ875" s="51" t="str">
        <f>TEXT(tblWorkPackages[[#This Row],[Due date serial]],"yyyy-mm")</f>
        <v>2024-05</v>
      </c>
    </row>
    <row r="876" spans="1:36" ht="15" x14ac:dyDescent="0.25">
      <c r="A876" s="53" t="s">
        <v>1762</v>
      </c>
      <c r="B876" s="53" t="s">
        <v>141</v>
      </c>
      <c r="C876" s="53" t="s">
        <v>277</v>
      </c>
      <c r="D876" s="53" t="s">
        <v>1419</v>
      </c>
      <c r="E876" s="53" t="s">
        <v>272</v>
      </c>
      <c r="F876" s="53" t="s">
        <v>145</v>
      </c>
      <c r="G876" s="53" t="s">
        <v>273</v>
      </c>
      <c r="H876" s="53">
        <v>4</v>
      </c>
      <c r="I876" s="53" t="s">
        <v>176</v>
      </c>
      <c r="J876" s="53">
        <v>0</v>
      </c>
      <c r="K876" s="53">
        <v>1</v>
      </c>
      <c r="L876" s="53">
        <v>18.3</v>
      </c>
      <c r="M876" s="53" t="s">
        <v>794</v>
      </c>
      <c r="N876" s="53">
        <v>20.5</v>
      </c>
      <c r="O876" s="51" t="str">
        <f>TEXT(tblWorkPackages[[#This Row],[Request date serial]]-WEEKDAY(tblWorkPackages[[#This Row],[Request date serial]],3),"yyyy-mm-dd")</f>
        <v>2024-10-21</v>
      </c>
      <c r="P876" s="51">
        <f>ABS(tblWorkPackages[[#This Row],[Actual labor hours]]-tblWorkPackages[[#This Row],[Estimated labor hours]])</f>
        <v>2.2</v>
      </c>
      <c r="Q876" s="51">
        <f>IF(tblWorkPackages[[#This Row],[Actual labor hours]]&gt;tblWorkPackages[[#This Row],[Estimated labor hours]],1,0)</f>
        <v>1</v>
      </c>
      <c r="R876" s="51">
        <f>tblWorkPackages[[#This Row],[Actual labor hours]]-tblWorkPackages[[#This Row],[Estimated labor hours]]</f>
        <v>2.2</v>
      </c>
      <c r="S876" s="51" t="str">
        <f>IF(tblWorkPackages[[#This Row],[Request date serial]]&lt;ValidationStart,"Train 2024",IF(tblWorkPackages[[#This Row],[Request date serial]]&lt;HoldoutStart,"Validation H1","Holdout H2"))</f>
        <v>Train 2024</v>
      </c>
      <c r="T876" s="51" t="str">
        <f>IF(tblWorkPackages[[#This Row],[Time split]]="Train 2024","",tblWorkPackages[[#This Row],[Estimated labor hours]]+VLOOKUP(tblWorkPackages[[#This Row],[Task type]],'Forecast validation'!$A$14:$E$25,IF(tblWorkPackages[[#This Row],[Time split]]="Validation H1",4,5),FALSE()))</f>
        <v/>
      </c>
      <c r="U876" s="51" t="str">
        <f>IF(tblWorkPackages[[#This Row],[Calibrated forecast hours]]="","",ABS(tblWorkPackages[[#This Row],[Actual labor hours]]-tblWorkPackages[[#This Row],[Calibrated forecast hours]]))</f>
        <v/>
      </c>
      <c r="V876" s="51">
        <f>IF(tblWorkPackages[[#This Row],[Time split]]="Train 2024",tblWorkPackages[[#This Row],[Estimated labor hours]],tblWorkPackages[[#This Row],[Calibrated forecast hours]])</f>
        <v>18.3</v>
      </c>
      <c r="W876" s="64">
        <f>DATEVALUE(tblWorkPackages[[#This Row],[Request date]])</f>
        <v>45592.0</v>
      </c>
      <c r="X876" s="64">
        <f>DATEVALUE(tblWorkPackages[[#This Row],[Due date]])</f>
        <v>45598.0</v>
      </c>
      <c r="Y876" s="64">
        <f>DATEVALUE(tblWorkPackages[[#This Row],[Completion date]])</f>
        <v>45610.0</v>
      </c>
      <c r="Z876" s="64">
        <f>_xlfn.MINIFS(tblLaborEntries[Work date serial],tblLaborEntries[Work package ID],tblWorkPackages[[#This Row],[Work package ID]])</f>
        <v>45607.0</v>
      </c>
      <c r="AA876" s="64">
        <f>_xlfn.MAXIFS(tblLaborEntries[Work date serial],tblLaborEntries[Work package ID],tblWorkPackages[[#This Row],[Work package ID]])</f>
        <v>45608.0</v>
      </c>
      <c r="AB876" s="65">
        <f>IF(tblWorkPackages[[#This Row],[Completion date serial]]&gt;tblWorkPackages[[#This Row],[Due date serial]],1,0)</f>
        <v>1</v>
      </c>
      <c r="AC876" s="65">
        <f>MAX(0,tblWorkPackages[[#This Row],[Completion date serial]]-tblWorkPackages[[#This Row],[Due date serial]])</f>
        <v>12</v>
      </c>
      <c r="AD876" s="65">
        <f>tblWorkPackages[[#This Row],[First labor date]]-tblWorkPackages[[#This Row],[Request date serial]]</f>
        <v>15</v>
      </c>
      <c r="AE876" s="65">
        <f>tblWorkPackages[[#This Row],[Last labor date]]-tblWorkPackages[[#This Row],[First labor date]]</f>
        <v>1</v>
      </c>
      <c r="AF876" s="65">
        <f>tblWorkPackages[[#This Row],[Completion date serial]]-tblWorkPackages[[#This Row],[Last labor date]]</f>
        <v>2</v>
      </c>
      <c r="AG876" s="65">
        <f>tblWorkPackages[[#This Row],[Completion date serial]]-tblWorkPackages[[#This Row],[Request date serial]]</f>
        <v>18</v>
      </c>
      <c r="AH876" s="65">
        <f>IFERROR(INDEX(tblParts[Delay days],MATCH(tblWorkPackages[[#This Row],[Work package ID]],tblParts[Work package ID],0)),0)</f>
        <v>0</v>
      </c>
      <c r="AI876" s="51" t="str">
        <f>IFERROR(INDEX(tblDisruptions[Event type],MATCH(tblWorkPackages[[#This Row],[Work package ID]],tblDisruptions[Work package ID],0)),"None")</f>
        <v>None</v>
      </c>
      <c r="AJ876" s="51" t="str">
        <f>TEXT(tblWorkPackages[[#This Row],[Due date serial]],"yyyy-mm")</f>
        <v>2024-11</v>
      </c>
    </row>
    <row r="877" spans="1:36" ht="15" x14ac:dyDescent="0.25">
      <c r="A877" s="53" t="s">
        <v>1763</v>
      </c>
      <c r="B877" s="53" t="s">
        <v>235</v>
      </c>
      <c r="C877" s="53" t="s">
        <v>1087</v>
      </c>
      <c r="D877" s="53" t="s">
        <v>567</v>
      </c>
      <c r="E877" s="53" t="s">
        <v>127</v>
      </c>
      <c r="F877" s="53" t="s">
        <v>128</v>
      </c>
      <c r="G877" s="53" t="s">
        <v>129</v>
      </c>
      <c r="H877" s="53">
        <v>3</v>
      </c>
      <c r="I877" s="53" t="s">
        <v>130</v>
      </c>
      <c r="J877" s="53">
        <v>0</v>
      </c>
      <c r="K877" s="53">
        <v>0</v>
      </c>
      <c r="L877" s="53">
        <v>10.6</v>
      </c>
      <c r="M877" s="53" t="s">
        <v>751</v>
      </c>
      <c r="N877" s="53">
        <v>9</v>
      </c>
      <c r="O877" s="51" t="str">
        <f>TEXT(tblWorkPackages[[#This Row],[Request date serial]]-WEEKDAY(tblWorkPackages[[#This Row],[Request date serial]],3),"yyyy-mm-dd")</f>
        <v>2025-05-05</v>
      </c>
      <c r="P877" s="51">
        <f>ABS(tblWorkPackages[[#This Row],[Actual labor hours]]-tblWorkPackages[[#This Row],[Estimated labor hours]])</f>
        <v>1.6</v>
      </c>
      <c r="Q877" s="51">
        <f>IF(tblWorkPackages[[#This Row],[Actual labor hours]]&gt;tblWorkPackages[[#This Row],[Estimated labor hours]],1,0)</f>
        <v>0</v>
      </c>
      <c r="R877" s="51">
        <f>tblWorkPackages[[#This Row],[Actual labor hours]]-tblWorkPackages[[#This Row],[Estimated labor hours]]</f>
        <v>-1.6</v>
      </c>
      <c r="S877" s="51" t="str">
        <f>IF(tblWorkPackages[[#This Row],[Request date serial]]&lt;ValidationStart,"Train 2024",IF(tblWorkPackages[[#This Row],[Request date serial]]&lt;HoldoutStart,"Validation H1","Holdout H2"))</f>
        <v>Validation H1</v>
      </c>
      <c r="T877" s="51">
        <f>IF(tblWorkPackages[[#This Row],[Time split]]="Train 2024","",tblWorkPackages[[#This Row],[Estimated labor hours]]+VLOOKUP(tblWorkPackages[[#This Row],[Task type]],'Forecast validation'!$A$14:$E$25,IF(tblWorkPackages[[#This Row],[Time split]]="Validation H1",4,5),FALSE()))</f>
        <v>11.075641025641</v>
      </c>
      <c r="U877" s="51">
        <f>IF(tblWorkPackages[[#This Row],[Calibrated forecast hours]]="","",ABS(tblWorkPackages[[#This Row],[Actual labor hours]]-tblWorkPackages[[#This Row],[Calibrated forecast hours]]))</f>
        <v>2.07564102564102</v>
      </c>
      <c r="V877" s="51">
        <f>IF(tblWorkPackages[[#This Row],[Time split]]="Train 2024",tblWorkPackages[[#This Row],[Estimated labor hours]],tblWorkPackages[[#This Row],[Calibrated forecast hours]])</f>
        <v>11.075641025641</v>
      </c>
      <c r="W877" s="64">
        <f>DATEVALUE(tblWorkPackages[[#This Row],[Request date]])</f>
        <v>45787.0</v>
      </c>
      <c r="X877" s="64">
        <f>DATEVALUE(tblWorkPackages[[#This Row],[Due date]])</f>
        <v>45800.0</v>
      </c>
      <c r="Y877" s="64">
        <f>DATEVALUE(tblWorkPackages[[#This Row],[Completion date]])</f>
        <v>45795.0</v>
      </c>
      <c r="Z877" s="64">
        <f>_xlfn.MINIFS(tblLaborEntries[Work date serial],tblLaborEntries[Work package ID],tblWorkPackages[[#This Row],[Work package ID]])</f>
        <v>45791.0</v>
      </c>
      <c r="AA877" s="64">
        <f>_xlfn.MAXIFS(tblLaborEntries[Work date serial],tblLaborEntries[Work package ID],tblWorkPackages[[#This Row],[Work package ID]])</f>
        <v>45792.0</v>
      </c>
      <c r="AB877" s="65">
        <f>IF(tblWorkPackages[[#This Row],[Completion date serial]]&gt;tblWorkPackages[[#This Row],[Due date serial]],1,0)</f>
        <v>0</v>
      </c>
      <c r="AC877" s="65">
        <f>MAX(0,tblWorkPackages[[#This Row],[Completion date serial]]-tblWorkPackages[[#This Row],[Due date serial]])</f>
        <v>0</v>
      </c>
      <c r="AD877" s="65">
        <f>tblWorkPackages[[#This Row],[First labor date]]-tblWorkPackages[[#This Row],[Request date serial]]</f>
        <v>4</v>
      </c>
      <c r="AE877" s="65">
        <f>tblWorkPackages[[#This Row],[Last labor date]]-tblWorkPackages[[#This Row],[First labor date]]</f>
        <v>1</v>
      </c>
      <c r="AF877" s="65">
        <f>tblWorkPackages[[#This Row],[Completion date serial]]-tblWorkPackages[[#This Row],[Last labor date]]</f>
        <v>3</v>
      </c>
      <c r="AG877" s="65">
        <f>tblWorkPackages[[#This Row],[Completion date serial]]-tblWorkPackages[[#This Row],[Request date serial]]</f>
        <v>8</v>
      </c>
      <c r="AH877" s="65">
        <f>IFERROR(INDEX(tblParts[Delay days],MATCH(tblWorkPackages[[#This Row],[Work package ID]],tblParts[Work package ID],0)),0)</f>
        <v>0</v>
      </c>
      <c r="AI877" s="51" t="str">
        <f>IFERROR(INDEX(tblDisruptions[Event type],MATCH(tblWorkPackages[[#This Row],[Work package ID]],tblDisruptions[Work package ID],0)),"None")</f>
        <v>None</v>
      </c>
      <c r="AJ877" s="51" t="str">
        <f>TEXT(tblWorkPackages[[#This Row],[Due date serial]],"yyyy-mm")</f>
        <v>2025-05</v>
      </c>
    </row>
    <row r="878" spans="1:36" ht="15" x14ac:dyDescent="0.25">
      <c r="A878" s="53" t="s">
        <v>1764</v>
      </c>
      <c r="B878" s="53" t="s">
        <v>124</v>
      </c>
      <c r="C878" s="53" t="s">
        <v>1393</v>
      </c>
      <c r="D878" s="53" t="s">
        <v>1765</v>
      </c>
      <c r="E878" s="53" t="s">
        <v>136</v>
      </c>
      <c r="F878" s="53" t="s">
        <v>137</v>
      </c>
      <c r="G878" s="53" t="s">
        <v>138</v>
      </c>
      <c r="H878" s="53">
        <v>3</v>
      </c>
      <c r="I878" s="53" t="s">
        <v>130</v>
      </c>
      <c r="J878" s="53">
        <v>0</v>
      </c>
      <c r="K878" s="53">
        <v>0</v>
      </c>
      <c r="L878" s="53">
        <v>18.7</v>
      </c>
      <c r="M878" s="53" t="s">
        <v>1370</v>
      </c>
      <c r="N878" s="53">
        <v>18.7</v>
      </c>
      <c r="O878" s="51" t="str">
        <f>TEXT(tblWorkPackages[[#This Row],[Request date serial]]-WEEKDAY(tblWorkPackages[[#This Row],[Request date serial]],3),"yyyy-mm-dd")</f>
        <v>2024-07-29</v>
      </c>
      <c r="P878" s="51">
        <f>ABS(tblWorkPackages[[#This Row],[Actual labor hours]]-tblWorkPackages[[#This Row],[Estimated labor hours]])</f>
        <v>0</v>
      </c>
      <c r="Q878" s="51">
        <f>IF(tblWorkPackages[[#This Row],[Actual labor hours]]&gt;tblWorkPackages[[#This Row],[Estimated labor hours]],1,0)</f>
        <v>0</v>
      </c>
      <c r="R878" s="51">
        <f>tblWorkPackages[[#This Row],[Actual labor hours]]-tblWorkPackages[[#This Row],[Estimated labor hours]]</f>
        <v>0</v>
      </c>
      <c r="S878" s="51" t="str">
        <f>IF(tblWorkPackages[[#This Row],[Request date serial]]&lt;ValidationStart,"Train 2024",IF(tblWorkPackages[[#This Row],[Request date serial]]&lt;HoldoutStart,"Validation H1","Holdout H2"))</f>
        <v>Train 2024</v>
      </c>
      <c r="T878" s="51" t="str">
        <f>IF(tblWorkPackages[[#This Row],[Time split]]="Train 2024","",tblWorkPackages[[#This Row],[Estimated labor hours]]+VLOOKUP(tblWorkPackages[[#This Row],[Task type]],'Forecast validation'!$A$14:$E$25,IF(tblWorkPackages[[#This Row],[Time split]]="Validation H1",4,5),FALSE()))</f>
        <v/>
      </c>
      <c r="U878" s="51" t="str">
        <f>IF(tblWorkPackages[[#This Row],[Calibrated forecast hours]]="","",ABS(tblWorkPackages[[#This Row],[Actual labor hours]]-tblWorkPackages[[#This Row],[Calibrated forecast hours]]))</f>
        <v/>
      </c>
      <c r="V878" s="51">
        <f>IF(tblWorkPackages[[#This Row],[Time split]]="Train 2024",tblWorkPackages[[#This Row],[Estimated labor hours]],tblWorkPackages[[#This Row],[Calibrated forecast hours]])</f>
        <v>18.7</v>
      </c>
      <c r="W878" s="64">
        <f>DATEVALUE(tblWorkPackages[[#This Row],[Request date]])</f>
        <v>45506.0</v>
      </c>
      <c r="X878" s="64">
        <f>DATEVALUE(tblWorkPackages[[#This Row],[Due date]])</f>
        <v>45519.0</v>
      </c>
      <c r="Y878" s="64">
        <f>DATEVALUE(tblWorkPackages[[#This Row],[Completion date]])</f>
        <v>45507.0</v>
      </c>
      <c r="Z878" s="64">
        <f>_xlfn.MINIFS(tblLaborEntries[Work date serial],tblLaborEntries[Work package ID],tblWorkPackages[[#This Row],[Work package ID]])</f>
        <v>45507.0</v>
      </c>
      <c r="AA878" s="64">
        <f>_xlfn.MAXIFS(tblLaborEntries[Work date serial],tblLaborEntries[Work package ID],tblWorkPackages[[#This Row],[Work package ID]])</f>
        <v>45507.0</v>
      </c>
      <c r="AB878" s="65">
        <f>IF(tblWorkPackages[[#This Row],[Completion date serial]]&gt;tblWorkPackages[[#This Row],[Due date serial]],1,0)</f>
        <v>0</v>
      </c>
      <c r="AC878" s="65">
        <f>MAX(0,tblWorkPackages[[#This Row],[Completion date serial]]-tblWorkPackages[[#This Row],[Due date serial]])</f>
        <v>0</v>
      </c>
      <c r="AD878" s="65">
        <f>tblWorkPackages[[#This Row],[First labor date]]-tblWorkPackages[[#This Row],[Request date serial]]</f>
        <v>1</v>
      </c>
      <c r="AE878" s="65">
        <f>tblWorkPackages[[#This Row],[Last labor date]]-tblWorkPackages[[#This Row],[First labor date]]</f>
        <v>0</v>
      </c>
      <c r="AF878" s="65">
        <f>tblWorkPackages[[#This Row],[Completion date serial]]-tblWorkPackages[[#This Row],[Last labor date]]</f>
        <v>0</v>
      </c>
      <c r="AG878" s="65">
        <f>tblWorkPackages[[#This Row],[Completion date serial]]-tblWorkPackages[[#This Row],[Request date serial]]</f>
        <v>1</v>
      </c>
      <c r="AH878" s="65">
        <f>IFERROR(INDEX(tblParts[Delay days],MATCH(tblWorkPackages[[#This Row],[Work package ID]],tblParts[Work package ID],0)),0)</f>
        <v>0</v>
      </c>
      <c r="AI878" s="51" t="str">
        <f>IFERROR(INDEX(tblDisruptions[Event type],MATCH(tblWorkPackages[[#This Row],[Work package ID]],tblDisruptions[Work package ID],0)),"None")</f>
        <v>Repeat inspection</v>
      </c>
      <c r="AJ878" s="51" t="str">
        <f>TEXT(tblWorkPackages[[#This Row],[Due date serial]],"yyyy-mm")</f>
        <v>2024-08</v>
      </c>
    </row>
    <row r="879" spans="1:36" ht="15" x14ac:dyDescent="0.25">
      <c r="A879" s="53" t="s">
        <v>1766</v>
      </c>
      <c r="B879" s="53" t="s">
        <v>133</v>
      </c>
      <c r="C879" s="53" t="s">
        <v>677</v>
      </c>
      <c r="D879" s="53" t="s">
        <v>995</v>
      </c>
      <c r="E879" s="53" t="s">
        <v>223</v>
      </c>
      <c r="F879" s="53" t="s">
        <v>182</v>
      </c>
      <c r="G879" s="53" t="s">
        <v>154</v>
      </c>
      <c r="H879" s="53">
        <v>4</v>
      </c>
      <c r="I879" s="53" t="s">
        <v>130</v>
      </c>
      <c r="J879" s="53">
        <v>0</v>
      </c>
      <c r="K879" s="53">
        <v>0</v>
      </c>
      <c r="L879" s="53">
        <v>24.4</v>
      </c>
      <c r="M879" s="53" t="s">
        <v>417</v>
      </c>
      <c r="N879" s="53">
        <v>29.7</v>
      </c>
      <c r="O879" s="51" t="str">
        <f>TEXT(tblWorkPackages[[#This Row],[Request date serial]]-WEEKDAY(tblWorkPackages[[#This Row],[Request date serial]],3),"yyyy-mm-dd")</f>
        <v>2024-04-22</v>
      </c>
      <c r="P879" s="51">
        <f>ABS(tblWorkPackages[[#This Row],[Actual labor hours]]-tblWorkPackages[[#This Row],[Estimated labor hours]])</f>
        <v>5.3</v>
      </c>
      <c r="Q879" s="51">
        <f>IF(tblWorkPackages[[#This Row],[Actual labor hours]]&gt;tblWorkPackages[[#This Row],[Estimated labor hours]],1,0)</f>
        <v>1</v>
      </c>
      <c r="R879" s="51">
        <f>tblWorkPackages[[#This Row],[Actual labor hours]]-tblWorkPackages[[#This Row],[Estimated labor hours]]</f>
        <v>5.3</v>
      </c>
      <c r="S879" s="51" t="str">
        <f>IF(tblWorkPackages[[#This Row],[Request date serial]]&lt;ValidationStart,"Train 2024",IF(tblWorkPackages[[#This Row],[Request date serial]]&lt;HoldoutStart,"Validation H1","Holdout H2"))</f>
        <v>Train 2024</v>
      </c>
      <c r="T879" s="51" t="str">
        <f>IF(tblWorkPackages[[#This Row],[Time split]]="Train 2024","",tblWorkPackages[[#This Row],[Estimated labor hours]]+VLOOKUP(tblWorkPackages[[#This Row],[Task type]],'Forecast validation'!$A$14:$E$25,IF(tblWorkPackages[[#This Row],[Time split]]="Validation H1",4,5),FALSE()))</f>
        <v/>
      </c>
      <c r="U879" s="51" t="str">
        <f>IF(tblWorkPackages[[#This Row],[Calibrated forecast hours]]="","",ABS(tblWorkPackages[[#This Row],[Actual labor hours]]-tblWorkPackages[[#This Row],[Calibrated forecast hours]]))</f>
        <v/>
      </c>
      <c r="V879" s="51">
        <f>IF(tblWorkPackages[[#This Row],[Time split]]="Train 2024",tblWorkPackages[[#This Row],[Estimated labor hours]],tblWorkPackages[[#This Row],[Calibrated forecast hours]])</f>
        <v>24.4</v>
      </c>
      <c r="W879" s="64">
        <f>DATEVALUE(tblWorkPackages[[#This Row],[Request date]])</f>
        <v>45406.0</v>
      </c>
      <c r="X879" s="64">
        <f>DATEVALUE(tblWorkPackages[[#This Row],[Due date]])</f>
        <v>45419.0</v>
      </c>
      <c r="Y879" s="64">
        <f>DATEVALUE(tblWorkPackages[[#This Row],[Completion date]])</f>
        <v>45416.0</v>
      </c>
      <c r="Z879" s="64">
        <f>_xlfn.MINIFS(tblLaborEntries[Work date serial],tblLaborEntries[Work package ID],tblWorkPackages[[#This Row],[Work package ID]])</f>
        <v>45415.0</v>
      </c>
      <c r="AA879" s="64">
        <f>_xlfn.MAXIFS(tblLaborEntries[Work date serial],tblLaborEntries[Work package ID],tblWorkPackages[[#This Row],[Work package ID]])</f>
        <v>45415.0</v>
      </c>
      <c r="AB879" s="65">
        <f>IF(tblWorkPackages[[#This Row],[Completion date serial]]&gt;tblWorkPackages[[#This Row],[Due date serial]],1,0)</f>
        <v>0</v>
      </c>
      <c r="AC879" s="65">
        <f>MAX(0,tblWorkPackages[[#This Row],[Completion date serial]]-tblWorkPackages[[#This Row],[Due date serial]])</f>
        <v>0</v>
      </c>
      <c r="AD879" s="65">
        <f>tblWorkPackages[[#This Row],[First labor date]]-tblWorkPackages[[#This Row],[Request date serial]]</f>
        <v>9</v>
      </c>
      <c r="AE879" s="65">
        <f>tblWorkPackages[[#This Row],[Last labor date]]-tblWorkPackages[[#This Row],[First labor date]]</f>
        <v>0</v>
      </c>
      <c r="AF879" s="65">
        <f>tblWorkPackages[[#This Row],[Completion date serial]]-tblWorkPackages[[#This Row],[Last labor date]]</f>
        <v>1</v>
      </c>
      <c r="AG879" s="65">
        <f>tblWorkPackages[[#This Row],[Completion date serial]]-tblWorkPackages[[#This Row],[Request date serial]]</f>
        <v>10</v>
      </c>
      <c r="AH879" s="65">
        <f>IFERROR(INDEX(tblParts[Delay days],MATCH(tblWorkPackages[[#This Row],[Work package ID]],tblParts[Work package ID],0)),0)</f>
        <v>0</v>
      </c>
      <c r="AI879" s="51" t="str">
        <f>IFERROR(INDEX(tblDisruptions[Event type],MATCH(tblWorkPackages[[#This Row],[Work package ID]],tblDisruptions[Work package ID],0)),"None")</f>
        <v>None</v>
      </c>
      <c r="AJ879" s="51" t="str">
        <f>TEXT(tblWorkPackages[[#This Row],[Due date serial]],"yyyy-mm")</f>
        <v>2024-05</v>
      </c>
    </row>
    <row r="880" spans="1:36" ht="15" x14ac:dyDescent="0.25">
      <c r="A880" s="53" t="s">
        <v>1767</v>
      </c>
      <c r="B880" s="53" t="s">
        <v>163</v>
      </c>
      <c r="C880" s="53" t="s">
        <v>880</v>
      </c>
      <c r="D880" s="53" t="s">
        <v>317</v>
      </c>
      <c r="E880" s="53" t="s">
        <v>223</v>
      </c>
      <c r="F880" s="53" t="s">
        <v>182</v>
      </c>
      <c r="G880" s="53" t="s">
        <v>154</v>
      </c>
      <c r="H880" s="53">
        <v>1</v>
      </c>
      <c r="I880" s="53" t="s">
        <v>147</v>
      </c>
      <c r="J880" s="53">
        <v>1</v>
      </c>
      <c r="K880" s="53">
        <v>1</v>
      </c>
      <c r="L880" s="53">
        <v>8.6999999999999993</v>
      </c>
      <c r="M880" s="53" t="s">
        <v>300</v>
      </c>
      <c r="N880" s="53">
        <v>10.4</v>
      </c>
      <c r="O880" s="51" t="str">
        <f>TEXT(tblWorkPackages[[#This Row],[Request date serial]]-WEEKDAY(tblWorkPackages[[#This Row],[Request date serial]],3),"yyyy-mm-dd")</f>
        <v>2024-04-08</v>
      </c>
      <c r="P880" s="51">
        <f>ABS(tblWorkPackages[[#This Row],[Actual labor hours]]-tblWorkPackages[[#This Row],[Estimated labor hours]])</f>
        <v>1.7</v>
      </c>
      <c r="Q880" s="51">
        <f>IF(tblWorkPackages[[#This Row],[Actual labor hours]]&gt;tblWorkPackages[[#This Row],[Estimated labor hours]],1,0)</f>
        <v>1</v>
      </c>
      <c r="R880" s="51">
        <f>tblWorkPackages[[#This Row],[Actual labor hours]]-tblWorkPackages[[#This Row],[Estimated labor hours]]</f>
        <v>1.7</v>
      </c>
      <c r="S880" s="51" t="str">
        <f>IF(tblWorkPackages[[#This Row],[Request date serial]]&lt;ValidationStart,"Train 2024",IF(tblWorkPackages[[#This Row],[Request date serial]]&lt;HoldoutStart,"Validation H1","Holdout H2"))</f>
        <v>Train 2024</v>
      </c>
      <c r="T880" s="51" t="str">
        <f>IF(tblWorkPackages[[#This Row],[Time split]]="Train 2024","",tblWorkPackages[[#This Row],[Estimated labor hours]]+VLOOKUP(tblWorkPackages[[#This Row],[Task type]],'Forecast validation'!$A$14:$E$25,IF(tblWorkPackages[[#This Row],[Time split]]="Validation H1",4,5),FALSE()))</f>
        <v/>
      </c>
      <c r="U880" s="51" t="str">
        <f>IF(tblWorkPackages[[#This Row],[Calibrated forecast hours]]="","",ABS(tblWorkPackages[[#This Row],[Actual labor hours]]-tblWorkPackages[[#This Row],[Calibrated forecast hours]]))</f>
        <v/>
      </c>
      <c r="V880" s="51">
        <f>IF(tblWorkPackages[[#This Row],[Time split]]="Train 2024",tblWorkPackages[[#This Row],[Estimated labor hours]],tblWorkPackages[[#This Row],[Calibrated forecast hours]])</f>
        <v>8.7</v>
      </c>
      <c r="W880" s="64">
        <f>DATEVALUE(tblWorkPackages[[#This Row],[Request date]])</f>
        <v>45392.0</v>
      </c>
      <c r="X880" s="64">
        <f>DATEVALUE(tblWorkPackages[[#This Row],[Due date]])</f>
        <v>45394.0</v>
      </c>
      <c r="Y880" s="64">
        <f>DATEVALUE(tblWorkPackages[[#This Row],[Completion date]])</f>
        <v>45397.0</v>
      </c>
      <c r="Z880" s="64">
        <f>_xlfn.MINIFS(tblLaborEntries[Work date serial],tblLaborEntries[Work package ID],tblWorkPackages[[#This Row],[Work package ID]])</f>
        <v>45395.0</v>
      </c>
      <c r="AA880" s="64">
        <f>_xlfn.MAXIFS(tblLaborEntries[Work date serial],tblLaborEntries[Work package ID],tblWorkPackages[[#This Row],[Work package ID]])</f>
        <v>45395.0</v>
      </c>
      <c r="AB880" s="65">
        <f>IF(tblWorkPackages[[#This Row],[Completion date serial]]&gt;tblWorkPackages[[#This Row],[Due date serial]],1,0)</f>
        <v>1</v>
      </c>
      <c r="AC880" s="65">
        <f>MAX(0,tblWorkPackages[[#This Row],[Completion date serial]]-tblWorkPackages[[#This Row],[Due date serial]])</f>
        <v>3</v>
      </c>
      <c r="AD880" s="65">
        <f>tblWorkPackages[[#This Row],[First labor date]]-tblWorkPackages[[#This Row],[Request date serial]]</f>
        <v>3</v>
      </c>
      <c r="AE880" s="65">
        <f>tblWorkPackages[[#This Row],[Last labor date]]-tblWorkPackages[[#This Row],[First labor date]]</f>
        <v>0</v>
      </c>
      <c r="AF880" s="65">
        <f>tblWorkPackages[[#This Row],[Completion date serial]]-tblWorkPackages[[#This Row],[Last labor date]]</f>
        <v>2</v>
      </c>
      <c r="AG880" s="65">
        <f>tblWorkPackages[[#This Row],[Completion date serial]]-tblWorkPackages[[#This Row],[Request date serial]]</f>
        <v>5</v>
      </c>
      <c r="AH880" s="65">
        <f>IFERROR(INDEX(tblParts[Delay days],MATCH(tblWorkPackages[[#This Row],[Work package ID]],tblParts[Work package ID],0)),0)</f>
        <v>0</v>
      </c>
      <c r="AI880" s="51" t="str">
        <f>IFERROR(INDEX(tblDisruptions[Event type],MATCH(tblWorkPackages[[#This Row],[Work package ID]],tblDisruptions[Work package ID],0)),"None")</f>
        <v>None</v>
      </c>
      <c r="AJ880" s="51" t="str">
        <f>TEXT(tblWorkPackages[[#This Row],[Due date serial]],"yyyy-mm")</f>
        <v>2024-04</v>
      </c>
    </row>
    <row r="881" spans="1:36" ht="15" x14ac:dyDescent="0.25">
      <c r="A881" s="53" t="s">
        <v>1768</v>
      </c>
      <c r="B881" s="53" t="s">
        <v>168</v>
      </c>
      <c r="C881" s="53" t="s">
        <v>504</v>
      </c>
      <c r="D881" s="53" t="s">
        <v>505</v>
      </c>
      <c r="E881" s="53" t="s">
        <v>209</v>
      </c>
      <c r="F881" s="53" t="s">
        <v>145</v>
      </c>
      <c r="G881" s="53" t="s">
        <v>210</v>
      </c>
      <c r="H881" s="53">
        <v>2</v>
      </c>
      <c r="I881" s="53" t="s">
        <v>130</v>
      </c>
      <c r="J881" s="53">
        <v>0</v>
      </c>
      <c r="K881" s="53">
        <v>0</v>
      </c>
      <c r="L881" s="53">
        <v>22.7</v>
      </c>
      <c r="M881" s="53" t="s">
        <v>827</v>
      </c>
      <c r="N881" s="53">
        <v>18.3</v>
      </c>
      <c r="O881" s="51" t="str">
        <f>TEXT(tblWorkPackages[[#This Row],[Request date serial]]-WEEKDAY(tblWorkPackages[[#This Row],[Request date serial]],3),"yyyy-mm-dd")</f>
        <v>2025-01-27</v>
      </c>
      <c r="P881" s="51">
        <f>ABS(tblWorkPackages[[#This Row],[Actual labor hours]]-tblWorkPackages[[#This Row],[Estimated labor hours]])</f>
        <v>4.4</v>
      </c>
      <c r="Q881" s="51">
        <f>IF(tblWorkPackages[[#This Row],[Actual labor hours]]&gt;tblWorkPackages[[#This Row],[Estimated labor hours]],1,0)</f>
        <v>0</v>
      </c>
      <c r="R881" s="51">
        <f>tblWorkPackages[[#This Row],[Actual labor hours]]-tblWorkPackages[[#This Row],[Estimated labor hours]]</f>
        <v>-4.4</v>
      </c>
      <c r="S881" s="51" t="str">
        <f>IF(tblWorkPackages[[#This Row],[Request date serial]]&lt;ValidationStart,"Train 2024",IF(tblWorkPackages[[#This Row],[Request date serial]]&lt;HoldoutStart,"Validation H1","Holdout H2"))</f>
        <v>Validation H1</v>
      </c>
      <c r="T881" s="51">
        <f>IF(tblWorkPackages[[#This Row],[Time split]]="Train 2024","",tblWorkPackages[[#This Row],[Estimated labor hours]]+VLOOKUP(tblWorkPackages[[#This Row],[Task type]],'Forecast validation'!$A$14:$E$25,IF(tblWorkPackages[[#This Row],[Time split]]="Validation H1",4,5),FALSE()))</f>
        <v>23.8029850746269</v>
      </c>
      <c r="U881" s="51">
        <f>IF(tblWorkPackages[[#This Row],[Calibrated forecast hours]]="","",ABS(tblWorkPackages[[#This Row],[Actual labor hours]]-tblWorkPackages[[#This Row],[Calibrated forecast hours]]))</f>
        <v>5.50298507462686</v>
      </c>
      <c r="V881" s="51">
        <f>IF(tblWorkPackages[[#This Row],[Time split]]="Train 2024",tblWorkPackages[[#This Row],[Estimated labor hours]],tblWorkPackages[[#This Row],[Calibrated forecast hours]])</f>
        <v>23.8029850746269</v>
      </c>
      <c r="W881" s="64">
        <f>DATEVALUE(tblWorkPackages[[#This Row],[Request date]])</f>
        <v>45689.0</v>
      </c>
      <c r="X881" s="64">
        <f>DATEVALUE(tblWorkPackages[[#This Row],[Due date]])</f>
        <v>45702.0</v>
      </c>
      <c r="Y881" s="64">
        <f>DATEVALUE(tblWorkPackages[[#This Row],[Completion date]])</f>
        <v>45718.0</v>
      </c>
      <c r="Z881" s="64">
        <f>_xlfn.MINIFS(tblLaborEntries[Work date serial],tblLaborEntries[Work package ID],tblWorkPackages[[#This Row],[Work package ID]])</f>
        <v>45714.0</v>
      </c>
      <c r="AA881" s="64">
        <f>_xlfn.MAXIFS(tblLaborEntries[Work date serial],tblLaborEntries[Work package ID],tblWorkPackages[[#This Row],[Work package ID]])</f>
        <v>45715.0</v>
      </c>
      <c r="AB881" s="65">
        <f>IF(tblWorkPackages[[#This Row],[Completion date serial]]&gt;tblWorkPackages[[#This Row],[Due date serial]],1,0)</f>
        <v>1</v>
      </c>
      <c r="AC881" s="65">
        <f>MAX(0,tblWorkPackages[[#This Row],[Completion date serial]]-tblWorkPackages[[#This Row],[Due date serial]])</f>
        <v>16</v>
      </c>
      <c r="AD881" s="65">
        <f>tblWorkPackages[[#This Row],[First labor date]]-tblWorkPackages[[#This Row],[Request date serial]]</f>
        <v>25</v>
      </c>
      <c r="AE881" s="65">
        <f>tblWorkPackages[[#This Row],[Last labor date]]-tblWorkPackages[[#This Row],[First labor date]]</f>
        <v>1</v>
      </c>
      <c r="AF881" s="65">
        <f>tblWorkPackages[[#This Row],[Completion date serial]]-tblWorkPackages[[#This Row],[Last labor date]]</f>
        <v>3</v>
      </c>
      <c r="AG881" s="65">
        <f>tblWorkPackages[[#This Row],[Completion date serial]]-tblWorkPackages[[#This Row],[Request date serial]]</f>
        <v>29</v>
      </c>
      <c r="AH881" s="65">
        <f>IFERROR(INDEX(tblParts[Delay days],MATCH(tblWorkPackages[[#This Row],[Work package ID]],tblParts[Work package ID],0)),0)</f>
        <v>0</v>
      </c>
      <c r="AI881" s="51" t="str">
        <f>IFERROR(INDEX(tblDisruptions[Event type],MATCH(tblWorkPackages[[#This Row],[Work package ID]],tblDisruptions[Work package ID],0)),"None")</f>
        <v>None</v>
      </c>
      <c r="AJ881" s="51" t="str">
        <f>TEXT(tblWorkPackages[[#This Row],[Due date serial]],"yyyy-mm")</f>
        <v>2025-02</v>
      </c>
    </row>
    <row r="882" spans="1:36" ht="15" x14ac:dyDescent="0.25">
      <c r="A882" s="53" t="s">
        <v>1769</v>
      </c>
      <c r="B882" s="53" t="s">
        <v>230</v>
      </c>
      <c r="C882" s="53" t="s">
        <v>1293</v>
      </c>
      <c r="D882" s="53" t="s">
        <v>945</v>
      </c>
      <c r="E882" s="53" t="s">
        <v>272</v>
      </c>
      <c r="F882" s="53" t="s">
        <v>145</v>
      </c>
      <c r="G882" s="53" t="s">
        <v>273</v>
      </c>
      <c r="H882" s="53">
        <v>1</v>
      </c>
      <c r="I882" s="53" t="s">
        <v>176</v>
      </c>
      <c r="J882" s="53">
        <v>0</v>
      </c>
      <c r="K882" s="53">
        <v>1</v>
      </c>
      <c r="L882" s="53">
        <v>7.5</v>
      </c>
      <c r="M882" s="53" t="s">
        <v>945</v>
      </c>
      <c r="N882" s="53">
        <v>7.1</v>
      </c>
      <c r="O882" s="51" t="str">
        <f>TEXT(tblWorkPackages[[#This Row],[Request date serial]]-WEEKDAY(tblWorkPackages[[#This Row],[Request date serial]],3),"yyyy-mm-dd")</f>
        <v>2024-08-05</v>
      </c>
      <c r="P882" s="51">
        <f>ABS(tblWorkPackages[[#This Row],[Actual labor hours]]-tblWorkPackages[[#This Row],[Estimated labor hours]])</f>
        <v>0.4</v>
      </c>
      <c r="Q882" s="51">
        <f>IF(tblWorkPackages[[#This Row],[Actual labor hours]]&gt;tblWorkPackages[[#This Row],[Estimated labor hours]],1,0)</f>
        <v>0</v>
      </c>
      <c r="R882" s="51">
        <f>tblWorkPackages[[#This Row],[Actual labor hours]]-tblWorkPackages[[#This Row],[Estimated labor hours]]</f>
        <v>-0.4</v>
      </c>
      <c r="S882" s="51" t="str">
        <f>IF(tblWorkPackages[[#This Row],[Request date serial]]&lt;ValidationStart,"Train 2024",IF(tblWorkPackages[[#This Row],[Request date serial]]&lt;HoldoutStart,"Validation H1","Holdout H2"))</f>
        <v>Train 2024</v>
      </c>
      <c r="T882" s="51" t="str">
        <f>IF(tblWorkPackages[[#This Row],[Time split]]="Train 2024","",tblWorkPackages[[#This Row],[Estimated labor hours]]+VLOOKUP(tblWorkPackages[[#This Row],[Task type]],'Forecast validation'!$A$14:$E$25,IF(tblWorkPackages[[#This Row],[Time split]]="Validation H1",4,5),FALSE()))</f>
        <v/>
      </c>
      <c r="U882" s="51" t="str">
        <f>IF(tblWorkPackages[[#This Row],[Calibrated forecast hours]]="","",ABS(tblWorkPackages[[#This Row],[Actual labor hours]]-tblWorkPackages[[#This Row],[Calibrated forecast hours]]))</f>
        <v/>
      </c>
      <c r="V882" s="51">
        <f>IF(tblWorkPackages[[#This Row],[Time split]]="Train 2024",tblWorkPackages[[#This Row],[Estimated labor hours]],tblWorkPackages[[#This Row],[Calibrated forecast hours]])</f>
        <v>7.5</v>
      </c>
      <c r="W882" s="64">
        <f>DATEVALUE(tblWorkPackages[[#This Row],[Request date]])</f>
        <v>45515.0</v>
      </c>
      <c r="X882" s="64">
        <f>DATEVALUE(tblWorkPackages[[#This Row],[Due date]])</f>
        <v>45521.0</v>
      </c>
      <c r="Y882" s="64">
        <f>DATEVALUE(tblWorkPackages[[#This Row],[Completion date]])</f>
        <v>45521.0</v>
      </c>
      <c r="Z882" s="64">
        <f>_xlfn.MINIFS(tblLaborEntries[Work date serial],tblLaborEntries[Work package ID],tblWorkPackages[[#This Row],[Work package ID]])</f>
        <v>45519.0</v>
      </c>
      <c r="AA882" s="64">
        <f>_xlfn.MAXIFS(tblLaborEntries[Work date serial],tblLaborEntries[Work package ID],tblWorkPackages[[#This Row],[Work package ID]])</f>
        <v>45521.0</v>
      </c>
      <c r="AB882" s="65">
        <f>IF(tblWorkPackages[[#This Row],[Completion date serial]]&gt;tblWorkPackages[[#This Row],[Due date serial]],1,0)</f>
        <v>0</v>
      </c>
      <c r="AC882" s="65">
        <f>MAX(0,tblWorkPackages[[#This Row],[Completion date serial]]-tblWorkPackages[[#This Row],[Due date serial]])</f>
        <v>0</v>
      </c>
      <c r="AD882" s="65">
        <f>tblWorkPackages[[#This Row],[First labor date]]-tblWorkPackages[[#This Row],[Request date serial]]</f>
        <v>4</v>
      </c>
      <c r="AE882" s="65">
        <f>tblWorkPackages[[#This Row],[Last labor date]]-tblWorkPackages[[#This Row],[First labor date]]</f>
        <v>2</v>
      </c>
      <c r="AF882" s="65">
        <f>tblWorkPackages[[#This Row],[Completion date serial]]-tblWorkPackages[[#This Row],[Last labor date]]</f>
        <v>0</v>
      </c>
      <c r="AG882" s="65">
        <f>tblWorkPackages[[#This Row],[Completion date serial]]-tblWorkPackages[[#This Row],[Request date serial]]</f>
        <v>6</v>
      </c>
      <c r="AH882" s="65">
        <f>IFERROR(INDEX(tblParts[Delay days],MATCH(tblWorkPackages[[#This Row],[Work package ID]],tblParts[Work package ID],0)),0)</f>
        <v>0</v>
      </c>
      <c r="AI882" s="51" t="str">
        <f>IFERROR(INDEX(tblDisruptions[Event type],MATCH(tblWorkPackages[[#This Row],[Work package ID]],tblDisruptions[Work package ID],0)),"None")</f>
        <v>None</v>
      </c>
      <c r="AJ882" s="51" t="str">
        <f>TEXT(tblWorkPackages[[#This Row],[Due date serial]],"yyyy-mm")</f>
        <v>2024-08</v>
      </c>
    </row>
    <row r="883" spans="1:36" ht="15" x14ac:dyDescent="0.25">
      <c r="A883" s="53" t="s">
        <v>1770</v>
      </c>
      <c r="B883" s="53" t="s">
        <v>203</v>
      </c>
      <c r="C883" s="53" t="s">
        <v>761</v>
      </c>
      <c r="D883" s="53" t="s">
        <v>929</v>
      </c>
      <c r="E883" s="53" t="s">
        <v>181</v>
      </c>
      <c r="F883" s="53" t="s">
        <v>182</v>
      </c>
      <c r="G883" s="53" t="s">
        <v>138</v>
      </c>
      <c r="H883" s="53">
        <v>4</v>
      </c>
      <c r="I883" s="53" t="s">
        <v>130</v>
      </c>
      <c r="J883" s="53">
        <v>0</v>
      </c>
      <c r="K883" s="53">
        <v>0</v>
      </c>
      <c r="L883" s="53">
        <v>13.7</v>
      </c>
      <c r="M883" s="53" t="s">
        <v>565</v>
      </c>
      <c r="N883" s="53">
        <v>10.9</v>
      </c>
      <c r="O883" s="51" t="str">
        <f>TEXT(tblWorkPackages[[#This Row],[Request date serial]]-WEEKDAY(tblWorkPackages[[#This Row],[Request date serial]],3),"yyyy-mm-dd")</f>
        <v>2024-06-17</v>
      </c>
      <c r="P883" s="51">
        <f>ABS(tblWorkPackages[[#This Row],[Actual labor hours]]-tblWorkPackages[[#This Row],[Estimated labor hours]])</f>
        <v>2.8</v>
      </c>
      <c r="Q883" s="51">
        <f>IF(tblWorkPackages[[#This Row],[Actual labor hours]]&gt;tblWorkPackages[[#This Row],[Estimated labor hours]],1,0)</f>
        <v>0</v>
      </c>
      <c r="R883" s="51">
        <f>tblWorkPackages[[#This Row],[Actual labor hours]]-tblWorkPackages[[#This Row],[Estimated labor hours]]</f>
        <v>-2.8</v>
      </c>
      <c r="S883" s="51" t="str">
        <f>IF(tblWorkPackages[[#This Row],[Request date serial]]&lt;ValidationStart,"Train 2024",IF(tblWorkPackages[[#This Row],[Request date serial]]&lt;HoldoutStart,"Validation H1","Holdout H2"))</f>
        <v>Train 2024</v>
      </c>
      <c r="T883" s="51" t="str">
        <f>IF(tblWorkPackages[[#This Row],[Time split]]="Train 2024","",tblWorkPackages[[#This Row],[Estimated labor hours]]+VLOOKUP(tblWorkPackages[[#This Row],[Task type]],'Forecast validation'!$A$14:$E$25,IF(tblWorkPackages[[#This Row],[Time split]]="Validation H1",4,5),FALSE()))</f>
        <v/>
      </c>
      <c r="U883" s="51" t="str">
        <f>IF(tblWorkPackages[[#This Row],[Calibrated forecast hours]]="","",ABS(tblWorkPackages[[#This Row],[Actual labor hours]]-tblWorkPackages[[#This Row],[Calibrated forecast hours]]))</f>
        <v/>
      </c>
      <c r="V883" s="51">
        <f>IF(tblWorkPackages[[#This Row],[Time split]]="Train 2024",tblWorkPackages[[#This Row],[Estimated labor hours]],tblWorkPackages[[#This Row],[Calibrated forecast hours]])</f>
        <v>13.7</v>
      </c>
      <c r="W883" s="64">
        <f>DATEVALUE(tblWorkPackages[[#This Row],[Request date]])</f>
        <v>45460.0</v>
      </c>
      <c r="X883" s="64">
        <f>DATEVALUE(tblWorkPackages[[#This Row],[Due date]])</f>
        <v>45473.0</v>
      </c>
      <c r="Y883" s="64">
        <f>DATEVALUE(tblWorkPackages[[#This Row],[Completion date]])</f>
        <v>45462.0</v>
      </c>
      <c r="Z883" s="64">
        <f>_xlfn.MINIFS(tblLaborEntries[Work date serial],tblLaborEntries[Work package ID],tblWorkPackages[[#This Row],[Work package ID]])</f>
        <v>45461.0</v>
      </c>
      <c r="AA883" s="64">
        <f>_xlfn.MAXIFS(tblLaborEntries[Work date serial],tblLaborEntries[Work package ID],tblWorkPackages[[#This Row],[Work package ID]])</f>
        <v>45461.0</v>
      </c>
      <c r="AB883" s="65">
        <f>IF(tblWorkPackages[[#This Row],[Completion date serial]]&gt;tblWorkPackages[[#This Row],[Due date serial]],1,0)</f>
        <v>0</v>
      </c>
      <c r="AC883" s="65">
        <f>MAX(0,tblWorkPackages[[#This Row],[Completion date serial]]-tblWorkPackages[[#This Row],[Due date serial]])</f>
        <v>0</v>
      </c>
      <c r="AD883" s="65">
        <f>tblWorkPackages[[#This Row],[First labor date]]-tblWorkPackages[[#This Row],[Request date serial]]</f>
        <v>1</v>
      </c>
      <c r="AE883" s="65">
        <f>tblWorkPackages[[#This Row],[Last labor date]]-tblWorkPackages[[#This Row],[First labor date]]</f>
        <v>0</v>
      </c>
      <c r="AF883" s="65">
        <f>tblWorkPackages[[#This Row],[Completion date serial]]-tblWorkPackages[[#This Row],[Last labor date]]</f>
        <v>1</v>
      </c>
      <c r="AG883" s="65">
        <f>tblWorkPackages[[#This Row],[Completion date serial]]-tblWorkPackages[[#This Row],[Request date serial]]</f>
        <v>2</v>
      </c>
      <c r="AH883" s="65">
        <f>IFERROR(INDEX(tblParts[Delay days],MATCH(tblWorkPackages[[#This Row],[Work package ID]],tblParts[Work package ID],0)),0)</f>
        <v>0</v>
      </c>
      <c r="AI883" s="51" t="str">
        <f>IFERROR(INDEX(tblDisruptions[Event type],MATCH(tblWorkPackages[[#This Row],[Work package ID]],tblDisruptions[Work package ID],0)),"None")</f>
        <v>None</v>
      </c>
      <c r="AJ883" s="51" t="str">
        <f>TEXT(tblWorkPackages[[#This Row],[Due date serial]],"yyyy-mm")</f>
        <v>2024-06</v>
      </c>
    </row>
    <row r="884" spans="1:36" ht="15" x14ac:dyDescent="0.25">
      <c r="A884" s="53" t="s">
        <v>1771</v>
      </c>
      <c r="B884" s="53" t="s">
        <v>235</v>
      </c>
      <c r="C884" s="53" t="s">
        <v>1161</v>
      </c>
      <c r="D884" s="53" t="s">
        <v>1162</v>
      </c>
      <c r="E884" s="53" t="s">
        <v>200</v>
      </c>
      <c r="F884" s="53" t="s">
        <v>128</v>
      </c>
      <c r="G884" s="53" t="s">
        <v>129</v>
      </c>
      <c r="H884" s="53">
        <v>1</v>
      </c>
      <c r="I884" s="53" t="s">
        <v>130</v>
      </c>
      <c r="J884" s="53">
        <v>0</v>
      </c>
      <c r="K884" s="53">
        <v>0</v>
      </c>
      <c r="L884" s="53">
        <v>1.9</v>
      </c>
      <c r="M884" s="53" t="s">
        <v>1014</v>
      </c>
      <c r="N884" s="53">
        <v>2.2000000000000002</v>
      </c>
      <c r="O884" s="51" t="str">
        <f>TEXT(tblWorkPackages[[#This Row],[Request date serial]]-WEEKDAY(tblWorkPackages[[#This Row],[Request date serial]],3),"yyyy-mm-dd")</f>
        <v>2025-12-15</v>
      </c>
      <c r="P884" s="51">
        <f>ABS(tblWorkPackages[[#This Row],[Actual labor hours]]-tblWorkPackages[[#This Row],[Estimated labor hours]])</f>
        <v>0.3</v>
      </c>
      <c r="Q884" s="51">
        <f>IF(tblWorkPackages[[#This Row],[Actual labor hours]]&gt;tblWorkPackages[[#This Row],[Estimated labor hours]],1,0)</f>
        <v>1</v>
      </c>
      <c r="R884" s="51">
        <f>tblWorkPackages[[#This Row],[Actual labor hours]]-tblWorkPackages[[#This Row],[Estimated labor hours]]</f>
        <v>0.3</v>
      </c>
      <c r="S884" s="51" t="str">
        <f>IF(tblWorkPackages[[#This Row],[Request date serial]]&lt;ValidationStart,"Train 2024",IF(tblWorkPackages[[#This Row],[Request date serial]]&lt;HoldoutStart,"Validation H1","Holdout H2"))</f>
        <v>Holdout H2</v>
      </c>
      <c r="T884" s="51">
        <f>IF(tblWorkPackages[[#This Row],[Time split]]="Train 2024","",tblWorkPackages[[#This Row],[Estimated labor hours]]+VLOOKUP(tblWorkPackages[[#This Row],[Task type]],'Forecast validation'!$A$14:$E$25,IF(tblWorkPackages[[#This Row],[Time split]]="Validation H1",4,5),FALSE()))</f>
        <v>2.22893081761006</v>
      </c>
      <c r="U884" s="51">
        <f>IF(tblWorkPackages[[#This Row],[Calibrated forecast hours]]="","",ABS(tblWorkPackages[[#This Row],[Actual labor hours]]-tblWorkPackages[[#This Row],[Calibrated forecast hours]]))</f>
        <v>0.0289308176100627</v>
      </c>
      <c r="V884" s="51">
        <f>IF(tblWorkPackages[[#This Row],[Time split]]="Train 2024",tblWorkPackages[[#This Row],[Estimated labor hours]],tblWorkPackages[[#This Row],[Calibrated forecast hours]])</f>
        <v>2.22893081761006</v>
      </c>
      <c r="W884" s="64">
        <f>DATEVALUE(tblWorkPackages[[#This Row],[Request date]])</f>
        <v>46010.0</v>
      </c>
      <c r="X884" s="64">
        <f>DATEVALUE(tblWorkPackages[[#This Row],[Due date]])</f>
        <v>46023.0</v>
      </c>
      <c r="Y884" s="64">
        <f>DATEVALUE(tblWorkPackages[[#This Row],[Completion date]])</f>
        <v>46027.0</v>
      </c>
      <c r="Z884" s="64">
        <f>_xlfn.MINIFS(tblLaborEntries[Work date serial],tblLaborEntries[Work package ID],tblWorkPackages[[#This Row],[Work package ID]])</f>
        <v>46023.0</v>
      </c>
      <c r="AA884" s="64">
        <f>_xlfn.MAXIFS(tblLaborEntries[Work date serial],tblLaborEntries[Work package ID],tblWorkPackages[[#This Row],[Work package ID]])</f>
        <v>46025.0</v>
      </c>
      <c r="AB884" s="65">
        <f>IF(tblWorkPackages[[#This Row],[Completion date serial]]&gt;tblWorkPackages[[#This Row],[Due date serial]],1,0)</f>
        <v>1</v>
      </c>
      <c r="AC884" s="65">
        <f>MAX(0,tblWorkPackages[[#This Row],[Completion date serial]]-tblWorkPackages[[#This Row],[Due date serial]])</f>
        <v>4</v>
      </c>
      <c r="AD884" s="65">
        <f>tblWorkPackages[[#This Row],[First labor date]]-tblWorkPackages[[#This Row],[Request date serial]]</f>
        <v>13</v>
      </c>
      <c r="AE884" s="65">
        <f>tblWorkPackages[[#This Row],[Last labor date]]-tblWorkPackages[[#This Row],[First labor date]]</f>
        <v>2</v>
      </c>
      <c r="AF884" s="65">
        <f>tblWorkPackages[[#This Row],[Completion date serial]]-tblWorkPackages[[#This Row],[Last labor date]]</f>
        <v>2</v>
      </c>
      <c r="AG884" s="65">
        <f>tblWorkPackages[[#This Row],[Completion date serial]]-tblWorkPackages[[#This Row],[Request date serial]]</f>
        <v>17</v>
      </c>
      <c r="AH884" s="65">
        <f>IFERROR(INDEX(tblParts[Delay days],MATCH(tblWorkPackages[[#This Row],[Work package ID]],tblParts[Work package ID],0)),0)</f>
        <v>0</v>
      </c>
      <c r="AI884" s="51" t="str">
        <f>IFERROR(INDEX(tblDisruptions[Event type],MATCH(tblWorkPackages[[#This Row],[Work package ID]],tblDisruptions[Work package ID],0)),"None")</f>
        <v>None</v>
      </c>
      <c r="AJ884" s="51" t="str">
        <f>TEXT(tblWorkPackages[[#This Row],[Due date serial]],"yyyy-mm")</f>
        <v>2026-01</v>
      </c>
    </row>
    <row r="885" spans="1:36" ht="15" x14ac:dyDescent="0.25">
      <c r="A885" s="53" t="s">
        <v>1772</v>
      </c>
      <c r="B885" s="53" t="s">
        <v>157</v>
      </c>
      <c r="C885" s="53" t="s">
        <v>343</v>
      </c>
      <c r="D885" s="53" t="s">
        <v>1409</v>
      </c>
      <c r="E885" s="53" t="s">
        <v>127</v>
      </c>
      <c r="F885" s="53" t="s">
        <v>128</v>
      </c>
      <c r="G885" s="53" t="s">
        <v>129</v>
      </c>
      <c r="H885" s="53">
        <v>4</v>
      </c>
      <c r="I885" s="53" t="s">
        <v>130</v>
      </c>
      <c r="J885" s="53">
        <v>0</v>
      </c>
      <c r="K885" s="53">
        <v>0</v>
      </c>
      <c r="L885" s="53">
        <v>12.2</v>
      </c>
      <c r="M885" s="53" t="s">
        <v>1473</v>
      </c>
      <c r="N885" s="53">
        <v>10.5</v>
      </c>
      <c r="O885" s="51" t="str">
        <f>TEXT(tblWorkPackages[[#This Row],[Request date serial]]-WEEKDAY(tblWorkPackages[[#This Row],[Request date serial]],3),"yyyy-mm-dd")</f>
        <v>2025-07-21</v>
      </c>
      <c r="P885" s="51">
        <f>ABS(tblWorkPackages[[#This Row],[Actual labor hours]]-tblWorkPackages[[#This Row],[Estimated labor hours]])</f>
        <v>1.7</v>
      </c>
      <c r="Q885" s="51">
        <f>IF(tblWorkPackages[[#This Row],[Actual labor hours]]&gt;tblWorkPackages[[#This Row],[Estimated labor hours]],1,0)</f>
        <v>0</v>
      </c>
      <c r="R885" s="51">
        <f>tblWorkPackages[[#This Row],[Actual labor hours]]-tblWorkPackages[[#This Row],[Estimated labor hours]]</f>
        <v>-1.7</v>
      </c>
      <c r="S885" s="51" t="str">
        <f>IF(tblWorkPackages[[#This Row],[Request date serial]]&lt;ValidationStart,"Train 2024",IF(tblWorkPackages[[#This Row],[Request date serial]]&lt;HoldoutStart,"Validation H1","Holdout H2"))</f>
        <v>Holdout H2</v>
      </c>
      <c r="T885" s="51">
        <f>IF(tblWorkPackages[[#This Row],[Time split]]="Train 2024","",tblWorkPackages[[#This Row],[Estimated labor hours]]+VLOOKUP(tblWorkPackages[[#This Row],[Task type]],'Forecast validation'!$A$14:$E$25,IF(tblWorkPackages[[#This Row],[Time split]]="Validation H1",4,5),FALSE()))</f>
        <v>12.7434108527132</v>
      </c>
      <c r="U885" s="51">
        <f>IF(tblWorkPackages[[#This Row],[Calibrated forecast hours]]="","",ABS(tblWorkPackages[[#This Row],[Actual labor hours]]-tblWorkPackages[[#This Row],[Calibrated forecast hours]]))</f>
        <v>2.24341085271318</v>
      </c>
      <c r="V885" s="51">
        <f>IF(tblWorkPackages[[#This Row],[Time split]]="Train 2024",tblWorkPackages[[#This Row],[Estimated labor hours]],tblWorkPackages[[#This Row],[Calibrated forecast hours]])</f>
        <v>12.7434108527132</v>
      </c>
      <c r="W885" s="64">
        <f>DATEVALUE(tblWorkPackages[[#This Row],[Request date]])</f>
        <v>45862.0</v>
      </c>
      <c r="X885" s="64">
        <f>DATEVALUE(tblWorkPackages[[#This Row],[Due date]])</f>
        <v>45875.0</v>
      </c>
      <c r="Y885" s="64">
        <f>DATEVALUE(tblWorkPackages[[#This Row],[Completion date]])</f>
        <v>45869.0</v>
      </c>
      <c r="Z885" s="64">
        <f>_xlfn.MINIFS(tblLaborEntries[Work date serial],tblLaborEntries[Work package ID],tblWorkPackages[[#This Row],[Work package ID]])</f>
        <v>45865.0</v>
      </c>
      <c r="AA885" s="64">
        <f>_xlfn.MAXIFS(tblLaborEntries[Work date serial],tblLaborEntries[Work package ID],tblWorkPackages[[#This Row],[Work package ID]])</f>
        <v>45866.0</v>
      </c>
      <c r="AB885" s="65">
        <f>IF(tblWorkPackages[[#This Row],[Completion date serial]]&gt;tblWorkPackages[[#This Row],[Due date serial]],1,0)</f>
        <v>0</v>
      </c>
      <c r="AC885" s="65">
        <f>MAX(0,tblWorkPackages[[#This Row],[Completion date serial]]-tblWorkPackages[[#This Row],[Due date serial]])</f>
        <v>0</v>
      </c>
      <c r="AD885" s="65">
        <f>tblWorkPackages[[#This Row],[First labor date]]-tblWorkPackages[[#This Row],[Request date serial]]</f>
        <v>3</v>
      </c>
      <c r="AE885" s="65">
        <f>tblWorkPackages[[#This Row],[Last labor date]]-tblWorkPackages[[#This Row],[First labor date]]</f>
        <v>1</v>
      </c>
      <c r="AF885" s="65">
        <f>tblWorkPackages[[#This Row],[Completion date serial]]-tblWorkPackages[[#This Row],[Last labor date]]</f>
        <v>3</v>
      </c>
      <c r="AG885" s="65">
        <f>tblWorkPackages[[#This Row],[Completion date serial]]-tblWorkPackages[[#This Row],[Request date serial]]</f>
        <v>7</v>
      </c>
      <c r="AH885" s="65">
        <f>IFERROR(INDEX(tblParts[Delay days],MATCH(tblWorkPackages[[#This Row],[Work package ID]],tblParts[Work package ID],0)),0)</f>
        <v>0</v>
      </c>
      <c r="AI885" s="51" t="str">
        <f>IFERROR(INDEX(tblDisruptions[Event type],MATCH(tblWorkPackages[[#This Row],[Work package ID]],tblDisruptions[Work package ID],0)),"None")</f>
        <v>None</v>
      </c>
      <c r="AJ885" s="51" t="str">
        <f>TEXT(tblWorkPackages[[#This Row],[Due date serial]],"yyyy-mm")</f>
        <v>2025-08</v>
      </c>
    </row>
    <row r="886" spans="1:36" ht="15" x14ac:dyDescent="0.25">
      <c r="A886" s="53" t="s">
        <v>1773</v>
      </c>
      <c r="B886" s="53" t="s">
        <v>124</v>
      </c>
      <c r="C886" s="53" t="s">
        <v>190</v>
      </c>
      <c r="D886" s="53" t="s">
        <v>191</v>
      </c>
      <c r="E886" s="53" t="s">
        <v>136</v>
      </c>
      <c r="F886" s="53" t="s">
        <v>137</v>
      </c>
      <c r="G886" s="53" t="s">
        <v>138</v>
      </c>
      <c r="H886" s="53">
        <v>1</v>
      </c>
      <c r="I886" s="53" t="s">
        <v>130</v>
      </c>
      <c r="J886" s="53">
        <v>0</v>
      </c>
      <c r="K886" s="53">
        <v>0</v>
      </c>
      <c r="L886" s="53">
        <v>9</v>
      </c>
      <c r="M886" s="53" t="s">
        <v>462</v>
      </c>
      <c r="N886" s="53">
        <v>10</v>
      </c>
      <c r="O886" s="51" t="str">
        <f>TEXT(tblWorkPackages[[#This Row],[Request date serial]]-WEEKDAY(tblWorkPackages[[#This Row],[Request date serial]],3),"yyyy-mm-dd")</f>
        <v>2025-08-11</v>
      </c>
      <c r="P886" s="51">
        <f>ABS(tblWorkPackages[[#This Row],[Actual labor hours]]-tblWorkPackages[[#This Row],[Estimated labor hours]])</f>
        <v>1</v>
      </c>
      <c r="Q886" s="51">
        <f>IF(tblWorkPackages[[#This Row],[Actual labor hours]]&gt;tblWorkPackages[[#This Row],[Estimated labor hours]],1,0)</f>
        <v>1</v>
      </c>
      <c r="R886" s="51">
        <f>tblWorkPackages[[#This Row],[Actual labor hours]]-tblWorkPackages[[#This Row],[Estimated labor hours]]</f>
        <v>1</v>
      </c>
      <c r="S886" s="51" t="str">
        <f>IF(tblWorkPackages[[#This Row],[Request date serial]]&lt;ValidationStart,"Train 2024",IF(tblWorkPackages[[#This Row],[Request date serial]]&lt;HoldoutStart,"Validation H1","Holdout H2"))</f>
        <v>Holdout H2</v>
      </c>
      <c r="T886" s="51">
        <f>IF(tblWorkPackages[[#This Row],[Time split]]="Train 2024","",tblWorkPackages[[#This Row],[Estimated labor hours]]+VLOOKUP(tblWorkPackages[[#This Row],[Task type]],'Forecast validation'!$A$14:$E$25,IF(tblWorkPackages[[#This Row],[Time split]]="Validation H1",4,5),FALSE()))</f>
        <v>9.92075471698113</v>
      </c>
      <c r="U886" s="51">
        <f>IF(tblWorkPackages[[#This Row],[Calibrated forecast hours]]="","",ABS(tblWorkPackages[[#This Row],[Actual labor hours]]-tblWorkPackages[[#This Row],[Calibrated forecast hours]]))</f>
        <v>0.079245283018869</v>
      </c>
      <c r="V886" s="51">
        <f>IF(tblWorkPackages[[#This Row],[Time split]]="Train 2024",tblWorkPackages[[#This Row],[Estimated labor hours]],tblWorkPackages[[#This Row],[Calibrated forecast hours]])</f>
        <v>9.92075471698113</v>
      </c>
      <c r="W886" s="64">
        <f>DATEVALUE(tblWorkPackages[[#This Row],[Request date]])</f>
        <v>45883.0</v>
      </c>
      <c r="X886" s="64">
        <f>DATEVALUE(tblWorkPackages[[#This Row],[Due date]])</f>
        <v>45896.0</v>
      </c>
      <c r="Y886" s="64">
        <f>DATEVALUE(tblWorkPackages[[#This Row],[Completion date]])</f>
        <v>45925.0</v>
      </c>
      <c r="Z886" s="64">
        <f>_xlfn.MINIFS(tblLaborEntries[Work date serial],tblLaborEntries[Work package ID],tblWorkPackages[[#This Row],[Work package ID]])</f>
        <v>45925.0</v>
      </c>
      <c r="AA886" s="64">
        <f>_xlfn.MAXIFS(tblLaborEntries[Work date serial],tblLaborEntries[Work package ID],tblWorkPackages[[#This Row],[Work package ID]])</f>
        <v>45925.0</v>
      </c>
      <c r="AB886" s="65">
        <f>IF(tblWorkPackages[[#This Row],[Completion date serial]]&gt;tblWorkPackages[[#This Row],[Due date serial]],1,0)</f>
        <v>1</v>
      </c>
      <c r="AC886" s="65">
        <f>MAX(0,tblWorkPackages[[#This Row],[Completion date serial]]-tblWorkPackages[[#This Row],[Due date serial]])</f>
        <v>29</v>
      </c>
      <c r="AD886" s="65">
        <f>tblWorkPackages[[#This Row],[First labor date]]-tblWorkPackages[[#This Row],[Request date serial]]</f>
        <v>42</v>
      </c>
      <c r="AE886" s="65">
        <f>tblWorkPackages[[#This Row],[Last labor date]]-tblWorkPackages[[#This Row],[First labor date]]</f>
        <v>0</v>
      </c>
      <c r="AF886" s="65">
        <f>tblWorkPackages[[#This Row],[Completion date serial]]-tblWorkPackages[[#This Row],[Last labor date]]</f>
        <v>0</v>
      </c>
      <c r="AG886" s="65">
        <f>tblWorkPackages[[#This Row],[Completion date serial]]-tblWorkPackages[[#This Row],[Request date serial]]</f>
        <v>42</v>
      </c>
      <c r="AH886" s="65">
        <f>IFERROR(INDEX(tblParts[Delay days],MATCH(tblWorkPackages[[#This Row],[Work package ID]],tblParts[Work package ID],0)),0)</f>
        <v>0</v>
      </c>
      <c r="AI886" s="51" t="str">
        <f>IFERROR(INDEX(tblDisruptions[Event type],MATCH(tblWorkPackages[[#This Row],[Work package ID]],tblDisruptions[Work package ID],0)),"None")</f>
        <v>None</v>
      </c>
      <c r="AJ886" s="51" t="str">
        <f>TEXT(tblWorkPackages[[#This Row],[Due date serial]],"yyyy-mm")</f>
        <v>2025-08</v>
      </c>
    </row>
    <row r="887" spans="1:36" ht="15" x14ac:dyDescent="0.25">
      <c r="A887" s="53" t="s">
        <v>1774</v>
      </c>
      <c r="B887" s="53" t="s">
        <v>185</v>
      </c>
      <c r="C887" s="53" t="s">
        <v>462</v>
      </c>
      <c r="D887" s="53" t="s">
        <v>495</v>
      </c>
      <c r="E887" s="53" t="s">
        <v>160</v>
      </c>
      <c r="F887" s="53" t="s">
        <v>128</v>
      </c>
      <c r="G887" s="53" t="s">
        <v>138</v>
      </c>
      <c r="H887" s="53">
        <v>3</v>
      </c>
      <c r="I887" s="53" t="s">
        <v>130</v>
      </c>
      <c r="J887" s="53">
        <v>0</v>
      </c>
      <c r="K887" s="53">
        <v>0</v>
      </c>
      <c r="L887" s="53">
        <v>5.9</v>
      </c>
      <c r="M887" s="53" t="s">
        <v>1130</v>
      </c>
      <c r="N887" s="53">
        <v>5.2</v>
      </c>
      <c r="O887" s="51" t="str">
        <f>TEXT(tblWorkPackages[[#This Row],[Request date serial]]-WEEKDAY(tblWorkPackages[[#This Row],[Request date serial]],3),"yyyy-mm-dd")</f>
        <v>2025-09-22</v>
      </c>
      <c r="P887" s="51">
        <f>ABS(tblWorkPackages[[#This Row],[Actual labor hours]]-tblWorkPackages[[#This Row],[Estimated labor hours]])</f>
        <v>0.7</v>
      </c>
      <c r="Q887" s="51">
        <f>IF(tblWorkPackages[[#This Row],[Actual labor hours]]&gt;tblWorkPackages[[#This Row],[Estimated labor hours]],1,0)</f>
        <v>0</v>
      </c>
      <c r="R887" s="51">
        <f>tblWorkPackages[[#This Row],[Actual labor hours]]-tblWorkPackages[[#This Row],[Estimated labor hours]]</f>
        <v>-0.7</v>
      </c>
      <c r="S887" s="51" t="str">
        <f>IF(tblWorkPackages[[#This Row],[Request date serial]]&lt;ValidationStart,"Train 2024",IF(tblWorkPackages[[#This Row],[Request date serial]]&lt;HoldoutStart,"Validation H1","Holdout H2"))</f>
        <v>Holdout H2</v>
      </c>
      <c r="T887" s="51">
        <f>IF(tblWorkPackages[[#This Row],[Time split]]="Train 2024","",tblWorkPackages[[#This Row],[Estimated labor hours]]+VLOOKUP(tblWorkPackages[[#This Row],[Task type]],'Forecast validation'!$A$14:$E$25,IF(tblWorkPackages[[#This Row],[Time split]]="Validation H1",4,5),FALSE()))</f>
        <v>6.33739837398374</v>
      </c>
      <c r="U887" s="51">
        <f>IF(tblWorkPackages[[#This Row],[Calibrated forecast hours]]="","",ABS(tblWorkPackages[[#This Row],[Actual labor hours]]-tblWorkPackages[[#This Row],[Calibrated forecast hours]]))</f>
        <v>1.13739837398374</v>
      </c>
      <c r="V887" s="51">
        <f>IF(tblWorkPackages[[#This Row],[Time split]]="Train 2024",tblWorkPackages[[#This Row],[Estimated labor hours]],tblWorkPackages[[#This Row],[Calibrated forecast hours]])</f>
        <v>6.33739837398374</v>
      </c>
      <c r="W887" s="64">
        <f>DATEVALUE(tblWorkPackages[[#This Row],[Request date]])</f>
        <v>45925.0</v>
      </c>
      <c r="X887" s="64">
        <f>DATEVALUE(tblWorkPackages[[#This Row],[Due date]])</f>
        <v>45938.0</v>
      </c>
      <c r="Y887" s="64">
        <f>DATEVALUE(tblWorkPackages[[#This Row],[Completion date]])</f>
        <v>45935.0</v>
      </c>
      <c r="Z887" s="64">
        <f>_xlfn.MINIFS(tblLaborEntries[Work date serial],tblLaborEntries[Work package ID],tblWorkPackages[[#This Row],[Work package ID]])</f>
        <v>45932.0</v>
      </c>
      <c r="AA887" s="64">
        <f>_xlfn.MAXIFS(tblLaborEntries[Work date serial],tblLaborEntries[Work package ID],tblWorkPackages[[#This Row],[Work package ID]])</f>
        <v>45934.0</v>
      </c>
      <c r="AB887" s="65">
        <f>IF(tblWorkPackages[[#This Row],[Completion date serial]]&gt;tblWorkPackages[[#This Row],[Due date serial]],1,0)</f>
        <v>0</v>
      </c>
      <c r="AC887" s="65">
        <f>MAX(0,tblWorkPackages[[#This Row],[Completion date serial]]-tblWorkPackages[[#This Row],[Due date serial]])</f>
        <v>0</v>
      </c>
      <c r="AD887" s="65">
        <f>tblWorkPackages[[#This Row],[First labor date]]-tblWorkPackages[[#This Row],[Request date serial]]</f>
        <v>7</v>
      </c>
      <c r="AE887" s="65">
        <f>tblWorkPackages[[#This Row],[Last labor date]]-tblWorkPackages[[#This Row],[First labor date]]</f>
        <v>2</v>
      </c>
      <c r="AF887" s="65">
        <f>tblWorkPackages[[#This Row],[Completion date serial]]-tblWorkPackages[[#This Row],[Last labor date]]</f>
        <v>1</v>
      </c>
      <c r="AG887" s="65">
        <f>tblWorkPackages[[#This Row],[Completion date serial]]-tblWorkPackages[[#This Row],[Request date serial]]</f>
        <v>10</v>
      </c>
      <c r="AH887" s="65">
        <f>IFERROR(INDEX(tblParts[Delay days],MATCH(tblWorkPackages[[#This Row],[Work package ID]],tblParts[Work package ID],0)),0)</f>
        <v>0</v>
      </c>
      <c r="AI887" s="51" t="str">
        <f>IFERROR(INDEX(tblDisruptions[Event type],MATCH(tblWorkPackages[[#This Row],[Work package ID]],tblDisruptions[Work package ID],0)),"None")</f>
        <v>None</v>
      </c>
      <c r="AJ887" s="51" t="str">
        <f>TEXT(tblWorkPackages[[#This Row],[Due date serial]],"yyyy-mm")</f>
        <v>2025-10</v>
      </c>
    </row>
    <row r="888" spans="1:36" ht="15" x14ac:dyDescent="0.25">
      <c r="A888" s="53" t="s">
        <v>1775</v>
      </c>
      <c r="B888" s="53" t="s">
        <v>235</v>
      </c>
      <c r="C888" s="53" t="s">
        <v>1776</v>
      </c>
      <c r="D888" s="53" t="s">
        <v>1777</v>
      </c>
      <c r="E888" s="53" t="s">
        <v>136</v>
      </c>
      <c r="F888" s="53" t="s">
        <v>137</v>
      </c>
      <c r="G888" s="53" t="s">
        <v>138</v>
      </c>
      <c r="H888" s="53">
        <v>3</v>
      </c>
      <c r="I888" s="53" t="s">
        <v>130</v>
      </c>
      <c r="J888" s="53">
        <v>0</v>
      </c>
      <c r="K888" s="53">
        <v>1</v>
      </c>
      <c r="L888" s="53">
        <v>17.3</v>
      </c>
      <c r="M888" s="53" t="s">
        <v>824</v>
      </c>
      <c r="N888" s="53">
        <v>14.2</v>
      </c>
      <c r="O888" s="51" t="str">
        <f>TEXT(tblWorkPackages[[#This Row],[Request date serial]]-WEEKDAY(tblWorkPackages[[#This Row],[Request date serial]],3),"yyyy-mm-dd")</f>
        <v>2024-11-18</v>
      </c>
      <c r="P888" s="51">
        <f>ABS(tblWorkPackages[[#This Row],[Actual labor hours]]-tblWorkPackages[[#This Row],[Estimated labor hours]])</f>
        <v>3.1</v>
      </c>
      <c r="Q888" s="51">
        <f>IF(tblWorkPackages[[#This Row],[Actual labor hours]]&gt;tblWorkPackages[[#This Row],[Estimated labor hours]],1,0)</f>
        <v>0</v>
      </c>
      <c r="R888" s="51">
        <f>tblWorkPackages[[#This Row],[Actual labor hours]]-tblWorkPackages[[#This Row],[Estimated labor hours]]</f>
        <v>-3.1</v>
      </c>
      <c r="S888" s="51" t="str">
        <f>IF(tblWorkPackages[[#This Row],[Request date serial]]&lt;ValidationStart,"Train 2024",IF(tblWorkPackages[[#This Row],[Request date serial]]&lt;HoldoutStart,"Validation H1","Holdout H2"))</f>
        <v>Train 2024</v>
      </c>
      <c r="T888" s="51" t="str">
        <f>IF(tblWorkPackages[[#This Row],[Time split]]="Train 2024","",tblWorkPackages[[#This Row],[Estimated labor hours]]+VLOOKUP(tblWorkPackages[[#This Row],[Task type]],'Forecast validation'!$A$14:$E$25,IF(tblWorkPackages[[#This Row],[Time split]]="Validation H1",4,5),FALSE()))</f>
        <v/>
      </c>
      <c r="U888" s="51" t="str">
        <f>IF(tblWorkPackages[[#This Row],[Calibrated forecast hours]]="","",ABS(tblWorkPackages[[#This Row],[Actual labor hours]]-tblWorkPackages[[#This Row],[Calibrated forecast hours]]))</f>
        <v/>
      </c>
      <c r="V888" s="51">
        <f>IF(tblWorkPackages[[#This Row],[Time split]]="Train 2024",tblWorkPackages[[#This Row],[Estimated labor hours]],tblWorkPackages[[#This Row],[Calibrated forecast hours]])</f>
        <v>17.3</v>
      </c>
      <c r="W888" s="64">
        <f>DATEVALUE(tblWorkPackages[[#This Row],[Request date]])</f>
        <v>45616.0</v>
      </c>
      <c r="X888" s="64">
        <f>DATEVALUE(tblWorkPackages[[#This Row],[Due date]])</f>
        <v>45629.0</v>
      </c>
      <c r="Y888" s="64">
        <f>DATEVALUE(tblWorkPackages[[#This Row],[Completion date]])</f>
        <v>45620.0</v>
      </c>
      <c r="Z888" s="64">
        <f>_xlfn.MINIFS(tblLaborEntries[Work date serial],tblLaborEntries[Work package ID],tblWorkPackages[[#This Row],[Work package ID]])</f>
        <v>45618.0</v>
      </c>
      <c r="AA888" s="64">
        <f>_xlfn.MAXIFS(tblLaborEntries[Work date serial],tblLaborEntries[Work package ID],tblWorkPackages[[#This Row],[Work package ID]])</f>
        <v>45618.0</v>
      </c>
      <c r="AB888" s="65">
        <f>IF(tblWorkPackages[[#This Row],[Completion date serial]]&gt;tblWorkPackages[[#This Row],[Due date serial]],1,0)</f>
        <v>0</v>
      </c>
      <c r="AC888" s="65">
        <f>MAX(0,tblWorkPackages[[#This Row],[Completion date serial]]-tblWorkPackages[[#This Row],[Due date serial]])</f>
        <v>0</v>
      </c>
      <c r="AD888" s="65">
        <f>tblWorkPackages[[#This Row],[First labor date]]-tblWorkPackages[[#This Row],[Request date serial]]</f>
        <v>2</v>
      </c>
      <c r="AE888" s="65">
        <f>tblWorkPackages[[#This Row],[Last labor date]]-tblWorkPackages[[#This Row],[First labor date]]</f>
        <v>0</v>
      </c>
      <c r="AF888" s="65">
        <f>tblWorkPackages[[#This Row],[Completion date serial]]-tblWorkPackages[[#This Row],[Last labor date]]</f>
        <v>2</v>
      </c>
      <c r="AG888" s="65">
        <f>tblWorkPackages[[#This Row],[Completion date serial]]-tblWorkPackages[[#This Row],[Request date serial]]</f>
        <v>4</v>
      </c>
      <c r="AH888" s="65">
        <f>IFERROR(INDEX(tblParts[Delay days],MATCH(tblWorkPackages[[#This Row],[Work package ID]],tblParts[Work package ID],0)),0)</f>
        <v>0</v>
      </c>
      <c r="AI888" s="51" t="str">
        <f>IFERROR(INDEX(tblDisruptions[Event type],MATCH(tblWorkPackages[[#This Row],[Work package ID]],tblDisruptions[Work package ID],0)),"None")</f>
        <v>None</v>
      </c>
      <c r="AJ888" s="51" t="str">
        <f>TEXT(tblWorkPackages[[#This Row],[Due date serial]],"yyyy-mm")</f>
        <v>2024-12</v>
      </c>
    </row>
    <row r="889" spans="1:36" ht="15" x14ac:dyDescent="0.25">
      <c r="A889" s="53" t="s">
        <v>1778</v>
      </c>
      <c r="B889" s="53" t="s">
        <v>250</v>
      </c>
      <c r="C889" s="53" t="s">
        <v>520</v>
      </c>
      <c r="D889" s="53" t="s">
        <v>459</v>
      </c>
      <c r="E889" s="53" t="s">
        <v>242</v>
      </c>
      <c r="F889" s="53" t="s">
        <v>243</v>
      </c>
      <c r="G889" s="53" t="s">
        <v>129</v>
      </c>
      <c r="H889" s="53">
        <v>4</v>
      </c>
      <c r="I889" s="53" t="s">
        <v>147</v>
      </c>
      <c r="J889" s="53">
        <v>0</v>
      </c>
      <c r="K889" s="53">
        <v>0</v>
      </c>
      <c r="L889" s="53">
        <v>14.7</v>
      </c>
      <c r="M889" s="53" t="s">
        <v>284</v>
      </c>
      <c r="N889" s="53">
        <v>12.3</v>
      </c>
      <c r="O889" s="51" t="str">
        <f>TEXT(tblWorkPackages[[#This Row],[Request date serial]]-WEEKDAY(tblWorkPackages[[#This Row],[Request date serial]],3),"yyyy-mm-dd")</f>
        <v>2025-08-18</v>
      </c>
      <c r="P889" s="51">
        <f>ABS(tblWorkPackages[[#This Row],[Actual labor hours]]-tblWorkPackages[[#This Row],[Estimated labor hours]])</f>
        <v>2.4</v>
      </c>
      <c r="Q889" s="51">
        <f>IF(tblWorkPackages[[#This Row],[Actual labor hours]]&gt;tblWorkPackages[[#This Row],[Estimated labor hours]],1,0)</f>
        <v>0</v>
      </c>
      <c r="R889" s="51">
        <f>tblWorkPackages[[#This Row],[Actual labor hours]]-tblWorkPackages[[#This Row],[Estimated labor hours]]</f>
        <v>-2.4</v>
      </c>
      <c r="S889" s="51" t="str">
        <f>IF(tblWorkPackages[[#This Row],[Request date serial]]&lt;ValidationStart,"Train 2024",IF(tblWorkPackages[[#This Row],[Request date serial]]&lt;HoldoutStart,"Validation H1","Holdout H2"))</f>
        <v>Holdout H2</v>
      </c>
      <c r="T889" s="51">
        <f>IF(tblWorkPackages[[#This Row],[Time split]]="Train 2024","",tblWorkPackages[[#This Row],[Estimated labor hours]]+VLOOKUP(tblWorkPackages[[#This Row],[Task type]],'Forecast validation'!$A$14:$E$25,IF(tblWorkPackages[[#This Row],[Time split]]="Validation H1",4,5),FALSE()))</f>
        <v>15.5254545454545</v>
      </c>
      <c r="U889" s="51">
        <f>IF(tblWorkPackages[[#This Row],[Calibrated forecast hours]]="","",ABS(tblWorkPackages[[#This Row],[Actual labor hours]]-tblWorkPackages[[#This Row],[Calibrated forecast hours]]))</f>
        <v>3.22545454545454</v>
      </c>
      <c r="V889" s="51">
        <f>IF(tblWorkPackages[[#This Row],[Time split]]="Train 2024",tblWorkPackages[[#This Row],[Estimated labor hours]],tblWorkPackages[[#This Row],[Calibrated forecast hours]])</f>
        <v>15.5254545454545</v>
      </c>
      <c r="W889" s="64">
        <f>DATEVALUE(tblWorkPackages[[#This Row],[Request date]])</f>
        <v>45890.0</v>
      </c>
      <c r="X889" s="64">
        <f>DATEVALUE(tblWorkPackages[[#This Row],[Due date]])</f>
        <v>45892.0</v>
      </c>
      <c r="Y889" s="64">
        <f>DATEVALUE(tblWorkPackages[[#This Row],[Completion date]])</f>
        <v>45910.0</v>
      </c>
      <c r="Z889" s="64">
        <f>_xlfn.MINIFS(tblLaborEntries[Work date serial],tblLaborEntries[Work package ID],tblWorkPackages[[#This Row],[Work package ID]])</f>
        <v>45907.0</v>
      </c>
      <c r="AA889" s="64">
        <f>_xlfn.MAXIFS(tblLaborEntries[Work date serial],tblLaborEntries[Work package ID],tblWorkPackages[[#This Row],[Work package ID]])</f>
        <v>45907.0</v>
      </c>
      <c r="AB889" s="65">
        <f>IF(tblWorkPackages[[#This Row],[Completion date serial]]&gt;tblWorkPackages[[#This Row],[Due date serial]],1,0)</f>
        <v>1</v>
      </c>
      <c r="AC889" s="65">
        <f>MAX(0,tblWorkPackages[[#This Row],[Completion date serial]]-tblWorkPackages[[#This Row],[Due date serial]])</f>
        <v>18</v>
      </c>
      <c r="AD889" s="65">
        <f>tblWorkPackages[[#This Row],[First labor date]]-tblWorkPackages[[#This Row],[Request date serial]]</f>
        <v>17</v>
      </c>
      <c r="AE889" s="65">
        <f>tblWorkPackages[[#This Row],[Last labor date]]-tblWorkPackages[[#This Row],[First labor date]]</f>
        <v>0</v>
      </c>
      <c r="AF889" s="65">
        <f>tblWorkPackages[[#This Row],[Completion date serial]]-tblWorkPackages[[#This Row],[Last labor date]]</f>
        <v>3</v>
      </c>
      <c r="AG889" s="65">
        <f>tblWorkPackages[[#This Row],[Completion date serial]]-tblWorkPackages[[#This Row],[Request date serial]]</f>
        <v>20</v>
      </c>
      <c r="AH889" s="65">
        <f>IFERROR(INDEX(tblParts[Delay days],MATCH(tblWorkPackages[[#This Row],[Work package ID]],tblParts[Work package ID],0)),0)</f>
        <v>0</v>
      </c>
      <c r="AI889" s="51" t="str">
        <f>IFERROR(INDEX(tblDisruptions[Event type],MATCH(tblWorkPackages[[#This Row],[Work package ID]],tblDisruptions[Work package ID],0)),"None")</f>
        <v>None</v>
      </c>
      <c r="AJ889" s="51" t="str">
        <f>TEXT(tblWorkPackages[[#This Row],[Due date serial]],"yyyy-mm")</f>
        <v>2025-08</v>
      </c>
    </row>
    <row r="890" spans="1:36" ht="15" x14ac:dyDescent="0.25">
      <c r="A890" s="53" t="s">
        <v>1779</v>
      </c>
      <c r="B890" s="53" t="s">
        <v>230</v>
      </c>
      <c r="C890" s="53" t="s">
        <v>276</v>
      </c>
      <c r="D890" s="53" t="s">
        <v>509</v>
      </c>
      <c r="E890" s="53" t="s">
        <v>144</v>
      </c>
      <c r="F890" s="53" t="s">
        <v>145</v>
      </c>
      <c r="G890" s="53" t="s">
        <v>146</v>
      </c>
      <c r="H890" s="53">
        <v>4</v>
      </c>
      <c r="I890" s="53" t="s">
        <v>130</v>
      </c>
      <c r="J890" s="53">
        <v>0</v>
      </c>
      <c r="K890" s="53">
        <v>1</v>
      </c>
      <c r="L890" s="53">
        <v>17.899999999999999</v>
      </c>
      <c r="M890" s="53" t="s">
        <v>723</v>
      </c>
      <c r="N890" s="53">
        <v>17.5</v>
      </c>
      <c r="O890" s="51" t="str">
        <f>TEXT(tblWorkPackages[[#This Row],[Request date serial]]-WEEKDAY(tblWorkPackages[[#This Row],[Request date serial]],3),"yyyy-mm-dd")</f>
        <v>2024-10-14</v>
      </c>
      <c r="P890" s="51">
        <f>ABS(tblWorkPackages[[#This Row],[Actual labor hours]]-tblWorkPackages[[#This Row],[Estimated labor hours]])</f>
        <v>0.399999999999999</v>
      </c>
      <c r="Q890" s="51">
        <f>IF(tblWorkPackages[[#This Row],[Actual labor hours]]&gt;tblWorkPackages[[#This Row],[Estimated labor hours]],1,0)</f>
        <v>0</v>
      </c>
      <c r="R890" s="51">
        <f>tblWorkPackages[[#This Row],[Actual labor hours]]-tblWorkPackages[[#This Row],[Estimated labor hours]]</f>
        <v>-0.399999999999999</v>
      </c>
      <c r="S890" s="51" t="str">
        <f>IF(tblWorkPackages[[#This Row],[Request date serial]]&lt;ValidationStart,"Train 2024",IF(tblWorkPackages[[#This Row],[Request date serial]]&lt;HoldoutStart,"Validation H1","Holdout H2"))</f>
        <v>Train 2024</v>
      </c>
      <c r="T890" s="51" t="str">
        <f>IF(tblWorkPackages[[#This Row],[Time split]]="Train 2024","",tblWorkPackages[[#This Row],[Estimated labor hours]]+VLOOKUP(tblWorkPackages[[#This Row],[Task type]],'Forecast validation'!$A$14:$E$25,IF(tblWorkPackages[[#This Row],[Time split]]="Validation H1",4,5),FALSE()))</f>
        <v/>
      </c>
      <c r="U890" s="51" t="str">
        <f>IF(tblWorkPackages[[#This Row],[Calibrated forecast hours]]="","",ABS(tblWorkPackages[[#This Row],[Actual labor hours]]-tblWorkPackages[[#This Row],[Calibrated forecast hours]]))</f>
        <v/>
      </c>
      <c r="V890" s="51">
        <f>IF(tblWorkPackages[[#This Row],[Time split]]="Train 2024",tblWorkPackages[[#This Row],[Estimated labor hours]],tblWorkPackages[[#This Row],[Calibrated forecast hours]])</f>
        <v>17.9</v>
      </c>
      <c r="W890" s="64">
        <f>DATEVALUE(tblWorkPackages[[#This Row],[Request date]])</f>
        <v>45584.0</v>
      </c>
      <c r="X890" s="64">
        <f>DATEVALUE(tblWorkPackages[[#This Row],[Due date]])</f>
        <v>45597.0</v>
      </c>
      <c r="Y890" s="64">
        <f>DATEVALUE(tblWorkPackages[[#This Row],[Completion date]])</f>
        <v>45589.0</v>
      </c>
      <c r="Z890" s="64">
        <f>_xlfn.MINIFS(tblLaborEntries[Work date serial],tblLaborEntries[Work package ID],tblWorkPackages[[#This Row],[Work package ID]])</f>
        <v>45588.0</v>
      </c>
      <c r="AA890" s="64">
        <f>_xlfn.MAXIFS(tblLaborEntries[Work date serial],tblLaborEntries[Work package ID],tblWorkPackages[[#This Row],[Work package ID]])</f>
        <v>45589.0</v>
      </c>
      <c r="AB890" s="65">
        <f>IF(tblWorkPackages[[#This Row],[Completion date serial]]&gt;tblWorkPackages[[#This Row],[Due date serial]],1,0)</f>
        <v>0</v>
      </c>
      <c r="AC890" s="65">
        <f>MAX(0,tblWorkPackages[[#This Row],[Completion date serial]]-tblWorkPackages[[#This Row],[Due date serial]])</f>
        <v>0</v>
      </c>
      <c r="AD890" s="65">
        <f>tblWorkPackages[[#This Row],[First labor date]]-tblWorkPackages[[#This Row],[Request date serial]]</f>
        <v>4</v>
      </c>
      <c r="AE890" s="65">
        <f>tblWorkPackages[[#This Row],[Last labor date]]-tblWorkPackages[[#This Row],[First labor date]]</f>
        <v>1</v>
      </c>
      <c r="AF890" s="65">
        <f>tblWorkPackages[[#This Row],[Completion date serial]]-tblWorkPackages[[#This Row],[Last labor date]]</f>
        <v>0</v>
      </c>
      <c r="AG890" s="65">
        <f>tblWorkPackages[[#This Row],[Completion date serial]]-tblWorkPackages[[#This Row],[Request date serial]]</f>
        <v>5</v>
      </c>
      <c r="AH890" s="65">
        <f>IFERROR(INDEX(tblParts[Delay days],MATCH(tblWorkPackages[[#This Row],[Work package ID]],tblParts[Work package ID],0)),0)</f>
        <v>0</v>
      </c>
      <c r="AI890" s="51" t="str">
        <f>IFERROR(INDEX(tblDisruptions[Event type],MATCH(tblWorkPackages[[#This Row],[Work package ID]],tblDisruptions[Work package ID],0)),"None")</f>
        <v>None</v>
      </c>
      <c r="AJ890" s="51" t="str">
        <f>TEXT(tblWorkPackages[[#This Row],[Due date serial]],"yyyy-mm")</f>
        <v>2024-11</v>
      </c>
    </row>
    <row r="891" spans="1:36" ht="15" x14ac:dyDescent="0.25">
      <c r="A891" s="53" t="s">
        <v>1780</v>
      </c>
      <c r="B891" s="53" t="s">
        <v>124</v>
      </c>
      <c r="C891" s="53" t="s">
        <v>505</v>
      </c>
      <c r="D891" s="53" t="s">
        <v>353</v>
      </c>
      <c r="E891" s="53" t="s">
        <v>153</v>
      </c>
      <c r="F891" s="53" t="s">
        <v>128</v>
      </c>
      <c r="G891" s="53" t="s">
        <v>154</v>
      </c>
      <c r="H891" s="53">
        <v>2</v>
      </c>
      <c r="I891" s="53" t="s">
        <v>130</v>
      </c>
      <c r="J891" s="53">
        <v>0</v>
      </c>
      <c r="K891" s="53">
        <v>0</v>
      </c>
      <c r="L891" s="53">
        <v>10.3</v>
      </c>
      <c r="M891" s="53" t="s">
        <v>1100</v>
      </c>
      <c r="N891" s="53">
        <v>12.7</v>
      </c>
      <c r="O891" s="51" t="str">
        <f>TEXT(tblWorkPackages[[#This Row],[Request date serial]]-WEEKDAY(tblWorkPackages[[#This Row],[Request date serial]],3),"yyyy-mm-dd")</f>
        <v>2025-02-10</v>
      </c>
      <c r="P891" s="51">
        <f>ABS(tblWorkPackages[[#This Row],[Actual labor hours]]-tblWorkPackages[[#This Row],[Estimated labor hours]])</f>
        <v>2.4</v>
      </c>
      <c r="Q891" s="51">
        <f>IF(tblWorkPackages[[#This Row],[Actual labor hours]]&gt;tblWorkPackages[[#This Row],[Estimated labor hours]],1,0)</f>
        <v>1</v>
      </c>
      <c r="R891" s="51">
        <f>tblWorkPackages[[#This Row],[Actual labor hours]]-tblWorkPackages[[#This Row],[Estimated labor hours]]</f>
        <v>2.4</v>
      </c>
      <c r="S891" s="51" t="str">
        <f>IF(tblWorkPackages[[#This Row],[Request date serial]]&lt;ValidationStart,"Train 2024",IF(tblWorkPackages[[#This Row],[Request date serial]]&lt;HoldoutStart,"Validation H1","Holdout H2"))</f>
        <v>Validation H1</v>
      </c>
      <c r="T891" s="51">
        <f>IF(tblWorkPackages[[#This Row],[Time split]]="Train 2024","",tblWorkPackages[[#This Row],[Estimated labor hours]]+VLOOKUP(tblWorkPackages[[#This Row],[Task type]],'Forecast validation'!$A$14:$E$25,IF(tblWorkPackages[[#This Row],[Time split]]="Validation H1",4,5),FALSE()))</f>
        <v>10.8462264150943</v>
      </c>
      <c r="U891" s="51">
        <f>IF(tblWorkPackages[[#This Row],[Calibrated forecast hours]]="","",ABS(tblWorkPackages[[#This Row],[Actual labor hours]]-tblWorkPackages[[#This Row],[Calibrated forecast hours]]))</f>
        <v>1.85377358490566</v>
      </c>
      <c r="V891" s="51">
        <f>IF(tblWorkPackages[[#This Row],[Time split]]="Train 2024",tblWorkPackages[[#This Row],[Estimated labor hours]],tblWorkPackages[[#This Row],[Calibrated forecast hours]])</f>
        <v>10.8462264150943</v>
      </c>
      <c r="W891" s="64">
        <f>DATEVALUE(tblWorkPackages[[#This Row],[Request date]])</f>
        <v>45702.0</v>
      </c>
      <c r="X891" s="64">
        <f>DATEVALUE(tblWorkPackages[[#This Row],[Due date]])</f>
        <v>45715.0</v>
      </c>
      <c r="Y891" s="64">
        <f>DATEVALUE(tblWorkPackages[[#This Row],[Completion date]])</f>
        <v>45705.0</v>
      </c>
      <c r="Z891" s="64">
        <f>_xlfn.MINIFS(tblLaborEntries[Work date serial],tblLaborEntries[Work package ID],tblWorkPackages[[#This Row],[Work package ID]])</f>
        <v>45703.0</v>
      </c>
      <c r="AA891" s="64">
        <f>_xlfn.MAXIFS(tblLaborEntries[Work date serial],tblLaborEntries[Work package ID],tblWorkPackages[[#This Row],[Work package ID]])</f>
        <v>45704.0</v>
      </c>
      <c r="AB891" s="65">
        <f>IF(tblWorkPackages[[#This Row],[Completion date serial]]&gt;tblWorkPackages[[#This Row],[Due date serial]],1,0)</f>
        <v>0</v>
      </c>
      <c r="AC891" s="65">
        <f>MAX(0,tblWorkPackages[[#This Row],[Completion date serial]]-tblWorkPackages[[#This Row],[Due date serial]])</f>
        <v>0</v>
      </c>
      <c r="AD891" s="65">
        <f>tblWorkPackages[[#This Row],[First labor date]]-tblWorkPackages[[#This Row],[Request date serial]]</f>
        <v>1</v>
      </c>
      <c r="AE891" s="65">
        <f>tblWorkPackages[[#This Row],[Last labor date]]-tblWorkPackages[[#This Row],[First labor date]]</f>
        <v>1</v>
      </c>
      <c r="AF891" s="65">
        <f>tblWorkPackages[[#This Row],[Completion date serial]]-tblWorkPackages[[#This Row],[Last labor date]]</f>
        <v>1</v>
      </c>
      <c r="AG891" s="65">
        <f>tblWorkPackages[[#This Row],[Completion date serial]]-tblWorkPackages[[#This Row],[Request date serial]]</f>
        <v>3</v>
      </c>
      <c r="AH891" s="65">
        <f>IFERROR(INDEX(tblParts[Delay days],MATCH(tblWorkPackages[[#This Row],[Work package ID]],tblParts[Work package ID],0)),0)</f>
        <v>0</v>
      </c>
      <c r="AI891" s="51" t="str">
        <f>IFERROR(INDEX(tblDisruptions[Event type],MATCH(tblWorkPackages[[#This Row],[Work package ID]],tblDisruptions[Work package ID],0)),"None")</f>
        <v>None</v>
      </c>
      <c r="AJ891" s="51" t="str">
        <f>TEXT(tblWorkPackages[[#This Row],[Due date serial]],"yyyy-mm")</f>
        <v>2025-02</v>
      </c>
    </row>
    <row r="892" spans="1:36" ht="15" x14ac:dyDescent="0.25">
      <c r="A892" s="53" t="s">
        <v>1781</v>
      </c>
      <c r="B892" s="53" t="s">
        <v>203</v>
      </c>
      <c r="C892" s="53" t="s">
        <v>606</v>
      </c>
      <c r="D892" s="53" t="s">
        <v>607</v>
      </c>
      <c r="E892" s="53" t="s">
        <v>136</v>
      </c>
      <c r="F892" s="53" t="s">
        <v>137</v>
      </c>
      <c r="G892" s="53" t="s">
        <v>138</v>
      </c>
      <c r="H892" s="53">
        <v>2</v>
      </c>
      <c r="I892" s="53" t="s">
        <v>130</v>
      </c>
      <c r="J892" s="53">
        <v>0</v>
      </c>
      <c r="K892" s="53">
        <v>0</v>
      </c>
      <c r="L892" s="53">
        <v>14.6</v>
      </c>
      <c r="M892" s="53" t="s">
        <v>1445</v>
      </c>
      <c r="N892" s="53">
        <v>15.2</v>
      </c>
      <c r="O892" s="51" t="str">
        <f>TEXT(tblWorkPackages[[#This Row],[Request date serial]]-WEEKDAY(tblWorkPackages[[#This Row],[Request date serial]],3),"yyyy-mm-dd")</f>
        <v>2025-03-03</v>
      </c>
      <c r="P892" s="51">
        <f>ABS(tblWorkPackages[[#This Row],[Actual labor hours]]-tblWorkPackages[[#This Row],[Estimated labor hours]])</f>
        <v>0.6</v>
      </c>
      <c r="Q892" s="51">
        <f>IF(tblWorkPackages[[#This Row],[Actual labor hours]]&gt;tblWorkPackages[[#This Row],[Estimated labor hours]],1,0)</f>
        <v>1</v>
      </c>
      <c r="R892" s="51">
        <f>tblWorkPackages[[#This Row],[Actual labor hours]]-tblWorkPackages[[#This Row],[Estimated labor hours]]</f>
        <v>0.6</v>
      </c>
      <c r="S892" s="51" t="str">
        <f>IF(tblWorkPackages[[#This Row],[Request date serial]]&lt;ValidationStart,"Train 2024",IF(tblWorkPackages[[#This Row],[Request date serial]]&lt;HoldoutStart,"Validation H1","Holdout H2"))</f>
        <v>Validation H1</v>
      </c>
      <c r="T892" s="51">
        <f>IF(tblWorkPackages[[#This Row],[Time split]]="Train 2024","",tblWorkPackages[[#This Row],[Estimated labor hours]]+VLOOKUP(tblWorkPackages[[#This Row],[Task type]],'Forecast validation'!$A$14:$E$25,IF(tblWorkPackages[[#This Row],[Time split]]="Validation H1",4,5),FALSE()))</f>
        <v>15.4765306122449</v>
      </c>
      <c r="U892" s="51">
        <f>IF(tblWorkPackages[[#This Row],[Calibrated forecast hours]]="","",ABS(tblWorkPackages[[#This Row],[Actual labor hours]]-tblWorkPackages[[#This Row],[Calibrated forecast hours]]))</f>
        <v>0.276530612244898</v>
      </c>
      <c r="V892" s="51">
        <f>IF(tblWorkPackages[[#This Row],[Time split]]="Train 2024",tblWorkPackages[[#This Row],[Estimated labor hours]],tblWorkPackages[[#This Row],[Calibrated forecast hours]])</f>
        <v>15.4765306122449</v>
      </c>
      <c r="W892" s="64">
        <f>DATEVALUE(tblWorkPackages[[#This Row],[Request date]])</f>
        <v>45721.0</v>
      </c>
      <c r="X892" s="64">
        <f>DATEVALUE(tblWorkPackages[[#This Row],[Due date]])</f>
        <v>45734.0</v>
      </c>
      <c r="Y892" s="64">
        <f>DATEVALUE(tblWorkPackages[[#This Row],[Completion date]])</f>
        <v>45736.0</v>
      </c>
      <c r="Z892" s="64">
        <f>_xlfn.MINIFS(tblLaborEntries[Work date serial],tblLaborEntries[Work package ID],tblWorkPackages[[#This Row],[Work package ID]])</f>
        <v>45732.0</v>
      </c>
      <c r="AA892" s="64">
        <f>_xlfn.MAXIFS(tblLaborEntries[Work date serial],tblLaborEntries[Work package ID],tblWorkPackages[[#This Row],[Work package ID]])</f>
        <v>45734.0</v>
      </c>
      <c r="AB892" s="65">
        <f>IF(tblWorkPackages[[#This Row],[Completion date serial]]&gt;tblWorkPackages[[#This Row],[Due date serial]],1,0)</f>
        <v>1</v>
      </c>
      <c r="AC892" s="65">
        <f>MAX(0,tblWorkPackages[[#This Row],[Completion date serial]]-tblWorkPackages[[#This Row],[Due date serial]])</f>
        <v>2</v>
      </c>
      <c r="AD892" s="65">
        <f>tblWorkPackages[[#This Row],[First labor date]]-tblWorkPackages[[#This Row],[Request date serial]]</f>
        <v>11</v>
      </c>
      <c r="AE892" s="65">
        <f>tblWorkPackages[[#This Row],[Last labor date]]-tblWorkPackages[[#This Row],[First labor date]]</f>
        <v>2</v>
      </c>
      <c r="AF892" s="65">
        <f>tblWorkPackages[[#This Row],[Completion date serial]]-tblWorkPackages[[#This Row],[Last labor date]]</f>
        <v>2</v>
      </c>
      <c r="AG892" s="65">
        <f>tblWorkPackages[[#This Row],[Completion date serial]]-tblWorkPackages[[#This Row],[Request date serial]]</f>
        <v>15</v>
      </c>
      <c r="AH892" s="65">
        <f>IFERROR(INDEX(tblParts[Delay days],MATCH(tblWorkPackages[[#This Row],[Work package ID]],tblParts[Work package ID],0)),0)</f>
        <v>0</v>
      </c>
      <c r="AI892" s="51" t="str">
        <f>IFERROR(INDEX(tblDisruptions[Event type],MATCH(tblWorkPackages[[#This Row],[Work package ID]],tblDisruptions[Work package ID],0)),"None")</f>
        <v>None</v>
      </c>
      <c r="AJ892" s="51" t="str">
        <f>TEXT(tblWorkPackages[[#This Row],[Due date serial]],"yyyy-mm")</f>
        <v>2025-03</v>
      </c>
    </row>
    <row r="893" spans="1:36" ht="15" x14ac:dyDescent="0.25">
      <c r="A893" s="53" t="s">
        <v>1782</v>
      </c>
      <c r="B893" s="53" t="s">
        <v>230</v>
      </c>
      <c r="C893" s="53" t="s">
        <v>1320</v>
      </c>
      <c r="D893" s="53" t="s">
        <v>1041</v>
      </c>
      <c r="E893" s="53" t="s">
        <v>181</v>
      </c>
      <c r="F893" s="53" t="s">
        <v>182</v>
      </c>
      <c r="G893" s="53" t="s">
        <v>138</v>
      </c>
      <c r="H893" s="53">
        <v>2</v>
      </c>
      <c r="I893" s="53" t="s">
        <v>130</v>
      </c>
      <c r="J893" s="53">
        <v>0</v>
      </c>
      <c r="K893" s="53">
        <v>0</v>
      </c>
      <c r="L893" s="53">
        <v>8</v>
      </c>
      <c r="M893" s="53" t="s">
        <v>1393</v>
      </c>
      <c r="N893" s="53">
        <v>9.6999999999999993</v>
      </c>
      <c r="O893" s="51" t="str">
        <f>TEXT(tblWorkPackages[[#This Row],[Request date serial]]-WEEKDAY(tblWorkPackages[[#This Row],[Request date serial]],3),"yyyy-mm-dd")</f>
        <v>2024-07-22</v>
      </c>
      <c r="P893" s="51">
        <f>ABS(tblWorkPackages[[#This Row],[Actual labor hours]]-tblWorkPackages[[#This Row],[Estimated labor hours]])</f>
        <v>1.7</v>
      </c>
      <c r="Q893" s="51">
        <f>IF(tblWorkPackages[[#This Row],[Actual labor hours]]&gt;tblWorkPackages[[#This Row],[Estimated labor hours]],1,0)</f>
        <v>1</v>
      </c>
      <c r="R893" s="51">
        <f>tblWorkPackages[[#This Row],[Actual labor hours]]-tblWorkPackages[[#This Row],[Estimated labor hours]]</f>
        <v>1.7</v>
      </c>
      <c r="S893" s="51" t="str">
        <f>IF(tblWorkPackages[[#This Row],[Request date serial]]&lt;ValidationStart,"Train 2024",IF(tblWorkPackages[[#This Row],[Request date serial]]&lt;HoldoutStart,"Validation H1","Holdout H2"))</f>
        <v>Train 2024</v>
      </c>
      <c r="T893" s="51" t="str">
        <f>IF(tblWorkPackages[[#This Row],[Time split]]="Train 2024","",tblWorkPackages[[#This Row],[Estimated labor hours]]+VLOOKUP(tblWorkPackages[[#This Row],[Task type]],'Forecast validation'!$A$14:$E$25,IF(tblWorkPackages[[#This Row],[Time split]]="Validation H1",4,5),FALSE()))</f>
        <v/>
      </c>
      <c r="U893" s="51" t="str">
        <f>IF(tblWorkPackages[[#This Row],[Calibrated forecast hours]]="","",ABS(tblWorkPackages[[#This Row],[Actual labor hours]]-tblWorkPackages[[#This Row],[Calibrated forecast hours]]))</f>
        <v/>
      </c>
      <c r="V893" s="51">
        <f>IF(tblWorkPackages[[#This Row],[Time split]]="Train 2024",tblWorkPackages[[#This Row],[Estimated labor hours]],tblWorkPackages[[#This Row],[Calibrated forecast hours]])</f>
        <v>8</v>
      </c>
      <c r="W893" s="64">
        <f>DATEVALUE(tblWorkPackages[[#This Row],[Request date]])</f>
        <v>45499.0</v>
      </c>
      <c r="X893" s="64">
        <f>DATEVALUE(tblWorkPackages[[#This Row],[Due date]])</f>
        <v>45512.0</v>
      </c>
      <c r="Y893" s="64">
        <f>DATEVALUE(tblWorkPackages[[#This Row],[Completion date]])</f>
        <v>45506.0</v>
      </c>
      <c r="Z893" s="64">
        <f>_xlfn.MINIFS(tblLaborEntries[Work date serial],tblLaborEntries[Work package ID],tblWorkPackages[[#This Row],[Work package ID]])</f>
        <v>45502.0</v>
      </c>
      <c r="AA893" s="64">
        <f>_xlfn.MAXIFS(tblLaborEntries[Work date serial],tblLaborEntries[Work package ID],tblWorkPackages[[#This Row],[Work package ID]])</f>
        <v>45503.0</v>
      </c>
      <c r="AB893" s="65">
        <f>IF(tblWorkPackages[[#This Row],[Completion date serial]]&gt;tblWorkPackages[[#This Row],[Due date serial]],1,0)</f>
        <v>0</v>
      </c>
      <c r="AC893" s="65">
        <f>MAX(0,tblWorkPackages[[#This Row],[Completion date serial]]-tblWorkPackages[[#This Row],[Due date serial]])</f>
        <v>0</v>
      </c>
      <c r="AD893" s="65">
        <f>tblWorkPackages[[#This Row],[First labor date]]-tblWorkPackages[[#This Row],[Request date serial]]</f>
        <v>3</v>
      </c>
      <c r="AE893" s="65">
        <f>tblWorkPackages[[#This Row],[Last labor date]]-tblWorkPackages[[#This Row],[First labor date]]</f>
        <v>1</v>
      </c>
      <c r="AF893" s="65">
        <f>tblWorkPackages[[#This Row],[Completion date serial]]-tblWorkPackages[[#This Row],[Last labor date]]</f>
        <v>3</v>
      </c>
      <c r="AG893" s="65">
        <f>tblWorkPackages[[#This Row],[Completion date serial]]-tblWorkPackages[[#This Row],[Request date serial]]</f>
        <v>7</v>
      </c>
      <c r="AH893" s="65">
        <f>IFERROR(INDEX(tblParts[Delay days],MATCH(tblWorkPackages[[#This Row],[Work package ID]],tblParts[Work package ID],0)),0)</f>
        <v>0</v>
      </c>
      <c r="AI893" s="51" t="str">
        <f>IFERROR(INDEX(tblDisruptions[Event type],MATCH(tblWorkPackages[[#This Row],[Work package ID]],tblDisruptions[Work package ID],0)),"None")</f>
        <v>None</v>
      </c>
      <c r="AJ893" s="51" t="str">
        <f>TEXT(tblWorkPackages[[#This Row],[Due date serial]],"yyyy-mm")</f>
        <v>2024-08</v>
      </c>
    </row>
    <row r="894" spans="1:36" ht="15" x14ac:dyDescent="0.25">
      <c r="A894" s="53" t="s">
        <v>1783</v>
      </c>
      <c r="B894" s="53" t="s">
        <v>141</v>
      </c>
      <c r="C894" s="53" t="s">
        <v>751</v>
      </c>
      <c r="D894" s="53" t="s">
        <v>709</v>
      </c>
      <c r="E894" s="53" t="s">
        <v>144</v>
      </c>
      <c r="F894" s="53" t="s">
        <v>145</v>
      </c>
      <c r="G894" s="53" t="s">
        <v>146</v>
      </c>
      <c r="H894" s="53">
        <v>2</v>
      </c>
      <c r="I894" s="53" t="s">
        <v>130</v>
      </c>
      <c r="J894" s="53">
        <v>0</v>
      </c>
      <c r="K894" s="53">
        <v>1</v>
      </c>
      <c r="L894" s="53">
        <v>11.4</v>
      </c>
      <c r="M894" s="53" t="s">
        <v>672</v>
      </c>
      <c r="N894" s="53">
        <v>9.1999999999999993</v>
      </c>
      <c r="O894" s="51" t="str">
        <f>TEXT(tblWorkPackages[[#This Row],[Request date serial]]-WEEKDAY(tblWorkPackages[[#This Row],[Request date serial]],3),"yyyy-mm-dd")</f>
        <v>2025-05-12</v>
      </c>
      <c r="P894" s="51">
        <f>ABS(tblWorkPackages[[#This Row],[Actual labor hours]]-tblWorkPackages[[#This Row],[Estimated labor hours]])</f>
        <v>2.2</v>
      </c>
      <c r="Q894" s="51">
        <f>IF(tblWorkPackages[[#This Row],[Actual labor hours]]&gt;tblWorkPackages[[#This Row],[Estimated labor hours]],1,0)</f>
        <v>0</v>
      </c>
      <c r="R894" s="51">
        <f>tblWorkPackages[[#This Row],[Actual labor hours]]-tblWorkPackages[[#This Row],[Estimated labor hours]]</f>
        <v>-2.2</v>
      </c>
      <c r="S894" s="51" t="str">
        <f>IF(tblWorkPackages[[#This Row],[Request date serial]]&lt;ValidationStart,"Train 2024",IF(tblWorkPackages[[#This Row],[Request date serial]]&lt;HoldoutStart,"Validation H1","Holdout H2"))</f>
        <v>Validation H1</v>
      </c>
      <c r="T894" s="51">
        <f>IF(tblWorkPackages[[#This Row],[Time split]]="Train 2024","",tblWorkPackages[[#This Row],[Estimated labor hours]]+VLOOKUP(tblWorkPackages[[#This Row],[Task type]],'Forecast validation'!$A$14:$E$25,IF(tblWorkPackages[[#This Row],[Time split]]="Validation H1",4,5),FALSE()))</f>
        <v>12.1547368421053</v>
      </c>
      <c r="U894" s="51">
        <f>IF(tblWorkPackages[[#This Row],[Calibrated forecast hours]]="","",ABS(tblWorkPackages[[#This Row],[Actual labor hours]]-tblWorkPackages[[#This Row],[Calibrated forecast hours]]))</f>
        <v>2.95473684210526</v>
      </c>
      <c r="V894" s="51">
        <f>IF(tblWorkPackages[[#This Row],[Time split]]="Train 2024",tblWorkPackages[[#This Row],[Estimated labor hours]],tblWorkPackages[[#This Row],[Calibrated forecast hours]])</f>
        <v>12.1547368421053</v>
      </c>
      <c r="W894" s="64">
        <f>DATEVALUE(tblWorkPackages[[#This Row],[Request date]])</f>
        <v>45795.0</v>
      </c>
      <c r="X894" s="64">
        <f>DATEVALUE(tblWorkPackages[[#This Row],[Due date]])</f>
        <v>45808.0</v>
      </c>
      <c r="Y894" s="64">
        <f>DATEVALUE(tblWorkPackages[[#This Row],[Completion date]])</f>
        <v>45826.0</v>
      </c>
      <c r="Z894" s="64">
        <f>_xlfn.MINIFS(tblLaborEntries[Work date serial],tblLaborEntries[Work package ID],tblWorkPackages[[#This Row],[Work package ID]])</f>
        <v>45825.0</v>
      </c>
      <c r="AA894" s="64">
        <f>_xlfn.MAXIFS(tblLaborEntries[Work date serial],tblLaborEntries[Work package ID],tblWorkPackages[[#This Row],[Work package ID]])</f>
        <v>45826.0</v>
      </c>
      <c r="AB894" s="65">
        <f>IF(tblWorkPackages[[#This Row],[Completion date serial]]&gt;tblWorkPackages[[#This Row],[Due date serial]],1,0)</f>
        <v>1</v>
      </c>
      <c r="AC894" s="65">
        <f>MAX(0,tblWorkPackages[[#This Row],[Completion date serial]]-tblWorkPackages[[#This Row],[Due date serial]])</f>
        <v>18</v>
      </c>
      <c r="AD894" s="65">
        <f>tblWorkPackages[[#This Row],[First labor date]]-tblWorkPackages[[#This Row],[Request date serial]]</f>
        <v>30</v>
      </c>
      <c r="AE894" s="65">
        <f>tblWorkPackages[[#This Row],[Last labor date]]-tblWorkPackages[[#This Row],[First labor date]]</f>
        <v>1</v>
      </c>
      <c r="AF894" s="65">
        <f>tblWorkPackages[[#This Row],[Completion date serial]]-tblWorkPackages[[#This Row],[Last labor date]]</f>
        <v>0</v>
      </c>
      <c r="AG894" s="65">
        <f>tblWorkPackages[[#This Row],[Completion date serial]]-tblWorkPackages[[#This Row],[Request date serial]]</f>
        <v>31</v>
      </c>
      <c r="AH894" s="65">
        <f>IFERROR(INDEX(tblParts[Delay days],MATCH(tblWorkPackages[[#This Row],[Work package ID]],tblParts[Work package ID],0)),0)</f>
        <v>0</v>
      </c>
      <c r="AI894" s="51" t="str">
        <f>IFERROR(INDEX(tblDisruptions[Event type],MATCH(tblWorkPackages[[#This Row],[Work package ID]],tblDisruptions[Work package ID],0)),"None")</f>
        <v>None</v>
      </c>
      <c r="AJ894" s="51" t="str">
        <f>TEXT(tblWorkPackages[[#This Row],[Due date serial]],"yyyy-mm")</f>
        <v>2025-05</v>
      </c>
    </row>
    <row r="895" spans="1:36" ht="15" x14ac:dyDescent="0.25">
      <c r="A895" s="53" t="s">
        <v>1784</v>
      </c>
      <c r="B895" s="53" t="s">
        <v>163</v>
      </c>
      <c r="C895" s="53" t="s">
        <v>490</v>
      </c>
      <c r="D895" s="53" t="s">
        <v>1053</v>
      </c>
      <c r="E895" s="53" t="s">
        <v>242</v>
      </c>
      <c r="F895" s="53" t="s">
        <v>243</v>
      </c>
      <c r="G895" s="53" t="s">
        <v>129</v>
      </c>
      <c r="H895" s="53">
        <v>4</v>
      </c>
      <c r="I895" s="53" t="s">
        <v>130</v>
      </c>
      <c r="J895" s="53">
        <v>0</v>
      </c>
      <c r="K895" s="53">
        <v>1</v>
      </c>
      <c r="L895" s="53">
        <v>16</v>
      </c>
      <c r="M895" s="53" t="s">
        <v>926</v>
      </c>
      <c r="N895" s="53">
        <v>13.6</v>
      </c>
      <c r="O895" s="51" t="str">
        <f>TEXT(tblWorkPackages[[#This Row],[Request date serial]]-WEEKDAY(tblWorkPackages[[#This Row],[Request date serial]],3),"yyyy-mm-dd")</f>
        <v>2024-02-05</v>
      </c>
      <c r="P895" s="51">
        <f>ABS(tblWorkPackages[[#This Row],[Actual labor hours]]-tblWorkPackages[[#This Row],[Estimated labor hours]])</f>
        <v>2.4</v>
      </c>
      <c r="Q895" s="51">
        <f>IF(tblWorkPackages[[#This Row],[Actual labor hours]]&gt;tblWorkPackages[[#This Row],[Estimated labor hours]],1,0)</f>
        <v>0</v>
      </c>
      <c r="R895" s="51">
        <f>tblWorkPackages[[#This Row],[Actual labor hours]]-tblWorkPackages[[#This Row],[Estimated labor hours]]</f>
        <v>-2.4</v>
      </c>
      <c r="S895" s="51" t="str">
        <f>IF(tblWorkPackages[[#This Row],[Request date serial]]&lt;ValidationStart,"Train 2024",IF(tblWorkPackages[[#This Row],[Request date serial]]&lt;HoldoutStart,"Validation H1","Holdout H2"))</f>
        <v>Train 2024</v>
      </c>
      <c r="T895" s="51" t="str">
        <f>IF(tblWorkPackages[[#This Row],[Time split]]="Train 2024","",tblWorkPackages[[#This Row],[Estimated labor hours]]+VLOOKUP(tblWorkPackages[[#This Row],[Task type]],'Forecast validation'!$A$14:$E$25,IF(tblWorkPackages[[#This Row],[Time split]]="Validation H1",4,5),FALSE()))</f>
        <v/>
      </c>
      <c r="U895" s="51" t="str">
        <f>IF(tblWorkPackages[[#This Row],[Calibrated forecast hours]]="","",ABS(tblWorkPackages[[#This Row],[Actual labor hours]]-tblWorkPackages[[#This Row],[Calibrated forecast hours]]))</f>
        <v/>
      </c>
      <c r="V895" s="51">
        <f>IF(tblWorkPackages[[#This Row],[Time split]]="Train 2024",tblWorkPackages[[#This Row],[Estimated labor hours]],tblWorkPackages[[#This Row],[Calibrated forecast hours]])</f>
        <v>16</v>
      </c>
      <c r="W895" s="64">
        <f>DATEVALUE(tblWorkPackages[[#This Row],[Request date]])</f>
        <v>45332.0</v>
      </c>
      <c r="X895" s="64">
        <f>DATEVALUE(tblWorkPackages[[#This Row],[Due date]])</f>
        <v>45345.0</v>
      </c>
      <c r="Y895" s="64">
        <f>DATEVALUE(tblWorkPackages[[#This Row],[Completion date]])</f>
        <v>45340.0</v>
      </c>
      <c r="Z895" s="64">
        <f>_xlfn.MINIFS(tblLaborEntries[Work date serial],tblLaborEntries[Work package ID],tblWorkPackages[[#This Row],[Work package ID]])</f>
        <v>45337.0</v>
      </c>
      <c r="AA895" s="64">
        <f>_xlfn.MAXIFS(tblLaborEntries[Work date serial],tblLaborEntries[Work package ID],tblWorkPackages[[#This Row],[Work package ID]])</f>
        <v>45339.0</v>
      </c>
      <c r="AB895" s="65">
        <f>IF(tblWorkPackages[[#This Row],[Completion date serial]]&gt;tblWorkPackages[[#This Row],[Due date serial]],1,0)</f>
        <v>0</v>
      </c>
      <c r="AC895" s="65">
        <f>MAX(0,tblWorkPackages[[#This Row],[Completion date serial]]-tblWorkPackages[[#This Row],[Due date serial]])</f>
        <v>0</v>
      </c>
      <c r="AD895" s="65">
        <f>tblWorkPackages[[#This Row],[First labor date]]-tblWorkPackages[[#This Row],[Request date serial]]</f>
        <v>5</v>
      </c>
      <c r="AE895" s="65">
        <f>tblWorkPackages[[#This Row],[Last labor date]]-tblWorkPackages[[#This Row],[First labor date]]</f>
        <v>2</v>
      </c>
      <c r="AF895" s="65">
        <f>tblWorkPackages[[#This Row],[Completion date serial]]-tblWorkPackages[[#This Row],[Last labor date]]</f>
        <v>1</v>
      </c>
      <c r="AG895" s="65">
        <f>tblWorkPackages[[#This Row],[Completion date serial]]-tblWorkPackages[[#This Row],[Request date serial]]</f>
        <v>8</v>
      </c>
      <c r="AH895" s="65">
        <f>IFERROR(INDEX(tblParts[Delay days],MATCH(tblWorkPackages[[#This Row],[Work package ID]],tblParts[Work package ID],0)),0)</f>
        <v>0</v>
      </c>
      <c r="AI895" s="51" t="str">
        <f>IFERROR(INDEX(tblDisruptions[Event type],MATCH(tblWorkPackages[[#This Row],[Work package ID]],tblDisruptions[Work package ID],0)),"None")</f>
        <v>None</v>
      </c>
      <c r="AJ895" s="51" t="str">
        <f>TEXT(tblWorkPackages[[#This Row],[Due date serial]],"yyyy-mm")</f>
        <v>2024-02</v>
      </c>
    </row>
    <row r="896" spans="1:36" ht="15" x14ac:dyDescent="0.25">
      <c r="A896" s="53" t="s">
        <v>1785</v>
      </c>
      <c r="B896" s="53" t="s">
        <v>150</v>
      </c>
      <c r="C896" s="53" t="s">
        <v>843</v>
      </c>
      <c r="D896" s="53" t="s">
        <v>1402</v>
      </c>
      <c r="E896" s="53" t="s">
        <v>136</v>
      </c>
      <c r="F896" s="53" t="s">
        <v>137</v>
      </c>
      <c r="G896" s="53" t="s">
        <v>138</v>
      </c>
      <c r="H896" s="53">
        <v>3</v>
      </c>
      <c r="I896" s="53" t="s">
        <v>130</v>
      </c>
      <c r="J896" s="53">
        <v>0</v>
      </c>
      <c r="K896" s="53">
        <v>0</v>
      </c>
      <c r="L896" s="53">
        <v>19.3</v>
      </c>
      <c r="M896" s="53" t="s">
        <v>1019</v>
      </c>
      <c r="N896" s="53">
        <v>22.8</v>
      </c>
      <c r="O896" s="51" t="str">
        <f>TEXT(tblWorkPackages[[#This Row],[Request date serial]]-WEEKDAY(tblWorkPackages[[#This Row],[Request date serial]],3),"yyyy-mm-dd")</f>
        <v>2025-08-04</v>
      </c>
      <c r="P896" s="51">
        <f>ABS(tblWorkPackages[[#This Row],[Actual labor hours]]-tblWorkPackages[[#This Row],[Estimated labor hours]])</f>
        <v>3.5</v>
      </c>
      <c r="Q896" s="51">
        <f>IF(tblWorkPackages[[#This Row],[Actual labor hours]]&gt;tblWorkPackages[[#This Row],[Estimated labor hours]],1,0)</f>
        <v>1</v>
      </c>
      <c r="R896" s="51">
        <f>tblWorkPackages[[#This Row],[Actual labor hours]]-tblWorkPackages[[#This Row],[Estimated labor hours]]</f>
        <v>3.5</v>
      </c>
      <c r="S896" s="51" t="str">
        <f>IF(tblWorkPackages[[#This Row],[Request date serial]]&lt;ValidationStart,"Train 2024",IF(tblWorkPackages[[#This Row],[Request date serial]]&lt;HoldoutStart,"Validation H1","Holdout H2"))</f>
        <v>Holdout H2</v>
      </c>
      <c r="T896" s="51">
        <f>IF(tblWorkPackages[[#This Row],[Time split]]="Train 2024","",tblWorkPackages[[#This Row],[Estimated labor hours]]+VLOOKUP(tblWorkPackages[[#This Row],[Task type]],'Forecast validation'!$A$14:$E$25,IF(tblWorkPackages[[#This Row],[Time split]]="Validation H1",4,5),FALSE()))</f>
        <v>20.2207547169811</v>
      </c>
      <c r="U896" s="51">
        <f>IF(tblWorkPackages[[#This Row],[Calibrated forecast hours]]="","",ABS(tblWorkPackages[[#This Row],[Actual labor hours]]-tblWorkPackages[[#This Row],[Calibrated forecast hours]]))</f>
        <v>2.57924528301887</v>
      </c>
      <c r="V896" s="51">
        <f>IF(tblWorkPackages[[#This Row],[Time split]]="Train 2024",tblWorkPackages[[#This Row],[Estimated labor hours]],tblWorkPackages[[#This Row],[Calibrated forecast hours]])</f>
        <v>20.2207547169811</v>
      </c>
      <c r="W896" s="64">
        <f>DATEVALUE(tblWorkPackages[[#This Row],[Request date]])</f>
        <v>45878.0</v>
      </c>
      <c r="X896" s="64">
        <f>DATEVALUE(tblWorkPackages[[#This Row],[Due date]])</f>
        <v>45891.0</v>
      </c>
      <c r="Y896" s="64">
        <f>DATEVALUE(tblWorkPackages[[#This Row],[Completion date]])</f>
        <v>45884.0</v>
      </c>
      <c r="Z896" s="64">
        <f>_xlfn.MINIFS(tblLaborEntries[Work date serial],tblLaborEntries[Work package ID],tblWorkPackages[[#This Row],[Work package ID]])</f>
        <v>45880.0</v>
      </c>
      <c r="AA896" s="64">
        <f>_xlfn.MAXIFS(tblLaborEntries[Work date serial],tblLaborEntries[Work package ID],tblWorkPackages[[#This Row],[Work package ID]])</f>
        <v>45882.0</v>
      </c>
      <c r="AB896" s="65">
        <f>IF(tblWorkPackages[[#This Row],[Completion date serial]]&gt;tblWorkPackages[[#This Row],[Due date serial]],1,0)</f>
        <v>0</v>
      </c>
      <c r="AC896" s="65">
        <f>MAX(0,tblWorkPackages[[#This Row],[Completion date serial]]-tblWorkPackages[[#This Row],[Due date serial]])</f>
        <v>0</v>
      </c>
      <c r="AD896" s="65">
        <f>tblWorkPackages[[#This Row],[First labor date]]-tblWorkPackages[[#This Row],[Request date serial]]</f>
        <v>2</v>
      </c>
      <c r="AE896" s="65">
        <f>tblWorkPackages[[#This Row],[Last labor date]]-tblWorkPackages[[#This Row],[First labor date]]</f>
        <v>2</v>
      </c>
      <c r="AF896" s="65">
        <f>tblWorkPackages[[#This Row],[Completion date serial]]-tblWorkPackages[[#This Row],[Last labor date]]</f>
        <v>2</v>
      </c>
      <c r="AG896" s="65">
        <f>tblWorkPackages[[#This Row],[Completion date serial]]-tblWorkPackages[[#This Row],[Request date serial]]</f>
        <v>6</v>
      </c>
      <c r="AH896" s="65">
        <f>IFERROR(INDEX(tblParts[Delay days],MATCH(tblWorkPackages[[#This Row],[Work package ID]],tblParts[Work package ID],0)),0)</f>
        <v>0</v>
      </c>
      <c r="AI896" s="51" t="str">
        <f>IFERROR(INDEX(tblDisruptions[Event type],MATCH(tblWorkPackages[[#This Row],[Work package ID]],tblDisruptions[Work package ID],0)),"None")</f>
        <v>None</v>
      </c>
      <c r="AJ896" s="51" t="str">
        <f>TEXT(tblWorkPackages[[#This Row],[Due date serial]],"yyyy-mm")</f>
        <v>2025-08</v>
      </c>
    </row>
    <row r="897" spans="1:36" ht="15" x14ac:dyDescent="0.25">
      <c r="A897" s="53" t="s">
        <v>1786</v>
      </c>
      <c r="B897" s="53" t="s">
        <v>157</v>
      </c>
      <c r="C897" s="53" t="s">
        <v>342</v>
      </c>
      <c r="D897" s="53" t="s">
        <v>208</v>
      </c>
      <c r="E897" s="53" t="s">
        <v>272</v>
      </c>
      <c r="F897" s="53" t="s">
        <v>145</v>
      </c>
      <c r="G897" s="53" t="s">
        <v>273</v>
      </c>
      <c r="H897" s="53">
        <v>3</v>
      </c>
      <c r="I897" s="53" t="s">
        <v>176</v>
      </c>
      <c r="J897" s="53">
        <v>0</v>
      </c>
      <c r="K897" s="53">
        <v>1</v>
      </c>
      <c r="L897" s="53">
        <v>13.5</v>
      </c>
      <c r="M897" s="53" t="s">
        <v>885</v>
      </c>
      <c r="N897" s="53">
        <v>21.8</v>
      </c>
      <c r="O897" s="51" t="str">
        <f>TEXT(tblWorkPackages[[#This Row],[Request date serial]]-WEEKDAY(tblWorkPackages[[#This Row],[Request date serial]],3),"yyyy-mm-dd")</f>
        <v>2025-07-28</v>
      </c>
      <c r="P897" s="51">
        <f>ABS(tblWorkPackages[[#This Row],[Actual labor hours]]-tblWorkPackages[[#This Row],[Estimated labor hours]])</f>
        <v>8.3</v>
      </c>
      <c r="Q897" s="51">
        <f>IF(tblWorkPackages[[#This Row],[Actual labor hours]]&gt;tblWorkPackages[[#This Row],[Estimated labor hours]],1,0)</f>
        <v>1</v>
      </c>
      <c r="R897" s="51">
        <f>tblWorkPackages[[#This Row],[Actual labor hours]]-tblWorkPackages[[#This Row],[Estimated labor hours]]</f>
        <v>8.3</v>
      </c>
      <c r="S897" s="51" t="str">
        <f>IF(tblWorkPackages[[#This Row],[Request date serial]]&lt;ValidationStart,"Train 2024",IF(tblWorkPackages[[#This Row],[Request date serial]]&lt;HoldoutStart,"Validation H1","Holdout H2"))</f>
        <v>Holdout H2</v>
      </c>
      <c r="T897" s="51">
        <f>IF(tblWorkPackages[[#This Row],[Time split]]="Train 2024","",tblWorkPackages[[#This Row],[Estimated labor hours]]+VLOOKUP(tblWorkPackages[[#This Row],[Task type]],'Forecast validation'!$A$14:$E$25,IF(tblWorkPackages[[#This Row],[Time split]]="Validation H1",4,5),FALSE()))</f>
        <v>14.48515625</v>
      </c>
      <c r="U897" s="51">
        <f>IF(tblWorkPackages[[#This Row],[Calibrated forecast hours]]="","",ABS(tblWorkPackages[[#This Row],[Actual labor hours]]-tblWorkPackages[[#This Row],[Calibrated forecast hours]]))</f>
        <v>7.31484375</v>
      </c>
      <c r="V897" s="51">
        <f>IF(tblWorkPackages[[#This Row],[Time split]]="Train 2024",tblWorkPackages[[#This Row],[Estimated labor hours]],tblWorkPackages[[#This Row],[Calibrated forecast hours]])</f>
        <v>14.48515625</v>
      </c>
      <c r="W897" s="64">
        <f>DATEVALUE(tblWorkPackages[[#This Row],[Request date]])</f>
        <v>45871.0</v>
      </c>
      <c r="X897" s="64">
        <f>DATEVALUE(tblWorkPackages[[#This Row],[Due date]])</f>
        <v>45877.0</v>
      </c>
      <c r="Y897" s="64">
        <f>DATEVALUE(tblWorkPackages[[#This Row],[Completion date]])</f>
        <v>45901.0</v>
      </c>
      <c r="Z897" s="64">
        <f>_xlfn.MINIFS(tblLaborEntries[Work date serial],tblLaborEntries[Work package ID],tblWorkPackages[[#This Row],[Work package ID]])</f>
        <v>45896.0</v>
      </c>
      <c r="AA897" s="64">
        <f>_xlfn.MAXIFS(tblLaborEntries[Work date serial],tblLaborEntries[Work package ID],tblWorkPackages[[#This Row],[Work package ID]])</f>
        <v>45898.0</v>
      </c>
      <c r="AB897" s="65">
        <f>IF(tblWorkPackages[[#This Row],[Completion date serial]]&gt;tblWorkPackages[[#This Row],[Due date serial]],1,0)</f>
        <v>1</v>
      </c>
      <c r="AC897" s="65">
        <f>MAX(0,tblWorkPackages[[#This Row],[Completion date serial]]-tblWorkPackages[[#This Row],[Due date serial]])</f>
        <v>24</v>
      </c>
      <c r="AD897" s="65">
        <f>tblWorkPackages[[#This Row],[First labor date]]-tblWorkPackages[[#This Row],[Request date serial]]</f>
        <v>25</v>
      </c>
      <c r="AE897" s="65">
        <f>tblWorkPackages[[#This Row],[Last labor date]]-tblWorkPackages[[#This Row],[First labor date]]</f>
        <v>2</v>
      </c>
      <c r="AF897" s="65">
        <f>tblWorkPackages[[#This Row],[Completion date serial]]-tblWorkPackages[[#This Row],[Last labor date]]</f>
        <v>3</v>
      </c>
      <c r="AG897" s="65">
        <f>tblWorkPackages[[#This Row],[Completion date serial]]-tblWorkPackages[[#This Row],[Request date serial]]</f>
        <v>30</v>
      </c>
      <c r="AH897" s="65">
        <f>IFERROR(INDEX(tblParts[Delay days],MATCH(tblWorkPackages[[#This Row],[Work package ID]],tblParts[Work package ID],0)),0)</f>
        <v>11</v>
      </c>
      <c r="AI897" s="51" t="str">
        <f>IFERROR(INDEX(tblDisruptions[Event type],MATCH(tblWorkPackages[[#This Row],[Work package ID]],tblDisruptions[Work package ID],0)),"None")</f>
        <v>Part delay</v>
      </c>
      <c r="AJ897" s="51" t="str">
        <f>TEXT(tblWorkPackages[[#This Row],[Due date serial]],"yyyy-mm")</f>
        <v>2025-08</v>
      </c>
    </row>
    <row r="898" spans="1:36" ht="15" x14ac:dyDescent="0.25">
      <c r="A898" s="53" t="s">
        <v>1787</v>
      </c>
      <c r="B898" s="53" t="s">
        <v>235</v>
      </c>
      <c r="C898" s="53" t="s">
        <v>1425</v>
      </c>
      <c r="D898" s="53" t="s">
        <v>653</v>
      </c>
      <c r="E898" s="53" t="s">
        <v>209</v>
      </c>
      <c r="F898" s="53" t="s">
        <v>145</v>
      </c>
      <c r="G898" s="53" t="s">
        <v>210</v>
      </c>
      <c r="H898" s="53">
        <v>3</v>
      </c>
      <c r="I898" s="53" t="s">
        <v>176</v>
      </c>
      <c r="J898" s="53">
        <v>0</v>
      </c>
      <c r="K898" s="53">
        <v>0</v>
      </c>
      <c r="L898" s="53">
        <v>26.6</v>
      </c>
      <c r="M898" s="53" t="s">
        <v>909</v>
      </c>
      <c r="N898" s="53">
        <v>22.9</v>
      </c>
      <c r="O898" s="51" t="str">
        <f>TEXT(tblWorkPackages[[#This Row],[Request date serial]]-WEEKDAY(tblWorkPackages[[#This Row],[Request date serial]],3),"yyyy-mm-dd")</f>
        <v>2025-12-01</v>
      </c>
      <c r="P898" s="51">
        <f>ABS(tblWorkPackages[[#This Row],[Actual labor hours]]-tblWorkPackages[[#This Row],[Estimated labor hours]])</f>
        <v>3.7</v>
      </c>
      <c r="Q898" s="51">
        <f>IF(tblWorkPackages[[#This Row],[Actual labor hours]]&gt;tblWorkPackages[[#This Row],[Estimated labor hours]],1,0)</f>
        <v>0</v>
      </c>
      <c r="R898" s="51">
        <f>tblWorkPackages[[#This Row],[Actual labor hours]]-tblWorkPackages[[#This Row],[Estimated labor hours]]</f>
        <v>-3.7</v>
      </c>
      <c r="S898" s="51" t="str">
        <f>IF(tblWorkPackages[[#This Row],[Request date serial]]&lt;ValidationStart,"Train 2024",IF(tblWorkPackages[[#This Row],[Request date serial]]&lt;HoldoutStart,"Validation H1","Holdout H2"))</f>
        <v>Holdout H2</v>
      </c>
      <c r="T898" s="51">
        <f>IF(tblWorkPackages[[#This Row],[Time split]]="Train 2024","",tblWorkPackages[[#This Row],[Estimated labor hours]]+VLOOKUP(tblWorkPackages[[#This Row],[Task type]],'Forecast validation'!$A$14:$E$25,IF(tblWorkPackages[[#This Row],[Time split]]="Validation H1",4,5),FALSE()))</f>
        <v>28.395652173913</v>
      </c>
      <c r="U898" s="51">
        <f>IF(tblWorkPackages[[#This Row],[Calibrated forecast hours]]="","",ABS(tblWorkPackages[[#This Row],[Actual labor hours]]-tblWorkPackages[[#This Row],[Calibrated forecast hours]]))</f>
        <v>5.49565217391305</v>
      </c>
      <c r="V898" s="51">
        <f>IF(tblWorkPackages[[#This Row],[Time split]]="Train 2024",tblWorkPackages[[#This Row],[Estimated labor hours]],tblWorkPackages[[#This Row],[Calibrated forecast hours]])</f>
        <v>28.395652173913</v>
      </c>
      <c r="W898" s="64">
        <f>DATEVALUE(tblWorkPackages[[#This Row],[Request date]])</f>
        <v>45994.0</v>
      </c>
      <c r="X898" s="64">
        <f>DATEVALUE(tblWorkPackages[[#This Row],[Due date]])</f>
        <v>46000.0</v>
      </c>
      <c r="Y898" s="64">
        <f>DATEVALUE(tblWorkPackages[[#This Row],[Completion date]])</f>
        <v>45999.0</v>
      </c>
      <c r="Z898" s="64">
        <f>_xlfn.MINIFS(tblLaborEntries[Work date serial],tblLaborEntries[Work package ID],tblWorkPackages[[#This Row],[Work package ID]])</f>
        <v>45998.0</v>
      </c>
      <c r="AA898" s="64">
        <f>_xlfn.MAXIFS(tblLaborEntries[Work date serial],tblLaborEntries[Work package ID],tblWorkPackages[[#This Row],[Work package ID]])</f>
        <v>45999.0</v>
      </c>
      <c r="AB898" s="65">
        <f>IF(tblWorkPackages[[#This Row],[Completion date serial]]&gt;tblWorkPackages[[#This Row],[Due date serial]],1,0)</f>
        <v>0</v>
      </c>
      <c r="AC898" s="65">
        <f>MAX(0,tblWorkPackages[[#This Row],[Completion date serial]]-tblWorkPackages[[#This Row],[Due date serial]])</f>
        <v>0</v>
      </c>
      <c r="AD898" s="65">
        <f>tblWorkPackages[[#This Row],[First labor date]]-tblWorkPackages[[#This Row],[Request date serial]]</f>
        <v>4</v>
      </c>
      <c r="AE898" s="65">
        <f>tblWorkPackages[[#This Row],[Last labor date]]-tblWorkPackages[[#This Row],[First labor date]]</f>
        <v>1</v>
      </c>
      <c r="AF898" s="65">
        <f>tblWorkPackages[[#This Row],[Completion date serial]]-tblWorkPackages[[#This Row],[Last labor date]]</f>
        <v>0</v>
      </c>
      <c r="AG898" s="65">
        <f>tblWorkPackages[[#This Row],[Completion date serial]]-tblWorkPackages[[#This Row],[Request date serial]]</f>
        <v>5</v>
      </c>
      <c r="AH898" s="65">
        <f>IFERROR(INDEX(tblParts[Delay days],MATCH(tblWorkPackages[[#This Row],[Work package ID]],tblParts[Work package ID],0)),0)</f>
        <v>0</v>
      </c>
      <c r="AI898" s="51" t="str">
        <f>IFERROR(INDEX(tblDisruptions[Event type],MATCH(tblWorkPackages[[#This Row],[Work package ID]],tblDisruptions[Work package ID],0)),"None")</f>
        <v>None</v>
      </c>
      <c r="AJ898" s="51" t="str">
        <f>TEXT(tblWorkPackages[[#This Row],[Due date serial]],"yyyy-mm")</f>
        <v>2025-12</v>
      </c>
    </row>
    <row r="899" spans="1:36" ht="15" x14ac:dyDescent="0.25">
      <c r="A899" s="53" t="s">
        <v>1788</v>
      </c>
      <c r="B899" s="53" t="s">
        <v>287</v>
      </c>
      <c r="C899" s="53" t="s">
        <v>421</v>
      </c>
      <c r="D899" s="53" t="s">
        <v>422</v>
      </c>
      <c r="E899" s="53" t="s">
        <v>209</v>
      </c>
      <c r="F899" s="53" t="s">
        <v>145</v>
      </c>
      <c r="G899" s="53" t="s">
        <v>210</v>
      </c>
      <c r="H899" s="53">
        <v>4</v>
      </c>
      <c r="I899" s="53" t="s">
        <v>130</v>
      </c>
      <c r="J899" s="53">
        <v>0</v>
      </c>
      <c r="K899" s="53">
        <v>1</v>
      </c>
      <c r="L899" s="53">
        <v>34.700000000000003</v>
      </c>
      <c r="M899" s="53" t="s">
        <v>976</v>
      </c>
      <c r="N899" s="53">
        <v>28.8</v>
      </c>
      <c r="O899" s="51" t="str">
        <f>TEXT(tblWorkPackages[[#This Row],[Request date serial]]-WEEKDAY(tblWorkPackages[[#This Row],[Request date serial]],3),"yyyy-mm-dd")</f>
        <v>2025-10-27</v>
      </c>
      <c r="P899" s="51">
        <f>ABS(tblWorkPackages[[#This Row],[Actual labor hours]]-tblWorkPackages[[#This Row],[Estimated labor hours]])</f>
        <v>5.9</v>
      </c>
      <c r="Q899" s="51">
        <f>IF(tblWorkPackages[[#This Row],[Actual labor hours]]&gt;tblWorkPackages[[#This Row],[Estimated labor hours]],1,0)</f>
        <v>0</v>
      </c>
      <c r="R899" s="51">
        <f>tblWorkPackages[[#This Row],[Actual labor hours]]-tblWorkPackages[[#This Row],[Estimated labor hours]]</f>
        <v>-5.9</v>
      </c>
      <c r="S899" s="51" t="str">
        <f>IF(tblWorkPackages[[#This Row],[Request date serial]]&lt;ValidationStart,"Train 2024",IF(tblWorkPackages[[#This Row],[Request date serial]]&lt;HoldoutStart,"Validation H1","Holdout H2"))</f>
        <v>Holdout H2</v>
      </c>
      <c r="T899" s="51">
        <f>IF(tblWorkPackages[[#This Row],[Time split]]="Train 2024","",tblWorkPackages[[#This Row],[Estimated labor hours]]+VLOOKUP(tblWorkPackages[[#This Row],[Task type]],'Forecast validation'!$A$14:$E$25,IF(tblWorkPackages[[#This Row],[Time split]]="Validation H1",4,5),FALSE()))</f>
        <v>36.495652173913</v>
      </c>
      <c r="U899" s="51">
        <f>IF(tblWorkPackages[[#This Row],[Calibrated forecast hours]]="","",ABS(tblWorkPackages[[#This Row],[Actual labor hours]]-tblWorkPackages[[#This Row],[Calibrated forecast hours]]))</f>
        <v>7.69565217391304</v>
      </c>
      <c r="V899" s="51">
        <f>IF(tblWorkPackages[[#This Row],[Time split]]="Train 2024",tblWorkPackages[[#This Row],[Estimated labor hours]],tblWorkPackages[[#This Row],[Calibrated forecast hours]])</f>
        <v>36.495652173913</v>
      </c>
      <c r="W899" s="64">
        <f>DATEVALUE(tblWorkPackages[[#This Row],[Request date]])</f>
        <v>45960.0</v>
      </c>
      <c r="X899" s="64">
        <f>DATEVALUE(tblWorkPackages[[#This Row],[Due date]])</f>
        <v>45973.0</v>
      </c>
      <c r="Y899" s="64">
        <f>DATEVALUE(tblWorkPackages[[#This Row],[Completion date]])</f>
        <v>46022.0</v>
      </c>
      <c r="Z899" s="64">
        <f>_xlfn.MINIFS(tblLaborEntries[Work date serial],tblLaborEntries[Work package ID],tblWorkPackages[[#This Row],[Work package ID]])</f>
        <v>46019.0</v>
      </c>
      <c r="AA899" s="64">
        <f>_xlfn.MAXIFS(tblLaborEntries[Work date serial],tblLaborEntries[Work package ID],tblWorkPackages[[#This Row],[Work package ID]])</f>
        <v>46021.0</v>
      </c>
      <c r="AB899" s="65">
        <f>IF(tblWorkPackages[[#This Row],[Completion date serial]]&gt;tblWorkPackages[[#This Row],[Due date serial]],1,0)</f>
        <v>1</v>
      </c>
      <c r="AC899" s="65">
        <f>MAX(0,tblWorkPackages[[#This Row],[Completion date serial]]-tblWorkPackages[[#This Row],[Due date serial]])</f>
        <v>49</v>
      </c>
      <c r="AD899" s="65">
        <f>tblWorkPackages[[#This Row],[First labor date]]-tblWorkPackages[[#This Row],[Request date serial]]</f>
        <v>59</v>
      </c>
      <c r="AE899" s="65">
        <f>tblWorkPackages[[#This Row],[Last labor date]]-tblWorkPackages[[#This Row],[First labor date]]</f>
        <v>2</v>
      </c>
      <c r="AF899" s="65">
        <f>tblWorkPackages[[#This Row],[Completion date serial]]-tblWorkPackages[[#This Row],[Last labor date]]</f>
        <v>1</v>
      </c>
      <c r="AG899" s="65">
        <f>tblWorkPackages[[#This Row],[Completion date serial]]-tblWorkPackages[[#This Row],[Request date serial]]</f>
        <v>62</v>
      </c>
      <c r="AH899" s="65">
        <f>IFERROR(INDEX(tblParts[Delay days],MATCH(tblWorkPackages[[#This Row],[Work package ID]],tblParts[Work package ID],0)),0)</f>
        <v>0</v>
      </c>
      <c r="AI899" s="51" t="str">
        <f>IFERROR(INDEX(tblDisruptions[Event type],MATCH(tblWorkPackages[[#This Row],[Work package ID]],tblDisruptions[Work package ID],0)),"None")</f>
        <v>None</v>
      </c>
      <c r="AJ899" s="51" t="str">
        <f>TEXT(tblWorkPackages[[#This Row],[Due date serial]],"yyyy-mm")</f>
        <v>2025-11</v>
      </c>
    </row>
    <row r="900" spans="1:36" ht="15" x14ac:dyDescent="0.25">
      <c r="A900" s="53" t="s">
        <v>1789</v>
      </c>
      <c r="B900" s="53" t="s">
        <v>250</v>
      </c>
      <c r="C900" s="53" t="s">
        <v>560</v>
      </c>
      <c r="D900" s="53" t="s">
        <v>833</v>
      </c>
      <c r="E900" s="53" t="s">
        <v>160</v>
      </c>
      <c r="F900" s="53" t="s">
        <v>128</v>
      </c>
      <c r="G900" s="53" t="s">
        <v>138</v>
      </c>
      <c r="H900" s="53">
        <v>3</v>
      </c>
      <c r="I900" s="53" t="s">
        <v>176</v>
      </c>
      <c r="J900" s="53">
        <v>1</v>
      </c>
      <c r="K900" s="53">
        <v>0</v>
      </c>
      <c r="L900" s="53">
        <v>5.5</v>
      </c>
      <c r="M900" s="53" t="s">
        <v>482</v>
      </c>
      <c r="N900" s="53">
        <v>8.4</v>
      </c>
      <c r="O900" s="51" t="str">
        <f>TEXT(tblWorkPackages[[#This Row],[Request date serial]]-WEEKDAY(tblWorkPackages[[#This Row],[Request date serial]],3),"yyyy-mm-dd")</f>
        <v>2025-11-03</v>
      </c>
      <c r="P900" s="51">
        <f>ABS(tblWorkPackages[[#This Row],[Actual labor hours]]-tblWorkPackages[[#This Row],[Estimated labor hours]])</f>
        <v>2.9</v>
      </c>
      <c r="Q900" s="51">
        <f>IF(tblWorkPackages[[#This Row],[Actual labor hours]]&gt;tblWorkPackages[[#This Row],[Estimated labor hours]],1,0)</f>
        <v>1</v>
      </c>
      <c r="R900" s="51">
        <f>tblWorkPackages[[#This Row],[Actual labor hours]]-tblWorkPackages[[#This Row],[Estimated labor hours]]</f>
        <v>2.9</v>
      </c>
      <c r="S900" s="51" t="str">
        <f>IF(tblWorkPackages[[#This Row],[Request date serial]]&lt;ValidationStart,"Train 2024",IF(tblWorkPackages[[#This Row],[Request date serial]]&lt;HoldoutStart,"Validation H1","Holdout H2"))</f>
        <v>Holdout H2</v>
      </c>
      <c r="T900" s="51">
        <f>IF(tblWorkPackages[[#This Row],[Time split]]="Train 2024","",tblWorkPackages[[#This Row],[Estimated labor hours]]+VLOOKUP(tblWorkPackages[[#This Row],[Task type]],'Forecast validation'!$A$14:$E$25,IF(tblWorkPackages[[#This Row],[Time split]]="Validation H1",4,5),FALSE()))</f>
        <v>5.93739837398374</v>
      </c>
      <c r="U900" s="51">
        <f>IF(tblWorkPackages[[#This Row],[Calibrated forecast hours]]="","",ABS(tblWorkPackages[[#This Row],[Actual labor hours]]-tblWorkPackages[[#This Row],[Calibrated forecast hours]]))</f>
        <v>2.46260162601626</v>
      </c>
      <c r="V900" s="51">
        <f>IF(tblWorkPackages[[#This Row],[Time split]]="Train 2024",tblWorkPackages[[#This Row],[Estimated labor hours]],tblWorkPackages[[#This Row],[Calibrated forecast hours]])</f>
        <v>5.93739837398374</v>
      </c>
      <c r="W900" s="64">
        <f>DATEVALUE(tblWorkPackages[[#This Row],[Request date]])</f>
        <v>45970.0</v>
      </c>
      <c r="X900" s="64">
        <f>DATEVALUE(tblWorkPackages[[#This Row],[Due date]])</f>
        <v>45976.0</v>
      </c>
      <c r="Y900" s="64">
        <f>DATEVALUE(tblWorkPackages[[#This Row],[Completion date]])</f>
        <v>45983.0</v>
      </c>
      <c r="Z900" s="64">
        <f>_xlfn.MINIFS(tblLaborEntries[Work date serial],tblLaborEntries[Work package ID],tblWorkPackages[[#This Row],[Work package ID]])</f>
        <v>45979.0</v>
      </c>
      <c r="AA900" s="64">
        <f>_xlfn.MAXIFS(tblLaborEntries[Work date serial],tblLaborEntries[Work package ID],tblWorkPackages[[#This Row],[Work package ID]])</f>
        <v>45981.0</v>
      </c>
      <c r="AB900" s="65">
        <f>IF(tblWorkPackages[[#This Row],[Completion date serial]]&gt;tblWorkPackages[[#This Row],[Due date serial]],1,0)</f>
        <v>1</v>
      </c>
      <c r="AC900" s="65">
        <f>MAX(0,tblWorkPackages[[#This Row],[Completion date serial]]-tblWorkPackages[[#This Row],[Due date serial]])</f>
        <v>7</v>
      </c>
      <c r="AD900" s="65">
        <f>tblWorkPackages[[#This Row],[First labor date]]-tblWorkPackages[[#This Row],[Request date serial]]</f>
        <v>9</v>
      </c>
      <c r="AE900" s="65">
        <f>tblWorkPackages[[#This Row],[Last labor date]]-tblWorkPackages[[#This Row],[First labor date]]</f>
        <v>2</v>
      </c>
      <c r="AF900" s="65">
        <f>tblWorkPackages[[#This Row],[Completion date serial]]-tblWorkPackages[[#This Row],[Last labor date]]</f>
        <v>2</v>
      </c>
      <c r="AG900" s="65">
        <f>tblWorkPackages[[#This Row],[Completion date serial]]-tblWorkPackages[[#This Row],[Request date serial]]</f>
        <v>13</v>
      </c>
      <c r="AH900" s="65">
        <f>IFERROR(INDEX(tblParts[Delay days],MATCH(tblWorkPackages[[#This Row],[Work package ID]],tblParts[Work package ID],0)),0)</f>
        <v>0</v>
      </c>
      <c r="AI900" s="51" t="str">
        <f>IFERROR(INDEX(tblDisruptions[Event type],MATCH(tblWorkPackages[[#This Row],[Work package ID]],tblDisruptions[Work package ID],0)),"None")</f>
        <v>None</v>
      </c>
      <c r="AJ900" s="51" t="str">
        <f>TEXT(tblWorkPackages[[#This Row],[Due date serial]],"yyyy-mm")</f>
        <v>2025-11</v>
      </c>
    </row>
    <row r="901" spans="1:36" ht="15" x14ac:dyDescent="0.25">
      <c r="A901" s="53" t="s">
        <v>1790</v>
      </c>
      <c r="B901" s="53" t="s">
        <v>163</v>
      </c>
      <c r="C901" s="53" t="s">
        <v>535</v>
      </c>
      <c r="D901" s="53" t="s">
        <v>1230</v>
      </c>
      <c r="E901" s="53" t="s">
        <v>127</v>
      </c>
      <c r="F901" s="53" t="s">
        <v>128</v>
      </c>
      <c r="G901" s="53" t="s">
        <v>129</v>
      </c>
      <c r="H901" s="53">
        <v>4</v>
      </c>
      <c r="I901" s="53" t="s">
        <v>130</v>
      </c>
      <c r="J901" s="53">
        <v>0</v>
      </c>
      <c r="K901" s="53">
        <v>0</v>
      </c>
      <c r="L901" s="53">
        <v>11.3</v>
      </c>
      <c r="M901" s="53" t="s">
        <v>793</v>
      </c>
      <c r="N901" s="53">
        <v>12.7</v>
      </c>
      <c r="O901" s="51" t="str">
        <f>TEXT(tblWorkPackages[[#This Row],[Request date serial]]-WEEKDAY(tblWorkPackages[[#This Row],[Request date serial]],3),"yyyy-mm-dd")</f>
        <v>2024-11-04</v>
      </c>
      <c r="P901" s="51">
        <f>ABS(tblWorkPackages[[#This Row],[Actual labor hours]]-tblWorkPackages[[#This Row],[Estimated labor hours]])</f>
        <v>1.4</v>
      </c>
      <c r="Q901" s="51">
        <f>IF(tblWorkPackages[[#This Row],[Actual labor hours]]&gt;tblWorkPackages[[#This Row],[Estimated labor hours]],1,0)</f>
        <v>1</v>
      </c>
      <c r="R901" s="51">
        <f>tblWorkPackages[[#This Row],[Actual labor hours]]-tblWorkPackages[[#This Row],[Estimated labor hours]]</f>
        <v>1.4</v>
      </c>
      <c r="S901" s="51" t="str">
        <f>IF(tblWorkPackages[[#This Row],[Request date serial]]&lt;ValidationStart,"Train 2024",IF(tblWorkPackages[[#This Row],[Request date serial]]&lt;HoldoutStart,"Validation H1","Holdout H2"))</f>
        <v>Train 2024</v>
      </c>
      <c r="T901" s="51" t="str">
        <f>IF(tblWorkPackages[[#This Row],[Time split]]="Train 2024","",tblWorkPackages[[#This Row],[Estimated labor hours]]+VLOOKUP(tblWorkPackages[[#This Row],[Task type]],'Forecast validation'!$A$14:$E$25,IF(tblWorkPackages[[#This Row],[Time split]]="Validation H1",4,5),FALSE()))</f>
        <v/>
      </c>
      <c r="U901" s="51" t="str">
        <f>IF(tblWorkPackages[[#This Row],[Calibrated forecast hours]]="","",ABS(tblWorkPackages[[#This Row],[Actual labor hours]]-tblWorkPackages[[#This Row],[Calibrated forecast hours]]))</f>
        <v/>
      </c>
      <c r="V901" s="51">
        <f>IF(tblWorkPackages[[#This Row],[Time split]]="Train 2024",tblWorkPackages[[#This Row],[Estimated labor hours]],tblWorkPackages[[#This Row],[Calibrated forecast hours]])</f>
        <v>11.3</v>
      </c>
      <c r="W901" s="64">
        <f>DATEVALUE(tblWorkPackages[[#This Row],[Request date]])</f>
        <v>45602.0</v>
      </c>
      <c r="X901" s="64">
        <f>DATEVALUE(tblWorkPackages[[#This Row],[Due date]])</f>
        <v>45615.0</v>
      </c>
      <c r="Y901" s="64">
        <f>DATEVALUE(tblWorkPackages[[#This Row],[Completion date]])</f>
        <v>45608.0</v>
      </c>
      <c r="Z901" s="64">
        <f>_xlfn.MINIFS(tblLaborEntries[Work date serial],tblLaborEntries[Work package ID],tblWorkPackages[[#This Row],[Work package ID]])</f>
        <v>45604.0</v>
      </c>
      <c r="AA901" s="64">
        <f>_xlfn.MAXIFS(tblLaborEntries[Work date serial],tblLaborEntries[Work package ID],tblWorkPackages[[#This Row],[Work package ID]])</f>
        <v>45605.0</v>
      </c>
      <c r="AB901" s="65">
        <f>IF(tblWorkPackages[[#This Row],[Completion date serial]]&gt;tblWorkPackages[[#This Row],[Due date serial]],1,0)</f>
        <v>0</v>
      </c>
      <c r="AC901" s="65">
        <f>MAX(0,tblWorkPackages[[#This Row],[Completion date serial]]-tblWorkPackages[[#This Row],[Due date serial]])</f>
        <v>0</v>
      </c>
      <c r="AD901" s="65">
        <f>tblWorkPackages[[#This Row],[First labor date]]-tblWorkPackages[[#This Row],[Request date serial]]</f>
        <v>2</v>
      </c>
      <c r="AE901" s="65">
        <f>tblWorkPackages[[#This Row],[Last labor date]]-tblWorkPackages[[#This Row],[First labor date]]</f>
        <v>1</v>
      </c>
      <c r="AF901" s="65">
        <f>tblWorkPackages[[#This Row],[Completion date serial]]-tblWorkPackages[[#This Row],[Last labor date]]</f>
        <v>3</v>
      </c>
      <c r="AG901" s="65">
        <f>tblWorkPackages[[#This Row],[Completion date serial]]-tblWorkPackages[[#This Row],[Request date serial]]</f>
        <v>6</v>
      </c>
      <c r="AH901" s="65">
        <f>IFERROR(INDEX(tblParts[Delay days],MATCH(tblWorkPackages[[#This Row],[Work package ID]],tblParts[Work package ID],0)),0)</f>
        <v>0</v>
      </c>
      <c r="AI901" s="51" t="str">
        <f>IFERROR(INDEX(tblDisruptions[Event type],MATCH(tblWorkPackages[[#This Row],[Work package ID]],tblDisruptions[Work package ID],0)),"None")</f>
        <v>None</v>
      </c>
      <c r="AJ901" s="51" t="str">
        <f>TEXT(tblWorkPackages[[#This Row],[Due date serial]],"yyyy-mm")</f>
        <v>2024-11</v>
      </c>
    </row>
    <row r="902" spans="1:36" ht="15" x14ac:dyDescent="0.25">
      <c r="A902" s="53" t="s">
        <v>1791</v>
      </c>
      <c r="B902" s="53" t="s">
        <v>124</v>
      </c>
      <c r="C902" s="53" t="s">
        <v>527</v>
      </c>
      <c r="D902" s="53" t="s">
        <v>1178</v>
      </c>
      <c r="E902" s="53" t="s">
        <v>272</v>
      </c>
      <c r="F902" s="53" t="s">
        <v>145</v>
      </c>
      <c r="G902" s="53" t="s">
        <v>273</v>
      </c>
      <c r="H902" s="53">
        <v>2</v>
      </c>
      <c r="I902" s="53" t="s">
        <v>130</v>
      </c>
      <c r="J902" s="53">
        <v>0</v>
      </c>
      <c r="K902" s="53">
        <v>1</v>
      </c>
      <c r="L902" s="53">
        <v>10.5</v>
      </c>
      <c r="M902" s="53" t="s">
        <v>494</v>
      </c>
      <c r="N902" s="53">
        <v>9.8000000000000007</v>
      </c>
      <c r="O902" s="51" t="str">
        <f>TEXT(tblWorkPackages[[#This Row],[Request date serial]]-WEEKDAY(tblWorkPackages[[#This Row],[Request date serial]],3),"yyyy-mm-dd")</f>
        <v>2025-09-01</v>
      </c>
      <c r="P902" s="51">
        <f>ABS(tblWorkPackages[[#This Row],[Actual labor hours]]-tblWorkPackages[[#This Row],[Estimated labor hours]])</f>
        <v>0.699999999999999</v>
      </c>
      <c r="Q902" s="51">
        <f>IF(tblWorkPackages[[#This Row],[Actual labor hours]]&gt;tblWorkPackages[[#This Row],[Estimated labor hours]],1,0)</f>
        <v>0</v>
      </c>
      <c r="R902" s="51">
        <f>tblWorkPackages[[#This Row],[Actual labor hours]]-tblWorkPackages[[#This Row],[Estimated labor hours]]</f>
        <v>-0.699999999999999</v>
      </c>
      <c r="S902" s="51" t="str">
        <f>IF(tblWorkPackages[[#This Row],[Request date serial]]&lt;ValidationStart,"Train 2024",IF(tblWorkPackages[[#This Row],[Request date serial]]&lt;HoldoutStart,"Validation H1","Holdout H2"))</f>
        <v>Holdout H2</v>
      </c>
      <c r="T902" s="51">
        <f>IF(tblWorkPackages[[#This Row],[Time split]]="Train 2024","",tblWorkPackages[[#This Row],[Estimated labor hours]]+VLOOKUP(tblWorkPackages[[#This Row],[Task type]],'Forecast validation'!$A$14:$E$25,IF(tblWorkPackages[[#This Row],[Time split]]="Validation H1",4,5),FALSE()))</f>
        <v>11.48515625</v>
      </c>
      <c r="U902" s="51">
        <f>IF(tblWorkPackages[[#This Row],[Calibrated forecast hours]]="","",ABS(tblWorkPackages[[#This Row],[Actual labor hours]]-tblWorkPackages[[#This Row],[Calibrated forecast hours]]))</f>
        <v>1.68515625</v>
      </c>
      <c r="V902" s="51">
        <f>IF(tblWorkPackages[[#This Row],[Time split]]="Train 2024",tblWorkPackages[[#This Row],[Estimated labor hours]],tblWorkPackages[[#This Row],[Calibrated forecast hours]])</f>
        <v>11.48515625</v>
      </c>
      <c r="W902" s="64">
        <f>DATEVALUE(tblWorkPackages[[#This Row],[Request date]])</f>
        <v>45906.0</v>
      </c>
      <c r="X902" s="64">
        <f>DATEVALUE(tblWorkPackages[[#This Row],[Due date]])</f>
        <v>45919.0</v>
      </c>
      <c r="Y902" s="64">
        <f>DATEVALUE(tblWorkPackages[[#This Row],[Completion date]])</f>
        <v>45930.0</v>
      </c>
      <c r="Z902" s="64">
        <f>_xlfn.MINIFS(tblLaborEntries[Work date serial],tblLaborEntries[Work package ID],tblWorkPackages[[#This Row],[Work package ID]])</f>
        <v>45928.0</v>
      </c>
      <c r="AA902" s="64">
        <f>_xlfn.MAXIFS(tblLaborEntries[Work date serial],tblLaborEntries[Work package ID],tblWorkPackages[[#This Row],[Work package ID]])</f>
        <v>45930.0</v>
      </c>
      <c r="AB902" s="65">
        <f>IF(tblWorkPackages[[#This Row],[Completion date serial]]&gt;tblWorkPackages[[#This Row],[Due date serial]],1,0)</f>
        <v>1</v>
      </c>
      <c r="AC902" s="65">
        <f>MAX(0,tblWorkPackages[[#This Row],[Completion date serial]]-tblWorkPackages[[#This Row],[Due date serial]])</f>
        <v>11</v>
      </c>
      <c r="AD902" s="65">
        <f>tblWorkPackages[[#This Row],[First labor date]]-tblWorkPackages[[#This Row],[Request date serial]]</f>
        <v>22</v>
      </c>
      <c r="AE902" s="65">
        <f>tblWorkPackages[[#This Row],[Last labor date]]-tblWorkPackages[[#This Row],[First labor date]]</f>
        <v>2</v>
      </c>
      <c r="AF902" s="65">
        <f>tblWorkPackages[[#This Row],[Completion date serial]]-tblWorkPackages[[#This Row],[Last labor date]]</f>
        <v>0</v>
      </c>
      <c r="AG902" s="65">
        <f>tblWorkPackages[[#This Row],[Completion date serial]]-tblWorkPackages[[#This Row],[Request date serial]]</f>
        <v>24</v>
      </c>
      <c r="AH902" s="65">
        <f>IFERROR(INDEX(tblParts[Delay days],MATCH(tblWorkPackages[[#This Row],[Work package ID]],tblParts[Work package ID],0)),0)</f>
        <v>0</v>
      </c>
      <c r="AI902" s="51" t="str">
        <f>IFERROR(INDEX(tblDisruptions[Event type],MATCH(tblWorkPackages[[#This Row],[Work package ID]],tblDisruptions[Work package ID],0)),"None")</f>
        <v>None</v>
      </c>
      <c r="AJ902" s="51" t="str">
        <f>TEXT(tblWorkPackages[[#This Row],[Due date serial]],"yyyy-mm")</f>
        <v>2025-09</v>
      </c>
    </row>
    <row r="903" spans="1:36" ht="15" x14ac:dyDescent="0.25">
      <c r="A903" s="53" t="s">
        <v>1792</v>
      </c>
      <c r="B903" s="53" t="s">
        <v>250</v>
      </c>
      <c r="C903" s="53" t="s">
        <v>378</v>
      </c>
      <c r="D903" s="53" t="s">
        <v>379</v>
      </c>
      <c r="E903" s="53" t="s">
        <v>237</v>
      </c>
      <c r="F903" s="53" t="s">
        <v>182</v>
      </c>
      <c r="G903" s="53" t="s">
        <v>138</v>
      </c>
      <c r="H903" s="53">
        <v>1</v>
      </c>
      <c r="I903" s="53" t="s">
        <v>130</v>
      </c>
      <c r="J903" s="53">
        <v>0</v>
      </c>
      <c r="K903" s="53">
        <v>1</v>
      </c>
      <c r="L903" s="53">
        <v>3</v>
      </c>
      <c r="M903" s="53" t="s">
        <v>1016</v>
      </c>
      <c r="N903" s="53">
        <v>3.3</v>
      </c>
      <c r="O903" s="51" t="str">
        <f>TEXT(tblWorkPackages[[#This Row],[Request date serial]]-WEEKDAY(tblWorkPackages[[#This Row],[Request date serial]],3),"yyyy-mm-dd")</f>
        <v>2025-10-13</v>
      </c>
      <c r="P903" s="51">
        <f>ABS(tblWorkPackages[[#This Row],[Actual labor hours]]-tblWorkPackages[[#This Row],[Estimated labor hours]])</f>
        <v>0.3</v>
      </c>
      <c r="Q903" s="51">
        <f>IF(tblWorkPackages[[#This Row],[Actual labor hours]]&gt;tblWorkPackages[[#This Row],[Estimated labor hours]],1,0)</f>
        <v>1</v>
      </c>
      <c r="R903" s="51">
        <f>tblWorkPackages[[#This Row],[Actual labor hours]]-tblWorkPackages[[#This Row],[Estimated labor hours]]</f>
        <v>0.3</v>
      </c>
      <c r="S903" s="51" t="str">
        <f>IF(tblWorkPackages[[#This Row],[Request date serial]]&lt;ValidationStart,"Train 2024",IF(tblWorkPackages[[#This Row],[Request date serial]]&lt;HoldoutStart,"Validation H1","Holdout H2"))</f>
        <v>Holdout H2</v>
      </c>
      <c r="T903" s="51">
        <f>IF(tblWorkPackages[[#This Row],[Time split]]="Train 2024","",tblWorkPackages[[#This Row],[Estimated labor hours]]+VLOOKUP(tblWorkPackages[[#This Row],[Task type]],'Forecast validation'!$A$14:$E$25,IF(tblWorkPackages[[#This Row],[Time split]]="Validation H1",4,5),FALSE()))</f>
        <v>3.453125</v>
      </c>
      <c r="U903" s="51">
        <f>IF(tblWorkPackages[[#This Row],[Calibrated forecast hours]]="","",ABS(tblWorkPackages[[#This Row],[Actual labor hours]]-tblWorkPackages[[#This Row],[Calibrated forecast hours]]))</f>
        <v>0.153125</v>
      </c>
      <c r="V903" s="51">
        <f>IF(tblWorkPackages[[#This Row],[Time split]]="Train 2024",tblWorkPackages[[#This Row],[Estimated labor hours]],tblWorkPackages[[#This Row],[Calibrated forecast hours]])</f>
        <v>3.453125</v>
      </c>
      <c r="W903" s="64">
        <f>DATEVALUE(tblWorkPackages[[#This Row],[Request date]])</f>
        <v>45943.0</v>
      </c>
      <c r="X903" s="64">
        <f>DATEVALUE(tblWorkPackages[[#This Row],[Due date]])</f>
        <v>45956.0</v>
      </c>
      <c r="Y903" s="64">
        <f>DATEVALUE(tblWorkPackages[[#This Row],[Completion date]])</f>
        <v>45952.0</v>
      </c>
      <c r="Z903" s="64">
        <f>_xlfn.MINIFS(tblLaborEntries[Work date serial],tblLaborEntries[Work package ID],tblWorkPackages[[#This Row],[Work package ID]])</f>
        <v>45949.0</v>
      </c>
      <c r="AA903" s="64">
        <f>_xlfn.MAXIFS(tblLaborEntries[Work date serial],tblLaborEntries[Work package ID],tblWorkPackages[[#This Row],[Work package ID]])</f>
        <v>45951.0</v>
      </c>
      <c r="AB903" s="65">
        <f>IF(tblWorkPackages[[#This Row],[Completion date serial]]&gt;tblWorkPackages[[#This Row],[Due date serial]],1,0)</f>
        <v>0</v>
      </c>
      <c r="AC903" s="65">
        <f>MAX(0,tblWorkPackages[[#This Row],[Completion date serial]]-tblWorkPackages[[#This Row],[Due date serial]])</f>
        <v>0</v>
      </c>
      <c r="AD903" s="65">
        <f>tblWorkPackages[[#This Row],[First labor date]]-tblWorkPackages[[#This Row],[Request date serial]]</f>
        <v>6</v>
      </c>
      <c r="AE903" s="65">
        <f>tblWorkPackages[[#This Row],[Last labor date]]-tblWorkPackages[[#This Row],[First labor date]]</f>
        <v>2</v>
      </c>
      <c r="AF903" s="65">
        <f>tblWorkPackages[[#This Row],[Completion date serial]]-tblWorkPackages[[#This Row],[Last labor date]]</f>
        <v>1</v>
      </c>
      <c r="AG903" s="65">
        <f>tblWorkPackages[[#This Row],[Completion date serial]]-tblWorkPackages[[#This Row],[Request date serial]]</f>
        <v>9</v>
      </c>
      <c r="AH903" s="65">
        <f>IFERROR(INDEX(tblParts[Delay days],MATCH(tblWorkPackages[[#This Row],[Work package ID]],tblParts[Work package ID],0)),0)</f>
        <v>2</v>
      </c>
      <c r="AI903" s="51" t="str">
        <f>IFERROR(INDEX(tblDisruptions[Event type],MATCH(tblWorkPackages[[#This Row],[Work package ID]],tblDisruptions[Work package ID],0)),"None")</f>
        <v>Part delay</v>
      </c>
      <c r="AJ903" s="51" t="str">
        <f>TEXT(tblWorkPackages[[#This Row],[Due date serial]],"yyyy-mm")</f>
        <v>2025-10</v>
      </c>
    </row>
    <row r="904" spans="1:36" ht="15" x14ac:dyDescent="0.25">
      <c r="A904" s="53" t="s">
        <v>1793</v>
      </c>
      <c r="B904" s="53" t="s">
        <v>250</v>
      </c>
      <c r="C904" s="53" t="s">
        <v>513</v>
      </c>
      <c r="D904" s="53" t="s">
        <v>231</v>
      </c>
      <c r="E904" s="53" t="s">
        <v>136</v>
      </c>
      <c r="F904" s="53" t="s">
        <v>137</v>
      </c>
      <c r="G904" s="53" t="s">
        <v>138</v>
      </c>
      <c r="H904" s="53">
        <v>4</v>
      </c>
      <c r="I904" s="53" t="s">
        <v>176</v>
      </c>
      <c r="J904" s="53">
        <v>0</v>
      </c>
      <c r="K904" s="53">
        <v>0</v>
      </c>
      <c r="L904" s="53">
        <v>24.4</v>
      </c>
      <c r="M904" s="53" t="s">
        <v>251</v>
      </c>
      <c r="N904" s="53">
        <v>28.4</v>
      </c>
      <c r="O904" s="51" t="str">
        <f>TEXT(tblWorkPackages[[#This Row],[Request date serial]]-WEEKDAY(tblWorkPackages[[#This Row],[Request date serial]],3),"yyyy-mm-dd")</f>
        <v>2024-12-23</v>
      </c>
      <c r="P904" s="51">
        <f>ABS(tblWorkPackages[[#This Row],[Actual labor hours]]-tblWorkPackages[[#This Row],[Estimated labor hours]])</f>
        <v>4</v>
      </c>
      <c r="Q904" s="51">
        <f>IF(tblWorkPackages[[#This Row],[Actual labor hours]]&gt;tblWorkPackages[[#This Row],[Estimated labor hours]],1,0)</f>
        <v>1</v>
      </c>
      <c r="R904" s="51">
        <f>tblWorkPackages[[#This Row],[Actual labor hours]]-tblWorkPackages[[#This Row],[Estimated labor hours]]</f>
        <v>4</v>
      </c>
      <c r="S904" s="51" t="str">
        <f>IF(tblWorkPackages[[#This Row],[Request date serial]]&lt;ValidationStart,"Train 2024",IF(tblWorkPackages[[#This Row],[Request date serial]]&lt;HoldoutStart,"Validation H1","Holdout H2"))</f>
        <v>Train 2024</v>
      </c>
      <c r="T904" s="51" t="str">
        <f>IF(tblWorkPackages[[#This Row],[Time split]]="Train 2024","",tblWorkPackages[[#This Row],[Estimated labor hours]]+VLOOKUP(tblWorkPackages[[#This Row],[Task type]],'Forecast validation'!$A$14:$E$25,IF(tblWorkPackages[[#This Row],[Time split]]="Validation H1",4,5),FALSE()))</f>
        <v/>
      </c>
      <c r="U904" s="51" t="str">
        <f>IF(tblWorkPackages[[#This Row],[Calibrated forecast hours]]="","",ABS(tblWorkPackages[[#This Row],[Actual labor hours]]-tblWorkPackages[[#This Row],[Calibrated forecast hours]]))</f>
        <v/>
      </c>
      <c r="V904" s="51">
        <f>IF(tblWorkPackages[[#This Row],[Time split]]="Train 2024",tblWorkPackages[[#This Row],[Estimated labor hours]],tblWorkPackages[[#This Row],[Calibrated forecast hours]])</f>
        <v>24.4</v>
      </c>
      <c r="W904" s="64">
        <f>DATEVALUE(tblWorkPackages[[#This Row],[Request date]])</f>
        <v>45649.0</v>
      </c>
      <c r="X904" s="64">
        <f>DATEVALUE(tblWorkPackages[[#This Row],[Due date]])</f>
        <v>45655.0</v>
      </c>
      <c r="Y904" s="64">
        <f>DATEVALUE(tblWorkPackages[[#This Row],[Completion date]])</f>
        <v>45652.0</v>
      </c>
      <c r="Z904" s="64">
        <f>_xlfn.MINIFS(tblLaborEntries[Work date serial],tblLaborEntries[Work package ID],tblWorkPackages[[#This Row],[Work package ID]])</f>
        <v>45650.0</v>
      </c>
      <c r="AA904" s="64">
        <f>_xlfn.MAXIFS(tblLaborEntries[Work date serial],tblLaborEntries[Work package ID],tblWorkPackages[[#This Row],[Work package ID]])</f>
        <v>45650.0</v>
      </c>
      <c r="AB904" s="65">
        <f>IF(tblWorkPackages[[#This Row],[Completion date serial]]&gt;tblWorkPackages[[#This Row],[Due date serial]],1,0)</f>
        <v>0</v>
      </c>
      <c r="AC904" s="65">
        <f>MAX(0,tblWorkPackages[[#This Row],[Completion date serial]]-tblWorkPackages[[#This Row],[Due date serial]])</f>
        <v>0</v>
      </c>
      <c r="AD904" s="65">
        <f>tblWorkPackages[[#This Row],[First labor date]]-tblWorkPackages[[#This Row],[Request date serial]]</f>
        <v>1</v>
      </c>
      <c r="AE904" s="65">
        <f>tblWorkPackages[[#This Row],[Last labor date]]-tblWorkPackages[[#This Row],[First labor date]]</f>
        <v>0</v>
      </c>
      <c r="AF904" s="65">
        <f>tblWorkPackages[[#This Row],[Completion date serial]]-tblWorkPackages[[#This Row],[Last labor date]]</f>
        <v>2</v>
      </c>
      <c r="AG904" s="65">
        <f>tblWorkPackages[[#This Row],[Completion date serial]]-tblWorkPackages[[#This Row],[Request date serial]]</f>
        <v>3</v>
      </c>
      <c r="AH904" s="65">
        <f>IFERROR(INDEX(tblParts[Delay days],MATCH(tblWorkPackages[[#This Row],[Work package ID]],tblParts[Work package ID],0)),0)</f>
        <v>0</v>
      </c>
      <c r="AI904" s="51" t="str">
        <f>IFERROR(INDEX(tblDisruptions[Event type],MATCH(tblWorkPackages[[#This Row],[Work package ID]],tblDisruptions[Work package ID],0)),"None")</f>
        <v>None</v>
      </c>
      <c r="AJ904" s="51" t="str">
        <f>TEXT(tblWorkPackages[[#This Row],[Due date serial]],"yyyy-mm")</f>
        <v>2024-12</v>
      </c>
    </row>
    <row r="905" spans="1:36" ht="15" x14ac:dyDescent="0.25">
      <c r="A905" s="53" t="s">
        <v>1794</v>
      </c>
      <c r="B905" s="53" t="s">
        <v>173</v>
      </c>
      <c r="C905" s="53" t="s">
        <v>232</v>
      </c>
      <c r="D905" s="53" t="s">
        <v>681</v>
      </c>
      <c r="E905" s="53" t="s">
        <v>209</v>
      </c>
      <c r="F905" s="53" t="s">
        <v>145</v>
      </c>
      <c r="G905" s="53" t="s">
        <v>210</v>
      </c>
      <c r="H905" s="53">
        <v>3</v>
      </c>
      <c r="I905" s="53" t="s">
        <v>130</v>
      </c>
      <c r="J905" s="53">
        <v>0</v>
      </c>
      <c r="K905" s="53">
        <v>0</v>
      </c>
      <c r="L905" s="53">
        <v>27.3</v>
      </c>
      <c r="M905" s="53" t="s">
        <v>1383</v>
      </c>
      <c r="N905" s="53">
        <v>22.9</v>
      </c>
      <c r="O905" s="51" t="str">
        <f>TEXT(tblWorkPackages[[#This Row],[Request date serial]]-WEEKDAY(tblWorkPackages[[#This Row],[Request date serial]],3),"yyyy-mm-dd")</f>
        <v>2025-01-06</v>
      </c>
      <c r="P905" s="51">
        <f>ABS(tblWorkPackages[[#This Row],[Actual labor hours]]-tblWorkPackages[[#This Row],[Estimated labor hours]])</f>
        <v>4.4</v>
      </c>
      <c r="Q905" s="51">
        <f>IF(tblWorkPackages[[#This Row],[Actual labor hours]]&gt;tblWorkPackages[[#This Row],[Estimated labor hours]],1,0)</f>
        <v>0</v>
      </c>
      <c r="R905" s="51">
        <f>tblWorkPackages[[#This Row],[Actual labor hours]]-tblWorkPackages[[#This Row],[Estimated labor hours]]</f>
        <v>-4.4</v>
      </c>
      <c r="S905" s="51" t="str">
        <f>IF(tblWorkPackages[[#This Row],[Request date serial]]&lt;ValidationStart,"Train 2024",IF(tblWorkPackages[[#This Row],[Request date serial]]&lt;HoldoutStart,"Validation H1","Holdout H2"))</f>
        <v>Validation H1</v>
      </c>
      <c r="T905" s="51">
        <f>IF(tblWorkPackages[[#This Row],[Time split]]="Train 2024","",tblWorkPackages[[#This Row],[Estimated labor hours]]+VLOOKUP(tblWorkPackages[[#This Row],[Task type]],'Forecast validation'!$A$14:$E$25,IF(tblWorkPackages[[#This Row],[Time split]]="Validation H1",4,5),FALSE()))</f>
        <v>28.4029850746269</v>
      </c>
      <c r="U905" s="51">
        <f>IF(tblWorkPackages[[#This Row],[Calibrated forecast hours]]="","",ABS(tblWorkPackages[[#This Row],[Actual labor hours]]-tblWorkPackages[[#This Row],[Calibrated forecast hours]]))</f>
        <v>5.50298507462687</v>
      </c>
      <c r="V905" s="51">
        <f>IF(tblWorkPackages[[#This Row],[Time split]]="Train 2024",tblWorkPackages[[#This Row],[Estimated labor hours]],tblWorkPackages[[#This Row],[Calibrated forecast hours]])</f>
        <v>28.4029850746269</v>
      </c>
      <c r="W905" s="64">
        <f>DATEVALUE(tblWorkPackages[[#This Row],[Request date]])</f>
        <v>45668.0</v>
      </c>
      <c r="X905" s="64">
        <f>DATEVALUE(tblWorkPackages[[#This Row],[Due date]])</f>
        <v>45681.0</v>
      </c>
      <c r="Y905" s="64">
        <f>DATEVALUE(tblWorkPackages[[#This Row],[Completion date]])</f>
        <v>45683.0</v>
      </c>
      <c r="Z905" s="64">
        <f>_xlfn.MINIFS(tblLaborEntries[Work date serial],tblLaborEntries[Work package ID],tblWorkPackages[[#This Row],[Work package ID]])</f>
        <v>45680.0</v>
      </c>
      <c r="AA905" s="64">
        <f>_xlfn.MAXIFS(tblLaborEntries[Work date serial],tblLaborEntries[Work package ID],tblWorkPackages[[#This Row],[Work package ID]])</f>
        <v>45680.0</v>
      </c>
      <c r="AB905" s="65">
        <f>IF(tblWorkPackages[[#This Row],[Completion date serial]]&gt;tblWorkPackages[[#This Row],[Due date serial]],1,0)</f>
        <v>1</v>
      </c>
      <c r="AC905" s="65">
        <f>MAX(0,tblWorkPackages[[#This Row],[Completion date serial]]-tblWorkPackages[[#This Row],[Due date serial]])</f>
        <v>2</v>
      </c>
      <c r="AD905" s="65">
        <f>tblWorkPackages[[#This Row],[First labor date]]-tblWorkPackages[[#This Row],[Request date serial]]</f>
        <v>12</v>
      </c>
      <c r="AE905" s="65">
        <f>tblWorkPackages[[#This Row],[Last labor date]]-tblWorkPackages[[#This Row],[First labor date]]</f>
        <v>0</v>
      </c>
      <c r="AF905" s="65">
        <f>tblWorkPackages[[#This Row],[Completion date serial]]-tblWorkPackages[[#This Row],[Last labor date]]</f>
        <v>3</v>
      </c>
      <c r="AG905" s="65">
        <f>tblWorkPackages[[#This Row],[Completion date serial]]-tblWorkPackages[[#This Row],[Request date serial]]</f>
        <v>15</v>
      </c>
      <c r="AH905" s="65">
        <f>IFERROR(INDEX(tblParts[Delay days],MATCH(tblWorkPackages[[#This Row],[Work package ID]],tblParts[Work package ID],0)),0)</f>
        <v>0</v>
      </c>
      <c r="AI905" s="51" t="str">
        <f>IFERROR(INDEX(tblDisruptions[Event type],MATCH(tblWorkPackages[[#This Row],[Work package ID]],tblDisruptions[Work package ID],0)),"None")</f>
        <v>None</v>
      </c>
      <c r="AJ905" s="51" t="str">
        <f>TEXT(tblWorkPackages[[#This Row],[Due date serial]],"yyyy-mm")</f>
        <v>2025-01</v>
      </c>
    </row>
    <row r="906" spans="1:36" ht="15" x14ac:dyDescent="0.25">
      <c r="A906" s="53" t="s">
        <v>1795</v>
      </c>
      <c r="B906" s="53" t="s">
        <v>287</v>
      </c>
      <c r="C906" s="53" t="s">
        <v>567</v>
      </c>
      <c r="D906" s="53" t="s">
        <v>568</v>
      </c>
      <c r="E906" s="53" t="s">
        <v>200</v>
      </c>
      <c r="F906" s="53" t="s">
        <v>128</v>
      </c>
      <c r="G906" s="53" t="s">
        <v>129</v>
      </c>
      <c r="H906" s="53">
        <v>4</v>
      </c>
      <c r="I906" s="53" t="s">
        <v>130</v>
      </c>
      <c r="J906" s="53">
        <v>0</v>
      </c>
      <c r="K906" s="53">
        <v>0</v>
      </c>
      <c r="L906" s="53">
        <v>6.3</v>
      </c>
      <c r="M906" s="53" t="s">
        <v>1076</v>
      </c>
      <c r="N906" s="53">
        <v>6.6</v>
      </c>
      <c r="O906" s="51" t="str">
        <f>TEXT(tblWorkPackages[[#This Row],[Request date serial]]-WEEKDAY(tblWorkPackages[[#This Row],[Request date serial]],3),"yyyy-mm-dd")</f>
        <v>2025-05-19</v>
      </c>
      <c r="P906" s="51">
        <f>ABS(tblWorkPackages[[#This Row],[Actual labor hours]]-tblWorkPackages[[#This Row],[Estimated labor hours]])</f>
        <v>0.3</v>
      </c>
      <c r="Q906" s="51">
        <f>IF(tblWorkPackages[[#This Row],[Actual labor hours]]&gt;tblWorkPackages[[#This Row],[Estimated labor hours]],1,0)</f>
        <v>1</v>
      </c>
      <c r="R906" s="51">
        <f>tblWorkPackages[[#This Row],[Actual labor hours]]-tblWorkPackages[[#This Row],[Estimated labor hours]]</f>
        <v>0.3</v>
      </c>
      <c r="S906" s="51" t="str">
        <f>IF(tblWorkPackages[[#This Row],[Request date serial]]&lt;ValidationStart,"Train 2024",IF(tblWorkPackages[[#This Row],[Request date serial]]&lt;HoldoutStart,"Validation H1","Holdout H2"))</f>
        <v>Validation H1</v>
      </c>
      <c r="T906" s="51">
        <f>IF(tblWorkPackages[[#This Row],[Time split]]="Train 2024","",tblWorkPackages[[#This Row],[Estimated labor hours]]+VLOOKUP(tblWorkPackages[[#This Row],[Task type]],'Forecast validation'!$A$14:$E$25,IF(tblWorkPackages[[#This Row],[Time split]]="Validation H1",4,5),FALSE()))</f>
        <v>6.63069306930693</v>
      </c>
      <c r="U906" s="51">
        <f>IF(tblWorkPackages[[#This Row],[Calibrated forecast hours]]="","",ABS(tblWorkPackages[[#This Row],[Actual labor hours]]-tblWorkPackages[[#This Row],[Calibrated forecast hours]]))</f>
        <v>0.0306930693069312</v>
      </c>
      <c r="V906" s="51">
        <f>IF(tblWorkPackages[[#This Row],[Time split]]="Train 2024",tblWorkPackages[[#This Row],[Estimated labor hours]],tblWorkPackages[[#This Row],[Calibrated forecast hours]])</f>
        <v>6.63069306930693</v>
      </c>
      <c r="W906" s="64">
        <f>DATEVALUE(tblWorkPackages[[#This Row],[Request date]])</f>
        <v>45800.0</v>
      </c>
      <c r="X906" s="64">
        <f>DATEVALUE(tblWorkPackages[[#This Row],[Due date]])</f>
        <v>45813.0</v>
      </c>
      <c r="Y906" s="64">
        <f>DATEVALUE(tblWorkPackages[[#This Row],[Completion date]])</f>
        <v>45804.0</v>
      </c>
      <c r="Z906" s="64">
        <f>_xlfn.MINIFS(tblLaborEntries[Work date serial],tblLaborEntries[Work package ID],tblWorkPackages[[#This Row],[Work package ID]])</f>
        <v>45803.0</v>
      </c>
      <c r="AA906" s="64">
        <f>_xlfn.MAXIFS(tblLaborEntries[Work date serial],tblLaborEntries[Work package ID],tblWorkPackages[[#This Row],[Work package ID]])</f>
        <v>45804.0</v>
      </c>
      <c r="AB906" s="65">
        <f>IF(tblWorkPackages[[#This Row],[Completion date serial]]&gt;tblWorkPackages[[#This Row],[Due date serial]],1,0)</f>
        <v>0</v>
      </c>
      <c r="AC906" s="65">
        <f>MAX(0,tblWorkPackages[[#This Row],[Completion date serial]]-tblWorkPackages[[#This Row],[Due date serial]])</f>
        <v>0</v>
      </c>
      <c r="AD906" s="65">
        <f>tblWorkPackages[[#This Row],[First labor date]]-tblWorkPackages[[#This Row],[Request date serial]]</f>
        <v>3</v>
      </c>
      <c r="AE906" s="65">
        <f>tblWorkPackages[[#This Row],[Last labor date]]-tblWorkPackages[[#This Row],[First labor date]]</f>
        <v>1</v>
      </c>
      <c r="AF906" s="65">
        <f>tblWorkPackages[[#This Row],[Completion date serial]]-tblWorkPackages[[#This Row],[Last labor date]]</f>
        <v>0</v>
      </c>
      <c r="AG906" s="65">
        <f>tblWorkPackages[[#This Row],[Completion date serial]]-tblWorkPackages[[#This Row],[Request date serial]]</f>
        <v>4</v>
      </c>
      <c r="AH906" s="65">
        <f>IFERROR(INDEX(tblParts[Delay days],MATCH(tblWorkPackages[[#This Row],[Work package ID]],tblParts[Work package ID],0)),0)</f>
        <v>0</v>
      </c>
      <c r="AI906" s="51" t="str">
        <f>IFERROR(INDEX(tblDisruptions[Event type],MATCH(tblWorkPackages[[#This Row],[Work package ID]],tblDisruptions[Work package ID],0)),"None")</f>
        <v>None</v>
      </c>
      <c r="AJ906" s="51" t="str">
        <f>TEXT(tblWorkPackages[[#This Row],[Due date serial]],"yyyy-mm")</f>
        <v>2025-06</v>
      </c>
    </row>
    <row r="907" spans="1:36" ht="15" x14ac:dyDescent="0.25">
      <c r="A907" s="53" t="s">
        <v>1796</v>
      </c>
      <c r="B907" s="53" t="s">
        <v>235</v>
      </c>
      <c r="C907" s="53" t="s">
        <v>271</v>
      </c>
      <c r="D907" s="53" t="s">
        <v>1484</v>
      </c>
      <c r="E907" s="53" t="s">
        <v>127</v>
      </c>
      <c r="F907" s="53" t="s">
        <v>128</v>
      </c>
      <c r="G907" s="53" t="s">
        <v>129</v>
      </c>
      <c r="H907" s="53">
        <v>4</v>
      </c>
      <c r="I907" s="53" t="s">
        <v>147</v>
      </c>
      <c r="J907" s="53">
        <v>0</v>
      </c>
      <c r="K907" s="53">
        <v>1</v>
      </c>
      <c r="L907" s="53">
        <v>14.6</v>
      </c>
      <c r="M907" s="53" t="s">
        <v>740</v>
      </c>
      <c r="N907" s="53">
        <v>16.2</v>
      </c>
      <c r="O907" s="51" t="str">
        <f>TEXT(tblWorkPackages[[#This Row],[Request date serial]]-WEEKDAY(tblWorkPackages[[#This Row],[Request date serial]],3),"yyyy-mm-dd")</f>
        <v>2025-04-14</v>
      </c>
      <c r="P907" s="51">
        <f>ABS(tblWorkPackages[[#This Row],[Actual labor hours]]-tblWorkPackages[[#This Row],[Estimated labor hours]])</f>
        <v>1.6</v>
      </c>
      <c r="Q907" s="51">
        <f>IF(tblWorkPackages[[#This Row],[Actual labor hours]]&gt;tblWorkPackages[[#This Row],[Estimated labor hours]],1,0)</f>
        <v>1</v>
      </c>
      <c r="R907" s="51">
        <f>tblWorkPackages[[#This Row],[Actual labor hours]]-tblWorkPackages[[#This Row],[Estimated labor hours]]</f>
        <v>1.6</v>
      </c>
      <c r="S907" s="51" t="str">
        <f>IF(tblWorkPackages[[#This Row],[Request date serial]]&lt;ValidationStart,"Train 2024",IF(tblWorkPackages[[#This Row],[Request date serial]]&lt;HoldoutStart,"Validation H1","Holdout H2"))</f>
        <v>Validation H1</v>
      </c>
      <c r="T907" s="51">
        <f>IF(tblWorkPackages[[#This Row],[Time split]]="Train 2024","",tblWorkPackages[[#This Row],[Estimated labor hours]]+VLOOKUP(tblWorkPackages[[#This Row],[Task type]],'Forecast validation'!$A$14:$E$25,IF(tblWorkPackages[[#This Row],[Time split]]="Validation H1",4,5),FALSE()))</f>
        <v>15.075641025641</v>
      </c>
      <c r="U907" s="51">
        <f>IF(tblWorkPackages[[#This Row],[Calibrated forecast hours]]="","",ABS(tblWorkPackages[[#This Row],[Actual labor hours]]-tblWorkPackages[[#This Row],[Calibrated forecast hours]]))</f>
        <v>1.12435897435897</v>
      </c>
      <c r="V907" s="51">
        <f>IF(tblWorkPackages[[#This Row],[Time split]]="Train 2024",tblWorkPackages[[#This Row],[Estimated labor hours]],tblWorkPackages[[#This Row],[Calibrated forecast hours]])</f>
        <v>15.075641025641</v>
      </c>
      <c r="W907" s="64">
        <f>DATEVALUE(tblWorkPackages[[#This Row],[Request date]])</f>
        <v>45761.0</v>
      </c>
      <c r="X907" s="64">
        <f>DATEVALUE(tblWorkPackages[[#This Row],[Due date]])</f>
        <v>45763.0</v>
      </c>
      <c r="Y907" s="64">
        <f>DATEVALUE(tblWorkPackages[[#This Row],[Completion date]])</f>
        <v>45797.0</v>
      </c>
      <c r="Z907" s="64">
        <f>_xlfn.MINIFS(tblLaborEntries[Work date serial],tblLaborEntries[Work package ID],tblWorkPackages[[#This Row],[Work package ID]])</f>
        <v>45796.0</v>
      </c>
      <c r="AA907" s="64">
        <f>_xlfn.MAXIFS(tblLaborEntries[Work date serial],tblLaborEntries[Work package ID],tblWorkPackages[[#This Row],[Work package ID]])</f>
        <v>45796.0</v>
      </c>
      <c r="AB907" s="65">
        <f>IF(tblWorkPackages[[#This Row],[Completion date serial]]&gt;tblWorkPackages[[#This Row],[Due date serial]],1,0)</f>
        <v>1</v>
      </c>
      <c r="AC907" s="65">
        <f>MAX(0,tblWorkPackages[[#This Row],[Completion date serial]]-tblWorkPackages[[#This Row],[Due date serial]])</f>
        <v>34</v>
      </c>
      <c r="AD907" s="65">
        <f>tblWorkPackages[[#This Row],[First labor date]]-tblWorkPackages[[#This Row],[Request date serial]]</f>
        <v>35</v>
      </c>
      <c r="AE907" s="65">
        <f>tblWorkPackages[[#This Row],[Last labor date]]-tblWorkPackages[[#This Row],[First labor date]]</f>
        <v>0</v>
      </c>
      <c r="AF907" s="65">
        <f>tblWorkPackages[[#This Row],[Completion date serial]]-tblWorkPackages[[#This Row],[Last labor date]]</f>
        <v>1</v>
      </c>
      <c r="AG907" s="65">
        <f>tblWorkPackages[[#This Row],[Completion date serial]]-tblWorkPackages[[#This Row],[Request date serial]]</f>
        <v>36</v>
      </c>
      <c r="AH907" s="65">
        <f>IFERROR(INDEX(tblParts[Delay days],MATCH(tblWorkPackages[[#This Row],[Work package ID]],tblParts[Work package ID],0)),0)</f>
        <v>0</v>
      </c>
      <c r="AI907" s="51" t="str">
        <f>IFERROR(INDEX(tblDisruptions[Event type],MATCH(tblWorkPackages[[#This Row],[Work package ID]],tblDisruptions[Work package ID],0)),"None")</f>
        <v>None</v>
      </c>
      <c r="AJ907" s="51" t="str">
        <f>TEXT(tblWorkPackages[[#This Row],[Due date serial]],"yyyy-mm")</f>
        <v>2025-04</v>
      </c>
    </row>
    <row r="908" spans="1:36" ht="15" x14ac:dyDescent="0.25">
      <c r="A908" s="53" t="s">
        <v>1797</v>
      </c>
      <c r="B908" s="53" t="s">
        <v>250</v>
      </c>
      <c r="C908" s="53" t="s">
        <v>311</v>
      </c>
      <c r="D908" s="53" t="s">
        <v>492</v>
      </c>
      <c r="E908" s="53" t="s">
        <v>181</v>
      </c>
      <c r="F908" s="53" t="s">
        <v>182</v>
      </c>
      <c r="G908" s="53" t="s">
        <v>138</v>
      </c>
      <c r="H908" s="53">
        <v>2</v>
      </c>
      <c r="I908" s="53" t="s">
        <v>130</v>
      </c>
      <c r="J908" s="53">
        <v>0</v>
      </c>
      <c r="K908" s="53">
        <v>0</v>
      </c>
      <c r="L908" s="53">
        <v>7.1</v>
      </c>
      <c r="M908" s="53" t="s">
        <v>520</v>
      </c>
      <c r="N908" s="53">
        <v>7.8</v>
      </c>
      <c r="O908" s="51" t="str">
        <f>TEXT(tblWorkPackages[[#This Row],[Request date serial]]-WEEKDAY(tblWorkPackages[[#This Row],[Request date serial]],3),"yyyy-mm-dd")</f>
        <v>2025-08-11</v>
      </c>
      <c r="P908" s="51">
        <f>ABS(tblWorkPackages[[#This Row],[Actual labor hours]]-tblWorkPackages[[#This Row],[Estimated labor hours]])</f>
        <v>0.7</v>
      </c>
      <c r="Q908" s="51">
        <f>IF(tblWorkPackages[[#This Row],[Actual labor hours]]&gt;tblWorkPackages[[#This Row],[Estimated labor hours]],1,0)</f>
        <v>1</v>
      </c>
      <c r="R908" s="51">
        <f>tblWorkPackages[[#This Row],[Actual labor hours]]-tblWorkPackages[[#This Row],[Estimated labor hours]]</f>
        <v>0.7</v>
      </c>
      <c r="S908" s="51" t="str">
        <f>IF(tblWorkPackages[[#This Row],[Request date serial]]&lt;ValidationStart,"Train 2024",IF(tblWorkPackages[[#This Row],[Request date serial]]&lt;HoldoutStart,"Validation H1","Holdout H2"))</f>
        <v>Holdout H2</v>
      </c>
      <c r="T908" s="51">
        <f>IF(tblWorkPackages[[#This Row],[Time split]]="Train 2024","",tblWorkPackages[[#This Row],[Estimated labor hours]]+VLOOKUP(tblWorkPackages[[#This Row],[Task type]],'Forecast validation'!$A$14:$E$25,IF(tblWorkPackages[[#This Row],[Time split]]="Validation H1",4,5),FALSE()))</f>
        <v>7.69160839160839</v>
      </c>
      <c r="U908" s="51">
        <f>IF(tblWorkPackages[[#This Row],[Calibrated forecast hours]]="","",ABS(tblWorkPackages[[#This Row],[Actual labor hours]]-tblWorkPackages[[#This Row],[Calibrated forecast hours]]))</f>
        <v>0.108391608391608</v>
      </c>
      <c r="V908" s="51">
        <f>IF(tblWorkPackages[[#This Row],[Time split]]="Train 2024",tblWorkPackages[[#This Row],[Estimated labor hours]],tblWorkPackages[[#This Row],[Calibrated forecast hours]])</f>
        <v>7.69160839160839</v>
      </c>
      <c r="W908" s="64">
        <f>DATEVALUE(tblWorkPackages[[#This Row],[Request date]])</f>
        <v>45881.0</v>
      </c>
      <c r="X908" s="64">
        <f>DATEVALUE(tblWorkPackages[[#This Row],[Due date]])</f>
        <v>45894.0</v>
      </c>
      <c r="Y908" s="64">
        <f>DATEVALUE(tblWorkPackages[[#This Row],[Completion date]])</f>
        <v>45890.0</v>
      </c>
      <c r="Z908" s="64">
        <f>_xlfn.MINIFS(tblLaborEntries[Work date serial],tblLaborEntries[Work package ID],tblWorkPackages[[#This Row],[Work package ID]])</f>
        <v>45888.0</v>
      </c>
      <c r="AA908" s="64">
        <f>_xlfn.MAXIFS(tblLaborEntries[Work date serial],tblLaborEntries[Work package ID],tblWorkPackages[[#This Row],[Work package ID]])</f>
        <v>45888.0</v>
      </c>
      <c r="AB908" s="65">
        <f>IF(tblWorkPackages[[#This Row],[Completion date serial]]&gt;tblWorkPackages[[#This Row],[Due date serial]],1,0)</f>
        <v>0</v>
      </c>
      <c r="AC908" s="65">
        <f>MAX(0,tblWorkPackages[[#This Row],[Completion date serial]]-tblWorkPackages[[#This Row],[Due date serial]])</f>
        <v>0</v>
      </c>
      <c r="AD908" s="65">
        <f>tblWorkPackages[[#This Row],[First labor date]]-tblWorkPackages[[#This Row],[Request date serial]]</f>
        <v>7</v>
      </c>
      <c r="AE908" s="65">
        <f>tblWorkPackages[[#This Row],[Last labor date]]-tblWorkPackages[[#This Row],[First labor date]]</f>
        <v>0</v>
      </c>
      <c r="AF908" s="65">
        <f>tblWorkPackages[[#This Row],[Completion date serial]]-tblWorkPackages[[#This Row],[Last labor date]]</f>
        <v>2</v>
      </c>
      <c r="AG908" s="65">
        <f>tblWorkPackages[[#This Row],[Completion date serial]]-tblWorkPackages[[#This Row],[Request date serial]]</f>
        <v>9</v>
      </c>
      <c r="AH908" s="65">
        <f>IFERROR(INDEX(tblParts[Delay days],MATCH(tblWorkPackages[[#This Row],[Work package ID]],tblParts[Work package ID],0)),0)</f>
        <v>0</v>
      </c>
      <c r="AI908" s="51" t="str">
        <f>IFERROR(INDEX(tblDisruptions[Event type],MATCH(tblWorkPackages[[#This Row],[Work package ID]],tblDisruptions[Work package ID],0)),"None")</f>
        <v>None</v>
      </c>
      <c r="AJ908" s="51" t="str">
        <f>TEXT(tblWorkPackages[[#This Row],[Due date serial]],"yyyy-mm")</f>
        <v>2025-08</v>
      </c>
    </row>
    <row r="909" spans="1:36" ht="15" x14ac:dyDescent="0.25">
      <c r="A909" s="53" t="s">
        <v>1798</v>
      </c>
      <c r="B909" s="53" t="s">
        <v>287</v>
      </c>
      <c r="C909" s="53" t="s">
        <v>587</v>
      </c>
      <c r="D909" s="53" t="s">
        <v>253</v>
      </c>
      <c r="E909" s="53" t="s">
        <v>242</v>
      </c>
      <c r="F909" s="53" t="s">
        <v>243</v>
      </c>
      <c r="G909" s="53" t="s">
        <v>129</v>
      </c>
      <c r="H909" s="53">
        <v>3</v>
      </c>
      <c r="I909" s="53" t="s">
        <v>176</v>
      </c>
      <c r="J909" s="53">
        <v>0</v>
      </c>
      <c r="K909" s="53">
        <v>1</v>
      </c>
      <c r="L909" s="53">
        <v>11.9</v>
      </c>
      <c r="M909" s="53" t="s">
        <v>1455</v>
      </c>
      <c r="N909" s="53">
        <v>15.4</v>
      </c>
      <c r="O909" s="51" t="str">
        <f>TEXT(tblWorkPackages[[#This Row],[Request date serial]]-WEEKDAY(tblWorkPackages[[#This Row],[Request date serial]],3),"yyyy-mm-dd")</f>
        <v>2025-01-13</v>
      </c>
      <c r="P909" s="51">
        <f>ABS(tblWorkPackages[[#This Row],[Actual labor hours]]-tblWorkPackages[[#This Row],[Estimated labor hours]])</f>
        <v>3.5</v>
      </c>
      <c r="Q909" s="51">
        <f>IF(tblWorkPackages[[#This Row],[Actual labor hours]]&gt;tblWorkPackages[[#This Row],[Estimated labor hours]],1,0)</f>
        <v>1</v>
      </c>
      <c r="R909" s="51">
        <f>tblWorkPackages[[#This Row],[Actual labor hours]]-tblWorkPackages[[#This Row],[Estimated labor hours]]</f>
        <v>3.5</v>
      </c>
      <c r="S909" s="51" t="str">
        <f>IF(tblWorkPackages[[#This Row],[Request date serial]]&lt;ValidationStart,"Train 2024",IF(tblWorkPackages[[#This Row],[Request date serial]]&lt;HoldoutStart,"Validation H1","Holdout H2"))</f>
        <v>Validation H1</v>
      </c>
      <c r="T909" s="51">
        <f>IF(tblWorkPackages[[#This Row],[Time split]]="Train 2024","",tblWorkPackages[[#This Row],[Estimated labor hours]]+VLOOKUP(tblWorkPackages[[#This Row],[Task type]],'Forecast validation'!$A$14:$E$25,IF(tblWorkPackages[[#This Row],[Time split]]="Validation H1",4,5),FALSE()))</f>
        <v>12.4561224489796</v>
      </c>
      <c r="U909" s="51">
        <f>IF(tblWorkPackages[[#This Row],[Calibrated forecast hours]]="","",ABS(tblWorkPackages[[#This Row],[Actual labor hours]]-tblWorkPackages[[#This Row],[Calibrated forecast hours]]))</f>
        <v>2.94387755102041</v>
      </c>
      <c r="V909" s="51">
        <f>IF(tblWorkPackages[[#This Row],[Time split]]="Train 2024",tblWorkPackages[[#This Row],[Estimated labor hours]],tblWorkPackages[[#This Row],[Calibrated forecast hours]])</f>
        <v>12.4561224489796</v>
      </c>
      <c r="W909" s="64">
        <f>DATEVALUE(tblWorkPackages[[#This Row],[Request date]])</f>
        <v>45671.0</v>
      </c>
      <c r="X909" s="64">
        <f>DATEVALUE(tblWorkPackages[[#This Row],[Due date]])</f>
        <v>45677.0</v>
      </c>
      <c r="Y909" s="64">
        <f>DATEVALUE(tblWorkPackages[[#This Row],[Completion date]])</f>
        <v>45687.0</v>
      </c>
      <c r="Z909" s="64">
        <f>_xlfn.MINIFS(tblLaborEntries[Work date serial],tblLaborEntries[Work package ID],tblWorkPackages[[#This Row],[Work package ID]])</f>
        <v>45684.0</v>
      </c>
      <c r="AA909" s="64">
        <f>_xlfn.MAXIFS(tblLaborEntries[Work date serial],tblLaborEntries[Work package ID],tblWorkPackages[[#This Row],[Work package ID]])</f>
        <v>45684.0</v>
      </c>
      <c r="AB909" s="65">
        <f>IF(tblWorkPackages[[#This Row],[Completion date serial]]&gt;tblWorkPackages[[#This Row],[Due date serial]],1,0)</f>
        <v>1</v>
      </c>
      <c r="AC909" s="65">
        <f>MAX(0,tblWorkPackages[[#This Row],[Completion date serial]]-tblWorkPackages[[#This Row],[Due date serial]])</f>
        <v>10</v>
      </c>
      <c r="AD909" s="65">
        <f>tblWorkPackages[[#This Row],[First labor date]]-tblWorkPackages[[#This Row],[Request date serial]]</f>
        <v>13</v>
      </c>
      <c r="AE909" s="65">
        <f>tblWorkPackages[[#This Row],[Last labor date]]-tblWorkPackages[[#This Row],[First labor date]]</f>
        <v>0</v>
      </c>
      <c r="AF909" s="65">
        <f>tblWorkPackages[[#This Row],[Completion date serial]]-tblWorkPackages[[#This Row],[Last labor date]]</f>
        <v>3</v>
      </c>
      <c r="AG909" s="65">
        <f>tblWorkPackages[[#This Row],[Completion date serial]]-tblWorkPackages[[#This Row],[Request date serial]]</f>
        <v>16</v>
      </c>
      <c r="AH909" s="65">
        <f>IFERROR(INDEX(tblParts[Delay days],MATCH(tblWorkPackages[[#This Row],[Work package ID]],tblParts[Work package ID],0)),0)</f>
        <v>11</v>
      </c>
      <c r="AI909" s="51" t="str">
        <f>IFERROR(INDEX(tblDisruptions[Event type],MATCH(tblWorkPackages[[#This Row],[Work package ID]],tblDisruptions[Work package ID],0)),"None")</f>
        <v>Part delay</v>
      </c>
      <c r="AJ909" s="51" t="str">
        <f>TEXT(tblWorkPackages[[#This Row],[Due date serial]],"yyyy-mm")</f>
        <v>2025-01</v>
      </c>
    </row>
    <row r="910" spans="1:36" ht="15" x14ac:dyDescent="0.25">
      <c r="A910" s="53" t="s">
        <v>1799</v>
      </c>
      <c r="B910" s="53" t="s">
        <v>250</v>
      </c>
      <c r="C910" s="53" t="s">
        <v>1151</v>
      </c>
      <c r="D910" s="53" t="s">
        <v>1152</v>
      </c>
      <c r="E910" s="53" t="s">
        <v>223</v>
      </c>
      <c r="F910" s="53" t="s">
        <v>182</v>
      </c>
      <c r="G910" s="53" t="s">
        <v>154</v>
      </c>
      <c r="H910" s="53">
        <v>1</v>
      </c>
      <c r="I910" s="53" t="s">
        <v>130</v>
      </c>
      <c r="J910" s="53">
        <v>0</v>
      </c>
      <c r="K910" s="53">
        <v>0</v>
      </c>
      <c r="L910" s="53">
        <v>7.6</v>
      </c>
      <c r="M910" s="53" t="s">
        <v>522</v>
      </c>
      <c r="N910" s="53">
        <v>6.6</v>
      </c>
      <c r="O910" s="51" t="str">
        <f>TEXT(tblWorkPackages[[#This Row],[Request date serial]]-WEEKDAY(tblWorkPackages[[#This Row],[Request date serial]],3),"yyyy-mm-dd")</f>
        <v>2025-08-11</v>
      </c>
      <c r="P910" s="51">
        <f>ABS(tblWorkPackages[[#This Row],[Actual labor hours]]-tblWorkPackages[[#This Row],[Estimated labor hours]])</f>
        <v>1</v>
      </c>
      <c r="Q910" s="51">
        <f>IF(tblWorkPackages[[#This Row],[Actual labor hours]]&gt;tblWorkPackages[[#This Row],[Estimated labor hours]],1,0)</f>
        <v>0</v>
      </c>
      <c r="R910" s="51">
        <f>tblWorkPackages[[#This Row],[Actual labor hours]]-tblWorkPackages[[#This Row],[Estimated labor hours]]</f>
        <v>-1</v>
      </c>
      <c r="S910" s="51" t="str">
        <f>IF(tblWorkPackages[[#This Row],[Request date serial]]&lt;ValidationStart,"Train 2024",IF(tblWorkPackages[[#This Row],[Request date serial]]&lt;HoldoutStart,"Validation H1","Holdout H2"))</f>
        <v>Holdout H2</v>
      </c>
      <c r="T910" s="51">
        <f>IF(tblWorkPackages[[#This Row],[Time split]]="Train 2024","",tblWorkPackages[[#This Row],[Estimated labor hours]]+VLOOKUP(tblWorkPackages[[#This Row],[Task type]],'Forecast validation'!$A$14:$E$25,IF(tblWorkPackages[[#This Row],[Time split]]="Validation H1",4,5),FALSE()))</f>
        <v>8.52465753424658</v>
      </c>
      <c r="U910" s="51">
        <f>IF(tblWorkPackages[[#This Row],[Calibrated forecast hours]]="","",ABS(tblWorkPackages[[#This Row],[Actual labor hours]]-tblWorkPackages[[#This Row],[Calibrated forecast hours]]))</f>
        <v>1.92465753424658</v>
      </c>
      <c r="V910" s="51">
        <f>IF(tblWorkPackages[[#This Row],[Time split]]="Train 2024",tblWorkPackages[[#This Row],[Estimated labor hours]],tblWorkPackages[[#This Row],[Calibrated forecast hours]])</f>
        <v>8.52465753424658</v>
      </c>
      <c r="W910" s="64">
        <f>DATEVALUE(tblWorkPackages[[#This Row],[Request date]])</f>
        <v>45880.0</v>
      </c>
      <c r="X910" s="64">
        <f>DATEVALUE(tblWorkPackages[[#This Row],[Due date]])</f>
        <v>45893.0</v>
      </c>
      <c r="Y910" s="64">
        <f>DATEVALUE(tblWorkPackages[[#This Row],[Completion date]])</f>
        <v>45895.0</v>
      </c>
      <c r="Z910" s="64">
        <f>_xlfn.MINIFS(tblLaborEntries[Work date serial],tblLaborEntries[Work package ID],tblWorkPackages[[#This Row],[Work package ID]])</f>
        <v>45895.0</v>
      </c>
      <c r="AA910" s="64">
        <f>_xlfn.MAXIFS(tblLaborEntries[Work date serial],tblLaborEntries[Work package ID],tblWorkPackages[[#This Row],[Work package ID]])</f>
        <v>45895.0</v>
      </c>
      <c r="AB910" s="65">
        <f>IF(tblWorkPackages[[#This Row],[Completion date serial]]&gt;tblWorkPackages[[#This Row],[Due date serial]],1,0)</f>
        <v>1</v>
      </c>
      <c r="AC910" s="65">
        <f>MAX(0,tblWorkPackages[[#This Row],[Completion date serial]]-tblWorkPackages[[#This Row],[Due date serial]])</f>
        <v>2</v>
      </c>
      <c r="AD910" s="65">
        <f>tblWorkPackages[[#This Row],[First labor date]]-tblWorkPackages[[#This Row],[Request date serial]]</f>
        <v>15</v>
      </c>
      <c r="AE910" s="65">
        <f>tblWorkPackages[[#This Row],[Last labor date]]-tblWorkPackages[[#This Row],[First labor date]]</f>
        <v>0</v>
      </c>
      <c r="AF910" s="65">
        <f>tblWorkPackages[[#This Row],[Completion date serial]]-tblWorkPackages[[#This Row],[Last labor date]]</f>
        <v>0</v>
      </c>
      <c r="AG910" s="65">
        <f>tblWorkPackages[[#This Row],[Completion date serial]]-tblWorkPackages[[#This Row],[Request date serial]]</f>
        <v>15</v>
      </c>
      <c r="AH910" s="65">
        <f>IFERROR(INDEX(tblParts[Delay days],MATCH(tblWorkPackages[[#This Row],[Work package ID]],tblParts[Work package ID],0)),0)</f>
        <v>0</v>
      </c>
      <c r="AI910" s="51" t="str">
        <f>IFERROR(INDEX(tblDisruptions[Event type],MATCH(tblWorkPackages[[#This Row],[Work package ID]],tblDisruptions[Work package ID],0)),"None")</f>
        <v>None</v>
      </c>
      <c r="AJ910" s="51" t="str">
        <f>TEXT(tblWorkPackages[[#This Row],[Due date serial]],"yyyy-mm")</f>
        <v>2025-08</v>
      </c>
    </row>
    <row r="911" spans="1:36" ht="15" x14ac:dyDescent="0.25">
      <c r="A911" s="53" t="s">
        <v>1800</v>
      </c>
      <c r="B911" s="53" t="s">
        <v>250</v>
      </c>
      <c r="C911" s="53" t="s">
        <v>347</v>
      </c>
      <c r="D911" s="53" t="s">
        <v>1026</v>
      </c>
      <c r="E911" s="53" t="s">
        <v>181</v>
      </c>
      <c r="F911" s="53" t="s">
        <v>182</v>
      </c>
      <c r="G911" s="53" t="s">
        <v>138</v>
      </c>
      <c r="H911" s="53">
        <v>1</v>
      </c>
      <c r="I911" s="53" t="s">
        <v>130</v>
      </c>
      <c r="J911" s="53">
        <v>0</v>
      </c>
      <c r="K911" s="53">
        <v>0</v>
      </c>
      <c r="L911" s="53">
        <v>5.5</v>
      </c>
      <c r="M911" s="53" t="s">
        <v>759</v>
      </c>
      <c r="N911" s="53">
        <v>5.9</v>
      </c>
      <c r="O911" s="51" t="str">
        <f>TEXT(tblWorkPackages[[#This Row],[Request date serial]]-WEEKDAY(tblWorkPackages[[#This Row],[Request date serial]],3),"yyyy-mm-dd")</f>
        <v>2024-03-04</v>
      </c>
      <c r="P911" s="51">
        <f>ABS(tblWorkPackages[[#This Row],[Actual labor hours]]-tblWorkPackages[[#This Row],[Estimated labor hours]])</f>
        <v>0.4</v>
      </c>
      <c r="Q911" s="51">
        <f>IF(tblWorkPackages[[#This Row],[Actual labor hours]]&gt;tblWorkPackages[[#This Row],[Estimated labor hours]],1,0)</f>
        <v>1</v>
      </c>
      <c r="R911" s="51">
        <f>tblWorkPackages[[#This Row],[Actual labor hours]]-tblWorkPackages[[#This Row],[Estimated labor hours]]</f>
        <v>0.4</v>
      </c>
      <c r="S911" s="51" t="str">
        <f>IF(tblWorkPackages[[#This Row],[Request date serial]]&lt;ValidationStart,"Train 2024",IF(tblWorkPackages[[#This Row],[Request date serial]]&lt;HoldoutStart,"Validation H1","Holdout H2"))</f>
        <v>Train 2024</v>
      </c>
      <c r="T911" s="51" t="str">
        <f>IF(tblWorkPackages[[#This Row],[Time split]]="Train 2024","",tblWorkPackages[[#This Row],[Estimated labor hours]]+VLOOKUP(tblWorkPackages[[#This Row],[Task type]],'Forecast validation'!$A$14:$E$25,IF(tblWorkPackages[[#This Row],[Time split]]="Validation H1",4,5),FALSE()))</f>
        <v/>
      </c>
      <c r="U911" s="51" t="str">
        <f>IF(tblWorkPackages[[#This Row],[Calibrated forecast hours]]="","",ABS(tblWorkPackages[[#This Row],[Actual labor hours]]-tblWorkPackages[[#This Row],[Calibrated forecast hours]]))</f>
        <v/>
      </c>
      <c r="V911" s="51">
        <f>IF(tblWorkPackages[[#This Row],[Time split]]="Train 2024",tblWorkPackages[[#This Row],[Estimated labor hours]],tblWorkPackages[[#This Row],[Calibrated forecast hours]])</f>
        <v>5.5</v>
      </c>
      <c r="W911" s="64">
        <f>DATEVALUE(tblWorkPackages[[#This Row],[Request date]])</f>
        <v>45358.0</v>
      </c>
      <c r="X911" s="64">
        <f>DATEVALUE(tblWorkPackages[[#This Row],[Due date]])</f>
        <v>45371.0</v>
      </c>
      <c r="Y911" s="64">
        <f>DATEVALUE(tblWorkPackages[[#This Row],[Completion date]])</f>
        <v>45363.0</v>
      </c>
      <c r="Z911" s="64">
        <f>_xlfn.MINIFS(tblLaborEntries[Work date serial],tblLaborEntries[Work package ID],tblWorkPackages[[#This Row],[Work package ID]])</f>
        <v>45362.0</v>
      </c>
      <c r="AA911" s="64">
        <f>_xlfn.MAXIFS(tblLaborEntries[Work date serial],tblLaborEntries[Work package ID],tblWorkPackages[[#This Row],[Work package ID]])</f>
        <v>45362.0</v>
      </c>
      <c r="AB911" s="65">
        <f>IF(tblWorkPackages[[#This Row],[Completion date serial]]&gt;tblWorkPackages[[#This Row],[Due date serial]],1,0)</f>
        <v>0</v>
      </c>
      <c r="AC911" s="65">
        <f>MAX(0,tblWorkPackages[[#This Row],[Completion date serial]]-tblWorkPackages[[#This Row],[Due date serial]])</f>
        <v>0</v>
      </c>
      <c r="AD911" s="65">
        <f>tblWorkPackages[[#This Row],[First labor date]]-tblWorkPackages[[#This Row],[Request date serial]]</f>
        <v>4</v>
      </c>
      <c r="AE911" s="65">
        <f>tblWorkPackages[[#This Row],[Last labor date]]-tblWorkPackages[[#This Row],[First labor date]]</f>
        <v>0</v>
      </c>
      <c r="AF911" s="65">
        <f>tblWorkPackages[[#This Row],[Completion date serial]]-tblWorkPackages[[#This Row],[Last labor date]]</f>
        <v>1</v>
      </c>
      <c r="AG911" s="65">
        <f>tblWorkPackages[[#This Row],[Completion date serial]]-tblWorkPackages[[#This Row],[Request date serial]]</f>
        <v>5</v>
      </c>
      <c r="AH911" s="65">
        <f>IFERROR(INDEX(tblParts[Delay days],MATCH(tblWorkPackages[[#This Row],[Work package ID]],tblParts[Work package ID],0)),0)</f>
        <v>0</v>
      </c>
      <c r="AI911" s="51" t="str">
        <f>IFERROR(INDEX(tblDisruptions[Event type],MATCH(tblWorkPackages[[#This Row],[Work package ID]],tblDisruptions[Work package ID],0)),"None")</f>
        <v>None</v>
      </c>
      <c r="AJ911" s="51" t="str">
        <f>TEXT(tblWorkPackages[[#This Row],[Due date serial]],"yyyy-mm")</f>
        <v>2024-03</v>
      </c>
    </row>
    <row r="912" spans="1:36" ht="15" x14ac:dyDescent="0.25">
      <c r="A912" s="53" t="s">
        <v>1801</v>
      </c>
      <c r="B912" s="53" t="s">
        <v>203</v>
      </c>
      <c r="C912" s="53" t="s">
        <v>1183</v>
      </c>
      <c r="D912" s="53" t="s">
        <v>1035</v>
      </c>
      <c r="E912" s="53" t="s">
        <v>181</v>
      </c>
      <c r="F912" s="53" t="s">
        <v>182</v>
      </c>
      <c r="G912" s="53" t="s">
        <v>138</v>
      </c>
      <c r="H912" s="53">
        <v>2</v>
      </c>
      <c r="I912" s="53" t="s">
        <v>130</v>
      </c>
      <c r="J912" s="53">
        <v>0</v>
      </c>
      <c r="K912" s="53">
        <v>1</v>
      </c>
      <c r="L912" s="53">
        <v>7.8</v>
      </c>
      <c r="M912" s="53" t="s">
        <v>1802</v>
      </c>
      <c r="N912" s="53">
        <v>9.4</v>
      </c>
      <c r="O912" s="51" t="str">
        <f>TEXT(tblWorkPackages[[#This Row],[Request date serial]]-WEEKDAY(tblWorkPackages[[#This Row],[Request date serial]],3),"yyyy-mm-dd")</f>
        <v>2025-05-19</v>
      </c>
      <c r="P912" s="51">
        <f>ABS(tblWorkPackages[[#This Row],[Actual labor hours]]-tblWorkPackages[[#This Row],[Estimated labor hours]])</f>
        <v>1.6</v>
      </c>
      <c r="Q912" s="51">
        <f>IF(tblWorkPackages[[#This Row],[Actual labor hours]]&gt;tblWorkPackages[[#This Row],[Estimated labor hours]],1,0)</f>
        <v>1</v>
      </c>
      <c r="R912" s="51">
        <f>tblWorkPackages[[#This Row],[Actual labor hours]]-tblWorkPackages[[#This Row],[Estimated labor hours]]</f>
        <v>1.6</v>
      </c>
      <c r="S912" s="51" t="str">
        <f>IF(tblWorkPackages[[#This Row],[Request date serial]]&lt;ValidationStart,"Train 2024",IF(tblWorkPackages[[#This Row],[Request date serial]]&lt;HoldoutStart,"Validation H1","Holdout H2"))</f>
        <v>Validation H1</v>
      </c>
      <c r="T912" s="51">
        <f>IF(tblWorkPackages[[#This Row],[Time split]]="Train 2024","",tblWorkPackages[[#This Row],[Estimated labor hours]]+VLOOKUP(tblWorkPackages[[#This Row],[Task type]],'Forecast validation'!$A$14:$E$25,IF(tblWorkPackages[[#This Row],[Time split]]="Validation H1",4,5),FALSE()))</f>
        <v>8.38409090909091</v>
      </c>
      <c r="U912" s="51">
        <f>IF(tblWorkPackages[[#This Row],[Calibrated forecast hours]]="","",ABS(tblWorkPackages[[#This Row],[Actual labor hours]]-tblWorkPackages[[#This Row],[Calibrated forecast hours]]))</f>
        <v>1.01590909090909</v>
      </c>
      <c r="V912" s="51">
        <f>IF(tblWorkPackages[[#This Row],[Time split]]="Train 2024",tblWorkPackages[[#This Row],[Estimated labor hours]],tblWorkPackages[[#This Row],[Calibrated forecast hours]])</f>
        <v>8.38409090909091</v>
      </c>
      <c r="W912" s="64">
        <f>DATEVALUE(tblWorkPackages[[#This Row],[Request date]])</f>
        <v>45798.0</v>
      </c>
      <c r="X912" s="64">
        <f>DATEVALUE(tblWorkPackages[[#This Row],[Due date]])</f>
        <v>45811.0</v>
      </c>
      <c r="Y912" s="64">
        <f>DATEVALUE(tblWorkPackages[[#This Row],[Completion date]])</f>
        <v>45809.0</v>
      </c>
      <c r="Z912" s="64">
        <f>_xlfn.MINIFS(tblLaborEntries[Work date serial],tblLaborEntries[Work package ID],tblWorkPackages[[#This Row],[Work package ID]])</f>
        <v>45806.0</v>
      </c>
      <c r="AA912" s="64">
        <f>_xlfn.MAXIFS(tblLaborEntries[Work date serial],tblLaborEntries[Work package ID],tblWorkPackages[[#This Row],[Work package ID]])</f>
        <v>45807.0</v>
      </c>
      <c r="AB912" s="65">
        <f>IF(tblWorkPackages[[#This Row],[Completion date serial]]&gt;tblWorkPackages[[#This Row],[Due date serial]],1,0)</f>
        <v>0</v>
      </c>
      <c r="AC912" s="65">
        <f>MAX(0,tblWorkPackages[[#This Row],[Completion date serial]]-tblWorkPackages[[#This Row],[Due date serial]])</f>
        <v>0</v>
      </c>
      <c r="AD912" s="65">
        <f>tblWorkPackages[[#This Row],[First labor date]]-tblWorkPackages[[#This Row],[Request date serial]]</f>
        <v>8</v>
      </c>
      <c r="AE912" s="65">
        <f>tblWorkPackages[[#This Row],[Last labor date]]-tblWorkPackages[[#This Row],[First labor date]]</f>
        <v>1</v>
      </c>
      <c r="AF912" s="65">
        <f>tblWorkPackages[[#This Row],[Completion date serial]]-tblWorkPackages[[#This Row],[Last labor date]]</f>
        <v>2</v>
      </c>
      <c r="AG912" s="65">
        <f>tblWorkPackages[[#This Row],[Completion date serial]]-tblWorkPackages[[#This Row],[Request date serial]]</f>
        <v>11</v>
      </c>
      <c r="AH912" s="65">
        <f>IFERROR(INDEX(tblParts[Delay days],MATCH(tblWorkPackages[[#This Row],[Work package ID]],tblParts[Work package ID],0)),0)</f>
        <v>7</v>
      </c>
      <c r="AI912" s="51" t="str">
        <f>IFERROR(INDEX(tblDisruptions[Event type],MATCH(tblWorkPackages[[#This Row],[Work package ID]],tblDisruptions[Work package ID],0)),"None")</f>
        <v>Part delay</v>
      </c>
      <c r="AJ912" s="51" t="str">
        <f>TEXT(tblWorkPackages[[#This Row],[Due date serial]],"yyyy-mm")</f>
        <v>2025-06</v>
      </c>
    </row>
    <row r="913" spans="1:36" ht="15" x14ac:dyDescent="0.25">
      <c r="A913" s="53" t="s">
        <v>1803</v>
      </c>
      <c r="B913" s="53" t="s">
        <v>185</v>
      </c>
      <c r="C913" s="53" t="s">
        <v>1233</v>
      </c>
      <c r="D913" s="53" t="s">
        <v>984</v>
      </c>
      <c r="E913" s="53" t="s">
        <v>242</v>
      </c>
      <c r="F913" s="53" t="s">
        <v>243</v>
      </c>
      <c r="G913" s="53" t="s">
        <v>129</v>
      </c>
      <c r="H913" s="53">
        <v>3</v>
      </c>
      <c r="I913" s="53" t="s">
        <v>147</v>
      </c>
      <c r="J913" s="53">
        <v>0</v>
      </c>
      <c r="K913" s="53">
        <v>0</v>
      </c>
      <c r="L913" s="53">
        <v>12.3</v>
      </c>
      <c r="M913" s="53" t="s">
        <v>1333</v>
      </c>
      <c r="N913" s="53">
        <v>11.3</v>
      </c>
      <c r="O913" s="51" t="str">
        <f>TEXT(tblWorkPackages[[#This Row],[Request date serial]]-WEEKDAY(tblWorkPackages[[#This Row],[Request date serial]],3),"yyyy-mm-dd")</f>
        <v>2025-07-14</v>
      </c>
      <c r="P913" s="51">
        <f>ABS(tblWorkPackages[[#This Row],[Actual labor hours]]-tblWorkPackages[[#This Row],[Estimated labor hours]])</f>
        <v>1</v>
      </c>
      <c r="Q913" s="51">
        <f>IF(tblWorkPackages[[#This Row],[Actual labor hours]]&gt;tblWorkPackages[[#This Row],[Estimated labor hours]],1,0)</f>
        <v>0</v>
      </c>
      <c r="R913" s="51">
        <f>tblWorkPackages[[#This Row],[Actual labor hours]]-tblWorkPackages[[#This Row],[Estimated labor hours]]</f>
        <v>-1</v>
      </c>
      <c r="S913" s="51" t="str">
        <f>IF(tblWorkPackages[[#This Row],[Request date serial]]&lt;ValidationStart,"Train 2024",IF(tblWorkPackages[[#This Row],[Request date serial]]&lt;HoldoutStart,"Validation H1","Holdout H2"))</f>
        <v>Holdout H2</v>
      </c>
      <c r="T913" s="51">
        <f>IF(tblWorkPackages[[#This Row],[Time split]]="Train 2024","",tblWorkPackages[[#This Row],[Estimated labor hours]]+VLOOKUP(tblWorkPackages[[#This Row],[Task type]],'Forecast validation'!$A$14:$E$25,IF(tblWorkPackages[[#This Row],[Time split]]="Validation H1",4,5),FALSE()))</f>
        <v>13.1254545454545</v>
      </c>
      <c r="U913" s="51">
        <f>IF(tblWorkPackages[[#This Row],[Calibrated forecast hours]]="","",ABS(tblWorkPackages[[#This Row],[Actual labor hours]]-tblWorkPackages[[#This Row],[Calibrated forecast hours]]))</f>
        <v>1.82545454545455</v>
      </c>
      <c r="V913" s="51">
        <f>IF(tblWorkPackages[[#This Row],[Time split]]="Train 2024",tblWorkPackages[[#This Row],[Estimated labor hours]],tblWorkPackages[[#This Row],[Calibrated forecast hours]])</f>
        <v>13.1254545454545</v>
      </c>
      <c r="W913" s="64">
        <f>DATEVALUE(tblWorkPackages[[#This Row],[Request date]])</f>
        <v>45853.0</v>
      </c>
      <c r="X913" s="64">
        <f>DATEVALUE(tblWorkPackages[[#This Row],[Due date]])</f>
        <v>45855.0</v>
      </c>
      <c r="Y913" s="64">
        <f>DATEVALUE(tblWorkPackages[[#This Row],[Completion date]])</f>
        <v>45868.0</v>
      </c>
      <c r="Z913" s="64">
        <f>_xlfn.MINIFS(tblLaborEntries[Work date serial],tblLaborEntries[Work package ID],tblWorkPackages[[#This Row],[Work package ID]])</f>
        <v>45863.0</v>
      </c>
      <c r="AA913" s="64">
        <f>_xlfn.MAXIFS(tblLaborEntries[Work date serial],tblLaborEntries[Work package ID],tblWorkPackages[[#This Row],[Work package ID]])</f>
        <v>45865.0</v>
      </c>
      <c r="AB913" s="65">
        <f>IF(tblWorkPackages[[#This Row],[Completion date serial]]&gt;tblWorkPackages[[#This Row],[Due date serial]],1,0)</f>
        <v>1</v>
      </c>
      <c r="AC913" s="65">
        <f>MAX(0,tblWorkPackages[[#This Row],[Completion date serial]]-tblWorkPackages[[#This Row],[Due date serial]])</f>
        <v>13</v>
      </c>
      <c r="AD913" s="65">
        <f>tblWorkPackages[[#This Row],[First labor date]]-tblWorkPackages[[#This Row],[Request date serial]]</f>
        <v>10</v>
      </c>
      <c r="AE913" s="65">
        <f>tblWorkPackages[[#This Row],[Last labor date]]-tblWorkPackages[[#This Row],[First labor date]]</f>
        <v>2</v>
      </c>
      <c r="AF913" s="65">
        <f>tblWorkPackages[[#This Row],[Completion date serial]]-tblWorkPackages[[#This Row],[Last labor date]]</f>
        <v>3</v>
      </c>
      <c r="AG913" s="65">
        <f>tblWorkPackages[[#This Row],[Completion date serial]]-tblWorkPackages[[#This Row],[Request date serial]]</f>
        <v>15</v>
      </c>
      <c r="AH913" s="65">
        <f>IFERROR(INDEX(tblParts[Delay days],MATCH(tblWorkPackages[[#This Row],[Work package ID]],tblParts[Work package ID],0)),0)</f>
        <v>0</v>
      </c>
      <c r="AI913" s="51" t="str">
        <f>IFERROR(INDEX(tblDisruptions[Event type],MATCH(tblWorkPackages[[#This Row],[Work package ID]],tblDisruptions[Work package ID],0)),"None")</f>
        <v>None</v>
      </c>
      <c r="AJ913" s="51" t="str">
        <f>TEXT(tblWorkPackages[[#This Row],[Due date serial]],"yyyy-mm")</f>
        <v>2025-07</v>
      </c>
    </row>
    <row r="914" spans="1:36" ht="15" x14ac:dyDescent="0.25">
      <c r="A914" s="53" t="s">
        <v>1804</v>
      </c>
      <c r="B914" s="53" t="s">
        <v>203</v>
      </c>
      <c r="C914" s="53" t="s">
        <v>790</v>
      </c>
      <c r="D914" s="53" t="s">
        <v>464</v>
      </c>
      <c r="E914" s="53" t="s">
        <v>127</v>
      </c>
      <c r="F914" s="53" t="s">
        <v>128</v>
      </c>
      <c r="G914" s="53" t="s">
        <v>129</v>
      </c>
      <c r="H914" s="53">
        <v>1</v>
      </c>
      <c r="I914" s="53" t="s">
        <v>130</v>
      </c>
      <c r="J914" s="53">
        <v>0</v>
      </c>
      <c r="K914" s="53">
        <v>0</v>
      </c>
      <c r="L914" s="53">
        <v>3.9</v>
      </c>
      <c r="M914" s="53" t="s">
        <v>624</v>
      </c>
      <c r="N914" s="53">
        <v>4</v>
      </c>
      <c r="O914" s="51" t="str">
        <f>TEXT(tblWorkPackages[[#This Row],[Request date serial]]-WEEKDAY(tblWorkPackages[[#This Row],[Request date serial]],3),"yyyy-mm-dd")</f>
        <v>2025-09-15</v>
      </c>
      <c r="P914" s="51">
        <f>ABS(tblWorkPackages[[#This Row],[Actual labor hours]]-tblWorkPackages[[#This Row],[Estimated labor hours]])</f>
        <v>0.1</v>
      </c>
      <c r="Q914" s="51">
        <f>IF(tblWorkPackages[[#This Row],[Actual labor hours]]&gt;tblWorkPackages[[#This Row],[Estimated labor hours]],1,0)</f>
        <v>1</v>
      </c>
      <c r="R914" s="51">
        <f>tblWorkPackages[[#This Row],[Actual labor hours]]-tblWorkPackages[[#This Row],[Estimated labor hours]]</f>
        <v>0.1</v>
      </c>
      <c r="S914" s="51" t="str">
        <f>IF(tblWorkPackages[[#This Row],[Request date serial]]&lt;ValidationStart,"Train 2024",IF(tblWorkPackages[[#This Row],[Request date serial]]&lt;HoldoutStart,"Validation H1","Holdout H2"))</f>
        <v>Holdout H2</v>
      </c>
      <c r="T914" s="51">
        <f>IF(tblWorkPackages[[#This Row],[Time split]]="Train 2024","",tblWorkPackages[[#This Row],[Estimated labor hours]]+VLOOKUP(tblWorkPackages[[#This Row],[Task type]],'Forecast validation'!$A$14:$E$25,IF(tblWorkPackages[[#This Row],[Time split]]="Validation H1",4,5),FALSE()))</f>
        <v>4.44341085271318</v>
      </c>
      <c r="U914" s="51">
        <f>IF(tblWorkPackages[[#This Row],[Calibrated forecast hours]]="","",ABS(tblWorkPackages[[#This Row],[Actual labor hours]]-tblWorkPackages[[#This Row],[Calibrated forecast hours]]))</f>
        <v>0.443410852713178</v>
      </c>
      <c r="V914" s="51">
        <f>IF(tblWorkPackages[[#This Row],[Time split]]="Train 2024",tblWorkPackages[[#This Row],[Estimated labor hours]],tblWorkPackages[[#This Row],[Calibrated forecast hours]])</f>
        <v>4.44341085271318</v>
      </c>
      <c r="W914" s="64">
        <f>DATEVALUE(tblWorkPackages[[#This Row],[Request date]])</f>
        <v>45916.0</v>
      </c>
      <c r="X914" s="64">
        <f>DATEVALUE(tblWorkPackages[[#This Row],[Due date]])</f>
        <v>45929.0</v>
      </c>
      <c r="Y914" s="64">
        <f>DATEVALUE(tblWorkPackages[[#This Row],[Completion date]])</f>
        <v>45921.0</v>
      </c>
      <c r="Z914" s="64">
        <f>_xlfn.MINIFS(tblLaborEntries[Work date serial],tblLaborEntries[Work package ID],tblWorkPackages[[#This Row],[Work package ID]])</f>
        <v>45919.0</v>
      </c>
      <c r="AA914" s="64">
        <f>_xlfn.MAXIFS(tblLaborEntries[Work date serial],tblLaborEntries[Work package ID],tblWorkPackages[[#This Row],[Work package ID]])</f>
        <v>45921.0</v>
      </c>
      <c r="AB914" s="65">
        <f>IF(tblWorkPackages[[#This Row],[Completion date serial]]&gt;tblWorkPackages[[#This Row],[Due date serial]],1,0)</f>
        <v>0</v>
      </c>
      <c r="AC914" s="65">
        <f>MAX(0,tblWorkPackages[[#This Row],[Completion date serial]]-tblWorkPackages[[#This Row],[Due date serial]])</f>
        <v>0</v>
      </c>
      <c r="AD914" s="65">
        <f>tblWorkPackages[[#This Row],[First labor date]]-tblWorkPackages[[#This Row],[Request date serial]]</f>
        <v>3</v>
      </c>
      <c r="AE914" s="65">
        <f>tblWorkPackages[[#This Row],[Last labor date]]-tblWorkPackages[[#This Row],[First labor date]]</f>
        <v>2</v>
      </c>
      <c r="AF914" s="65">
        <f>tblWorkPackages[[#This Row],[Completion date serial]]-tblWorkPackages[[#This Row],[Last labor date]]</f>
        <v>0</v>
      </c>
      <c r="AG914" s="65">
        <f>tblWorkPackages[[#This Row],[Completion date serial]]-tblWorkPackages[[#This Row],[Request date serial]]</f>
        <v>5</v>
      </c>
      <c r="AH914" s="65">
        <f>IFERROR(INDEX(tblParts[Delay days],MATCH(tblWorkPackages[[#This Row],[Work package ID]],tblParts[Work package ID],0)),0)</f>
        <v>0</v>
      </c>
      <c r="AI914" s="51" t="str">
        <f>IFERROR(INDEX(tblDisruptions[Event type],MATCH(tblWorkPackages[[#This Row],[Work package ID]],tblDisruptions[Work package ID],0)),"None")</f>
        <v>None</v>
      </c>
      <c r="AJ914" s="51" t="str">
        <f>TEXT(tblWorkPackages[[#This Row],[Due date serial]],"yyyy-mm")</f>
        <v>2025-09</v>
      </c>
    </row>
    <row r="915" spans="1:36" ht="15" x14ac:dyDescent="0.25">
      <c r="A915" s="53" t="s">
        <v>1805</v>
      </c>
      <c r="B915" s="53" t="s">
        <v>250</v>
      </c>
      <c r="C915" s="53" t="s">
        <v>289</v>
      </c>
      <c r="D915" s="53" t="s">
        <v>670</v>
      </c>
      <c r="E915" s="53" t="s">
        <v>160</v>
      </c>
      <c r="F915" s="53" t="s">
        <v>128</v>
      </c>
      <c r="G915" s="53" t="s">
        <v>138</v>
      </c>
      <c r="H915" s="53">
        <v>4</v>
      </c>
      <c r="I915" s="53" t="s">
        <v>176</v>
      </c>
      <c r="J915" s="53">
        <v>0</v>
      </c>
      <c r="K915" s="53">
        <v>0</v>
      </c>
      <c r="L915" s="53">
        <v>7.5</v>
      </c>
      <c r="M915" s="53" t="s">
        <v>543</v>
      </c>
      <c r="N915" s="53">
        <v>8.1</v>
      </c>
      <c r="O915" s="51" t="str">
        <f>TEXT(tblWorkPackages[[#This Row],[Request date serial]]-WEEKDAY(tblWorkPackages[[#This Row],[Request date serial]],3),"yyyy-mm-dd")</f>
        <v>2025-09-15</v>
      </c>
      <c r="P915" s="51">
        <f>ABS(tblWorkPackages[[#This Row],[Actual labor hours]]-tblWorkPackages[[#This Row],[Estimated labor hours]])</f>
        <v>0.6</v>
      </c>
      <c r="Q915" s="51">
        <f>IF(tblWorkPackages[[#This Row],[Actual labor hours]]&gt;tblWorkPackages[[#This Row],[Estimated labor hours]],1,0)</f>
        <v>1</v>
      </c>
      <c r="R915" s="51">
        <f>tblWorkPackages[[#This Row],[Actual labor hours]]-tblWorkPackages[[#This Row],[Estimated labor hours]]</f>
        <v>0.6</v>
      </c>
      <c r="S915" s="51" t="str">
        <f>IF(tblWorkPackages[[#This Row],[Request date serial]]&lt;ValidationStart,"Train 2024",IF(tblWorkPackages[[#This Row],[Request date serial]]&lt;HoldoutStart,"Validation H1","Holdout H2"))</f>
        <v>Holdout H2</v>
      </c>
      <c r="T915" s="51">
        <f>IF(tblWorkPackages[[#This Row],[Time split]]="Train 2024","",tblWorkPackages[[#This Row],[Estimated labor hours]]+VLOOKUP(tblWorkPackages[[#This Row],[Task type]],'Forecast validation'!$A$14:$E$25,IF(tblWorkPackages[[#This Row],[Time split]]="Validation H1",4,5),FALSE()))</f>
        <v>7.93739837398374</v>
      </c>
      <c r="U915" s="51">
        <f>IF(tblWorkPackages[[#This Row],[Calibrated forecast hours]]="","",ABS(tblWorkPackages[[#This Row],[Actual labor hours]]-tblWorkPackages[[#This Row],[Calibrated forecast hours]]))</f>
        <v>0.16260162601626</v>
      </c>
      <c r="V915" s="51">
        <f>IF(tblWorkPackages[[#This Row],[Time split]]="Train 2024",tblWorkPackages[[#This Row],[Estimated labor hours]],tblWorkPackages[[#This Row],[Calibrated forecast hours]])</f>
        <v>7.93739837398374</v>
      </c>
      <c r="W915" s="64">
        <f>DATEVALUE(tblWorkPackages[[#This Row],[Request date]])</f>
        <v>45920.0</v>
      </c>
      <c r="X915" s="64">
        <f>DATEVALUE(tblWorkPackages[[#This Row],[Due date]])</f>
        <v>45926.0</v>
      </c>
      <c r="Y915" s="64">
        <f>DATEVALUE(tblWorkPackages[[#This Row],[Completion date]])</f>
        <v>45950.0</v>
      </c>
      <c r="Z915" s="64">
        <f>_xlfn.MINIFS(tblLaborEntries[Work date serial],tblLaborEntries[Work package ID],tblWorkPackages[[#This Row],[Work package ID]])</f>
        <v>45947.0</v>
      </c>
      <c r="AA915" s="64">
        <f>_xlfn.MAXIFS(tblLaborEntries[Work date serial],tblLaborEntries[Work package ID],tblWorkPackages[[#This Row],[Work package ID]])</f>
        <v>45949.0</v>
      </c>
      <c r="AB915" s="65">
        <f>IF(tblWorkPackages[[#This Row],[Completion date serial]]&gt;tblWorkPackages[[#This Row],[Due date serial]],1,0)</f>
        <v>1</v>
      </c>
      <c r="AC915" s="65">
        <f>MAX(0,tblWorkPackages[[#This Row],[Completion date serial]]-tblWorkPackages[[#This Row],[Due date serial]])</f>
        <v>24</v>
      </c>
      <c r="AD915" s="65">
        <f>tblWorkPackages[[#This Row],[First labor date]]-tblWorkPackages[[#This Row],[Request date serial]]</f>
        <v>27</v>
      </c>
      <c r="AE915" s="65">
        <f>tblWorkPackages[[#This Row],[Last labor date]]-tblWorkPackages[[#This Row],[First labor date]]</f>
        <v>2</v>
      </c>
      <c r="AF915" s="65">
        <f>tblWorkPackages[[#This Row],[Completion date serial]]-tblWorkPackages[[#This Row],[Last labor date]]</f>
        <v>1</v>
      </c>
      <c r="AG915" s="65">
        <f>tblWorkPackages[[#This Row],[Completion date serial]]-tblWorkPackages[[#This Row],[Request date serial]]</f>
        <v>30</v>
      </c>
      <c r="AH915" s="65">
        <f>IFERROR(INDEX(tblParts[Delay days],MATCH(tblWorkPackages[[#This Row],[Work package ID]],tblParts[Work package ID],0)),0)</f>
        <v>0</v>
      </c>
      <c r="AI915" s="51" t="str">
        <f>IFERROR(INDEX(tblDisruptions[Event type],MATCH(tblWorkPackages[[#This Row],[Work package ID]],tblDisruptions[Work package ID],0)),"None")</f>
        <v>None</v>
      </c>
      <c r="AJ915" s="51" t="str">
        <f>TEXT(tblWorkPackages[[#This Row],[Due date serial]],"yyyy-mm")</f>
        <v>2025-09</v>
      </c>
    </row>
    <row r="916" spans="1:36" ht="15" x14ac:dyDescent="0.25">
      <c r="A916" s="53" t="s">
        <v>1806</v>
      </c>
      <c r="B916" s="53" t="s">
        <v>230</v>
      </c>
      <c r="C916" s="53" t="s">
        <v>255</v>
      </c>
      <c r="D916" s="53" t="s">
        <v>221</v>
      </c>
      <c r="E916" s="53" t="s">
        <v>144</v>
      </c>
      <c r="F916" s="53" t="s">
        <v>145</v>
      </c>
      <c r="G916" s="53" t="s">
        <v>146</v>
      </c>
      <c r="H916" s="53">
        <v>3</v>
      </c>
      <c r="I916" s="53" t="s">
        <v>130</v>
      </c>
      <c r="J916" s="53">
        <v>0</v>
      </c>
      <c r="K916" s="53">
        <v>1</v>
      </c>
      <c r="L916" s="53">
        <v>14.1</v>
      </c>
      <c r="M916" s="53" t="s">
        <v>394</v>
      </c>
      <c r="N916" s="53">
        <v>14</v>
      </c>
      <c r="O916" s="51" t="str">
        <f>TEXT(tblWorkPackages[[#This Row],[Request date serial]]-WEEKDAY(tblWorkPackages[[#This Row],[Request date serial]],3),"yyyy-mm-dd")</f>
        <v>2024-12-02</v>
      </c>
      <c r="P916" s="51">
        <f>ABS(tblWorkPackages[[#This Row],[Actual labor hours]]-tblWorkPackages[[#This Row],[Estimated labor hours]])</f>
        <v>0.0999999999999996</v>
      </c>
      <c r="Q916" s="51">
        <f>IF(tblWorkPackages[[#This Row],[Actual labor hours]]&gt;tblWorkPackages[[#This Row],[Estimated labor hours]],1,0)</f>
        <v>0</v>
      </c>
      <c r="R916" s="51">
        <f>tblWorkPackages[[#This Row],[Actual labor hours]]-tblWorkPackages[[#This Row],[Estimated labor hours]]</f>
        <v>-0.0999999999999996</v>
      </c>
      <c r="S916" s="51" t="str">
        <f>IF(tblWorkPackages[[#This Row],[Request date serial]]&lt;ValidationStart,"Train 2024",IF(tblWorkPackages[[#This Row],[Request date serial]]&lt;HoldoutStart,"Validation H1","Holdout H2"))</f>
        <v>Train 2024</v>
      </c>
      <c r="T916" s="51" t="str">
        <f>IF(tblWorkPackages[[#This Row],[Time split]]="Train 2024","",tblWorkPackages[[#This Row],[Estimated labor hours]]+VLOOKUP(tblWorkPackages[[#This Row],[Task type]],'Forecast validation'!$A$14:$E$25,IF(tblWorkPackages[[#This Row],[Time split]]="Validation H1",4,5),FALSE()))</f>
        <v/>
      </c>
      <c r="U916" s="51" t="str">
        <f>IF(tblWorkPackages[[#This Row],[Calibrated forecast hours]]="","",ABS(tblWorkPackages[[#This Row],[Actual labor hours]]-tblWorkPackages[[#This Row],[Calibrated forecast hours]]))</f>
        <v/>
      </c>
      <c r="V916" s="51">
        <f>IF(tblWorkPackages[[#This Row],[Time split]]="Train 2024",tblWorkPackages[[#This Row],[Estimated labor hours]],tblWorkPackages[[#This Row],[Calibrated forecast hours]])</f>
        <v>14.1</v>
      </c>
      <c r="W916" s="64">
        <f>DATEVALUE(tblWorkPackages[[#This Row],[Request date]])</f>
        <v>45632.0</v>
      </c>
      <c r="X916" s="64">
        <f>DATEVALUE(tblWorkPackages[[#This Row],[Due date]])</f>
        <v>45645.0</v>
      </c>
      <c r="Y916" s="64">
        <f>DATEVALUE(tblWorkPackages[[#This Row],[Completion date]])</f>
        <v>45646.0</v>
      </c>
      <c r="Z916" s="64">
        <f>_xlfn.MINIFS(tblLaborEntries[Work date serial],tblLaborEntries[Work package ID],tblWorkPackages[[#This Row],[Work package ID]])</f>
        <v>45642.0</v>
      </c>
      <c r="AA916" s="64">
        <f>_xlfn.MAXIFS(tblLaborEntries[Work date serial],tblLaborEntries[Work package ID],tblWorkPackages[[#This Row],[Work package ID]])</f>
        <v>45644.0</v>
      </c>
      <c r="AB916" s="65">
        <f>IF(tblWorkPackages[[#This Row],[Completion date serial]]&gt;tblWorkPackages[[#This Row],[Due date serial]],1,0)</f>
        <v>1</v>
      </c>
      <c r="AC916" s="65">
        <f>MAX(0,tblWorkPackages[[#This Row],[Completion date serial]]-tblWorkPackages[[#This Row],[Due date serial]])</f>
        <v>1</v>
      </c>
      <c r="AD916" s="65">
        <f>tblWorkPackages[[#This Row],[First labor date]]-tblWorkPackages[[#This Row],[Request date serial]]</f>
        <v>10</v>
      </c>
      <c r="AE916" s="65">
        <f>tblWorkPackages[[#This Row],[Last labor date]]-tblWorkPackages[[#This Row],[First labor date]]</f>
        <v>2</v>
      </c>
      <c r="AF916" s="65">
        <f>tblWorkPackages[[#This Row],[Completion date serial]]-tblWorkPackages[[#This Row],[Last labor date]]</f>
        <v>2</v>
      </c>
      <c r="AG916" s="65">
        <f>tblWorkPackages[[#This Row],[Completion date serial]]-tblWorkPackages[[#This Row],[Request date serial]]</f>
        <v>14</v>
      </c>
      <c r="AH916" s="65">
        <f>IFERROR(INDEX(tblParts[Delay days],MATCH(tblWorkPackages[[#This Row],[Work package ID]],tblParts[Work package ID],0)),0)</f>
        <v>5</v>
      </c>
      <c r="AI916" s="51" t="str">
        <f>IFERROR(INDEX(tblDisruptions[Event type],MATCH(tblWorkPackages[[#This Row],[Work package ID]],tblDisruptions[Work package ID],0)),"None")</f>
        <v>Part delay</v>
      </c>
      <c r="AJ916" s="51" t="str">
        <f>TEXT(tblWorkPackages[[#This Row],[Due date serial]],"yyyy-mm")</f>
        <v>2024-12</v>
      </c>
    </row>
    <row r="917" spans="1:36" ht="15" x14ac:dyDescent="0.25">
      <c r="A917" s="53" t="s">
        <v>1807</v>
      </c>
      <c r="B917" s="53" t="s">
        <v>250</v>
      </c>
      <c r="C917" s="53" t="s">
        <v>445</v>
      </c>
      <c r="D917" s="53" t="s">
        <v>270</v>
      </c>
      <c r="E917" s="53" t="s">
        <v>153</v>
      </c>
      <c r="F917" s="53" t="s">
        <v>128</v>
      </c>
      <c r="G917" s="53" t="s">
        <v>154</v>
      </c>
      <c r="H917" s="53">
        <v>2</v>
      </c>
      <c r="I917" s="53" t="s">
        <v>130</v>
      </c>
      <c r="J917" s="53">
        <v>0</v>
      </c>
      <c r="K917" s="53">
        <v>1</v>
      </c>
      <c r="L917" s="53">
        <v>10.4</v>
      </c>
      <c r="M917" s="53" t="s">
        <v>1620</v>
      </c>
      <c r="N917" s="53">
        <v>11.5</v>
      </c>
      <c r="O917" s="51" t="str">
        <f>TEXT(tblWorkPackages[[#This Row],[Request date serial]]-WEEKDAY(tblWorkPackages[[#This Row],[Request date serial]],3),"yyyy-mm-dd")</f>
        <v>2025-03-17</v>
      </c>
      <c r="P917" s="51">
        <f>ABS(tblWorkPackages[[#This Row],[Actual labor hours]]-tblWorkPackages[[#This Row],[Estimated labor hours]])</f>
        <v>1.1</v>
      </c>
      <c r="Q917" s="51">
        <f>IF(tblWorkPackages[[#This Row],[Actual labor hours]]&gt;tblWorkPackages[[#This Row],[Estimated labor hours]],1,0)</f>
        <v>1</v>
      </c>
      <c r="R917" s="51">
        <f>tblWorkPackages[[#This Row],[Actual labor hours]]-tblWorkPackages[[#This Row],[Estimated labor hours]]</f>
        <v>1.1</v>
      </c>
      <c r="S917" s="51" t="str">
        <f>IF(tblWorkPackages[[#This Row],[Request date serial]]&lt;ValidationStart,"Train 2024",IF(tblWorkPackages[[#This Row],[Request date serial]]&lt;HoldoutStart,"Validation H1","Holdout H2"))</f>
        <v>Validation H1</v>
      </c>
      <c r="T917" s="51">
        <f>IF(tblWorkPackages[[#This Row],[Time split]]="Train 2024","",tblWorkPackages[[#This Row],[Estimated labor hours]]+VLOOKUP(tblWorkPackages[[#This Row],[Task type]],'Forecast validation'!$A$14:$E$25,IF(tblWorkPackages[[#This Row],[Time split]]="Validation H1",4,5),FALSE()))</f>
        <v>10.9462264150943</v>
      </c>
      <c r="U917" s="51">
        <f>IF(tblWorkPackages[[#This Row],[Calibrated forecast hours]]="","",ABS(tblWorkPackages[[#This Row],[Actual labor hours]]-tblWorkPackages[[#This Row],[Calibrated forecast hours]]))</f>
        <v>0.55377358490566</v>
      </c>
      <c r="V917" s="51">
        <f>IF(tblWorkPackages[[#This Row],[Time split]]="Train 2024",tblWorkPackages[[#This Row],[Estimated labor hours]],tblWorkPackages[[#This Row],[Calibrated forecast hours]])</f>
        <v>10.9462264150943</v>
      </c>
      <c r="W917" s="64">
        <f>DATEVALUE(tblWorkPackages[[#This Row],[Request date]])</f>
        <v>45735.0</v>
      </c>
      <c r="X917" s="64">
        <f>DATEVALUE(tblWorkPackages[[#This Row],[Due date]])</f>
        <v>45748.0</v>
      </c>
      <c r="Y917" s="64">
        <f>DATEVALUE(tblWorkPackages[[#This Row],[Completion date]])</f>
        <v>45741.0</v>
      </c>
      <c r="Z917" s="64">
        <f>_xlfn.MINIFS(tblLaborEntries[Work date serial],tblLaborEntries[Work package ID],tblWorkPackages[[#This Row],[Work package ID]])</f>
        <v>45736.0</v>
      </c>
      <c r="AA917" s="64">
        <f>_xlfn.MAXIFS(tblLaborEntries[Work date serial],tblLaborEntries[Work package ID],tblWorkPackages[[#This Row],[Work package ID]])</f>
        <v>45738.0</v>
      </c>
      <c r="AB917" s="65">
        <f>IF(tblWorkPackages[[#This Row],[Completion date serial]]&gt;tblWorkPackages[[#This Row],[Due date serial]],1,0)</f>
        <v>0</v>
      </c>
      <c r="AC917" s="65">
        <f>MAX(0,tblWorkPackages[[#This Row],[Completion date serial]]-tblWorkPackages[[#This Row],[Due date serial]])</f>
        <v>0</v>
      </c>
      <c r="AD917" s="65">
        <f>tblWorkPackages[[#This Row],[First labor date]]-tblWorkPackages[[#This Row],[Request date serial]]</f>
        <v>1</v>
      </c>
      <c r="AE917" s="65">
        <f>tblWorkPackages[[#This Row],[Last labor date]]-tblWorkPackages[[#This Row],[First labor date]]</f>
        <v>2</v>
      </c>
      <c r="AF917" s="65">
        <f>tblWorkPackages[[#This Row],[Completion date serial]]-tblWorkPackages[[#This Row],[Last labor date]]</f>
        <v>3</v>
      </c>
      <c r="AG917" s="65">
        <f>tblWorkPackages[[#This Row],[Completion date serial]]-tblWorkPackages[[#This Row],[Request date serial]]</f>
        <v>6</v>
      </c>
      <c r="AH917" s="65">
        <f>IFERROR(INDEX(tblParts[Delay days],MATCH(tblWorkPackages[[#This Row],[Work package ID]],tblParts[Work package ID],0)),0)</f>
        <v>0</v>
      </c>
      <c r="AI917" s="51" t="str">
        <f>IFERROR(INDEX(tblDisruptions[Event type],MATCH(tblWorkPackages[[#This Row],[Work package ID]],tblDisruptions[Work package ID],0)),"None")</f>
        <v>None</v>
      </c>
      <c r="AJ917" s="51" t="str">
        <f>TEXT(tblWorkPackages[[#This Row],[Due date serial]],"yyyy-mm")</f>
        <v>2025-04</v>
      </c>
    </row>
    <row r="918" spans="1:36" ht="15" x14ac:dyDescent="0.25">
      <c r="A918" s="53" t="s">
        <v>1808</v>
      </c>
      <c r="B918" s="53" t="s">
        <v>230</v>
      </c>
      <c r="C918" s="53" t="s">
        <v>1138</v>
      </c>
      <c r="D918" s="53" t="s">
        <v>263</v>
      </c>
      <c r="E918" s="53" t="s">
        <v>242</v>
      </c>
      <c r="F918" s="53" t="s">
        <v>243</v>
      </c>
      <c r="G918" s="53" t="s">
        <v>129</v>
      </c>
      <c r="H918" s="53">
        <v>1</v>
      </c>
      <c r="I918" s="53" t="s">
        <v>130</v>
      </c>
      <c r="J918" s="53">
        <v>0</v>
      </c>
      <c r="K918" s="53">
        <v>0</v>
      </c>
      <c r="L918" s="53">
        <v>5.6</v>
      </c>
      <c r="M918" s="53" t="s">
        <v>263</v>
      </c>
      <c r="N918" s="53">
        <v>4.9000000000000004</v>
      </c>
      <c r="O918" s="51" t="str">
        <f>TEXT(tblWorkPackages[[#This Row],[Request date serial]]-WEEKDAY(tblWorkPackages[[#This Row],[Request date serial]],3),"yyyy-mm-dd")</f>
        <v>2024-08-05</v>
      </c>
      <c r="P918" s="51">
        <f>ABS(tblWorkPackages[[#This Row],[Actual labor hours]]-tblWorkPackages[[#This Row],[Estimated labor hours]])</f>
        <v>0.699999999999999</v>
      </c>
      <c r="Q918" s="51">
        <f>IF(tblWorkPackages[[#This Row],[Actual labor hours]]&gt;tblWorkPackages[[#This Row],[Estimated labor hours]],1,0)</f>
        <v>0</v>
      </c>
      <c r="R918" s="51">
        <f>tblWorkPackages[[#This Row],[Actual labor hours]]-tblWorkPackages[[#This Row],[Estimated labor hours]]</f>
        <v>-0.699999999999999</v>
      </c>
      <c r="S918" s="51" t="str">
        <f>IF(tblWorkPackages[[#This Row],[Request date serial]]&lt;ValidationStart,"Train 2024",IF(tblWorkPackages[[#This Row],[Request date serial]]&lt;HoldoutStart,"Validation H1","Holdout H2"))</f>
        <v>Train 2024</v>
      </c>
      <c r="T918" s="51" t="str">
        <f>IF(tblWorkPackages[[#This Row],[Time split]]="Train 2024","",tblWorkPackages[[#This Row],[Estimated labor hours]]+VLOOKUP(tblWorkPackages[[#This Row],[Task type]],'Forecast validation'!$A$14:$E$25,IF(tblWorkPackages[[#This Row],[Time split]]="Validation H1",4,5),FALSE()))</f>
        <v/>
      </c>
      <c r="U918" s="51" t="str">
        <f>IF(tblWorkPackages[[#This Row],[Calibrated forecast hours]]="","",ABS(tblWorkPackages[[#This Row],[Actual labor hours]]-tblWorkPackages[[#This Row],[Calibrated forecast hours]]))</f>
        <v/>
      </c>
      <c r="V918" s="51">
        <f>IF(tblWorkPackages[[#This Row],[Time split]]="Train 2024",tblWorkPackages[[#This Row],[Estimated labor hours]],tblWorkPackages[[#This Row],[Calibrated forecast hours]])</f>
        <v>5.6</v>
      </c>
      <c r="W918" s="64">
        <f>DATEVALUE(tblWorkPackages[[#This Row],[Request date]])</f>
        <v>45509.0</v>
      </c>
      <c r="X918" s="64">
        <f>DATEVALUE(tblWorkPackages[[#This Row],[Due date]])</f>
        <v>45522.0</v>
      </c>
      <c r="Y918" s="64">
        <f>DATEVALUE(tblWorkPackages[[#This Row],[Completion date]])</f>
        <v>45522.0</v>
      </c>
      <c r="Z918" s="64">
        <f>_xlfn.MINIFS(tblLaborEntries[Work date serial],tblLaborEntries[Work package ID],tblWorkPackages[[#This Row],[Work package ID]])</f>
        <v>45522.0</v>
      </c>
      <c r="AA918" s="64">
        <f>_xlfn.MAXIFS(tblLaborEntries[Work date serial],tblLaborEntries[Work package ID],tblWorkPackages[[#This Row],[Work package ID]])</f>
        <v>45522.0</v>
      </c>
      <c r="AB918" s="65">
        <f>IF(tblWorkPackages[[#This Row],[Completion date serial]]&gt;tblWorkPackages[[#This Row],[Due date serial]],1,0)</f>
        <v>0</v>
      </c>
      <c r="AC918" s="65">
        <f>MAX(0,tblWorkPackages[[#This Row],[Completion date serial]]-tblWorkPackages[[#This Row],[Due date serial]])</f>
        <v>0</v>
      </c>
      <c r="AD918" s="65">
        <f>tblWorkPackages[[#This Row],[First labor date]]-tblWorkPackages[[#This Row],[Request date serial]]</f>
        <v>13</v>
      </c>
      <c r="AE918" s="65">
        <f>tblWorkPackages[[#This Row],[Last labor date]]-tblWorkPackages[[#This Row],[First labor date]]</f>
        <v>0</v>
      </c>
      <c r="AF918" s="65">
        <f>tblWorkPackages[[#This Row],[Completion date serial]]-tblWorkPackages[[#This Row],[Last labor date]]</f>
        <v>0</v>
      </c>
      <c r="AG918" s="65">
        <f>tblWorkPackages[[#This Row],[Completion date serial]]-tblWorkPackages[[#This Row],[Request date serial]]</f>
        <v>13</v>
      </c>
      <c r="AH918" s="65">
        <f>IFERROR(INDEX(tblParts[Delay days],MATCH(tblWorkPackages[[#This Row],[Work package ID]],tblParts[Work package ID],0)),0)</f>
        <v>0</v>
      </c>
      <c r="AI918" s="51" t="str">
        <f>IFERROR(INDEX(tblDisruptions[Event type],MATCH(tblWorkPackages[[#This Row],[Work package ID]],tblDisruptions[Work package ID],0)),"None")</f>
        <v>None</v>
      </c>
      <c r="AJ918" s="51" t="str">
        <f>TEXT(tblWorkPackages[[#This Row],[Due date serial]],"yyyy-mm")</f>
        <v>2024-08</v>
      </c>
    </row>
    <row r="919" spans="1:36" ht="15" x14ac:dyDescent="0.25">
      <c r="A919" s="53" t="s">
        <v>1809</v>
      </c>
      <c r="B919" s="53" t="s">
        <v>150</v>
      </c>
      <c r="C919" s="53" t="s">
        <v>791</v>
      </c>
      <c r="D919" s="53" t="s">
        <v>1130</v>
      </c>
      <c r="E919" s="53" t="s">
        <v>200</v>
      </c>
      <c r="F919" s="53" t="s">
        <v>128</v>
      </c>
      <c r="G919" s="53" t="s">
        <v>129</v>
      </c>
      <c r="H919" s="53">
        <v>1</v>
      </c>
      <c r="I919" s="53" t="s">
        <v>130</v>
      </c>
      <c r="J919" s="53">
        <v>0</v>
      </c>
      <c r="K919" s="53">
        <v>0</v>
      </c>
      <c r="L919" s="53">
        <v>1.9</v>
      </c>
      <c r="M919" s="53" t="s">
        <v>670</v>
      </c>
      <c r="N919" s="53">
        <v>2.4</v>
      </c>
      <c r="O919" s="51" t="str">
        <f>TEXT(tblWorkPackages[[#This Row],[Request date serial]]-WEEKDAY(tblWorkPackages[[#This Row],[Request date serial]],3),"yyyy-mm-dd")</f>
        <v>2025-09-22</v>
      </c>
      <c r="P919" s="51">
        <f>ABS(tblWorkPackages[[#This Row],[Actual labor hours]]-tblWorkPackages[[#This Row],[Estimated labor hours]])</f>
        <v>0.5</v>
      </c>
      <c r="Q919" s="51">
        <f>IF(tblWorkPackages[[#This Row],[Actual labor hours]]&gt;tblWorkPackages[[#This Row],[Estimated labor hours]],1,0)</f>
        <v>1</v>
      </c>
      <c r="R919" s="51">
        <f>tblWorkPackages[[#This Row],[Actual labor hours]]-tblWorkPackages[[#This Row],[Estimated labor hours]]</f>
        <v>0.5</v>
      </c>
      <c r="S919" s="51" t="str">
        <f>IF(tblWorkPackages[[#This Row],[Request date serial]]&lt;ValidationStart,"Train 2024",IF(tblWorkPackages[[#This Row],[Request date serial]]&lt;HoldoutStart,"Validation H1","Holdout H2"))</f>
        <v>Holdout H2</v>
      </c>
      <c r="T919" s="51">
        <f>IF(tblWorkPackages[[#This Row],[Time split]]="Train 2024","",tblWorkPackages[[#This Row],[Estimated labor hours]]+VLOOKUP(tblWorkPackages[[#This Row],[Task type]],'Forecast validation'!$A$14:$E$25,IF(tblWorkPackages[[#This Row],[Time split]]="Validation H1",4,5),FALSE()))</f>
        <v>2.22893081761006</v>
      </c>
      <c r="U919" s="51">
        <f>IF(tblWorkPackages[[#This Row],[Calibrated forecast hours]]="","",ABS(tblWorkPackages[[#This Row],[Actual labor hours]]-tblWorkPackages[[#This Row],[Calibrated forecast hours]]))</f>
        <v>0.171069182389937</v>
      </c>
      <c r="V919" s="51">
        <f>IF(tblWorkPackages[[#This Row],[Time split]]="Train 2024",tblWorkPackages[[#This Row],[Estimated labor hours]],tblWorkPackages[[#This Row],[Calibrated forecast hours]])</f>
        <v>2.22893081761006</v>
      </c>
      <c r="W919" s="64">
        <f>DATEVALUE(tblWorkPackages[[#This Row],[Request date]])</f>
        <v>45922.0</v>
      </c>
      <c r="X919" s="64">
        <f>DATEVALUE(tblWorkPackages[[#This Row],[Due date]])</f>
        <v>45935.0</v>
      </c>
      <c r="Y919" s="64">
        <f>DATEVALUE(tblWorkPackages[[#This Row],[Completion date]])</f>
        <v>45926.0</v>
      </c>
      <c r="Z919" s="64">
        <f>_xlfn.MINIFS(tblLaborEntries[Work date serial],tblLaborEntries[Work package ID],tblWorkPackages[[#This Row],[Work package ID]])</f>
        <v>45925.0</v>
      </c>
      <c r="AA919" s="64">
        <f>_xlfn.MAXIFS(tblLaborEntries[Work date serial],tblLaborEntries[Work package ID],tblWorkPackages[[#This Row],[Work package ID]])</f>
        <v>45925.0</v>
      </c>
      <c r="AB919" s="65">
        <f>IF(tblWorkPackages[[#This Row],[Completion date serial]]&gt;tblWorkPackages[[#This Row],[Due date serial]],1,0)</f>
        <v>0</v>
      </c>
      <c r="AC919" s="65">
        <f>MAX(0,tblWorkPackages[[#This Row],[Completion date serial]]-tblWorkPackages[[#This Row],[Due date serial]])</f>
        <v>0</v>
      </c>
      <c r="AD919" s="65">
        <f>tblWorkPackages[[#This Row],[First labor date]]-tblWorkPackages[[#This Row],[Request date serial]]</f>
        <v>3</v>
      </c>
      <c r="AE919" s="65">
        <f>tblWorkPackages[[#This Row],[Last labor date]]-tblWorkPackages[[#This Row],[First labor date]]</f>
        <v>0</v>
      </c>
      <c r="AF919" s="65">
        <f>tblWorkPackages[[#This Row],[Completion date serial]]-tblWorkPackages[[#This Row],[Last labor date]]</f>
        <v>1</v>
      </c>
      <c r="AG919" s="65">
        <f>tblWorkPackages[[#This Row],[Completion date serial]]-tblWorkPackages[[#This Row],[Request date serial]]</f>
        <v>4</v>
      </c>
      <c r="AH919" s="65">
        <f>IFERROR(INDEX(tblParts[Delay days],MATCH(tblWorkPackages[[#This Row],[Work package ID]],tblParts[Work package ID],0)),0)</f>
        <v>0</v>
      </c>
      <c r="AI919" s="51" t="str">
        <f>IFERROR(INDEX(tblDisruptions[Event type],MATCH(tblWorkPackages[[#This Row],[Work package ID]],tblDisruptions[Work package ID],0)),"None")</f>
        <v>None</v>
      </c>
      <c r="AJ919" s="51" t="str">
        <f>TEXT(tblWorkPackages[[#This Row],[Due date serial]],"yyyy-mm")</f>
        <v>2025-10</v>
      </c>
    </row>
    <row r="920" spans="1:36" ht="15" x14ac:dyDescent="0.25">
      <c r="A920" s="53" t="s">
        <v>1810</v>
      </c>
      <c r="B920" s="53" t="s">
        <v>287</v>
      </c>
      <c r="C920" s="53" t="s">
        <v>956</v>
      </c>
      <c r="D920" s="53" t="s">
        <v>549</v>
      </c>
      <c r="E920" s="53" t="s">
        <v>181</v>
      </c>
      <c r="F920" s="53" t="s">
        <v>182</v>
      </c>
      <c r="G920" s="53" t="s">
        <v>138</v>
      </c>
      <c r="H920" s="53">
        <v>4</v>
      </c>
      <c r="I920" s="53" t="s">
        <v>130</v>
      </c>
      <c r="J920" s="53">
        <v>0</v>
      </c>
      <c r="K920" s="53">
        <v>0</v>
      </c>
      <c r="L920" s="53">
        <v>15.2</v>
      </c>
      <c r="M920" s="53" t="s">
        <v>1393</v>
      </c>
      <c r="N920" s="53">
        <v>17.100000000000001</v>
      </c>
      <c r="O920" s="51" t="str">
        <f>TEXT(tblWorkPackages[[#This Row],[Request date serial]]-WEEKDAY(tblWorkPackages[[#This Row],[Request date serial]],3),"yyyy-mm-dd")</f>
        <v>2024-06-10</v>
      </c>
      <c r="P920" s="51">
        <f>ABS(tblWorkPackages[[#This Row],[Actual labor hours]]-tblWorkPackages[[#This Row],[Estimated labor hours]])</f>
        <v>1.9</v>
      </c>
      <c r="Q920" s="51">
        <f>IF(tblWorkPackages[[#This Row],[Actual labor hours]]&gt;tblWorkPackages[[#This Row],[Estimated labor hours]],1,0)</f>
        <v>1</v>
      </c>
      <c r="R920" s="51">
        <f>tblWorkPackages[[#This Row],[Actual labor hours]]-tblWorkPackages[[#This Row],[Estimated labor hours]]</f>
        <v>1.9</v>
      </c>
      <c r="S920" s="51" t="str">
        <f>IF(tblWorkPackages[[#This Row],[Request date serial]]&lt;ValidationStart,"Train 2024",IF(tblWorkPackages[[#This Row],[Request date serial]]&lt;HoldoutStart,"Validation H1","Holdout H2"))</f>
        <v>Train 2024</v>
      </c>
      <c r="T920" s="51" t="str">
        <f>IF(tblWorkPackages[[#This Row],[Time split]]="Train 2024","",tblWorkPackages[[#This Row],[Estimated labor hours]]+VLOOKUP(tblWorkPackages[[#This Row],[Task type]],'Forecast validation'!$A$14:$E$25,IF(tblWorkPackages[[#This Row],[Time split]]="Validation H1",4,5),FALSE()))</f>
        <v/>
      </c>
      <c r="U920" s="51" t="str">
        <f>IF(tblWorkPackages[[#This Row],[Calibrated forecast hours]]="","",ABS(tblWorkPackages[[#This Row],[Actual labor hours]]-tblWorkPackages[[#This Row],[Calibrated forecast hours]]))</f>
        <v/>
      </c>
      <c r="V920" s="51">
        <f>IF(tblWorkPackages[[#This Row],[Time split]]="Train 2024",tblWorkPackages[[#This Row],[Estimated labor hours]],tblWorkPackages[[#This Row],[Calibrated forecast hours]])</f>
        <v>15.2</v>
      </c>
      <c r="W920" s="64">
        <f>DATEVALUE(tblWorkPackages[[#This Row],[Request date]])</f>
        <v>45456.0</v>
      </c>
      <c r="X920" s="64">
        <f>DATEVALUE(tblWorkPackages[[#This Row],[Due date]])</f>
        <v>45469.0</v>
      </c>
      <c r="Y920" s="64">
        <f>DATEVALUE(tblWorkPackages[[#This Row],[Completion date]])</f>
        <v>45506.0</v>
      </c>
      <c r="Z920" s="64">
        <f>_xlfn.MINIFS(tblLaborEntries[Work date serial],tblLaborEntries[Work package ID],tblWorkPackages[[#This Row],[Work package ID]])</f>
        <v>45504.0</v>
      </c>
      <c r="AA920" s="64">
        <f>_xlfn.MAXIFS(tblLaborEntries[Work date serial],tblLaborEntries[Work package ID],tblWorkPackages[[#This Row],[Work package ID]])</f>
        <v>45504.0</v>
      </c>
      <c r="AB920" s="65">
        <f>IF(tblWorkPackages[[#This Row],[Completion date serial]]&gt;tblWorkPackages[[#This Row],[Due date serial]],1,0)</f>
        <v>1</v>
      </c>
      <c r="AC920" s="65">
        <f>MAX(0,tblWorkPackages[[#This Row],[Completion date serial]]-tblWorkPackages[[#This Row],[Due date serial]])</f>
        <v>37</v>
      </c>
      <c r="AD920" s="65">
        <f>tblWorkPackages[[#This Row],[First labor date]]-tblWorkPackages[[#This Row],[Request date serial]]</f>
        <v>48</v>
      </c>
      <c r="AE920" s="65">
        <f>tblWorkPackages[[#This Row],[Last labor date]]-tblWorkPackages[[#This Row],[First labor date]]</f>
        <v>0</v>
      </c>
      <c r="AF920" s="65">
        <f>tblWorkPackages[[#This Row],[Completion date serial]]-tblWorkPackages[[#This Row],[Last labor date]]</f>
        <v>2</v>
      </c>
      <c r="AG920" s="65">
        <f>tblWorkPackages[[#This Row],[Completion date serial]]-tblWorkPackages[[#This Row],[Request date serial]]</f>
        <v>50</v>
      </c>
      <c r="AH920" s="65">
        <f>IFERROR(INDEX(tblParts[Delay days],MATCH(tblWorkPackages[[#This Row],[Work package ID]],tblParts[Work package ID],0)),0)</f>
        <v>0</v>
      </c>
      <c r="AI920" s="51" t="str">
        <f>IFERROR(INDEX(tblDisruptions[Event type],MATCH(tblWorkPackages[[#This Row],[Work package ID]],tblDisruptions[Work package ID],0)),"None")</f>
        <v>None</v>
      </c>
      <c r="AJ920" s="51" t="str">
        <f>TEXT(tblWorkPackages[[#This Row],[Due date serial]],"yyyy-mm")</f>
        <v>2024-06</v>
      </c>
    </row>
    <row r="921" spans="1:36" ht="15" x14ac:dyDescent="0.25">
      <c r="A921" s="53" t="s">
        <v>1811</v>
      </c>
      <c r="B921" s="53" t="s">
        <v>287</v>
      </c>
      <c r="C921" s="53" t="s">
        <v>1019</v>
      </c>
      <c r="D921" s="53" t="s">
        <v>283</v>
      </c>
      <c r="E921" s="53" t="s">
        <v>272</v>
      </c>
      <c r="F921" s="53" t="s">
        <v>145</v>
      </c>
      <c r="G921" s="53" t="s">
        <v>273</v>
      </c>
      <c r="H921" s="53">
        <v>1</v>
      </c>
      <c r="I921" s="53" t="s">
        <v>130</v>
      </c>
      <c r="J921" s="53">
        <v>0</v>
      </c>
      <c r="K921" s="53">
        <v>1</v>
      </c>
      <c r="L921" s="53">
        <v>7.2</v>
      </c>
      <c r="M921" s="53" t="s">
        <v>522</v>
      </c>
      <c r="N921" s="53">
        <v>6.8</v>
      </c>
      <c r="O921" s="51" t="str">
        <f>TEXT(tblWorkPackages[[#This Row],[Request date serial]]-WEEKDAY(tblWorkPackages[[#This Row],[Request date serial]],3),"yyyy-mm-dd")</f>
        <v>2025-08-11</v>
      </c>
      <c r="P921" s="51">
        <f>ABS(tblWorkPackages[[#This Row],[Actual labor hours]]-tblWorkPackages[[#This Row],[Estimated labor hours]])</f>
        <v>0.4</v>
      </c>
      <c r="Q921" s="51">
        <f>IF(tblWorkPackages[[#This Row],[Actual labor hours]]&gt;tblWorkPackages[[#This Row],[Estimated labor hours]],1,0)</f>
        <v>0</v>
      </c>
      <c r="R921" s="51">
        <f>tblWorkPackages[[#This Row],[Actual labor hours]]-tblWorkPackages[[#This Row],[Estimated labor hours]]</f>
        <v>-0.4</v>
      </c>
      <c r="S921" s="51" t="str">
        <f>IF(tblWorkPackages[[#This Row],[Request date serial]]&lt;ValidationStart,"Train 2024",IF(tblWorkPackages[[#This Row],[Request date serial]]&lt;HoldoutStart,"Validation H1","Holdout H2"))</f>
        <v>Holdout H2</v>
      </c>
      <c r="T921" s="51">
        <f>IF(tblWorkPackages[[#This Row],[Time split]]="Train 2024","",tblWorkPackages[[#This Row],[Estimated labor hours]]+VLOOKUP(tblWorkPackages[[#This Row],[Task type]],'Forecast validation'!$A$14:$E$25,IF(tblWorkPackages[[#This Row],[Time split]]="Validation H1",4,5),FALSE()))</f>
        <v>8.18515625</v>
      </c>
      <c r="U921" s="51">
        <f>IF(tblWorkPackages[[#This Row],[Calibrated forecast hours]]="","",ABS(tblWorkPackages[[#This Row],[Actual labor hours]]-tblWorkPackages[[#This Row],[Calibrated forecast hours]]))</f>
        <v>1.38515625</v>
      </c>
      <c r="V921" s="51">
        <f>IF(tblWorkPackages[[#This Row],[Time split]]="Train 2024",tblWorkPackages[[#This Row],[Estimated labor hours]],tblWorkPackages[[#This Row],[Calibrated forecast hours]])</f>
        <v>8.18515625</v>
      </c>
      <c r="W921" s="64">
        <f>DATEVALUE(tblWorkPackages[[#This Row],[Request date]])</f>
        <v>45884.0</v>
      </c>
      <c r="X921" s="64">
        <f>DATEVALUE(tblWorkPackages[[#This Row],[Due date]])</f>
        <v>45897.0</v>
      </c>
      <c r="Y921" s="64">
        <f>DATEVALUE(tblWorkPackages[[#This Row],[Completion date]])</f>
        <v>45895.0</v>
      </c>
      <c r="Z921" s="64">
        <f>_xlfn.MINIFS(tblLaborEntries[Work date serial],tblLaborEntries[Work package ID],tblWorkPackages[[#This Row],[Work package ID]])</f>
        <v>45892.0</v>
      </c>
      <c r="AA921" s="64">
        <f>_xlfn.MAXIFS(tblLaborEntries[Work date serial],tblLaborEntries[Work package ID],tblWorkPackages[[#This Row],[Work package ID]])</f>
        <v>45892.0</v>
      </c>
      <c r="AB921" s="65">
        <f>IF(tblWorkPackages[[#This Row],[Completion date serial]]&gt;tblWorkPackages[[#This Row],[Due date serial]],1,0)</f>
        <v>0</v>
      </c>
      <c r="AC921" s="65">
        <f>MAX(0,tblWorkPackages[[#This Row],[Completion date serial]]-tblWorkPackages[[#This Row],[Due date serial]])</f>
        <v>0</v>
      </c>
      <c r="AD921" s="65">
        <f>tblWorkPackages[[#This Row],[First labor date]]-tblWorkPackages[[#This Row],[Request date serial]]</f>
        <v>8</v>
      </c>
      <c r="AE921" s="65">
        <f>tblWorkPackages[[#This Row],[Last labor date]]-tblWorkPackages[[#This Row],[First labor date]]</f>
        <v>0</v>
      </c>
      <c r="AF921" s="65">
        <f>tblWorkPackages[[#This Row],[Completion date serial]]-tblWorkPackages[[#This Row],[Last labor date]]</f>
        <v>3</v>
      </c>
      <c r="AG921" s="65">
        <f>tblWorkPackages[[#This Row],[Completion date serial]]-tblWorkPackages[[#This Row],[Request date serial]]</f>
        <v>11</v>
      </c>
      <c r="AH921" s="65">
        <f>IFERROR(INDEX(tblParts[Delay days],MATCH(tblWorkPackages[[#This Row],[Work package ID]],tblParts[Work package ID],0)),0)</f>
        <v>0</v>
      </c>
      <c r="AI921" s="51" t="str">
        <f>IFERROR(INDEX(tblDisruptions[Event type],MATCH(tblWorkPackages[[#This Row],[Work package ID]],tblDisruptions[Work package ID],0)),"None")</f>
        <v>None</v>
      </c>
      <c r="AJ921" s="51" t="str">
        <f>TEXT(tblWorkPackages[[#This Row],[Due date serial]],"yyyy-mm")</f>
        <v>2025-08</v>
      </c>
    </row>
    <row r="922" spans="1:36" ht="15" x14ac:dyDescent="0.25">
      <c r="A922" s="53" t="s">
        <v>1812</v>
      </c>
      <c r="B922" s="53" t="s">
        <v>168</v>
      </c>
      <c r="C922" s="53" t="s">
        <v>346</v>
      </c>
      <c r="D922" s="53" t="s">
        <v>443</v>
      </c>
      <c r="E922" s="53" t="s">
        <v>209</v>
      </c>
      <c r="F922" s="53" t="s">
        <v>145</v>
      </c>
      <c r="G922" s="53" t="s">
        <v>210</v>
      </c>
      <c r="H922" s="53">
        <v>4</v>
      </c>
      <c r="I922" s="53" t="s">
        <v>130</v>
      </c>
      <c r="J922" s="53">
        <v>0</v>
      </c>
      <c r="K922" s="53">
        <v>0</v>
      </c>
      <c r="L922" s="53">
        <v>41.7</v>
      </c>
      <c r="M922" s="53" t="s">
        <v>1813</v>
      </c>
      <c r="N922" s="53">
        <v>32.1</v>
      </c>
      <c r="O922" s="51" t="str">
        <f>TEXT(tblWorkPackages[[#This Row],[Request date serial]]-WEEKDAY(tblWorkPackages[[#This Row],[Request date serial]],3),"yyyy-mm-dd")</f>
        <v>2024-02-12</v>
      </c>
      <c r="P922" s="51">
        <f>ABS(tblWorkPackages[[#This Row],[Actual labor hours]]-tblWorkPackages[[#This Row],[Estimated labor hours]])</f>
        <v>9.6</v>
      </c>
      <c r="Q922" s="51">
        <f>IF(tblWorkPackages[[#This Row],[Actual labor hours]]&gt;tblWorkPackages[[#This Row],[Estimated labor hours]],1,0)</f>
        <v>0</v>
      </c>
      <c r="R922" s="51">
        <f>tblWorkPackages[[#This Row],[Actual labor hours]]-tblWorkPackages[[#This Row],[Estimated labor hours]]</f>
        <v>-9.6</v>
      </c>
      <c r="S922" s="51" t="str">
        <f>IF(tblWorkPackages[[#This Row],[Request date serial]]&lt;ValidationStart,"Train 2024",IF(tblWorkPackages[[#This Row],[Request date serial]]&lt;HoldoutStart,"Validation H1","Holdout H2"))</f>
        <v>Train 2024</v>
      </c>
      <c r="T922" s="51" t="str">
        <f>IF(tblWorkPackages[[#This Row],[Time split]]="Train 2024","",tblWorkPackages[[#This Row],[Estimated labor hours]]+VLOOKUP(tblWorkPackages[[#This Row],[Task type]],'Forecast validation'!$A$14:$E$25,IF(tblWorkPackages[[#This Row],[Time split]]="Validation H1",4,5),FALSE()))</f>
        <v/>
      </c>
      <c r="U922" s="51" t="str">
        <f>IF(tblWorkPackages[[#This Row],[Calibrated forecast hours]]="","",ABS(tblWorkPackages[[#This Row],[Actual labor hours]]-tblWorkPackages[[#This Row],[Calibrated forecast hours]]))</f>
        <v/>
      </c>
      <c r="V922" s="51">
        <f>IF(tblWorkPackages[[#This Row],[Time split]]="Train 2024",tblWorkPackages[[#This Row],[Estimated labor hours]],tblWorkPackages[[#This Row],[Calibrated forecast hours]])</f>
        <v>41.7</v>
      </c>
      <c r="W922" s="64">
        <f>DATEVALUE(tblWorkPackages[[#This Row],[Request date]])</f>
        <v>45338.0</v>
      </c>
      <c r="X922" s="64">
        <f>DATEVALUE(tblWorkPackages[[#This Row],[Due date]])</f>
        <v>45351.0</v>
      </c>
      <c r="Y922" s="64">
        <f>DATEVALUE(tblWorkPackages[[#This Row],[Completion date]])</f>
        <v>45342.0</v>
      </c>
      <c r="Z922" s="64">
        <f>_xlfn.MINIFS(tblLaborEntries[Work date serial],tblLaborEntries[Work package ID],tblWorkPackages[[#This Row],[Work package ID]])</f>
        <v>45340.0</v>
      </c>
      <c r="AA922" s="64">
        <f>_xlfn.MAXIFS(tblLaborEntries[Work date serial],tblLaborEntries[Work package ID],tblWorkPackages[[#This Row],[Work package ID]])</f>
        <v>45342.0</v>
      </c>
      <c r="AB922" s="65">
        <f>IF(tblWorkPackages[[#This Row],[Completion date serial]]&gt;tblWorkPackages[[#This Row],[Due date serial]],1,0)</f>
        <v>0</v>
      </c>
      <c r="AC922" s="65">
        <f>MAX(0,tblWorkPackages[[#This Row],[Completion date serial]]-tblWorkPackages[[#This Row],[Due date serial]])</f>
        <v>0</v>
      </c>
      <c r="AD922" s="65">
        <f>tblWorkPackages[[#This Row],[First labor date]]-tblWorkPackages[[#This Row],[Request date serial]]</f>
        <v>2</v>
      </c>
      <c r="AE922" s="65">
        <f>tblWorkPackages[[#This Row],[Last labor date]]-tblWorkPackages[[#This Row],[First labor date]]</f>
        <v>2</v>
      </c>
      <c r="AF922" s="65">
        <f>tblWorkPackages[[#This Row],[Completion date serial]]-tblWorkPackages[[#This Row],[Last labor date]]</f>
        <v>0</v>
      </c>
      <c r="AG922" s="65">
        <f>tblWorkPackages[[#This Row],[Completion date serial]]-tblWorkPackages[[#This Row],[Request date serial]]</f>
        <v>4</v>
      </c>
      <c r="AH922" s="65">
        <f>IFERROR(INDEX(tblParts[Delay days],MATCH(tblWorkPackages[[#This Row],[Work package ID]],tblParts[Work package ID],0)),0)</f>
        <v>0</v>
      </c>
      <c r="AI922" s="51" t="str">
        <f>IFERROR(INDEX(tblDisruptions[Event type],MATCH(tblWorkPackages[[#This Row],[Work package ID]],tblDisruptions[Work package ID],0)),"None")</f>
        <v>None</v>
      </c>
      <c r="AJ922" s="51" t="str">
        <f>TEXT(tblWorkPackages[[#This Row],[Due date serial]],"yyyy-mm")</f>
        <v>2024-02</v>
      </c>
    </row>
    <row r="923" spans="1:36" ht="15" x14ac:dyDescent="0.25">
      <c r="A923" s="53" t="s">
        <v>1814</v>
      </c>
      <c r="B923" s="53" t="s">
        <v>250</v>
      </c>
      <c r="C923" s="53" t="s">
        <v>722</v>
      </c>
      <c r="D923" s="53" t="s">
        <v>952</v>
      </c>
      <c r="E923" s="53" t="s">
        <v>272</v>
      </c>
      <c r="F923" s="53" t="s">
        <v>145</v>
      </c>
      <c r="G923" s="53" t="s">
        <v>273</v>
      </c>
      <c r="H923" s="53">
        <v>3</v>
      </c>
      <c r="I923" s="53" t="s">
        <v>147</v>
      </c>
      <c r="J923" s="53">
        <v>0</v>
      </c>
      <c r="K923" s="53">
        <v>0</v>
      </c>
      <c r="L923" s="53">
        <v>13.6</v>
      </c>
      <c r="M923" s="53" t="s">
        <v>509</v>
      </c>
      <c r="N923" s="53">
        <v>10.6</v>
      </c>
      <c r="O923" s="51" t="str">
        <f>TEXT(tblWorkPackages[[#This Row],[Request date serial]]-WEEKDAY(tblWorkPackages[[#This Row],[Request date serial]],3),"yyyy-mm-dd")</f>
        <v>2024-10-07</v>
      </c>
      <c r="P923" s="51">
        <f>ABS(tblWorkPackages[[#This Row],[Actual labor hours]]-tblWorkPackages[[#This Row],[Estimated labor hours]])</f>
        <v>3</v>
      </c>
      <c r="Q923" s="51">
        <f>IF(tblWorkPackages[[#This Row],[Actual labor hours]]&gt;tblWorkPackages[[#This Row],[Estimated labor hours]],1,0)</f>
        <v>0</v>
      </c>
      <c r="R923" s="51">
        <f>tblWorkPackages[[#This Row],[Actual labor hours]]-tblWorkPackages[[#This Row],[Estimated labor hours]]</f>
        <v>-3</v>
      </c>
      <c r="S923" s="51" t="str">
        <f>IF(tblWorkPackages[[#This Row],[Request date serial]]&lt;ValidationStart,"Train 2024",IF(tblWorkPackages[[#This Row],[Request date serial]]&lt;HoldoutStart,"Validation H1","Holdout H2"))</f>
        <v>Train 2024</v>
      </c>
      <c r="T923" s="51" t="str">
        <f>IF(tblWorkPackages[[#This Row],[Time split]]="Train 2024","",tblWorkPackages[[#This Row],[Estimated labor hours]]+VLOOKUP(tblWorkPackages[[#This Row],[Task type]],'Forecast validation'!$A$14:$E$25,IF(tblWorkPackages[[#This Row],[Time split]]="Validation H1",4,5),FALSE()))</f>
        <v/>
      </c>
      <c r="U923" s="51" t="str">
        <f>IF(tblWorkPackages[[#This Row],[Calibrated forecast hours]]="","",ABS(tblWorkPackages[[#This Row],[Actual labor hours]]-tblWorkPackages[[#This Row],[Calibrated forecast hours]]))</f>
        <v/>
      </c>
      <c r="V923" s="51">
        <f>IF(tblWorkPackages[[#This Row],[Time split]]="Train 2024",tblWorkPackages[[#This Row],[Estimated labor hours]],tblWorkPackages[[#This Row],[Calibrated forecast hours]])</f>
        <v>13.6</v>
      </c>
      <c r="W923" s="64">
        <f>DATEVALUE(tblWorkPackages[[#This Row],[Request date]])</f>
        <v>45576.0</v>
      </c>
      <c r="X923" s="64">
        <f>DATEVALUE(tblWorkPackages[[#This Row],[Due date]])</f>
        <v>45578.0</v>
      </c>
      <c r="Y923" s="64">
        <f>DATEVALUE(tblWorkPackages[[#This Row],[Completion date]])</f>
        <v>45597.0</v>
      </c>
      <c r="Z923" s="64">
        <f>_xlfn.MINIFS(tblLaborEntries[Work date serial],tblLaborEntries[Work package ID],tblWorkPackages[[#This Row],[Work package ID]])</f>
        <v>45595.0</v>
      </c>
      <c r="AA923" s="64">
        <f>_xlfn.MAXIFS(tblLaborEntries[Work date serial],tblLaborEntries[Work package ID],tblWorkPackages[[#This Row],[Work package ID]])</f>
        <v>45596.0</v>
      </c>
      <c r="AB923" s="65">
        <f>IF(tblWorkPackages[[#This Row],[Completion date serial]]&gt;tblWorkPackages[[#This Row],[Due date serial]],1,0)</f>
        <v>1</v>
      </c>
      <c r="AC923" s="65">
        <f>MAX(0,tblWorkPackages[[#This Row],[Completion date serial]]-tblWorkPackages[[#This Row],[Due date serial]])</f>
        <v>19</v>
      </c>
      <c r="AD923" s="65">
        <f>tblWorkPackages[[#This Row],[First labor date]]-tblWorkPackages[[#This Row],[Request date serial]]</f>
        <v>19</v>
      </c>
      <c r="AE923" s="65">
        <f>tblWorkPackages[[#This Row],[Last labor date]]-tblWorkPackages[[#This Row],[First labor date]]</f>
        <v>1</v>
      </c>
      <c r="AF923" s="65">
        <f>tblWorkPackages[[#This Row],[Completion date serial]]-tblWorkPackages[[#This Row],[Last labor date]]</f>
        <v>1</v>
      </c>
      <c r="AG923" s="65">
        <f>tblWorkPackages[[#This Row],[Completion date serial]]-tblWorkPackages[[#This Row],[Request date serial]]</f>
        <v>21</v>
      </c>
      <c r="AH923" s="65">
        <f>IFERROR(INDEX(tblParts[Delay days],MATCH(tblWorkPackages[[#This Row],[Work package ID]],tblParts[Work package ID],0)),0)</f>
        <v>0</v>
      </c>
      <c r="AI923" s="51" t="str">
        <f>IFERROR(INDEX(tblDisruptions[Event type],MATCH(tblWorkPackages[[#This Row],[Work package ID]],tblDisruptions[Work package ID],0)),"None")</f>
        <v>None</v>
      </c>
      <c r="AJ923" s="51" t="str">
        <f>TEXT(tblWorkPackages[[#This Row],[Due date serial]],"yyyy-mm")</f>
        <v>2024-10</v>
      </c>
    </row>
    <row r="924" spans="1:36" ht="15" x14ac:dyDescent="0.25">
      <c r="A924" s="53" t="s">
        <v>1815</v>
      </c>
      <c r="B924" s="53" t="s">
        <v>150</v>
      </c>
      <c r="C924" s="53" t="s">
        <v>325</v>
      </c>
      <c r="D924" s="53" t="s">
        <v>481</v>
      </c>
      <c r="E924" s="53" t="s">
        <v>153</v>
      </c>
      <c r="F924" s="53" t="s">
        <v>128</v>
      </c>
      <c r="G924" s="53" t="s">
        <v>154</v>
      </c>
      <c r="H924" s="53">
        <v>2</v>
      </c>
      <c r="I924" s="53" t="s">
        <v>176</v>
      </c>
      <c r="J924" s="53">
        <v>0</v>
      </c>
      <c r="K924" s="53">
        <v>0</v>
      </c>
      <c r="L924" s="53">
        <v>9</v>
      </c>
      <c r="M924" s="53" t="s">
        <v>481</v>
      </c>
      <c r="N924" s="53">
        <v>7.6</v>
      </c>
      <c r="O924" s="51" t="str">
        <f>TEXT(tblWorkPackages[[#This Row],[Request date serial]]-WEEKDAY(tblWorkPackages[[#This Row],[Request date serial]],3),"yyyy-mm-dd")</f>
        <v>2025-10-27</v>
      </c>
      <c r="P924" s="51">
        <f>ABS(tblWorkPackages[[#This Row],[Actual labor hours]]-tblWorkPackages[[#This Row],[Estimated labor hours]])</f>
        <v>1.4</v>
      </c>
      <c r="Q924" s="51">
        <f>IF(tblWorkPackages[[#This Row],[Actual labor hours]]&gt;tblWorkPackages[[#This Row],[Estimated labor hours]],1,0)</f>
        <v>0</v>
      </c>
      <c r="R924" s="51">
        <f>tblWorkPackages[[#This Row],[Actual labor hours]]-tblWorkPackages[[#This Row],[Estimated labor hours]]</f>
        <v>-1.4</v>
      </c>
      <c r="S924" s="51" t="str">
        <f>IF(tblWorkPackages[[#This Row],[Request date serial]]&lt;ValidationStart,"Train 2024",IF(tblWorkPackages[[#This Row],[Request date serial]]&lt;HoldoutStart,"Validation H1","Holdout H2"))</f>
        <v>Holdout H2</v>
      </c>
      <c r="T924" s="51">
        <f>IF(tblWorkPackages[[#This Row],[Time split]]="Train 2024","",tblWorkPackages[[#This Row],[Estimated labor hours]]+VLOOKUP(tblWorkPackages[[#This Row],[Task type]],'Forecast validation'!$A$14:$E$25,IF(tblWorkPackages[[#This Row],[Time split]]="Validation H1",4,5),FALSE()))</f>
        <v>9.60266666666667</v>
      </c>
      <c r="U924" s="51">
        <f>IF(tblWorkPackages[[#This Row],[Calibrated forecast hours]]="","",ABS(tblWorkPackages[[#This Row],[Actual labor hours]]-tblWorkPackages[[#This Row],[Calibrated forecast hours]]))</f>
        <v>2.00266666666667</v>
      </c>
      <c r="V924" s="51">
        <f>IF(tblWorkPackages[[#This Row],[Time split]]="Train 2024",tblWorkPackages[[#This Row],[Estimated labor hours]],tblWorkPackages[[#This Row],[Calibrated forecast hours]])</f>
        <v>9.60266666666667</v>
      </c>
      <c r="W924" s="64">
        <f>DATEVALUE(tblWorkPackages[[#This Row],[Request date]])</f>
        <v>45962.0</v>
      </c>
      <c r="X924" s="64">
        <f>DATEVALUE(tblWorkPackages[[#This Row],[Due date]])</f>
        <v>45968.0</v>
      </c>
      <c r="Y924" s="64">
        <f>DATEVALUE(tblWorkPackages[[#This Row],[Completion date]])</f>
        <v>45968.0</v>
      </c>
      <c r="Z924" s="64">
        <f>_xlfn.MINIFS(tblLaborEntries[Work date serial],tblLaborEntries[Work package ID],tblWorkPackages[[#This Row],[Work package ID]])</f>
        <v>45966.0</v>
      </c>
      <c r="AA924" s="64">
        <f>_xlfn.MAXIFS(tblLaborEntries[Work date serial],tblLaborEntries[Work package ID],tblWorkPackages[[#This Row],[Work package ID]])</f>
        <v>45966.0</v>
      </c>
      <c r="AB924" s="65">
        <f>IF(tblWorkPackages[[#This Row],[Completion date serial]]&gt;tblWorkPackages[[#This Row],[Due date serial]],1,0)</f>
        <v>0</v>
      </c>
      <c r="AC924" s="65">
        <f>MAX(0,tblWorkPackages[[#This Row],[Completion date serial]]-tblWorkPackages[[#This Row],[Due date serial]])</f>
        <v>0</v>
      </c>
      <c r="AD924" s="65">
        <f>tblWorkPackages[[#This Row],[First labor date]]-tblWorkPackages[[#This Row],[Request date serial]]</f>
        <v>4</v>
      </c>
      <c r="AE924" s="65">
        <f>tblWorkPackages[[#This Row],[Last labor date]]-tblWorkPackages[[#This Row],[First labor date]]</f>
        <v>0</v>
      </c>
      <c r="AF924" s="65">
        <f>tblWorkPackages[[#This Row],[Completion date serial]]-tblWorkPackages[[#This Row],[Last labor date]]</f>
        <v>2</v>
      </c>
      <c r="AG924" s="65">
        <f>tblWorkPackages[[#This Row],[Completion date serial]]-tblWorkPackages[[#This Row],[Request date serial]]</f>
        <v>6</v>
      </c>
      <c r="AH924" s="65">
        <f>IFERROR(INDEX(tblParts[Delay days],MATCH(tblWorkPackages[[#This Row],[Work package ID]],tblParts[Work package ID],0)),0)</f>
        <v>0</v>
      </c>
      <c r="AI924" s="51" t="str">
        <f>IFERROR(INDEX(tblDisruptions[Event type],MATCH(tblWorkPackages[[#This Row],[Work package ID]],tblDisruptions[Work package ID],0)),"None")</f>
        <v>None</v>
      </c>
      <c r="AJ924" s="51" t="str">
        <f>TEXT(tblWorkPackages[[#This Row],[Due date serial]],"yyyy-mm")</f>
        <v>2025-11</v>
      </c>
    </row>
    <row r="925" spans="1:36" ht="15" x14ac:dyDescent="0.25">
      <c r="A925" s="53" t="s">
        <v>1816</v>
      </c>
      <c r="B925" s="53" t="s">
        <v>173</v>
      </c>
      <c r="C925" s="53" t="s">
        <v>1274</v>
      </c>
      <c r="D925" s="53" t="s">
        <v>990</v>
      </c>
      <c r="E925" s="53" t="s">
        <v>153</v>
      </c>
      <c r="F925" s="53" t="s">
        <v>128</v>
      </c>
      <c r="G925" s="53" t="s">
        <v>154</v>
      </c>
      <c r="H925" s="53">
        <v>3</v>
      </c>
      <c r="I925" s="53" t="s">
        <v>176</v>
      </c>
      <c r="J925" s="53">
        <v>0</v>
      </c>
      <c r="K925" s="53">
        <v>0</v>
      </c>
      <c r="L925" s="53">
        <v>10.9</v>
      </c>
      <c r="M925" s="53" t="s">
        <v>942</v>
      </c>
      <c r="N925" s="53">
        <v>11.4</v>
      </c>
      <c r="O925" s="51" t="str">
        <f>TEXT(tblWorkPackages[[#This Row],[Request date serial]]-WEEKDAY(tblWorkPackages[[#This Row],[Request date serial]],3),"yyyy-mm-dd")</f>
        <v>2025-10-06</v>
      </c>
      <c r="P925" s="51">
        <f>ABS(tblWorkPackages[[#This Row],[Actual labor hours]]-tblWorkPackages[[#This Row],[Estimated labor hours]])</f>
        <v>0.5</v>
      </c>
      <c r="Q925" s="51">
        <f>IF(tblWorkPackages[[#This Row],[Actual labor hours]]&gt;tblWorkPackages[[#This Row],[Estimated labor hours]],1,0)</f>
        <v>1</v>
      </c>
      <c r="R925" s="51">
        <f>tblWorkPackages[[#This Row],[Actual labor hours]]-tblWorkPackages[[#This Row],[Estimated labor hours]]</f>
        <v>0.5</v>
      </c>
      <c r="S925" s="51" t="str">
        <f>IF(tblWorkPackages[[#This Row],[Request date serial]]&lt;ValidationStart,"Train 2024",IF(tblWorkPackages[[#This Row],[Request date serial]]&lt;HoldoutStart,"Validation H1","Holdout H2"))</f>
        <v>Holdout H2</v>
      </c>
      <c r="T925" s="51">
        <f>IF(tblWorkPackages[[#This Row],[Time split]]="Train 2024","",tblWorkPackages[[#This Row],[Estimated labor hours]]+VLOOKUP(tblWorkPackages[[#This Row],[Task type]],'Forecast validation'!$A$14:$E$25,IF(tblWorkPackages[[#This Row],[Time split]]="Validation H1",4,5),FALSE()))</f>
        <v>11.5026666666667</v>
      </c>
      <c r="U925" s="51">
        <f>IF(tblWorkPackages[[#This Row],[Calibrated forecast hours]]="","",ABS(tblWorkPackages[[#This Row],[Actual labor hours]]-tblWorkPackages[[#This Row],[Calibrated forecast hours]]))</f>
        <v>0.102666666666666</v>
      </c>
      <c r="V925" s="51">
        <f>IF(tblWorkPackages[[#This Row],[Time split]]="Train 2024",tblWorkPackages[[#This Row],[Estimated labor hours]],tblWorkPackages[[#This Row],[Calibrated forecast hours]])</f>
        <v>11.5026666666667</v>
      </c>
      <c r="W925" s="64">
        <f>DATEVALUE(tblWorkPackages[[#This Row],[Request date]])</f>
        <v>45941.0</v>
      </c>
      <c r="X925" s="64">
        <f>DATEVALUE(tblWorkPackages[[#This Row],[Due date]])</f>
        <v>45947.0</v>
      </c>
      <c r="Y925" s="64">
        <f>DATEVALUE(tblWorkPackages[[#This Row],[Completion date]])</f>
        <v>45946.0</v>
      </c>
      <c r="Z925" s="64">
        <f>_xlfn.MINIFS(tblLaborEntries[Work date serial],tblLaborEntries[Work package ID],tblWorkPackages[[#This Row],[Work package ID]])</f>
        <v>45942.0</v>
      </c>
      <c r="AA925" s="64">
        <f>_xlfn.MAXIFS(tblLaborEntries[Work date serial],tblLaborEntries[Work package ID],tblWorkPackages[[#This Row],[Work package ID]])</f>
        <v>45943.0</v>
      </c>
      <c r="AB925" s="65">
        <f>IF(tblWorkPackages[[#This Row],[Completion date serial]]&gt;tblWorkPackages[[#This Row],[Due date serial]],1,0)</f>
        <v>0</v>
      </c>
      <c r="AC925" s="65">
        <f>MAX(0,tblWorkPackages[[#This Row],[Completion date serial]]-tblWorkPackages[[#This Row],[Due date serial]])</f>
        <v>0</v>
      </c>
      <c r="AD925" s="65">
        <f>tblWorkPackages[[#This Row],[First labor date]]-tblWorkPackages[[#This Row],[Request date serial]]</f>
        <v>1</v>
      </c>
      <c r="AE925" s="65">
        <f>tblWorkPackages[[#This Row],[Last labor date]]-tblWorkPackages[[#This Row],[First labor date]]</f>
        <v>1</v>
      </c>
      <c r="AF925" s="65">
        <f>tblWorkPackages[[#This Row],[Completion date serial]]-tblWorkPackages[[#This Row],[Last labor date]]</f>
        <v>3</v>
      </c>
      <c r="AG925" s="65">
        <f>tblWorkPackages[[#This Row],[Completion date serial]]-tblWorkPackages[[#This Row],[Request date serial]]</f>
        <v>5</v>
      </c>
      <c r="AH925" s="65">
        <f>IFERROR(INDEX(tblParts[Delay days],MATCH(tblWorkPackages[[#This Row],[Work package ID]],tblParts[Work package ID],0)),0)</f>
        <v>0</v>
      </c>
      <c r="AI925" s="51" t="str">
        <f>IFERROR(INDEX(tblDisruptions[Event type],MATCH(tblWorkPackages[[#This Row],[Work package ID]],tblDisruptions[Work package ID],0)),"None")</f>
        <v>None</v>
      </c>
      <c r="AJ925" s="51" t="str">
        <f>TEXT(tblWorkPackages[[#This Row],[Due date serial]],"yyyy-mm")</f>
        <v>2025-10</v>
      </c>
    </row>
    <row r="926" spans="1:36" ht="15" x14ac:dyDescent="0.25">
      <c r="A926" s="53" t="s">
        <v>1817</v>
      </c>
      <c r="B926" s="53" t="s">
        <v>173</v>
      </c>
      <c r="C926" s="53" t="s">
        <v>1167</v>
      </c>
      <c r="D926" s="53" t="s">
        <v>1100</v>
      </c>
      <c r="E926" s="53" t="s">
        <v>242</v>
      </c>
      <c r="F926" s="53" t="s">
        <v>243</v>
      </c>
      <c r="G926" s="53" t="s">
        <v>129</v>
      </c>
      <c r="H926" s="53">
        <v>3</v>
      </c>
      <c r="I926" s="53" t="s">
        <v>130</v>
      </c>
      <c r="J926" s="53">
        <v>0</v>
      </c>
      <c r="K926" s="53">
        <v>0</v>
      </c>
      <c r="L926" s="53">
        <v>11.8</v>
      </c>
      <c r="M926" s="53" t="s">
        <v>697</v>
      </c>
      <c r="N926" s="53">
        <v>12.4</v>
      </c>
      <c r="O926" s="51" t="str">
        <f>TEXT(tblWorkPackages[[#This Row],[Request date serial]]-WEEKDAY(tblWorkPackages[[#This Row],[Request date serial]],3),"yyyy-mm-dd")</f>
        <v>2025-02-03</v>
      </c>
      <c r="P926" s="51">
        <f>ABS(tblWorkPackages[[#This Row],[Actual labor hours]]-tblWorkPackages[[#This Row],[Estimated labor hours]])</f>
        <v>0.6</v>
      </c>
      <c r="Q926" s="51">
        <f>IF(tblWorkPackages[[#This Row],[Actual labor hours]]&gt;tblWorkPackages[[#This Row],[Estimated labor hours]],1,0)</f>
        <v>1</v>
      </c>
      <c r="R926" s="51">
        <f>tblWorkPackages[[#This Row],[Actual labor hours]]-tblWorkPackages[[#This Row],[Estimated labor hours]]</f>
        <v>0.6</v>
      </c>
      <c r="S926" s="51" t="str">
        <f>IF(tblWorkPackages[[#This Row],[Request date serial]]&lt;ValidationStart,"Train 2024",IF(tblWorkPackages[[#This Row],[Request date serial]]&lt;HoldoutStart,"Validation H1","Holdout H2"))</f>
        <v>Validation H1</v>
      </c>
      <c r="T926" s="51">
        <f>IF(tblWorkPackages[[#This Row],[Time split]]="Train 2024","",tblWorkPackages[[#This Row],[Estimated labor hours]]+VLOOKUP(tblWorkPackages[[#This Row],[Task type]],'Forecast validation'!$A$14:$E$25,IF(tblWorkPackages[[#This Row],[Time split]]="Validation H1",4,5),FALSE()))</f>
        <v>12.3561224489796</v>
      </c>
      <c r="U926" s="51">
        <f>IF(tblWorkPackages[[#This Row],[Calibrated forecast hours]]="","",ABS(tblWorkPackages[[#This Row],[Actual labor hours]]-tblWorkPackages[[#This Row],[Calibrated forecast hours]]))</f>
        <v>0.0438775510204081</v>
      </c>
      <c r="V926" s="51">
        <f>IF(tblWorkPackages[[#This Row],[Time split]]="Train 2024",tblWorkPackages[[#This Row],[Estimated labor hours]],tblWorkPackages[[#This Row],[Calibrated forecast hours]])</f>
        <v>12.3561224489796</v>
      </c>
      <c r="W926" s="64">
        <f>DATEVALUE(tblWorkPackages[[#This Row],[Request date]])</f>
        <v>45692.0</v>
      </c>
      <c r="X926" s="64">
        <f>DATEVALUE(tblWorkPackages[[#This Row],[Due date]])</f>
        <v>45705.0</v>
      </c>
      <c r="Y926" s="64">
        <f>DATEVALUE(tblWorkPackages[[#This Row],[Completion date]])</f>
        <v>45703.0</v>
      </c>
      <c r="Z926" s="64">
        <f>_xlfn.MINIFS(tblLaborEntries[Work date serial],tblLaborEntries[Work package ID],tblWorkPackages[[#This Row],[Work package ID]])</f>
        <v>45703.0</v>
      </c>
      <c r="AA926" s="64">
        <f>_xlfn.MAXIFS(tblLaborEntries[Work date serial],tblLaborEntries[Work package ID],tblWorkPackages[[#This Row],[Work package ID]])</f>
        <v>45703.0</v>
      </c>
      <c r="AB926" s="65">
        <f>IF(tblWorkPackages[[#This Row],[Completion date serial]]&gt;tblWorkPackages[[#This Row],[Due date serial]],1,0)</f>
        <v>0</v>
      </c>
      <c r="AC926" s="65">
        <f>MAX(0,tblWorkPackages[[#This Row],[Completion date serial]]-tblWorkPackages[[#This Row],[Due date serial]])</f>
        <v>0</v>
      </c>
      <c r="AD926" s="65">
        <f>tblWorkPackages[[#This Row],[First labor date]]-tblWorkPackages[[#This Row],[Request date serial]]</f>
        <v>11</v>
      </c>
      <c r="AE926" s="65">
        <f>tblWorkPackages[[#This Row],[Last labor date]]-tblWorkPackages[[#This Row],[First labor date]]</f>
        <v>0</v>
      </c>
      <c r="AF926" s="65">
        <f>tblWorkPackages[[#This Row],[Completion date serial]]-tblWorkPackages[[#This Row],[Last labor date]]</f>
        <v>0</v>
      </c>
      <c r="AG926" s="65">
        <f>tblWorkPackages[[#This Row],[Completion date serial]]-tblWorkPackages[[#This Row],[Request date serial]]</f>
        <v>11</v>
      </c>
      <c r="AH926" s="65">
        <f>IFERROR(INDEX(tblParts[Delay days],MATCH(tblWorkPackages[[#This Row],[Work package ID]],tblParts[Work package ID],0)),0)</f>
        <v>0</v>
      </c>
      <c r="AI926" s="51" t="str">
        <f>IFERROR(INDEX(tblDisruptions[Event type],MATCH(tblWorkPackages[[#This Row],[Work package ID]],tblDisruptions[Work package ID],0)),"None")</f>
        <v>None</v>
      </c>
      <c r="AJ926" s="51" t="str">
        <f>TEXT(tblWorkPackages[[#This Row],[Due date serial]],"yyyy-mm")</f>
        <v>2025-02</v>
      </c>
    </row>
    <row r="927" spans="1:36" ht="15" x14ac:dyDescent="0.25">
      <c r="A927" s="53" t="s">
        <v>1818</v>
      </c>
      <c r="B927" s="53" t="s">
        <v>133</v>
      </c>
      <c r="C927" s="53" t="s">
        <v>165</v>
      </c>
      <c r="D927" s="53" t="s">
        <v>1324</v>
      </c>
      <c r="E927" s="53" t="s">
        <v>136</v>
      </c>
      <c r="F927" s="53" t="s">
        <v>137</v>
      </c>
      <c r="G927" s="53" t="s">
        <v>138</v>
      </c>
      <c r="H927" s="53">
        <v>1</v>
      </c>
      <c r="I927" s="53" t="s">
        <v>147</v>
      </c>
      <c r="J927" s="53">
        <v>0</v>
      </c>
      <c r="K927" s="53">
        <v>0</v>
      </c>
      <c r="L927" s="53">
        <v>9</v>
      </c>
      <c r="M927" s="53" t="s">
        <v>439</v>
      </c>
      <c r="N927" s="53">
        <v>8.3000000000000007</v>
      </c>
      <c r="O927" s="51" t="str">
        <f>TEXT(tblWorkPackages[[#This Row],[Request date serial]]-WEEKDAY(tblWorkPackages[[#This Row],[Request date serial]],3),"yyyy-mm-dd")</f>
        <v>2024-07-01</v>
      </c>
      <c r="P927" s="51">
        <f>ABS(tblWorkPackages[[#This Row],[Actual labor hours]]-tblWorkPackages[[#This Row],[Estimated labor hours]])</f>
        <v>0.699999999999999</v>
      </c>
      <c r="Q927" s="51">
        <f>IF(tblWorkPackages[[#This Row],[Actual labor hours]]&gt;tblWorkPackages[[#This Row],[Estimated labor hours]],1,0)</f>
        <v>0</v>
      </c>
      <c r="R927" s="51">
        <f>tblWorkPackages[[#This Row],[Actual labor hours]]-tblWorkPackages[[#This Row],[Estimated labor hours]]</f>
        <v>-0.699999999999999</v>
      </c>
      <c r="S927" s="51" t="str">
        <f>IF(tblWorkPackages[[#This Row],[Request date serial]]&lt;ValidationStart,"Train 2024",IF(tblWorkPackages[[#This Row],[Request date serial]]&lt;HoldoutStart,"Validation H1","Holdout H2"))</f>
        <v>Train 2024</v>
      </c>
      <c r="T927" s="51" t="str">
        <f>IF(tblWorkPackages[[#This Row],[Time split]]="Train 2024","",tblWorkPackages[[#This Row],[Estimated labor hours]]+VLOOKUP(tblWorkPackages[[#This Row],[Task type]],'Forecast validation'!$A$14:$E$25,IF(tblWorkPackages[[#This Row],[Time split]]="Validation H1",4,5),FALSE()))</f>
        <v/>
      </c>
      <c r="U927" s="51" t="str">
        <f>IF(tblWorkPackages[[#This Row],[Calibrated forecast hours]]="","",ABS(tblWorkPackages[[#This Row],[Actual labor hours]]-tblWorkPackages[[#This Row],[Calibrated forecast hours]]))</f>
        <v/>
      </c>
      <c r="V927" s="51">
        <f>IF(tblWorkPackages[[#This Row],[Time split]]="Train 2024",tblWorkPackages[[#This Row],[Estimated labor hours]],tblWorkPackages[[#This Row],[Calibrated forecast hours]])</f>
        <v>9</v>
      </c>
      <c r="W927" s="64">
        <f>DATEVALUE(tblWorkPackages[[#This Row],[Request date]])</f>
        <v>45474.0</v>
      </c>
      <c r="X927" s="64">
        <f>DATEVALUE(tblWorkPackages[[#This Row],[Due date]])</f>
        <v>45476.0</v>
      </c>
      <c r="Y927" s="64">
        <f>DATEVALUE(tblWorkPackages[[#This Row],[Completion date]])</f>
        <v>45480.0</v>
      </c>
      <c r="Z927" s="64">
        <f>_xlfn.MINIFS(tblLaborEntries[Work date serial],tblLaborEntries[Work package ID],tblWorkPackages[[#This Row],[Work package ID]])</f>
        <v>45477.0</v>
      </c>
      <c r="AA927" s="64">
        <f>_xlfn.MAXIFS(tblLaborEntries[Work date serial],tblLaborEntries[Work package ID],tblWorkPackages[[#This Row],[Work package ID]])</f>
        <v>45479.0</v>
      </c>
      <c r="AB927" s="65">
        <f>IF(tblWorkPackages[[#This Row],[Completion date serial]]&gt;tblWorkPackages[[#This Row],[Due date serial]],1,0)</f>
        <v>1</v>
      </c>
      <c r="AC927" s="65">
        <f>MAX(0,tblWorkPackages[[#This Row],[Completion date serial]]-tblWorkPackages[[#This Row],[Due date serial]])</f>
        <v>4</v>
      </c>
      <c r="AD927" s="65">
        <f>tblWorkPackages[[#This Row],[First labor date]]-tblWorkPackages[[#This Row],[Request date serial]]</f>
        <v>3</v>
      </c>
      <c r="AE927" s="65">
        <f>tblWorkPackages[[#This Row],[Last labor date]]-tblWorkPackages[[#This Row],[First labor date]]</f>
        <v>2</v>
      </c>
      <c r="AF927" s="65">
        <f>tblWorkPackages[[#This Row],[Completion date serial]]-tblWorkPackages[[#This Row],[Last labor date]]</f>
        <v>1</v>
      </c>
      <c r="AG927" s="65">
        <f>tblWorkPackages[[#This Row],[Completion date serial]]-tblWorkPackages[[#This Row],[Request date serial]]</f>
        <v>6</v>
      </c>
      <c r="AH927" s="65">
        <f>IFERROR(INDEX(tblParts[Delay days],MATCH(tblWorkPackages[[#This Row],[Work package ID]],tblParts[Work package ID],0)),0)</f>
        <v>0</v>
      </c>
      <c r="AI927" s="51" t="str">
        <f>IFERROR(INDEX(tblDisruptions[Event type],MATCH(tblWorkPackages[[#This Row],[Work package ID]],tblDisruptions[Work package ID],0)),"None")</f>
        <v>None</v>
      </c>
      <c r="AJ927" s="51" t="str">
        <f>TEXT(tblWorkPackages[[#This Row],[Due date serial]],"yyyy-mm")</f>
        <v>2024-07</v>
      </c>
    </row>
    <row r="928" spans="1:36" ht="15" x14ac:dyDescent="0.25">
      <c r="A928" s="53" t="s">
        <v>1819</v>
      </c>
      <c r="B928" s="53" t="s">
        <v>230</v>
      </c>
      <c r="C928" s="53" t="s">
        <v>1457</v>
      </c>
      <c r="D928" s="53" t="s">
        <v>926</v>
      </c>
      <c r="E928" s="53" t="s">
        <v>153</v>
      </c>
      <c r="F928" s="53" t="s">
        <v>128</v>
      </c>
      <c r="G928" s="53" t="s">
        <v>154</v>
      </c>
      <c r="H928" s="53">
        <v>4</v>
      </c>
      <c r="I928" s="53" t="s">
        <v>176</v>
      </c>
      <c r="J928" s="53">
        <v>0</v>
      </c>
      <c r="K928" s="53">
        <v>1</v>
      </c>
      <c r="L928" s="53">
        <v>19.600000000000001</v>
      </c>
      <c r="M928" s="53" t="s">
        <v>248</v>
      </c>
      <c r="N928" s="53">
        <v>16.100000000000001</v>
      </c>
      <c r="O928" s="51" t="str">
        <f>TEXT(tblWorkPackages[[#This Row],[Request date serial]]-WEEKDAY(tblWorkPackages[[#This Row],[Request date serial]],3),"yyyy-mm-dd")</f>
        <v>2024-02-12</v>
      </c>
      <c r="P928" s="51">
        <f>ABS(tblWorkPackages[[#This Row],[Actual labor hours]]-tblWorkPackages[[#This Row],[Estimated labor hours]])</f>
        <v>3.5</v>
      </c>
      <c r="Q928" s="51">
        <f>IF(tblWorkPackages[[#This Row],[Actual labor hours]]&gt;tblWorkPackages[[#This Row],[Estimated labor hours]],1,0)</f>
        <v>0</v>
      </c>
      <c r="R928" s="51">
        <f>tblWorkPackages[[#This Row],[Actual labor hours]]-tblWorkPackages[[#This Row],[Estimated labor hours]]</f>
        <v>-3.5</v>
      </c>
      <c r="S928" s="51" t="str">
        <f>IF(tblWorkPackages[[#This Row],[Request date serial]]&lt;ValidationStart,"Train 2024",IF(tblWorkPackages[[#This Row],[Request date serial]]&lt;HoldoutStart,"Validation H1","Holdout H2"))</f>
        <v>Train 2024</v>
      </c>
      <c r="T928" s="51" t="str">
        <f>IF(tblWorkPackages[[#This Row],[Time split]]="Train 2024","",tblWorkPackages[[#This Row],[Estimated labor hours]]+VLOOKUP(tblWorkPackages[[#This Row],[Task type]],'Forecast validation'!$A$14:$E$25,IF(tblWorkPackages[[#This Row],[Time split]]="Validation H1",4,5),FALSE()))</f>
        <v/>
      </c>
      <c r="U928" s="51" t="str">
        <f>IF(tblWorkPackages[[#This Row],[Calibrated forecast hours]]="","",ABS(tblWorkPackages[[#This Row],[Actual labor hours]]-tblWorkPackages[[#This Row],[Calibrated forecast hours]]))</f>
        <v/>
      </c>
      <c r="V928" s="51">
        <f>IF(tblWorkPackages[[#This Row],[Time split]]="Train 2024",tblWorkPackages[[#This Row],[Estimated labor hours]],tblWorkPackages[[#This Row],[Calibrated forecast hours]])</f>
        <v>19.6</v>
      </c>
      <c r="W928" s="64">
        <f>DATEVALUE(tblWorkPackages[[#This Row],[Request date]])</f>
        <v>45334.0</v>
      </c>
      <c r="X928" s="64">
        <f>DATEVALUE(tblWorkPackages[[#This Row],[Due date]])</f>
        <v>45340.0</v>
      </c>
      <c r="Y928" s="64">
        <f>DATEVALUE(tblWorkPackages[[#This Row],[Completion date]])</f>
        <v>45368.0</v>
      </c>
      <c r="Z928" s="64">
        <f>_xlfn.MINIFS(tblLaborEntries[Work date serial],tblLaborEntries[Work package ID],tblWorkPackages[[#This Row],[Work package ID]])</f>
        <v>45366.0</v>
      </c>
      <c r="AA928" s="64">
        <f>_xlfn.MAXIFS(tblLaborEntries[Work date serial],tblLaborEntries[Work package ID],tblWorkPackages[[#This Row],[Work package ID]])</f>
        <v>45366.0</v>
      </c>
      <c r="AB928" s="65">
        <f>IF(tblWorkPackages[[#This Row],[Completion date serial]]&gt;tblWorkPackages[[#This Row],[Due date serial]],1,0)</f>
        <v>1</v>
      </c>
      <c r="AC928" s="65">
        <f>MAX(0,tblWorkPackages[[#This Row],[Completion date serial]]-tblWorkPackages[[#This Row],[Due date serial]])</f>
        <v>28</v>
      </c>
      <c r="AD928" s="65">
        <f>tblWorkPackages[[#This Row],[First labor date]]-tblWorkPackages[[#This Row],[Request date serial]]</f>
        <v>32</v>
      </c>
      <c r="AE928" s="65">
        <f>tblWorkPackages[[#This Row],[Last labor date]]-tblWorkPackages[[#This Row],[First labor date]]</f>
        <v>0</v>
      </c>
      <c r="AF928" s="65">
        <f>tblWorkPackages[[#This Row],[Completion date serial]]-tblWorkPackages[[#This Row],[Last labor date]]</f>
        <v>2</v>
      </c>
      <c r="AG928" s="65">
        <f>tblWorkPackages[[#This Row],[Completion date serial]]-tblWorkPackages[[#This Row],[Request date serial]]</f>
        <v>34</v>
      </c>
      <c r="AH928" s="65">
        <f>IFERROR(INDEX(tblParts[Delay days],MATCH(tblWorkPackages[[#This Row],[Work package ID]],tblParts[Work package ID],0)),0)</f>
        <v>0</v>
      </c>
      <c r="AI928" s="51" t="str">
        <f>IFERROR(INDEX(tblDisruptions[Event type],MATCH(tblWorkPackages[[#This Row],[Work package ID]],tblDisruptions[Work package ID],0)),"None")</f>
        <v>None</v>
      </c>
      <c r="AJ928" s="51" t="str">
        <f>TEXT(tblWorkPackages[[#This Row],[Due date serial]],"yyyy-mm")</f>
        <v>2024-02</v>
      </c>
    </row>
    <row r="929" spans="1:36" ht="15" x14ac:dyDescent="0.25">
      <c r="A929" s="53" t="s">
        <v>1820</v>
      </c>
      <c r="B929" s="53" t="s">
        <v>287</v>
      </c>
      <c r="C929" s="53" t="s">
        <v>880</v>
      </c>
      <c r="D929" s="53" t="s">
        <v>676</v>
      </c>
      <c r="E929" s="53" t="s">
        <v>272</v>
      </c>
      <c r="F929" s="53" t="s">
        <v>145</v>
      </c>
      <c r="G929" s="53" t="s">
        <v>273</v>
      </c>
      <c r="H929" s="53">
        <v>4</v>
      </c>
      <c r="I929" s="53" t="s">
        <v>130</v>
      </c>
      <c r="J929" s="53">
        <v>0</v>
      </c>
      <c r="K929" s="53">
        <v>0</v>
      </c>
      <c r="L929" s="53">
        <v>24.1</v>
      </c>
      <c r="M929" s="53" t="s">
        <v>428</v>
      </c>
      <c r="N929" s="53">
        <v>20.399999999999999</v>
      </c>
      <c r="O929" s="51" t="str">
        <f>TEXT(tblWorkPackages[[#This Row],[Request date serial]]-WEEKDAY(tblWorkPackages[[#This Row],[Request date serial]],3),"yyyy-mm-dd")</f>
        <v>2024-04-08</v>
      </c>
      <c r="P929" s="51">
        <f>ABS(tblWorkPackages[[#This Row],[Actual labor hours]]-tblWorkPackages[[#This Row],[Estimated labor hours]])</f>
        <v>3.7</v>
      </c>
      <c r="Q929" s="51">
        <f>IF(tblWorkPackages[[#This Row],[Actual labor hours]]&gt;tblWorkPackages[[#This Row],[Estimated labor hours]],1,0)</f>
        <v>0</v>
      </c>
      <c r="R929" s="51">
        <f>tblWorkPackages[[#This Row],[Actual labor hours]]-tblWorkPackages[[#This Row],[Estimated labor hours]]</f>
        <v>-3.7</v>
      </c>
      <c r="S929" s="51" t="str">
        <f>IF(tblWorkPackages[[#This Row],[Request date serial]]&lt;ValidationStart,"Train 2024",IF(tblWorkPackages[[#This Row],[Request date serial]]&lt;HoldoutStart,"Validation H1","Holdout H2"))</f>
        <v>Train 2024</v>
      </c>
      <c r="T929" s="51" t="str">
        <f>IF(tblWorkPackages[[#This Row],[Time split]]="Train 2024","",tblWorkPackages[[#This Row],[Estimated labor hours]]+VLOOKUP(tblWorkPackages[[#This Row],[Task type]],'Forecast validation'!$A$14:$E$25,IF(tblWorkPackages[[#This Row],[Time split]]="Validation H1",4,5),FALSE()))</f>
        <v/>
      </c>
      <c r="U929" s="51" t="str">
        <f>IF(tblWorkPackages[[#This Row],[Calibrated forecast hours]]="","",ABS(tblWorkPackages[[#This Row],[Actual labor hours]]-tblWorkPackages[[#This Row],[Calibrated forecast hours]]))</f>
        <v/>
      </c>
      <c r="V929" s="51">
        <f>IF(tblWorkPackages[[#This Row],[Time split]]="Train 2024",tblWorkPackages[[#This Row],[Estimated labor hours]],tblWorkPackages[[#This Row],[Calibrated forecast hours]])</f>
        <v>24.1</v>
      </c>
      <c r="W929" s="64">
        <f>DATEVALUE(tblWorkPackages[[#This Row],[Request date]])</f>
        <v>45392.0</v>
      </c>
      <c r="X929" s="64">
        <f>DATEVALUE(tblWorkPackages[[#This Row],[Due date]])</f>
        <v>45405.0</v>
      </c>
      <c r="Y929" s="64">
        <f>DATEVALUE(tblWorkPackages[[#This Row],[Completion date]])</f>
        <v>45402.0</v>
      </c>
      <c r="Z929" s="64">
        <f>_xlfn.MINIFS(tblLaborEntries[Work date serial],tblLaborEntries[Work package ID],tblWorkPackages[[#This Row],[Work package ID]])</f>
        <v>45398.0</v>
      </c>
      <c r="AA929" s="64">
        <f>_xlfn.MAXIFS(tblLaborEntries[Work date serial],tblLaborEntries[Work package ID],tblWorkPackages[[#This Row],[Work package ID]])</f>
        <v>45399.0</v>
      </c>
      <c r="AB929" s="65">
        <f>IF(tblWorkPackages[[#This Row],[Completion date serial]]&gt;tblWorkPackages[[#This Row],[Due date serial]],1,0)</f>
        <v>0</v>
      </c>
      <c r="AC929" s="65">
        <f>MAX(0,tblWorkPackages[[#This Row],[Completion date serial]]-tblWorkPackages[[#This Row],[Due date serial]])</f>
        <v>0</v>
      </c>
      <c r="AD929" s="65">
        <f>tblWorkPackages[[#This Row],[First labor date]]-tblWorkPackages[[#This Row],[Request date serial]]</f>
        <v>6</v>
      </c>
      <c r="AE929" s="65">
        <f>tblWorkPackages[[#This Row],[Last labor date]]-tblWorkPackages[[#This Row],[First labor date]]</f>
        <v>1</v>
      </c>
      <c r="AF929" s="65">
        <f>tblWorkPackages[[#This Row],[Completion date serial]]-tblWorkPackages[[#This Row],[Last labor date]]</f>
        <v>3</v>
      </c>
      <c r="AG929" s="65">
        <f>tblWorkPackages[[#This Row],[Completion date serial]]-tblWorkPackages[[#This Row],[Request date serial]]</f>
        <v>10</v>
      </c>
      <c r="AH929" s="65">
        <f>IFERROR(INDEX(tblParts[Delay days],MATCH(tblWorkPackages[[#This Row],[Work package ID]],tblParts[Work package ID],0)),0)</f>
        <v>0</v>
      </c>
      <c r="AI929" s="51" t="str">
        <f>IFERROR(INDEX(tblDisruptions[Event type],MATCH(tblWorkPackages[[#This Row],[Work package ID]],tblDisruptions[Work package ID],0)),"None")</f>
        <v>None</v>
      </c>
      <c r="AJ929" s="51" t="str">
        <f>TEXT(tblWorkPackages[[#This Row],[Due date serial]],"yyyy-mm")</f>
        <v>2024-04</v>
      </c>
    </row>
    <row r="930" spans="1:36" ht="15" x14ac:dyDescent="0.25">
      <c r="A930" s="53" t="s">
        <v>1821</v>
      </c>
      <c r="B930" s="53" t="s">
        <v>287</v>
      </c>
      <c r="C930" s="53" t="s">
        <v>291</v>
      </c>
      <c r="D930" s="53" t="s">
        <v>353</v>
      </c>
      <c r="E930" s="53" t="s">
        <v>200</v>
      </c>
      <c r="F930" s="53" t="s">
        <v>128</v>
      </c>
      <c r="G930" s="53" t="s">
        <v>129</v>
      </c>
      <c r="H930" s="53">
        <v>4</v>
      </c>
      <c r="I930" s="53" t="s">
        <v>176</v>
      </c>
      <c r="J930" s="53">
        <v>1</v>
      </c>
      <c r="K930" s="53">
        <v>0</v>
      </c>
      <c r="L930" s="53">
        <v>6.1</v>
      </c>
      <c r="M930" s="53" t="s">
        <v>188</v>
      </c>
      <c r="N930" s="53">
        <v>7.3</v>
      </c>
      <c r="O930" s="51" t="str">
        <f>TEXT(tblWorkPackages[[#This Row],[Request date serial]]-WEEKDAY(tblWorkPackages[[#This Row],[Request date serial]],3),"yyyy-mm-dd")</f>
        <v>2025-02-17</v>
      </c>
      <c r="P930" s="51">
        <f>ABS(tblWorkPackages[[#This Row],[Actual labor hours]]-tblWorkPackages[[#This Row],[Estimated labor hours]])</f>
        <v>1.2</v>
      </c>
      <c r="Q930" s="51">
        <f>IF(tblWorkPackages[[#This Row],[Actual labor hours]]&gt;tblWorkPackages[[#This Row],[Estimated labor hours]],1,0)</f>
        <v>1</v>
      </c>
      <c r="R930" s="51">
        <f>tblWorkPackages[[#This Row],[Actual labor hours]]-tblWorkPackages[[#This Row],[Estimated labor hours]]</f>
        <v>1.2</v>
      </c>
      <c r="S930" s="51" t="str">
        <f>IF(tblWorkPackages[[#This Row],[Request date serial]]&lt;ValidationStart,"Train 2024",IF(tblWorkPackages[[#This Row],[Request date serial]]&lt;HoldoutStart,"Validation H1","Holdout H2"))</f>
        <v>Validation H1</v>
      </c>
      <c r="T930" s="51">
        <f>IF(tblWorkPackages[[#This Row],[Time split]]="Train 2024","",tblWorkPackages[[#This Row],[Estimated labor hours]]+VLOOKUP(tblWorkPackages[[#This Row],[Task type]],'Forecast validation'!$A$14:$E$25,IF(tblWorkPackages[[#This Row],[Time split]]="Validation H1",4,5),FALSE()))</f>
        <v>6.43069306930693</v>
      </c>
      <c r="U930" s="51">
        <f>IF(tblWorkPackages[[#This Row],[Calibrated forecast hours]]="","",ABS(tblWorkPackages[[#This Row],[Actual labor hours]]-tblWorkPackages[[#This Row],[Calibrated forecast hours]]))</f>
        <v>0.869306930693069</v>
      </c>
      <c r="V930" s="51">
        <f>IF(tblWorkPackages[[#This Row],[Time split]]="Train 2024",tblWorkPackages[[#This Row],[Estimated labor hours]],tblWorkPackages[[#This Row],[Calibrated forecast hours]])</f>
        <v>6.43069306930693</v>
      </c>
      <c r="W930" s="64">
        <f>DATEVALUE(tblWorkPackages[[#This Row],[Request date]])</f>
        <v>45709.0</v>
      </c>
      <c r="X930" s="64">
        <f>DATEVALUE(tblWorkPackages[[#This Row],[Due date]])</f>
        <v>45715.0</v>
      </c>
      <c r="Y930" s="64">
        <f>DATEVALUE(tblWorkPackages[[#This Row],[Completion date]])</f>
        <v>45711.0</v>
      </c>
      <c r="Z930" s="64">
        <f>_xlfn.MINIFS(tblLaborEntries[Work date serial],tblLaborEntries[Work package ID],tblWorkPackages[[#This Row],[Work package ID]])</f>
        <v>45711.0</v>
      </c>
      <c r="AA930" s="64">
        <f>_xlfn.MAXIFS(tblLaborEntries[Work date serial],tblLaborEntries[Work package ID],tblWorkPackages[[#This Row],[Work package ID]])</f>
        <v>45711.0</v>
      </c>
      <c r="AB930" s="65">
        <f>IF(tblWorkPackages[[#This Row],[Completion date serial]]&gt;tblWorkPackages[[#This Row],[Due date serial]],1,0)</f>
        <v>0</v>
      </c>
      <c r="AC930" s="65">
        <f>MAX(0,tblWorkPackages[[#This Row],[Completion date serial]]-tblWorkPackages[[#This Row],[Due date serial]])</f>
        <v>0</v>
      </c>
      <c r="AD930" s="65">
        <f>tblWorkPackages[[#This Row],[First labor date]]-tblWorkPackages[[#This Row],[Request date serial]]</f>
        <v>2</v>
      </c>
      <c r="AE930" s="65">
        <f>tblWorkPackages[[#This Row],[Last labor date]]-tblWorkPackages[[#This Row],[First labor date]]</f>
        <v>0</v>
      </c>
      <c r="AF930" s="65">
        <f>tblWorkPackages[[#This Row],[Completion date serial]]-tblWorkPackages[[#This Row],[Last labor date]]</f>
        <v>0</v>
      </c>
      <c r="AG930" s="65">
        <f>tblWorkPackages[[#This Row],[Completion date serial]]-tblWorkPackages[[#This Row],[Request date serial]]</f>
        <v>2</v>
      </c>
      <c r="AH930" s="65">
        <f>IFERROR(INDEX(tblParts[Delay days],MATCH(tblWorkPackages[[#This Row],[Work package ID]],tblParts[Work package ID],0)),0)</f>
        <v>0</v>
      </c>
      <c r="AI930" s="51" t="str">
        <f>IFERROR(INDEX(tblDisruptions[Event type],MATCH(tblWorkPackages[[#This Row],[Work package ID]],tblDisruptions[Work package ID],0)),"None")</f>
        <v>None</v>
      </c>
      <c r="AJ930" s="51" t="str">
        <f>TEXT(tblWorkPackages[[#This Row],[Due date serial]],"yyyy-mm")</f>
        <v>2025-02</v>
      </c>
    </row>
    <row r="931" spans="1:36" ht="15" x14ac:dyDescent="0.25">
      <c r="A931" s="53" t="s">
        <v>1822</v>
      </c>
      <c r="B931" s="53" t="s">
        <v>287</v>
      </c>
      <c r="C931" s="53" t="s">
        <v>283</v>
      </c>
      <c r="D931" s="53" t="s">
        <v>521</v>
      </c>
      <c r="E931" s="53" t="s">
        <v>209</v>
      </c>
      <c r="F931" s="53" t="s">
        <v>145</v>
      </c>
      <c r="G931" s="53" t="s">
        <v>210</v>
      </c>
      <c r="H931" s="53">
        <v>2</v>
      </c>
      <c r="I931" s="53" t="s">
        <v>176</v>
      </c>
      <c r="J931" s="53">
        <v>0</v>
      </c>
      <c r="K931" s="53">
        <v>1</v>
      </c>
      <c r="L931" s="53">
        <v>20.100000000000001</v>
      </c>
      <c r="M931" s="53" t="s">
        <v>528</v>
      </c>
      <c r="N931" s="53">
        <v>16.899999999999999</v>
      </c>
      <c r="O931" s="51" t="str">
        <f>TEXT(tblWorkPackages[[#This Row],[Request date serial]]-WEEKDAY(tblWorkPackages[[#This Row],[Request date serial]],3),"yyyy-mm-dd")</f>
        <v>2025-08-25</v>
      </c>
      <c r="P931" s="51">
        <f>ABS(tblWorkPackages[[#This Row],[Actual labor hours]]-tblWorkPackages[[#This Row],[Estimated labor hours]])</f>
        <v>3.2</v>
      </c>
      <c r="Q931" s="51">
        <f>IF(tblWorkPackages[[#This Row],[Actual labor hours]]&gt;tblWorkPackages[[#This Row],[Estimated labor hours]],1,0)</f>
        <v>0</v>
      </c>
      <c r="R931" s="51">
        <f>tblWorkPackages[[#This Row],[Actual labor hours]]-tblWorkPackages[[#This Row],[Estimated labor hours]]</f>
        <v>-3.2</v>
      </c>
      <c r="S931" s="51" t="str">
        <f>IF(tblWorkPackages[[#This Row],[Request date serial]]&lt;ValidationStart,"Train 2024",IF(tblWorkPackages[[#This Row],[Request date serial]]&lt;HoldoutStart,"Validation H1","Holdout H2"))</f>
        <v>Holdout H2</v>
      </c>
      <c r="T931" s="51">
        <f>IF(tblWorkPackages[[#This Row],[Time split]]="Train 2024","",tblWorkPackages[[#This Row],[Estimated labor hours]]+VLOOKUP(tblWorkPackages[[#This Row],[Task type]],'Forecast validation'!$A$14:$E$25,IF(tblWorkPackages[[#This Row],[Time split]]="Validation H1",4,5),FALSE()))</f>
        <v>21.895652173913</v>
      </c>
      <c r="U931" s="51">
        <f>IF(tblWorkPackages[[#This Row],[Calibrated forecast hours]]="","",ABS(tblWorkPackages[[#This Row],[Actual labor hours]]-tblWorkPackages[[#This Row],[Calibrated forecast hours]]))</f>
        <v>4.99565217391305</v>
      </c>
      <c r="V931" s="51">
        <f>IF(tblWorkPackages[[#This Row],[Time split]]="Train 2024",tblWorkPackages[[#This Row],[Estimated labor hours]],tblWorkPackages[[#This Row],[Calibrated forecast hours]])</f>
        <v>21.895652173913</v>
      </c>
      <c r="W931" s="64">
        <f>DATEVALUE(tblWorkPackages[[#This Row],[Request date]])</f>
        <v>45897.0</v>
      </c>
      <c r="X931" s="64">
        <f>DATEVALUE(tblWorkPackages[[#This Row],[Due date]])</f>
        <v>45903.0</v>
      </c>
      <c r="Y931" s="64">
        <f>DATEVALUE(tblWorkPackages[[#This Row],[Completion date]])</f>
        <v>45912.0</v>
      </c>
      <c r="Z931" s="64">
        <f>_xlfn.MINIFS(tblLaborEntries[Work date serial],tblLaborEntries[Work package ID],tblWorkPackages[[#This Row],[Work package ID]])</f>
        <v>45911.0</v>
      </c>
      <c r="AA931" s="64">
        <f>_xlfn.MAXIFS(tblLaborEntries[Work date serial],tblLaborEntries[Work package ID],tblWorkPackages[[#This Row],[Work package ID]])</f>
        <v>45911.0</v>
      </c>
      <c r="AB931" s="65">
        <f>IF(tblWorkPackages[[#This Row],[Completion date serial]]&gt;tblWorkPackages[[#This Row],[Due date serial]],1,0)</f>
        <v>1</v>
      </c>
      <c r="AC931" s="65">
        <f>MAX(0,tblWorkPackages[[#This Row],[Completion date serial]]-tblWorkPackages[[#This Row],[Due date serial]])</f>
        <v>9</v>
      </c>
      <c r="AD931" s="65">
        <f>tblWorkPackages[[#This Row],[First labor date]]-tblWorkPackages[[#This Row],[Request date serial]]</f>
        <v>14</v>
      </c>
      <c r="AE931" s="65">
        <f>tblWorkPackages[[#This Row],[Last labor date]]-tblWorkPackages[[#This Row],[First labor date]]</f>
        <v>0</v>
      </c>
      <c r="AF931" s="65">
        <f>tblWorkPackages[[#This Row],[Completion date serial]]-tblWorkPackages[[#This Row],[Last labor date]]</f>
        <v>1</v>
      </c>
      <c r="AG931" s="65">
        <f>tblWorkPackages[[#This Row],[Completion date serial]]-tblWorkPackages[[#This Row],[Request date serial]]</f>
        <v>15</v>
      </c>
      <c r="AH931" s="65">
        <f>IFERROR(INDEX(tblParts[Delay days],MATCH(tblWorkPackages[[#This Row],[Work package ID]],tblParts[Work package ID],0)),0)</f>
        <v>0</v>
      </c>
      <c r="AI931" s="51" t="str">
        <f>IFERROR(INDEX(tblDisruptions[Event type],MATCH(tblWorkPackages[[#This Row],[Work package ID]],tblDisruptions[Work package ID],0)),"None")</f>
        <v>None</v>
      </c>
      <c r="AJ931" s="51" t="str">
        <f>TEXT(tblWorkPackages[[#This Row],[Due date serial]],"yyyy-mm")</f>
        <v>2025-09</v>
      </c>
    </row>
    <row r="932" spans="1:36" ht="15" x14ac:dyDescent="0.25">
      <c r="A932" s="53" t="s">
        <v>1823</v>
      </c>
      <c r="B932" s="53" t="s">
        <v>150</v>
      </c>
      <c r="C932" s="53" t="s">
        <v>631</v>
      </c>
      <c r="D932" s="53" t="s">
        <v>299</v>
      </c>
      <c r="E932" s="53" t="s">
        <v>181</v>
      </c>
      <c r="F932" s="53" t="s">
        <v>182</v>
      </c>
      <c r="G932" s="53" t="s">
        <v>138</v>
      </c>
      <c r="H932" s="53">
        <v>2</v>
      </c>
      <c r="I932" s="53" t="s">
        <v>130</v>
      </c>
      <c r="J932" s="53">
        <v>0</v>
      </c>
      <c r="K932" s="53">
        <v>0</v>
      </c>
      <c r="L932" s="53">
        <v>8.9</v>
      </c>
      <c r="M932" s="53" t="s">
        <v>691</v>
      </c>
      <c r="N932" s="53">
        <v>8.5</v>
      </c>
      <c r="O932" s="51" t="str">
        <f>TEXT(tblWorkPackages[[#This Row],[Request date serial]]-WEEKDAY(tblWorkPackages[[#This Row],[Request date serial]],3),"yyyy-mm-dd")</f>
        <v>2024-03-25</v>
      </c>
      <c r="P932" s="51">
        <f>ABS(tblWorkPackages[[#This Row],[Actual labor hours]]-tblWorkPackages[[#This Row],[Estimated labor hours]])</f>
        <v>0.4</v>
      </c>
      <c r="Q932" s="51">
        <f>IF(tblWorkPackages[[#This Row],[Actual labor hours]]&gt;tblWorkPackages[[#This Row],[Estimated labor hours]],1,0)</f>
        <v>0</v>
      </c>
      <c r="R932" s="51">
        <f>tblWorkPackages[[#This Row],[Actual labor hours]]-tblWorkPackages[[#This Row],[Estimated labor hours]]</f>
        <v>-0.4</v>
      </c>
      <c r="S932" s="51" t="str">
        <f>IF(tblWorkPackages[[#This Row],[Request date serial]]&lt;ValidationStart,"Train 2024",IF(tblWorkPackages[[#This Row],[Request date serial]]&lt;HoldoutStart,"Validation H1","Holdout H2"))</f>
        <v>Train 2024</v>
      </c>
      <c r="T932" s="51" t="str">
        <f>IF(tblWorkPackages[[#This Row],[Time split]]="Train 2024","",tblWorkPackages[[#This Row],[Estimated labor hours]]+VLOOKUP(tblWorkPackages[[#This Row],[Task type]],'Forecast validation'!$A$14:$E$25,IF(tblWorkPackages[[#This Row],[Time split]]="Validation H1",4,5),FALSE()))</f>
        <v/>
      </c>
      <c r="U932" s="51" t="str">
        <f>IF(tblWorkPackages[[#This Row],[Calibrated forecast hours]]="","",ABS(tblWorkPackages[[#This Row],[Actual labor hours]]-tblWorkPackages[[#This Row],[Calibrated forecast hours]]))</f>
        <v/>
      </c>
      <c r="V932" s="51">
        <f>IF(tblWorkPackages[[#This Row],[Time split]]="Train 2024",tblWorkPackages[[#This Row],[Estimated labor hours]],tblWorkPackages[[#This Row],[Calibrated forecast hours]])</f>
        <v>8.9</v>
      </c>
      <c r="W932" s="64">
        <f>DATEVALUE(tblWorkPackages[[#This Row],[Request date]])</f>
        <v>45382.0</v>
      </c>
      <c r="X932" s="64">
        <f>DATEVALUE(tblWorkPackages[[#This Row],[Due date]])</f>
        <v>45395.0</v>
      </c>
      <c r="Y932" s="64">
        <f>DATEVALUE(tblWorkPackages[[#This Row],[Completion date]])</f>
        <v>45389.0</v>
      </c>
      <c r="Z932" s="64">
        <f>_xlfn.MINIFS(tblLaborEntries[Work date serial],tblLaborEntries[Work package ID],tblWorkPackages[[#This Row],[Work package ID]])</f>
        <v>45386.0</v>
      </c>
      <c r="AA932" s="64">
        <f>_xlfn.MAXIFS(tblLaborEntries[Work date serial],tblLaborEntries[Work package ID],tblWorkPackages[[#This Row],[Work package ID]])</f>
        <v>45387.0</v>
      </c>
      <c r="AB932" s="65">
        <f>IF(tblWorkPackages[[#This Row],[Completion date serial]]&gt;tblWorkPackages[[#This Row],[Due date serial]],1,0)</f>
        <v>0</v>
      </c>
      <c r="AC932" s="65">
        <f>MAX(0,tblWorkPackages[[#This Row],[Completion date serial]]-tblWorkPackages[[#This Row],[Due date serial]])</f>
        <v>0</v>
      </c>
      <c r="AD932" s="65">
        <f>tblWorkPackages[[#This Row],[First labor date]]-tblWorkPackages[[#This Row],[Request date serial]]</f>
        <v>4</v>
      </c>
      <c r="AE932" s="65">
        <f>tblWorkPackages[[#This Row],[Last labor date]]-tblWorkPackages[[#This Row],[First labor date]]</f>
        <v>1</v>
      </c>
      <c r="AF932" s="65">
        <f>tblWorkPackages[[#This Row],[Completion date serial]]-tblWorkPackages[[#This Row],[Last labor date]]</f>
        <v>2</v>
      </c>
      <c r="AG932" s="65">
        <f>tblWorkPackages[[#This Row],[Completion date serial]]-tblWorkPackages[[#This Row],[Request date serial]]</f>
        <v>7</v>
      </c>
      <c r="AH932" s="65">
        <f>IFERROR(INDEX(tblParts[Delay days],MATCH(tblWorkPackages[[#This Row],[Work package ID]],tblParts[Work package ID],0)),0)</f>
        <v>0</v>
      </c>
      <c r="AI932" s="51" t="str">
        <f>IFERROR(INDEX(tblDisruptions[Event type],MATCH(tblWorkPackages[[#This Row],[Work package ID]],tblDisruptions[Work package ID],0)),"None")</f>
        <v>None</v>
      </c>
      <c r="AJ932" s="51" t="str">
        <f>TEXT(tblWorkPackages[[#This Row],[Due date serial]],"yyyy-mm")</f>
        <v>2024-04</v>
      </c>
    </row>
    <row r="933" spans="1:36" ht="15" x14ac:dyDescent="0.25">
      <c r="A933" s="53" t="s">
        <v>1824</v>
      </c>
      <c r="B933" s="53" t="s">
        <v>163</v>
      </c>
      <c r="C933" s="53" t="s">
        <v>689</v>
      </c>
      <c r="D933" s="53" t="s">
        <v>1007</v>
      </c>
      <c r="E933" s="53" t="s">
        <v>209</v>
      </c>
      <c r="F933" s="53" t="s">
        <v>145</v>
      </c>
      <c r="G933" s="53" t="s">
        <v>210</v>
      </c>
      <c r="H933" s="53">
        <v>2</v>
      </c>
      <c r="I933" s="53" t="s">
        <v>176</v>
      </c>
      <c r="J933" s="53">
        <v>0</v>
      </c>
      <c r="K933" s="53">
        <v>0</v>
      </c>
      <c r="L933" s="53">
        <v>22.4</v>
      </c>
      <c r="M933" s="53" t="s">
        <v>315</v>
      </c>
      <c r="N933" s="53">
        <v>23.6</v>
      </c>
      <c r="O933" s="51" t="str">
        <f>TEXT(tblWorkPackages[[#This Row],[Request date serial]]-WEEKDAY(tblWorkPackages[[#This Row],[Request date serial]],3),"yyyy-mm-dd")</f>
        <v>2024-04-01</v>
      </c>
      <c r="P933" s="51">
        <f>ABS(tblWorkPackages[[#This Row],[Actual labor hours]]-tblWorkPackages[[#This Row],[Estimated labor hours]])</f>
        <v>1.2</v>
      </c>
      <c r="Q933" s="51">
        <f>IF(tblWorkPackages[[#This Row],[Actual labor hours]]&gt;tblWorkPackages[[#This Row],[Estimated labor hours]],1,0)</f>
        <v>1</v>
      </c>
      <c r="R933" s="51">
        <f>tblWorkPackages[[#This Row],[Actual labor hours]]-tblWorkPackages[[#This Row],[Estimated labor hours]]</f>
        <v>1.2</v>
      </c>
      <c r="S933" s="51" t="str">
        <f>IF(tblWorkPackages[[#This Row],[Request date serial]]&lt;ValidationStart,"Train 2024",IF(tblWorkPackages[[#This Row],[Request date serial]]&lt;HoldoutStart,"Validation H1","Holdout H2"))</f>
        <v>Train 2024</v>
      </c>
      <c r="T933" s="51" t="str">
        <f>IF(tblWorkPackages[[#This Row],[Time split]]="Train 2024","",tblWorkPackages[[#This Row],[Estimated labor hours]]+VLOOKUP(tblWorkPackages[[#This Row],[Task type]],'Forecast validation'!$A$14:$E$25,IF(tblWorkPackages[[#This Row],[Time split]]="Validation H1",4,5),FALSE()))</f>
        <v/>
      </c>
      <c r="U933" s="51" t="str">
        <f>IF(tblWorkPackages[[#This Row],[Calibrated forecast hours]]="","",ABS(tblWorkPackages[[#This Row],[Actual labor hours]]-tblWorkPackages[[#This Row],[Calibrated forecast hours]]))</f>
        <v/>
      </c>
      <c r="V933" s="51">
        <f>IF(tblWorkPackages[[#This Row],[Time split]]="Train 2024",tblWorkPackages[[#This Row],[Estimated labor hours]],tblWorkPackages[[#This Row],[Calibrated forecast hours]])</f>
        <v>22.4</v>
      </c>
      <c r="W933" s="64">
        <f>DATEVALUE(tblWorkPackages[[#This Row],[Request date]])</f>
        <v>45385.0</v>
      </c>
      <c r="X933" s="64">
        <f>DATEVALUE(tblWorkPackages[[#This Row],[Due date]])</f>
        <v>45391.0</v>
      </c>
      <c r="Y933" s="64">
        <f>DATEVALUE(tblWorkPackages[[#This Row],[Completion date]])</f>
        <v>45390.0</v>
      </c>
      <c r="Z933" s="64">
        <f>_xlfn.MINIFS(tblLaborEntries[Work date serial],tblLaborEntries[Work package ID],tblWorkPackages[[#This Row],[Work package ID]])</f>
        <v>45386.0</v>
      </c>
      <c r="AA933" s="64">
        <f>_xlfn.MAXIFS(tblLaborEntries[Work date serial],tblLaborEntries[Work package ID],tblWorkPackages[[#This Row],[Work package ID]])</f>
        <v>45387.0</v>
      </c>
      <c r="AB933" s="65">
        <f>IF(tblWorkPackages[[#This Row],[Completion date serial]]&gt;tblWorkPackages[[#This Row],[Due date serial]],1,0)</f>
        <v>0</v>
      </c>
      <c r="AC933" s="65">
        <f>MAX(0,tblWorkPackages[[#This Row],[Completion date serial]]-tblWorkPackages[[#This Row],[Due date serial]])</f>
        <v>0</v>
      </c>
      <c r="AD933" s="65">
        <f>tblWorkPackages[[#This Row],[First labor date]]-tblWorkPackages[[#This Row],[Request date serial]]</f>
        <v>1</v>
      </c>
      <c r="AE933" s="65">
        <f>tblWorkPackages[[#This Row],[Last labor date]]-tblWorkPackages[[#This Row],[First labor date]]</f>
        <v>1</v>
      </c>
      <c r="AF933" s="65">
        <f>tblWorkPackages[[#This Row],[Completion date serial]]-tblWorkPackages[[#This Row],[Last labor date]]</f>
        <v>3</v>
      </c>
      <c r="AG933" s="65">
        <f>tblWorkPackages[[#This Row],[Completion date serial]]-tblWorkPackages[[#This Row],[Request date serial]]</f>
        <v>5</v>
      </c>
      <c r="AH933" s="65">
        <f>IFERROR(INDEX(tblParts[Delay days],MATCH(tblWorkPackages[[#This Row],[Work package ID]],tblParts[Work package ID],0)),0)</f>
        <v>0</v>
      </c>
      <c r="AI933" s="51" t="str">
        <f>IFERROR(INDEX(tblDisruptions[Event type],MATCH(tblWorkPackages[[#This Row],[Work package ID]],tblDisruptions[Work package ID],0)),"None")</f>
        <v>None</v>
      </c>
      <c r="AJ933" s="51" t="str">
        <f>TEXT(tblWorkPackages[[#This Row],[Due date serial]],"yyyy-mm")</f>
        <v>2024-04</v>
      </c>
    </row>
    <row r="934" spans="1:36" ht="15" x14ac:dyDescent="0.25">
      <c r="A934" s="53" t="s">
        <v>1825</v>
      </c>
      <c r="B934" s="53" t="s">
        <v>124</v>
      </c>
      <c r="C934" s="53" t="s">
        <v>780</v>
      </c>
      <c r="D934" s="53" t="s">
        <v>646</v>
      </c>
      <c r="E934" s="53" t="s">
        <v>160</v>
      </c>
      <c r="F934" s="53" t="s">
        <v>128</v>
      </c>
      <c r="G934" s="53" t="s">
        <v>138</v>
      </c>
      <c r="H934" s="53">
        <v>3</v>
      </c>
      <c r="I934" s="53" t="s">
        <v>176</v>
      </c>
      <c r="J934" s="53">
        <v>0</v>
      </c>
      <c r="K934" s="53">
        <v>0</v>
      </c>
      <c r="L934" s="53">
        <v>6</v>
      </c>
      <c r="M934" s="53" t="s">
        <v>779</v>
      </c>
      <c r="N934" s="53">
        <v>6.7</v>
      </c>
      <c r="O934" s="51" t="str">
        <f>TEXT(tblWorkPackages[[#This Row],[Request date serial]]-WEEKDAY(tblWorkPackages[[#This Row],[Request date serial]],3),"yyyy-mm-dd")</f>
        <v>2025-12-15</v>
      </c>
      <c r="P934" s="51">
        <f>ABS(tblWorkPackages[[#This Row],[Actual labor hours]]-tblWorkPackages[[#This Row],[Estimated labor hours]])</f>
        <v>0.7</v>
      </c>
      <c r="Q934" s="51">
        <f>IF(tblWorkPackages[[#This Row],[Actual labor hours]]&gt;tblWorkPackages[[#This Row],[Estimated labor hours]],1,0)</f>
        <v>1</v>
      </c>
      <c r="R934" s="51">
        <f>tblWorkPackages[[#This Row],[Actual labor hours]]-tblWorkPackages[[#This Row],[Estimated labor hours]]</f>
        <v>0.7</v>
      </c>
      <c r="S934" s="51" t="str">
        <f>IF(tblWorkPackages[[#This Row],[Request date serial]]&lt;ValidationStart,"Train 2024",IF(tblWorkPackages[[#This Row],[Request date serial]]&lt;HoldoutStart,"Validation H1","Holdout H2"))</f>
        <v>Holdout H2</v>
      </c>
      <c r="T934" s="51">
        <f>IF(tblWorkPackages[[#This Row],[Time split]]="Train 2024","",tblWorkPackages[[#This Row],[Estimated labor hours]]+VLOOKUP(tblWorkPackages[[#This Row],[Task type]],'Forecast validation'!$A$14:$E$25,IF(tblWorkPackages[[#This Row],[Time split]]="Validation H1",4,5),FALSE()))</f>
        <v>6.43739837398374</v>
      </c>
      <c r="U934" s="51">
        <f>IF(tblWorkPackages[[#This Row],[Calibrated forecast hours]]="","",ABS(tblWorkPackages[[#This Row],[Actual labor hours]]-tblWorkPackages[[#This Row],[Calibrated forecast hours]]))</f>
        <v>0.26260162601626</v>
      </c>
      <c r="V934" s="51">
        <f>IF(tblWorkPackages[[#This Row],[Time split]]="Train 2024",tblWorkPackages[[#This Row],[Estimated labor hours]],tblWorkPackages[[#This Row],[Calibrated forecast hours]])</f>
        <v>6.43739837398374</v>
      </c>
      <c r="W934" s="64">
        <f>DATEVALUE(tblWorkPackages[[#This Row],[Request date]])</f>
        <v>46009.0</v>
      </c>
      <c r="X934" s="64">
        <f>DATEVALUE(tblWorkPackages[[#This Row],[Due date]])</f>
        <v>46015.0</v>
      </c>
      <c r="Y934" s="64">
        <f>DATEVALUE(tblWorkPackages[[#This Row],[Completion date]])</f>
        <v>46018.0</v>
      </c>
      <c r="Z934" s="64">
        <f>_xlfn.MINIFS(tblLaborEntries[Work date serial],tblLaborEntries[Work package ID],tblWorkPackages[[#This Row],[Work package ID]])</f>
        <v>46018.0</v>
      </c>
      <c r="AA934" s="64">
        <f>_xlfn.MAXIFS(tblLaborEntries[Work date serial],tblLaborEntries[Work package ID],tblWorkPackages[[#This Row],[Work package ID]])</f>
        <v>46018.0</v>
      </c>
      <c r="AB934" s="65">
        <f>IF(tblWorkPackages[[#This Row],[Completion date serial]]&gt;tblWorkPackages[[#This Row],[Due date serial]],1,0)</f>
        <v>1</v>
      </c>
      <c r="AC934" s="65">
        <f>MAX(0,tblWorkPackages[[#This Row],[Completion date serial]]-tblWorkPackages[[#This Row],[Due date serial]])</f>
        <v>3</v>
      </c>
      <c r="AD934" s="65">
        <f>tblWorkPackages[[#This Row],[First labor date]]-tblWorkPackages[[#This Row],[Request date serial]]</f>
        <v>9</v>
      </c>
      <c r="AE934" s="65">
        <f>tblWorkPackages[[#This Row],[Last labor date]]-tblWorkPackages[[#This Row],[First labor date]]</f>
        <v>0</v>
      </c>
      <c r="AF934" s="65">
        <f>tblWorkPackages[[#This Row],[Completion date serial]]-tblWorkPackages[[#This Row],[Last labor date]]</f>
        <v>0</v>
      </c>
      <c r="AG934" s="65">
        <f>tblWorkPackages[[#This Row],[Completion date serial]]-tblWorkPackages[[#This Row],[Request date serial]]</f>
        <v>9</v>
      </c>
      <c r="AH934" s="65">
        <f>IFERROR(INDEX(tblParts[Delay days],MATCH(tblWorkPackages[[#This Row],[Work package ID]],tblParts[Work package ID],0)),0)</f>
        <v>0</v>
      </c>
      <c r="AI934" s="51" t="str">
        <f>IFERROR(INDEX(tblDisruptions[Event type],MATCH(tblWorkPackages[[#This Row],[Work package ID]],tblDisruptions[Work package ID],0)),"None")</f>
        <v>None</v>
      </c>
      <c r="AJ934" s="51" t="str">
        <f>TEXT(tblWorkPackages[[#This Row],[Due date serial]],"yyyy-mm")</f>
        <v>2025-12</v>
      </c>
    </row>
    <row r="935" spans="1:36" ht="15" x14ac:dyDescent="0.25">
      <c r="A935" s="53" t="s">
        <v>1826</v>
      </c>
      <c r="B935" s="53" t="s">
        <v>230</v>
      </c>
      <c r="C935" s="53" t="s">
        <v>843</v>
      </c>
      <c r="D935" s="53" t="s">
        <v>1019</v>
      </c>
      <c r="E935" s="53" t="s">
        <v>136</v>
      </c>
      <c r="F935" s="53" t="s">
        <v>137</v>
      </c>
      <c r="G935" s="53" t="s">
        <v>138</v>
      </c>
      <c r="H935" s="53">
        <v>4</v>
      </c>
      <c r="I935" s="53" t="s">
        <v>176</v>
      </c>
      <c r="J935" s="53">
        <v>0</v>
      </c>
      <c r="K935" s="53">
        <v>0</v>
      </c>
      <c r="L935" s="53">
        <v>26</v>
      </c>
      <c r="M935" s="53" t="s">
        <v>311</v>
      </c>
      <c r="N935" s="53">
        <v>26.2</v>
      </c>
      <c r="O935" s="51" t="str">
        <f>TEXT(tblWorkPackages[[#This Row],[Request date serial]]-WEEKDAY(tblWorkPackages[[#This Row],[Request date serial]],3),"yyyy-mm-dd")</f>
        <v>2025-08-04</v>
      </c>
      <c r="P935" s="51">
        <f>ABS(tblWorkPackages[[#This Row],[Actual labor hours]]-tblWorkPackages[[#This Row],[Estimated labor hours]])</f>
        <v>0.199999999999999</v>
      </c>
      <c r="Q935" s="51">
        <f>IF(tblWorkPackages[[#This Row],[Actual labor hours]]&gt;tblWorkPackages[[#This Row],[Estimated labor hours]],1,0)</f>
        <v>1</v>
      </c>
      <c r="R935" s="51">
        <f>tblWorkPackages[[#This Row],[Actual labor hours]]-tblWorkPackages[[#This Row],[Estimated labor hours]]</f>
        <v>0.199999999999999</v>
      </c>
      <c r="S935" s="51" t="str">
        <f>IF(tblWorkPackages[[#This Row],[Request date serial]]&lt;ValidationStart,"Train 2024",IF(tblWorkPackages[[#This Row],[Request date serial]]&lt;HoldoutStart,"Validation H1","Holdout H2"))</f>
        <v>Holdout H2</v>
      </c>
      <c r="T935" s="51">
        <f>IF(tblWorkPackages[[#This Row],[Time split]]="Train 2024","",tblWorkPackages[[#This Row],[Estimated labor hours]]+VLOOKUP(tblWorkPackages[[#This Row],[Task type]],'Forecast validation'!$A$14:$E$25,IF(tblWorkPackages[[#This Row],[Time split]]="Validation H1",4,5),FALSE()))</f>
        <v>26.9207547169811</v>
      </c>
      <c r="U935" s="51">
        <f>IF(tblWorkPackages[[#This Row],[Calibrated forecast hours]]="","",ABS(tblWorkPackages[[#This Row],[Actual labor hours]]-tblWorkPackages[[#This Row],[Calibrated forecast hours]]))</f>
        <v>0.720754716981134</v>
      </c>
      <c r="V935" s="51">
        <f>IF(tblWorkPackages[[#This Row],[Time split]]="Train 2024",tblWorkPackages[[#This Row],[Estimated labor hours]],tblWorkPackages[[#This Row],[Calibrated forecast hours]])</f>
        <v>26.9207547169811</v>
      </c>
      <c r="W935" s="64">
        <f>DATEVALUE(tblWorkPackages[[#This Row],[Request date]])</f>
        <v>45878.0</v>
      </c>
      <c r="X935" s="64">
        <f>DATEVALUE(tblWorkPackages[[#This Row],[Due date]])</f>
        <v>45884.0</v>
      </c>
      <c r="Y935" s="64">
        <f>DATEVALUE(tblWorkPackages[[#This Row],[Completion date]])</f>
        <v>45881.0</v>
      </c>
      <c r="Z935" s="64">
        <f>_xlfn.MINIFS(tblLaborEntries[Work date serial],tblLaborEntries[Work package ID],tblWorkPackages[[#This Row],[Work package ID]])</f>
        <v>45880.0</v>
      </c>
      <c r="AA935" s="64">
        <f>_xlfn.MAXIFS(tblLaborEntries[Work date serial],tblLaborEntries[Work package ID],tblWorkPackages[[#This Row],[Work package ID]])</f>
        <v>45880.0</v>
      </c>
      <c r="AB935" s="65">
        <f>IF(tblWorkPackages[[#This Row],[Completion date serial]]&gt;tblWorkPackages[[#This Row],[Due date serial]],1,0)</f>
        <v>0</v>
      </c>
      <c r="AC935" s="65">
        <f>MAX(0,tblWorkPackages[[#This Row],[Completion date serial]]-tblWorkPackages[[#This Row],[Due date serial]])</f>
        <v>0</v>
      </c>
      <c r="AD935" s="65">
        <f>tblWorkPackages[[#This Row],[First labor date]]-tblWorkPackages[[#This Row],[Request date serial]]</f>
        <v>2</v>
      </c>
      <c r="AE935" s="65">
        <f>tblWorkPackages[[#This Row],[Last labor date]]-tblWorkPackages[[#This Row],[First labor date]]</f>
        <v>0</v>
      </c>
      <c r="AF935" s="65">
        <f>tblWorkPackages[[#This Row],[Completion date serial]]-tblWorkPackages[[#This Row],[Last labor date]]</f>
        <v>1</v>
      </c>
      <c r="AG935" s="65">
        <f>tblWorkPackages[[#This Row],[Completion date serial]]-tblWorkPackages[[#This Row],[Request date serial]]</f>
        <v>3</v>
      </c>
      <c r="AH935" s="65">
        <f>IFERROR(INDEX(tblParts[Delay days],MATCH(tblWorkPackages[[#This Row],[Work package ID]],tblParts[Work package ID],0)),0)</f>
        <v>0</v>
      </c>
      <c r="AI935" s="51" t="str">
        <f>IFERROR(INDEX(tblDisruptions[Event type],MATCH(tblWorkPackages[[#This Row],[Work package ID]],tblDisruptions[Work package ID],0)),"None")</f>
        <v>None</v>
      </c>
      <c r="AJ935" s="51" t="str">
        <f>TEXT(tblWorkPackages[[#This Row],[Due date serial]],"yyyy-mm")</f>
        <v>2025-08</v>
      </c>
    </row>
    <row r="936" spans="1:36" ht="15" x14ac:dyDescent="0.25">
      <c r="A936" s="53" t="s">
        <v>1827</v>
      </c>
      <c r="B936" s="53" t="s">
        <v>230</v>
      </c>
      <c r="C936" s="53" t="s">
        <v>615</v>
      </c>
      <c r="D936" s="53" t="s">
        <v>454</v>
      </c>
      <c r="E936" s="53" t="s">
        <v>242</v>
      </c>
      <c r="F936" s="53" t="s">
        <v>243</v>
      </c>
      <c r="G936" s="53" t="s">
        <v>129</v>
      </c>
      <c r="H936" s="53">
        <v>2</v>
      </c>
      <c r="I936" s="53" t="s">
        <v>147</v>
      </c>
      <c r="J936" s="53">
        <v>0</v>
      </c>
      <c r="K936" s="53">
        <v>1</v>
      </c>
      <c r="L936" s="53">
        <v>9</v>
      </c>
      <c r="M936" s="53" t="s">
        <v>719</v>
      </c>
      <c r="N936" s="53">
        <v>10.3</v>
      </c>
      <c r="O936" s="51" t="str">
        <f>TEXT(tblWorkPackages[[#This Row],[Request date serial]]-WEEKDAY(tblWorkPackages[[#This Row],[Request date serial]],3),"yyyy-mm-dd")</f>
        <v>2024-01-22</v>
      </c>
      <c r="P936" s="51">
        <f>ABS(tblWorkPackages[[#This Row],[Actual labor hours]]-tblWorkPackages[[#This Row],[Estimated labor hours]])</f>
        <v>1.3</v>
      </c>
      <c r="Q936" s="51">
        <f>IF(tblWorkPackages[[#This Row],[Actual labor hours]]&gt;tblWorkPackages[[#This Row],[Estimated labor hours]],1,0)</f>
        <v>1</v>
      </c>
      <c r="R936" s="51">
        <f>tblWorkPackages[[#This Row],[Actual labor hours]]-tblWorkPackages[[#This Row],[Estimated labor hours]]</f>
        <v>1.3</v>
      </c>
      <c r="S936" s="51" t="str">
        <f>IF(tblWorkPackages[[#This Row],[Request date serial]]&lt;ValidationStart,"Train 2024",IF(tblWorkPackages[[#This Row],[Request date serial]]&lt;HoldoutStart,"Validation H1","Holdout H2"))</f>
        <v>Train 2024</v>
      </c>
      <c r="T936" s="51" t="str">
        <f>IF(tblWorkPackages[[#This Row],[Time split]]="Train 2024","",tblWorkPackages[[#This Row],[Estimated labor hours]]+VLOOKUP(tblWorkPackages[[#This Row],[Task type]],'Forecast validation'!$A$14:$E$25,IF(tblWorkPackages[[#This Row],[Time split]]="Validation H1",4,5),FALSE()))</f>
        <v/>
      </c>
      <c r="U936" s="51" t="str">
        <f>IF(tblWorkPackages[[#This Row],[Calibrated forecast hours]]="","",ABS(tblWorkPackages[[#This Row],[Actual labor hours]]-tblWorkPackages[[#This Row],[Calibrated forecast hours]]))</f>
        <v/>
      </c>
      <c r="V936" s="51">
        <f>IF(tblWorkPackages[[#This Row],[Time split]]="Train 2024",tblWorkPackages[[#This Row],[Estimated labor hours]],tblWorkPackages[[#This Row],[Calibrated forecast hours]])</f>
        <v>9</v>
      </c>
      <c r="W936" s="64">
        <f>DATEVALUE(tblWorkPackages[[#This Row],[Request date]])</f>
        <v>45316.0</v>
      </c>
      <c r="X936" s="64">
        <f>DATEVALUE(tblWorkPackages[[#This Row],[Due date]])</f>
        <v>45318.0</v>
      </c>
      <c r="Y936" s="64">
        <f>DATEVALUE(tblWorkPackages[[#This Row],[Completion date]])</f>
        <v>45354.0</v>
      </c>
      <c r="Z936" s="64">
        <f>_xlfn.MINIFS(tblLaborEntries[Work date serial],tblLaborEntries[Work package ID],tblWorkPackages[[#This Row],[Work package ID]])</f>
        <v>45352.0</v>
      </c>
      <c r="AA936" s="64">
        <f>_xlfn.MAXIFS(tblLaborEntries[Work date serial],tblLaborEntries[Work package ID],tblWorkPackages[[#This Row],[Work package ID]])</f>
        <v>45352.0</v>
      </c>
      <c r="AB936" s="65">
        <f>IF(tblWorkPackages[[#This Row],[Completion date serial]]&gt;tblWorkPackages[[#This Row],[Due date serial]],1,0)</f>
        <v>1</v>
      </c>
      <c r="AC936" s="65">
        <f>MAX(0,tblWorkPackages[[#This Row],[Completion date serial]]-tblWorkPackages[[#This Row],[Due date serial]])</f>
        <v>36</v>
      </c>
      <c r="AD936" s="65">
        <f>tblWorkPackages[[#This Row],[First labor date]]-tblWorkPackages[[#This Row],[Request date serial]]</f>
        <v>36</v>
      </c>
      <c r="AE936" s="65">
        <f>tblWorkPackages[[#This Row],[Last labor date]]-tblWorkPackages[[#This Row],[First labor date]]</f>
        <v>0</v>
      </c>
      <c r="AF936" s="65">
        <f>tblWorkPackages[[#This Row],[Completion date serial]]-tblWorkPackages[[#This Row],[Last labor date]]</f>
        <v>2</v>
      </c>
      <c r="AG936" s="65">
        <f>tblWorkPackages[[#This Row],[Completion date serial]]-tblWorkPackages[[#This Row],[Request date serial]]</f>
        <v>38</v>
      </c>
      <c r="AH936" s="65">
        <f>IFERROR(INDEX(tblParts[Delay days],MATCH(tblWorkPackages[[#This Row],[Work package ID]],tblParts[Work package ID],0)),0)</f>
        <v>12</v>
      </c>
      <c r="AI936" s="51" t="str">
        <f>IFERROR(INDEX(tblDisruptions[Event type],MATCH(tblWorkPackages[[#This Row],[Work package ID]],tblDisruptions[Work package ID],0)),"None")</f>
        <v>Part delay</v>
      </c>
      <c r="AJ936" s="51" t="str">
        <f>TEXT(tblWorkPackages[[#This Row],[Due date serial]],"yyyy-mm")</f>
        <v>2024-01</v>
      </c>
    </row>
    <row r="937" spans="1:36" ht="15" x14ac:dyDescent="0.25">
      <c r="A937" s="53" t="s">
        <v>1828</v>
      </c>
      <c r="B937" s="53" t="s">
        <v>141</v>
      </c>
      <c r="C937" s="53" t="s">
        <v>1016</v>
      </c>
      <c r="D937" s="53" t="s">
        <v>979</v>
      </c>
      <c r="E937" s="53" t="s">
        <v>153</v>
      </c>
      <c r="F937" s="53" t="s">
        <v>128</v>
      </c>
      <c r="G937" s="53" t="s">
        <v>154</v>
      </c>
      <c r="H937" s="53">
        <v>3</v>
      </c>
      <c r="I937" s="53" t="s">
        <v>130</v>
      </c>
      <c r="J937" s="53">
        <v>0</v>
      </c>
      <c r="K937" s="53">
        <v>1</v>
      </c>
      <c r="L937" s="53">
        <v>11.3</v>
      </c>
      <c r="M937" s="53" t="s">
        <v>421</v>
      </c>
      <c r="N937" s="53">
        <v>12.2</v>
      </c>
      <c r="O937" s="51" t="str">
        <f>TEXT(tblWorkPackages[[#This Row],[Request date serial]]-WEEKDAY(tblWorkPackages[[#This Row],[Request date serial]],3),"yyyy-mm-dd")</f>
        <v>2025-10-20</v>
      </c>
      <c r="P937" s="51">
        <f>ABS(tblWorkPackages[[#This Row],[Actual labor hours]]-tblWorkPackages[[#This Row],[Estimated labor hours]])</f>
        <v>0.899999999999999</v>
      </c>
      <c r="Q937" s="51">
        <f>IF(tblWorkPackages[[#This Row],[Actual labor hours]]&gt;tblWorkPackages[[#This Row],[Estimated labor hours]],1,0)</f>
        <v>1</v>
      </c>
      <c r="R937" s="51">
        <f>tblWorkPackages[[#This Row],[Actual labor hours]]-tblWorkPackages[[#This Row],[Estimated labor hours]]</f>
        <v>0.899999999999999</v>
      </c>
      <c r="S937" s="51" t="str">
        <f>IF(tblWorkPackages[[#This Row],[Request date serial]]&lt;ValidationStart,"Train 2024",IF(tblWorkPackages[[#This Row],[Request date serial]]&lt;HoldoutStart,"Validation H1","Holdout H2"))</f>
        <v>Holdout H2</v>
      </c>
      <c r="T937" s="51">
        <f>IF(tblWorkPackages[[#This Row],[Time split]]="Train 2024","",tblWorkPackages[[#This Row],[Estimated labor hours]]+VLOOKUP(tblWorkPackages[[#This Row],[Task type]],'Forecast validation'!$A$14:$E$25,IF(tblWorkPackages[[#This Row],[Time split]]="Validation H1",4,5),FALSE()))</f>
        <v>11.9026666666667</v>
      </c>
      <c r="U937" s="51">
        <f>IF(tblWorkPackages[[#This Row],[Calibrated forecast hours]]="","",ABS(tblWorkPackages[[#This Row],[Actual labor hours]]-tblWorkPackages[[#This Row],[Calibrated forecast hours]]))</f>
        <v>0.297333333333333</v>
      </c>
      <c r="V937" s="51">
        <f>IF(tblWorkPackages[[#This Row],[Time split]]="Train 2024",tblWorkPackages[[#This Row],[Estimated labor hours]],tblWorkPackages[[#This Row],[Calibrated forecast hours]])</f>
        <v>11.9026666666667</v>
      </c>
      <c r="W937" s="64">
        <f>DATEVALUE(tblWorkPackages[[#This Row],[Request date]])</f>
        <v>45952.0</v>
      </c>
      <c r="X937" s="64">
        <f>DATEVALUE(tblWorkPackages[[#This Row],[Due date]])</f>
        <v>45965.0</v>
      </c>
      <c r="Y937" s="64">
        <f>DATEVALUE(tblWorkPackages[[#This Row],[Completion date]])</f>
        <v>45960.0</v>
      </c>
      <c r="Z937" s="64">
        <f>_xlfn.MINIFS(tblLaborEntries[Work date serial],tblLaborEntries[Work package ID],tblWorkPackages[[#This Row],[Work package ID]])</f>
        <v>45956.0</v>
      </c>
      <c r="AA937" s="64">
        <f>_xlfn.MAXIFS(tblLaborEntries[Work date serial],tblLaborEntries[Work package ID],tblWorkPackages[[#This Row],[Work package ID]])</f>
        <v>45957.0</v>
      </c>
      <c r="AB937" s="65">
        <f>IF(tblWorkPackages[[#This Row],[Completion date serial]]&gt;tblWorkPackages[[#This Row],[Due date serial]],1,0)</f>
        <v>0</v>
      </c>
      <c r="AC937" s="65">
        <f>MAX(0,tblWorkPackages[[#This Row],[Completion date serial]]-tblWorkPackages[[#This Row],[Due date serial]])</f>
        <v>0</v>
      </c>
      <c r="AD937" s="65">
        <f>tblWorkPackages[[#This Row],[First labor date]]-tblWorkPackages[[#This Row],[Request date serial]]</f>
        <v>4</v>
      </c>
      <c r="AE937" s="65">
        <f>tblWorkPackages[[#This Row],[Last labor date]]-tblWorkPackages[[#This Row],[First labor date]]</f>
        <v>1</v>
      </c>
      <c r="AF937" s="65">
        <f>tblWorkPackages[[#This Row],[Completion date serial]]-tblWorkPackages[[#This Row],[Last labor date]]</f>
        <v>3</v>
      </c>
      <c r="AG937" s="65">
        <f>tblWorkPackages[[#This Row],[Completion date serial]]-tblWorkPackages[[#This Row],[Request date serial]]</f>
        <v>8</v>
      </c>
      <c r="AH937" s="65">
        <f>IFERROR(INDEX(tblParts[Delay days],MATCH(tblWorkPackages[[#This Row],[Work package ID]],tblParts[Work package ID],0)),0)</f>
        <v>0</v>
      </c>
      <c r="AI937" s="51" t="str">
        <f>IFERROR(INDEX(tblDisruptions[Event type],MATCH(tblWorkPackages[[#This Row],[Work package ID]],tblDisruptions[Work package ID],0)),"None")</f>
        <v>None</v>
      </c>
      <c r="AJ937" s="51" t="str">
        <f>TEXT(tblWorkPackages[[#This Row],[Due date serial]],"yyyy-mm")</f>
        <v>2025-11</v>
      </c>
    </row>
    <row r="938" spans="1:36" ht="15" x14ac:dyDescent="0.25">
      <c r="A938" s="53" t="s">
        <v>1829</v>
      </c>
      <c r="B938" s="53" t="s">
        <v>250</v>
      </c>
      <c r="C938" s="53" t="s">
        <v>611</v>
      </c>
      <c r="D938" s="53" t="s">
        <v>211</v>
      </c>
      <c r="E938" s="53" t="s">
        <v>144</v>
      </c>
      <c r="F938" s="53" t="s">
        <v>145</v>
      </c>
      <c r="G938" s="53" t="s">
        <v>146</v>
      </c>
      <c r="H938" s="53">
        <v>1</v>
      </c>
      <c r="I938" s="53" t="s">
        <v>176</v>
      </c>
      <c r="J938" s="53">
        <v>0</v>
      </c>
      <c r="K938" s="53">
        <v>1</v>
      </c>
      <c r="L938" s="53">
        <v>6.4</v>
      </c>
      <c r="M938" s="53" t="s">
        <v>843</v>
      </c>
      <c r="N938" s="53">
        <v>6.8</v>
      </c>
      <c r="O938" s="51" t="str">
        <f>TEXT(tblWorkPackages[[#This Row],[Request date serial]]-WEEKDAY(tblWorkPackages[[#This Row],[Request date serial]],3),"yyyy-mm-dd")</f>
        <v>2025-08-04</v>
      </c>
      <c r="P938" s="51">
        <f>ABS(tblWorkPackages[[#This Row],[Actual labor hours]]-tblWorkPackages[[#This Row],[Estimated labor hours]])</f>
        <v>0.399999999999999</v>
      </c>
      <c r="Q938" s="51">
        <f>IF(tblWorkPackages[[#This Row],[Actual labor hours]]&gt;tblWorkPackages[[#This Row],[Estimated labor hours]],1,0)</f>
        <v>1</v>
      </c>
      <c r="R938" s="51">
        <f>tblWorkPackages[[#This Row],[Actual labor hours]]-tblWorkPackages[[#This Row],[Estimated labor hours]]</f>
        <v>0.399999999999999</v>
      </c>
      <c r="S938" s="51" t="str">
        <f>IF(tblWorkPackages[[#This Row],[Request date serial]]&lt;ValidationStart,"Train 2024",IF(tblWorkPackages[[#This Row],[Request date serial]]&lt;HoldoutStart,"Validation H1","Holdout H2"))</f>
        <v>Holdout H2</v>
      </c>
      <c r="T938" s="51">
        <f>IF(tblWorkPackages[[#This Row],[Time split]]="Train 2024","",tblWorkPackages[[#This Row],[Estimated labor hours]]+VLOOKUP(tblWorkPackages[[#This Row],[Task type]],'Forecast validation'!$A$14:$E$25,IF(tblWorkPackages[[#This Row],[Time split]]="Validation H1",4,5),FALSE()))</f>
        <v>7.37354838709678</v>
      </c>
      <c r="U938" s="51">
        <f>IF(tblWorkPackages[[#This Row],[Calibrated forecast hours]]="","",ABS(tblWorkPackages[[#This Row],[Actual labor hours]]-tblWorkPackages[[#This Row],[Calibrated forecast hours]]))</f>
        <v>0.573548387096775</v>
      </c>
      <c r="V938" s="51">
        <f>IF(tblWorkPackages[[#This Row],[Time split]]="Train 2024",tblWorkPackages[[#This Row],[Estimated labor hours]],tblWorkPackages[[#This Row],[Calibrated forecast hours]])</f>
        <v>7.37354838709678</v>
      </c>
      <c r="W938" s="64">
        <f>DATEVALUE(tblWorkPackages[[#This Row],[Request date]])</f>
        <v>45876.0</v>
      </c>
      <c r="X938" s="64">
        <f>DATEVALUE(tblWorkPackages[[#This Row],[Due date]])</f>
        <v>45882.0</v>
      </c>
      <c r="Y938" s="64">
        <f>DATEVALUE(tblWorkPackages[[#This Row],[Completion date]])</f>
        <v>45878.0</v>
      </c>
      <c r="Z938" s="64">
        <f>_xlfn.MINIFS(tblLaborEntries[Work date serial],tblLaborEntries[Work package ID],tblWorkPackages[[#This Row],[Work package ID]])</f>
        <v>45877.0</v>
      </c>
      <c r="AA938" s="64">
        <f>_xlfn.MAXIFS(tblLaborEntries[Work date serial],tblLaborEntries[Work package ID],tblWorkPackages[[#This Row],[Work package ID]])</f>
        <v>45878.0</v>
      </c>
      <c r="AB938" s="65">
        <f>IF(tblWorkPackages[[#This Row],[Completion date serial]]&gt;tblWorkPackages[[#This Row],[Due date serial]],1,0)</f>
        <v>0</v>
      </c>
      <c r="AC938" s="65">
        <f>MAX(0,tblWorkPackages[[#This Row],[Completion date serial]]-tblWorkPackages[[#This Row],[Due date serial]])</f>
        <v>0</v>
      </c>
      <c r="AD938" s="65">
        <f>tblWorkPackages[[#This Row],[First labor date]]-tblWorkPackages[[#This Row],[Request date serial]]</f>
        <v>1</v>
      </c>
      <c r="AE938" s="65">
        <f>tblWorkPackages[[#This Row],[Last labor date]]-tblWorkPackages[[#This Row],[First labor date]]</f>
        <v>1</v>
      </c>
      <c r="AF938" s="65">
        <f>tblWorkPackages[[#This Row],[Completion date serial]]-tblWorkPackages[[#This Row],[Last labor date]]</f>
        <v>0</v>
      </c>
      <c r="AG938" s="65">
        <f>tblWorkPackages[[#This Row],[Completion date serial]]-tblWorkPackages[[#This Row],[Request date serial]]</f>
        <v>2</v>
      </c>
      <c r="AH938" s="65">
        <f>IFERROR(INDEX(tblParts[Delay days],MATCH(tblWorkPackages[[#This Row],[Work package ID]],tblParts[Work package ID],0)),0)</f>
        <v>0</v>
      </c>
      <c r="AI938" s="51" t="str">
        <f>IFERROR(INDEX(tblDisruptions[Event type],MATCH(tblWorkPackages[[#This Row],[Work package ID]],tblDisruptions[Work package ID],0)),"None")</f>
        <v>None</v>
      </c>
      <c r="AJ938" s="51" t="str">
        <f>TEXT(tblWorkPackages[[#This Row],[Due date serial]],"yyyy-mm")</f>
        <v>2025-08</v>
      </c>
    </row>
    <row r="939" spans="1:36" ht="15" x14ac:dyDescent="0.25">
      <c r="A939" s="53" t="s">
        <v>1830</v>
      </c>
      <c r="B939" s="53" t="s">
        <v>203</v>
      </c>
      <c r="C939" s="53" t="s">
        <v>1523</v>
      </c>
      <c r="D939" s="53" t="s">
        <v>1831</v>
      </c>
      <c r="E939" s="53" t="s">
        <v>272</v>
      </c>
      <c r="F939" s="53" t="s">
        <v>145</v>
      </c>
      <c r="G939" s="53" t="s">
        <v>273</v>
      </c>
      <c r="H939" s="53">
        <v>4</v>
      </c>
      <c r="I939" s="53" t="s">
        <v>176</v>
      </c>
      <c r="J939" s="53">
        <v>0</v>
      </c>
      <c r="K939" s="53">
        <v>1</v>
      </c>
      <c r="L939" s="53">
        <v>19.399999999999999</v>
      </c>
      <c r="M939" s="53" t="s">
        <v>442</v>
      </c>
      <c r="N939" s="53">
        <v>23.3</v>
      </c>
      <c r="O939" s="51" t="str">
        <f>TEXT(tblWorkPackages[[#This Row],[Request date serial]]-WEEKDAY(tblWorkPackages[[#This Row],[Request date serial]],3),"yyyy-mm-dd")</f>
        <v>2024-01-22</v>
      </c>
      <c r="P939" s="51">
        <f>ABS(tblWorkPackages[[#This Row],[Actual labor hours]]-tblWorkPackages[[#This Row],[Estimated labor hours]])</f>
        <v>3.9</v>
      </c>
      <c r="Q939" s="51">
        <f>IF(tblWorkPackages[[#This Row],[Actual labor hours]]&gt;tblWorkPackages[[#This Row],[Estimated labor hours]],1,0)</f>
        <v>1</v>
      </c>
      <c r="R939" s="51">
        <f>tblWorkPackages[[#This Row],[Actual labor hours]]-tblWorkPackages[[#This Row],[Estimated labor hours]]</f>
        <v>3.9</v>
      </c>
      <c r="S939" s="51" t="str">
        <f>IF(tblWorkPackages[[#This Row],[Request date serial]]&lt;ValidationStart,"Train 2024",IF(tblWorkPackages[[#This Row],[Request date serial]]&lt;HoldoutStart,"Validation H1","Holdout H2"))</f>
        <v>Train 2024</v>
      </c>
      <c r="T939" s="51" t="str">
        <f>IF(tblWorkPackages[[#This Row],[Time split]]="Train 2024","",tblWorkPackages[[#This Row],[Estimated labor hours]]+VLOOKUP(tblWorkPackages[[#This Row],[Task type]],'Forecast validation'!$A$14:$E$25,IF(tblWorkPackages[[#This Row],[Time split]]="Validation H1",4,5),FALSE()))</f>
        <v/>
      </c>
      <c r="U939" s="51" t="str">
        <f>IF(tblWorkPackages[[#This Row],[Calibrated forecast hours]]="","",ABS(tblWorkPackages[[#This Row],[Actual labor hours]]-tblWorkPackages[[#This Row],[Calibrated forecast hours]]))</f>
        <v/>
      </c>
      <c r="V939" s="51">
        <f>IF(tblWorkPackages[[#This Row],[Time split]]="Train 2024",tblWorkPackages[[#This Row],[Estimated labor hours]],tblWorkPackages[[#This Row],[Calibrated forecast hours]])</f>
        <v>19.4</v>
      </c>
      <c r="W939" s="64">
        <f>DATEVALUE(tblWorkPackages[[#This Row],[Request date]])</f>
        <v>45315.0</v>
      </c>
      <c r="X939" s="64">
        <f>DATEVALUE(tblWorkPackages[[#This Row],[Due date]])</f>
        <v>45321.0</v>
      </c>
      <c r="Y939" s="64">
        <f>DATEVALUE(tblWorkPackages[[#This Row],[Completion date]])</f>
        <v>45330.0</v>
      </c>
      <c r="Z939" s="64">
        <f>_xlfn.MINIFS(tblLaborEntries[Work date serial],tblLaborEntries[Work package ID],tblWorkPackages[[#This Row],[Work package ID]])</f>
        <v>45327.0</v>
      </c>
      <c r="AA939" s="64">
        <f>_xlfn.MAXIFS(tblLaborEntries[Work date serial],tblLaborEntries[Work package ID],tblWorkPackages[[#This Row],[Work package ID]])</f>
        <v>45329.0</v>
      </c>
      <c r="AB939" s="65">
        <f>IF(tblWorkPackages[[#This Row],[Completion date serial]]&gt;tblWorkPackages[[#This Row],[Due date serial]],1,0)</f>
        <v>1</v>
      </c>
      <c r="AC939" s="65">
        <f>MAX(0,tblWorkPackages[[#This Row],[Completion date serial]]-tblWorkPackages[[#This Row],[Due date serial]])</f>
        <v>9</v>
      </c>
      <c r="AD939" s="65">
        <f>tblWorkPackages[[#This Row],[First labor date]]-tblWorkPackages[[#This Row],[Request date serial]]</f>
        <v>12</v>
      </c>
      <c r="AE939" s="65">
        <f>tblWorkPackages[[#This Row],[Last labor date]]-tblWorkPackages[[#This Row],[First labor date]]</f>
        <v>2</v>
      </c>
      <c r="AF939" s="65">
        <f>tblWorkPackages[[#This Row],[Completion date serial]]-tblWorkPackages[[#This Row],[Last labor date]]</f>
        <v>1</v>
      </c>
      <c r="AG939" s="65">
        <f>tblWorkPackages[[#This Row],[Completion date serial]]-tblWorkPackages[[#This Row],[Request date serial]]</f>
        <v>15</v>
      </c>
      <c r="AH939" s="65">
        <f>IFERROR(INDEX(tblParts[Delay days],MATCH(tblWorkPackages[[#This Row],[Work package ID]],tblParts[Work package ID],0)),0)</f>
        <v>0</v>
      </c>
      <c r="AI939" s="51" t="str">
        <f>IFERROR(INDEX(tblDisruptions[Event type],MATCH(tblWorkPackages[[#This Row],[Work package ID]],tblDisruptions[Work package ID],0)),"None")</f>
        <v>None</v>
      </c>
      <c r="AJ939" s="51" t="str">
        <f>TEXT(tblWorkPackages[[#This Row],[Due date serial]],"yyyy-mm")</f>
        <v>2024-01</v>
      </c>
    </row>
    <row r="940" spans="1:36" ht="15" x14ac:dyDescent="0.25">
      <c r="A940" s="53" t="s">
        <v>1832</v>
      </c>
      <c r="B940" s="53" t="s">
        <v>185</v>
      </c>
      <c r="C940" s="53" t="s">
        <v>343</v>
      </c>
      <c r="D940" s="53" t="s">
        <v>1409</v>
      </c>
      <c r="E940" s="53" t="s">
        <v>153</v>
      </c>
      <c r="F940" s="53" t="s">
        <v>128</v>
      </c>
      <c r="G940" s="53" t="s">
        <v>154</v>
      </c>
      <c r="H940" s="53">
        <v>2</v>
      </c>
      <c r="I940" s="53" t="s">
        <v>130</v>
      </c>
      <c r="J940" s="53">
        <v>0</v>
      </c>
      <c r="K940" s="53">
        <v>1</v>
      </c>
      <c r="L940" s="53">
        <v>10</v>
      </c>
      <c r="M940" s="53" t="s">
        <v>1473</v>
      </c>
      <c r="N940" s="53">
        <v>11.2</v>
      </c>
      <c r="O940" s="51" t="str">
        <f>TEXT(tblWorkPackages[[#This Row],[Request date serial]]-WEEKDAY(tblWorkPackages[[#This Row],[Request date serial]],3),"yyyy-mm-dd")</f>
        <v>2025-07-21</v>
      </c>
      <c r="P940" s="51">
        <f>ABS(tblWorkPackages[[#This Row],[Actual labor hours]]-tblWorkPackages[[#This Row],[Estimated labor hours]])</f>
        <v>1.2</v>
      </c>
      <c r="Q940" s="51">
        <f>IF(tblWorkPackages[[#This Row],[Actual labor hours]]&gt;tblWorkPackages[[#This Row],[Estimated labor hours]],1,0)</f>
        <v>1</v>
      </c>
      <c r="R940" s="51">
        <f>tblWorkPackages[[#This Row],[Actual labor hours]]-tblWorkPackages[[#This Row],[Estimated labor hours]]</f>
        <v>1.2</v>
      </c>
      <c r="S940" s="51" t="str">
        <f>IF(tblWorkPackages[[#This Row],[Request date serial]]&lt;ValidationStart,"Train 2024",IF(tblWorkPackages[[#This Row],[Request date serial]]&lt;HoldoutStart,"Validation H1","Holdout H2"))</f>
        <v>Holdout H2</v>
      </c>
      <c r="T940" s="51">
        <f>IF(tblWorkPackages[[#This Row],[Time split]]="Train 2024","",tblWorkPackages[[#This Row],[Estimated labor hours]]+VLOOKUP(tblWorkPackages[[#This Row],[Task type]],'Forecast validation'!$A$14:$E$25,IF(tblWorkPackages[[#This Row],[Time split]]="Validation H1",4,5),FALSE()))</f>
        <v>10.6026666666667</v>
      </c>
      <c r="U940" s="51">
        <f>IF(tblWorkPackages[[#This Row],[Calibrated forecast hours]]="","",ABS(tblWorkPackages[[#This Row],[Actual labor hours]]-tblWorkPackages[[#This Row],[Calibrated forecast hours]]))</f>
        <v>0.597333333333333</v>
      </c>
      <c r="V940" s="51">
        <f>IF(tblWorkPackages[[#This Row],[Time split]]="Train 2024",tblWorkPackages[[#This Row],[Estimated labor hours]],tblWorkPackages[[#This Row],[Calibrated forecast hours]])</f>
        <v>10.6026666666667</v>
      </c>
      <c r="W940" s="64">
        <f>DATEVALUE(tblWorkPackages[[#This Row],[Request date]])</f>
        <v>45862.0</v>
      </c>
      <c r="X940" s="64">
        <f>DATEVALUE(tblWorkPackages[[#This Row],[Due date]])</f>
        <v>45875.0</v>
      </c>
      <c r="Y940" s="64">
        <f>DATEVALUE(tblWorkPackages[[#This Row],[Completion date]])</f>
        <v>45869.0</v>
      </c>
      <c r="Z940" s="64">
        <f>_xlfn.MINIFS(tblLaborEntries[Work date serial],tblLaborEntries[Work package ID],tblWorkPackages[[#This Row],[Work package ID]])</f>
        <v>45865.0</v>
      </c>
      <c r="AA940" s="64">
        <f>_xlfn.MAXIFS(tblLaborEntries[Work date serial],tblLaborEntries[Work package ID],tblWorkPackages[[#This Row],[Work package ID]])</f>
        <v>45867.0</v>
      </c>
      <c r="AB940" s="65">
        <f>IF(tblWorkPackages[[#This Row],[Completion date serial]]&gt;tblWorkPackages[[#This Row],[Due date serial]],1,0)</f>
        <v>0</v>
      </c>
      <c r="AC940" s="65">
        <f>MAX(0,tblWorkPackages[[#This Row],[Completion date serial]]-tblWorkPackages[[#This Row],[Due date serial]])</f>
        <v>0</v>
      </c>
      <c r="AD940" s="65">
        <f>tblWorkPackages[[#This Row],[First labor date]]-tblWorkPackages[[#This Row],[Request date serial]]</f>
        <v>3</v>
      </c>
      <c r="AE940" s="65">
        <f>tblWorkPackages[[#This Row],[Last labor date]]-tblWorkPackages[[#This Row],[First labor date]]</f>
        <v>2</v>
      </c>
      <c r="AF940" s="65">
        <f>tblWorkPackages[[#This Row],[Completion date serial]]-tblWorkPackages[[#This Row],[Last labor date]]</f>
        <v>2</v>
      </c>
      <c r="AG940" s="65">
        <f>tblWorkPackages[[#This Row],[Completion date serial]]-tblWorkPackages[[#This Row],[Request date serial]]</f>
        <v>7</v>
      </c>
      <c r="AH940" s="65">
        <f>IFERROR(INDEX(tblParts[Delay days],MATCH(tblWorkPackages[[#This Row],[Work package ID]],tblParts[Work package ID],0)),0)</f>
        <v>0</v>
      </c>
      <c r="AI940" s="51" t="str">
        <f>IFERROR(INDEX(tblDisruptions[Event type],MATCH(tblWorkPackages[[#This Row],[Work package ID]],tblDisruptions[Work package ID],0)),"None")</f>
        <v>None</v>
      </c>
      <c r="AJ940" s="51" t="str">
        <f>TEXT(tblWorkPackages[[#This Row],[Due date serial]],"yyyy-mm")</f>
        <v>2025-08</v>
      </c>
    </row>
    <row r="941" spans="1:36" ht="15" x14ac:dyDescent="0.25">
      <c r="A941" s="53" t="s">
        <v>1833</v>
      </c>
      <c r="B941" s="53" t="s">
        <v>150</v>
      </c>
      <c r="C941" s="53" t="s">
        <v>316</v>
      </c>
      <c r="D941" s="53" t="s">
        <v>676</v>
      </c>
      <c r="E941" s="53" t="s">
        <v>200</v>
      </c>
      <c r="F941" s="53" t="s">
        <v>128</v>
      </c>
      <c r="G941" s="53" t="s">
        <v>129</v>
      </c>
      <c r="H941" s="53">
        <v>4</v>
      </c>
      <c r="I941" s="53" t="s">
        <v>147</v>
      </c>
      <c r="J941" s="53">
        <v>0</v>
      </c>
      <c r="K941" s="53">
        <v>1</v>
      </c>
      <c r="L941" s="53">
        <v>6.6</v>
      </c>
      <c r="M941" s="53" t="s">
        <v>419</v>
      </c>
      <c r="N941" s="53">
        <v>9</v>
      </c>
      <c r="O941" s="51" t="str">
        <f>TEXT(tblWorkPackages[[#This Row],[Request date serial]]-WEEKDAY(tblWorkPackages[[#This Row],[Request date serial]],3),"yyyy-mm-dd")</f>
        <v>2024-04-15</v>
      </c>
      <c r="P941" s="51">
        <f>ABS(tblWorkPackages[[#This Row],[Actual labor hours]]-tblWorkPackages[[#This Row],[Estimated labor hours]])</f>
        <v>2.4</v>
      </c>
      <c r="Q941" s="51">
        <f>IF(tblWorkPackages[[#This Row],[Actual labor hours]]&gt;tblWorkPackages[[#This Row],[Estimated labor hours]],1,0)</f>
        <v>1</v>
      </c>
      <c r="R941" s="51">
        <f>tblWorkPackages[[#This Row],[Actual labor hours]]-tblWorkPackages[[#This Row],[Estimated labor hours]]</f>
        <v>2.4</v>
      </c>
      <c r="S941" s="51" t="str">
        <f>IF(tblWorkPackages[[#This Row],[Request date serial]]&lt;ValidationStart,"Train 2024",IF(tblWorkPackages[[#This Row],[Request date serial]]&lt;HoldoutStart,"Validation H1","Holdout H2"))</f>
        <v>Train 2024</v>
      </c>
      <c r="T941" s="51" t="str">
        <f>IF(tblWorkPackages[[#This Row],[Time split]]="Train 2024","",tblWorkPackages[[#This Row],[Estimated labor hours]]+VLOOKUP(tblWorkPackages[[#This Row],[Task type]],'Forecast validation'!$A$14:$E$25,IF(tblWorkPackages[[#This Row],[Time split]]="Validation H1",4,5),FALSE()))</f>
        <v/>
      </c>
      <c r="U941" s="51" t="str">
        <f>IF(tblWorkPackages[[#This Row],[Calibrated forecast hours]]="","",ABS(tblWorkPackages[[#This Row],[Actual labor hours]]-tblWorkPackages[[#This Row],[Calibrated forecast hours]]))</f>
        <v/>
      </c>
      <c r="V941" s="51">
        <f>IF(tblWorkPackages[[#This Row],[Time split]]="Train 2024",tblWorkPackages[[#This Row],[Estimated labor hours]],tblWorkPackages[[#This Row],[Calibrated forecast hours]])</f>
        <v>6.6</v>
      </c>
      <c r="W941" s="64">
        <f>DATEVALUE(tblWorkPackages[[#This Row],[Request date]])</f>
        <v>45403.0</v>
      </c>
      <c r="X941" s="64">
        <f>DATEVALUE(tblWorkPackages[[#This Row],[Due date]])</f>
        <v>45405.0</v>
      </c>
      <c r="Y941" s="64">
        <f>DATEVALUE(tblWorkPackages[[#This Row],[Completion date]])</f>
        <v>45457.0</v>
      </c>
      <c r="Z941" s="64">
        <f>_xlfn.MINIFS(tblLaborEntries[Work date serial],tblLaborEntries[Work package ID],tblWorkPackages[[#This Row],[Work package ID]])</f>
        <v>45452.0</v>
      </c>
      <c r="AA941" s="64">
        <f>_xlfn.MAXIFS(tblLaborEntries[Work date serial],tblLaborEntries[Work package ID],tblWorkPackages[[#This Row],[Work package ID]])</f>
        <v>45454.0</v>
      </c>
      <c r="AB941" s="65">
        <f>IF(tblWorkPackages[[#This Row],[Completion date serial]]&gt;tblWorkPackages[[#This Row],[Due date serial]],1,0)</f>
        <v>1</v>
      </c>
      <c r="AC941" s="65">
        <f>MAX(0,tblWorkPackages[[#This Row],[Completion date serial]]-tblWorkPackages[[#This Row],[Due date serial]])</f>
        <v>52</v>
      </c>
      <c r="AD941" s="65">
        <f>tblWorkPackages[[#This Row],[First labor date]]-tblWorkPackages[[#This Row],[Request date serial]]</f>
        <v>49</v>
      </c>
      <c r="AE941" s="65">
        <f>tblWorkPackages[[#This Row],[Last labor date]]-tblWorkPackages[[#This Row],[First labor date]]</f>
        <v>2</v>
      </c>
      <c r="AF941" s="65">
        <f>tblWorkPackages[[#This Row],[Completion date serial]]-tblWorkPackages[[#This Row],[Last labor date]]</f>
        <v>3</v>
      </c>
      <c r="AG941" s="65">
        <f>tblWorkPackages[[#This Row],[Completion date serial]]-tblWorkPackages[[#This Row],[Request date serial]]</f>
        <v>54</v>
      </c>
      <c r="AH941" s="65">
        <f>IFERROR(INDEX(tblParts[Delay days],MATCH(tblWorkPackages[[#This Row],[Work package ID]],tblParts[Work package ID],0)),0)</f>
        <v>12</v>
      </c>
      <c r="AI941" s="51" t="str">
        <f>IFERROR(INDEX(tblDisruptions[Event type],MATCH(tblWorkPackages[[#This Row],[Work package ID]],tblDisruptions[Work package ID],0)),"None")</f>
        <v>Part delay</v>
      </c>
      <c r="AJ941" s="51" t="str">
        <f>TEXT(tblWorkPackages[[#This Row],[Due date serial]],"yyyy-mm")</f>
        <v>2024-04</v>
      </c>
    </row>
    <row r="942" spans="1:36" ht="15" x14ac:dyDescent="0.25">
      <c r="A942" s="53" t="s">
        <v>1834</v>
      </c>
      <c r="B942" s="53" t="s">
        <v>173</v>
      </c>
      <c r="C942" s="53" t="s">
        <v>1234</v>
      </c>
      <c r="D942" s="53" t="s">
        <v>228</v>
      </c>
      <c r="E942" s="53" t="s">
        <v>200</v>
      </c>
      <c r="F942" s="53" t="s">
        <v>128</v>
      </c>
      <c r="G942" s="53" t="s">
        <v>129</v>
      </c>
      <c r="H942" s="53">
        <v>2</v>
      </c>
      <c r="I942" s="53" t="s">
        <v>130</v>
      </c>
      <c r="J942" s="53">
        <v>0</v>
      </c>
      <c r="K942" s="53">
        <v>1</v>
      </c>
      <c r="L942" s="53">
        <v>2.9</v>
      </c>
      <c r="M942" s="53" t="s">
        <v>1510</v>
      </c>
      <c r="N942" s="53">
        <v>2.5</v>
      </c>
      <c r="O942" s="51" t="str">
        <f>TEXT(tblWorkPackages[[#This Row],[Request date serial]]-WEEKDAY(tblWorkPackages[[#This Row],[Request date serial]],3),"yyyy-mm-dd")</f>
        <v>2025-07-21</v>
      </c>
      <c r="P942" s="51">
        <f>ABS(tblWorkPackages[[#This Row],[Actual labor hours]]-tblWorkPackages[[#This Row],[Estimated labor hours]])</f>
        <v>0.4</v>
      </c>
      <c r="Q942" s="51">
        <f>IF(tblWorkPackages[[#This Row],[Actual labor hours]]&gt;tblWorkPackages[[#This Row],[Estimated labor hours]],1,0)</f>
        <v>0</v>
      </c>
      <c r="R942" s="51">
        <f>tblWorkPackages[[#This Row],[Actual labor hours]]-tblWorkPackages[[#This Row],[Estimated labor hours]]</f>
        <v>-0.4</v>
      </c>
      <c r="S942" s="51" t="str">
        <f>IF(tblWorkPackages[[#This Row],[Request date serial]]&lt;ValidationStart,"Train 2024",IF(tblWorkPackages[[#This Row],[Request date serial]]&lt;HoldoutStart,"Validation H1","Holdout H2"))</f>
        <v>Holdout H2</v>
      </c>
      <c r="T942" s="51">
        <f>IF(tblWorkPackages[[#This Row],[Time split]]="Train 2024","",tblWorkPackages[[#This Row],[Estimated labor hours]]+VLOOKUP(tblWorkPackages[[#This Row],[Task type]],'Forecast validation'!$A$14:$E$25,IF(tblWorkPackages[[#This Row],[Time split]]="Validation H1",4,5),FALSE()))</f>
        <v>3.22893081761006</v>
      </c>
      <c r="U942" s="51">
        <f>IF(tblWorkPackages[[#This Row],[Calibrated forecast hours]]="","",ABS(tblWorkPackages[[#This Row],[Actual labor hours]]-tblWorkPackages[[#This Row],[Calibrated forecast hours]]))</f>
        <v>0.728930817610063</v>
      </c>
      <c r="V942" s="51">
        <f>IF(tblWorkPackages[[#This Row],[Time split]]="Train 2024",tblWorkPackages[[#This Row],[Estimated labor hours]],tblWorkPackages[[#This Row],[Calibrated forecast hours]])</f>
        <v>3.22893081761006</v>
      </c>
      <c r="W942" s="64">
        <f>DATEVALUE(tblWorkPackages[[#This Row],[Request date]])</f>
        <v>45859.0</v>
      </c>
      <c r="X942" s="64">
        <f>DATEVALUE(tblWorkPackages[[#This Row],[Due date]])</f>
        <v>45872.0</v>
      </c>
      <c r="Y942" s="64">
        <f>DATEVALUE(tblWorkPackages[[#This Row],[Completion date]])</f>
        <v>45866.0</v>
      </c>
      <c r="Z942" s="64">
        <f>_xlfn.MINIFS(tblLaborEntries[Work date serial],tblLaborEntries[Work package ID],tblWorkPackages[[#This Row],[Work package ID]])</f>
        <v>45866.0</v>
      </c>
      <c r="AA942" s="64">
        <f>_xlfn.MAXIFS(tblLaborEntries[Work date serial],tblLaborEntries[Work package ID],tblWorkPackages[[#This Row],[Work package ID]])</f>
        <v>45866.0</v>
      </c>
      <c r="AB942" s="65">
        <f>IF(tblWorkPackages[[#This Row],[Completion date serial]]&gt;tblWorkPackages[[#This Row],[Due date serial]],1,0)</f>
        <v>0</v>
      </c>
      <c r="AC942" s="65">
        <f>MAX(0,tblWorkPackages[[#This Row],[Completion date serial]]-tblWorkPackages[[#This Row],[Due date serial]])</f>
        <v>0</v>
      </c>
      <c r="AD942" s="65">
        <f>tblWorkPackages[[#This Row],[First labor date]]-tblWorkPackages[[#This Row],[Request date serial]]</f>
        <v>7</v>
      </c>
      <c r="AE942" s="65">
        <f>tblWorkPackages[[#This Row],[Last labor date]]-tblWorkPackages[[#This Row],[First labor date]]</f>
        <v>0</v>
      </c>
      <c r="AF942" s="65">
        <f>tblWorkPackages[[#This Row],[Completion date serial]]-tblWorkPackages[[#This Row],[Last labor date]]</f>
        <v>0</v>
      </c>
      <c r="AG942" s="65">
        <f>tblWorkPackages[[#This Row],[Completion date serial]]-tblWorkPackages[[#This Row],[Request date serial]]</f>
        <v>7</v>
      </c>
      <c r="AH942" s="65">
        <f>IFERROR(INDEX(tblParts[Delay days],MATCH(tblWorkPackages[[#This Row],[Work package ID]],tblParts[Work package ID],0)),0)</f>
        <v>0</v>
      </c>
      <c r="AI942" s="51" t="str">
        <f>IFERROR(INDEX(tblDisruptions[Event type],MATCH(tblWorkPackages[[#This Row],[Work package ID]],tblDisruptions[Work package ID],0)),"None")</f>
        <v>None</v>
      </c>
      <c r="AJ942" s="51" t="str">
        <f>TEXT(tblWorkPackages[[#This Row],[Due date serial]],"yyyy-mm")</f>
        <v>2025-08</v>
      </c>
    </row>
    <row r="943" spans="1:36" ht="15" x14ac:dyDescent="0.25">
      <c r="A943" s="53" t="s">
        <v>1835</v>
      </c>
      <c r="B943" s="53" t="s">
        <v>287</v>
      </c>
      <c r="C943" s="53" t="s">
        <v>131</v>
      </c>
      <c r="D943" s="53" t="s">
        <v>1076</v>
      </c>
      <c r="E943" s="53" t="s">
        <v>272</v>
      </c>
      <c r="F943" s="53" t="s">
        <v>145</v>
      </c>
      <c r="G943" s="53" t="s">
        <v>273</v>
      </c>
      <c r="H943" s="53">
        <v>1</v>
      </c>
      <c r="I943" s="53" t="s">
        <v>130</v>
      </c>
      <c r="J943" s="53">
        <v>0</v>
      </c>
      <c r="K943" s="53">
        <v>1</v>
      </c>
      <c r="L943" s="53">
        <v>8.5</v>
      </c>
      <c r="M943" s="53" t="s">
        <v>365</v>
      </c>
      <c r="N943" s="53">
        <v>6.8</v>
      </c>
      <c r="O943" s="51" t="str">
        <f>TEXT(tblWorkPackages[[#This Row],[Request date serial]]-WEEKDAY(tblWorkPackages[[#This Row],[Request date serial]],3),"yyyy-mm-dd")</f>
        <v>2025-05-12</v>
      </c>
      <c r="P943" s="51">
        <f>ABS(tblWorkPackages[[#This Row],[Actual labor hours]]-tblWorkPackages[[#This Row],[Estimated labor hours]])</f>
        <v>1.7</v>
      </c>
      <c r="Q943" s="51">
        <f>IF(tblWorkPackages[[#This Row],[Actual labor hours]]&gt;tblWorkPackages[[#This Row],[Estimated labor hours]],1,0)</f>
        <v>0</v>
      </c>
      <c r="R943" s="51">
        <f>tblWorkPackages[[#This Row],[Actual labor hours]]-tblWorkPackages[[#This Row],[Estimated labor hours]]</f>
        <v>-1.7</v>
      </c>
      <c r="S943" s="51" t="str">
        <f>IF(tblWorkPackages[[#This Row],[Request date serial]]&lt;ValidationStart,"Train 2024",IF(tblWorkPackages[[#This Row],[Request date serial]]&lt;HoldoutStart,"Validation H1","Holdout H2"))</f>
        <v>Validation H1</v>
      </c>
      <c r="T943" s="51">
        <f>IF(tblWorkPackages[[#This Row],[Time split]]="Train 2024","",tblWorkPackages[[#This Row],[Estimated labor hours]]+VLOOKUP(tblWorkPackages[[#This Row],[Task type]],'Forecast validation'!$A$14:$E$25,IF(tblWorkPackages[[#This Row],[Time split]]="Validation H1",4,5),FALSE()))</f>
        <v>9.53205128205128</v>
      </c>
      <c r="U943" s="51">
        <f>IF(tblWorkPackages[[#This Row],[Calibrated forecast hours]]="","",ABS(tblWorkPackages[[#This Row],[Actual labor hours]]-tblWorkPackages[[#This Row],[Calibrated forecast hours]]))</f>
        <v>2.73205128205128</v>
      </c>
      <c r="V943" s="51">
        <f>IF(tblWorkPackages[[#This Row],[Time split]]="Train 2024",tblWorkPackages[[#This Row],[Estimated labor hours]],tblWorkPackages[[#This Row],[Calibrated forecast hours]])</f>
        <v>9.53205128205128</v>
      </c>
      <c r="W943" s="64">
        <f>DATEVALUE(tblWorkPackages[[#This Row],[Request date]])</f>
        <v>45791.0</v>
      </c>
      <c r="X943" s="64">
        <f>DATEVALUE(tblWorkPackages[[#This Row],[Due date]])</f>
        <v>45804.0</v>
      </c>
      <c r="Y943" s="64">
        <f>DATEVALUE(tblWorkPackages[[#This Row],[Completion date]])</f>
        <v>45796.0</v>
      </c>
      <c r="Z943" s="64">
        <f>_xlfn.MINIFS(tblLaborEntries[Work date serial],tblLaborEntries[Work package ID],tblWorkPackages[[#This Row],[Work package ID]])</f>
        <v>45793.0</v>
      </c>
      <c r="AA943" s="64">
        <f>_xlfn.MAXIFS(tblLaborEntries[Work date serial],tblLaborEntries[Work package ID],tblWorkPackages[[#This Row],[Work package ID]])</f>
        <v>45795.0</v>
      </c>
      <c r="AB943" s="65">
        <f>IF(tblWorkPackages[[#This Row],[Completion date serial]]&gt;tblWorkPackages[[#This Row],[Due date serial]],1,0)</f>
        <v>0</v>
      </c>
      <c r="AC943" s="65">
        <f>MAX(0,tblWorkPackages[[#This Row],[Completion date serial]]-tblWorkPackages[[#This Row],[Due date serial]])</f>
        <v>0</v>
      </c>
      <c r="AD943" s="65">
        <f>tblWorkPackages[[#This Row],[First labor date]]-tblWorkPackages[[#This Row],[Request date serial]]</f>
        <v>2</v>
      </c>
      <c r="AE943" s="65">
        <f>tblWorkPackages[[#This Row],[Last labor date]]-tblWorkPackages[[#This Row],[First labor date]]</f>
        <v>2</v>
      </c>
      <c r="AF943" s="65">
        <f>tblWorkPackages[[#This Row],[Completion date serial]]-tblWorkPackages[[#This Row],[Last labor date]]</f>
        <v>1</v>
      </c>
      <c r="AG943" s="65">
        <f>tblWorkPackages[[#This Row],[Completion date serial]]-tblWorkPackages[[#This Row],[Request date serial]]</f>
        <v>5</v>
      </c>
      <c r="AH943" s="65">
        <f>IFERROR(INDEX(tblParts[Delay days],MATCH(tblWorkPackages[[#This Row],[Work package ID]],tblParts[Work package ID],0)),0)</f>
        <v>0</v>
      </c>
      <c r="AI943" s="51" t="str">
        <f>IFERROR(INDEX(tblDisruptions[Event type],MATCH(tblWorkPackages[[#This Row],[Work package ID]],tblDisruptions[Work package ID],0)),"None")</f>
        <v>None</v>
      </c>
      <c r="AJ943" s="51" t="str">
        <f>TEXT(tblWorkPackages[[#This Row],[Due date serial]],"yyyy-mm")</f>
        <v>2025-05</v>
      </c>
    </row>
    <row r="944" spans="1:36" ht="15" x14ac:dyDescent="0.25">
      <c r="A944" s="53" t="s">
        <v>1836</v>
      </c>
      <c r="B944" s="53" t="s">
        <v>133</v>
      </c>
      <c r="C944" s="53" t="s">
        <v>909</v>
      </c>
      <c r="D944" s="53" t="s">
        <v>356</v>
      </c>
      <c r="E944" s="53" t="s">
        <v>127</v>
      </c>
      <c r="F944" s="53" t="s">
        <v>128</v>
      </c>
      <c r="G944" s="53" t="s">
        <v>129</v>
      </c>
      <c r="H944" s="53">
        <v>4</v>
      </c>
      <c r="I944" s="53" t="s">
        <v>130</v>
      </c>
      <c r="J944" s="53">
        <v>0</v>
      </c>
      <c r="K944" s="53">
        <v>0</v>
      </c>
      <c r="L944" s="53">
        <v>11.8</v>
      </c>
      <c r="M944" s="53" t="s">
        <v>849</v>
      </c>
      <c r="N944" s="53">
        <v>13.7</v>
      </c>
      <c r="O944" s="51" t="str">
        <f>TEXT(tblWorkPackages[[#This Row],[Request date serial]]-WEEKDAY(tblWorkPackages[[#This Row],[Request date serial]],3),"yyyy-mm-dd")</f>
        <v>2025-12-08</v>
      </c>
      <c r="P944" s="51">
        <f>ABS(tblWorkPackages[[#This Row],[Actual labor hours]]-tblWorkPackages[[#This Row],[Estimated labor hours]])</f>
        <v>1.9</v>
      </c>
      <c r="Q944" s="51">
        <f>IF(tblWorkPackages[[#This Row],[Actual labor hours]]&gt;tblWorkPackages[[#This Row],[Estimated labor hours]],1,0)</f>
        <v>1</v>
      </c>
      <c r="R944" s="51">
        <f>tblWorkPackages[[#This Row],[Actual labor hours]]-tblWorkPackages[[#This Row],[Estimated labor hours]]</f>
        <v>1.9</v>
      </c>
      <c r="S944" s="51" t="str">
        <f>IF(tblWorkPackages[[#This Row],[Request date serial]]&lt;ValidationStart,"Train 2024",IF(tblWorkPackages[[#This Row],[Request date serial]]&lt;HoldoutStart,"Validation H1","Holdout H2"))</f>
        <v>Holdout H2</v>
      </c>
      <c r="T944" s="51">
        <f>IF(tblWorkPackages[[#This Row],[Time split]]="Train 2024","",tblWorkPackages[[#This Row],[Estimated labor hours]]+VLOOKUP(tblWorkPackages[[#This Row],[Task type]],'Forecast validation'!$A$14:$E$25,IF(tblWorkPackages[[#This Row],[Time split]]="Validation H1",4,5),FALSE()))</f>
        <v>12.3434108527132</v>
      </c>
      <c r="U944" s="51">
        <f>IF(tblWorkPackages[[#This Row],[Calibrated forecast hours]]="","",ABS(tblWorkPackages[[#This Row],[Actual labor hours]]-tblWorkPackages[[#This Row],[Calibrated forecast hours]]))</f>
        <v>1.35658914728682</v>
      </c>
      <c r="V944" s="51">
        <f>IF(tblWorkPackages[[#This Row],[Time split]]="Train 2024",tblWorkPackages[[#This Row],[Estimated labor hours]],tblWorkPackages[[#This Row],[Calibrated forecast hours]])</f>
        <v>12.3434108527132</v>
      </c>
      <c r="W944" s="64">
        <f>DATEVALUE(tblWorkPackages[[#This Row],[Request date]])</f>
        <v>45999.0</v>
      </c>
      <c r="X944" s="64">
        <f>DATEVALUE(tblWorkPackages[[#This Row],[Due date]])</f>
        <v>46012.0</v>
      </c>
      <c r="Y944" s="64">
        <f>DATEVALUE(tblWorkPackages[[#This Row],[Completion date]])</f>
        <v>46019.0</v>
      </c>
      <c r="Z944" s="64">
        <f>_xlfn.MINIFS(tblLaborEntries[Work date serial],tblLaborEntries[Work package ID],tblWorkPackages[[#This Row],[Work package ID]])</f>
        <v>46015.0</v>
      </c>
      <c r="AA944" s="64">
        <f>_xlfn.MAXIFS(tblLaborEntries[Work date serial],tblLaborEntries[Work package ID],tblWorkPackages[[#This Row],[Work package ID]])</f>
        <v>46017.0</v>
      </c>
      <c r="AB944" s="65">
        <f>IF(tblWorkPackages[[#This Row],[Completion date serial]]&gt;tblWorkPackages[[#This Row],[Due date serial]],1,0)</f>
        <v>1</v>
      </c>
      <c r="AC944" s="65">
        <f>MAX(0,tblWorkPackages[[#This Row],[Completion date serial]]-tblWorkPackages[[#This Row],[Due date serial]])</f>
        <v>7</v>
      </c>
      <c r="AD944" s="65">
        <f>tblWorkPackages[[#This Row],[First labor date]]-tblWorkPackages[[#This Row],[Request date serial]]</f>
        <v>16</v>
      </c>
      <c r="AE944" s="65">
        <f>tblWorkPackages[[#This Row],[Last labor date]]-tblWorkPackages[[#This Row],[First labor date]]</f>
        <v>2</v>
      </c>
      <c r="AF944" s="65">
        <f>tblWorkPackages[[#This Row],[Completion date serial]]-tblWorkPackages[[#This Row],[Last labor date]]</f>
        <v>2</v>
      </c>
      <c r="AG944" s="65">
        <f>tblWorkPackages[[#This Row],[Completion date serial]]-tblWorkPackages[[#This Row],[Request date serial]]</f>
        <v>20</v>
      </c>
      <c r="AH944" s="65">
        <f>IFERROR(INDEX(tblParts[Delay days],MATCH(tblWorkPackages[[#This Row],[Work package ID]],tblParts[Work package ID],0)),0)</f>
        <v>0</v>
      </c>
      <c r="AI944" s="51" t="str">
        <f>IFERROR(INDEX(tblDisruptions[Event type],MATCH(tblWorkPackages[[#This Row],[Work package ID]],tblDisruptions[Work package ID],0)),"None")</f>
        <v>None</v>
      </c>
      <c r="AJ944" s="51" t="str">
        <f>TEXT(tblWorkPackages[[#This Row],[Due date serial]],"yyyy-mm")</f>
        <v>2025-12</v>
      </c>
    </row>
    <row r="945" spans="1:36" ht="15" x14ac:dyDescent="0.25">
      <c r="A945" s="53" t="s">
        <v>1837</v>
      </c>
      <c r="B945" s="53" t="s">
        <v>168</v>
      </c>
      <c r="C945" s="53" t="s">
        <v>1838</v>
      </c>
      <c r="D945" s="53" t="s">
        <v>179</v>
      </c>
      <c r="E945" s="53" t="s">
        <v>242</v>
      </c>
      <c r="F945" s="53" t="s">
        <v>243</v>
      </c>
      <c r="G945" s="53" t="s">
        <v>129</v>
      </c>
      <c r="H945" s="53">
        <v>2</v>
      </c>
      <c r="I945" s="53" t="s">
        <v>176</v>
      </c>
      <c r="J945" s="53">
        <v>0</v>
      </c>
      <c r="K945" s="53">
        <v>1</v>
      </c>
      <c r="L945" s="53">
        <v>9.6999999999999993</v>
      </c>
      <c r="M945" s="53" t="s">
        <v>740</v>
      </c>
      <c r="N945" s="53">
        <v>12.7</v>
      </c>
      <c r="O945" s="51" t="str">
        <f>TEXT(tblWorkPackages[[#This Row],[Request date serial]]-WEEKDAY(tblWorkPackages[[#This Row],[Request date serial]],3),"yyyy-mm-dd")</f>
        <v>2025-05-05</v>
      </c>
      <c r="P945" s="51">
        <f>ABS(tblWorkPackages[[#This Row],[Actual labor hours]]-tblWorkPackages[[#This Row],[Estimated labor hours]])</f>
        <v>3</v>
      </c>
      <c r="Q945" s="51">
        <f>IF(tblWorkPackages[[#This Row],[Actual labor hours]]&gt;tblWorkPackages[[#This Row],[Estimated labor hours]],1,0)</f>
        <v>1</v>
      </c>
      <c r="R945" s="51">
        <f>tblWorkPackages[[#This Row],[Actual labor hours]]-tblWorkPackages[[#This Row],[Estimated labor hours]]</f>
        <v>3</v>
      </c>
      <c r="S945" s="51" t="str">
        <f>IF(tblWorkPackages[[#This Row],[Request date serial]]&lt;ValidationStart,"Train 2024",IF(tblWorkPackages[[#This Row],[Request date serial]]&lt;HoldoutStart,"Validation H1","Holdout H2"))</f>
        <v>Validation H1</v>
      </c>
      <c r="T945" s="51">
        <f>IF(tblWorkPackages[[#This Row],[Time split]]="Train 2024","",tblWorkPackages[[#This Row],[Estimated labor hours]]+VLOOKUP(tblWorkPackages[[#This Row],[Task type]],'Forecast validation'!$A$14:$E$25,IF(tblWorkPackages[[#This Row],[Time split]]="Validation H1",4,5),FALSE()))</f>
        <v>10.2561224489796</v>
      </c>
      <c r="U945" s="51">
        <f>IF(tblWorkPackages[[#This Row],[Calibrated forecast hours]]="","",ABS(tblWorkPackages[[#This Row],[Actual labor hours]]-tblWorkPackages[[#This Row],[Calibrated forecast hours]]))</f>
        <v>2.44387755102041</v>
      </c>
      <c r="V945" s="51">
        <f>IF(tblWorkPackages[[#This Row],[Time split]]="Train 2024",tblWorkPackages[[#This Row],[Estimated labor hours]],tblWorkPackages[[#This Row],[Calibrated forecast hours]])</f>
        <v>10.2561224489796</v>
      </c>
      <c r="W945" s="64">
        <f>DATEVALUE(tblWorkPackages[[#This Row],[Request date]])</f>
        <v>45786.0</v>
      </c>
      <c r="X945" s="64">
        <f>DATEVALUE(tblWorkPackages[[#This Row],[Due date]])</f>
        <v>45792.0</v>
      </c>
      <c r="Y945" s="64">
        <f>DATEVALUE(tblWorkPackages[[#This Row],[Completion date]])</f>
        <v>45797.0</v>
      </c>
      <c r="Z945" s="64">
        <f>_xlfn.MINIFS(tblLaborEntries[Work date serial],tblLaborEntries[Work package ID],tblWorkPackages[[#This Row],[Work package ID]])</f>
        <v>45794.0</v>
      </c>
      <c r="AA945" s="64">
        <f>_xlfn.MAXIFS(tblLaborEntries[Work date serial],tblLaborEntries[Work package ID],tblWorkPackages[[#This Row],[Work package ID]])</f>
        <v>45794.0</v>
      </c>
      <c r="AB945" s="65">
        <f>IF(tblWorkPackages[[#This Row],[Completion date serial]]&gt;tblWorkPackages[[#This Row],[Due date serial]],1,0)</f>
        <v>1</v>
      </c>
      <c r="AC945" s="65">
        <f>MAX(0,tblWorkPackages[[#This Row],[Completion date serial]]-tblWorkPackages[[#This Row],[Due date serial]])</f>
        <v>5</v>
      </c>
      <c r="AD945" s="65">
        <f>tblWorkPackages[[#This Row],[First labor date]]-tblWorkPackages[[#This Row],[Request date serial]]</f>
        <v>8</v>
      </c>
      <c r="AE945" s="65">
        <f>tblWorkPackages[[#This Row],[Last labor date]]-tblWorkPackages[[#This Row],[First labor date]]</f>
        <v>0</v>
      </c>
      <c r="AF945" s="65">
        <f>tblWorkPackages[[#This Row],[Completion date serial]]-tblWorkPackages[[#This Row],[Last labor date]]</f>
        <v>3</v>
      </c>
      <c r="AG945" s="65">
        <f>tblWorkPackages[[#This Row],[Completion date serial]]-tblWorkPackages[[#This Row],[Request date serial]]</f>
        <v>11</v>
      </c>
      <c r="AH945" s="65">
        <f>IFERROR(INDEX(tblParts[Delay days],MATCH(tblWorkPackages[[#This Row],[Work package ID]],tblParts[Work package ID],0)),0)</f>
        <v>4</v>
      </c>
      <c r="AI945" s="51" t="str">
        <f>IFERROR(INDEX(tblDisruptions[Event type],MATCH(tblWorkPackages[[#This Row],[Work package ID]],tblDisruptions[Work package ID],0)),"None")</f>
        <v>Part delay</v>
      </c>
      <c r="AJ945" s="51" t="str">
        <f>TEXT(tblWorkPackages[[#This Row],[Due date serial]],"yyyy-mm")</f>
        <v>2025-05</v>
      </c>
    </row>
    <row r="946" spans="1:36" ht="15" x14ac:dyDescent="0.25">
      <c r="A946" s="53" t="s">
        <v>1839</v>
      </c>
      <c r="B946" s="53" t="s">
        <v>230</v>
      </c>
      <c r="C946" s="53" t="s">
        <v>1469</v>
      </c>
      <c r="D946" s="53" t="s">
        <v>400</v>
      </c>
      <c r="E946" s="53" t="s">
        <v>153</v>
      </c>
      <c r="F946" s="53" t="s">
        <v>128</v>
      </c>
      <c r="G946" s="53" t="s">
        <v>154</v>
      </c>
      <c r="H946" s="53">
        <v>3</v>
      </c>
      <c r="I946" s="53" t="s">
        <v>130</v>
      </c>
      <c r="J946" s="53">
        <v>0</v>
      </c>
      <c r="K946" s="53">
        <v>0</v>
      </c>
      <c r="L946" s="53">
        <v>15.1</v>
      </c>
      <c r="M946" s="53" t="s">
        <v>301</v>
      </c>
      <c r="N946" s="53">
        <v>13</v>
      </c>
      <c r="O946" s="51" t="str">
        <f>TEXT(tblWorkPackages[[#This Row],[Request date serial]]-WEEKDAY(tblWorkPackages[[#This Row],[Request date serial]],3),"yyyy-mm-dd")</f>
        <v>2024-05-06</v>
      </c>
      <c r="P946" s="51">
        <f>ABS(tblWorkPackages[[#This Row],[Actual labor hours]]-tblWorkPackages[[#This Row],[Estimated labor hours]])</f>
        <v>2.1</v>
      </c>
      <c r="Q946" s="51">
        <f>IF(tblWorkPackages[[#This Row],[Actual labor hours]]&gt;tblWorkPackages[[#This Row],[Estimated labor hours]],1,0)</f>
        <v>0</v>
      </c>
      <c r="R946" s="51">
        <f>tblWorkPackages[[#This Row],[Actual labor hours]]-tblWorkPackages[[#This Row],[Estimated labor hours]]</f>
        <v>-2.1</v>
      </c>
      <c r="S946" s="51" t="str">
        <f>IF(tblWorkPackages[[#This Row],[Request date serial]]&lt;ValidationStart,"Train 2024",IF(tblWorkPackages[[#This Row],[Request date serial]]&lt;HoldoutStart,"Validation H1","Holdout H2"))</f>
        <v>Train 2024</v>
      </c>
      <c r="T946" s="51" t="str">
        <f>IF(tblWorkPackages[[#This Row],[Time split]]="Train 2024","",tblWorkPackages[[#This Row],[Estimated labor hours]]+VLOOKUP(tblWorkPackages[[#This Row],[Task type]],'Forecast validation'!$A$14:$E$25,IF(tblWorkPackages[[#This Row],[Time split]]="Validation H1",4,5),FALSE()))</f>
        <v/>
      </c>
      <c r="U946" s="51" t="str">
        <f>IF(tblWorkPackages[[#This Row],[Calibrated forecast hours]]="","",ABS(tblWorkPackages[[#This Row],[Actual labor hours]]-tblWorkPackages[[#This Row],[Calibrated forecast hours]]))</f>
        <v/>
      </c>
      <c r="V946" s="51">
        <f>IF(tblWorkPackages[[#This Row],[Time split]]="Train 2024",tblWorkPackages[[#This Row],[Estimated labor hours]],tblWorkPackages[[#This Row],[Calibrated forecast hours]])</f>
        <v>15.1</v>
      </c>
      <c r="W946" s="64">
        <f>DATEVALUE(tblWorkPackages[[#This Row],[Request date]])</f>
        <v>45421.0</v>
      </c>
      <c r="X946" s="64">
        <f>DATEVALUE(tblWorkPackages[[#This Row],[Due date]])</f>
        <v>45434.0</v>
      </c>
      <c r="Y946" s="64">
        <f>DATEVALUE(tblWorkPackages[[#This Row],[Completion date]])</f>
        <v>45422.0</v>
      </c>
      <c r="Z946" s="64">
        <f>_xlfn.MINIFS(tblLaborEntries[Work date serial],tblLaborEntries[Work package ID],tblWorkPackages[[#This Row],[Work package ID]])</f>
        <v>45422.0</v>
      </c>
      <c r="AA946" s="64">
        <f>_xlfn.MAXIFS(tblLaborEntries[Work date serial],tblLaborEntries[Work package ID],tblWorkPackages[[#This Row],[Work package ID]])</f>
        <v>45422.0</v>
      </c>
      <c r="AB946" s="65">
        <f>IF(tblWorkPackages[[#This Row],[Completion date serial]]&gt;tblWorkPackages[[#This Row],[Due date serial]],1,0)</f>
        <v>0</v>
      </c>
      <c r="AC946" s="65">
        <f>MAX(0,tblWorkPackages[[#This Row],[Completion date serial]]-tblWorkPackages[[#This Row],[Due date serial]])</f>
        <v>0</v>
      </c>
      <c r="AD946" s="65">
        <f>tblWorkPackages[[#This Row],[First labor date]]-tblWorkPackages[[#This Row],[Request date serial]]</f>
        <v>1</v>
      </c>
      <c r="AE946" s="65">
        <f>tblWorkPackages[[#This Row],[Last labor date]]-tblWorkPackages[[#This Row],[First labor date]]</f>
        <v>0</v>
      </c>
      <c r="AF946" s="65">
        <f>tblWorkPackages[[#This Row],[Completion date serial]]-tblWorkPackages[[#This Row],[Last labor date]]</f>
        <v>0</v>
      </c>
      <c r="AG946" s="65">
        <f>tblWorkPackages[[#This Row],[Completion date serial]]-tblWorkPackages[[#This Row],[Request date serial]]</f>
        <v>1</v>
      </c>
      <c r="AH946" s="65">
        <f>IFERROR(INDEX(tblParts[Delay days],MATCH(tblWorkPackages[[#This Row],[Work package ID]],tblParts[Work package ID],0)),0)</f>
        <v>0</v>
      </c>
      <c r="AI946" s="51" t="str">
        <f>IFERROR(INDEX(tblDisruptions[Event type],MATCH(tblWorkPackages[[#This Row],[Work package ID]],tblDisruptions[Work package ID],0)),"None")</f>
        <v>None</v>
      </c>
      <c r="AJ946" s="51" t="str">
        <f>TEXT(tblWorkPackages[[#This Row],[Due date serial]],"yyyy-mm")</f>
        <v>2024-05</v>
      </c>
    </row>
    <row r="947" spans="1:36" ht="15" x14ac:dyDescent="0.25">
      <c r="A947" s="53" t="s">
        <v>1840</v>
      </c>
      <c r="B947" s="53" t="s">
        <v>235</v>
      </c>
      <c r="C947" s="53" t="s">
        <v>906</v>
      </c>
      <c r="D947" s="53" t="s">
        <v>518</v>
      </c>
      <c r="E947" s="53" t="s">
        <v>237</v>
      </c>
      <c r="F947" s="53" t="s">
        <v>182</v>
      </c>
      <c r="G947" s="53" t="s">
        <v>138</v>
      </c>
      <c r="H947" s="53">
        <v>4</v>
      </c>
      <c r="I947" s="53" t="s">
        <v>130</v>
      </c>
      <c r="J947" s="53">
        <v>0</v>
      </c>
      <c r="K947" s="53">
        <v>0</v>
      </c>
      <c r="L947" s="53">
        <v>10.5</v>
      </c>
      <c r="M947" s="53" t="s">
        <v>518</v>
      </c>
      <c r="N947" s="53">
        <v>9.1999999999999993</v>
      </c>
      <c r="O947" s="51" t="str">
        <f>TEXT(tblWorkPackages[[#This Row],[Request date serial]]-WEEKDAY(tblWorkPackages[[#This Row],[Request date serial]],3),"yyyy-mm-dd")</f>
        <v>2025-04-28</v>
      </c>
      <c r="P947" s="51">
        <f>ABS(tblWorkPackages[[#This Row],[Actual labor hours]]-tblWorkPackages[[#This Row],[Estimated labor hours]])</f>
        <v>1.3</v>
      </c>
      <c r="Q947" s="51">
        <f>IF(tblWorkPackages[[#This Row],[Actual labor hours]]&gt;tblWorkPackages[[#This Row],[Estimated labor hours]],1,0)</f>
        <v>0</v>
      </c>
      <c r="R947" s="51">
        <f>tblWorkPackages[[#This Row],[Actual labor hours]]-tblWorkPackages[[#This Row],[Estimated labor hours]]</f>
        <v>-1.3</v>
      </c>
      <c r="S947" s="51" t="str">
        <f>IF(tblWorkPackages[[#This Row],[Request date serial]]&lt;ValidationStart,"Train 2024",IF(tblWorkPackages[[#This Row],[Request date serial]]&lt;HoldoutStart,"Validation H1","Holdout H2"))</f>
        <v>Validation H1</v>
      </c>
      <c r="T947" s="51">
        <f>IF(tblWorkPackages[[#This Row],[Time split]]="Train 2024","",tblWorkPackages[[#This Row],[Estimated labor hours]]+VLOOKUP(tblWorkPackages[[#This Row],[Task type]],'Forecast validation'!$A$14:$E$25,IF(tblWorkPackages[[#This Row],[Time split]]="Validation H1",4,5),FALSE()))</f>
        <v>11.0037037037037</v>
      </c>
      <c r="U947" s="51">
        <f>IF(tblWorkPackages[[#This Row],[Calibrated forecast hours]]="","",ABS(tblWorkPackages[[#This Row],[Actual labor hours]]-tblWorkPackages[[#This Row],[Calibrated forecast hours]]))</f>
        <v>1.8037037037037</v>
      </c>
      <c r="V947" s="51">
        <f>IF(tblWorkPackages[[#This Row],[Time split]]="Train 2024",tblWorkPackages[[#This Row],[Estimated labor hours]],tblWorkPackages[[#This Row],[Calibrated forecast hours]])</f>
        <v>11.0037037037037</v>
      </c>
      <c r="W947" s="64">
        <f>DATEVALUE(tblWorkPackages[[#This Row],[Request date]])</f>
        <v>45781.0</v>
      </c>
      <c r="X947" s="64">
        <f>DATEVALUE(tblWorkPackages[[#This Row],[Due date]])</f>
        <v>45794.0</v>
      </c>
      <c r="Y947" s="64">
        <f>DATEVALUE(tblWorkPackages[[#This Row],[Completion date]])</f>
        <v>45794.0</v>
      </c>
      <c r="Z947" s="64">
        <f>_xlfn.MINIFS(tblLaborEntries[Work date serial],tblLaborEntries[Work package ID],tblWorkPackages[[#This Row],[Work package ID]])</f>
        <v>45791.0</v>
      </c>
      <c r="AA947" s="64">
        <f>_xlfn.MAXIFS(tblLaborEntries[Work date serial],tblLaborEntries[Work package ID],tblWorkPackages[[#This Row],[Work package ID]])</f>
        <v>45793.0</v>
      </c>
      <c r="AB947" s="65">
        <f>IF(tblWorkPackages[[#This Row],[Completion date serial]]&gt;tblWorkPackages[[#This Row],[Due date serial]],1,0)</f>
        <v>0</v>
      </c>
      <c r="AC947" s="65">
        <f>MAX(0,tblWorkPackages[[#This Row],[Completion date serial]]-tblWorkPackages[[#This Row],[Due date serial]])</f>
        <v>0</v>
      </c>
      <c r="AD947" s="65">
        <f>tblWorkPackages[[#This Row],[First labor date]]-tblWorkPackages[[#This Row],[Request date serial]]</f>
        <v>10</v>
      </c>
      <c r="AE947" s="65">
        <f>tblWorkPackages[[#This Row],[Last labor date]]-tblWorkPackages[[#This Row],[First labor date]]</f>
        <v>2</v>
      </c>
      <c r="AF947" s="65">
        <f>tblWorkPackages[[#This Row],[Completion date serial]]-tblWorkPackages[[#This Row],[Last labor date]]</f>
        <v>1</v>
      </c>
      <c r="AG947" s="65">
        <f>tblWorkPackages[[#This Row],[Completion date serial]]-tblWorkPackages[[#This Row],[Request date serial]]</f>
        <v>13</v>
      </c>
      <c r="AH947" s="65">
        <f>IFERROR(INDEX(tblParts[Delay days],MATCH(tblWorkPackages[[#This Row],[Work package ID]],tblParts[Work package ID],0)),0)</f>
        <v>0</v>
      </c>
      <c r="AI947" s="51" t="str">
        <f>IFERROR(INDEX(tblDisruptions[Event type],MATCH(tblWorkPackages[[#This Row],[Work package ID]],tblDisruptions[Work package ID],0)),"None")</f>
        <v>None</v>
      </c>
      <c r="AJ947" s="51" t="str">
        <f>TEXT(tblWorkPackages[[#This Row],[Due date serial]],"yyyy-mm")</f>
        <v>2025-05</v>
      </c>
    </row>
    <row r="948" spans="1:36" ht="15" x14ac:dyDescent="0.25">
      <c r="A948" s="53" t="s">
        <v>1841</v>
      </c>
      <c r="B948" s="53" t="s">
        <v>185</v>
      </c>
      <c r="C948" s="53" t="s">
        <v>447</v>
      </c>
      <c r="D948" s="53" t="s">
        <v>592</v>
      </c>
      <c r="E948" s="53" t="s">
        <v>223</v>
      </c>
      <c r="F948" s="53" t="s">
        <v>182</v>
      </c>
      <c r="G948" s="53" t="s">
        <v>154</v>
      </c>
      <c r="H948" s="53">
        <v>3</v>
      </c>
      <c r="I948" s="53" t="s">
        <v>130</v>
      </c>
      <c r="J948" s="53">
        <v>0</v>
      </c>
      <c r="K948" s="53">
        <v>1</v>
      </c>
      <c r="L948" s="53">
        <v>19.600000000000001</v>
      </c>
      <c r="M948" s="53" t="s">
        <v>1446</v>
      </c>
      <c r="N948" s="53">
        <v>19.3</v>
      </c>
      <c r="O948" s="51" t="str">
        <f>TEXT(tblWorkPackages[[#This Row],[Request date serial]]-WEEKDAY(tblWorkPackages[[#This Row],[Request date serial]],3),"yyyy-mm-dd")</f>
        <v>2025-03-24</v>
      </c>
      <c r="P948" s="51">
        <f>ABS(tblWorkPackages[[#This Row],[Actual labor hours]]-tblWorkPackages[[#This Row],[Estimated labor hours]])</f>
        <v>0.300000000000001</v>
      </c>
      <c r="Q948" s="51">
        <f>IF(tblWorkPackages[[#This Row],[Actual labor hours]]&gt;tblWorkPackages[[#This Row],[Estimated labor hours]],1,0)</f>
        <v>0</v>
      </c>
      <c r="R948" s="51">
        <f>tblWorkPackages[[#This Row],[Actual labor hours]]-tblWorkPackages[[#This Row],[Estimated labor hours]]</f>
        <v>-0.300000000000001</v>
      </c>
      <c r="S948" s="51" t="str">
        <f>IF(tblWorkPackages[[#This Row],[Request date serial]]&lt;ValidationStart,"Train 2024",IF(tblWorkPackages[[#This Row],[Request date serial]]&lt;HoldoutStart,"Validation H1","Holdout H2"))</f>
        <v>Validation H1</v>
      </c>
      <c r="T948" s="51">
        <f>IF(tblWorkPackages[[#This Row],[Time split]]="Train 2024","",tblWorkPackages[[#This Row],[Estimated labor hours]]+VLOOKUP(tblWorkPackages[[#This Row],[Task type]],'Forecast validation'!$A$14:$E$25,IF(tblWorkPackages[[#This Row],[Time split]]="Validation H1",4,5),FALSE()))</f>
        <v>20.4824175824176</v>
      </c>
      <c r="U948" s="51">
        <f>IF(tblWorkPackages[[#This Row],[Calibrated forecast hours]]="","",ABS(tblWorkPackages[[#This Row],[Actual labor hours]]-tblWorkPackages[[#This Row],[Calibrated forecast hours]]))</f>
        <v>1.18241758241758</v>
      </c>
      <c r="V948" s="51">
        <f>IF(tblWorkPackages[[#This Row],[Time split]]="Train 2024",tblWorkPackages[[#This Row],[Estimated labor hours]],tblWorkPackages[[#This Row],[Calibrated forecast hours]])</f>
        <v>20.4824175824176</v>
      </c>
      <c r="W948" s="64">
        <f>DATEVALUE(tblWorkPackages[[#This Row],[Request date]])</f>
        <v>45744.0</v>
      </c>
      <c r="X948" s="64">
        <f>DATEVALUE(tblWorkPackages[[#This Row],[Due date]])</f>
        <v>45757.0</v>
      </c>
      <c r="Y948" s="64">
        <f>DATEVALUE(tblWorkPackages[[#This Row],[Completion date]])</f>
        <v>45751.0</v>
      </c>
      <c r="Z948" s="64">
        <f>_xlfn.MINIFS(tblLaborEntries[Work date serial],tblLaborEntries[Work package ID],tblWorkPackages[[#This Row],[Work package ID]])</f>
        <v>45747.0</v>
      </c>
      <c r="AA948" s="64">
        <f>_xlfn.MAXIFS(tblLaborEntries[Work date serial],tblLaborEntries[Work package ID],tblWorkPackages[[#This Row],[Work package ID]])</f>
        <v>45749.0</v>
      </c>
      <c r="AB948" s="65">
        <f>IF(tblWorkPackages[[#This Row],[Completion date serial]]&gt;tblWorkPackages[[#This Row],[Due date serial]],1,0)</f>
        <v>0</v>
      </c>
      <c r="AC948" s="65">
        <f>MAX(0,tblWorkPackages[[#This Row],[Completion date serial]]-tblWorkPackages[[#This Row],[Due date serial]])</f>
        <v>0</v>
      </c>
      <c r="AD948" s="65">
        <f>tblWorkPackages[[#This Row],[First labor date]]-tblWorkPackages[[#This Row],[Request date serial]]</f>
        <v>3</v>
      </c>
      <c r="AE948" s="65">
        <f>tblWorkPackages[[#This Row],[Last labor date]]-tblWorkPackages[[#This Row],[First labor date]]</f>
        <v>2</v>
      </c>
      <c r="AF948" s="65">
        <f>tblWorkPackages[[#This Row],[Completion date serial]]-tblWorkPackages[[#This Row],[Last labor date]]</f>
        <v>2</v>
      </c>
      <c r="AG948" s="65">
        <f>tblWorkPackages[[#This Row],[Completion date serial]]-tblWorkPackages[[#This Row],[Request date serial]]</f>
        <v>7</v>
      </c>
      <c r="AH948" s="65">
        <f>IFERROR(INDEX(tblParts[Delay days],MATCH(tblWorkPackages[[#This Row],[Work package ID]],tblParts[Work package ID],0)),0)</f>
        <v>0</v>
      </c>
      <c r="AI948" s="51" t="str">
        <f>IFERROR(INDEX(tblDisruptions[Event type],MATCH(tblWorkPackages[[#This Row],[Work package ID]],tblDisruptions[Work package ID],0)),"None")</f>
        <v>None</v>
      </c>
      <c r="AJ948" s="51" t="str">
        <f>TEXT(tblWorkPackages[[#This Row],[Due date serial]],"yyyy-mm")</f>
        <v>2025-04</v>
      </c>
    </row>
    <row r="949" spans="1:36" ht="15" x14ac:dyDescent="0.25">
      <c r="A949" s="53" t="s">
        <v>1842</v>
      </c>
      <c r="B949" s="53" t="s">
        <v>163</v>
      </c>
      <c r="C949" s="53" t="s">
        <v>125</v>
      </c>
      <c r="D949" s="53" t="s">
        <v>126</v>
      </c>
      <c r="E949" s="53" t="s">
        <v>200</v>
      </c>
      <c r="F949" s="53" t="s">
        <v>128</v>
      </c>
      <c r="G949" s="53" t="s">
        <v>129</v>
      </c>
      <c r="H949" s="53">
        <v>4</v>
      </c>
      <c r="I949" s="53" t="s">
        <v>130</v>
      </c>
      <c r="J949" s="53">
        <v>0</v>
      </c>
      <c r="K949" s="53">
        <v>0</v>
      </c>
      <c r="L949" s="53">
        <v>5.9</v>
      </c>
      <c r="M949" s="53" t="s">
        <v>741</v>
      </c>
      <c r="N949" s="53">
        <v>5.2</v>
      </c>
      <c r="O949" s="51" t="str">
        <f>TEXT(tblWorkPackages[[#This Row],[Request date serial]]-WEEKDAY(tblWorkPackages[[#This Row],[Request date serial]],3),"yyyy-mm-dd")</f>
        <v>2025-04-28</v>
      </c>
      <c r="P949" s="51">
        <f>ABS(tblWorkPackages[[#This Row],[Actual labor hours]]-tblWorkPackages[[#This Row],[Estimated labor hours]])</f>
        <v>0.7</v>
      </c>
      <c r="Q949" s="51">
        <f>IF(tblWorkPackages[[#This Row],[Actual labor hours]]&gt;tblWorkPackages[[#This Row],[Estimated labor hours]],1,0)</f>
        <v>0</v>
      </c>
      <c r="R949" s="51">
        <f>tblWorkPackages[[#This Row],[Actual labor hours]]-tblWorkPackages[[#This Row],[Estimated labor hours]]</f>
        <v>-0.7</v>
      </c>
      <c r="S949" s="51" t="str">
        <f>IF(tblWorkPackages[[#This Row],[Request date serial]]&lt;ValidationStart,"Train 2024",IF(tblWorkPackages[[#This Row],[Request date serial]]&lt;HoldoutStart,"Validation H1","Holdout H2"))</f>
        <v>Validation H1</v>
      </c>
      <c r="T949" s="51">
        <f>IF(tblWorkPackages[[#This Row],[Time split]]="Train 2024","",tblWorkPackages[[#This Row],[Estimated labor hours]]+VLOOKUP(tblWorkPackages[[#This Row],[Task type]],'Forecast validation'!$A$14:$E$25,IF(tblWorkPackages[[#This Row],[Time split]]="Validation H1",4,5),FALSE()))</f>
        <v>6.23069306930693</v>
      </c>
      <c r="U949" s="51">
        <f>IF(tblWorkPackages[[#This Row],[Calibrated forecast hours]]="","",ABS(tblWorkPackages[[#This Row],[Actual labor hours]]-tblWorkPackages[[#This Row],[Calibrated forecast hours]]))</f>
        <v>1.03069306930693</v>
      </c>
      <c r="V949" s="51">
        <f>IF(tblWorkPackages[[#This Row],[Time split]]="Train 2024",tblWorkPackages[[#This Row],[Estimated labor hours]],tblWorkPackages[[#This Row],[Calibrated forecast hours]])</f>
        <v>6.23069306930693</v>
      </c>
      <c r="W949" s="64">
        <f>DATEVALUE(tblWorkPackages[[#This Row],[Request date]])</f>
        <v>45780.0</v>
      </c>
      <c r="X949" s="64">
        <f>DATEVALUE(tblWorkPackages[[#This Row],[Due date]])</f>
        <v>45793.0</v>
      </c>
      <c r="Y949" s="64">
        <f>DATEVALUE(tblWorkPackages[[#This Row],[Completion date]])</f>
        <v>45814.0</v>
      </c>
      <c r="Z949" s="64">
        <f>_xlfn.MINIFS(tblLaborEntries[Work date serial],tblLaborEntries[Work package ID],tblWorkPackages[[#This Row],[Work package ID]])</f>
        <v>45809.0</v>
      </c>
      <c r="AA949" s="64">
        <f>_xlfn.MAXIFS(tblLaborEntries[Work date serial],tblLaborEntries[Work package ID],tblWorkPackages[[#This Row],[Work package ID]])</f>
        <v>45811.0</v>
      </c>
      <c r="AB949" s="65">
        <f>IF(tblWorkPackages[[#This Row],[Completion date serial]]&gt;tblWorkPackages[[#This Row],[Due date serial]],1,0)</f>
        <v>1</v>
      </c>
      <c r="AC949" s="65">
        <f>MAX(0,tblWorkPackages[[#This Row],[Completion date serial]]-tblWorkPackages[[#This Row],[Due date serial]])</f>
        <v>21</v>
      </c>
      <c r="AD949" s="65">
        <f>tblWorkPackages[[#This Row],[First labor date]]-tblWorkPackages[[#This Row],[Request date serial]]</f>
        <v>29</v>
      </c>
      <c r="AE949" s="65">
        <f>tblWorkPackages[[#This Row],[Last labor date]]-tblWorkPackages[[#This Row],[First labor date]]</f>
        <v>2</v>
      </c>
      <c r="AF949" s="65">
        <f>tblWorkPackages[[#This Row],[Completion date serial]]-tblWorkPackages[[#This Row],[Last labor date]]</f>
        <v>3</v>
      </c>
      <c r="AG949" s="65">
        <f>tblWorkPackages[[#This Row],[Completion date serial]]-tblWorkPackages[[#This Row],[Request date serial]]</f>
        <v>34</v>
      </c>
      <c r="AH949" s="65">
        <f>IFERROR(INDEX(tblParts[Delay days],MATCH(tblWorkPackages[[#This Row],[Work package ID]],tblParts[Work package ID],0)),0)</f>
        <v>0</v>
      </c>
      <c r="AI949" s="51" t="str">
        <f>IFERROR(INDEX(tblDisruptions[Event type],MATCH(tblWorkPackages[[#This Row],[Work package ID]],tblDisruptions[Work package ID],0)),"None")</f>
        <v>None</v>
      </c>
      <c r="AJ949" s="51" t="str">
        <f>TEXT(tblWorkPackages[[#This Row],[Due date serial]],"yyyy-mm")</f>
        <v>2025-05</v>
      </c>
    </row>
    <row r="950" spans="1:36" ht="15" x14ac:dyDescent="0.25">
      <c r="A950" s="53" t="s">
        <v>1843</v>
      </c>
      <c r="B950" s="53" t="s">
        <v>235</v>
      </c>
      <c r="C950" s="53" t="s">
        <v>848</v>
      </c>
      <c r="D950" s="53" t="s">
        <v>356</v>
      </c>
      <c r="E950" s="53" t="s">
        <v>181</v>
      </c>
      <c r="F950" s="53" t="s">
        <v>182</v>
      </c>
      <c r="G950" s="53" t="s">
        <v>138</v>
      </c>
      <c r="H950" s="53">
        <v>2</v>
      </c>
      <c r="I950" s="53" t="s">
        <v>176</v>
      </c>
      <c r="J950" s="53">
        <v>0</v>
      </c>
      <c r="K950" s="53">
        <v>0</v>
      </c>
      <c r="L950" s="53">
        <v>7.1</v>
      </c>
      <c r="M950" s="53" t="s">
        <v>356</v>
      </c>
      <c r="N950" s="53">
        <v>6.7</v>
      </c>
      <c r="O950" s="51" t="str">
        <f>TEXT(tblWorkPackages[[#This Row],[Request date serial]]-WEEKDAY(tblWorkPackages[[#This Row],[Request date serial]],3),"yyyy-mm-dd")</f>
        <v>2025-12-15</v>
      </c>
      <c r="P950" s="51">
        <f>ABS(tblWorkPackages[[#This Row],[Actual labor hours]]-tblWorkPackages[[#This Row],[Estimated labor hours]])</f>
        <v>0.399999999999999</v>
      </c>
      <c r="Q950" s="51">
        <f>IF(tblWorkPackages[[#This Row],[Actual labor hours]]&gt;tblWorkPackages[[#This Row],[Estimated labor hours]],1,0)</f>
        <v>0</v>
      </c>
      <c r="R950" s="51">
        <f>tblWorkPackages[[#This Row],[Actual labor hours]]-tblWorkPackages[[#This Row],[Estimated labor hours]]</f>
        <v>-0.399999999999999</v>
      </c>
      <c r="S950" s="51" t="str">
        <f>IF(tblWorkPackages[[#This Row],[Request date serial]]&lt;ValidationStart,"Train 2024",IF(tblWorkPackages[[#This Row],[Request date serial]]&lt;HoldoutStart,"Validation H1","Holdout H2"))</f>
        <v>Holdout H2</v>
      </c>
      <c r="T950" s="51">
        <f>IF(tblWorkPackages[[#This Row],[Time split]]="Train 2024","",tblWorkPackages[[#This Row],[Estimated labor hours]]+VLOOKUP(tblWorkPackages[[#This Row],[Task type]],'Forecast validation'!$A$14:$E$25,IF(tblWorkPackages[[#This Row],[Time split]]="Validation H1",4,5),FALSE()))</f>
        <v>7.69160839160839</v>
      </c>
      <c r="U950" s="51">
        <f>IF(tblWorkPackages[[#This Row],[Calibrated forecast hours]]="","",ABS(tblWorkPackages[[#This Row],[Actual labor hours]]-tblWorkPackages[[#This Row],[Calibrated forecast hours]]))</f>
        <v>0.991608391608391</v>
      </c>
      <c r="V950" s="51">
        <f>IF(tblWorkPackages[[#This Row],[Time split]]="Train 2024",tblWorkPackages[[#This Row],[Estimated labor hours]],tblWorkPackages[[#This Row],[Calibrated forecast hours]])</f>
        <v>7.69160839160839</v>
      </c>
      <c r="W950" s="64">
        <f>DATEVALUE(tblWorkPackages[[#This Row],[Request date]])</f>
        <v>46006.0</v>
      </c>
      <c r="X950" s="64">
        <f>DATEVALUE(tblWorkPackages[[#This Row],[Due date]])</f>
        <v>46012.0</v>
      </c>
      <c r="Y950" s="64">
        <f>DATEVALUE(tblWorkPackages[[#This Row],[Completion date]])</f>
        <v>46012.0</v>
      </c>
      <c r="Z950" s="64">
        <f>_xlfn.MINIFS(tblLaborEntries[Work date serial],tblLaborEntries[Work package ID],tblWorkPackages[[#This Row],[Work package ID]])</f>
        <v>46011.0</v>
      </c>
      <c r="AA950" s="64">
        <f>_xlfn.MAXIFS(tblLaborEntries[Work date serial],tblLaborEntries[Work package ID],tblWorkPackages[[#This Row],[Work package ID]])</f>
        <v>46012.0</v>
      </c>
      <c r="AB950" s="65">
        <f>IF(tblWorkPackages[[#This Row],[Completion date serial]]&gt;tblWorkPackages[[#This Row],[Due date serial]],1,0)</f>
        <v>0</v>
      </c>
      <c r="AC950" s="65">
        <f>MAX(0,tblWorkPackages[[#This Row],[Completion date serial]]-tblWorkPackages[[#This Row],[Due date serial]])</f>
        <v>0</v>
      </c>
      <c r="AD950" s="65">
        <f>tblWorkPackages[[#This Row],[First labor date]]-tblWorkPackages[[#This Row],[Request date serial]]</f>
        <v>5</v>
      </c>
      <c r="AE950" s="65">
        <f>tblWorkPackages[[#This Row],[Last labor date]]-tblWorkPackages[[#This Row],[First labor date]]</f>
        <v>1</v>
      </c>
      <c r="AF950" s="65">
        <f>tblWorkPackages[[#This Row],[Completion date serial]]-tblWorkPackages[[#This Row],[Last labor date]]</f>
        <v>0</v>
      </c>
      <c r="AG950" s="65">
        <f>tblWorkPackages[[#This Row],[Completion date serial]]-tblWorkPackages[[#This Row],[Request date serial]]</f>
        <v>6</v>
      </c>
      <c r="AH950" s="65">
        <f>IFERROR(INDEX(tblParts[Delay days],MATCH(tblWorkPackages[[#This Row],[Work package ID]],tblParts[Work package ID],0)),0)</f>
        <v>0</v>
      </c>
      <c r="AI950" s="51" t="str">
        <f>IFERROR(INDEX(tblDisruptions[Event type],MATCH(tblWorkPackages[[#This Row],[Work package ID]],tblDisruptions[Work package ID],0)),"None")</f>
        <v>None</v>
      </c>
      <c r="AJ950" s="51" t="str">
        <f>TEXT(tblWorkPackages[[#This Row],[Due date serial]],"yyyy-mm")</f>
        <v>2025-12</v>
      </c>
    </row>
    <row r="951" spans="1:36" ht="15" x14ac:dyDescent="0.25">
      <c r="A951" s="53" t="s">
        <v>1844</v>
      </c>
      <c r="B951" s="53" t="s">
        <v>157</v>
      </c>
      <c r="C951" s="53" t="s">
        <v>616</v>
      </c>
      <c r="D951" s="53" t="s">
        <v>1813</v>
      </c>
      <c r="E951" s="53" t="s">
        <v>127</v>
      </c>
      <c r="F951" s="53" t="s">
        <v>128</v>
      </c>
      <c r="G951" s="53" t="s">
        <v>129</v>
      </c>
      <c r="H951" s="53">
        <v>2</v>
      </c>
      <c r="I951" s="53" t="s">
        <v>130</v>
      </c>
      <c r="J951" s="53">
        <v>0</v>
      </c>
      <c r="K951" s="53">
        <v>0</v>
      </c>
      <c r="L951" s="53">
        <v>7</v>
      </c>
      <c r="M951" s="53" t="s">
        <v>1457</v>
      </c>
      <c r="N951" s="53">
        <v>5.6</v>
      </c>
      <c r="O951" s="51" t="str">
        <f>TEXT(tblWorkPackages[[#This Row],[Request date serial]]-WEEKDAY(tblWorkPackages[[#This Row],[Request date serial]],3),"yyyy-mm-dd")</f>
        <v>2024-02-05</v>
      </c>
      <c r="P951" s="51">
        <f>ABS(tblWorkPackages[[#This Row],[Actual labor hours]]-tblWorkPackages[[#This Row],[Estimated labor hours]])</f>
        <v>1.4</v>
      </c>
      <c r="Q951" s="51">
        <f>IF(tblWorkPackages[[#This Row],[Actual labor hours]]&gt;tblWorkPackages[[#This Row],[Estimated labor hours]],1,0)</f>
        <v>0</v>
      </c>
      <c r="R951" s="51">
        <f>tblWorkPackages[[#This Row],[Actual labor hours]]-tblWorkPackages[[#This Row],[Estimated labor hours]]</f>
        <v>-1.4</v>
      </c>
      <c r="S951" s="51" t="str">
        <f>IF(tblWorkPackages[[#This Row],[Request date serial]]&lt;ValidationStart,"Train 2024",IF(tblWorkPackages[[#This Row],[Request date serial]]&lt;HoldoutStart,"Validation H1","Holdout H2"))</f>
        <v>Train 2024</v>
      </c>
      <c r="T951" s="51" t="str">
        <f>IF(tblWorkPackages[[#This Row],[Time split]]="Train 2024","",tblWorkPackages[[#This Row],[Estimated labor hours]]+VLOOKUP(tblWorkPackages[[#This Row],[Task type]],'Forecast validation'!$A$14:$E$25,IF(tblWorkPackages[[#This Row],[Time split]]="Validation H1",4,5),FALSE()))</f>
        <v/>
      </c>
      <c r="U951" s="51" t="str">
        <f>IF(tblWorkPackages[[#This Row],[Calibrated forecast hours]]="","",ABS(tblWorkPackages[[#This Row],[Actual labor hours]]-tblWorkPackages[[#This Row],[Calibrated forecast hours]]))</f>
        <v/>
      </c>
      <c r="V951" s="51">
        <f>IF(tblWorkPackages[[#This Row],[Time split]]="Train 2024",tblWorkPackages[[#This Row],[Estimated labor hours]],tblWorkPackages[[#This Row],[Calibrated forecast hours]])</f>
        <v>7</v>
      </c>
      <c r="W951" s="64">
        <f>DATEVALUE(tblWorkPackages[[#This Row],[Request date]])</f>
        <v>45329.0</v>
      </c>
      <c r="X951" s="64">
        <f>DATEVALUE(tblWorkPackages[[#This Row],[Due date]])</f>
        <v>45342.0</v>
      </c>
      <c r="Y951" s="64">
        <f>DATEVALUE(tblWorkPackages[[#This Row],[Completion date]])</f>
        <v>45334.0</v>
      </c>
      <c r="Z951" s="64">
        <f>_xlfn.MINIFS(tblLaborEntries[Work date serial],tblLaborEntries[Work package ID],tblWorkPackages[[#This Row],[Work package ID]])</f>
        <v>45331.0</v>
      </c>
      <c r="AA951" s="64">
        <f>_xlfn.MAXIFS(tblLaborEntries[Work date serial],tblLaborEntries[Work package ID],tblWorkPackages[[#This Row],[Work package ID]])</f>
        <v>45333.0</v>
      </c>
      <c r="AB951" s="65">
        <f>IF(tblWorkPackages[[#This Row],[Completion date serial]]&gt;tblWorkPackages[[#This Row],[Due date serial]],1,0)</f>
        <v>0</v>
      </c>
      <c r="AC951" s="65">
        <f>MAX(0,tblWorkPackages[[#This Row],[Completion date serial]]-tblWorkPackages[[#This Row],[Due date serial]])</f>
        <v>0</v>
      </c>
      <c r="AD951" s="65">
        <f>tblWorkPackages[[#This Row],[First labor date]]-tblWorkPackages[[#This Row],[Request date serial]]</f>
        <v>2</v>
      </c>
      <c r="AE951" s="65">
        <f>tblWorkPackages[[#This Row],[Last labor date]]-tblWorkPackages[[#This Row],[First labor date]]</f>
        <v>2</v>
      </c>
      <c r="AF951" s="65">
        <f>tblWorkPackages[[#This Row],[Completion date serial]]-tblWorkPackages[[#This Row],[Last labor date]]</f>
        <v>1</v>
      </c>
      <c r="AG951" s="65">
        <f>tblWorkPackages[[#This Row],[Completion date serial]]-tblWorkPackages[[#This Row],[Request date serial]]</f>
        <v>5</v>
      </c>
      <c r="AH951" s="65">
        <f>IFERROR(INDEX(tblParts[Delay days],MATCH(tblWorkPackages[[#This Row],[Work package ID]],tblParts[Work package ID],0)),0)</f>
        <v>0</v>
      </c>
      <c r="AI951" s="51" t="str">
        <f>IFERROR(INDEX(tblDisruptions[Event type],MATCH(tblWorkPackages[[#This Row],[Work package ID]],tblDisruptions[Work package ID],0)),"None")</f>
        <v>None</v>
      </c>
      <c r="AJ951" s="51" t="str">
        <f>TEXT(tblWorkPackages[[#This Row],[Due date serial]],"yyyy-mm")</f>
        <v>2024-02</v>
      </c>
    </row>
    <row r="952" spans="1:36" ht="15" x14ac:dyDescent="0.25">
      <c r="A952" s="53" t="s">
        <v>1845</v>
      </c>
      <c r="B952" s="53" t="s">
        <v>168</v>
      </c>
      <c r="C952" s="53" t="s">
        <v>807</v>
      </c>
      <c r="D952" s="53" t="s">
        <v>1283</v>
      </c>
      <c r="E952" s="53" t="s">
        <v>242</v>
      </c>
      <c r="F952" s="53" t="s">
        <v>243</v>
      </c>
      <c r="G952" s="53" t="s">
        <v>129</v>
      </c>
      <c r="H952" s="53">
        <v>2</v>
      </c>
      <c r="I952" s="53" t="s">
        <v>147</v>
      </c>
      <c r="J952" s="53">
        <v>0</v>
      </c>
      <c r="K952" s="53">
        <v>0</v>
      </c>
      <c r="L952" s="53">
        <v>9.8000000000000007</v>
      </c>
      <c r="M952" s="53" t="s">
        <v>729</v>
      </c>
      <c r="N952" s="53">
        <v>12.3</v>
      </c>
      <c r="O952" s="51" t="str">
        <f>TEXT(tblWorkPackages[[#This Row],[Request date serial]]-WEEKDAY(tblWorkPackages[[#This Row],[Request date serial]],3),"yyyy-mm-dd")</f>
        <v>2025-04-14</v>
      </c>
      <c r="P952" s="51">
        <f>ABS(tblWorkPackages[[#This Row],[Actual labor hours]]-tblWorkPackages[[#This Row],[Estimated labor hours]])</f>
        <v>2.5</v>
      </c>
      <c r="Q952" s="51">
        <f>IF(tblWorkPackages[[#This Row],[Actual labor hours]]&gt;tblWorkPackages[[#This Row],[Estimated labor hours]],1,0)</f>
        <v>1</v>
      </c>
      <c r="R952" s="51">
        <f>tblWorkPackages[[#This Row],[Actual labor hours]]-tblWorkPackages[[#This Row],[Estimated labor hours]]</f>
        <v>2.5</v>
      </c>
      <c r="S952" s="51" t="str">
        <f>IF(tblWorkPackages[[#This Row],[Request date serial]]&lt;ValidationStart,"Train 2024",IF(tblWorkPackages[[#This Row],[Request date serial]]&lt;HoldoutStart,"Validation H1","Holdout H2"))</f>
        <v>Validation H1</v>
      </c>
      <c r="T952" s="51">
        <f>IF(tblWorkPackages[[#This Row],[Time split]]="Train 2024","",tblWorkPackages[[#This Row],[Estimated labor hours]]+VLOOKUP(tblWorkPackages[[#This Row],[Task type]],'Forecast validation'!$A$14:$E$25,IF(tblWorkPackages[[#This Row],[Time split]]="Validation H1",4,5),FALSE()))</f>
        <v>10.3561224489796</v>
      </c>
      <c r="U952" s="51">
        <f>IF(tblWorkPackages[[#This Row],[Calibrated forecast hours]]="","",ABS(tblWorkPackages[[#This Row],[Actual labor hours]]-tblWorkPackages[[#This Row],[Calibrated forecast hours]]))</f>
        <v>1.94387755102041</v>
      </c>
      <c r="V952" s="51">
        <f>IF(tblWorkPackages[[#This Row],[Time split]]="Train 2024",tblWorkPackages[[#This Row],[Estimated labor hours]],tblWorkPackages[[#This Row],[Calibrated forecast hours]])</f>
        <v>10.3561224489796</v>
      </c>
      <c r="W952" s="64">
        <f>DATEVALUE(tblWorkPackages[[#This Row],[Request date]])</f>
        <v>45766.0</v>
      </c>
      <c r="X952" s="64">
        <f>DATEVALUE(tblWorkPackages[[#This Row],[Due date]])</f>
        <v>45768.0</v>
      </c>
      <c r="Y952" s="64">
        <f>DATEVALUE(tblWorkPackages[[#This Row],[Completion date]])</f>
        <v>45784.0</v>
      </c>
      <c r="Z952" s="64">
        <f>_xlfn.MINIFS(tblLaborEntries[Work date serial],tblLaborEntries[Work package ID],tblWorkPackages[[#This Row],[Work package ID]])</f>
        <v>45780.0</v>
      </c>
      <c r="AA952" s="64">
        <f>_xlfn.MAXIFS(tblLaborEntries[Work date serial],tblLaborEntries[Work package ID],tblWorkPackages[[#This Row],[Work package ID]])</f>
        <v>45782.0</v>
      </c>
      <c r="AB952" s="65">
        <f>IF(tblWorkPackages[[#This Row],[Completion date serial]]&gt;tblWorkPackages[[#This Row],[Due date serial]],1,0)</f>
        <v>1</v>
      </c>
      <c r="AC952" s="65">
        <f>MAX(0,tblWorkPackages[[#This Row],[Completion date serial]]-tblWorkPackages[[#This Row],[Due date serial]])</f>
        <v>16</v>
      </c>
      <c r="AD952" s="65">
        <f>tblWorkPackages[[#This Row],[First labor date]]-tblWorkPackages[[#This Row],[Request date serial]]</f>
        <v>14</v>
      </c>
      <c r="AE952" s="65">
        <f>tblWorkPackages[[#This Row],[Last labor date]]-tblWorkPackages[[#This Row],[First labor date]]</f>
        <v>2</v>
      </c>
      <c r="AF952" s="65">
        <f>tblWorkPackages[[#This Row],[Completion date serial]]-tblWorkPackages[[#This Row],[Last labor date]]</f>
        <v>2</v>
      </c>
      <c r="AG952" s="65">
        <f>tblWorkPackages[[#This Row],[Completion date serial]]-tblWorkPackages[[#This Row],[Request date serial]]</f>
        <v>18</v>
      </c>
      <c r="AH952" s="65">
        <f>IFERROR(INDEX(tblParts[Delay days],MATCH(tblWorkPackages[[#This Row],[Work package ID]],tblParts[Work package ID],0)),0)</f>
        <v>0</v>
      </c>
      <c r="AI952" s="51" t="str">
        <f>IFERROR(INDEX(tblDisruptions[Event type],MATCH(tblWorkPackages[[#This Row],[Work package ID]],tblDisruptions[Work package ID],0)),"None")</f>
        <v>None</v>
      </c>
      <c r="AJ952" s="51" t="str">
        <f>TEXT(tblWorkPackages[[#This Row],[Due date serial]],"yyyy-mm")</f>
        <v>2025-04</v>
      </c>
    </row>
    <row r="953" spans="1:36" ht="15" x14ac:dyDescent="0.25">
      <c r="A953" s="53" t="s">
        <v>1846</v>
      </c>
      <c r="B953" s="53" t="s">
        <v>133</v>
      </c>
      <c r="C953" s="53" t="s">
        <v>675</v>
      </c>
      <c r="D953" s="53" t="s">
        <v>676</v>
      </c>
      <c r="E953" s="53" t="s">
        <v>153</v>
      </c>
      <c r="F953" s="53" t="s">
        <v>128</v>
      </c>
      <c r="G953" s="53" t="s">
        <v>154</v>
      </c>
      <c r="H953" s="53">
        <v>1</v>
      </c>
      <c r="I953" s="53" t="s">
        <v>176</v>
      </c>
      <c r="J953" s="53">
        <v>0</v>
      </c>
      <c r="K953" s="53">
        <v>1</v>
      </c>
      <c r="L953" s="53">
        <v>6.7</v>
      </c>
      <c r="M953" s="53" t="s">
        <v>1008</v>
      </c>
      <c r="N953" s="53">
        <v>7</v>
      </c>
      <c r="O953" s="51" t="str">
        <f>TEXT(tblWorkPackages[[#This Row],[Request date serial]]-WEEKDAY(tblWorkPackages[[#This Row],[Request date serial]],3),"yyyy-mm-dd")</f>
        <v>2024-04-15</v>
      </c>
      <c r="P953" s="51">
        <f>ABS(tblWorkPackages[[#This Row],[Actual labor hours]]-tblWorkPackages[[#This Row],[Estimated labor hours]])</f>
        <v>0.3</v>
      </c>
      <c r="Q953" s="51">
        <f>IF(tblWorkPackages[[#This Row],[Actual labor hours]]&gt;tblWorkPackages[[#This Row],[Estimated labor hours]],1,0)</f>
        <v>1</v>
      </c>
      <c r="R953" s="51">
        <f>tblWorkPackages[[#This Row],[Actual labor hours]]-tblWorkPackages[[#This Row],[Estimated labor hours]]</f>
        <v>0.3</v>
      </c>
      <c r="S953" s="51" t="str">
        <f>IF(tblWorkPackages[[#This Row],[Request date serial]]&lt;ValidationStart,"Train 2024",IF(tblWorkPackages[[#This Row],[Request date serial]]&lt;HoldoutStart,"Validation H1","Holdout H2"))</f>
        <v>Train 2024</v>
      </c>
      <c r="T953" s="51" t="str">
        <f>IF(tblWorkPackages[[#This Row],[Time split]]="Train 2024","",tblWorkPackages[[#This Row],[Estimated labor hours]]+VLOOKUP(tblWorkPackages[[#This Row],[Task type]],'Forecast validation'!$A$14:$E$25,IF(tblWorkPackages[[#This Row],[Time split]]="Validation H1",4,5),FALSE()))</f>
        <v/>
      </c>
      <c r="U953" s="51" t="str">
        <f>IF(tblWorkPackages[[#This Row],[Calibrated forecast hours]]="","",ABS(tblWorkPackages[[#This Row],[Actual labor hours]]-tblWorkPackages[[#This Row],[Calibrated forecast hours]]))</f>
        <v/>
      </c>
      <c r="V953" s="51">
        <f>IF(tblWorkPackages[[#This Row],[Time split]]="Train 2024",tblWorkPackages[[#This Row],[Estimated labor hours]],tblWorkPackages[[#This Row],[Calibrated forecast hours]])</f>
        <v>6.7</v>
      </c>
      <c r="W953" s="64">
        <f>DATEVALUE(tblWorkPackages[[#This Row],[Request date]])</f>
        <v>45399.0</v>
      </c>
      <c r="X953" s="64">
        <f>DATEVALUE(tblWorkPackages[[#This Row],[Due date]])</f>
        <v>45405.0</v>
      </c>
      <c r="Y953" s="64">
        <f>DATEVALUE(tblWorkPackages[[#This Row],[Completion date]])</f>
        <v>45409.0</v>
      </c>
      <c r="Z953" s="64">
        <f>_xlfn.MINIFS(tblLaborEntries[Work date serial],tblLaborEntries[Work package ID],tblWorkPackages[[#This Row],[Work package ID]])</f>
        <v>45404.0</v>
      </c>
      <c r="AA953" s="64">
        <f>_xlfn.MAXIFS(tblLaborEntries[Work date serial],tblLaborEntries[Work package ID],tblWorkPackages[[#This Row],[Work package ID]])</f>
        <v>45406.0</v>
      </c>
      <c r="AB953" s="65">
        <f>IF(tblWorkPackages[[#This Row],[Completion date serial]]&gt;tblWorkPackages[[#This Row],[Due date serial]],1,0)</f>
        <v>1</v>
      </c>
      <c r="AC953" s="65">
        <f>MAX(0,tblWorkPackages[[#This Row],[Completion date serial]]-tblWorkPackages[[#This Row],[Due date serial]])</f>
        <v>4</v>
      </c>
      <c r="AD953" s="65">
        <f>tblWorkPackages[[#This Row],[First labor date]]-tblWorkPackages[[#This Row],[Request date serial]]</f>
        <v>5</v>
      </c>
      <c r="AE953" s="65">
        <f>tblWorkPackages[[#This Row],[Last labor date]]-tblWorkPackages[[#This Row],[First labor date]]</f>
        <v>2</v>
      </c>
      <c r="AF953" s="65">
        <f>tblWorkPackages[[#This Row],[Completion date serial]]-tblWorkPackages[[#This Row],[Last labor date]]</f>
        <v>3</v>
      </c>
      <c r="AG953" s="65">
        <f>tblWorkPackages[[#This Row],[Completion date serial]]-tblWorkPackages[[#This Row],[Request date serial]]</f>
        <v>10</v>
      </c>
      <c r="AH953" s="65">
        <f>IFERROR(INDEX(tblParts[Delay days],MATCH(tblWorkPackages[[#This Row],[Work package ID]],tblParts[Work package ID],0)),0)</f>
        <v>2</v>
      </c>
      <c r="AI953" s="51" t="str">
        <f>IFERROR(INDEX(tblDisruptions[Event type],MATCH(tblWorkPackages[[#This Row],[Work package ID]],tblDisruptions[Work package ID],0)),"None")</f>
        <v>Part delay</v>
      </c>
      <c r="AJ953" s="51" t="str">
        <f>TEXT(tblWorkPackages[[#This Row],[Due date serial]],"yyyy-mm")</f>
        <v>2024-04</v>
      </c>
    </row>
    <row r="954" spans="1:36" ht="15" x14ac:dyDescent="0.25">
      <c r="A954" s="53" t="s">
        <v>1847</v>
      </c>
      <c r="B954" s="53" t="s">
        <v>157</v>
      </c>
      <c r="C954" s="53" t="s">
        <v>979</v>
      </c>
      <c r="D954" s="53" t="s">
        <v>538</v>
      </c>
      <c r="E954" s="53" t="s">
        <v>242</v>
      </c>
      <c r="F954" s="53" t="s">
        <v>243</v>
      </c>
      <c r="G954" s="53" t="s">
        <v>129</v>
      </c>
      <c r="H954" s="53">
        <v>1</v>
      </c>
      <c r="I954" s="53" t="s">
        <v>130</v>
      </c>
      <c r="J954" s="53">
        <v>0</v>
      </c>
      <c r="K954" s="53">
        <v>0</v>
      </c>
      <c r="L954" s="53">
        <v>4.7</v>
      </c>
      <c r="M954" s="53" t="s">
        <v>976</v>
      </c>
      <c r="N954" s="53">
        <v>4.9000000000000004</v>
      </c>
      <c r="O954" s="51" t="str">
        <f>TEXT(tblWorkPackages[[#This Row],[Request date serial]]-WEEKDAY(tblWorkPackages[[#This Row],[Request date serial]],3),"yyyy-mm-dd")</f>
        <v>2025-11-03</v>
      </c>
      <c r="P954" s="51">
        <f>ABS(tblWorkPackages[[#This Row],[Actual labor hours]]-tblWorkPackages[[#This Row],[Estimated labor hours]])</f>
        <v>0.2</v>
      </c>
      <c r="Q954" s="51">
        <f>IF(tblWorkPackages[[#This Row],[Actual labor hours]]&gt;tblWorkPackages[[#This Row],[Estimated labor hours]],1,0)</f>
        <v>1</v>
      </c>
      <c r="R954" s="51">
        <f>tblWorkPackages[[#This Row],[Actual labor hours]]-tblWorkPackages[[#This Row],[Estimated labor hours]]</f>
        <v>0.2</v>
      </c>
      <c r="S954" s="51" t="str">
        <f>IF(tblWorkPackages[[#This Row],[Request date serial]]&lt;ValidationStart,"Train 2024",IF(tblWorkPackages[[#This Row],[Request date serial]]&lt;HoldoutStart,"Validation H1","Holdout H2"))</f>
        <v>Holdout H2</v>
      </c>
      <c r="T954" s="51">
        <f>IF(tblWorkPackages[[#This Row],[Time split]]="Train 2024","",tblWorkPackages[[#This Row],[Estimated labor hours]]+VLOOKUP(tblWorkPackages[[#This Row],[Task type]],'Forecast validation'!$A$14:$E$25,IF(tblWorkPackages[[#This Row],[Time split]]="Validation H1",4,5),FALSE()))</f>
        <v>5.52545454545455</v>
      </c>
      <c r="U954" s="51">
        <f>IF(tblWorkPackages[[#This Row],[Calibrated forecast hours]]="","",ABS(tblWorkPackages[[#This Row],[Actual labor hours]]-tblWorkPackages[[#This Row],[Calibrated forecast hours]]))</f>
        <v>0.625454545454545</v>
      </c>
      <c r="V954" s="51">
        <f>IF(tblWorkPackages[[#This Row],[Time split]]="Train 2024",tblWorkPackages[[#This Row],[Estimated labor hours]],tblWorkPackages[[#This Row],[Calibrated forecast hours]])</f>
        <v>5.52545454545455</v>
      </c>
      <c r="W954" s="64">
        <f>DATEVALUE(tblWorkPackages[[#This Row],[Request date]])</f>
        <v>45965.0</v>
      </c>
      <c r="X954" s="64">
        <f>DATEVALUE(tblWorkPackages[[#This Row],[Due date]])</f>
        <v>45978.0</v>
      </c>
      <c r="Y954" s="64">
        <f>DATEVALUE(tblWorkPackages[[#This Row],[Completion date]])</f>
        <v>46022.0</v>
      </c>
      <c r="Z954" s="64">
        <f>_xlfn.MINIFS(tblLaborEntries[Work date serial],tblLaborEntries[Work package ID],tblWorkPackages[[#This Row],[Work package ID]])</f>
        <v>46020.0</v>
      </c>
      <c r="AA954" s="64">
        <f>_xlfn.MAXIFS(tblLaborEntries[Work date serial],tblLaborEntries[Work package ID],tblWorkPackages[[#This Row],[Work package ID]])</f>
        <v>46022.0</v>
      </c>
      <c r="AB954" s="65">
        <f>IF(tblWorkPackages[[#This Row],[Completion date serial]]&gt;tblWorkPackages[[#This Row],[Due date serial]],1,0)</f>
        <v>1</v>
      </c>
      <c r="AC954" s="65">
        <f>MAX(0,tblWorkPackages[[#This Row],[Completion date serial]]-tblWorkPackages[[#This Row],[Due date serial]])</f>
        <v>44</v>
      </c>
      <c r="AD954" s="65">
        <f>tblWorkPackages[[#This Row],[First labor date]]-tblWorkPackages[[#This Row],[Request date serial]]</f>
        <v>55</v>
      </c>
      <c r="AE954" s="65">
        <f>tblWorkPackages[[#This Row],[Last labor date]]-tblWorkPackages[[#This Row],[First labor date]]</f>
        <v>2</v>
      </c>
      <c r="AF954" s="65">
        <f>tblWorkPackages[[#This Row],[Completion date serial]]-tblWorkPackages[[#This Row],[Last labor date]]</f>
        <v>0</v>
      </c>
      <c r="AG954" s="65">
        <f>tblWorkPackages[[#This Row],[Completion date serial]]-tblWorkPackages[[#This Row],[Request date serial]]</f>
        <v>57</v>
      </c>
      <c r="AH954" s="65">
        <f>IFERROR(INDEX(tblParts[Delay days],MATCH(tblWorkPackages[[#This Row],[Work package ID]],tblParts[Work package ID],0)),0)</f>
        <v>0</v>
      </c>
      <c r="AI954" s="51" t="str">
        <f>IFERROR(INDEX(tblDisruptions[Event type],MATCH(tblWorkPackages[[#This Row],[Work package ID]],tblDisruptions[Work package ID],0)),"None")</f>
        <v>None</v>
      </c>
      <c r="AJ954" s="51" t="str">
        <f>TEXT(tblWorkPackages[[#This Row],[Due date serial]],"yyyy-mm")</f>
        <v>2025-11</v>
      </c>
    </row>
    <row r="955" spans="1:36" ht="15" x14ac:dyDescent="0.25">
      <c r="A955" s="53" t="s">
        <v>1848</v>
      </c>
      <c r="B955" s="53" t="s">
        <v>157</v>
      </c>
      <c r="C955" s="53" t="s">
        <v>1330</v>
      </c>
      <c r="D955" s="53" t="s">
        <v>791</v>
      </c>
      <c r="E955" s="53" t="s">
        <v>209</v>
      </c>
      <c r="F955" s="53" t="s">
        <v>145</v>
      </c>
      <c r="G955" s="53" t="s">
        <v>210</v>
      </c>
      <c r="H955" s="53">
        <v>2</v>
      </c>
      <c r="I955" s="53" t="s">
        <v>130</v>
      </c>
      <c r="J955" s="53">
        <v>0</v>
      </c>
      <c r="K955" s="53">
        <v>0</v>
      </c>
      <c r="L955" s="53">
        <v>17.3</v>
      </c>
      <c r="M955" s="53" t="s">
        <v>1178</v>
      </c>
      <c r="N955" s="53">
        <v>19.5</v>
      </c>
      <c r="O955" s="51" t="str">
        <f>TEXT(tblWorkPackages[[#This Row],[Request date serial]]-WEEKDAY(tblWorkPackages[[#This Row],[Request date serial]],3),"yyyy-mm-dd")</f>
        <v>2025-09-08</v>
      </c>
      <c r="P955" s="51">
        <f>ABS(tblWorkPackages[[#This Row],[Actual labor hours]]-tblWorkPackages[[#This Row],[Estimated labor hours]])</f>
        <v>2.2</v>
      </c>
      <c r="Q955" s="51">
        <f>IF(tblWorkPackages[[#This Row],[Actual labor hours]]&gt;tblWorkPackages[[#This Row],[Estimated labor hours]],1,0)</f>
        <v>1</v>
      </c>
      <c r="R955" s="51">
        <f>tblWorkPackages[[#This Row],[Actual labor hours]]-tblWorkPackages[[#This Row],[Estimated labor hours]]</f>
        <v>2.2</v>
      </c>
      <c r="S955" s="51" t="str">
        <f>IF(tblWorkPackages[[#This Row],[Request date serial]]&lt;ValidationStart,"Train 2024",IF(tblWorkPackages[[#This Row],[Request date serial]]&lt;HoldoutStart,"Validation H1","Holdout H2"))</f>
        <v>Holdout H2</v>
      </c>
      <c r="T955" s="51">
        <f>IF(tblWorkPackages[[#This Row],[Time split]]="Train 2024","",tblWorkPackages[[#This Row],[Estimated labor hours]]+VLOOKUP(tblWorkPackages[[#This Row],[Task type]],'Forecast validation'!$A$14:$E$25,IF(tblWorkPackages[[#This Row],[Time split]]="Validation H1",4,5),FALSE()))</f>
        <v>19.095652173913</v>
      </c>
      <c r="U955" s="51">
        <f>IF(tblWorkPackages[[#This Row],[Calibrated forecast hours]]="","",ABS(tblWorkPackages[[#This Row],[Actual labor hours]]-tblWorkPackages[[#This Row],[Calibrated forecast hours]]))</f>
        <v>0.404347826086955</v>
      </c>
      <c r="V955" s="51">
        <f>IF(tblWorkPackages[[#This Row],[Time split]]="Train 2024",tblWorkPackages[[#This Row],[Estimated labor hours]],tblWorkPackages[[#This Row],[Calibrated forecast hours]])</f>
        <v>19.095652173913</v>
      </c>
      <c r="W955" s="64">
        <f>DATEVALUE(tblWorkPackages[[#This Row],[Request date]])</f>
        <v>45909.0</v>
      </c>
      <c r="X955" s="64">
        <f>DATEVALUE(tblWorkPackages[[#This Row],[Due date]])</f>
        <v>45922.0</v>
      </c>
      <c r="Y955" s="64">
        <f>DATEVALUE(tblWorkPackages[[#This Row],[Completion date]])</f>
        <v>45919.0</v>
      </c>
      <c r="Z955" s="64">
        <f>_xlfn.MINIFS(tblLaborEntries[Work date serial],tblLaborEntries[Work package ID],tblWorkPackages[[#This Row],[Work package ID]])</f>
        <v>45917.0</v>
      </c>
      <c r="AA955" s="64">
        <f>_xlfn.MAXIFS(tblLaborEntries[Work date serial],tblLaborEntries[Work package ID],tblWorkPackages[[#This Row],[Work package ID]])</f>
        <v>45918.0</v>
      </c>
      <c r="AB955" s="65">
        <f>IF(tblWorkPackages[[#This Row],[Completion date serial]]&gt;tblWorkPackages[[#This Row],[Due date serial]],1,0)</f>
        <v>0</v>
      </c>
      <c r="AC955" s="65">
        <f>MAX(0,tblWorkPackages[[#This Row],[Completion date serial]]-tblWorkPackages[[#This Row],[Due date serial]])</f>
        <v>0</v>
      </c>
      <c r="AD955" s="65">
        <f>tblWorkPackages[[#This Row],[First labor date]]-tblWorkPackages[[#This Row],[Request date serial]]</f>
        <v>8</v>
      </c>
      <c r="AE955" s="65">
        <f>tblWorkPackages[[#This Row],[Last labor date]]-tblWorkPackages[[#This Row],[First labor date]]</f>
        <v>1</v>
      </c>
      <c r="AF955" s="65">
        <f>tblWorkPackages[[#This Row],[Completion date serial]]-tblWorkPackages[[#This Row],[Last labor date]]</f>
        <v>1</v>
      </c>
      <c r="AG955" s="65">
        <f>tblWorkPackages[[#This Row],[Completion date serial]]-tblWorkPackages[[#This Row],[Request date serial]]</f>
        <v>10</v>
      </c>
      <c r="AH955" s="65">
        <f>IFERROR(INDEX(tblParts[Delay days],MATCH(tblWorkPackages[[#This Row],[Work package ID]],tblParts[Work package ID],0)),0)</f>
        <v>0</v>
      </c>
      <c r="AI955" s="51" t="str">
        <f>IFERROR(INDEX(tblDisruptions[Event type],MATCH(tblWorkPackages[[#This Row],[Work package ID]],tblDisruptions[Work package ID],0)),"None")</f>
        <v>None</v>
      </c>
      <c r="AJ955" s="51" t="str">
        <f>TEXT(tblWorkPackages[[#This Row],[Due date serial]],"yyyy-mm")</f>
        <v>2025-09</v>
      </c>
    </row>
    <row r="956" spans="1:36" ht="15" x14ac:dyDescent="0.25">
      <c r="A956" s="53" t="s">
        <v>1849</v>
      </c>
      <c r="B956" s="53" t="s">
        <v>203</v>
      </c>
      <c r="C956" s="53" t="s">
        <v>1167</v>
      </c>
      <c r="D956" s="53" t="s">
        <v>935</v>
      </c>
      <c r="E956" s="53" t="s">
        <v>127</v>
      </c>
      <c r="F956" s="53" t="s">
        <v>128</v>
      </c>
      <c r="G956" s="53" t="s">
        <v>129</v>
      </c>
      <c r="H956" s="53">
        <v>2</v>
      </c>
      <c r="I956" s="53" t="s">
        <v>176</v>
      </c>
      <c r="J956" s="53">
        <v>0</v>
      </c>
      <c r="K956" s="53">
        <v>0</v>
      </c>
      <c r="L956" s="53">
        <v>7</v>
      </c>
      <c r="M956" s="53" t="s">
        <v>935</v>
      </c>
      <c r="N956" s="53">
        <v>6.3</v>
      </c>
      <c r="O956" s="51" t="str">
        <f>TEXT(tblWorkPackages[[#This Row],[Request date serial]]-WEEKDAY(tblWorkPackages[[#This Row],[Request date serial]],3),"yyyy-mm-dd")</f>
        <v>2025-02-03</v>
      </c>
      <c r="P956" s="51">
        <f>ABS(tblWorkPackages[[#This Row],[Actual labor hours]]-tblWorkPackages[[#This Row],[Estimated labor hours]])</f>
        <v>0.7</v>
      </c>
      <c r="Q956" s="51">
        <f>IF(tblWorkPackages[[#This Row],[Actual labor hours]]&gt;tblWorkPackages[[#This Row],[Estimated labor hours]],1,0)</f>
        <v>0</v>
      </c>
      <c r="R956" s="51">
        <f>tblWorkPackages[[#This Row],[Actual labor hours]]-tblWorkPackages[[#This Row],[Estimated labor hours]]</f>
        <v>-0.7</v>
      </c>
      <c r="S956" s="51" t="str">
        <f>IF(tblWorkPackages[[#This Row],[Request date serial]]&lt;ValidationStart,"Train 2024",IF(tblWorkPackages[[#This Row],[Request date serial]]&lt;HoldoutStart,"Validation H1","Holdout H2"))</f>
        <v>Validation H1</v>
      </c>
      <c r="T956" s="51">
        <f>IF(tblWorkPackages[[#This Row],[Time split]]="Train 2024","",tblWorkPackages[[#This Row],[Estimated labor hours]]+VLOOKUP(tblWorkPackages[[#This Row],[Task type]],'Forecast validation'!$A$14:$E$25,IF(tblWorkPackages[[#This Row],[Time split]]="Validation H1",4,5),FALSE()))</f>
        <v>7.47564102564103</v>
      </c>
      <c r="U956" s="51">
        <f>IF(tblWorkPackages[[#This Row],[Calibrated forecast hours]]="","",ABS(tblWorkPackages[[#This Row],[Actual labor hours]]-tblWorkPackages[[#This Row],[Calibrated forecast hours]]))</f>
        <v>1.17564102564103</v>
      </c>
      <c r="V956" s="51">
        <f>IF(tblWorkPackages[[#This Row],[Time split]]="Train 2024",tblWorkPackages[[#This Row],[Estimated labor hours]],tblWorkPackages[[#This Row],[Calibrated forecast hours]])</f>
        <v>7.47564102564103</v>
      </c>
      <c r="W956" s="64">
        <f>DATEVALUE(tblWorkPackages[[#This Row],[Request date]])</f>
        <v>45692.0</v>
      </c>
      <c r="X956" s="64">
        <f>DATEVALUE(tblWorkPackages[[#This Row],[Due date]])</f>
        <v>45698.0</v>
      </c>
      <c r="Y956" s="64">
        <f>DATEVALUE(tblWorkPackages[[#This Row],[Completion date]])</f>
        <v>45698.0</v>
      </c>
      <c r="Z956" s="64">
        <f>_xlfn.MINIFS(tblLaborEntries[Work date serial],tblLaborEntries[Work package ID],tblWorkPackages[[#This Row],[Work package ID]])</f>
        <v>45694.0</v>
      </c>
      <c r="AA956" s="64">
        <f>_xlfn.MAXIFS(tblLaborEntries[Work date serial],tblLaborEntries[Work package ID],tblWorkPackages[[#This Row],[Work package ID]])</f>
        <v>45696.0</v>
      </c>
      <c r="AB956" s="65">
        <f>IF(tblWorkPackages[[#This Row],[Completion date serial]]&gt;tblWorkPackages[[#This Row],[Due date serial]],1,0)</f>
        <v>0</v>
      </c>
      <c r="AC956" s="65">
        <f>MAX(0,tblWorkPackages[[#This Row],[Completion date serial]]-tblWorkPackages[[#This Row],[Due date serial]])</f>
        <v>0</v>
      </c>
      <c r="AD956" s="65">
        <f>tblWorkPackages[[#This Row],[First labor date]]-tblWorkPackages[[#This Row],[Request date serial]]</f>
        <v>2</v>
      </c>
      <c r="AE956" s="65">
        <f>tblWorkPackages[[#This Row],[Last labor date]]-tblWorkPackages[[#This Row],[First labor date]]</f>
        <v>2</v>
      </c>
      <c r="AF956" s="65">
        <f>tblWorkPackages[[#This Row],[Completion date serial]]-tblWorkPackages[[#This Row],[Last labor date]]</f>
        <v>2</v>
      </c>
      <c r="AG956" s="65">
        <f>tblWorkPackages[[#This Row],[Completion date serial]]-tblWorkPackages[[#This Row],[Request date serial]]</f>
        <v>6</v>
      </c>
      <c r="AH956" s="65">
        <f>IFERROR(INDEX(tblParts[Delay days],MATCH(tblWorkPackages[[#This Row],[Work package ID]],tblParts[Work package ID],0)),0)</f>
        <v>0</v>
      </c>
      <c r="AI956" s="51" t="str">
        <f>IFERROR(INDEX(tblDisruptions[Event type],MATCH(tblWorkPackages[[#This Row],[Work package ID]],tblDisruptions[Work package ID],0)),"None")</f>
        <v>None</v>
      </c>
      <c r="AJ956" s="51" t="str">
        <f>TEXT(tblWorkPackages[[#This Row],[Due date serial]],"yyyy-mm")</f>
        <v>2025-02</v>
      </c>
    </row>
    <row r="957" spans="1:36" ht="15" x14ac:dyDescent="0.25">
      <c r="A957" s="53" t="s">
        <v>1850</v>
      </c>
      <c r="B957" s="53" t="s">
        <v>150</v>
      </c>
      <c r="C957" s="53" t="s">
        <v>863</v>
      </c>
      <c r="D957" s="53" t="s">
        <v>796</v>
      </c>
      <c r="E957" s="53" t="s">
        <v>181</v>
      </c>
      <c r="F957" s="53" t="s">
        <v>182</v>
      </c>
      <c r="G957" s="53" t="s">
        <v>138</v>
      </c>
      <c r="H957" s="53">
        <v>4</v>
      </c>
      <c r="I957" s="53" t="s">
        <v>130</v>
      </c>
      <c r="J957" s="53">
        <v>0</v>
      </c>
      <c r="K957" s="53">
        <v>0</v>
      </c>
      <c r="L957" s="53">
        <v>15.7</v>
      </c>
      <c r="M957" s="53" t="s">
        <v>1504</v>
      </c>
      <c r="N957" s="53">
        <v>19.3</v>
      </c>
      <c r="O957" s="51" t="str">
        <f>TEXT(tblWorkPackages[[#This Row],[Request date serial]]-WEEKDAY(tblWorkPackages[[#This Row],[Request date serial]],3),"yyyy-mm-dd")</f>
        <v>2025-06-23</v>
      </c>
      <c r="P957" s="51">
        <f>ABS(tblWorkPackages[[#This Row],[Actual labor hours]]-tblWorkPackages[[#This Row],[Estimated labor hours]])</f>
        <v>3.6</v>
      </c>
      <c r="Q957" s="51">
        <f>IF(tblWorkPackages[[#This Row],[Actual labor hours]]&gt;tblWorkPackages[[#This Row],[Estimated labor hours]],1,0)</f>
        <v>1</v>
      </c>
      <c r="R957" s="51">
        <f>tblWorkPackages[[#This Row],[Actual labor hours]]-tblWorkPackages[[#This Row],[Estimated labor hours]]</f>
        <v>3.6</v>
      </c>
      <c r="S957" s="51" t="str">
        <f>IF(tblWorkPackages[[#This Row],[Request date serial]]&lt;ValidationStart,"Train 2024",IF(tblWorkPackages[[#This Row],[Request date serial]]&lt;HoldoutStart,"Validation H1","Holdout H2"))</f>
        <v>Validation H1</v>
      </c>
      <c r="T957" s="51">
        <f>IF(tblWorkPackages[[#This Row],[Time split]]="Train 2024","",tblWorkPackages[[#This Row],[Estimated labor hours]]+VLOOKUP(tblWorkPackages[[#This Row],[Task type]],'Forecast validation'!$A$14:$E$25,IF(tblWorkPackages[[#This Row],[Time split]]="Validation H1",4,5),FALSE()))</f>
        <v>16.2840909090909</v>
      </c>
      <c r="U957" s="51">
        <f>IF(tblWorkPackages[[#This Row],[Calibrated forecast hours]]="","",ABS(tblWorkPackages[[#This Row],[Actual labor hours]]-tblWorkPackages[[#This Row],[Calibrated forecast hours]]))</f>
        <v>3.01590909090909</v>
      </c>
      <c r="V957" s="51">
        <f>IF(tblWorkPackages[[#This Row],[Time split]]="Train 2024",tblWorkPackages[[#This Row],[Estimated labor hours]],tblWorkPackages[[#This Row],[Calibrated forecast hours]])</f>
        <v>16.2840909090909</v>
      </c>
      <c r="W957" s="64">
        <f>DATEVALUE(tblWorkPackages[[#This Row],[Request date]])</f>
        <v>45837.0</v>
      </c>
      <c r="X957" s="64">
        <f>DATEVALUE(tblWorkPackages[[#This Row],[Due date]])</f>
        <v>45850.0</v>
      </c>
      <c r="Y957" s="64">
        <f>DATEVALUE(tblWorkPackages[[#This Row],[Completion date]])</f>
        <v>45861.0</v>
      </c>
      <c r="Z957" s="64">
        <f>_xlfn.MINIFS(tblLaborEntries[Work date serial],tblLaborEntries[Work package ID],tblWorkPackages[[#This Row],[Work package ID]])</f>
        <v>45858.0</v>
      </c>
      <c r="AA957" s="64">
        <f>_xlfn.MAXIFS(tblLaborEntries[Work date serial],tblLaborEntries[Work package ID],tblWorkPackages[[#This Row],[Work package ID]])</f>
        <v>45858.0</v>
      </c>
      <c r="AB957" s="65">
        <f>IF(tblWorkPackages[[#This Row],[Completion date serial]]&gt;tblWorkPackages[[#This Row],[Due date serial]],1,0)</f>
        <v>1</v>
      </c>
      <c r="AC957" s="65">
        <f>MAX(0,tblWorkPackages[[#This Row],[Completion date serial]]-tblWorkPackages[[#This Row],[Due date serial]])</f>
        <v>11</v>
      </c>
      <c r="AD957" s="65">
        <f>tblWorkPackages[[#This Row],[First labor date]]-tblWorkPackages[[#This Row],[Request date serial]]</f>
        <v>21</v>
      </c>
      <c r="AE957" s="65">
        <f>tblWorkPackages[[#This Row],[Last labor date]]-tblWorkPackages[[#This Row],[First labor date]]</f>
        <v>0</v>
      </c>
      <c r="AF957" s="65">
        <f>tblWorkPackages[[#This Row],[Completion date serial]]-tblWorkPackages[[#This Row],[Last labor date]]</f>
        <v>3</v>
      </c>
      <c r="AG957" s="65">
        <f>tblWorkPackages[[#This Row],[Completion date serial]]-tblWorkPackages[[#This Row],[Request date serial]]</f>
        <v>24</v>
      </c>
      <c r="AH957" s="65">
        <f>IFERROR(INDEX(tblParts[Delay days],MATCH(tblWorkPackages[[#This Row],[Work package ID]],tblParts[Work package ID],0)),0)</f>
        <v>0</v>
      </c>
      <c r="AI957" s="51" t="str">
        <f>IFERROR(INDEX(tblDisruptions[Event type],MATCH(tblWorkPackages[[#This Row],[Work package ID]],tblDisruptions[Work package ID],0)),"None")</f>
        <v>None</v>
      </c>
      <c r="AJ957" s="51" t="str">
        <f>TEXT(tblWorkPackages[[#This Row],[Due date serial]],"yyyy-mm")</f>
        <v>2025-07</v>
      </c>
    </row>
    <row r="958" spans="1:36" ht="15" x14ac:dyDescent="0.25">
      <c r="A958" s="53" t="s">
        <v>1851</v>
      </c>
      <c r="B958" s="53" t="s">
        <v>173</v>
      </c>
      <c r="C958" s="53" t="s">
        <v>265</v>
      </c>
      <c r="D958" s="53" t="s">
        <v>799</v>
      </c>
      <c r="E958" s="53" t="s">
        <v>127</v>
      </c>
      <c r="F958" s="53" t="s">
        <v>128</v>
      </c>
      <c r="G958" s="53" t="s">
        <v>129</v>
      </c>
      <c r="H958" s="53">
        <v>2</v>
      </c>
      <c r="I958" s="53" t="s">
        <v>130</v>
      </c>
      <c r="J958" s="53">
        <v>0</v>
      </c>
      <c r="K958" s="53">
        <v>1</v>
      </c>
      <c r="L958" s="53">
        <v>6.1</v>
      </c>
      <c r="M958" s="53" t="s">
        <v>787</v>
      </c>
      <c r="N958" s="53">
        <v>4.8</v>
      </c>
      <c r="O958" s="51" t="str">
        <f>TEXT(tblWorkPackages[[#This Row],[Request date serial]]-WEEKDAY(tblWorkPackages[[#This Row],[Request date serial]],3),"yyyy-mm-dd")</f>
        <v>2024-08-26</v>
      </c>
      <c r="P958" s="51">
        <f>ABS(tblWorkPackages[[#This Row],[Actual labor hours]]-tblWorkPackages[[#This Row],[Estimated labor hours]])</f>
        <v>1.3</v>
      </c>
      <c r="Q958" s="51">
        <f>IF(tblWorkPackages[[#This Row],[Actual labor hours]]&gt;tblWorkPackages[[#This Row],[Estimated labor hours]],1,0)</f>
        <v>0</v>
      </c>
      <c r="R958" s="51">
        <f>tblWorkPackages[[#This Row],[Actual labor hours]]-tblWorkPackages[[#This Row],[Estimated labor hours]]</f>
        <v>-1.3</v>
      </c>
      <c r="S958" s="51" t="str">
        <f>IF(tblWorkPackages[[#This Row],[Request date serial]]&lt;ValidationStart,"Train 2024",IF(tblWorkPackages[[#This Row],[Request date serial]]&lt;HoldoutStart,"Validation H1","Holdout H2"))</f>
        <v>Train 2024</v>
      </c>
      <c r="T958" s="51" t="str">
        <f>IF(tblWorkPackages[[#This Row],[Time split]]="Train 2024","",tblWorkPackages[[#This Row],[Estimated labor hours]]+VLOOKUP(tblWorkPackages[[#This Row],[Task type]],'Forecast validation'!$A$14:$E$25,IF(tblWorkPackages[[#This Row],[Time split]]="Validation H1",4,5),FALSE()))</f>
        <v/>
      </c>
      <c r="U958" s="51" t="str">
        <f>IF(tblWorkPackages[[#This Row],[Calibrated forecast hours]]="","",ABS(tblWorkPackages[[#This Row],[Actual labor hours]]-tblWorkPackages[[#This Row],[Calibrated forecast hours]]))</f>
        <v/>
      </c>
      <c r="V958" s="51">
        <f>IF(tblWorkPackages[[#This Row],[Time split]]="Train 2024",tblWorkPackages[[#This Row],[Estimated labor hours]],tblWorkPackages[[#This Row],[Calibrated forecast hours]])</f>
        <v>6.1</v>
      </c>
      <c r="W958" s="64">
        <f>DATEVALUE(tblWorkPackages[[#This Row],[Request date]])</f>
        <v>45536.0</v>
      </c>
      <c r="X958" s="64">
        <f>DATEVALUE(tblWorkPackages[[#This Row],[Due date]])</f>
        <v>45549.0</v>
      </c>
      <c r="Y958" s="64">
        <f>DATEVALUE(tblWorkPackages[[#This Row],[Completion date]])</f>
        <v>45541.0</v>
      </c>
      <c r="Z958" s="64">
        <f>_xlfn.MINIFS(tblLaborEntries[Work date serial],tblLaborEntries[Work package ID],tblWorkPackages[[#This Row],[Work package ID]])</f>
        <v>45540.0</v>
      </c>
      <c r="AA958" s="64">
        <f>_xlfn.MAXIFS(tblLaborEntries[Work date serial],tblLaborEntries[Work package ID],tblWorkPackages[[#This Row],[Work package ID]])</f>
        <v>45541.0</v>
      </c>
      <c r="AB958" s="65">
        <f>IF(tblWorkPackages[[#This Row],[Completion date serial]]&gt;tblWorkPackages[[#This Row],[Due date serial]],1,0)</f>
        <v>0</v>
      </c>
      <c r="AC958" s="65">
        <f>MAX(0,tblWorkPackages[[#This Row],[Completion date serial]]-tblWorkPackages[[#This Row],[Due date serial]])</f>
        <v>0</v>
      </c>
      <c r="AD958" s="65">
        <f>tblWorkPackages[[#This Row],[First labor date]]-tblWorkPackages[[#This Row],[Request date serial]]</f>
        <v>4</v>
      </c>
      <c r="AE958" s="65">
        <f>tblWorkPackages[[#This Row],[Last labor date]]-tblWorkPackages[[#This Row],[First labor date]]</f>
        <v>1</v>
      </c>
      <c r="AF958" s="65">
        <f>tblWorkPackages[[#This Row],[Completion date serial]]-tblWorkPackages[[#This Row],[Last labor date]]</f>
        <v>0</v>
      </c>
      <c r="AG958" s="65">
        <f>tblWorkPackages[[#This Row],[Completion date serial]]-tblWorkPackages[[#This Row],[Request date serial]]</f>
        <v>5</v>
      </c>
      <c r="AH958" s="65">
        <f>IFERROR(INDEX(tblParts[Delay days],MATCH(tblWorkPackages[[#This Row],[Work package ID]],tblParts[Work package ID],0)),0)</f>
        <v>0</v>
      </c>
      <c r="AI958" s="51" t="str">
        <f>IFERROR(INDEX(tblDisruptions[Event type],MATCH(tblWorkPackages[[#This Row],[Work package ID]],tblDisruptions[Work package ID],0)),"None")</f>
        <v>None</v>
      </c>
      <c r="AJ958" s="51" t="str">
        <f>TEXT(tblWorkPackages[[#This Row],[Due date serial]],"yyyy-mm")</f>
        <v>2024-09</v>
      </c>
    </row>
    <row r="959" spans="1:36" ht="15" x14ac:dyDescent="0.25">
      <c r="A959" s="53" t="s">
        <v>1852</v>
      </c>
      <c r="B959" s="53" t="s">
        <v>235</v>
      </c>
      <c r="C959" s="53" t="s">
        <v>186</v>
      </c>
      <c r="D959" s="53" t="s">
        <v>1288</v>
      </c>
      <c r="E959" s="53" t="s">
        <v>144</v>
      </c>
      <c r="F959" s="53" t="s">
        <v>145</v>
      </c>
      <c r="G959" s="53" t="s">
        <v>146</v>
      </c>
      <c r="H959" s="53">
        <v>2</v>
      </c>
      <c r="I959" s="53" t="s">
        <v>130</v>
      </c>
      <c r="J959" s="53">
        <v>1</v>
      </c>
      <c r="K959" s="53">
        <v>1</v>
      </c>
      <c r="L959" s="53">
        <v>11</v>
      </c>
      <c r="M959" s="53" t="s">
        <v>859</v>
      </c>
      <c r="N959" s="53">
        <v>18.899999999999999</v>
      </c>
      <c r="O959" s="51" t="str">
        <f>TEXT(tblWorkPackages[[#This Row],[Request date serial]]-WEEKDAY(tblWorkPackages[[#This Row],[Request date serial]],3),"yyyy-mm-dd")</f>
        <v>2025-02-17</v>
      </c>
      <c r="P959" s="51">
        <f>ABS(tblWorkPackages[[#This Row],[Actual labor hours]]-tblWorkPackages[[#This Row],[Estimated labor hours]])</f>
        <v>7.9</v>
      </c>
      <c r="Q959" s="51">
        <f>IF(tblWorkPackages[[#This Row],[Actual labor hours]]&gt;tblWorkPackages[[#This Row],[Estimated labor hours]],1,0)</f>
        <v>1</v>
      </c>
      <c r="R959" s="51">
        <f>tblWorkPackages[[#This Row],[Actual labor hours]]-tblWorkPackages[[#This Row],[Estimated labor hours]]</f>
        <v>7.9</v>
      </c>
      <c r="S959" s="51" t="str">
        <f>IF(tblWorkPackages[[#This Row],[Request date serial]]&lt;ValidationStart,"Train 2024",IF(tblWorkPackages[[#This Row],[Request date serial]]&lt;HoldoutStart,"Validation H1","Holdout H2"))</f>
        <v>Validation H1</v>
      </c>
      <c r="T959" s="51">
        <f>IF(tblWorkPackages[[#This Row],[Time split]]="Train 2024","",tblWorkPackages[[#This Row],[Estimated labor hours]]+VLOOKUP(tblWorkPackages[[#This Row],[Task type]],'Forecast validation'!$A$14:$E$25,IF(tblWorkPackages[[#This Row],[Time split]]="Validation H1",4,5),FALSE()))</f>
        <v>11.7547368421053</v>
      </c>
      <c r="U959" s="51">
        <f>IF(tblWorkPackages[[#This Row],[Calibrated forecast hours]]="","",ABS(tblWorkPackages[[#This Row],[Actual labor hours]]-tblWorkPackages[[#This Row],[Calibrated forecast hours]]))</f>
        <v>7.14526315789474</v>
      </c>
      <c r="V959" s="51">
        <f>IF(tblWorkPackages[[#This Row],[Time split]]="Train 2024",tblWorkPackages[[#This Row],[Estimated labor hours]],tblWorkPackages[[#This Row],[Calibrated forecast hours]])</f>
        <v>11.7547368421053</v>
      </c>
      <c r="W959" s="64">
        <f>DATEVALUE(tblWorkPackages[[#This Row],[Request date]])</f>
        <v>45707.0</v>
      </c>
      <c r="X959" s="64">
        <f>DATEVALUE(tblWorkPackages[[#This Row],[Due date]])</f>
        <v>45720.0</v>
      </c>
      <c r="Y959" s="64">
        <f>DATEVALUE(tblWorkPackages[[#This Row],[Completion date]])</f>
        <v>45719.0</v>
      </c>
      <c r="Z959" s="64">
        <f>_xlfn.MINIFS(tblLaborEntries[Work date serial],tblLaborEntries[Work package ID],tblWorkPackages[[#This Row],[Work package ID]])</f>
        <v>45716.0</v>
      </c>
      <c r="AA959" s="64">
        <f>_xlfn.MAXIFS(tblLaborEntries[Work date serial],tblLaborEntries[Work package ID],tblWorkPackages[[#This Row],[Work package ID]])</f>
        <v>45718.0</v>
      </c>
      <c r="AB959" s="65">
        <f>IF(tblWorkPackages[[#This Row],[Completion date serial]]&gt;tblWorkPackages[[#This Row],[Due date serial]],1,0)</f>
        <v>0</v>
      </c>
      <c r="AC959" s="65">
        <f>MAX(0,tblWorkPackages[[#This Row],[Completion date serial]]-tblWorkPackages[[#This Row],[Due date serial]])</f>
        <v>0</v>
      </c>
      <c r="AD959" s="65">
        <f>tblWorkPackages[[#This Row],[First labor date]]-tblWorkPackages[[#This Row],[Request date serial]]</f>
        <v>9</v>
      </c>
      <c r="AE959" s="65">
        <f>tblWorkPackages[[#This Row],[Last labor date]]-tblWorkPackages[[#This Row],[First labor date]]</f>
        <v>2</v>
      </c>
      <c r="AF959" s="65">
        <f>tblWorkPackages[[#This Row],[Completion date serial]]-tblWorkPackages[[#This Row],[Last labor date]]</f>
        <v>1</v>
      </c>
      <c r="AG959" s="65">
        <f>tblWorkPackages[[#This Row],[Completion date serial]]-tblWorkPackages[[#This Row],[Request date serial]]</f>
        <v>12</v>
      </c>
      <c r="AH959" s="65">
        <f>IFERROR(INDEX(tblParts[Delay days],MATCH(tblWorkPackages[[#This Row],[Work package ID]],tblParts[Work package ID],0)),0)</f>
        <v>8</v>
      </c>
      <c r="AI959" s="51" t="str">
        <f>IFERROR(INDEX(tblDisruptions[Event type],MATCH(tblWorkPackages[[#This Row],[Work package ID]],tblDisruptions[Work package ID],0)),"None")</f>
        <v>Part delay</v>
      </c>
      <c r="AJ959" s="51" t="str">
        <f>TEXT(tblWorkPackages[[#This Row],[Due date serial]],"yyyy-mm")</f>
        <v>2025-03</v>
      </c>
    </row>
    <row r="960" spans="1:36" ht="15" x14ac:dyDescent="0.25">
      <c r="A960" s="53" t="s">
        <v>1853</v>
      </c>
      <c r="B960" s="53" t="s">
        <v>168</v>
      </c>
      <c r="C960" s="53" t="s">
        <v>418</v>
      </c>
      <c r="D960" s="53" t="s">
        <v>1126</v>
      </c>
      <c r="E960" s="53" t="s">
        <v>223</v>
      </c>
      <c r="F960" s="53" t="s">
        <v>182</v>
      </c>
      <c r="G960" s="53" t="s">
        <v>154</v>
      </c>
      <c r="H960" s="53">
        <v>4</v>
      </c>
      <c r="I960" s="53" t="s">
        <v>176</v>
      </c>
      <c r="J960" s="53">
        <v>0</v>
      </c>
      <c r="K960" s="53">
        <v>0</v>
      </c>
      <c r="L960" s="53">
        <v>25.7</v>
      </c>
      <c r="M960" s="53" t="s">
        <v>1033</v>
      </c>
      <c r="N960" s="53">
        <v>26.4</v>
      </c>
      <c r="O960" s="51" t="str">
        <f>TEXT(tblWorkPackages[[#This Row],[Request date serial]]-WEEKDAY(tblWorkPackages[[#This Row],[Request date serial]],3),"yyyy-mm-dd")</f>
        <v>2024-05-13</v>
      </c>
      <c r="P960" s="51">
        <f>ABS(tblWorkPackages[[#This Row],[Actual labor hours]]-tblWorkPackages[[#This Row],[Estimated labor hours]])</f>
        <v>0.699999999999999</v>
      </c>
      <c r="Q960" s="51">
        <f>IF(tblWorkPackages[[#This Row],[Actual labor hours]]&gt;tblWorkPackages[[#This Row],[Estimated labor hours]],1,0)</f>
        <v>1</v>
      </c>
      <c r="R960" s="51">
        <f>tblWorkPackages[[#This Row],[Actual labor hours]]-tblWorkPackages[[#This Row],[Estimated labor hours]]</f>
        <v>0.699999999999999</v>
      </c>
      <c r="S960" s="51" t="str">
        <f>IF(tblWorkPackages[[#This Row],[Request date serial]]&lt;ValidationStart,"Train 2024",IF(tblWorkPackages[[#This Row],[Request date serial]]&lt;HoldoutStart,"Validation H1","Holdout H2"))</f>
        <v>Train 2024</v>
      </c>
      <c r="T960" s="51" t="str">
        <f>IF(tblWorkPackages[[#This Row],[Time split]]="Train 2024","",tblWorkPackages[[#This Row],[Estimated labor hours]]+VLOOKUP(tblWorkPackages[[#This Row],[Task type]],'Forecast validation'!$A$14:$E$25,IF(tblWorkPackages[[#This Row],[Time split]]="Validation H1",4,5),FALSE()))</f>
        <v/>
      </c>
      <c r="U960" s="51" t="str">
        <f>IF(tblWorkPackages[[#This Row],[Calibrated forecast hours]]="","",ABS(tblWorkPackages[[#This Row],[Actual labor hours]]-tblWorkPackages[[#This Row],[Calibrated forecast hours]]))</f>
        <v/>
      </c>
      <c r="V960" s="51">
        <f>IF(tblWorkPackages[[#This Row],[Time split]]="Train 2024",tblWorkPackages[[#This Row],[Estimated labor hours]],tblWorkPackages[[#This Row],[Calibrated forecast hours]])</f>
        <v>25.7</v>
      </c>
      <c r="W960" s="64">
        <f>DATEVALUE(tblWorkPackages[[#This Row],[Request date]])</f>
        <v>45429.0</v>
      </c>
      <c r="X960" s="64">
        <f>DATEVALUE(tblWorkPackages[[#This Row],[Due date]])</f>
        <v>45435.0</v>
      </c>
      <c r="Y960" s="64">
        <f>DATEVALUE(tblWorkPackages[[#This Row],[Completion date]])</f>
        <v>45445.0</v>
      </c>
      <c r="Z960" s="64">
        <f>_xlfn.MINIFS(tblLaborEntries[Work date serial],tblLaborEntries[Work package ID],tblWorkPackages[[#This Row],[Work package ID]])</f>
        <v>45441.0</v>
      </c>
      <c r="AA960" s="64">
        <f>_xlfn.MAXIFS(tblLaborEntries[Work date serial],tblLaborEntries[Work package ID],tblWorkPackages[[#This Row],[Work package ID]])</f>
        <v>45443.0</v>
      </c>
      <c r="AB960" s="65">
        <f>IF(tblWorkPackages[[#This Row],[Completion date serial]]&gt;tblWorkPackages[[#This Row],[Due date serial]],1,0)</f>
        <v>1</v>
      </c>
      <c r="AC960" s="65">
        <f>MAX(0,tblWorkPackages[[#This Row],[Completion date serial]]-tblWorkPackages[[#This Row],[Due date serial]])</f>
        <v>10</v>
      </c>
      <c r="AD960" s="65">
        <f>tblWorkPackages[[#This Row],[First labor date]]-tblWorkPackages[[#This Row],[Request date serial]]</f>
        <v>12</v>
      </c>
      <c r="AE960" s="65">
        <f>tblWorkPackages[[#This Row],[Last labor date]]-tblWorkPackages[[#This Row],[First labor date]]</f>
        <v>2</v>
      </c>
      <c r="AF960" s="65">
        <f>tblWorkPackages[[#This Row],[Completion date serial]]-tblWorkPackages[[#This Row],[Last labor date]]</f>
        <v>2</v>
      </c>
      <c r="AG960" s="65">
        <f>tblWorkPackages[[#This Row],[Completion date serial]]-tblWorkPackages[[#This Row],[Request date serial]]</f>
        <v>16</v>
      </c>
      <c r="AH960" s="65">
        <f>IFERROR(INDEX(tblParts[Delay days],MATCH(tblWorkPackages[[#This Row],[Work package ID]],tblParts[Work package ID],0)),0)</f>
        <v>0</v>
      </c>
      <c r="AI960" s="51" t="str">
        <f>IFERROR(INDEX(tblDisruptions[Event type],MATCH(tblWorkPackages[[#This Row],[Work package ID]],tblDisruptions[Work package ID],0)),"None")</f>
        <v>None</v>
      </c>
      <c r="AJ960" s="51" t="str">
        <f>TEXT(tblWorkPackages[[#This Row],[Due date serial]],"yyyy-mm")</f>
        <v>2024-05</v>
      </c>
    </row>
    <row r="961" spans="1:36" ht="15" x14ac:dyDescent="0.25">
      <c r="A961" s="53" t="s">
        <v>1854</v>
      </c>
      <c r="B961" s="53" t="s">
        <v>163</v>
      </c>
      <c r="C961" s="53" t="s">
        <v>1234</v>
      </c>
      <c r="D961" s="53" t="s">
        <v>228</v>
      </c>
      <c r="E961" s="53" t="s">
        <v>127</v>
      </c>
      <c r="F961" s="53" t="s">
        <v>128</v>
      </c>
      <c r="G961" s="53" t="s">
        <v>129</v>
      </c>
      <c r="H961" s="53">
        <v>1</v>
      </c>
      <c r="I961" s="53" t="s">
        <v>130</v>
      </c>
      <c r="J961" s="53">
        <v>0</v>
      </c>
      <c r="K961" s="53">
        <v>0</v>
      </c>
      <c r="L961" s="53">
        <v>4.5</v>
      </c>
      <c r="M961" s="53" t="s">
        <v>842</v>
      </c>
      <c r="N961" s="53">
        <v>4.2</v>
      </c>
      <c r="O961" s="51" t="str">
        <f>TEXT(tblWorkPackages[[#This Row],[Request date serial]]-WEEKDAY(tblWorkPackages[[#This Row],[Request date serial]],3),"yyyy-mm-dd")</f>
        <v>2025-07-21</v>
      </c>
      <c r="P961" s="51">
        <f>ABS(tblWorkPackages[[#This Row],[Actual labor hours]]-tblWorkPackages[[#This Row],[Estimated labor hours]])</f>
        <v>0.3</v>
      </c>
      <c r="Q961" s="51">
        <f>IF(tblWorkPackages[[#This Row],[Actual labor hours]]&gt;tblWorkPackages[[#This Row],[Estimated labor hours]],1,0)</f>
        <v>0</v>
      </c>
      <c r="R961" s="51">
        <f>tblWorkPackages[[#This Row],[Actual labor hours]]-tblWorkPackages[[#This Row],[Estimated labor hours]]</f>
        <v>-0.3</v>
      </c>
      <c r="S961" s="51" t="str">
        <f>IF(tblWorkPackages[[#This Row],[Request date serial]]&lt;ValidationStart,"Train 2024",IF(tblWorkPackages[[#This Row],[Request date serial]]&lt;HoldoutStart,"Validation H1","Holdout H2"))</f>
        <v>Holdout H2</v>
      </c>
      <c r="T961" s="51">
        <f>IF(tblWorkPackages[[#This Row],[Time split]]="Train 2024","",tblWorkPackages[[#This Row],[Estimated labor hours]]+VLOOKUP(tblWorkPackages[[#This Row],[Task type]],'Forecast validation'!$A$14:$E$25,IF(tblWorkPackages[[#This Row],[Time split]]="Validation H1",4,5),FALSE()))</f>
        <v>5.04341085271318</v>
      </c>
      <c r="U961" s="51">
        <f>IF(tblWorkPackages[[#This Row],[Calibrated forecast hours]]="","",ABS(tblWorkPackages[[#This Row],[Actual labor hours]]-tblWorkPackages[[#This Row],[Calibrated forecast hours]]))</f>
        <v>0.843410852713178</v>
      </c>
      <c r="V961" s="51">
        <f>IF(tblWorkPackages[[#This Row],[Time split]]="Train 2024",tblWorkPackages[[#This Row],[Estimated labor hours]],tblWorkPackages[[#This Row],[Calibrated forecast hours]])</f>
        <v>5.04341085271318</v>
      </c>
      <c r="W961" s="64">
        <f>DATEVALUE(tblWorkPackages[[#This Row],[Request date]])</f>
        <v>45859.0</v>
      </c>
      <c r="X961" s="64">
        <f>DATEVALUE(tblWorkPackages[[#This Row],[Due date]])</f>
        <v>45872.0</v>
      </c>
      <c r="Y961" s="64">
        <f>DATEVALUE(tblWorkPackages[[#This Row],[Completion date]])</f>
        <v>45865.0</v>
      </c>
      <c r="Z961" s="64">
        <f>_xlfn.MINIFS(tblLaborEntries[Work date serial],tblLaborEntries[Work package ID],tblWorkPackages[[#This Row],[Work package ID]])</f>
        <v>45862.0</v>
      </c>
      <c r="AA961" s="64">
        <f>_xlfn.MAXIFS(tblLaborEntries[Work date serial],tblLaborEntries[Work package ID],tblWorkPackages[[#This Row],[Work package ID]])</f>
        <v>45862.0</v>
      </c>
      <c r="AB961" s="65">
        <f>IF(tblWorkPackages[[#This Row],[Completion date serial]]&gt;tblWorkPackages[[#This Row],[Due date serial]],1,0)</f>
        <v>0</v>
      </c>
      <c r="AC961" s="65">
        <f>MAX(0,tblWorkPackages[[#This Row],[Completion date serial]]-tblWorkPackages[[#This Row],[Due date serial]])</f>
        <v>0</v>
      </c>
      <c r="AD961" s="65">
        <f>tblWorkPackages[[#This Row],[First labor date]]-tblWorkPackages[[#This Row],[Request date serial]]</f>
        <v>3</v>
      </c>
      <c r="AE961" s="65">
        <f>tblWorkPackages[[#This Row],[Last labor date]]-tblWorkPackages[[#This Row],[First labor date]]</f>
        <v>0</v>
      </c>
      <c r="AF961" s="65">
        <f>tblWorkPackages[[#This Row],[Completion date serial]]-tblWorkPackages[[#This Row],[Last labor date]]</f>
        <v>3</v>
      </c>
      <c r="AG961" s="65">
        <f>tblWorkPackages[[#This Row],[Completion date serial]]-tblWorkPackages[[#This Row],[Request date serial]]</f>
        <v>6</v>
      </c>
      <c r="AH961" s="65">
        <f>IFERROR(INDEX(tblParts[Delay days],MATCH(tblWorkPackages[[#This Row],[Work package ID]],tblParts[Work package ID],0)),0)</f>
        <v>0</v>
      </c>
      <c r="AI961" s="51" t="str">
        <f>IFERROR(INDEX(tblDisruptions[Event type],MATCH(tblWorkPackages[[#This Row],[Work package ID]],tblDisruptions[Work package ID],0)),"None")</f>
        <v>None</v>
      </c>
      <c r="AJ961" s="51" t="str">
        <f>TEXT(tblWorkPackages[[#This Row],[Due date serial]],"yyyy-mm")</f>
        <v>2025-08</v>
      </c>
    </row>
    <row r="962" spans="1:36" ht="15" x14ac:dyDescent="0.25">
      <c r="A962" s="53" t="s">
        <v>1855</v>
      </c>
      <c r="B962" s="53" t="s">
        <v>250</v>
      </c>
      <c r="C962" s="53" t="s">
        <v>331</v>
      </c>
      <c r="D962" s="53" t="s">
        <v>480</v>
      </c>
      <c r="E962" s="53" t="s">
        <v>144</v>
      </c>
      <c r="F962" s="53" t="s">
        <v>145</v>
      </c>
      <c r="G962" s="53" t="s">
        <v>146</v>
      </c>
      <c r="H962" s="53">
        <v>2</v>
      </c>
      <c r="I962" s="53" t="s">
        <v>176</v>
      </c>
      <c r="J962" s="53">
        <v>0</v>
      </c>
      <c r="K962" s="53">
        <v>0</v>
      </c>
      <c r="L962" s="53">
        <v>9.1</v>
      </c>
      <c r="M962" s="53" t="s">
        <v>335</v>
      </c>
      <c r="N962" s="53">
        <v>9.1999999999999993</v>
      </c>
      <c r="O962" s="51" t="str">
        <f>TEXT(tblWorkPackages[[#This Row],[Request date serial]]-WEEKDAY(tblWorkPackages[[#This Row],[Request date serial]],3),"yyyy-mm-dd")</f>
        <v>2025-10-13</v>
      </c>
      <c r="P962" s="51">
        <f>ABS(tblWorkPackages[[#This Row],[Actual labor hours]]-tblWorkPackages[[#This Row],[Estimated labor hours]])</f>
        <v>0.0999999999999996</v>
      </c>
      <c r="Q962" s="51">
        <f>IF(tblWorkPackages[[#This Row],[Actual labor hours]]&gt;tblWorkPackages[[#This Row],[Estimated labor hours]],1,0)</f>
        <v>1</v>
      </c>
      <c r="R962" s="51">
        <f>tblWorkPackages[[#This Row],[Actual labor hours]]-tblWorkPackages[[#This Row],[Estimated labor hours]]</f>
        <v>0.0999999999999996</v>
      </c>
      <c r="S962" s="51" t="str">
        <f>IF(tblWorkPackages[[#This Row],[Request date serial]]&lt;ValidationStart,"Train 2024",IF(tblWorkPackages[[#This Row],[Request date serial]]&lt;HoldoutStart,"Validation H1","Holdout H2"))</f>
        <v>Holdout H2</v>
      </c>
      <c r="T962" s="51">
        <f>IF(tblWorkPackages[[#This Row],[Time split]]="Train 2024","",tblWorkPackages[[#This Row],[Estimated labor hours]]+VLOOKUP(tblWorkPackages[[#This Row],[Task type]],'Forecast validation'!$A$14:$E$25,IF(tblWorkPackages[[#This Row],[Time split]]="Validation H1",4,5),FALSE()))</f>
        <v>10.0735483870968</v>
      </c>
      <c r="U962" s="51">
        <f>IF(tblWorkPackages[[#This Row],[Calibrated forecast hours]]="","",ABS(tblWorkPackages[[#This Row],[Actual labor hours]]-tblWorkPackages[[#This Row],[Calibrated forecast hours]]))</f>
        <v>0.873548387096776</v>
      </c>
      <c r="V962" s="51">
        <f>IF(tblWorkPackages[[#This Row],[Time split]]="Train 2024",tblWorkPackages[[#This Row],[Estimated labor hours]],tblWorkPackages[[#This Row],[Calibrated forecast hours]])</f>
        <v>10.0735483870968</v>
      </c>
      <c r="W962" s="64">
        <f>DATEVALUE(tblWorkPackages[[#This Row],[Request date]])</f>
        <v>45949.0</v>
      </c>
      <c r="X962" s="64">
        <f>DATEVALUE(tblWorkPackages[[#This Row],[Due date]])</f>
        <v>45955.0</v>
      </c>
      <c r="Y962" s="64">
        <f>DATEVALUE(tblWorkPackages[[#This Row],[Completion date]])</f>
        <v>45984.0</v>
      </c>
      <c r="Z962" s="64">
        <f>_xlfn.MINIFS(tblLaborEntries[Work date serial],tblLaborEntries[Work package ID],tblWorkPackages[[#This Row],[Work package ID]])</f>
        <v>45983.0</v>
      </c>
      <c r="AA962" s="64">
        <f>_xlfn.MAXIFS(tblLaborEntries[Work date serial],tblLaborEntries[Work package ID],tblWorkPackages[[#This Row],[Work package ID]])</f>
        <v>45984.0</v>
      </c>
      <c r="AB962" s="65">
        <f>IF(tblWorkPackages[[#This Row],[Completion date serial]]&gt;tblWorkPackages[[#This Row],[Due date serial]],1,0)</f>
        <v>1</v>
      </c>
      <c r="AC962" s="65">
        <f>MAX(0,tblWorkPackages[[#This Row],[Completion date serial]]-tblWorkPackages[[#This Row],[Due date serial]])</f>
        <v>29</v>
      </c>
      <c r="AD962" s="65">
        <f>tblWorkPackages[[#This Row],[First labor date]]-tblWorkPackages[[#This Row],[Request date serial]]</f>
        <v>34</v>
      </c>
      <c r="AE962" s="65">
        <f>tblWorkPackages[[#This Row],[Last labor date]]-tblWorkPackages[[#This Row],[First labor date]]</f>
        <v>1</v>
      </c>
      <c r="AF962" s="65">
        <f>tblWorkPackages[[#This Row],[Completion date serial]]-tblWorkPackages[[#This Row],[Last labor date]]</f>
        <v>0</v>
      </c>
      <c r="AG962" s="65">
        <f>tblWorkPackages[[#This Row],[Completion date serial]]-tblWorkPackages[[#This Row],[Request date serial]]</f>
        <v>35</v>
      </c>
      <c r="AH962" s="65">
        <f>IFERROR(INDEX(tblParts[Delay days],MATCH(tblWorkPackages[[#This Row],[Work package ID]],tblParts[Work package ID],0)),0)</f>
        <v>0</v>
      </c>
      <c r="AI962" s="51" t="str">
        <f>IFERROR(INDEX(tblDisruptions[Event type],MATCH(tblWorkPackages[[#This Row],[Work package ID]],tblDisruptions[Work package ID],0)),"None")</f>
        <v>None</v>
      </c>
      <c r="AJ962" s="51" t="str">
        <f>TEXT(tblWorkPackages[[#This Row],[Due date serial]],"yyyy-mm")</f>
        <v>2025-10</v>
      </c>
    </row>
    <row r="963" spans="1:36" ht="15" x14ac:dyDescent="0.25">
      <c r="A963" s="53" t="s">
        <v>1856</v>
      </c>
      <c r="B963" s="53" t="s">
        <v>168</v>
      </c>
      <c r="C963" s="53" t="s">
        <v>753</v>
      </c>
      <c r="D963" s="53" t="s">
        <v>499</v>
      </c>
      <c r="E963" s="53" t="s">
        <v>223</v>
      </c>
      <c r="F963" s="53" t="s">
        <v>182</v>
      </c>
      <c r="G963" s="53" t="s">
        <v>154</v>
      </c>
      <c r="H963" s="53">
        <v>1</v>
      </c>
      <c r="I963" s="53" t="s">
        <v>176</v>
      </c>
      <c r="J963" s="53">
        <v>0</v>
      </c>
      <c r="K963" s="53">
        <v>0</v>
      </c>
      <c r="L963" s="53">
        <v>7.5</v>
      </c>
      <c r="M963" s="53" t="s">
        <v>651</v>
      </c>
      <c r="N963" s="53">
        <v>7.2</v>
      </c>
      <c r="O963" s="51" t="str">
        <f>TEXT(tblWorkPackages[[#This Row],[Request date serial]]-WEEKDAY(tblWorkPackages[[#This Row],[Request date serial]],3),"yyyy-mm-dd")</f>
        <v>2025-11-24</v>
      </c>
      <c r="P963" s="51">
        <f>ABS(tblWorkPackages[[#This Row],[Actual labor hours]]-tblWorkPackages[[#This Row],[Estimated labor hours]])</f>
        <v>0.3</v>
      </c>
      <c r="Q963" s="51">
        <f>IF(tblWorkPackages[[#This Row],[Actual labor hours]]&gt;tblWorkPackages[[#This Row],[Estimated labor hours]],1,0)</f>
        <v>0</v>
      </c>
      <c r="R963" s="51">
        <f>tblWorkPackages[[#This Row],[Actual labor hours]]-tblWorkPackages[[#This Row],[Estimated labor hours]]</f>
        <v>-0.3</v>
      </c>
      <c r="S963" s="51" t="str">
        <f>IF(tblWorkPackages[[#This Row],[Request date serial]]&lt;ValidationStart,"Train 2024",IF(tblWorkPackages[[#This Row],[Request date serial]]&lt;HoldoutStart,"Validation H1","Holdout H2"))</f>
        <v>Holdout H2</v>
      </c>
      <c r="T963" s="51">
        <f>IF(tblWorkPackages[[#This Row],[Time split]]="Train 2024","",tblWorkPackages[[#This Row],[Estimated labor hours]]+VLOOKUP(tblWorkPackages[[#This Row],[Task type]],'Forecast validation'!$A$14:$E$25,IF(tblWorkPackages[[#This Row],[Time split]]="Validation H1",4,5),FALSE()))</f>
        <v>8.42465753424658</v>
      </c>
      <c r="U963" s="51">
        <f>IF(tblWorkPackages[[#This Row],[Calibrated forecast hours]]="","",ABS(tblWorkPackages[[#This Row],[Actual labor hours]]-tblWorkPackages[[#This Row],[Calibrated forecast hours]]))</f>
        <v>1.22465753424658</v>
      </c>
      <c r="V963" s="51">
        <f>IF(tblWorkPackages[[#This Row],[Time split]]="Train 2024",tblWorkPackages[[#This Row],[Estimated labor hours]],tblWorkPackages[[#This Row],[Calibrated forecast hours]])</f>
        <v>8.42465753424658</v>
      </c>
      <c r="W963" s="64">
        <f>DATEVALUE(tblWorkPackages[[#This Row],[Request date]])</f>
        <v>45989.0</v>
      </c>
      <c r="X963" s="64">
        <f>DATEVALUE(tblWorkPackages[[#This Row],[Due date]])</f>
        <v>45995.0</v>
      </c>
      <c r="Y963" s="64">
        <f>DATEVALUE(tblWorkPackages[[#This Row],[Completion date]])</f>
        <v>45997.0</v>
      </c>
      <c r="Z963" s="64">
        <f>_xlfn.MINIFS(tblLaborEntries[Work date serial],tblLaborEntries[Work package ID],tblWorkPackages[[#This Row],[Work package ID]])</f>
        <v>45995.0</v>
      </c>
      <c r="AA963" s="64">
        <f>_xlfn.MAXIFS(tblLaborEntries[Work date serial],tblLaborEntries[Work package ID],tblWorkPackages[[#This Row],[Work package ID]])</f>
        <v>45996.0</v>
      </c>
      <c r="AB963" s="65">
        <f>IF(tblWorkPackages[[#This Row],[Completion date serial]]&gt;tblWorkPackages[[#This Row],[Due date serial]],1,0)</f>
        <v>1</v>
      </c>
      <c r="AC963" s="65">
        <f>MAX(0,tblWorkPackages[[#This Row],[Completion date serial]]-tblWorkPackages[[#This Row],[Due date serial]])</f>
        <v>2</v>
      </c>
      <c r="AD963" s="65">
        <f>tblWorkPackages[[#This Row],[First labor date]]-tblWorkPackages[[#This Row],[Request date serial]]</f>
        <v>6</v>
      </c>
      <c r="AE963" s="65">
        <f>tblWorkPackages[[#This Row],[Last labor date]]-tblWorkPackages[[#This Row],[First labor date]]</f>
        <v>1</v>
      </c>
      <c r="AF963" s="65">
        <f>tblWorkPackages[[#This Row],[Completion date serial]]-tblWorkPackages[[#This Row],[Last labor date]]</f>
        <v>1</v>
      </c>
      <c r="AG963" s="65">
        <f>tblWorkPackages[[#This Row],[Completion date serial]]-tblWorkPackages[[#This Row],[Request date serial]]</f>
        <v>8</v>
      </c>
      <c r="AH963" s="65">
        <f>IFERROR(INDEX(tblParts[Delay days],MATCH(tblWorkPackages[[#This Row],[Work package ID]],tblParts[Work package ID],0)),0)</f>
        <v>0</v>
      </c>
      <c r="AI963" s="51" t="str">
        <f>IFERROR(INDEX(tblDisruptions[Event type],MATCH(tblWorkPackages[[#This Row],[Work package ID]],tblDisruptions[Work package ID],0)),"None")</f>
        <v>None</v>
      </c>
      <c r="AJ963" s="51" t="str">
        <f>TEXT(tblWorkPackages[[#This Row],[Due date serial]],"yyyy-mm")</f>
        <v>2025-12</v>
      </c>
    </row>
    <row r="964" spans="1:36" ht="15" x14ac:dyDescent="0.25">
      <c r="A964" s="53" t="s">
        <v>1857</v>
      </c>
      <c r="B964" s="53" t="s">
        <v>168</v>
      </c>
      <c r="C964" s="53" t="s">
        <v>710</v>
      </c>
      <c r="D964" s="53" t="s">
        <v>603</v>
      </c>
      <c r="E964" s="53" t="s">
        <v>237</v>
      </c>
      <c r="F964" s="53" t="s">
        <v>182</v>
      </c>
      <c r="G964" s="53" t="s">
        <v>138</v>
      </c>
      <c r="H964" s="53">
        <v>1</v>
      </c>
      <c r="I964" s="53" t="s">
        <v>130</v>
      </c>
      <c r="J964" s="53">
        <v>0</v>
      </c>
      <c r="K964" s="53">
        <v>0</v>
      </c>
      <c r="L964" s="53">
        <v>3.7</v>
      </c>
      <c r="M964" s="53" t="s">
        <v>672</v>
      </c>
      <c r="N964" s="53">
        <v>4.2</v>
      </c>
      <c r="O964" s="51" t="str">
        <f>TEXT(tblWorkPackages[[#This Row],[Request date serial]]-WEEKDAY(tblWorkPackages[[#This Row],[Request date serial]],3),"yyyy-mm-dd")</f>
        <v>2025-06-09</v>
      </c>
      <c r="P964" s="51">
        <f>ABS(tblWorkPackages[[#This Row],[Actual labor hours]]-tblWorkPackages[[#This Row],[Estimated labor hours]])</f>
        <v>0.5</v>
      </c>
      <c r="Q964" s="51">
        <f>IF(tblWorkPackages[[#This Row],[Actual labor hours]]&gt;tblWorkPackages[[#This Row],[Estimated labor hours]],1,0)</f>
        <v>1</v>
      </c>
      <c r="R964" s="51">
        <f>tblWorkPackages[[#This Row],[Actual labor hours]]-tblWorkPackages[[#This Row],[Estimated labor hours]]</f>
        <v>0.5</v>
      </c>
      <c r="S964" s="51" t="str">
        <f>IF(tblWorkPackages[[#This Row],[Request date serial]]&lt;ValidationStart,"Train 2024",IF(tblWorkPackages[[#This Row],[Request date serial]]&lt;HoldoutStart,"Validation H1","Holdout H2"))</f>
        <v>Validation H1</v>
      </c>
      <c r="T964" s="51">
        <f>IF(tblWorkPackages[[#This Row],[Time split]]="Train 2024","",tblWorkPackages[[#This Row],[Estimated labor hours]]+VLOOKUP(tblWorkPackages[[#This Row],[Task type]],'Forecast validation'!$A$14:$E$25,IF(tblWorkPackages[[#This Row],[Time split]]="Validation H1",4,5),FALSE()))</f>
        <v>4.2037037037037</v>
      </c>
      <c r="U964" s="51">
        <f>IF(tblWorkPackages[[#This Row],[Calibrated forecast hours]]="","",ABS(tblWorkPackages[[#This Row],[Actual labor hours]]-tblWorkPackages[[#This Row],[Calibrated forecast hours]]))</f>
        <v>0.00370370370370399</v>
      </c>
      <c r="V964" s="51">
        <f>IF(tblWorkPackages[[#This Row],[Time split]]="Train 2024",tblWorkPackages[[#This Row],[Estimated labor hours]],tblWorkPackages[[#This Row],[Calibrated forecast hours]])</f>
        <v>4.2037037037037</v>
      </c>
      <c r="W964" s="64">
        <f>DATEVALUE(tblWorkPackages[[#This Row],[Request date]])</f>
        <v>45821.0</v>
      </c>
      <c r="X964" s="64">
        <f>DATEVALUE(tblWorkPackages[[#This Row],[Due date]])</f>
        <v>45834.0</v>
      </c>
      <c r="Y964" s="64">
        <f>DATEVALUE(tblWorkPackages[[#This Row],[Completion date]])</f>
        <v>45826.0</v>
      </c>
      <c r="Z964" s="64">
        <f>_xlfn.MINIFS(tblLaborEntries[Work date serial],tblLaborEntries[Work package ID],tblWorkPackages[[#This Row],[Work package ID]])</f>
        <v>45823.0</v>
      </c>
      <c r="AA964" s="64">
        <f>_xlfn.MAXIFS(tblLaborEntries[Work date serial],tblLaborEntries[Work package ID],tblWorkPackages[[#This Row],[Work package ID]])</f>
        <v>45824.0</v>
      </c>
      <c r="AB964" s="65">
        <f>IF(tblWorkPackages[[#This Row],[Completion date serial]]&gt;tblWorkPackages[[#This Row],[Due date serial]],1,0)</f>
        <v>0</v>
      </c>
      <c r="AC964" s="65">
        <f>MAX(0,tblWorkPackages[[#This Row],[Completion date serial]]-tblWorkPackages[[#This Row],[Due date serial]])</f>
        <v>0</v>
      </c>
      <c r="AD964" s="65">
        <f>tblWorkPackages[[#This Row],[First labor date]]-tblWorkPackages[[#This Row],[Request date serial]]</f>
        <v>2</v>
      </c>
      <c r="AE964" s="65">
        <f>tblWorkPackages[[#This Row],[Last labor date]]-tblWorkPackages[[#This Row],[First labor date]]</f>
        <v>1</v>
      </c>
      <c r="AF964" s="65">
        <f>tblWorkPackages[[#This Row],[Completion date serial]]-tblWorkPackages[[#This Row],[Last labor date]]</f>
        <v>2</v>
      </c>
      <c r="AG964" s="65">
        <f>tblWorkPackages[[#This Row],[Completion date serial]]-tblWorkPackages[[#This Row],[Request date serial]]</f>
        <v>5</v>
      </c>
      <c r="AH964" s="65">
        <f>IFERROR(INDEX(tblParts[Delay days],MATCH(tblWorkPackages[[#This Row],[Work package ID]],tblParts[Work package ID],0)),0)</f>
        <v>0</v>
      </c>
      <c r="AI964" s="51" t="str">
        <f>IFERROR(INDEX(tblDisruptions[Event type],MATCH(tblWorkPackages[[#This Row],[Work package ID]],tblDisruptions[Work package ID],0)),"None")</f>
        <v>None</v>
      </c>
      <c r="AJ964" s="51" t="str">
        <f>TEXT(tblWorkPackages[[#This Row],[Due date serial]],"yyyy-mm")</f>
        <v>2025-06</v>
      </c>
    </row>
    <row r="965" spans="1:36" ht="15" x14ac:dyDescent="0.25">
      <c r="A965" s="53" t="s">
        <v>1858</v>
      </c>
      <c r="B965" s="53" t="s">
        <v>250</v>
      </c>
      <c r="C965" s="53" t="s">
        <v>854</v>
      </c>
      <c r="D965" s="53" t="s">
        <v>1089</v>
      </c>
      <c r="E965" s="53" t="s">
        <v>136</v>
      </c>
      <c r="F965" s="53" t="s">
        <v>137</v>
      </c>
      <c r="G965" s="53" t="s">
        <v>138</v>
      </c>
      <c r="H965" s="53">
        <v>4</v>
      </c>
      <c r="I965" s="53" t="s">
        <v>130</v>
      </c>
      <c r="J965" s="53">
        <v>0</v>
      </c>
      <c r="K965" s="53">
        <v>1</v>
      </c>
      <c r="L965" s="53">
        <v>26</v>
      </c>
      <c r="M965" s="53" t="s">
        <v>553</v>
      </c>
      <c r="N965" s="53">
        <v>19.8</v>
      </c>
      <c r="O965" s="51" t="str">
        <f>TEXT(tblWorkPackages[[#This Row],[Request date serial]]-WEEKDAY(tblWorkPackages[[#This Row],[Request date serial]],3),"yyyy-mm-dd")</f>
        <v>2024-07-15</v>
      </c>
      <c r="P965" s="51">
        <f>ABS(tblWorkPackages[[#This Row],[Actual labor hours]]-tblWorkPackages[[#This Row],[Estimated labor hours]])</f>
        <v>6.2</v>
      </c>
      <c r="Q965" s="51">
        <f>IF(tblWorkPackages[[#This Row],[Actual labor hours]]&gt;tblWorkPackages[[#This Row],[Estimated labor hours]],1,0)</f>
        <v>0</v>
      </c>
      <c r="R965" s="51">
        <f>tblWorkPackages[[#This Row],[Actual labor hours]]-tblWorkPackages[[#This Row],[Estimated labor hours]]</f>
        <v>-6.2</v>
      </c>
      <c r="S965" s="51" t="str">
        <f>IF(tblWorkPackages[[#This Row],[Request date serial]]&lt;ValidationStart,"Train 2024",IF(tblWorkPackages[[#This Row],[Request date serial]]&lt;HoldoutStart,"Validation H1","Holdout H2"))</f>
        <v>Train 2024</v>
      </c>
      <c r="T965" s="51" t="str">
        <f>IF(tblWorkPackages[[#This Row],[Time split]]="Train 2024","",tblWorkPackages[[#This Row],[Estimated labor hours]]+VLOOKUP(tblWorkPackages[[#This Row],[Task type]],'Forecast validation'!$A$14:$E$25,IF(tblWorkPackages[[#This Row],[Time split]]="Validation H1",4,5),FALSE()))</f>
        <v/>
      </c>
      <c r="U965" s="51" t="str">
        <f>IF(tblWorkPackages[[#This Row],[Calibrated forecast hours]]="","",ABS(tblWorkPackages[[#This Row],[Actual labor hours]]-tblWorkPackages[[#This Row],[Calibrated forecast hours]]))</f>
        <v/>
      </c>
      <c r="V965" s="51">
        <f>IF(tblWorkPackages[[#This Row],[Time split]]="Train 2024",tblWorkPackages[[#This Row],[Estimated labor hours]],tblWorkPackages[[#This Row],[Calibrated forecast hours]])</f>
        <v>26</v>
      </c>
      <c r="W965" s="64">
        <f>DATEVALUE(tblWorkPackages[[#This Row],[Request date]])</f>
        <v>45492.0</v>
      </c>
      <c r="X965" s="64">
        <f>DATEVALUE(tblWorkPackages[[#This Row],[Due date]])</f>
        <v>45505.0</v>
      </c>
      <c r="Y965" s="64">
        <f>DATEVALUE(tblWorkPackages[[#This Row],[Completion date]])</f>
        <v>45511.0</v>
      </c>
      <c r="Z965" s="64">
        <f>_xlfn.MINIFS(tblLaborEntries[Work date serial],tblLaborEntries[Work package ID],tblWorkPackages[[#This Row],[Work package ID]])</f>
        <v>45507.0</v>
      </c>
      <c r="AA965" s="64">
        <f>_xlfn.MAXIFS(tblLaborEntries[Work date serial],tblLaborEntries[Work package ID],tblWorkPackages[[#This Row],[Work package ID]])</f>
        <v>45508.0</v>
      </c>
      <c r="AB965" s="65">
        <f>IF(tblWorkPackages[[#This Row],[Completion date serial]]&gt;tblWorkPackages[[#This Row],[Due date serial]],1,0)</f>
        <v>1</v>
      </c>
      <c r="AC965" s="65">
        <f>MAX(0,tblWorkPackages[[#This Row],[Completion date serial]]-tblWorkPackages[[#This Row],[Due date serial]])</f>
        <v>6</v>
      </c>
      <c r="AD965" s="65">
        <f>tblWorkPackages[[#This Row],[First labor date]]-tblWorkPackages[[#This Row],[Request date serial]]</f>
        <v>15</v>
      </c>
      <c r="AE965" s="65">
        <f>tblWorkPackages[[#This Row],[Last labor date]]-tblWorkPackages[[#This Row],[First labor date]]</f>
        <v>1</v>
      </c>
      <c r="AF965" s="65">
        <f>tblWorkPackages[[#This Row],[Completion date serial]]-tblWorkPackages[[#This Row],[Last labor date]]</f>
        <v>3</v>
      </c>
      <c r="AG965" s="65">
        <f>tblWorkPackages[[#This Row],[Completion date serial]]-tblWorkPackages[[#This Row],[Request date serial]]</f>
        <v>19</v>
      </c>
      <c r="AH965" s="65">
        <f>IFERROR(INDEX(tblParts[Delay days],MATCH(tblWorkPackages[[#This Row],[Work package ID]],tblParts[Work package ID],0)),0)</f>
        <v>0</v>
      </c>
      <c r="AI965" s="51" t="str">
        <f>IFERROR(INDEX(tblDisruptions[Event type],MATCH(tblWorkPackages[[#This Row],[Work package ID]],tblDisruptions[Work package ID],0)),"None")</f>
        <v>None</v>
      </c>
      <c r="AJ965" s="51" t="str">
        <f>TEXT(tblWorkPackages[[#This Row],[Due date serial]],"yyyy-mm")</f>
        <v>2024-08</v>
      </c>
    </row>
    <row r="966" spans="1:36" ht="15" x14ac:dyDescent="0.25">
      <c r="A966" s="53" t="s">
        <v>1859</v>
      </c>
      <c r="B966" s="53" t="s">
        <v>150</v>
      </c>
      <c r="C966" s="53" t="s">
        <v>534</v>
      </c>
      <c r="D966" s="53" t="s">
        <v>509</v>
      </c>
      <c r="E966" s="53" t="s">
        <v>136</v>
      </c>
      <c r="F966" s="53" t="s">
        <v>137</v>
      </c>
      <c r="G966" s="53" t="s">
        <v>138</v>
      </c>
      <c r="H966" s="53">
        <v>3</v>
      </c>
      <c r="I966" s="53" t="s">
        <v>176</v>
      </c>
      <c r="J966" s="53">
        <v>0</v>
      </c>
      <c r="K966" s="53">
        <v>0</v>
      </c>
      <c r="L966" s="53">
        <v>18.100000000000001</v>
      </c>
      <c r="M966" s="53" t="s">
        <v>204</v>
      </c>
      <c r="N966" s="53">
        <v>17</v>
      </c>
      <c r="O966" s="51" t="str">
        <f>TEXT(tblWorkPackages[[#This Row],[Request date serial]]-WEEKDAY(tblWorkPackages[[#This Row],[Request date serial]],3),"yyyy-mm-dd")</f>
        <v>2024-10-21</v>
      </c>
      <c r="P966" s="51">
        <f>ABS(tblWorkPackages[[#This Row],[Actual labor hours]]-tblWorkPackages[[#This Row],[Estimated labor hours]])</f>
        <v>1.1</v>
      </c>
      <c r="Q966" s="51">
        <f>IF(tblWorkPackages[[#This Row],[Actual labor hours]]&gt;tblWorkPackages[[#This Row],[Estimated labor hours]],1,0)</f>
        <v>0</v>
      </c>
      <c r="R966" s="51">
        <f>tblWorkPackages[[#This Row],[Actual labor hours]]-tblWorkPackages[[#This Row],[Estimated labor hours]]</f>
        <v>-1.1</v>
      </c>
      <c r="S966" s="51" t="str">
        <f>IF(tblWorkPackages[[#This Row],[Request date serial]]&lt;ValidationStart,"Train 2024",IF(tblWorkPackages[[#This Row],[Request date serial]]&lt;HoldoutStart,"Validation H1","Holdout H2"))</f>
        <v>Train 2024</v>
      </c>
      <c r="T966" s="51" t="str">
        <f>IF(tblWorkPackages[[#This Row],[Time split]]="Train 2024","",tblWorkPackages[[#This Row],[Estimated labor hours]]+VLOOKUP(tblWorkPackages[[#This Row],[Task type]],'Forecast validation'!$A$14:$E$25,IF(tblWorkPackages[[#This Row],[Time split]]="Validation H1",4,5),FALSE()))</f>
        <v/>
      </c>
      <c r="U966" s="51" t="str">
        <f>IF(tblWorkPackages[[#This Row],[Calibrated forecast hours]]="","",ABS(tblWorkPackages[[#This Row],[Actual labor hours]]-tblWorkPackages[[#This Row],[Calibrated forecast hours]]))</f>
        <v/>
      </c>
      <c r="V966" s="51">
        <f>IF(tblWorkPackages[[#This Row],[Time split]]="Train 2024",tblWorkPackages[[#This Row],[Estimated labor hours]],tblWorkPackages[[#This Row],[Calibrated forecast hours]])</f>
        <v>18.1</v>
      </c>
      <c r="W966" s="64">
        <f>DATEVALUE(tblWorkPackages[[#This Row],[Request date]])</f>
        <v>45591.0</v>
      </c>
      <c r="X966" s="64">
        <f>DATEVALUE(tblWorkPackages[[#This Row],[Due date]])</f>
        <v>45597.0</v>
      </c>
      <c r="Y966" s="64">
        <f>DATEVALUE(tblWorkPackages[[#This Row],[Completion date]])</f>
        <v>45596.0</v>
      </c>
      <c r="Z966" s="64">
        <f>_xlfn.MINIFS(tblLaborEntries[Work date serial],tblLaborEntries[Work package ID],tblWorkPackages[[#This Row],[Work package ID]])</f>
        <v>45595.0</v>
      </c>
      <c r="AA966" s="64">
        <f>_xlfn.MAXIFS(tblLaborEntries[Work date serial],tblLaborEntries[Work package ID],tblWorkPackages[[#This Row],[Work package ID]])</f>
        <v>45596.0</v>
      </c>
      <c r="AB966" s="65">
        <f>IF(tblWorkPackages[[#This Row],[Completion date serial]]&gt;tblWorkPackages[[#This Row],[Due date serial]],1,0)</f>
        <v>0</v>
      </c>
      <c r="AC966" s="65">
        <f>MAX(0,tblWorkPackages[[#This Row],[Completion date serial]]-tblWorkPackages[[#This Row],[Due date serial]])</f>
        <v>0</v>
      </c>
      <c r="AD966" s="65">
        <f>tblWorkPackages[[#This Row],[First labor date]]-tblWorkPackages[[#This Row],[Request date serial]]</f>
        <v>4</v>
      </c>
      <c r="AE966" s="65">
        <f>tblWorkPackages[[#This Row],[Last labor date]]-tblWorkPackages[[#This Row],[First labor date]]</f>
        <v>1</v>
      </c>
      <c r="AF966" s="65">
        <f>tblWorkPackages[[#This Row],[Completion date serial]]-tblWorkPackages[[#This Row],[Last labor date]]</f>
        <v>0</v>
      </c>
      <c r="AG966" s="65">
        <f>tblWorkPackages[[#This Row],[Completion date serial]]-tblWorkPackages[[#This Row],[Request date serial]]</f>
        <v>5</v>
      </c>
      <c r="AH966" s="65">
        <f>IFERROR(INDEX(tblParts[Delay days],MATCH(tblWorkPackages[[#This Row],[Work package ID]],tblParts[Work package ID],0)),0)</f>
        <v>0</v>
      </c>
      <c r="AI966" s="51" t="str">
        <f>IFERROR(INDEX(tblDisruptions[Event type],MATCH(tblWorkPackages[[#This Row],[Work package ID]],tblDisruptions[Work package ID],0)),"None")</f>
        <v>None</v>
      </c>
      <c r="AJ966" s="51" t="str">
        <f>TEXT(tblWorkPackages[[#This Row],[Due date serial]],"yyyy-mm")</f>
        <v>2024-11</v>
      </c>
    </row>
    <row r="967" spans="1:36" ht="15" x14ac:dyDescent="0.25">
      <c r="A967" s="53" t="s">
        <v>1860</v>
      </c>
      <c r="B967" s="53" t="s">
        <v>157</v>
      </c>
      <c r="C967" s="53" t="s">
        <v>1524</v>
      </c>
      <c r="D967" s="53" t="s">
        <v>349</v>
      </c>
      <c r="E967" s="53" t="s">
        <v>200</v>
      </c>
      <c r="F967" s="53" t="s">
        <v>128</v>
      </c>
      <c r="G967" s="53" t="s">
        <v>129</v>
      </c>
      <c r="H967" s="53">
        <v>2</v>
      </c>
      <c r="I967" s="53" t="s">
        <v>147</v>
      </c>
      <c r="J967" s="53">
        <v>1</v>
      </c>
      <c r="K967" s="53">
        <v>0</v>
      </c>
      <c r="L967" s="53">
        <v>2.8</v>
      </c>
      <c r="M967" s="53" t="s">
        <v>1237</v>
      </c>
      <c r="N967" s="53">
        <v>3.2</v>
      </c>
      <c r="O967" s="51" t="str">
        <f>TEXT(tblWorkPackages[[#This Row],[Request date serial]]-WEEKDAY(tblWorkPackages[[#This Row],[Request date serial]],3),"yyyy-mm-dd")</f>
        <v>2024-01-15</v>
      </c>
      <c r="P967" s="51">
        <f>ABS(tblWorkPackages[[#This Row],[Actual labor hours]]-tblWorkPackages[[#This Row],[Estimated labor hours]])</f>
        <v>0.4</v>
      </c>
      <c r="Q967" s="51">
        <f>IF(tblWorkPackages[[#This Row],[Actual labor hours]]&gt;tblWorkPackages[[#This Row],[Estimated labor hours]],1,0)</f>
        <v>1</v>
      </c>
      <c r="R967" s="51">
        <f>tblWorkPackages[[#This Row],[Actual labor hours]]-tblWorkPackages[[#This Row],[Estimated labor hours]]</f>
        <v>0.4</v>
      </c>
      <c r="S967" s="51" t="str">
        <f>IF(tblWorkPackages[[#This Row],[Request date serial]]&lt;ValidationStart,"Train 2024",IF(tblWorkPackages[[#This Row],[Request date serial]]&lt;HoldoutStart,"Validation H1","Holdout H2"))</f>
        <v>Train 2024</v>
      </c>
      <c r="T967" s="51" t="str">
        <f>IF(tblWorkPackages[[#This Row],[Time split]]="Train 2024","",tblWorkPackages[[#This Row],[Estimated labor hours]]+VLOOKUP(tblWorkPackages[[#This Row],[Task type]],'Forecast validation'!$A$14:$E$25,IF(tblWorkPackages[[#This Row],[Time split]]="Validation H1",4,5),FALSE()))</f>
        <v/>
      </c>
      <c r="U967" s="51" t="str">
        <f>IF(tblWorkPackages[[#This Row],[Calibrated forecast hours]]="","",ABS(tblWorkPackages[[#This Row],[Actual labor hours]]-tblWorkPackages[[#This Row],[Calibrated forecast hours]]))</f>
        <v/>
      </c>
      <c r="V967" s="51">
        <f>IF(tblWorkPackages[[#This Row],[Time split]]="Train 2024",tblWorkPackages[[#This Row],[Estimated labor hours]],tblWorkPackages[[#This Row],[Calibrated forecast hours]])</f>
        <v>2.8</v>
      </c>
      <c r="W967" s="64">
        <f>DATEVALUE(tblWorkPackages[[#This Row],[Request date]])</f>
        <v>45308.0</v>
      </c>
      <c r="X967" s="64">
        <f>DATEVALUE(tblWorkPackages[[#This Row],[Due date]])</f>
        <v>45310.0</v>
      </c>
      <c r="Y967" s="64">
        <f>DATEVALUE(tblWorkPackages[[#This Row],[Completion date]])</f>
        <v>45312.0</v>
      </c>
      <c r="Z967" s="64">
        <f>_xlfn.MINIFS(tblLaborEntries[Work date serial],tblLaborEntries[Work package ID],tblWorkPackages[[#This Row],[Work package ID]])</f>
        <v>45309.0</v>
      </c>
      <c r="AA967" s="64">
        <f>_xlfn.MAXIFS(tblLaborEntries[Work date serial],tblLaborEntries[Work package ID],tblWorkPackages[[#This Row],[Work package ID]])</f>
        <v>45311.0</v>
      </c>
      <c r="AB967" s="65">
        <f>IF(tblWorkPackages[[#This Row],[Completion date serial]]&gt;tblWorkPackages[[#This Row],[Due date serial]],1,0)</f>
        <v>1</v>
      </c>
      <c r="AC967" s="65">
        <f>MAX(0,tblWorkPackages[[#This Row],[Completion date serial]]-tblWorkPackages[[#This Row],[Due date serial]])</f>
        <v>2</v>
      </c>
      <c r="AD967" s="65">
        <f>tblWorkPackages[[#This Row],[First labor date]]-tblWorkPackages[[#This Row],[Request date serial]]</f>
        <v>1</v>
      </c>
      <c r="AE967" s="65">
        <f>tblWorkPackages[[#This Row],[Last labor date]]-tblWorkPackages[[#This Row],[First labor date]]</f>
        <v>2</v>
      </c>
      <c r="AF967" s="65">
        <f>tblWorkPackages[[#This Row],[Completion date serial]]-tblWorkPackages[[#This Row],[Last labor date]]</f>
        <v>1</v>
      </c>
      <c r="AG967" s="65">
        <f>tblWorkPackages[[#This Row],[Completion date serial]]-tblWorkPackages[[#This Row],[Request date serial]]</f>
        <v>4</v>
      </c>
      <c r="AH967" s="65">
        <f>IFERROR(INDEX(tblParts[Delay days],MATCH(tblWorkPackages[[#This Row],[Work package ID]],tblParts[Work package ID],0)),0)</f>
        <v>0</v>
      </c>
      <c r="AI967" s="51" t="str">
        <f>IFERROR(INDEX(tblDisruptions[Event type],MATCH(tblWorkPackages[[#This Row],[Work package ID]],tblDisruptions[Work package ID],0)),"None")</f>
        <v>None</v>
      </c>
      <c r="AJ967" s="51" t="str">
        <f>TEXT(tblWorkPackages[[#This Row],[Due date serial]],"yyyy-mm")</f>
        <v>2024-01</v>
      </c>
    </row>
    <row r="968" spans="1:36" ht="15" x14ac:dyDescent="0.25">
      <c r="A968" s="53" t="s">
        <v>1861</v>
      </c>
      <c r="B968" s="53" t="s">
        <v>163</v>
      </c>
      <c r="C968" s="53" t="s">
        <v>844</v>
      </c>
      <c r="D968" s="53" t="s">
        <v>1151</v>
      </c>
      <c r="E968" s="53" t="s">
        <v>181</v>
      </c>
      <c r="F968" s="53" t="s">
        <v>182</v>
      </c>
      <c r="G968" s="53" t="s">
        <v>138</v>
      </c>
      <c r="H968" s="53">
        <v>1</v>
      </c>
      <c r="I968" s="53" t="s">
        <v>176</v>
      </c>
      <c r="J968" s="53">
        <v>0</v>
      </c>
      <c r="K968" s="53">
        <v>0</v>
      </c>
      <c r="L968" s="53">
        <v>4.5</v>
      </c>
      <c r="M968" s="53" t="s">
        <v>177</v>
      </c>
      <c r="N968" s="53">
        <v>5.7</v>
      </c>
      <c r="O968" s="51" t="str">
        <f>TEXT(tblWorkPackages[[#This Row],[Request date serial]]-WEEKDAY(tblWorkPackages[[#This Row],[Request date serial]],3),"yyyy-mm-dd")</f>
        <v>2025-08-04</v>
      </c>
      <c r="P968" s="51">
        <f>ABS(tblWorkPackages[[#This Row],[Actual labor hours]]-tblWorkPackages[[#This Row],[Estimated labor hours]])</f>
        <v>1.2</v>
      </c>
      <c r="Q968" s="51">
        <f>IF(tblWorkPackages[[#This Row],[Actual labor hours]]&gt;tblWorkPackages[[#This Row],[Estimated labor hours]],1,0)</f>
        <v>1</v>
      </c>
      <c r="R968" s="51">
        <f>tblWorkPackages[[#This Row],[Actual labor hours]]-tblWorkPackages[[#This Row],[Estimated labor hours]]</f>
        <v>1.2</v>
      </c>
      <c r="S968" s="51" t="str">
        <f>IF(tblWorkPackages[[#This Row],[Request date serial]]&lt;ValidationStart,"Train 2024",IF(tblWorkPackages[[#This Row],[Request date serial]]&lt;HoldoutStart,"Validation H1","Holdout H2"))</f>
        <v>Holdout H2</v>
      </c>
      <c r="T968" s="51">
        <f>IF(tblWorkPackages[[#This Row],[Time split]]="Train 2024","",tblWorkPackages[[#This Row],[Estimated labor hours]]+VLOOKUP(tblWorkPackages[[#This Row],[Task type]],'Forecast validation'!$A$14:$E$25,IF(tblWorkPackages[[#This Row],[Time split]]="Validation H1",4,5),FALSE()))</f>
        <v>5.09160839160839</v>
      </c>
      <c r="U968" s="51">
        <f>IF(tblWorkPackages[[#This Row],[Calibrated forecast hours]]="","",ABS(tblWorkPackages[[#This Row],[Actual labor hours]]-tblWorkPackages[[#This Row],[Calibrated forecast hours]]))</f>
        <v>0.608391608391608</v>
      </c>
      <c r="V968" s="51">
        <f>IF(tblWorkPackages[[#This Row],[Time split]]="Train 2024",tblWorkPackages[[#This Row],[Estimated labor hours]],tblWorkPackages[[#This Row],[Calibrated forecast hours]])</f>
        <v>5.09160839160839</v>
      </c>
      <c r="W968" s="64">
        <f>DATEVALUE(tblWorkPackages[[#This Row],[Request date]])</f>
        <v>45874.0</v>
      </c>
      <c r="X968" s="64">
        <f>DATEVALUE(tblWorkPackages[[#This Row],[Due date]])</f>
        <v>45880.0</v>
      </c>
      <c r="Y968" s="64">
        <f>DATEVALUE(tblWorkPackages[[#This Row],[Completion date]])</f>
        <v>45886.0</v>
      </c>
      <c r="Z968" s="64">
        <f>_xlfn.MINIFS(tblLaborEntries[Work date serial],tblLaborEntries[Work package ID],tblWorkPackages[[#This Row],[Work package ID]])</f>
        <v>45884.0</v>
      </c>
      <c r="AA968" s="64">
        <f>_xlfn.MAXIFS(tblLaborEntries[Work date serial],tblLaborEntries[Work package ID],tblWorkPackages[[#This Row],[Work package ID]])</f>
        <v>45884.0</v>
      </c>
      <c r="AB968" s="65">
        <f>IF(tblWorkPackages[[#This Row],[Completion date serial]]&gt;tblWorkPackages[[#This Row],[Due date serial]],1,0)</f>
        <v>1</v>
      </c>
      <c r="AC968" s="65">
        <f>MAX(0,tblWorkPackages[[#This Row],[Completion date serial]]-tblWorkPackages[[#This Row],[Due date serial]])</f>
        <v>6</v>
      </c>
      <c r="AD968" s="65">
        <f>tblWorkPackages[[#This Row],[First labor date]]-tblWorkPackages[[#This Row],[Request date serial]]</f>
        <v>10</v>
      </c>
      <c r="AE968" s="65">
        <f>tblWorkPackages[[#This Row],[Last labor date]]-tblWorkPackages[[#This Row],[First labor date]]</f>
        <v>0</v>
      </c>
      <c r="AF968" s="65">
        <f>tblWorkPackages[[#This Row],[Completion date serial]]-tblWorkPackages[[#This Row],[Last labor date]]</f>
        <v>2</v>
      </c>
      <c r="AG968" s="65">
        <f>tblWorkPackages[[#This Row],[Completion date serial]]-tblWorkPackages[[#This Row],[Request date serial]]</f>
        <v>12</v>
      </c>
      <c r="AH968" s="65">
        <f>IFERROR(INDEX(tblParts[Delay days],MATCH(tblWorkPackages[[#This Row],[Work package ID]],tblParts[Work package ID],0)),0)</f>
        <v>0</v>
      </c>
      <c r="AI968" s="51" t="str">
        <f>IFERROR(INDEX(tblDisruptions[Event type],MATCH(tblWorkPackages[[#This Row],[Work package ID]],tblDisruptions[Work package ID],0)),"None")</f>
        <v>None</v>
      </c>
      <c r="AJ968" s="51" t="str">
        <f>TEXT(tblWorkPackages[[#This Row],[Due date serial]],"yyyy-mm")</f>
        <v>2025-08</v>
      </c>
    </row>
    <row r="969" spans="1:36" ht="15" x14ac:dyDescent="0.25">
      <c r="A969" s="53" t="s">
        <v>1862</v>
      </c>
      <c r="B969" s="53" t="s">
        <v>141</v>
      </c>
      <c r="C969" s="53" t="s">
        <v>139</v>
      </c>
      <c r="D969" s="53" t="s">
        <v>624</v>
      </c>
      <c r="E969" s="53" t="s">
        <v>127</v>
      </c>
      <c r="F969" s="53" t="s">
        <v>128</v>
      </c>
      <c r="G969" s="53" t="s">
        <v>129</v>
      </c>
      <c r="H969" s="53">
        <v>2</v>
      </c>
      <c r="I969" s="53" t="s">
        <v>130</v>
      </c>
      <c r="J969" s="53">
        <v>0</v>
      </c>
      <c r="K969" s="53">
        <v>0</v>
      </c>
      <c r="L969" s="53">
        <v>6.3</v>
      </c>
      <c r="M969" s="53" t="s">
        <v>285</v>
      </c>
      <c r="N969" s="53">
        <v>4.9000000000000004</v>
      </c>
      <c r="O969" s="51" t="str">
        <f>TEXT(tblWorkPackages[[#This Row],[Request date serial]]-WEEKDAY(tblWorkPackages[[#This Row],[Request date serial]],3),"yyyy-mm-dd")</f>
        <v>2025-09-08</v>
      </c>
      <c r="P969" s="51">
        <f>ABS(tblWorkPackages[[#This Row],[Actual labor hours]]-tblWorkPackages[[#This Row],[Estimated labor hours]])</f>
        <v>1.4</v>
      </c>
      <c r="Q969" s="51">
        <f>IF(tblWorkPackages[[#This Row],[Actual labor hours]]&gt;tblWorkPackages[[#This Row],[Estimated labor hours]],1,0)</f>
        <v>0</v>
      </c>
      <c r="R969" s="51">
        <f>tblWorkPackages[[#This Row],[Actual labor hours]]-tblWorkPackages[[#This Row],[Estimated labor hours]]</f>
        <v>-1.4</v>
      </c>
      <c r="S969" s="51" t="str">
        <f>IF(tblWorkPackages[[#This Row],[Request date serial]]&lt;ValidationStart,"Train 2024",IF(tblWorkPackages[[#This Row],[Request date serial]]&lt;HoldoutStart,"Validation H1","Holdout H2"))</f>
        <v>Holdout H2</v>
      </c>
      <c r="T969" s="51">
        <f>IF(tblWorkPackages[[#This Row],[Time split]]="Train 2024","",tblWorkPackages[[#This Row],[Estimated labor hours]]+VLOOKUP(tblWorkPackages[[#This Row],[Task type]],'Forecast validation'!$A$14:$E$25,IF(tblWorkPackages[[#This Row],[Time split]]="Validation H1",4,5),FALSE()))</f>
        <v>6.84341085271318</v>
      </c>
      <c r="U969" s="51">
        <f>IF(tblWorkPackages[[#This Row],[Calibrated forecast hours]]="","",ABS(tblWorkPackages[[#This Row],[Actual labor hours]]-tblWorkPackages[[#This Row],[Calibrated forecast hours]]))</f>
        <v>1.94341085271318</v>
      </c>
      <c r="V969" s="51">
        <f>IF(tblWorkPackages[[#This Row],[Time split]]="Train 2024",tblWorkPackages[[#This Row],[Estimated labor hours]],tblWorkPackages[[#This Row],[Calibrated forecast hours]])</f>
        <v>6.84341085271318</v>
      </c>
      <c r="W969" s="64">
        <f>DATEVALUE(tblWorkPackages[[#This Row],[Request date]])</f>
        <v>45908.0</v>
      </c>
      <c r="X969" s="64">
        <f>DATEVALUE(tblWorkPackages[[#This Row],[Due date]])</f>
        <v>45921.0</v>
      </c>
      <c r="Y969" s="64">
        <f>DATEVALUE(tblWorkPackages[[#This Row],[Completion date]])</f>
        <v>45915.0</v>
      </c>
      <c r="Z969" s="64">
        <f>_xlfn.MINIFS(tblLaborEntries[Work date serial],tblLaborEntries[Work package ID],tblWorkPackages[[#This Row],[Work package ID]])</f>
        <v>45911.0</v>
      </c>
      <c r="AA969" s="64">
        <f>_xlfn.MAXIFS(tblLaborEntries[Work date serial],tblLaborEntries[Work package ID],tblWorkPackages[[#This Row],[Work package ID]])</f>
        <v>45912.0</v>
      </c>
      <c r="AB969" s="65">
        <f>IF(tblWorkPackages[[#This Row],[Completion date serial]]&gt;tblWorkPackages[[#This Row],[Due date serial]],1,0)</f>
        <v>0</v>
      </c>
      <c r="AC969" s="65">
        <f>MAX(0,tblWorkPackages[[#This Row],[Completion date serial]]-tblWorkPackages[[#This Row],[Due date serial]])</f>
        <v>0</v>
      </c>
      <c r="AD969" s="65">
        <f>tblWorkPackages[[#This Row],[First labor date]]-tblWorkPackages[[#This Row],[Request date serial]]</f>
        <v>3</v>
      </c>
      <c r="AE969" s="65">
        <f>tblWorkPackages[[#This Row],[Last labor date]]-tblWorkPackages[[#This Row],[First labor date]]</f>
        <v>1</v>
      </c>
      <c r="AF969" s="65">
        <f>tblWorkPackages[[#This Row],[Completion date serial]]-tblWorkPackages[[#This Row],[Last labor date]]</f>
        <v>3</v>
      </c>
      <c r="AG969" s="65">
        <f>tblWorkPackages[[#This Row],[Completion date serial]]-tblWorkPackages[[#This Row],[Request date serial]]</f>
        <v>7</v>
      </c>
      <c r="AH969" s="65">
        <f>IFERROR(INDEX(tblParts[Delay days],MATCH(tblWorkPackages[[#This Row],[Work package ID]],tblParts[Work package ID],0)),0)</f>
        <v>0</v>
      </c>
      <c r="AI969" s="51" t="str">
        <f>IFERROR(INDEX(tblDisruptions[Event type],MATCH(tblWorkPackages[[#This Row],[Work package ID]],tblDisruptions[Work package ID],0)),"None")</f>
        <v>None</v>
      </c>
      <c r="AJ969" s="51" t="str">
        <f>TEXT(tblWorkPackages[[#This Row],[Due date serial]],"yyyy-mm")</f>
        <v>2025-09</v>
      </c>
    </row>
    <row r="970" spans="1:36" ht="15" x14ac:dyDescent="0.25">
      <c r="A970" s="53" t="s">
        <v>1863</v>
      </c>
      <c r="B970" s="53" t="s">
        <v>173</v>
      </c>
      <c r="C970" s="53" t="s">
        <v>1383</v>
      </c>
      <c r="D970" s="53" t="s">
        <v>504</v>
      </c>
      <c r="E970" s="53" t="s">
        <v>209</v>
      </c>
      <c r="F970" s="53" t="s">
        <v>145</v>
      </c>
      <c r="G970" s="53" t="s">
        <v>210</v>
      </c>
      <c r="H970" s="53">
        <v>2</v>
      </c>
      <c r="I970" s="53" t="s">
        <v>176</v>
      </c>
      <c r="J970" s="53">
        <v>1</v>
      </c>
      <c r="K970" s="53">
        <v>1</v>
      </c>
      <c r="L970" s="53">
        <v>20</v>
      </c>
      <c r="M970" s="53" t="s">
        <v>188</v>
      </c>
      <c r="N970" s="53">
        <v>19.8</v>
      </c>
      <c r="O970" s="51" t="str">
        <f>TEXT(tblWorkPackages[[#This Row],[Request date serial]]-WEEKDAY(tblWorkPackages[[#This Row],[Request date serial]],3),"yyyy-mm-dd")</f>
        <v>2025-01-20</v>
      </c>
      <c r="P970" s="51">
        <f>ABS(tblWorkPackages[[#This Row],[Actual labor hours]]-tblWorkPackages[[#This Row],[Estimated labor hours]])</f>
        <v>0.199999999999999</v>
      </c>
      <c r="Q970" s="51">
        <f>IF(tblWorkPackages[[#This Row],[Actual labor hours]]&gt;tblWorkPackages[[#This Row],[Estimated labor hours]],1,0)</f>
        <v>0</v>
      </c>
      <c r="R970" s="51">
        <f>tblWorkPackages[[#This Row],[Actual labor hours]]-tblWorkPackages[[#This Row],[Estimated labor hours]]</f>
        <v>-0.199999999999999</v>
      </c>
      <c r="S970" s="51" t="str">
        <f>IF(tblWorkPackages[[#This Row],[Request date serial]]&lt;ValidationStart,"Train 2024",IF(tblWorkPackages[[#This Row],[Request date serial]]&lt;HoldoutStart,"Validation H1","Holdout H2"))</f>
        <v>Validation H1</v>
      </c>
      <c r="T970" s="51">
        <f>IF(tblWorkPackages[[#This Row],[Time split]]="Train 2024","",tblWorkPackages[[#This Row],[Estimated labor hours]]+VLOOKUP(tblWorkPackages[[#This Row],[Task type]],'Forecast validation'!$A$14:$E$25,IF(tblWorkPackages[[#This Row],[Time split]]="Validation H1",4,5),FALSE()))</f>
        <v>21.1029850746269</v>
      </c>
      <c r="U970" s="51">
        <f>IF(tblWorkPackages[[#This Row],[Calibrated forecast hours]]="","",ABS(tblWorkPackages[[#This Row],[Actual labor hours]]-tblWorkPackages[[#This Row],[Calibrated forecast hours]]))</f>
        <v>1.30298507462686</v>
      </c>
      <c r="V970" s="51">
        <f>IF(tblWorkPackages[[#This Row],[Time split]]="Train 2024",tblWorkPackages[[#This Row],[Estimated labor hours]],tblWorkPackages[[#This Row],[Calibrated forecast hours]])</f>
        <v>21.1029850746269</v>
      </c>
      <c r="W970" s="64">
        <f>DATEVALUE(tblWorkPackages[[#This Row],[Request date]])</f>
        <v>45683.0</v>
      </c>
      <c r="X970" s="64">
        <f>DATEVALUE(tblWorkPackages[[#This Row],[Due date]])</f>
        <v>45689.0</v>
      </c>
      <c r="Y970" s="64">
        <f>DATEVALUE(tblWorkPackages[[#This Row],[Completion date]])</f>
        <v>45711.0</v>
      </c>
      <c r="Z970" s="64">
        <f>_xlfn.MINIFS(tblLaborEntries[Work date serial],tblLaborEntries[Work package ID],tblWorkPackages[[#This Row],[Work package ID]])</f>
        <v>45709.0</v>
      </c>
      <c r="AA970" s="64">
        <f>_xlfn.MAXIFS(tblLaborEntries[Work date serial],tblLaborEntries[Work package ID],tblWorkPackages[[#This Row],[Work package ID]])</f>
        <v>45711.0</v>
      </c>
      <c r="AB970" s="65">
        <f>IF(tblWorkPackages[[#This Row],[Completion date serial]]&gt;tblWorkPackages[[#This Row],[Due date serial]],1,0)</f>
        <v>1</v>
      </c>
      <c r="AC970" s="65">
        <f>MAX(0,tblWorkPackages[[#This Row],[Completion date serial]]-tblWorkPackages[[#This Row],[Due date serial]])</f>
        <v>22</v>
      </c>
      <c r="AD970" s="65">
        <f>tblWorkPackages[[#This Row],[First labor date]]-tblWorkPackages[[#This Row],[Request date serial]]</f>
        <v>26</v>
      </c>
      <c r="AE970" s="65">
        <f>tblWorkPackages[[#This Row],[Last labor date]]-tblWorkPackages[[#This Row],[First labor date]]</f>
        <v>2</v>
      </c>
      <c r="AF970" s="65">
        <f>tblWorkPackages[[#This Row],[Completion date serial]]-tblWorkPackages[[#This Row],[Last labor date]]</f>
        <v>0</v>
      </c>
      <c r="AG970" s="65">
        <f>tblWorkPackages[[#This Row],[Completion date serial]]-tblWorkPackages[[#This Row],[Request date serial]]</f>
        <v>28</v>
      </c>
      <c r="AH970" s="65">
        <f>IFERROR(INDEX(tblParts[Delay days],MATCH(tblWorkPackages[[#This Row],[Work package ID]],tblParts[Work package ID],0)),0)</f>
        <v>0</v>
      </c>
      <c r="AI970" s="51" t="str">
        <f>IFERROR(INDEX(tblDisruptions[Event type],MATCH(tblWorkPackages[[#This Row],[Work package ID]],tblDisruptions[Work package ID],0)),"None")</f>
        <v>None</v>
      </c>
      <c r="AJ970" s="51" t="str">
        <f>TEXT(tblWorkPackages[[#This Row],[Due date serial]],"yyyy-mm")</f>
        <v>2025-02</v>
      </c>
    </row>
    <row r="971" spans="1:36" ht="15" x14ac:dyDescent="0.25">
      <c r="A971" s="53" t="s">
        <v>1864</v>
      </c>
      <c r="B971" s="53" t="s">
        <v>163</v>
      </c>
      <c r="C971" s="53" t="s">
        <v>353</v>
      </c>
      <c r="D971" s="53" t="s">
        <v>413</v>
      </c>
      <c r="E971" s="53" t="s">
        <v>223</v>
      </c>
      <c r="F971" s="53" t="s">
        <v>182</v>
      </c>
      <c r="G971" s="53" t="s">
        <v>154</v>
      </c>
      <c r="H971" s="53">
        <v>3</v>
      </c>
      <c r="I971" s="53" t="s">
        <v>147</v>
      </c>
      <c r="J971" s="53">
        <v>0</v>
      </c>
      <c r="K971" s="53">
        <v>1</v>
      </c>
      <c r="L971" s="53">
        <v>17.100000000000001</v>
      </c>
      <c r="M971" s="53" t="s">
        <v>1246</v>
      </c>
      <c r="N971" s="53">
        <v>15.8</v>
      </c>
      <c r="O971" s="51" t="str">
        <f>TEXT(tblWorkPackages[[#This Row],[Request date serial]]-WEEKDAY(tblWorkPackages[[#This Row],[Request date serial]],3),"yyyy-mm-dd")</f>
        <v>2025-02-24</v>
      </c>
      <c r="P971" s="51">
        <f>ABS(tblWorkPackages[[#This Row],[Actual labor hours]]-tblWorkPackages[[#This Row],[Estimated labor hours]])</f>
        <v>1.3</v>
      </c>
      <c r="Q971" s="51">
        <f>IF(tblWorkPackages[[#This Row],[Actual labor hours]]&gt;tblWorkPackages[[#This Row],[Estimated labor hours]],1,0)</f>
        <v>0</v>
      </c>
      <c r="R971" s="51">
        <f>tblWorkPackages[[#This Row],[Actual labor hours]]-tblWorkPackages[[#This Row],[Estimated labor hours]]</f>
        <v>-1.3</v>
      </c>
      <c r="S971" s="51" t="str">
        <f>IF(tblWorkPackages[[#This Row],[Request date serial]]&lt;ValidationStart,"Train 2024",IF(tblWorkPackages[[#This Row],[Request date serial]]&lt;HoldoutStart,"Validation H1","Holdout H2"))</f>
        <v>Validation H1</v>
      </c>
      <c r="T971" s="51">
        <f>IF(tblWorkPackages[[#This Row],[Time split]]="Train 2024","",tblWorkPackages[[#This Row],[Estimated labor hours]]+VLOOKUP(tblWorkPackages[[#This Row],[Task type]],'Forecast validation'!$A$14:$E$25,IF(tblWorkPackages[[#This Row],[Time split]]="Validation H1",4,5),FALSE()))</f>
        <v>17.9824175824176</v>
      </c>
      <c r="U971" s="51">
        <f>IF(tblWorkPackages[[#This Row],[Calibrated forecast hours]]="","",ABS(tblWorkPackages[[#This Row],[Actual labor hours]]-tblWorkPackages[[#This Row],[Calibrated forecast hours]]))</f>
        <v>2.18241758241758</v>
      </c>
      <c r="V971" s="51">
        <f>IF(tblWorkPackages[[#This Row],[Time split]]="Train 2024",tblWorkPackages[[#This Row],[Estimated labor hours]],tblWorkPackages[[#This Row],[Calibrated forecast hours]])</f>
        <v>17.9824175824176</v>
      </c>
      <c r="W971" s="64">
        <f>DATEVALUE(tblWorkPackages[[#This Row],[Request date]])</f>
        <v>45715.0</v>
      </c>
      <c r="X971" s="64">
        <f>DATEVALUE(tblWorkPackages[[#This Row],[Due date]])</f>
        <v>45717.0</v>
      </c>
      <c r="Y971" s="64">
        <f>DATEVALUE(tblWorkPackages[[#This Row],[Completion date]])</f>
        <v>45725.0</v>
      </c>
      <c r="Z971" s="64">
        <f>_xlfn.MINIFS(tblLaborEntries[Work date serial],tblLaborEntries[Work package ID],tblWorkPackages[[#This Row],[Work package ID]])</f>
        <v>45722.0</v>
      </c>
      <c r="AA971" s="64">
        <f>_xlfn.MAXIFS(tblLaborEntries[Work date serial],tblLaborEntries[Work package ID],tblWorkPackages[[#This Row],[Work package ID]])</f>
        <v>45724.0</v>
      </c>
      <c r="AB971" s="65">
        <f>IF(tblWorkPackages[[#This Row],[Completion date serial]]&gt;tblWorkPackages[[#This Row],[Due date serial]],1,0)</f>
        <v>1</v>
      </c>
      <c r="AC971" s="65">
        <f>MAX(0,tblWorkPackages[[#This Row],[Completion date serial]]-tblWorkPackages[[#This Row],[Due date serial]])</f>
        <v>8</v>
      </c>
      <c r="AD971" s="65">
        <f>tblWorkPackages[[#This Row],[First labor date]]-tblWorkPackages[[#This Row],[Request date serial]]</f>
        <v>7</v>
      </c>
      <c r="AE971" s="65">
        <f>tblWorkPackages[[#This Row],[Last labor date]]-tblWorkPackages[[#This Row],[First labor date]]</f>
        <v>2</v>
      </c>
      <c r="AF971" s="65">
        <f>tblWorkPackages[[#This Row],[Completion date serial]]-tblWorkPackages[[#This Row],[Last labor date]]</f>
        <v>1</v>
      </c>
      <c r="AG971" s="65">
        <f>tblWorkPackages[[#This Row],[Completion date serial]]-tblWorkPackages[[#This Row],[Request date serial]]</f>
        <v>10</v>
      </c>
      <c r="AH971" s="65">
        <f>IFERROR(INDEX(tblParts[Delay days],MATCH(tblWorkPackages[[#This Row],[Work package ID]],tblParts[Work package ID],0)),0)</f>
        <v>3</v>
      </c>
      <c r="AI971" s="51" t="str">
        <f>IFERROR(INDEX(tblDisruptions[Event type],MATCH(tblWorkPackages[[#This Row],[Work package ID]],tblDisruptions[Work package ID],0)),"None")</f>
        <v>Part delay</v>
      </c>
      <c r="AJ971" s="51" t="str">
        <f>TEXT(tblWorkPackages[[#This Row],[Due date serial]],"yyyy-mm")</f>
        <v>2025-03</v>
      </c>
    </row>
    <row r="972" spans="1:36" ht="15" x14ac:dyDescent="0.25">
      <c r="A972" s="53" t="s">
        <v>1865</v>
      </c>
      <c r="B972" s="53" t="s">
        <v>163</v>
      </c>
      <c r="C972" s="53" t="s">
        <v>1318</v>
      </c>
      <c r="D972" s="53" t="s">
        <v>870</v>
      </c>
      <c r="E972" s="53" t="s">
        <v>242</v>
      </c>
      <c r="F972" s="53" t="s">
        <v>243</v>
      </c>
      <c r="G972" s="53" t="s">
        <v>129</v>
      </c>
      <c r="H972" s="53">
        <v>4</v>
      </c>
      <c r="I972" s="53" t="s">
        <v>176</v>
      </c>
      <c r="J972" s="53">
        <v>1</v>
      </c>
      <c r="K972" s="53">
        <v>0</v>
      </c>
      <c r="L972" s="53">
        <v>16.7</v>
      </c>
      <c r="M972" s="53" t="s">
        <v>1186</v>
      </c>
      <c r="N972" s="53">
        <v>26.2</v>
      </c>
      <c r="O972" s="51" t="str">
        <f>TEXT(tblWorkPackages[[#This Row],[Request date serial]]-WEEKDAY(tblWorkPackages[[#This Row],[Request date serial]],3),"yyyy-mm-dd")</f>
        <v>2025-03-10</v>
      </c>
      <c r="P972" s="51">
        <f>ABS(tblWorkPackages[[#This Row],[Actual labor hours]]-tblWorkPackages[[#This Row],[Estimated labor hours]])</f>
        <v>9.5</v>
      </c>
      <c r="Q972" s="51">
        <f>IF(tblWorkPackages[[#This Row],[Actual labor hours]]&gt;tblWorkPackages[[#This Row],[Estimated labor hours]],1,0)</f>
        <v>1</v>
      </c>
      <c r="R972" s="51">
        <f>tblWorkPackages[[#This Row],[Actual labor hours]]-tblWorkPackages[[#This Row],[Estimated labor hours]]</f>
        <v>9.5</v>
      </c>
      <c r="S972" s="51" t="str">
        <f>IF(tblWorkPackages[[#This Row],[Request date serial]]&lt;ValidationStart,"Train 2024",IF(tblWorkPackages[[#This Row],[Request date serial]]&lt;HoldoutStart,"Validation H1","Holdout H2"))</f>
        <v>Validation H1</v>
      </c>
      <c r="T972" s="51">
        <f>IF(tblWorkPackages[[#This Row],[Time split]]="Train 2024","",tblWorkPackages[[#This Row],[Estimated labor hours]]+VLOOKUP(tblWorkPackages[[#This Row],[Task type]],'Forecast validation'!$A$14:$E$25,IF(tblWorkPackages[[#This Row],[Time split]]="Validation H1",4,5),FALSE()))</f>
        <v>17.2561224489796</v>
      </c>
      <c r="U972" s="51">
        <f>IF(tblWorkPackages[[#This Row],[Calibrated forecast hours]]="","",ABS(tblWorkPackages[[#This Row],[Actual labor hours]]-tblWorkPackages[[#This Row],[Calibrated forecast hours]]))</f>
        <v>8.94387755102041</v>
      </c>
      <c r="V972" s="51">
        <f>IF(tblWorkPackages[[#This Row],[Time split]]="Train 2024",tblWorkPackages[[#This Row],[Estimated labor hours]],tblWorkPackages[[#This Row],[Calibrated forecast hours]])</f>
        <v>17.2561224489796</v>
      </c>
      <c r="W972" s="64">
        <f>DATEVALUE(tblWorkPackages[[#This Row],[Request date]])</f>
        <v>45726.0</v>
      </c>
      <c r="X972" s="64">
        <f>DATEVALUE(tblWorkPackages[[#This Row],[Due date]])</f>
        <v>45732.0</v>
      </c>
      <c r="Y972" s="64">
        <f>DATEVALUE(tblWorkPackages[[#This Row],[Completion date]])</f>
        <v>45731.0</v>
      </c>
      <c r="Z972" s="64">
        <f>_xlfn.MINIFS(tblLaborEntries[Work date serial],tblLaborEntries[Work package ID],tblWorkPackages[[#This Row],[Work package ID]])</f>
        <v>45727.0</v>
      </c>
      <c r="AA972" s="64">
        <f>_xlfn.MAXIFS(tblLaborEntries[Work date serial],tblLaborEntries[Work package ID],tblWorkPackages[[#This Row],[Work package ID]])</f>
        <v>45729.0</v>
      </c>
      <c r="AB972" s="65">
        <f>IF(tblWorkPackages[[#This Row],[Completion date serial]]&gt;tblWorkPackages[[#This Row],[Due date serial]],1,0)</f>
        <v>0</v>
      </c>
      <c r="AC972" s="65">
        <f>MAX(0,tblWorkPackages[[#This Row],[Completion date serial]]-tblWorkPackages[[#This Row],[Due date serial]])</f>
        <v>0</v>
      </c>
      <c r="AD972" s="65">
        <f>tblWorkPackages[[#This Row],[First labor date]]-tblWorkPackages[[#This Row],[Request date serial]]</f>
        <v>1</v>
      </c>
      <c r="AE972" s="65">
        <f>tblWorkPackages[[#This Row],[Last labor date]]-tblWorkPackages[[#This Row],[First labor date]]</f>
        <v>2</v>
      </c>
      <c r="AF972" s="65">
        <f>tblWorkPackages[[#This Row],[Completion date serial]]-tblWorkPackages[[#This Row],[Last labor date]]</f>
        <v>2</v>
      </c>
      <c r="AG972" s="65">
        <f>tblWorkPackages[[#This Row],[Completion date serial]]-tblWorkPackages[[#This Row],[Request date serial]]</f>
        <v>5</v>
      </c>
      <c r="AH972" s="65">
        <f>IFERROR(INDEX(tblParts[Delay days],MATCH(tblWorkPackages[[#This Row],[Work package ID]],tblParts[Work package ID],0)),0)</f>
        <v>0</v>
      </c>
      <c r="AI972" s="51" t="str">
        <f>IFERROR(INDEX(tblDisruptions[Event type],MATCH(tblWorkPackages[[#This Row],[Work package ID]],tblDisruptions[Work package ID],0)),"None")</f>
        <v>None</v>
      </c>
      <c r="AJ972" s="51" t="str">
        <f>TEXT(tblWorkPackages[[#This Row],[Due date serial]],"yyyy-mm")</f>
        <v>2025-03</v>
      </c>
    </row>
    <row r="973" spans="1:36" ht="15" x14ac:dyDescent="0.25">
      <c r="A973" s="53" t="s">
        <v>1866</v>
      </c>
      <c r="B973" s="53" t="s">
        <v>235</v>
      </c>
      <c r="C973" s="53" t="s">
        <v>499</v>
      </c>
      <c r="D973" s="53" t="s">
        <v>651</v>
      </c>
      <c r="E973" s="53" t="s">
        <v>200</v>
      </c>
      <c r="F973" s="53" t="s">
        <v>128</v>
      </c>
      <c r="G973" s="53" t="s">
        <v>129</v>
      </c>
      <c r="H973" s="53">
        <v>2</v>
      </c>
      <c r="I973" s="53" t="s">
        <v>147</v>
      </c>
      <c r="J973" s="53">
        <v>0</v>
      </c>
      <c r="K973" s="53">
        <v>0</v>
      </c>
      <c r="L973" s="53">
        <v>2.8</v>
      </c>
      <c r="M973" s="53" t="s">
        <v>219</v>
      </c>
      <c r="N973" s="53">
        <v>3.6</v>
      </c>
      <c r="O973" s="51" t="str">
        <f>TEXT(tblWorkPackages[[#This Row],[Request date serial]]-WEEKDAY(tblWorkPackages[[#This Row],[Request date serial]],3),"yyyy-mm-dd")</f>
        <v>2025-12-01</v>
      </c>
      <c r="P973" s="51">
        <f>ABS(tblWorkPackages[[#This Row],[Actual labor hours]]-tblWorkPackages[[#This Row],[Estimated labor hours]])</f>
        <v>0.8</v>
      </c>
      <c r="Q973" s="51">
        <f>IF(tblWorkPackages[[#This Row],[Actual labor hours]]&gt;tblWorkPackages[[#This Row],[Estimated labor hours]],1,0)</f>
        <v>1</v>
      </c>
      <c r="R973" s="51">
        <f>tblWorkPackages[[#This Row],[Actual labor hours]]-tblWorkPackages[[#This Row],[Estimated labor hours]]</f>
        <v>0.8</v>
      </c>
      <c r="S973" s="51" t="str">
        <f>IF(tblWorkPackages[[#This Row],[Request date serial]]&lt;ValidationStart,"Train 2024",IF(tblWorkPackages[[#This Row],[Request date serial]]&lt;HoldoutStart,"Validation H1","Holdout H2"))</f>
        <v>Holdout H2</v>
      </c>
      <c r="T973" s="51">
        <f>IF(tblWorkPackages[[#This Row],[Time split]]="Train 2024","",tblWorkPackages[[#This Row],[Estimated labor hours]]+VLOOKUP(tblWorkPackages[[#This Row],[Task type]],'Forecast validation'!$A$14:$E$25,IF(tblWorkPackages[[#This Row],[Time split]]="Validation H1",4,5),FALSE()))</f>
        <v>3.12893081761006</v>
      </c>
      <c r="U973" s="51">
        <f>IF(tblWorkPackages[[#This Row],[Calibrated forecast hours]]="","",ABS(tblWorkPackages[[#This Row],[Actual labor hours]]-tblWorkPackages[[#This Row],[Calibrated forecast hours]]))</f>
        <v>0.471069182389937</v>
      </c>
      <c r="V973" s="51">
        <f>IF(tblWorkPackages[[#This Row],[Time split]]="Train 2024",tblWorkPackages[[#This Row],[Estimated labor hours]],tblWorkPackages[[#This Row],[Calibrated forecast hours]])</f>
        <v>3.12893081761006</v>
      </c>
      <c r="W973" s="64">
        <f>DATEVALUE(tblWorkPackages[[#This Row],[Request date]])</f>
        <v>45995.0</v>
      </c>
      <c r="X973" s="64">
        <f>DATEVALUE(tblWorkPackages[[#This Row],[Due date]])</f>
        <v>45997.0</v>
      </c>
      <c r="Y973" s="64">
        <f>DATEVALUE(tblWorkPackages[[#This Row],[Completion date]])</f>
        <v>46011.0</v>
      </c>
      <c r="Z973" s="64">
        <f>_xlfn.MINIFS(tblLaborEntries[Work date serial],tblLaborEntries[Work package ID],tblWorkPackages[[#This Row],[Work package ID]])</f>
        <v>46008.0</v>
      </c>
      <c r="AA973" s="64">
        <f>_xlfn.MAXIFS(tblLaborEntries[Work date serial],tblLaborEntries[Work package ID],tblWorkPackages[[#This Row],[Work package ID]])</f>
        <v>46008.0</v>
      </c>
      <c r="AB973" s="65">
        <f>IF(tblWorkPackages[[#This Row],[Completion date serial]]&gt;tblWorkPackages[[#This Row],[Due date serial]],1,0)</f>
        <v>1</v>
      </c>
      <c r="AC973" s="65">
        <f>MAX(0,tblWorkPackages[[#This Row],[Completion date serial]]-tblWorkPackages[[#This Row],[Due date serial]])</f>
        <v>14</v>
      </c>
      <c r="AD973" s="65">
        <f>tblWorkPackages[[#This Row],[First labor date]]-tblWorkPackages[[#This Row],[Request date serial]]</f>
        <v>13</v>
      </c>
      <c r="AE973" s="65">
        <f>tblWorkPackages[[#This Row],[Last labor date]]-tblWorkPackages[[#This Row],[First labor date]]</f>
        <v>0</v>
      </c>
      <c r="AF973" s="65">
        <f>tblWorkPackages[[#This Row],[Completion date serial]]-tblWorkPackages[[#This Row],[Last labor date]]</f>
        <v>3</v>
      </c>
      <c r="AG973" s="65">
        <f>tblWorkPackages[[#This Row],[Completion date serial]]-tblWorkPackages[[#This Row],[Request date serial]]</f>
        <v>16</v>
      </c>
      <c r="AH973" s="65">
        <f>IFERROR(INDEX(tblParts[Delay days],MATCH(tblWorkPackages[[#This Row],[Work package ID]],tblParts[Work package ID],0)),0)</f>
        <v>0</v>
      </c>
      <c r="AI973" s="51" t="str">
        <f>IFERROR(INDEX(tblDisruptions[Event type],MATCH(tblWorkPackages[[#This Row],[Work package ID]],tblDisruptions[Work package ID],0)),"None")</f>
        <v>None</v>
      </c>
      <c r="AJ973" s="51" t="str">
        <f>TEXT(tblWorkPackages[[#This Row],[Due date serial]],"yyyy-mm")</f>
        <v>2025-12</v>
      </c>
    </row>
    <row r="974" spans="1:36" ht="15" x14ac:dyDescent="0.25">
      <c r="A974" s="53" t="s">
        <v>1867</v>
      </c>
      <c r="B974" s="53" t="s">
        <v>150</v>
      </c>
      <c r="C974" s="53" t="s">
        <v>883</v>
      </c>
      <c r="D974" s="53" t="s">
        <v>723</v>
      </c>
      <c r="E974" s="53" t="s">
        <v>144</v>
      </c>
      <c r="F974" s="53" t="s">
        <v>145</v>
      </c>
      <c r="G974" s="53" t="s">
        <v>146</v>
      </c>
      <c r="H974" s="53">
        <v>1</v>
      </c>
      <c r="I974" s="53" t="s">
        <v>176</v>
      </c>
      <c r="J974" s="53">
        <v>0</v>
      </c>
      <c r="K974" s="53">
        <v>1</v>
      </c>
      <c r="L974" s="53">
        <v>6.4</v>
      </c>
      <c r="M974" s="53" t="s">
        <v>381</v>
      </c>
      <c r="N974" s="53">
        <v>7.1</v>
      </c>
      <c r="O974" s="51" t="str">
        <f>TEXT(tblWorkPackages[[#This Row],[Request date serial]]-WEEKDAY(tblWorkPackages[[#This Row],[Request date serial]],3),"yyyy-mm-dd")</f>
        <v>2024-10-14</v>
      </c>
      <c r="P974" s="51">
        <f>ABS(tblWorkPackages[[#This Row],[Actual labor hours]]-tblWorkPackages[[#This Row],[Estimated labor hours]])</f>
        <v>0.699999999999999</v>
      </c>
      <c r="Q974" s="51">
        <f>IF(tblWorkPackages[[#This Row],[Actual labor hours]]&gt;tblWorkPackages[[#This Row],[Estimated labor hours]],1,0)</f>
        <v>1</v>
      </c>
      <c r="R974" s="51">
        <f>tblWorkPackages[[#This Row],[Actual labor hours]]-tblWorkPackages[[#This Row],[Estimated labor hours]]</f>
        <v>0.699999999999999</v>
      </c>
      <c r="S974" s="51" t="str">
        <f>IF(tblWorkPackages[[#This Row],[Request date serial]]&lt;ValidationStart,"Train 2024",IF(tblWorkPackages[[#This Row],[Request date serial]]&lt;HoldoutStart,"Validation H1","Holdout H2"))</f>
        <v>Train 2024</v>
      </c>
      <c r="T974" s="51" t="str">
        <f>IF(tblWorkPackages[[#This Row],[Time split]]="Train 2024","",tblWorkPackages[[#This Row],[Estimated labor hours]]+VLOOKUP(tblWorkPackages[[#This Row],[Task type]],'Forecast validation'!$A$14:$E$25,IF(tblWorkPackages[[#This Row],[Time split]]="Validation H1",4,5),FALSE()))</f>
        <v/>
      </c>
      <c r="U974" s="51" t="str">
        <f>IF(tblWorkPackages[[#This Row],[Calibrated forecast hours]]="","",ABS(tblWorkPackages[[#This Row],[Actual labor hours]]-tblWorkPackages[[#This Row],[Calibrated forecast hours]]))</f>
        <v/>
      </c>
      <c r="V974" s="51">
        <f>IF(tblWorkPackages[[#This Row],[Time split]]="Train 2024",tblWorkPackages[[#This Row],[Estimated labor hours]],tblWorkPackages[[#This Row],[Calibrated forecast hours]])</f>
        <v>6.4</v>
      </c>
      <c r="W974" s="64">
        <f>DATEVALUE(tblWorkPackages[[#This Row],[Request date]])</f>
        <v>45583.0</v>
      </c>
      <c r="X974" s="64">
        <f>DATEVALUE(tblWorkPackages[[#This Row],[Due date]])</f>
        <v>45589.0</v>
      </c>
      <c r="Y974" s="64">
        <f>DATEVALUE(tblWorkPackages[[#This Row],[Completion date]])</f>
        <v>45588.0</v>
      </c>
      <c r="Z974" s="64">
        <f>_xlfn.MINIFS(tblLaborEntries[Work date serial],tblLaborEntries[Work package ID],tblWorkPackages[[#This Row],[Work package ID]])</f>
        <v>45586.0</v>
      </c>
      <c r="AA974" s="64">
        <f>_xlfn.MAXIFS(tblLaborEntries[Work date serial],tblLaborEntries[Work package ID],tblWorkPackages[[#This Row],[Work package ID]])</f>
        <v>45588.0</v>
      </c>
      <c r="AB974" s="65">
        <f>IF(tblWorkPackages[[#This Row],[Completion date serial]]&gt;tblWorkPackages[[#This Row],[Due date serial]],1,0)</f>
        <v>0</v>
      </c>
      <c r="AC974" s="65">
        <f>MAX(0,tblWorkPackages[[#This Row],[Completion date serial]]-tblWorkPackages[[#This Row],[Due date serial]])</f>
        <v>0</v>
      </c>
      <c r="AD974" s="65">
        <f>tblWorkPackages[[#This Row],[First labor date]]-tblWorkPackages[[#This Row],[Request date serial]]</f>
        <v>3</v>
      </c>
      <c r="AE974" s="65">
        <f>tblWorkPackages[[#This Row],[Last labor date]]-tblWorkPackages[[#This Row],[First labor date]]</f>
        <v>2</v>
      </c>
      <c r="AF974" s="65">
        <f>tblWorkPackages[[#This Row],[Completion date serial]]-tblWorkPackages[[#This Row],[Last labor date]]</f>
        <v>0</v>
      </c>
      <c r="AG974" s="65">
        <f>tblWorkPackages[[#This Row],[Completion date serial]]-tblWorkPackages[[#This Row],[Request date serial]]</f>
        <v>5</v>
      </c>
      <c r="AH974" s="65">
        <f>IFERROR(INDEX(tblParts[Delay days],MATCH(tblWorkPackages[[#This Row],[Work package ID]],tblParts[Work package ID],0)),0)</f>
        <v>0</v>
      </c>
      <c r="AI974" s="51" t="str">
        <f>IFERROR(INDEX(tblDisruptions[Event type],MATCH(tblWorkPackages[[#This Row],[Work package ID]],tblDisruptions[Work package ID],0)),"None")</f>
        <v>None</v>
      </c>
      <c r="AJ974" s="51" t="str">
        <f>TEXT(tblWorkPackages[[#This Row],[Due date serial]],"yyyy-mm")</f>
        <v>2024-10</v>
      </c>
    </row>
    <row r="975" spans="1:36" ht="15" x14ac:dyDescent="0.25">
      <c r="A975" s="53" t="s">
        <v>1868</v>
      </c>
      <c r="B975" s="53" t="s">
        <v>230</v>
      </c>
      <c r="C975" s="53" t="s">
        <v>179</v>
      </c>
      <c r="D975" s="53" t="s">
        <v>1183</v>
      </c>
      <c r="E975" s="53" t="s">
        <v>160</v>
      </c>
      <c r="F975" s="53" t="s">
        <v>128</v>
      </c>
      <c r="G975" s="53" t="s">
        <v>138</v>
      </c>
      <c r="H975" s="53">
        <v>1</v>
      </c>
      <c r="I975" s="53" t="s">
        <v>176</v>
      </c>
      <c r="J975" s="53">
        <v>0</v>
      </c>
      <c r="K975" s="53">
        <v>0</v>
      </c>
      <c r="L975" s="53">
        <v>3.5</v>
      </c>
      <c r="M975" s="53" t="s">
        <v>199</v>
      </c>
      <c r="N975" s="53">
        <v>2.7</v>
      </c>
      <c r="O975" s="51" t="str">
        <f>TEXT(tblWorkPackages[[#This Row],[Request date serial]]-WEEKDAY(tblWorkPackages[[#This Row],[Request date serial]],3),"yyyy-mm-dd")</f>
        <v>2025-05-12</v>
      </c>
      <c r="P975" s="51">
        <f>ABS(tblWorkPackages[[#This Row],[Actual labor hours]]-tblWorkPackages[[#This Row],[Estimated labor hours]])</f>
        <v>0.8</v>
      </c>
      <c r="Q975" s="51">
        <f>IF(tblWorkPackages[[#This Row],[Actual labor hours]]&gt;tblWorkPackages[[#This Row],[Estimated labor hours]],1,0)</f>
        <v>0</v>
      </c>
      <c r="R975" s="51">
        <f>tblWorkPackages[[#This Row],[Actual labor hours]]-tblWorkPackages[[#This Row],[Estimated labor hours]]</f>
        <v>-0.8</v>
      </c>
      <c r="S975" s="51" t="str">
        <f>IF(tblWorkPackages[[#This Row],[Request date serial]]&lt;ValidationStart,"Train 2024",IF(tblWorkPackages[[#This Row],[Request date serial]]&lt;HoldoutStart,"Validation H1","Holdout H2"))</f>
        <v>Validation H1</v>
      </c>
      <c r="T975" s="51">
        <f>IF(tblWorkPackages[[#This Row],[Time split]]="Train 2024","",tblWorkPackages[[#This Row],[Estimated labor hours]]+VLOOKUP(tblWorkPackages[[#This Row],[Task type]],'Forecast validation'!$A$14:$E$25,IF(tblWorkPackages[[#This Row],[Time split]]="Validation H1",4,5),FALSE()))</f>
        <v>3.94146341463415</v>
      </c>
      <c r="U975" s="51">
        <f>IF(tblWorkPackages[[#This Row],[Calibrated forecast hours]]="","",ABS(tblWorkPackages[[#This Row],[Actual labor hours]]-tblWorkPackages[[#This Row],[Calibrated forecast hours]]))</f>
        <v>1.24146341463415</v>
      </c>
      <c r="V975" s="51">
        <f>IF(tblWorkPackages[[#This Row],[Time split]]="Train 2024",tblWorkPackages[[#This Row],[Estimated labor hours]],tblWorkPackages[[#This Row],[Calibrated forecast hours]])</f>
        <v>3.94146341463415</v>
      </c>
      <c r="W975" s="64">
        <f>DATEVALUE(tblWorkPackages[[#This Row],[Request date]])</f>
        <v>45792.0</v>
      </c>
      <c r="X975" s="64">
        <f>DATEVALUE(tblWorkPackages[[#This Row],[Due date]])</f>
        <v>45798.0</v>
      </c>
      <c r="Y975" s="64">
        <f>DATEVALUE(tblWorkPackages[[#This Row],[Completion date]])</f>
        <v>45838.0</v>
      </c>
      <c r="Z975" s="64">
        <f>_xlfn.MINIFS(tblLaborEntries[Work date serial],tblLaborEntries[Work package ID],tblWorkPackages[[#This Row],[Work package ID]])</f>
        <v>45836.0</v>
      </c>
      <c r="AA975" s="64">
        <f>_xlfn.MAXIFS(tblLaborEntries[Work date serial],tblLaborEntries[Work package ID],tblWorkPackages[[#This Row],[Work package ID]])</f>
        <v>45837.0</v>
      </c>
      <c r="AB975" s="65">
        <f>IF(tblWorkPackages[[#This Row],[Completion date serial]]&gt;tblWorkPackages[[#This Row],[Due date serial]],1,0)</f>
        <v>1</v>
      </c>
      <c r="AC975" s="65">
        <f>MAX(0,tblWorkPackages[[#This Row],[Completion date serial]]-tblWorkPackages[[#This Row],[Due date serial]])</f>
        <v>40</v>
      </c>
      <c r="AD975" s="65">
        <f>tblWorkPackages[[#This Row],[First labor date]]-tblWorkPackages[[#This Row],[Request date serial]]</f>
        <v>44</v>
      </c>
      <c r="AE975" s="65">
        <f>tblWorkPackages[[#This Row],[Last labor date]]-tblWorkPackages[[#This Row],[First labor date]]</f>
        <v>1</v>
      </c>
      <c r="AF975" s="65">
        <f>tblWorkPackages[[#This Row],[Completion date serial]]-tblWorkPackages[[#This Row],[Last labor date]]</f>
        <v>1</v>
      </c>
      <c r="AG975" s="65">
        <f>tblWorkPackages[[#This Row],[Completion date serial]]-tblWorkPackages[[#This Row],[Request date serial]]</f>
        <v>46</v>
      </c>
      <c r="AH975" s="65">
        <f>IFERROR(INDEX(tblParts[Delay days],MATCH(tblWorkPackages[[#This Row],[Work package ID]],tblParts[Work package ID],0)),0)</f>
        <v>0</v>
      </c>
      <c r="AI975" s="51" t="str">
        <f>IFERROR(INDEX(tblDisruptions[Event type],MATCH(tblWorkPackages[[#This Row],[Work package ID]],tblDisruptions[Work package ID],0)),"None")</f>
        <v>None</v>
      </c>
      <c r="AJ975" s="51" t="str">
        <f>TEXT(tblWorkPackages[[#This Row],[Due date serial]],"yyyy-mm")</f>
        <v>2025-05</v>
      </c>
    </row>
    <row r="976" spans="1:36" ht="15" x14ac:dyDescent="0.25">
      <c r="A976" s="53" t="s">
        <v>1869</v>
      </c>
      <c r="B976" s="53" t="s">
        <v>124</v>
      </c>
      <c r="C976" s="53" t="s">
        <v>1019</v>
      </c>
      <c r="D976" s="53" t="s">
        <v>520</v>
      </c>
      <c r="E976" s="53" t="s">
        <v>136</v>
      </c>
      <c r="F976" s="53" t="s">
        <v>137</v>
      </c>
      <c r="G976" s="53" t="s">
        <v>138</v>
      </c>
      <c r="H976" s="53">
        <v>1</v>
      </c>
      <c r="I976" s="53" t="s">
        <v>176</v>
      </c>
      <c r="J976" s="53">
        <v>0</v>
      </c>
      <c r="K976" s="53">
        <v>0</v>
      </c>
      <c r="L976" s="53">
        <v>9</v>
      </c>
      <c r="M976" s="53" t="s">
        <v>492</v>
      </c>
      <c r="N976" s="53">
        <v>9.1999999999999993</v>
      </c>
      <c r="O976" s="51" t="str">
        <f>TEXT(tblWorkPackages[[#This Row],[Request date serial]]-WEEKDAY(tblWorkPackages[[#This Row],[Request date serial]],3),"yyyy-mm-dd")</f>
        <v>2025-08-11</v>
      </c>
      <c r="P976" s="51">
        <f>ABS(tblWorkPackages[[#This Row],[Actual labor hours]]-tblWorkPackages[[#This Row],[Estimated labor hours]])</f>
        <v>0.199999999999999</v>
      </c>
      <c r="Q976" s="51">
        <f>IF(tblWorkPackages[[#This Row],[Actual labor hours]]&gt;tblWorkPackages[[#This Row],[Estimated labor hours]],1,0)</f>
        <v>1</v>
      </c>
      <c r="R976" s="51">
        <f>tblWorkPackages[[#This Row],[Actual labor hours]]-tblWorkPackages[[#This Row],[Estimated labor hours]]</f>
        <v>0.199999999999999</v>
      </c>
      <c r="S976" s="51" t="str">
        <f>IF(tblWorkPackages[[#This Row],[Request date serial]]&lt;ValidationStart,"Train 2024",IF(tblWorkPackages[[#This Row],[Request date serial]]&lt;HoldoutStart,"Validation H1","Holdout H2"))</f>
        <v>Holdout H2</v>
      </c>
      <c r="T976" s="51">
        <f>IF(tblWorkPackages[[#This Row],[Time split]]="Train 2024","",tblWorkPackages[[#This Row],[Estimated labor hours]]+VLOOKUP(tblWorkPackages[[#This Row],[Task type]],'Forecast validation'!$A$14:$E$25,IF(tblWorkPackages[[#This Row],[Time split]]="Validation H1",4,5),FALSE()))</f>
        <v>9.92075471698113</v>
      </c>
      <c r="U976" s="51">
        <f>IF(tblWorkPackages[[#This Row],[Calibrated forecast hours]]="","",ABS(tblWorkPackages[[#This Row],[Actual labor hours]]-tblWorkPackages[[#This Row],[Calibrated forecast hours]]))</f>
        <v>0.720754716981132</v>
      </c>
      <c r="V976" s="51">
        <f>IF(tblWorkPackages[[#This Row],[Time split]]="Train 2024",tblWorkPackages[[#This Row],[Estimated labor hours]],tblWorkPackages[[#This Row],[Calibrated forecast hours]])</f>
        <v>9.92075471698113</v>
      </c>
      <c r="W976" s="64">
        <f>DATEVALUE(tblWorkPackages[[#This Row],[Request date]])</f>
        <v>45884.0</v>
      </c>
      <c r="X976" s="64">
        <f>DATEVALUE(tblWorkPackages[[#This Row],[Due date]])</f>
        <v>45890.0</v>
      </c>
      <c r="Y976" s="64">
        <f>DATEVALUE(tblWorkPackages[[#This Row],[Completion date]])</f>
        <v>45894.0</v>
      </c>
      <c r="Z976" s="64">
        <f>_xlfn.MINIFS(tblLaborEntries[Work date serial],tblLaborEntries[Work package ID],tblWorkPackages[[#This Row],[Work package ID]])</f>
        <v>45892.0</v>
      </c>
      <c r="AA976" s="64">
        <f>_xlfn.MAXIFS(tblLaborEntries[Work date serial],tblLaborEntries[Work package ID],tblWorkPackages[[#This Row],[Work package ID]])</f>
        <v>45892.0</v>
      </c>
      <c r="AB976" s="65">
        <f>IF(tblWorkPackages[[#This Row],[Completion date serial]]&gt;tblWorkPackages[[#This Row],[Due date serial]],1,0)</f>
        <v>1</v>
      </c>
      <c r="AC976" s="65">
        <f>MAX(0,tblWorkPackages[[#This Row],[Completion date serial]]-tblWorkPackages[[#This Row],[Due date serial]])</f>
        <v>4</v>
      </c>
      <c r="AD976" s="65">
        <f>tblWorkPackages[[#This Row],[First labor date]]-tblWorkPackages[[#This Row],[Request date serial]]</f>
        <v>8</v>
      </c>
      <c r="AE976" s="65">
        <f>tblWorkPackages[[#This Row],[Last labor date]]-tblWorkPackages[[#This Row],[First labor date]]</f>
        <v>0</v>
      </c>
      <c r="AF976" s="65">
        <f>tblWorkPackages[[#This Row],[Completion date serial]]-tblWorkPackages[[#This Row],[Last labor date]]</f>
        <v>2</v>
      </c>
      <c r="AG976" s="65">
        <f>tblWorkPackages[[#This Row],[Completion date serial]]-tblWorkPackages[[#This Row],[Request date serial]]</f>
        <v>10</v>
      </c>
      <c r="AH976" s="65">
        <f>IFERROR(INDEX(tblParts[Delay days],MATCH(tblWorkPackages[[#This Row],[Work package ID]],tblParts[Work package ID],0)),0)</f>
        <v>0</v>
      </c>
      <c r="AI976" s="51" t="str">
        <f>IFERROR(INDEX(tblDisruptions[Event type],MATCH(tblWorkPackages[[#This Row],[Work package ID]],tblDisruptions[Work package ID],0)),"None")</f>
        <v>None</v>
      </c>
      <c r="AJ976" s="51" t="str">
        <f>TEXT(tblWorkPackages[[#This Row],[Due date serial]],"yyyy-mm")</f>
        <v>2025-08</v>
      </c>
    </row>
    <row r="977" spans="1:36" ht="15" x14ac:dyDescent="0.25">
      <c r="A977" s="53" t="s">
        <v>1870</v>
      </c>
      <c r="B977" s="53" t="s">
        <v>203</v>
      </c>
      <c r="C977" s="53" t="s">
        <v>606</v>
      </c>
      <c r="D977" s="53" t="s">
        <v>607</v>
      </c>
      <c r="E977" s="53" t="s">
        <v>223</v>
      </c>
      <c r="F977" s="53" t="s">
        <v>182</v>
      </c>
      <c r="G977" s="53" t="s">
        <v>154</v>
      </c>
      <c r="H977" s="53">
        <v>2</v>
      </c>
      <c r="I977" s="53" t="s">
        <v>130</v>
      </c>
      <c r="J977" s="53">
        <v>0</v>
      </c>
      <c r="K977" s="53">
        <v>0</v>
      </c>
      <c r="L977" s="53">
        <v>12.6</v>
      </c>
      <c r="M977" s="53" t="s">
        <v>900</v>
      </c>
      <c r="N977" s="53">
        <v>11.9</v>
      </c>
      <c r="O977" s="51" t="str">
        <f>TEXT(tblWorkPackages[[#This Row],[Request date serial]]-WEEKDAY(tblWorkPackages[[#This Row],[Request date serial]],3),"yyyy-mm-dd")</f>
        <v>2025-03-03</v>
      </c>
      <c r="P977" s="51">
        <f>ABS(tblWorkPackages[[#This Row],[Actual labor hours]]-tblWorkPackages[[#This Row],[Estimated labor hours]])</f>
        <v>0.699999999999999</v>
      </c>
      <c r="Q977" s="51">
        <f>IF(tblWorkPackages[[#This Row],[Actual labor hours]]&gt;tblWorkPackages[[#This Row],[Estimated labor hours]],1,0)</f>
        <v>0</v>
      </c>
      <c r="R977" s="51">
        <f>tblWorkPackages[[#This Row],[Actual labor hours]]-tblWorkPackages[[#This Row],[Estimated labor hours]]</f>
        <v>-0.699999999999999</v>
      </c>
      <c r="S977" s="51" t="str">
        <f>IF(tblWorkPackages[[#This Row],[Request date serial]]&lt;ValidationStart,"Train 2024",IF(tblWorkPackages[[#This Row],[Request date serial]]&lt;HoldoutStart,"Validation H1","Holdout H2"))</f>
        <v>Validation H1</v>
      </c>
      <c r="T977" s="51">
        <f>IF(tblWorkPackages[[#This Row],[Time split]]="Train 2024","",tblWorkPackages[[#This Row],[Estimated labor hours]]+VLOOKUP(tblWorkPackages[[#This Row],[Task type]],'Forecast validation'!$A$14:$E$25,IF(tblWorkPackages[[#This Row],[Time split]]="Validation H1",4,5),FALSE()))</f>
        <v>13.4824175824176</v>
      </c>
      <c r="U977" s="51">
        <f>IF(tblWorkPackages[[#This Row],[Calibrated forecast hours]]="","",ABS(tblWorkPackages[[#This Row],[Actual labor hours]]-tblWorkPackages[[#This Row],[Calibrated forecast hours]]))</f>
        <v>1.58241758241758</v>
      </c>
      <c r="V977" s="51">
        <f>IF(tblWorkPackages[[#This Row],[Time split]]="Train 2024",tblWorkPackages[[#This Row],[Estimated labor hours]],tblWorkPackages[[#This Row],[Calibrated forecast hours]])</f>
        <v>13.4824175824176</v>
      </c>
      <c r="W977" s="64">
        <f>DATEVALUE(tblWorkPackages[[#This Row],[Request date]])</f>
        <v>45721.0</v>
      </c>
      <c r="X977" s="64">
        <f>DATEVALUE(tblWorkPackages[[#This Row],[Due date]])</f>
        <v>45734.0</v>
      </c>
      <c r="Y977" s="64">
        <f>DATEVALUE(tblWorkPackages[[#This Row],[Completion date]])</f>
        <v>45728.0</v>
      </c>
      <c r="Z977" s="64">
        <f>_xlfn.MINIFS(tblLaborEntries[Work date serial],tblLaborEntries[Work package ID],tblWorkPackages[[#This Row],[Work package ID]])</f>
        <v>45723.0</v>
      </c>
      <c r="AA977" s="64">
        <f>_xlfn.MAXIFS(tblLaborEntries[Work date serial],tblLaborEntries[Work package ID],tblWorkPackages[[#This Row],[Work package ID]])</f>
        <v>45725.0</v>
      </c>
      <c r="AB977" s="65">
        <f>IF(tblWorkPackages[[#This Row],[Completion date serial]]&gt;tblWorkPackages[[#This Row],[Due date serial]],1,0)</f>
        <v>0</v>
      </c>
      <c r="AC977" s="65">
        <f>MAX(0,tblWorkPackages[[#This Row],[Completion date serial]]-tblWorkPackages[[#This Row],[Due date serial]])</f>
        <v>0</v>
      </c>
      <c r="AD977" s="65">
        <f>tblWorkPackages[[#This Row],[First labor date]]-tblWorkPackages[[#This Row],[Request date serial]]</f>
        <v>2</v>
      </c>
      <c r="AE977" s="65">
        <f>tblWorkPackages[[#This Row],[Last labor date]]-tblWorkPackages[[#This Row],[First labor date]]</f>
        <v>2</v>
      </c>
      <c r="AF977" s="65">
        <f>tblWorkPackages[[#This Row],[Completion date serial]]-tblWorkPackages[[#This Row],[Last labor date]]</f>
        <v>3</v>
      </c>
      <c r="AG977" s="65">
        <f>tblWorkPackages[[#This Row],[Completion date serial]]-tblWorkPackages[[#This Row],[Request date serial]]</f>
        <v>7</v>
      </c>
      <c r="AH977" s="65">
        <f>IFERROR(INDEX(tblParts[Delay days],MATCH(tblWorkPackages[[#This Row],[Work package ID]],tblParts[Work package ID],0)),0)</f>
        <v>0</v>
      </c>
      <c r="AI977" s="51" t="str">
        <f>IFERROR(INDEX(tblDisruptions[Event type],MATCH(tblWorkPackages[[#This Row],[Work package ID]],tblDisruptions[Work package ID],0)),"None")</f>
        <v>None</v>
      </c>
      <c r="AJ977" s="51" t="str">
        <f>TEXT(tblWorkPackages[[#This Row],[Due date serial]],"yyyy-mm")</f>
        <v>2025-03</v>
      </c>
    </row>
    <row r="978" spans="1:36" ht="15" x14ac:dyDescent="0.25">
      <c r="A978" s="53" t="s">
        <v>1871</v>
      </c>
      <c r="B978" s="53" t="s">
        <v>141</v>
      </c>
      <c r="C978" s="53" t="s">
        <v>843</v>
      </c>
      <c r="D978" s="53" t="s">
        <v>1151</v>
      </c>
      <c r="E978" s="53" t="s">
        <v>223</v>
      </c>
      <c r="F978" s="53" t="s">
        <v>182</v>
      </c>
      <c r="G978" s="53" t="s">
        <v>154</v>
      </c>
      <c r="H978" s="53">
        <v>2</v>
      </c>
      <c r="I978" s="53" t="s">
        <v>147</v>
      </c>
      <c r="J978" s="53">
        <v>0</v>
      </c>
      <c r="K978" s="53">
        <v>0</v>
      </c>
      <c r="L978" s="53">
        <v>11.5</v>
      </c>
      <c r="M978" s="53" t="s">
        <v>191</v>
      </c>
      <c r="N978" s="53">
        <v>10.9</v>
      </c>
      <c r="O978" s="51" t="str">
        <f>TEXT(tblWorkPackages[[#This Row],[Request date serial]]-WEEKDAY(tblWorkPackages[[#This Row],[Request date serial]],3),"yyyy-mm-dd")</f>
        <v>2025-08-04</v>
      </c>
      <c r="P978" s="51">
        <f>ABS(tblWorkPackages[[#This Row],[Actual labor hours]]-tblWorkPackages[[#This Row],[Estimated labor hours]])</f>
        <v>0.6</v>
      </c>
      <c r="Q978" s="51">
        <f>IF(tblWorkPackages[[#This Row],[Actual labor hours]]&gt;tblWorkPackages[[#This Row],[Estimated labor hours]],1,0)</f>
        <v>0</v>
      </c>
      <c r="R978" s="51">
        <f>tblWorkPackages[[#This Row],[Actual labor hours]]-tblWorkPackages[[#This Row],[Estimated labor hours]]</f>
        <v>-0.6</v>
      </c>
      <c r="S978" s="51" t="str">
        <f>IF(tblWorkPackages[[#This Row],[Request date serial]]&lt;ValidationStart,"Train 2024",IF(tblWorkPackages[[#This Row],[Request date serial]]&lt;HoldoutStart,"Validation H1","Holdout H2"))</f>
        <v>Holdout H2</v>
      </c>
      <c r="T978" s="51">
        <f>IF(tblWorkPackages[[#This Row],[Time split]]="Train 2024","",tblWorkPackages[[#This Row],[Estimated labor hours]]+VLOOKUP(tblWorkPackages[[#This Row],[Task type]],'Forecast validation'!$A$14:$E$25,IF(tblWorkPackages[[#This Row],[Time split]]="Validation H1",4,5),FALSE()))</f>
        <v>12.4246575342466</v>
      </c>
      <c r="U978" s="51">
        <f>IF(tblWorkPackages[[#This Row],[Calibrated forecast hours]]="","",ABS(tblWorkPackages[[#This Row],[Actual labor hours]]-tblWorkPackages[[#This Row],[Calibrated forecast hours]]))</f>
        <v>1.52465753424658</v>
      </c>
      <c r="V978" s="51">
        <f>IF(tblWorkPackages[[#This Row],[Time split]]="Train 2024",tblWorkPackages[[#This Row],[Estimated labor hours]],tblWorkPackages[[#This Row],[Calibrated forecast hours]])</f>
        <v>12.4246575342466</v>
      </c>
      <c r="W978" s="64">
        <f>DATEVALUE(tblWorkPackages[[#This Row],[Request date]])</f>
        <v>45878.0</v>
      </c>
      <c r="X978" s="64">
        <f>DATEVALUE(tblWorkPackages[[#This Row],[Due date]])</f>
        <v>45880.0</v>
      </c>
      <c r="Y978" s="64">
        <f>DATEVALUE(tblWorkPackages[[#This Row],[Completion date]])</f>
        <v>45896.0</v>
      </c>
      <c r="Z978" s="64">
        <f>_xlfn.MINIFS(tblLaborEntries[Work date serial],tblLaborEntries[Work package ID],tblWorkPackages[[#This Row],[Work package ID]])</f>
        <v>45896.0</v>
      </c>
      <c r="AA978" s="64">
        <f>_xlfn.MAXIFS(tblLaborEntries[Work date serial],tblLaborEntries[Work package ID],tblWorkPackages[[#This Row],[Work package ID]])</f>
        <v>45896.0</v>
      </c>
      <c r="AB978" s="65">
        <f>IF(tblWorkPackages[[#This Row],[Completion date serial]]&gt;tblWorkPackages[[#This Row],[Due date serial]],1,0)</f>
        <v>1</v>
      </c>
      <c r="AC978" s="65">
        <f>MAX(0,tblWorkPackages[[#This Row],[Completion date serial]]-tblWorkPackages[[#This Row],[Due date serial]])</f>
        <v>16</v>
      </c>
      <c r="AD978" s="65">
        <f>tblWorkPackages[[#This Row],[First labor date]]-tblWorkPackages[[#This Row],[Request date serial]]</f>
        <v>18</v>
      </c>
      <c r="AE978" s="65">
        <f>tblWorkPackages[[#This Row],[Last labor date]]-tblWorkPackages[[#This Row],[First labor date]]</f>
        <v>0</v>
      </c>
      <c r="AF978" s="65">
        <f>tblWorkPackages[[#This Row],[Completion date serial]]-tblWorkPackages[[#This Row],[Last labor date]]</f>
        <v>0</v>
      </c>
      <c r="AG978" s="65">
        <f>tblWorkPackages[[#This Row],[Completion date serial]]-tblWorkPackages[[#This Row],[Request date serial]]</f>
        <v>18</v>
      </c>
      <c r="AH978" s="65">
        <f>IFERROR(INDEX(tblParts[Delay days],MATCH(tblWorkPackages[[#This Row],[Work package ID]],tblParts[Work package ID],0)),0)</f>
        <v>0</v>
      </c>
      <c r="AI978" s="51" t="str">
        <f>IFERROR(INDEX(tblDisruptions[Event type],MATCH(tblWorkPackages[[#This Row],[Work package ID]],tblDisruptions[Work package ID],0)),"None")</f>
        <v>None</v>
      </c>
      <c r="AJ978" s="51" t="str">
        <f>TEXT(tblWorkPackages[[#This Row],[Due date serial]],"yyyy-mm")</f>
        <v>2025-08</v>
      </c>
    </row>
    <row r="979" spans="1:36" ht="15" x14ac:dyDescent="0.25">
      <c r="A979" s="53" t="s">
        <v>1872</v>
      </c>
      <c r="B979" s="53" t="s">
        <v>287</v>
      </c>
      <c r="C979" s="53" t="s">
        <v>1035</v>
      </c>
      <c r="D979" s="53" t="s">
        <v>1036</v>
      </c>
      <c r="E979" s="53" t="s">
        <v>160</v>
      </c>
      <c r="F979" s="53" t="s">
        <v>128</v>
      </c>
      <c r="G979" s="53" t="s">
        <v>138</v>
      </c>
      <c r="H979" s="53">
        <v>4</v>
      </c>
      <c r="I979" s="53" t="s">
        <v>176</v>
      </c>
      <c r="J979" s="53">
        <v>0</v>
      </c>
      <c r="K979" s="53">
        <v>0</v>
      </c>
      <c r="L979" s="53">
        <v>9.1</v>
      </c>
      <c r="M979" s="53" t="s">
        <v>1036</v>
      </c>
      <c r="N979" s="53">
        <v>11.3</v>
      </c>
      <c r="O979" s="51" t="str">
        <f>TEXT(tblWorkPackages[[#This Row],[Request date serial]]-WEEKDAY(tblWorkPackages[[#This Row],[Request date serial]],3),"yyyy-mm-dd")</f>
        <v>2025-06-02</v>
      </c>
      <c r="P979" s="51">
        <f>ABS(tblWorkPackages[[#This Row],[Actual labor hours]]-tblWorkPackages[[#This Row],[Estimated labor hours]])</f>
        <v>2.2</v>
      </c>
      <c r="Q979" s="51">
        <f>IF(tblWorkPackages[[#This Row],[Actual labor hours]]&gt;tblWorkPackages[[#This Row],[Estimated labor hours]],1,0)</f>
        <v>1</v>
      </c>
      <c r="R979" s="51">
        <f>tblWorkPackages[[#This Row],[Actual labor hours]]-tblWorkPackages[[#This Row],[Estimated labor hours]]</f>
        <v>2.2</v>
      </c>
      <c r="S979" s="51" t="str">
        <f>IF(tblWorkPackages[[#This Row],[Request date serial]]&lt;ValidationStart,"Train 2024",IF(tblWorkPackages[[#This Row],[Request date serial]]&lt;HoldoutStart,"Validation H1","Holdout H2"))</f>
        <v>Validation H1</v>
      </c>
      <c r="T979" s="51">
        <f>IF(tblWorkPackages[[#This Row],[Time split]]="Train 2024","",tblWorkPackages[[#This Row],[Estimated labor hours]]+VLOOKUP(tblWorkPackages[[#This Row],[Task type]],'Forecast validation'!$A$14:$E$25,IF(tblWorkPackages[[#This Row],[Time split]]="Validation H1",4,5),FALSE()))</f>
        <v>9.54146341463415</v>
      </c>
      <c r="U979" s="51">
        <f>IF(tblWorkPackages[[#This Row],[Calibrated forecast hours]]="","",ABS(tblWorkPackages[[#This Row],[Actual labor hours]]-tblWorkPackages[[#This Row],[Calibrated forecast hours]]))</f>
        <v>1.75853658536585</v>
      </c>
      <c r="V979" s="51">
        <f>IF(tblWorkPackages[[#This Row],[Time split]]="Train 2024",tblWorkPackages[[#This Row],[Estimated labor hours]],tblWorkPackages[[#This Row],[Calibrated forecast hours]])</f>
        <v>9.54146341463415</v>
      </c>
      <c r="W979" s="64">
        <f>DATEVALUE(tblWorkPackages[[#This Row],[Request date]])</f>
        <v>45811.0</v>
      </c>
      <c r="X979" s="64">
        <f>DATEVALUE(tblWorkPackages[[#This Row],[Due date]])</f>
        <v>45817.0</v>
      </c>
      <c r="Y979" s="64">
        <f>DATEVALUE(tblWorkPackages[[#This Row],[Completion date]])</f>
        <v>45817.0</v>
      </c>
      <c r="Z979" s="64">
        <f>_xlfn.MINIFS(tblLaborEntries[Work date serial],tblLaborEntries[Work package ID],tblWorkPackages[[#This Row],[Work package ID]])</f>
        <v>45815.0</v>
      </c>
      <c r="AA979" s="64">
        <f>_xlfn.MAXIFS(tblLaborEntries[Work date serial],tblLaborEntries[Work package ID],tblWorkPackages[[#This Row],[Work package ID]])</f>
        <v>45816.0</v>
      </c>
      <c r="AB979" s="65">
        <f>IF(tblWorkPackages[[#This Row],[Completion date serial]]&gt;tblWorkPackages[[#This Row],[Due date serial]],1,0)</f>
        <v>0</v>
      </c>
      <c r="AC979" s="65">
        <f>MAX(0,tblWorkPackages[[#This Row],[Completion date serial]]-tblWorkPackages[[#This Row],[Due date serial]])</f>
        <v>0</v>
      </c>
      <c r="AD979" s="65">
        <f>tblWorkPackages[[#This Row],[First labor date]]-tblWorkPackages[[#This Row],[Request date serial]]</f>
        <v>4</v>
      </c>
      <c r="AE979" s="65">
        <f>tblWorkPackages[[#This Row],[Last labor date]]-tblWorkPackages[[#This Row],[First labor date]]</f>
        <v>1</v>
      </c>
      <c r="AF979" s="65">
        <f>tblWorkPackages[[#This Row],[Completion date serial]]-tblWorkPackages[[#This Row],[Last labor date]]</f>
        <v>1</v>
      </c>
      <c r="AG979" s="65">
        <f>tblWorkPackages[[#This Row],[Completion date serial]]-tblWorkPackages[[#This Row],[Request date serial]]</f>
        <v>6</v>
      </c>
      <c r="AH979" s="65">
        <f>IFERROR(INDEX(tblParts[Delay days],MATCH(tblWorkPackages[[#This Row],[Work package ID]],tblParts[Work package ID],0)),0)</f>
        <v>0</v>
      </c>
      <c r="AI979" s="51" t="str">
        <f>IFERROR(INDEX(tblDisruptions[Event type],MATCH(tblWorkPackages[[#This Row],[Work package ID]],tblDisruptions[Work package ID],0)),"None")</f>
        <v>None</v>
      </c>
      <c r="AJ979" s="51" t="str">
        <f>TEXT(tblWorkPackages[[#This Row],[Due date serial]],"yyyy-mm")</f>
        <v>2025-06</v>
      </c>
    </row>
    <row r="980" spans="1:36" ht="15" x14ac:dyDescent="0.25">
      <c r="A980" s="53" t="s">
        <v>1873</v>
      </c>
      <c r="B980" s="53" t="s">
        <v>141</v>
      </c>
      <c r="C980" s="53" t="s">
        <v>222</v>
      </c>
      <c r="D980" s="53" t="s">
        <v>1682</v>
      </c>
      <c r="E980" s="53" t="s">
        <v>242</v>
      </c>
      <c r="F980" s="53" t="s">
        <v>243</v>
      </c>
      <c r="G980" s="53" t="s">
        <v>129</v>
      </c>
      <c r="H980" s="53">
        <v>4</v>
      </c>
      <c r="I980" s="53" t="s">
        <v>130</v>
      </c>
      <c r="J980" s="53">
        <v>0</v>
      </c>
      <c r="K980" s="53">
        <v>0</v>
      </c>
      <c r="L980" s="53">
        <v>14.7</v>
      </c>
      <c r="M980" s="53" t="s">
        <v>251</v>
      </c>
      <c r="N980" s="53">
        <v>16</v>
      </c>
      <c r="O980" s="51" t="str">
        <f>TEXT(tblWorkPackages[[#This Row],[Request date serial]]-WEEKDAY(tblWorkPackages[[#This Row],[Request date serial]],3),"yyyy-mm-dd")</f>
        <v>2024-12-16</v>
      </c>
      <c r="P980" s="51">
        <f>ABS(tblWorkPackages[[#This Row],[Actual labor hours]]-tblWorkPackages[[#This Row],[Estimated labor hours]])</f>
        <v>1.3</v>
      </c>
      <c r="Q980" s="51">
        <f>IF(tblWorkPackages[[#This Row],[Actual labor hours]]&gt;tblWorkPackages[[#This Row],[Estimated labor hours]],1,0)</f>
        <v>1</v>
      </c>
      <c r="R980" s="51">
        <f>tblWorkPackages[[#This Row],[Actual labor hours]]-tblWorkPackages[[#This Row],[Estimated labor hours]]</f>
        <v>1.3</v>
      </c>
      <c r="S980" s="51" t="str">
        <f>IF(tblWorkPackages[[#This Row],[Request date serial]]&lt;ValidationStart,"Train 2024",IF(tblWorkPackages[[#This Row],[Request date serial]]&lt;HoldoutStart,"Validation H1","Holdout H2"))</f>
        <v>Train 2024</v>
      </c>
      <c r="T980" s="51" t="str">
        <f>IF(tblWorkPackages[[#This Row],[Time split]]="Train 2024","",tblWorkPackages[[#This Row],[Estimated labor hours]]+VLOOKUP(tblWorkPackages[[#This Row],[Task type]],'Forecast validation'!$A$14:$E$25,IF(tblWorkPackages[[#This Row],[Time split]]="Validation H1",4,5),FALSE()))</f>
        <v/>
      </c>
      <c r="U980" s="51" t="str">
        <f>IF(tblWorkPackages[[#This Row],[Calibrated forecast hours]]="","",ABS(tblWorkPackages[[#This Row],[Actual labor hours]]-tblWorkPackages[[#This Row],[Calibrated forecast hours]]))</f>
        <v/>
      </c>
      <c r="V980" s="51">
        <f>IF(tblWorkPackages[[#This Row],[Time split]]="Train 2024",tblWorkPackages[[#This Row],[Estimated labor hours]],tblWorkPackages[[#This Row],[Calibrated forecast hours]])</f>
        <v>14.7</v>
      </c>
      <c r="W980" s="64">
        <f>DATEVALUE(tblWorkPackages[[#This Row],[Request date]])</f>
        <v>45647.0</v>
      </c>
      <c r="X980" s="64">
        <f>DATEVALUE(tblWorkPackages[[#This Row],[Due date]])</f>
        <v>45660.0</v>
      </c>
      <c r="Y980" s="64">
        <f>DATEVALUE(tblWorkPackages[[#This Row],[Completion date]])</f>
        <v>45652.0</v>
      </c>
      <c r="Z980" s="64">
        <f>_xlfn.MINIFS(tblLaborEntries[Work date serial],tblLaborEntries[Work package ID],tblWorkPackages[[#This Row],[Work package ID]])</f>
        <v>45648.0</v>
      </c>
      <c r="AA980" s="64">
        <f>_xlfn.MAXIFS(tblLaborEntries[Work date serial],tblLaborEntries[Work package ID],tblWorkPackages[[#This Row],[Work package ID]])</f>
        <v>45650.0</v>
      </c>
      <c r="AB980" s="65">
        <f>IF(tblWorkPackages[[#This Row],[Completion date serial]]&gt;tblWorkPackages[[#This Row],[Due date serial]],1,0)</f>
        <v>0</v>
      </c>
      <c r="AC980" s="65">
        <f>MAX(0,tblWorkPackages[[#This Row],[Completion date serial]]-tblWorkPackages[[#This Row],[Due date serial]])</f>
        <v>0</v>
      </c>
      <c r="AD980" s="65">
        <f>tblWorkPackages[[#This Row],[First labor date]]-tblWorkPackages[[#This Row],[Request date serial]]</f>
        <v>1</v>
      </c>
      <c r="AE980" s="65">
        <f>tblWorkPackages[[#This Row],[Last labor date]]-tblWorkPackages[[#This Row],[First labor date]]</f>
        <v>2</v>
      </c>
      <c r="AF980" s="65">
        <f>tblWorkPackages[[#This Row],[Completion date serial]]-tblWorkPackages[[#This Row],[Last labor date]]</f>
        <v>2</v>
      </c>
      <c r="AG980" s="65">
        <f>tblWorkPackages[[#This Row],[Completion date serial]]-tblWorkPackages[[#This Row],[Request date serial]]</f>
        <v>5</v>
      </c>
      <c r="AH980" s="65">
        <f>IFERROR(INDEX(tblParts[Delay days],MATCH(tblWorkPackages[[#This Row],[Work package ID]],tblParts[Work package ID],0)),0)</f>
        <v>0</v>
      </c>
      <c r="AI980" s="51" t="str">
        <f>IFERROR(INDEX(tblDisruptions[Event type],MATCH(tblWorkPackages[[#This Row],[Work package ID]],tblDisruptions[Work package ID],0)),"None")</f>
        <v>None</v>
      </c>
      <c r="AJ980" s="51" t="str">
        <f>TEXT(tblWorkPackages[[#This Row],[Due date serial]],"yyyy-mm")</f>
        <v>2025-01</v>
      </c>
    </row>
    <row r="981" spans="1:36" ht="15" x14ac:dyDescent="0.25">
      <c r="A981" s="53" t="s">
        <v>1874</v>
      </c>
      <c r="B981" s="53" t="s">
        <v>235</v>
      </c>
      <c r="C981" s="53" t="s">
        <v>524</v>
      </c>
      <c r="D981" s="53" t="s">
        <v>621</v>
      </c>
      <c r="E981" s="53" t="s">
        <v>153</v>
      </c>
      <c r="F981" s="53" t="s">
        <v>128</v>
      </c>
      <c r="G981" s="53" t="s">
        <v>154</v>
      </c>
      <c r="H981" s="53">
        <v>1</v>
      </c>
      <c r="I981" s="53" t="s">
        <v>130</v>
      </c>
      <c r="J981" s="53">
        <v>0</v>
      </c>
      <c r="K981" s="53">
        <v>0</v>
      </c>
      <c r="L981" s="53">
        <v>6.2</v>
      </c>
      <c r="M981" s="53" t="s">
        <v>1320</v>
      </c>
      <c r="N981" s="53">
        <v>6.3</v>
      </c>
      <c r="O981" s="51" t="str">
        <f>TEXT(tblWorkPackages[[#This Row],[Request date serial]]-WEEKDAY(tblWorkPackages[[#This Row],[Request date serial]],3),"yyyy-mm-dd")</f>
        <v>2024-07-08</v>
      </c>
      <c r="P981" s="51">
        <f>ABS(tblWorkPackages[[#This Row],[Actual labor hours]]-tblWorkPackages[[#This Row],[Estimated labor hours]])</f>
        <v>0.0999999999999996</v>
      </c>
      <c r="Q981" s="51">
        <f>IF(tblWorkPackages[[#This Row],[Actual labor hours]]&gt;tblWorkPackages[[#This Row],[Estimated labor hours]],1,0)</f>
        <v>1</v>
      </c>
      <c r="R981" s="51">
        <f>tblWorkPackages[[#This Row],[Actual labor hours]]-tblWorkPackages[[#This Row],[Estimated labor hours]]</f>
        <v>0.0999999999999996</v>
      </c>
      <c r="S981" s="51" t="str">
        <f>IF(tblWorkPackages[[#This Row],[Request date serial]]&lt;ValidationStart,"Train 2024",IF(tblWorkPackages[[#This Row],[Request date serial]]&lt;HoldoutStart,"Validation H1","Holdout H2"))</f>
        <v>Train 2024</v>
      </c>
      <c r="T981" s="51" t="str">
        <f>IF(tblWorkPackages[[#This Row],[Time split]]="Train 2024","",tblWorkPackages[[#This Row],[Estimated labor hours]]+VLOOKUP(tblWorkPackages[[#This Row],[Task type]],'Forecast validation'!$A$14:$E$25,IF(tblWorkPackages[[#This Row],[Time split]]="Validation H1",4,5),FALSE()))</f>
        <v/>
      </c>
      <c r="U981" s="51" t="str">
        <f>IF(tblWorkPackages[[#This Row],[Calibrated forecast hours]]="","",ABS(tblWorkPackages[[#This Row],[Actual labor hours]]-tblWorkPackages[[#This Row],[Calibrated forecast hours]]))</f>
        <v/>
      </c>
      <c r="V981" s="51">
        <f>IF(tblWorkPackages[[#This Row],[Time split]]="Train 2024",tblWorkPackages[[#This Row],[Estimated labor hours]],tblWorkPackages[[#This Row],[Calibrated forecast hours]])</f>
        <v>6.2</v>
      </c>
      <c r="W981" s="64">
        <f>DATEVALUE(tblWorkPackages[[#This Row],[Request date]])</f>
        <v>45483.0</v>
      </c>
      <c r="X981" s="64">
        <f>DATEVALUE(tblWorkPackages[[#This Row],[Due date]])</f>
        <v>45496.0</v>
      </c>
      <c r="Y981" s="64">
        <f>DATEVALUE(tblWorkPackages[[#This Row],[Completion date]])</f>
        <v>45499.0</v>
      </c>
      <c r="Z981" s="64">
        <f>_xlfn.MINIFS(tblLaborEntries[Work date serial],tblLaborEntries[Work package ID],tblWorkPackages[[#This Row],[Work package ID]])</f>
        <v>45494.0</v>
      </c>
      <c r="AA981" s="64">
        <f>_xlfn.MAXIFS(tblLaborEntries[Work date serial],tblLaborEntries[Work package ID],tblWorkPackages[[#This Row],[Work package ID]])</f>
        <v>45496.0</v>
      </c>
      <c r="AB981" s="65">
        <f>IF(tblWorkPackages[[#This Row],[Completion date serial]]&gt;tblWorkPackages[[#This Row],[Due date serial]],1,0)</f>
        <v>1</v>
      </c>
      <c r="AC981" s="65">
        <f>MAX(0,tblWorkPackages[[#This Row],[Completion date serial]]-tblWorkPackages[[#This Row],[Due date serial]])</f>
        <v>3</v>
      </c>
      <c r="AD981" s="65">
        <f>tblWorkPackages[[#This Row],[First labor date]]-tblWorkPackages[[#This Row],[Request date serial]]</f>
        <v>11</v>
      </c>
      <c r="AE981" s="65">
        <f>tblWorkPackages[[#This Row],[Last labor date]]-tblWorkPackages[[#This Row],[First labor date]]</f>
        <v>2</v>
      </c>
      <c r="AF981" s="65">
        <f>tblWorkPackages[[#This Row],[Completion date serial]]-tblWorkPackages[[#This Row],[Last labor date]]</f>
        <v>3</v>
      </c>
      <c r="AG981" s="65">
        <f>tblWorkPackages[[#This Row],[Completion date serial]]-tblWorkPackages[[#This Row],[Request date serial]]</f>
        <v>16</v>
      </c>
      <c r="AH981" s="65">
        <f>IFERROR(INDEX(tblParts[Delay days],MATCH(tblWorkPackages[[#This Row],[Work package ID]],tblParts[Work package ID],0)),0)</f>
        <v>0</v>
      </c>
      <c r="AI981" s="51" t="str">
        <f>IFERROR(INDEX(tblDisruptions[Event type],MATCH(tblWorkPackages[[#This Row],[Work package ID]],tblDisruptions[Work package ID],0)),"None")</f>
        <v>None</v>
      </c>
      <c r="AJ981" s="51" t="str">
        <f>TEXT(tblWorkPackages[[#This Row],[Due date serial]],"yyyy-mm")</f>
        <v>2024-07</v>
      </c>
    </row>
    <row r="982" spans="1:36" ht="15" x14ac:dyDescent="0.25">
      <c r="A982" s="53" t="s">
        <v>1875</v>
      </c>
      <c r="B982" s="53" t="s">
        <v>203</v>
      </c>
      <c r="C982" s="53" t="s">
        <v>694</v>
      </c>
      <c r="D982" s="53" t="s">
        <v>338</v>
      </c>
      <c r="E982" s="53" t="s">
        <v>127</v>
      </c>
      <c r="F982" s="53" t="s">
        <v>128</v>
      </c>
      <c r="G982" s="53" t="s">
        <v>129</v>
      </c>
      <c r="H982" s="53">
        <v>1</v>
      </c>
      <c r="I982" s="53" t="s">
        <v>130</v>
      </c>
      <c r="J982" s="53">
        <v>0</v>
      </c>
      <c r="K982" s="53">
        <v>0</v>
      </c>
      <c r="L982" s="53">
        <v>4.9000000000000004</v>
      </c>
      <c r="M982" s="53" t="s">
        <v>472</v>
      </c>
      <c r="N982" s="53">
        <v>6</v>
      </c>
      <c r="O982" s="51" t="str">
        <f>TEXT(tblWorkPackages[[#This Row],[Request date serial]]-WEEKDAY(tblWorkPackages[[#This Row],[Request date serial]],3),"yyyy-mm-dd")</f>
        <v>2024-04-22</v>
      </c>
      <c r="P982" s="51">
        <f>ABS(tblWorkPackages[[#This Row],[Actual labor hours]]-tblWorkPackages[[#This Row],[Estimated labor hours]])</f>
        <v>1.1</v>
      </c>
      <c r="Q982" s="51">
        <f>IF(tblWorkPackages[[#This Row],[Actual labor hours]]&gt;tblWorkPackages[[#This Row],[Estimated labor hours]],1,0)</f>
        <v>1</v>
      </c>
      <c r="R982" s="51">
        <f>tblWorkPackages[[#This Row],[Actual labor hours]]-tblWorkPackages[[#This Row],[Estimated labor hours]]</f>
        <v>1.1</v>
      </c>
      <c r="S982" s="51" t="str">
        <f>IF(tblWorkPackages[[#This Row],[Request date serial]]&lt;ValidationStart,"Train 2024",IF(tblWorkPackages[[#This Row],[Request date serial]]&lt;HoldoutStart,"Validation H1","Holdout H2"))</f>
        <v>Train 2024</v>
      </c>
      <c r="T982" s="51" t="str">
        <f>IF(tblWorkPackages[[#This Row],[Time split]]="Train 2024","",tblWorkPackages[[#This Row],[Estimated labor hours]]+VLOOKUP(tblWorkPackages[[#This Row],[Task type]],'Forecast validation'!$A$14:$E$25,IF(tblWorkPackages[[#This Row],[Time split]]="Validation H1",4,5),FALSE()))</f>
        <v/>
      </c>
      <c r="U982" s="51" t="str">
        <f>IF(tblWorkPackages[[#This Row],[Calibrated forecast hours]]="","",ABS(tblWorkPackages[[#This Row],[Actual labor hours]]-tblWorkPackages[[#This Row],[Calibrated forecast hours]]))</f>
        <v/>
      </c>
      <c r="V982" s="51">
        <f>IF(tblWorkPackages[[#This Row],[Time split]]="Train 2024",tblWorkPackages[[#This Row],[Estimated labor hours]],tblWorkPackages[[#This Row],[Calibrated forecast hours]])</f>
        <v>4.9</v>
      </c>
      <c r="W982" s="64">
        <f>DATEVALUE(tblWorkPackages[[#This Row],[Request date]])</f>
        <v>45404.0</v>
      </c>
      <c r="X982" s="64">
        <f>DATEVALUE(tblWorkPackages[[#This Row],[Due date]])</f>
        <v>45417.0</v>
      </c>
      <c r="Y982" s="64">
        <f>DATEVALUE(tblWorkPackages[[#This Row],[Completion date]])</f>
        <v>45408.0</v>
      </c>
      <c r="Z982" s="64">
        <f>_xlfn.MINIFS(tblLaborEntries[Work date serial],tblLaborEntries[Work package ID],tblWorkPackages[[#This Row],[Work package ID]])</f>
        <v>45407.0</v>
      </c>
      <c r="AA982" s="64">
        <f>_xlfn.MAXIFS(tblLaborEntries[Work date serial],tblLaborEntries[Work package ID],tblWorkPackages[[#This Row],[Work package ID]])</f>
        <v>45408.0</v>
      </c>
      <c r="AB982" s="65">
        <f>IF(tblWorkPackages[[#This Row],[Completion date serial]]&gt;tblWorkPackages[[#This Row],[Due date serial]],1,0)</f>
        <v>0</v>
      </c>
      <c r="AC982" s="65">
        <f>MAX(0,tblWorkPackages[[#This Row],[Completion date serial]]-tblWorkPackages[[#This Row],[Due date serial]])</f>
        <v>0</v>
      </c>
      <c r="AD982" s="65">
        <f>tblWorkPackages[[#This Row],[First labor date]]-tblWorkPackages[[#This Row],[Request date serial]]</f>
        <v>3</v>
      </c>
      <c r="AE982" s="65">
        <f>tblWorkPackages[[#This Row],[Last labor date]]-tblWorkPackages[[#This Row],[First labor date]]</f>
        <v>1</v>
      </c>
      <c r="AF982" s="65">
        <f>tblWorkPackages[[#This Row],[Completion date serial]]-tblWorkPackages[[#This Row],[Last labor date]]</f>
        <v>0</v>
      </c>
      <c r="AG982" s="65">
        <f>tblWorkPackages[[#This Row],[Completion date serial]]-tblWorkPackages[[#This Row],[Request date serial]]</f>
        <v>4</v>
      </c>
      <c r="AH982" s="65">
        <f>IFERROR(INDEX(tblParts[Delay days],MATCH(tblWorkPackages[[#This Row],[Work package ID]],tblParts[Work package ID],0)),0)</f>
        <v>0</v>
      </c>
      <c r="AI982" s="51" t="str">
        <f>IFERROR(INDEX(tblDisruptions[Event type],MATCH(tblWorkPackages[[#This Row],[Work package ID]],tblDisruptions[Work package ID],0)),"None")</f>
        <v>None</v>
      </c>
      <c r="AJ982" s="51" t="str">
        <f>TEXT(tblWorkPackages[[#This Row],[Due date serial]],"yyyy-mm")</f>
        <v>2024-05</v>
      </c>
    </row>
    <row r="983" spans="1:36" ht="15" x14ac:dyDescent="0.25">
      <c r="A983" s="53" t="s">
        <v>1876</v>
      </c>
      <c r="B983" s="53" t="s">
        <v>163</v>
      </c>
      <c r="C983" s="53" t="s">
        <v>183</v>
      </c>
      <c r="D983" s="53" t="s">
        <v>180</v>
      </c>
      <c r="E983" s="53" t="s">
        <v>200</v>
      </c>
      <c r="F983" s="53" t="s">
        <v>128</v>
      </c>
      <c r="G983" s="53" t="s">
        <v>129</v>
      </c>
      <c r="H983" s="53">
        <v>2</v>
      </c>
      <c r="I983" s="53" t="s">
        <v>176</v>
      </c>
      <c r="J983" s="53">
        <v>1</v>
      </c>
      <c r="K983" s="53">
        <v>0</v>
      </c>
      <c r="L983" s="53">
        <v>3.2</v>
      </c>
      <c r="M983" s="53" t="s">
        <v>198</v>
      </c>
      <c r="N983" s="53">
        <v>4.4000000000000004</v>
      </c>
      <c r="O983" s="51" t="str">
        <f>TEXT(tblWorkPackages[[#This Row],[Request date serial]]-WEEKDAY(tblWorkPackages[[#This Row],[Request date serial]],3),"yyyy-mm-dd")</f>
        <v>2025-05-19</v>
      </c>
      <c r="P983" s="51">
        <f>ABS(tblWorkPackages[[#This Row],[Actual labor hours]]-tblWorkPackages[[#This Row],[Estimated labor hours]])</f>
        <v>1.2</v>
      </c>
      <c r="Q983" s="51">
        <f>IF(tblWorkPackages[[#This Row],[Actual labor hours]]&gt;tblWorkPackages[[#This Row],[Estimated labor hours]],1,0)</f>
        <v>1</v>
      </c>
      <c r="R983" s="51">
        <f>tblWorkPackages[[#This Row],[Actual labor hours]]-tblWorkPackages[[#This Row],[Estimated labor hours]]</f>
        <v>1.2</v>
      </c>
      <c r="S983" s="51" t="str">
        <f>IF(tblWorkPackages[[#This Row],[Request date serial]]&lt;ValidationStart,"Train 2024",IF(tblWorkPackages[[#This Row],[Request date serial]]&lt;HoldoutStart,"Validation H1","Holdout H2"))</f>
        <v>Validation H1</v>
      </c>
      <c r="T983" s="51">
        <f>IF(tblWorkPackages[[#This Row],[Time split]]="Train 2024","",tblWorkPackages[[#This Row],[Estimated labor hours]]+VLOOKUP(tblWorkPackages[[#This Row],[Task type]],'Forecast validation'!$A$14:$E$25,IF(tblWorkPackages[[#This Row],[Time split]]="Validation H1",4,5),FALSE()))</f>
        <v>3.53069306930693</v>
      </c>
      <c r="U983" s="51">
        <f>IF(tblWorkPackages[[#This Row],[Calibrated forecast hours]]="","",ABS(tblWorkPackages[[#This Row],[Actual labor hours]]-tblWorkPackages[[#This Row],[Calibrated forecast hours]]))</f>
        <v>0.86930693069307</v>
      </c>
      <c r="V983" s="51">
        <f>IF(tblWorkPackages[[#This Row],[Time split]]="Train 2024",tblWorkPackages[[#This Row],[Estimated labor hours]],tblWorkPackages[[#This Row],[Calibrated forecast hours]])</f>
        <v>3.53069306930693</v>
      </c>
      <c r="W983" s="64">
        <f>DATEVALUE(tblWorkPackages[[#This Row],[Request date]])</f>
        <v>45799.0</v>
      </c>
      <c r="X983" s="64">
        <f>DATEVALUE(tblWorkPackages[[#This Row],[Due date]])</f>
        <v>45805.0</v>
      </c>
      <c r="Y983" s="64">
        <f>DATEVALUE(tblWorkPackages[[#This Row],[Completion date]])</f>
        <v>45832.0</v>
      </c>
      <c r="Z983" s="64">
        <f>_xlfn.MINIFS(tblLaborEntries[Work date serial],tblLaborEntries[Work package ID],tblWorkPackages[[#This Row],[Work package ID]])</f>
        <v>45830.0</v>
      </c>
      <c r="AA983" s="64">
        <f>_xlfn.MAXIFS(tblLaborEntries[Work date serial],tblLaborEntries[Work package ID],tblWorkPackages[[#This Row],[Work package ID]])</f>
        <v>45831.0</v>
      </c>
      <c r="AB983" s="65">
        <f>IF(tblWorkPackages[[#This Row],[Completion date serial]]&gt;tblWorkPackages[[#This Row],[Due date serial]],1,0)</f>
        <v>1</v>
      </c>
      <c r="AC983" s="65">
        <f>MAX(0,tblWorkPackages[[#This Row],[Completion date serial]]-tblWorkPackages[[#This Row],[Due date serial]])</f>
        <v>27</v>
      </c>
      <c r="AD983" s="65">
        <f>tblWorkPackages[[#This Row],[First labor date]]-tblWorkPackages[[#This Row],[Request date serial]]</f>
        <v>31</v>
      </c>
      <c r="AE983" s="65">
        <f>tblWorkPackages[[#This Row],[Last labor date]]-tblWorkPackages[[#This Row],[First labor date]]</f>
        <v>1</v>
      </c>
      <c r="AF983" s="65">
        <f>tblWorkPackages[[#This Row],[Completion date serial]]-tblWorkPackages[[#This Row],[Last labor date]]</f>
        <v>1</v>
      </c>
      <c r="AG983" s="65">
        <f>tblWorkPackages[[#This Row],[Completion date serial]]-tblWorkPackages[[#This Row],[Request date serial]]</f>
        <v>33</v>
      </c>
      <c r="AH983" s="65">
        <f>IFERROR(INDEX(tblParts[Delay days],MATCH(tblWorkPackages[[#This Row],[Work package ID]],tblParts[Work package ID],0)),0)</f>
        <v>0</v>
      </c>
      <c r="AI983" s="51" t="str">
        <f>IFERROR(INDEX(tblDisruptions[Event type],MATCH(tblWorkPackages[[#This Row],[Work package ID]],tblDisruptions[Work package ID],0)),"None")</f>
        <v>None</v>
      </c>
      <c r="AJ983" s="51" t="str">
        <f>TEXT(tblWorkPackages[[#This Row],[Due date serial]],"yyyy-mm")</f>
        <v>2025-05</v>
      </c>
    </row>
    <row r="984" spans="1:36" ht="15" x14ac:dyDescent="0.25">
      <c r="A984" s="53" t="s">
        <v>1877</v>
      </c>
      <c r="B984" s="53" t="s">
        <v>157</v>
      </c>
      <c r="C984" s="53" t="s">
        <v>1221</v>
      </c>
      <c r="D984" s="53" t="s">
        <v>1087</v>
      </c>
      <c r="E984" s="53" t="s">
        <v>272</v>
      </c>
      <c r="F984" s="53" t="s">
        <v>145</v>
      </c>
      <c r="G984" s="53" t="s">
        <v>273</v>
      </c>
      <c r="H984" s="53">
        <v>2</v>
      </c>
      <c r="I984" s="53" t="s">
        <v>130</v>
      </c>
      <c r="J984" s="53">
        <v>0</v>
      </c>
      <c r="K984" s="53">
        <v>1</v>
      </c>
      <c r="L984" s="53">
        <v>11.8</v>
      </c>
      <c r="M984" s="53" t="s">
        <v>274</v>
      </c>
      <c r="N984" s="53">
        <v>11.8</v>
      </c>
      <c r="O984" s="51" t="str">
        <f>TEXT(tblWorkPackages[[#This Row],[Request date serial]]-WEEKDAY(tblWorkPackages[[#This Row],[Request date serial]],3),"yyyy-mm-dd")</f>
        <v>2025-04-21</v>
      </c>
      <c r="P984" s="51">
        <f>ABS(tblWorkPackages[[#This Row],[Actual labor hours]]-tblWorkPackages[[#This Row],[Estimated labor hours]])</f>
        <v>0</v>
      </c>
      <c r="Q984" s="51">
        <f>IF(tblWorkPackages[[#This Row],[Actual labor hours]]&gt;tblWorkPackages[[#This Row],[Estimated labor hours]],1,0)</f>
        <v>0</v>
      </c>
      <c r="R984" s="51">
        <f>tblWorkPackages[[#This Row],[Actual labor hours]]-tblWorkPackages[[#This Row],[Estimated labor hours]]</f>
        <v>0</v>
      </c>
      <c r="S984" s="51" t="str">
        <f>IF(tblWorkPackages[[#This Row],[Request date serial]]&lt;ValidationStart,"Train 2024",IF(tblWorkPackages[[#This Row],[Request date serial]]&lt;HoldoutStart,"Validation H1","Holdout H2"))</f>
        <v>Validation H1</v>
      </c>
      <c r="T984" s="51">
        <f>IF(tblWorkPackages[[#This Row],[Time split]]="Train 2024","",tblWorkPackages[[#This Row],[Estimated labor hours]]+VLOOKUP(tblWorkPackages[[#This Row],[Task type]],'Forecast validation'!$A$14:$E$25,IF(tblWorkPackages[[#This Row],[Time split]]="Validation H1",4,5),FALSE()))</f>
        <v>12.8320512820513</v>
      </c>
      <c r="U984" s="51">
        <f>IF(tblWorkPackages[[#This Row],[Calibrated forecast hours]]="","",ABS(tblWorkPackages[[#This Row],[Actual labor hours]]-tblWorkPackages[[#This Row],[Calibrated forecast hours]]))</f>
        <v>1.03205128205128</v>
      </c>
      <c r="V984" s="51">
        <f>IF(tblWorkPackages[[#This Row],[Time split]]="Train 2024",tblWorkPackages[[#This Row],[Estimated labor hours]],tblWorkPackages[[#This Row],[Calibrated forecast hours]])</f>
        <v>12.8320512820513</v>
      </c>
      <c r="W984" s="64">
        <f>DATEVALUE(tblWorkPackages[[#This Row],[Request date]])</f>
        <v>45774.0</v>
      </c>
      <c r="X984" s="64">
        <f>DATEVALUE(tblWorkPackages[[#This Row],[Due date]])</f>
        <v>45787.0</v>
      </c>
      <c r="Y984" s="64">
        <f>DATEVALUE(tblWorkPackages[[#This Row],[Completion date]])</f>
        <v>45783.0</v>
      </c>
      <c r="Z984" s="64">
        <f>_xlfn.MINIFS(tblLaborEntries[Work date serial],tblLaborEntries[Work package ID],tblWorkPackages[[#This Row],[Work package ID]])</f>
        <v>45780.0</v>
      </c>
      <c r="AA984" s="64">
        <f>_xlfn.MAXIFS(tblLaborEntries[Work date serial],tblLaborEntries[Work package ID],tblWorkPackages[[#This Row],[Work package ID]])</f>
        <v>45781.0</v>
      </c>
      <c r="AB984" s="65">
        <f>IF(tblWorkPackages[[#This Row],[Completion date serial]]&gt;tblWorkPackages[[#This Row],[Due date serial]],1,0)</f>
        <v>0</v>
      </c>
      <c r="AC984" s="65">
        <f>MAX(0,tblWorkPackages[[#This Row],[Completion date serial]]-tblWorkPackages[[#This Row],[Due date serial]])</f>
        <v>0</v>
      </c>
      <c r="AD984" s="65">
        <f>tblWorkPackages[[#This Row],[First labor date]]-tblWorkPackages[[#This Row],[Request date serial]]</f>
        <v>6</v>
      </c>
      <c r="AE984" s="65">
        <f>tblWorkPackages[[#This Row],[Last labor date]]-tblWorkPackages[[#This Row],[First labor date]]</f>
        <v>1</v>
      </c>
      <c r="AF984" s="65">
        <f>tblWorkPackages[[#This Row],[Completion date serial]]-tblWorkPackages[[#This Row],[Last labor date]]</f>
        <v>2</v>
      </c>
      <c r="AG984" s="65">
        <f>tblWorkPackages[[#This Row],[Completion date serial]]-tblWorkPackages[[#This Row],[Request date serial]]</f>
        <v>9</v>
      </c>
      <c r="AH984" s="65">
        <f>IFERROR(INDEX(tblParts[Delay days],MATCH(tblWorkPackages[[#This Row],[Work package ID]],tblParts[Work package ID],0)),0)</f>
        <v>0</v>
      </c>
      <c r="AI984" s="51" t="str">
        <f>IFERROR(INDEX(tblDisruptions[Event type],MATCH(tblWorkPackages[[#This Row],[Work package ID]],tblDisruptions[Work package ID],0)),"None")</f>
        <v>None</v>
      </c>
      <c r="AJ984" s="51" t="str">
        <f>TEXT(tblWorkPackages[[#This Row],[Due date serial]],"yyyy-mm")</f>
        <v>2025-05</v>
      </c>
    </row>
    <row r="985" spans="1:36" ht="15" x14ac:dyDescent="0.25">
      <c r="A985" s="53" t="s">
        <v>1878</v>
      </c>
      <c r="B985" s="53" t="s">
        <v>157</v>
      </c>
      <c r="C985" s="53" t="s">
        <v>381</v>
      </c>
      <c r="D985" s="53" t="s">
        <v>960</v>
      </c>
      <c r="E985" s="53" t="s">
        <v>136</v>
      </c>
      <c r="F985" s="53" t="s">
        <v>137</v>
      </c>
      <c r="G985" s="53" t="s">
        <v>138</v>
      </c>
      <c r="H985" s="53">
        <v>2</v>
      </c>
      <c r="I985" s="53" t="s">
        <v>176</v>
      </c>
      <c r="J985" s="53">
        <v>0</v>
      </c>
      <c r="K985" s="53">
        <v>0</v>
      </c>
      <c r="L985" s="53">
        <v>11.6</v>
      </c>
      <c r="M985" s="53" t="s">
        <v>736</v>
      </c>
      <c r="N985" s="53">
        <v>9.1</v>
      </c>
      <c r="O985" s="51" t="str">
        <f>TEXT(tblWorkPackages[[#This Row],[Request date serial]]-WEEKDAY(tblWorkPackages[[#This Row],[Request date serial]],3),"yyyy-mm-dd")</f>
        <v>2024-10-21</v>
      </c>
      <c r="P985" s="51">
        <f>ABS(tblWorkPackages[[#This Row],[Actual labor hours]]-tblWorkPackages[[#This Row],[Estimated labor hours]])</f>
        <v>2.5</v>
      </c>
      <c r="Q985" s="51">
        <f>IF(tblWorkPackages[[#This Row],[Actual labor hours]]&gt;tblWorkPackages[[#This Row],[Estimated labor hours]],1,0)</f>
        <v>0</v>
      </c>
      <c r="R985" s="51">
        <f>tblWorkPackages[[#This Row],[Actual labor hours]]-tblWorkPackages[[#This Row],[Estimated labor hours]]</f>
        <v>-2.5</v>
      </c>
      <c r="S985" s="51" t="str">
        <f>IF(tblWorkPackages[[#This Row],[Request date serial]]&lt;ValidationStart,"Train 2024",IF(tblWorkPackages[[#This Row],[Request date serial]]&lt;HoldoutStart,"Validation H1","Holdout H2"))</f>
        <v>Train 2024</v>
      </c>
      <c r="T985" s="51" t="str">
        <f>IF(tblWorkPackages[[#This Row],[Time split]]="Train 2024","",tblWorkPackages[[#This Row],[Estimated labor hours]]+VLOOKUP(tblWorkPackages[[#This Row],[Task type]],'Forecast validation'!$A$14:$E$25,IF(tblWorkPackages[[#This Row],[Time split]]="Validation H1",4,5),FALSE()))</f>
        <v/>
      </c>
      <c r="U985" s="51" t="str">
        <f>IF(tblWorkPackages[[#This Row],[Calibrated forecast hours]]="","",ABS(tblWorkPackages[[#This Row],[Actual labor hours]]-tblWorkPackages[[#This Row],[Calibrated forecast hours]]))</f>
        <v/>
      </c>
      <c r="V985" s="51">
        <f>IF(tblWorkPackages[[#This Row],[Time split]]="Train 2024",tblWorkPackages[[#This Row],[Estimated labor hours]],tblWorkPackages[[#This Row],[Calibrated forecast hours]])</f>
        <v>11.6</v>
      </c>
      <c r="W985" s="64">
        <f>DATEVALUE(tblWorkPackages[[#This Row],[Request date]])</f>
        <v>45588.0</v>
      </c>
      <c r="X985" s="64">
        <f>DATEVALUE(tblWorkPackages[[#This Row],[Due date]])</f>
        <v>45594.0</v>
      </c>
      <c r="Y985" s="64">
        <f>DATEVALUE(tblWorkPackages[[#This Row],[Completion date]])</f>
        <v>45595.0</v>
      </c>
      <c r="Z985" s="64">
        <f>_xlfn.MINIFS(tblLaborEntries[Work date serial],tblLaborEntries[Work package ID],tblWorkPackages[[#This Row],[Work package ID]])</f>
        <v>45590.0</v>
      </c>
      <c r="AA985" s="64">
        <f>_xlfn.MAXIFS(tblLaborEntries[Work date serial],tblLaborEntries[Work package ID],tblWorkPackages[[#This Row],[Work package ID]])</f>
        <v>45592.0</v>
      </c>
      <c r="AB985" s="65">
        <f>IF(tblWorkPackages[[#This Row],[Completion date serial]]&gt;tblWorkPackages[[#This Row],[Due date serial]],1,0)</f>
        <v>1</v>
      </c>
      <c r="AC985" s="65">
        <f>MAX(0,tblWorkPackages[[#This Row],[Completion date serial]]-tblWorkPackages[[#This Row],[Due date serial]])</f>
        <v>1</v>
      </c>
      <c r="AD985" s="65">
        <f>tblWorkPackages[[#This Row],[First labor date]]-tblWorkPackages[[#This Row],[Request date serial]]</f>
        <v>2</v>
      </c>
      <c r="AE985" s="65">
        <f>tblWorkPackages[[#This Row],[Last labor date]]-tblWorkPackages[[#This Row],[First labor date]]</f>
        <v>2</v>
      </c>
      <c r="AF985" s="65">
        <f>tblWorkPackages[[#This Row],[Completion date serial]]-tblWorkPackages[[#This Row],[Last labor date]]</f>
        <v>3</v>
      </c>
      <c r="AG985" s="65">
        <f>tblWorkPackages[[#This Row],[Completion date serial]]-tblWorkPackages[[#This Row],[Request date serial]]</f>
        <v>7</v>
      </c>
      <c r="AH985" s="65">
        <f>IFERROR(INDEX(tblParts[Delay days],MATCH(tblWorkPackages[[#This Row],[Work package ID]],tblParts[Work package ID],0)),0)</f>
        <v>0</v>
      </c>
      <c r="AI985" s="51" t="str">
        <f>IFERROR(INDEX(tblDisruptions[Event type],MATCH(tblWorkPackages[[#This Row],[Work package ID]],tblDisruptions[Work package ID],0)),"None")</f>
        <v>None</v>
      </c>
      <c r="AJ985" s="51" t="str">
        <f>TEXT(tblWorkPackages[[#This Row],[Due date serial]],"yyyy-mm")</f>
        <v>2024-10</v>
      </c>
    </row>
    <row r="986" spans="1:36" ht="15" x14ac:dyDescent="0.25">
      <c r="A986" s="53" t="s">
        <v>1879</v>
      </c>
      <c r="B986" s="53" t="s">
        <v>163</v>
      </c>
      <c r="C986" s="53" t="s">
        <v>263</v>
      </c>
      <c r="D986" s="53" t="s">
        <v>155</v>
      </c>
      <c r="E986" s="53" t="s">
        <v>136</v>
      </c>
      <c r="F986" s="53" t="s">
        <v>137</v>
      </c>
      <c r="G986" s="53" t="s">
        <v>138</v>
      </c>
      <c r="H986" s="53">
        <v>4</v>
      </c>
      <c r="I986" s="53" t="s">
        <v>130</v>
      </c>
      <c r="J986" s="53">
        <v>0</v>
      </c>
      <c r="K986" s="53">
        <v>0</v>
      </c>
      <c r="L986" s="53">
        <v>23.6</v>
      </c>
      <c r="M986" s="53" t="s">
        <v>265</v>
      </c>
      <c r="N986" s="53">
        <v>25.4</v>
      </c>
      <c r="O986" s="51" t="str">
        <f>TEXT(tblWorkPackages[[#This Row],[Request date serial]]-WEEKDAY(tblWorkPackages[[#This Row],[Request date serial]],3),"yyyy-mm-dd")</f>
        <v>2024-08-12</v>
      </c>
      <c r="P986" s="51">
        <f>ABS(tblWorkPackages[[#This Row],[Actual labor hours]]-tblWorkPackages[[#This Row],[Estimated labor hours]])</f>
        <v>1.8</v>
      </c>
      <c r="Q986" s="51">
        <f>IF(tblWorkPackages[[#This Row],[Actual labor hours]]&gt;tblWorkPackages[[#This Row],[Estimated labor hours]],1,0)</f>
        <v>1</v>
      </c>
      <c r="R986" s="51">
        <f>tblWorkPackages[[#This Row],[Actual labor hours]]-tblWorkPackages[[#This Row],[Estimated labor hours]]</f>
        <v>1.8</v>
      </c>
      <c r="S986" s="51" t="str">
        <f>IF(tblWorkPackages[[#This Row],[Request date serial]]&lt;ValidationStart,"Train 2024",IF(tblWorkPackages[[#This Row],[Request date serial]]&lt;HoldoutStart,"Validation H1","Holdout H2"))</f>
        <v>Train 2024</v>
      </c>
      <c r="T986" s="51" t="str">
        <f>IF(tblWorkPackages[[#This Row],[Time split]]="Train 2024","",tblWorkPackages[[#This Row],[Estimated labor hours]]+VLOOKUP(tblWorkPackages[[#This Row],[Task type]],'Forecast validation'!$A$14:$E$25,IF(tblWorkPackages[[#This Row],[Time split]]="Validation H1",4,5),FALSE()))</f>
        <v/>
      </c>
      <c r="U986" s="51" t="str">
        <f>IF(tblWorkPackages[[#This Row],[Calibrated forecast hours]]="","",ABS(tblWorkPackages[[#This Row],[Actual labor hours]]-tblWorkPackages[[#This Row],[Calibrated forecast hours]]))</f>
        <v/>
      </c>
      <c r="V986" s="51">
        <f>IF(tblWorkPackages[[#This Row],[Time split]]="Train 2024",tblWorkPackages[[#This Row],[Estimated labor hours]],tblWorkPackages[[#This Row],[Calibrated forecast hours]])</f>
        <v>23.6</v>
      </c>
      <c r="W986" s="64">
        <f>DATEVALUE(tblWorkPackages[[#This Row],[Request date]])</f>
        <v>45522.0</v>
      </c>
      <c r="X986" s="64">
        <f>DATEVALUE(tblWorkPackages[[#This Row],[Due date]])</f>
        <v>45535.0</v>
      </c>
      <c r="Y986" s="64">
        <f>DATEVALUE(tblWorkPackages[[#This Row],[Completion date]])</f>
        <v>45536.0</v>
      </c>
      <c r="Z986" s="64">
        <f>_xlfn.MINIFS(tblLaborEntries[Work date serial],tblLaborEntries[Work package ID],tblWorkPackages[[#This Row],[Work package ID]])</f>
        <v>45536.0</v>
      </c>
      <c r="AA986" s="64">
        <f>_xlfn.MAXIFS(tblLaborEntries[Work date serial],tblLaborEntries[Work package ID],tblWorkPackages[[#This Row],[Work package ID]])</f>
        <v>45536.0</v>
      </c>
      <c r="AB986" s="65">
        <f>IF(tblWorkPackages[[#This Row],[Completion date serial]]&gt;tblWorkPackages[[#This Row],[Due date serial]],1,0)</f>
        <v>1</v>
      </c>
      <c r="AC986" s="65">
        <f>MAX(0,tblWorkPackages[[#This Row],[Completion date serial]]-tblWorkPackages[[#This Row],[Due date serial]])</f>
        <v>1</v>
      </c>
      <c r="AD986" s="65">
        <f>tblWorkPackages[[#This Row],[First labor date]]-tblWorkPackages[[#This Row],[Request date serial]]</f>
        <v>14</v>
      </c>
      <c r="AE986" s="65">
        <f>tblWorkPackages[[#This Row],[Last labor date]]-tblWorkPackages[[#This Row],[First labor date]]</f>
        <v>0</v>
      </c>
      <c r="AF986" s="65">
        <f>tblWorkPackages[[#This Row],[Completion date serial]]-tblWorkPackages[[#This Row],[Last labor date]]</f>
        <v>0</v>
      </c>
      <c r="AG986" s="65">
        <f>tblWorkPackages[[#This Row],[Completion date serial]]-tblWorkPackages[[#This Row],[Request date serial]]</f>
        <v>14</v>
      </c>
      <c r="AH986" s="65">
        <f>IFERROR(INDEX(tblParts[Delay days],MATCH(tblWorkPackages[[#This Row],[Work package ID]],tblParts[Work package ID],0)),0)</f>
        <v>0</v>
      </c>
      <c r="AI986" s="51" t="str">
        <f>IFERROR(INDEX(tblDisruptions[Event type],MATCH(tblWorkPackages[[#This Row],[Work package ID]],tblDisruptions[Work package ID],0)),"None")</f>
        <v>None</v>
      </c>
      <c r="AJ986" s="51" t="str">
        <f>TEXT(tblWorkPackages[[#This Row],[Due date serial]],"yyyy-mm")</f>
        <v>2024-08</v>
      </c>
    </row>
    <row r="987" spans="1:36" ht="15" x14ac:dyDescent="0.25">
      <c r="A987" s="53" t="s">
        <v>1880</v>
      </c>
      <c r="B987" s="53" t="s">
        <v>230</v>
      </c>
      <c r="C987" s="53" t="s">
        <v>1226</v>
      </c>
      <c r="D987" s="53" t="s">
        <v>467</v>
      </c>
      <c r="E987" s="53" t="s">
        <v>242</v>
      </c>
      <c r="F987" s="53" t="s">
        <v>243</v>
      </c>
      <c r="G987" s="53" t="s">
        <v>129</v>
      </c>
      <c r="H987" s="53">
        <v>4</v>
      </c>
      <c r="I987" s="53" t="s">
        <v>147</v>
      </c>
      <c r="J987" s="53">
        <v>0</v>
      </c>
      <c r="K987" s="53">
        <v>0</v>
      </c>
      <c r="L987" s="53">
        <v>18.600000000000001</v>
      </c>
      <c r="M987" s="53" t="s">
        <v>592</v>
      </c>
      <c r="N987" s="53">
        <v>19.899999999999999</v>
      </c>
      <c r="O987" s="51" t="str">
        <f>TEXT(tblWorkPackages[[#This Row],[Request date serial]]-WEEKDAY(tblWorkPackages[[#This Row],[Request date serial]],3),"yyyy-mm-dd")</f>
        <v>2025-03-31</v>
      </c>
      <c r="P987" s="51">
        <f>ABS(tblWorkPackages[[#This Row],[Actual labor hours]]-tblWorkPackages[[#This Row],[Estimated labor hours]])</f>
        <v>1.3</v>
      </c>
      <c r="Q987" s="51">
        <f>IF(tblWorkPackages[[#This Row],[Actual labor hours]]&gt;tblWorkPackages[[#This Row],[Estimated labor hours]],1,0)</f>
        <v>1</v>
      </c>
      <c r="R987" s="51">
        <f>tblWorkPackages[[#This Row],[Actual labor hours]]-tblWorkPackages[[#This Row],[Estimated labor hours]]</f>
        <v>1.3</v>
      </c>
      <c r="S987" s="51" t="str">
        <f>IF(tblWorkPackages[[#This Row],[Request date serial]]&lt;ValidationStart,"Train 2024",IF(tblWorkPackages[[#This Row],[Request date serial]]&lt;HoldoutStart,"Validation H1","Holdout H2"))</f>
        <v>Validation H1</v>
      </c>
      <c r="T987" s="51">
        <f>IF(tblWorkPackages[[#This Row],[Time split]]="Train 2024","",tblWorkPackages[[#This Row],[Estimated labor hours]]+VLOOKUP(tblWorkPackages[[#This Row],[Task type]],'Forecast validation'!$A$14:$E$25,IF(tblWorkPackages[[#This Row],[Time split]]="Validation H1",4,5),FALSE()))</f>
        <v>19.1561224489796</v>
      </c>
      <c r="U987" s="51">
        <f>IF(tblWorkPackages[[#This Row],[Calibrated forecast hours]]="","",ABS(tblWorkPackages[[#This Row],[Actual labor hours]]-tblWorkPackages[[#This Row],[Calibrated forecast hours]]))</f>
        <v>0.743877551020404</v>
      </c>
      <c r="V987" s="51">
        <f>IF(tblWorkPackages[[#This Row],[Time split]]="Train 2024",tblWorkPackages[[#This Row],[Estimated labor hours]],tblWorkPackages[[#This Row],[Calibrated forecast hours]])</f>
        <v>19.1561224489796</v>
      </c>
      <c r="W987" s="64">
        <f>DATEVALUE(tblWorkPackages[[#This Row],[Request date]])</f>
        <v>45750.0</v>
      </c>
      <c r="X987" s="64">
        <f>DATEVALUE(tblWorkPackages[[#This Row],[Due date]])</f>
        <v>45752.0</v>
      </c>
      <c r="Y987" s="64">
        <f>DATEVALUE(tblWorkPackages[[#This Row],[Completion date]])</f>
        <v>45757.0</v>
      </c>
      <c r="Z987" s="64">
        <f>_xlfn.MINIFS(tblLaborEntries[Work date serial],tblLaborEntries[Work package ID],tblWorkPackages[[#This Row],[Work package ID]])</f>
        <v>45754.0</v>
      </c>
      <c r="AA987" s="64">
        <f>_xlfn.MAXIFS(tblLaborEntries[Work date serial],tblLaborEntries[Work package ID],tblWorkPackages[[#This Row],[Work package ID]])</f>
        <v>45756.0</v>
      </c>
      <c r="AB987" s="65">
        <f>IF(tblWorkPackages[[#This Row],[Completion date serial]]&gt;tblWorkPackages[[#This Row],[Due date serial]],1,0)</f>
        <v>1</v>
      </c>
      <c r="AC987" s="65">
        <f>MAX(0,tblWorkPackages[[#This Row],[Completion date serial]]-tblWorkPackages[[#This Row],[Due date serial]])</f>
        <v>5</v>
      </c>
      <c r="AD987" s="65">
        <f>tblWorkPackages[[#This Row],[First labor date]]-tblWorkPackages[[#This Row],[Request date serial]]</f>
        <v>4</v>
      </c>
      <c r="AE987" s="65">
        <f>tblWorkPackages[[#This Row],[Last labor date]]-tblWorkPackages[[#This Row],[First labor date]]</f>
        <v>2</v>
      </c>
      <c r="AF987" s="65">
        <f>tblWorkPackages[[#This Row],[Completion date serial]]-tblWorkPackages[[#This Row],[Last labor date]]</f>
        <v>1</v>
      </c>
      <c r="AG987" s="65">
        <f>tblWorkPackages[[#This Row],[Completion date serial]]-tblWorkPackages[[#This Row],[Request date serial]]</f>
        <v>7</v>
      </c>
      <c r="AH987" s="65">
        <f>IFERROR(INDEX(tblParts[Delay days],MATCH(tblWorkPackages[[#This Row],[Work package ID]],tblParts[Work package ID],0)),0)</f>
        <v>0</v>
      </c>
      <c r="AI987" s="51" t="str">
        <f>IFERROR(INDEX(tblDisruptions[Event type],MATCH(tblWorkPackages[[#This Row],[Work package ID]],tblDisruptions[Work package ID],0)),"None")</f>
        <v>None</v>
      </c>
      <c r="AJ987" s="51" t="str">
        <f>TEXT(tblWorkPackages[[#This Row],[Due date serial]],"yyyy-mm")</f>
        <v>2025-04</v>
      </c>
    </row>
    <row r="988" spans="1:36" ht="15" x14ac:dyDescent="0.25">
      <c r="A988" s="53" t="s">
        <v>1881</v>
      </c>
      <c r="B988" s="53" t="s">
        <v>287</v>
      </c>
      <c r="C988" s="53" t="s">
        <v>337</v>
      </c>
      <c r="D988" s="53" t="s">
        <v>971</v>
      </c>
      <c r="E988" s="53" t="s">
        <v>237</v>
      </c>
      <c r="F988" s="53" t="s">
        <v>182</v>
      </c>
      <c r="G988" s="53" t="s">
        <v>138</v>
      </c>
      <c r="H988" s="53">
        <v>1</v>
      </c>
      <c r="I988" s="53" t="s">
        <v>130</v>
      </c>
      <c r="J988" s="53">
        <v>0</v>
      </c>
      <c r="K988" s="53">
        <v>0</v>
      </c>
      <c r="L988" s="53">
        <v>3.9</v>
      </c>
      <c r="M988" s="53" t="s">
        <v>1324</v>
      </c>
      <c r="N988" s="53">
        <v>4.5</v>
      </c>
      <c r="O988" s="51" t="str">
        <f>TEXT(tblWorkPackages[[#This Row],[Request date serial]]-WEEKDAY(tblWorkPackages[[#This Row],[Request date serial]],3),"yyyy-mm-dd")</f>
        <v>2024-04-29</v>
      </c>
      <c r="P988" s="51">
        <f>ABS(tblWorkPackages[[#This Row],[Actual labor hours]]-tblWorkPackages[[#This Row],[Estimated labor hours]])</f>
        <v>0.6</v>
      </c>
      <c r="Q988" s="51">
        <f>IF(tblWorkPackages[[#This Row],[Actual labor hours]]&gt;tblWorkPackages[[#This Row],[Estimated labor hours]],1,0)</f>
        <v>1</v>
      </c>
      <c r="R988" s="51">
        <f>tblWorkPackages[[#This Row],[Actual labor hours]]-tblWorkPackages[[#This Row],[Estimated labor hours]]</f>
        <v>0.6</v>
      </c>
      <c r="S988" s="51" t="str">
        <f>IF(tblWorkPackages[[#This Row],[Request date serial]]&lt;ValidationStart,"Train 2024",IF(tblWorkPackages[[#This Row],[Request date serial]]&lt;HoldoutStart,"Validation H1","Holdout H2"))</f>
        <v>Train 2024</v>
      </c>
      <c r="T988" s="51" t="str">
        <f>IF(tblWorkPackages[[#This Row],[Time split]]="Train 2024","",tblWorkPackages[[#This Row],[Estimated labor hours]]+VLOOKUP(tblWorkPackages[[#This Row],[Task type]],'Forecast validation'!$A$14:$E$25,IF(tblWorkPackages[[#This Row],[Time split]]="Validation H1",4,5),FALSE()))</f>
        <v/>
      </c>
      <c r="U988" s="51" t="str">
        <f>IF(tblWorkPackages[[#This Row],[Calibrated forecast hours]]="","",ABS(tblWorkPackages[[#This Row],[Actual labor hours]]-tblWorkPackages[[#This Row],[Calibrated forecast hours]]))</f>
        <v/>
      </c>
      <c r="V988" s="51">
        <f>IF(tblWorkPackages[[#This Row],[Time split]]="Train 2024",tblWorkPackages[[#This Row],[Estimated labor hours]],tblWorkPackages[[#This Row],[Calibrated forecast hours]])</f>
        <v>3.9</v>
      </c>
      <c r="W988" s="64">
        <f>DATEVALUE(tblWorkPackages[[#This Row],[Request date]])</f>
        <v>45411.0</v>
      </c>
      <c r="X988" s="64">
        <f>DATEVALUE(tblWorkPackages[[#This Row],[Due date]])</f>
        <v>45424.0</v>
      </c>
      <c r="Y988" s="64">
        <f>DATEVALUE(tblWorkPackages[[#This Row],[Completion date]])</f>
        <v>45476.0</v>
      </c>
      <c r="Z988" s="64">
        <f>_xlfn.MINIFS(tblLaborEntries[Work date serial],tblLaborEntries[Work package ID],tblWorkPackages[[#This Row],[Work package ID]])</f>
        <v>45472.0</v>
      </c>
      <c r="AA988" s="64">
        <f>_xlfn.MAXIFS(tblLaborEntries[Work date serial],tblLaborEntries[Work package ID],tblWorkPackages[[#This Row],[Work package ID]])</f>
        <v>45474.0</v>
      </c>
      <c r="AB988" s="65">
        <f>IF(tblWorkPackages[[#This Row],[Completion date serial]]&gt;tblWorkPackages[[#This Row],[Due date serial]],1,0)</f>
        <v>1</v>
      </c>
      <c r="AC988" s="65">
        <f>MAX(0,tblWorkPackages[[#This Row],[Completion date serial]]-tblWorkPackages[[#This Row],[Due date serial]])</f>
        <v>52</v>
      </c>
      <c r="AD988" s="65">
        <f>tblWorkPackages[[#This Row],[First labor date]]-tblWorkPackages[[#This Row],[Request date serial]]</f>
        <v>61</v>
      </c>
      <c r="AE988" s="65">
        <f>tblWorkPackages[[#This Row],[Last labor date]]-tblWorkPackages[[#This Row],[First labor date]]</f>
        <v>2</v>
      </c>
      <c r="AF988" s="65">
        <f>tblWorkPackages[[#This Row],[Completion date serial]]-tblWorkPackages[[#This Row],[Last labor date]]</f>
        <v>2</v>
      </c>
      <c r="AG988" s="65">
        <f>tblWorkPackages[[#This Row],[Completion date serial]]-tblWorkPackages[[#This Row],[Request date serial]]</f>
        <v>65</v>
      </c>
      <c r="AH988" s="65">
        <f>IFERROR(INDEX(tblParts[Delay days],MATCH(tblWorkPackages[[#This Row],[Work package ID]],tblParts[Work package ID],0)),0)</f>
        <v>0</v>
      </c>
      <c r="AI988" s="51" t="str">
        <f>IFERROR(INDEX(tblDisruptions[Event type],MATCH(tblWorkPackages[[#This Row],[Work package ID]],tblDisruptions[Work package ID],0)),"None")</f>
        <v>None</v>
      </c>
      <c r="AJ988" s="51" t="str">
        <f>TEXT(tblWorkPackages[[#This Row],[Due date serial]],"yyyy-mm")</f>
        <v>2024-05</v>
      </c>
    </row>
    <row r="989" spans="1:36" ht="15" x14ac:dyDescent="0.25">
      <c r="A989" s="53" t="s">
        <v>1882</v>
      </c>
      <c r="B989" s="53" t="s">
        <v>287</v>
      </c>
      <c r="C989" s="53" t="s">
        <v>700</v>
      </c>
      <c r="D989" s="53" t="s">
        <v>1260</v>
      </c>
      <c r="E989" s="53" t="s">
        <v>223</v>
      </c>
      <c r="F989" s="53" t="s">
        <v>182</v>
      </c>
      <c r="G989" s="53" t="s">
        <v>154</v>
      </c>
      <c r="H989" s="53">
        <v>3</v>
      </c>
      <c r="I989" s="53" t="s">
        <v>176</v>
      </c>
      <c r="J989" s="53">
        <v>0</v>
      </c>
      <c r="K989" s="53">
        <v>0</v>
      </c>
      <c r="L989" s="53">
        <v>18.3</v>
      </c>
      <c r="M989" s="53" t="s">
        <v>328</v>
      </c>
      <c r="N989" s="53">
        <v>21.2</v>
      </c>
      <c r="O989" s="51" t="str">
        <f>TEXT(tblWorkPackages[[#This Row],[Request date serial]]-WEEKDAY(tblWorkPackages[[#This Row],[Request date serial]],3),"yyyy-mm-dd")</f>
        <v>2024-02-26</v>
      </c>
      <c r="P989" s="51">
        <f>ABS(tblWorkPackages[[#This Row],[Actual labor hours]]-tblWorkPackages[[#This Row],[Estimated labor hours]])</f>
        <v>2.9</v>
      </c>
      <c r="Q989" s="51">
        <f>IF(tblWorkPackages[[#This Row],[Actual labor hours]]&gt;tblWorkPackages[[#This Row],[Estimated labor hours]],1,0)</f>
        <v>1</v>
      </c>
      <c r="R989" s="51">
        <f>tblWorkPackages[[#This Row],[Actual labor hours]]-tblWorkPackages[[#This Row],[Estimated labor hours]]</f>
        <v>2.9</v>
      </c>
      <c r="S989" s="51" t="str">
        <f>IF(tblWorkPackages[[#This Row],[Request date serial]]&lt;ValidationStart,"Train 2024",IF(tblWorkPackages[[#This Row],[Request date serial]]&lt;HoldoutStart,"Validation H1","Holdout H2"))</f>
        <v>Train 2024</v>
      </c>
      <c r="T989" s="51" t="str">
        <f>IF(tblWorkPackages[[#This Row],[Time split]]="Train 2024","",tblWorkPackages[[#This Row],[Estimated labor hours]]+VLOOKUP(tblWorkPackages[[#This Row],[Task type]],'Forecast validation'!$A$14:$E$25,IF(tblWorkPackages[[#This Row],[Time split]]="Validation H1",4,5),FALSE()))</f>
        <v/>
      </c>
      <c r="U989" s="51" t="str">
        <f>IF(tblWorkPackages[[#This Row],[Calibrated forecast hours]]="","",ABS(tblWorkPackages[[#This Row],[Actual labor hours]]-tblWorkPackages[[#This Row],[Calibrated forecast hours]]))</f>
        <v/>
      </c>
      <c r="V989" s="51">
        <f>IF(tblWorkPackages[[#This Row],[Time split]]="Train 2024",tblWorkPackages[[#This Row],[Estimated labor hours]],tblWorkPackages[[#This Row],[Calibrated forecast hours]])</f>
        <v>18.3</v>
      </c>
      <c r="W989" s="64">
        <f>DATEVALUE(tblWorkPackages[[#This Row],[Request date]])</f>
        <v>45349.0</v>
      </c>
      <c r="X989" s="64">
        <f>DATEVALUE(tblWorkPackages[[#This Row],[Due date]])</f>
        <v>45355.0</v>
      </c>
      <c r="Y989" s="64">
        <f>DATEVALUE(tblWorkPackages[[#This Row],[Completion date]])</f>
        <v>45361.0</v>
      </c>
      <c r="Z989" s="64">
        <f>_xlfn.MINIFS(tblLaborEntries[Work date serial],tblLaborEntries[Work package ID],tblWorkPackages[[#This Row],[Work package ID]])</f>
        <v>45358.0</v>
      </c>
      <c r="AA989" s="64">
        <f>_xlfn.MAXIFS(tblLaborEntries[Work date serial],tblLaborEntries[Work package ID],tblWorkPackages[[#This Row],[Work package ID]])</f>
        <v>45358.0</v>
      </c>
      <c r="AB989" s="65">
        <f>IF(tblWorkPackages[[#This Row],[Completion date serial]]&gt;tblWorkPackages[[#This Row],[Due date serial]],1,0)</f>
        <v>1</v>
      </c>
      <c r="AC989" s="65">
        <f>MAX(0,tblWorkPackages[[#This Row],[Completion date serial]]-tblWorkPackages[[#This Row],[Due date serial]])</f>
        <v>6</v>
      </c>
      <c r="AD989" s="65">
        <f>tblWorkPackages[[#This Row],[First labor date]]-tblWorkPackages[[#This Row],[Request date serial]]</f>
        <v>9</v>
      </c>
      <c r="AE989" s="65">
        <f>tblWorkPackages[[#This Row],[Last labor date]]-tblWorkPackages[[#This Row],[First labor date]]</f>
        <v>0</v>
      </c>
      <c r="AF989" s="65">
        <f>tblWorkPackages[[#This Row],[Completion date serial]]-tblWorkPackages[[#This Row],[Last labor date]]</f>
        <v>3</v>
      </c>
      <c r="AG989" s="65">
        <f>tblWorkPackages[[#This Row],[Completion date serial]]-tblWorkPackages[[#This Row],[Request date serial]]</f>
        <v>12</v>
      </c>
      <c r="AH989" s="65">
        <f>IFERROR(INDEX(tblParts[Delay days],MATCH(tblWorkPackages[[#This Row],[Work package ID]],tblParts[Work package ID],0)),0)</f>
        <v>0</v>
      </c>
      <c r="AI989" s="51" t="str">
        <f>IFERROR(INDEX(tblDisruptions[Event type],MATCH(tblWorkPackages[[#This Row],[Work package ID]],tblDisruptions[Work package ID],0)),"None")</f>
        <v>None</v>
      </c>
      <c r="AJ989" s="51" t="str">
        <f>TEXT(tblWorkPackages[[#This Row],[Due date serial]],"yyyy-mm")</f>
        <v>2024-03</v>
      </c>
    </row>
    <row r="990" spans="1:36" ht="15" x14ac:dyDescent="0.25">
      <c r="A990" s="53" t="s">
        <v>1883</v>
      </c>
      <c r="B990" s="53" t="s">
        <v>163</v>
      </c>
      <c r="C990" s="53" t="s">
        <v>1314</v>
      </c>
      <c r="D990" s="53" t="s">
        <v>214</v>
      </c>
      <c r="E990" s="53" t="s">
        <v>242</v>
      </c>
      <c r="F990" s="53" t="s">
        <v>243</v>
      </c>
      <c r="G990" s="53" t="s">
        <v>129</v>
      </c>
      <c r="H990" s="53">
        <v>1</v>
      </c>
      <c r="I990" s="53" t="s">
        <v>147</v>
      </c>
      <c r="J990" s="53">
        <v>0</v>
      </c>
      <c r="K990" s="53">
        <v>1</v>
      </c>
      <c r="L990" s="53">
        <v>5.4</v>
      </c>
      <c r="M990" s="53" t="s">
        <v>1237</v>
      </c>
      <c r="N990" s="53">
        <v>5</v>
      </c>
      <c r="O990" s="51" t="str">
        <f>TEXT(tblWorkPackages[[#This Row],[Request date serial]]-WEEKDAY(tblWorkPackages[[#This Row],[Request date serial]],3),"yyyy-mm-dd")</f>
        <v>2024-01-15</v>
      </c>
      <c r="P990" s="51">
        <f>ABS(tblWorkPackages[[#This Row],[Actual labor hours]]-tblWorkPackages[[#This Row],[Estimated labor hours]])</f>
        <v>0.4</v>
      </c>
      <c r="Q990" s="51">
        <f>IF(tblWorkPackages[[#This Row],[Actual labor hours]]&gt;tblWorkPackages[[#This Row],[Estimated labor hours]],1,0)</f>
        <v>0</v>
      </c>
      <c r="R990" s="51">
        <f>tblWorkPackages[[#This Row],[Actual labor hours]]-tblWorkPackages[[#This Row],[Estimated labor hours]]</f>
        <v>-0.4</v>
      </c>
      <c r="S990" s="51" t="str">
        <f>IF(tblWorkPackages[[#This Row],[Request date serial]]&lt;ValidationStart,"Train 2024",IF(tblWorkPackages[[#This Row],[Request date serial]]&lt;HoldoutStart,"Validation H1","Holdout H2"))</f>
        <v>Train 2024</v>
      </c>
      <c r="T990" s="51" t="str">
        <f>IF(tblWorkPackages[[#This Row],[Time split]]="Train 2024","",tblWorkPackages[[#This Row],[Estimated labor hours]]+VLOOKUP(tblWorkPackages[[#This Row],[Task type]],'Forecast validation'!$A$14:$E$25,IF(tblWorkPackages[[#This Row],[Time split]]="Validation H1",4,5),FALSE()))</f>
        <v/>
      </c>
      <c r="U990" s="51" t="str">
        <f>IF(tblWorkPackages[[#This Row],[Calibrated forecast hours]]="","",ABS(tblWorkPackages[[#This Row],[Actual labor hours]]-tblWorkPackages[[#This Row],[Calibrated forecast hours]]))</f>
        <v/>
      </c>
      <c r="V990" s="51">
        <f>IF(tblWorkPackages[[#This Row],[Time split]]="Train 2024",tblWorkPackages[[#This Row],[Estimated labor hours]],tblWorkPackages[[#This Row],[Calibrated forecast hours]])</f>
        <v>5.4</v>
      </c>
      <c r="W990" s="64">
        <f>DATEVALUE(tblWorkPackages[[#This Row],[Request date]])</f>
        <v>45309.0</v>
      </c>
      <c r="X990" s="64">
        <f>DATEVALUE(tblWorkPackages[[#This Row],[Due date]])</f>
        <v>45311.0</v>
      </c>
      <c r="Y990" s="64">
        <f>DATEVALUE(tblWorkPackages[[#This Row],[Completion date]])</f>
        <v>45312.0</v>
      </c>
      <c r="Z990" s="64">
        <f>_xlfn.MINIFS(tblLaborEntries[Work date serial],tblLaborEntries[Work package ID],tblWorkPackages[[#This Row],[Work package ID]])</f>
        <v>45311.0</v>
      </c>
      <c r="AA990" s="64">
        <f>_xlfn.MAXIFS(tblLaborEntries[Work date serial],tblLaborEntries[Work package ID],tblWorkPackages[[#This Row],[Work package ID]])</f>
        <v>45312.0</v>
      </c>
      <c r="AB990" s="65">
        <f>IF(tblWorkPackages[[#This Row],[Completion date serial]]&gt;tblWorkPackages[[#This Row],[Due date serial]],1,0)</f>
        <v>1</v>
      </c>
      <c r="AC990" s="65">
        <f>MAX(0,tblWorkPackages[[#This Row],[Completion date serial]]-tblWorkPackages[[#This Row],[Due date serial]])</f>
        <v>1</v>
      </c>
      <c r="AD990" s="65">
        <f>tblWorkPackages[[#This Row],[First labor date]]-tblWorkPackages[[#This Row],[Request date serial]]</f>
        <v>2</v>
      </c>
      <c r="AE990" s="65">
        <f>tblWorkPackages[[#This Row],[Last labor date]]-tblWorkPackages[[#This Row],[First labor date]]</f>
        <v>1</v>
      </c>
      <c r="AF990" s="65">
        <f>tblWorkPackages[[#This Row],[Completion date serial]]-tblWorkPackages[[#This Row],[Last labor date]]</f>
        <v>0</v>
      </c>
      <c r="AG990" s="65">
        <f>tblWorkPackages[[#This Row],[Completion date serial]]-tblWorkPackages[[#This Row],[Request date serial]]</f>
        <v>3</v>
      </c>
      <c r="AH990" s="65">
        <f>IFERROR(INDEX(tblParts[Delay days],MATCH(tblWorkPackages[[#This Row],[Work package ID]],tblParts[Work package ID],0)),0)</f>
        <v>0</v>
      </c>
      <c r="AI990" s="51" t="str">
        <f>IFERROR(INDEX(tblDisruptions[Event type],MATCH(tblWorkPackages[[#This Row],[Work package ID]],tblDisruptions[Work package ID],0)),"None")</f>
        <v>None</v>
      </c>
      <c r="AJ990" s="51" t="str">
        <f>TEXT(tblWorkPackages[[#This Row],[Due date serial]],"yyyy-mm")</f>
        <v>2024-01</v>
      </c>
    </row>
    <row r="991" spans="1:36" ht="15" x14ac:dyDescent="0.25">
      <c r="A991" s="53" t="s">
        <v>1884</v>
      </c>
      <c r="B991" s="53" t="s">
        <v>168</v>
      </c>
      <c r="C991" s="53" t="s">
        <v>833</v>
      </c>
      <c r="D991" s="53" t="s">
        <v>753</v>
      </c>
      <c r="E991" s="53" t="s">
        <v>223</v>
      </c>
      <c r="F991" s="53" t="s">
        <v>182</v>
      </c>
      <c r="G991" s="53" t="s">
        <v>154</v>
      </c>
      <c r="H991" s="53">
        <v>4</v>
      </c>
      <c r="I991" s="53" t="s">
        <v>130</v>
      </c>
      <c r="J991" s="53">
        <v>0</v>
      </c>
      <c r="K991" s="53">
        <v>0</v>
      </c>
      <c r="L991" s="53">
        <v>20.9</v>
      </c>
      <c r="M991" s="53" t="s">
        <v>653</v>
      </c>
      <c r="N991" s="53">
        <v>21.4</v>
      </c>
      <c r="O991" s="51" t="str">
        <f>TEXT(tblWorkPackages[[#This Row],[Request date serial]]-WEEKDAY(tblWorkPackages[[#This Row],[Request date serial]],3),"yyyy-mm-dd")</f>
        <v>2025-11-10</v>
      </c>
      <c r="P991" s="51">
        <f>ABS(tblWorkPackages[[#This Row],[Actual labor hours]]-tblWorkPackages[[#This Row],[Estimated labor hours]])</f>
        <v>0.5</v>
      </c>
      <c r="Q991" s="51">
        <f>IF(tblWorkPackages[[#This Row],[Actual labor hours]]&gt;tblWorkPackages[[#This Row],[Estimated labor hours]],1,0)</f>
        <v>1</v>
      </c>
      <c r="R991" s="51">
        <f>tblWorkPackages[[#This Row],[Actual labor hours]]-tblWorkPackages[[#This Row],[Estimated labor hours]]</f>
        <v>0.5</v>
      </c>
      <c r="S991" s="51" t="str">
        <f>IF(tblWorkPackages[[#This Row],[Request date serial]]&lt;ValidationStart,"Train 2024",IF(tblWorkPackages[[#This Row],[Request date serial]]&lt;HoldoutStart,"Validation H1","Holdout H2"))</f>
        <v>Holdout H2</v>
      </c>
      <c r="T991" s="51">
        <f>IF(tblWorkPackages[[#This Row],[Time split]]="Train 2024","",tblWorkPackages[[#This Row],[Estimated labor hours]]+VLOOKUP(tblWorkPackages[[#This Row],[Task type]],'Forecast validation'!$A$14:$E$25,IF(tblWorkPackages[[#This Row],[Time split]]="Validation H1",4,5),FALSE()))</f>
        <v>21.8246575342466</v>
      </c>
      <c r="U991" s="51">
        <f>IF(tblWorkPackages[[#This Row],[Calibrated forecast hours]]="","",ABS(tblWorkPackages[[#This Row],[Actual labor hours]]-tblWorkPackages[[#This Row],[Calibrated forecast hours]]))</f>
        <v>0.424657534246574</v>
      </c>
      <c r="V991" s="51">
        <f>IF(tblWorkPackages[[#This Row],[Time split]]="Train 2024",tblWorkPackages[[#This Row],[Estimated labor hours]],tblWorkPackages[[#This Row],[Calibrated forecast hours]])</f>
        <v>21.8246575342466</v>
      </c>
      <c r="W991" s="64">
        <f>DATEVALUE(tblWorkPackages[[#This Row],[Request date]])</f>
        <v>45976.0</v>
      </c>
      <c r="X991" s="64">
        <f>DATEVALUE(tblWorkPackages[[#This Row],[Due date]])</f>
        <v>45989.0</v>
      </c>
      <c r="Y991" s="64">
        <f>DATEVALUE(tblWorkPackages[[#This Row],[Completion date]])</f>
        <v>46000.0</v>
      </c>
      <c r="Z991" s="64">
        <f>_xlfn.MINIFS(tblLaborEntries[Work date serial],tblLaborEntries[Work package ID],tblWorkPackages[[#This Row],[Work package ID]])</f>
        <v>45999.0</v>
      </c>
      <c r="AA991" s="64">
        <f>_xlfn.MAXIFS(tblLaborEntries[Work date serial],tblLaborEntries[Work package ID],tblWorkPackages[[#This Row],[Work package ID]])</f>
        <v>45999.0</v>
      </c>
      <c r="AB991" s="65">
        <f>IF(tblWorkPackages[[#This Row],[Completion date serial]]&gt;tblWorkPackages[[#This Row],[Due date serial]],1,0)</f>
        <v>1</v>
      </c>
      <c r="AC991" s="65">
        <f>MAX(0,tblWorkPackages[[#This Row],[Completion date serial]]-tblWorkPackages[[#This Row],[Due date serial]])</f>
        <v>11</v>
      </c>
      <c r="AD991" s="65">
        <f>tblWorkPackages[[#This Row],[First labor date]]-tblWorkPackages[[#This Row],[Request date serial]]</f>
        <v>23</v>
      </c>
      <c r="AE991" s="65">
        <f>tblWorkPackages[[#This Row],[Last labor date]]-tblWorkPackages[[#This Row],[First labor date]]</f>
        <v>0</v>
      </c>
      <c r="AF991" s="65">
        <f>tblWorkPackages[[#This Row],[Completion date serial]]-tblWorkPackages[[#This Row],[Last labor date]]</f>
        <v>1</v>
      </c>
      <c r="AG991" s="65">
        <f>tblWorkPackages[[#This Row],[Completion date serial]]-tblWorkPackages[[#This Row],[Request date serial]]</f>
        <v>24</v>
      </c>
      <c r="AH991" s="65">
        <f>IFERROR(INDEX(tblParts[Delay days],MATCH(tblWorkPackages[[#This Row],[Work package ID]],tblParts[Work package ID],0)),0)</f>
        <v>0</v>
      </c>
      <c r="AI991" s="51" t="str">
        <f>IFERROR(INDEX(tblDisruptions[Event type],MATCH(tblWorkPackages[[#This Row],[Work package ID]],tblDisruptions[Work package ID],0)),"None")</f>
        <v>None</v>
      </c>
      <c r="AJ991" s="51" t="str">
        <f>TEXT(tblWorkPackages[[#This Row],[Due date serial]],"yyyy-mm")</f>
        <v>2025-11</v>
      </c>
    </row>
    <row r="992" spans="1:36" ht="15" x14ac:dyDescent="0.25">
      <c r="A992" s="53" t="s">
        <v>1885</v>
      </c>
      <c r="B992" s="53" t="s">
        <v>203</v>
      </c>
      <c r="C992" s="53" t="s">
        <v>1072</v>
      </c>
      <c r="D992" s="53" t="s">
        <v>776</v>
      </c>
      <c r="E992" s="53" t="s">
        <v>242</v>
      </c>
      <c r="F992" s="53" t="s">
        <v>243</v>
      </c>
      <c r="G992" s="53" t="s">
        <v>129</v>
      </c>
      <c r="H992" s="53">
        <v>1</v>
      </c>
      <c r="I992" s="53" t="s">
        <v>176</v>
      </c>
      <c r="J992" s="53">
        <v>0</v>
      </c>
      <c r="K992" s="53">
        <v>0</v>
      </c>
      <c r="L992" s="53">
        <v>4.9000000000000004</v>
      </c>
      <c r="M992" s="53" t="s">
        <v>257</v>
      </c>
      <c r="N992" s="53">
        <v>5.2</v>
      </c>
      <c r="O992" s="51" t="str">
        <f>TEXT(tblWorkPackages[[#This Row],[Request date serial]]-WEEKDAY(tblWorkPackages[[#This Row],[Request date serial]],3),"yyyy-mm-dd")</f>
        <v>2024-12-02</v>
      </c>
      <c r="P992" s="51">
        <f>ABS(tblWorkPackages[[#This Row],[Actual labor hours]]-tblWorkPackages[[#This Row],[Estimated labor hours]])</f>
        <v>0.3</v>
      </c>
      <c r="Q992" s="51">
        <f>IF(tblWorkPackages[[#This Row],[Actual labor hours]]&gt;tblWorkPackages[[#This Row],[Estimated labor hours]],1,0)</f>
        <v>1</v>
      </c>
      <c r="R992" s="51">
        <f>tblWorkPackages[[#This Row],[Actual labor hours]]-tblWorkPackages[[#This Row],[Estimated labor hours]]</f>
        <v>0.3</v>
      </c>
      <c r="S992" s="51" t="str">
        <f>IF(tblWorkPackages[[#This Row],[Request date serial]]&lt;ValidationStart,"Train 2024",IF(tblWorkPackages[[#This Row],[Request date serial]]&lt;HoldoutStart,"Validation H1","Holdout H2"))</f>
        <v>Train 2024</v>
      </c>
      <c r="T992" s="51" t="str">
        <f>IF(tblWorkPackages[[#This Row],[Time split]]="Train 2024","",tblWorkPackages[[#This Row],[Estimated labor hours]]+VLOOKUP(tblWorkPackages[[#This Row],[Task type]],'Forecast validation'!$A$14:$E$25,IF(tblWorkPackages[[#This Row],[Time split]]="Validation H1",4,5),FALSE()))</f>
        <v/>
      </c>
      <c r="U992" s="51" t="str">
        <f>IF(tblWorkPackages[[#This Row],[Calibrated forecast hours]]="","",ABS(tblWorkPackages[[#This Row],[Actual labor hours]]-tblWorkPackages[[#This Row],[Calibrated forecast hours]]))</f>
        <v/>
      </c>
      <c r="V992" s="51">
        <f>IF(tblWorkPackages[[#This Row],[Time split]]="Train 2024",tblWorkPackages[[#This Row],[Estimated labor hours]],tblWorkPackages[[#This Row],[Calibrated forecast hours]])</f>
        <v>4.9</v>
      </c>
      <c r="W992" s="64">
        <f>DATEVALUE(tblWorkPackages[[#This Row],[Request date]])</f>
        <v>45630.0</v>
      </c>
      <c r="X992" s="64">
        <f>DATEVALUE(tblWorkPackages[[#This Row],[Due date]])</f>
        <v>45636.0</v>
      </c>
      <c r="Y992" s="64">
        <f>DATEVALUE(tblWorkPackages[[#This Row],[Completion date]])</f>
        <v>45638.0</v>
      </c>
      <c r="Z992" s="64">
        <f>_xlfn.MINIFS(tblLaborEntries[Work date serial],tblLaborEntries[Work package ID],tblWorkPackages[[#This Row],[Work package ID]])</f>
        <v>45634.0</v>
      </c>
      <c r="AA992" s="64">
        <f>_xlfn.MAXIFS(tblLaborEntries[Work date serial],tblLaborEntries[Work package ID],tblWorkPackages[[#This Row],[Work package ID]])</f>
        <v>45636.0</v>
      </c>
      <c r="AB992" s="65">
        <f>IF(tblWorkPackages[[#This Row],[Completion date serial]]&gt;tblWorkPackages[[#This Row],[Due date serial]],1,0)</f>
        <v>1</v>
      </c>
      <c r="AC992" s="65">
        <f>MAX(0,tblWorkPackages[[#This Row],[Completion date serial]]-tblWorkPackages[[#This Row],[Due date serial]])</f>
        <v>2</v>
      </c>
      <c r="AD992" s="65">
        <f>tblWorkPackages[[#This Row],[First labor date]]-tblWorkPackages[[#This Row],[Request date serial]]</f>
        <v>4</v>
      </c>
      <c r="AE992" s="65">
        <f>tblWorkPackages[[#This Row],[Last labor date]]-tblWorkPackages[[#This Row],[First labor date]]</f>
        <v>2</v>
      </c>
      <c r="AF992" s="65">
        <f>tblWorkPackages[[#This Row],[Completion date serial]]-tblWorkPackages[[#This Row],[Last labor date]]</f>
        <v>2</v>
      </c>
      <c r="AG992" s="65">
        <f>tblWorkPackages[[#This Row],[Completion date serial]]-tblWorkPackages[[#This Row],[Request date serial]]</f>
        <v>8</v>
      </c>
      <c r="AH992" s="65">
        <f>IFERROR(INDEX(tblParts[Delay days],MATCH(tblWorkPackages[[#This Row],[Work package ID]],tblParts[Work package ID],0)),0)</f>
        <v>0</v>
      </c>
      <c r="AI992" s="51" t="str">
        <f>IFERROR(INDEX(tblDisruptions[Event type],MATCH(tblWorkPackages[[#This Row],[Work package ID]],tblDisruptions[Work package ID],0)),"None")</f>
        <v>None</v>
      </c>
      <c r="AJ992" s="51" t="str">
        <f>TEXT(tblWorkPackages[[#This Row],[Due date serial]],"yyyy-mm")</f>
        <v>2024-12</v>
      </c>
    </row>
    <row r="993" spans="1:36" ht="15" x14ac:dyDescent="0.25">
      <c r="A993" s="53" t="s">
        <v>1886</v>
      </c>
      <c r="B993" s="53" t="s">
        <v>173</v>
      </c>
      <c r="C993" s="53" t="s">
        <v>1354</v>
      </c>
      <c r="D993" s="53" t="s">
        <v>782</v>
      </c>
      <c r="E993" s="53" t="s">
        <v>200</v>
      </c>
      <c r="F993" s="53" t="s">
        <v>128</v>
      </c>
      <c r="G993" s="53" t="s">
        <v>129</v>
      </c>
      <c r="H993" s="53">
        <v>1</v>
      </c>
      <c r="I993" s="53" t="s">
        <v>130</v>
      </c>
      <c r="J993" s="53">
        <v>1</v>
      </c>
      <c r="K993" s="53">
        <v>0</v>
      </c>
      <c r="L993" s="53">
        <v>1.9</v>
      </c>
      <c r="M993" s="53" t="s">
        <v>1392</v>
      </c>
      <c r="N993" s="53">
        <v>3</v>
      </c>
      <c r="O993" s="51" t="str">
        <f>TEXT(tblWorkPackages[[#This Row],[Request date serial]]-WEEKDAY(tblWorkPackages[[#This Row],[Request date serial]],3),"yyyy-mm-dd")</f>
        <v>2024-07-29</v>
      </c>
      <c r="P993" s="51">
        <f>ABS(tblWorkPackages[[#This Row],[Actual labor hours]]-tblWorkPackages[[#This Row],[Estimated labor hours]])</f>
        <v>1.1</v>
      </c>
      <c r="Q993" s="51">
        <f>IF(tblWorkPackages[[#This Row],[Actual labor hours]]&gt;tblWorkPackages[[#This Row],[Estimated labor hours]],1,0)</f>
        <v>1</v>
      </c>
      <c r="R993" s="51">
        <f>tblWorkPackages[[#This Row],[Actual labor hours]]-tblWorkPackages[[#This Row],[Estimated labor hours]]</f>
        <v>1.1</v>
      </c>
      <c r="S993" s="51" t="str">
        <f>IF(tblWorkPackages[[#This Row],[Request date serial]]&lt;ValidationStart,"Train 2024",IF(tblWorkPackages[[#This Row],[Request date serial]]&lt;HoldoutStart,"Validation H1","Holdout H2"))</f>
        <v>Train 2024</v>
      </c>
      <c r="T993" s="51" t="str">
        <f>IF(tblWorkPackages[[#This Row],[Time split]]="Train 2024","",tblWorkPackages[[#This Row],[Estimated labor hours]]+VLOOKUP(tblWorkPackages[[#This Row],[Task type]],'Forecast validation'!$A$14:$E$25,IF(tblWorkPackages[[#This Row],[Time split]]="Validation H1",4,5),FALSE()))</f>
        <v/>
      </c>
      <c r="U993" s="51" t="str">
        <f>IF(tblWorkPackages[[#This Row],[Calibrated forecast hours]]="","",ABS(tblWorkPackages[[#This Row],[Actual labor hours]]-tblWorkPackages[[#This Row],[Calibrated forecast hours]]))</f>
        <v/>
      </c>
      <c r="V993" s="51">
        <f>IF(tblWorkPackages[[#This Row],[Time split]]="Train 2024",tblWorkPackages[[#This Row],[Estimated labor hours]],tblWorkPackages[[#This Row],[Calibrated forecast hours]])</f>
        <v>1.9</v>
      </c>
      <c r="W993" s="64">
        <f>DATEVALUE(tblWorkPackages[[#This Row],[Request date]])</f>
        <v>45504.0</v>
      </c>
      <c r="X993" s="64">
        <f>DATEVALUE(tblWorkPackages[[#This Row],[Due date]])</f>
        <v>45517.0</v>
      </c>
      <c r="Y993" s="64">
        <f>DATEVALUE(tblWorkPackages[[#This Row],[Completion date]])</f>
        <v>45508.0</v>
      </c>
      <c r="Z993" s="64">
        <f>_xlfn.MINIFS(tblLaborEntries[Work date serial],tblLaborEntries[Work package ID],tblWorkPackages[[#This Row],[Work package ID]])</f>
        <v>45505.0</v>
      </c>
      <c r="AA993" s="64">
        <f>_xlfn.MAXIFS(tblLaborEntries[Work date serial],tblLaborEntries[Work package ID],tblWorkPackages[[#This Row],[Work package ID]])</f>
        <v>45505.0</v>
      </c>
      <c r="AB993" s="65">
        <f>IF(tblWorkPackages[[#This Row],[Completion date serial]]&gt;tblWorkPackages[[#This Row],[Due date serial]],1,0)</f>
        <v>0</v>
      </c>
      <c r="AC993" s="65">
        <f>MAX(0,tblWorkPackages[[#This Row],[Completion date serial]]-tblWorkPackages[[#This Row],[Due date serial]])</f>
        <v>0</v>
      </c>
      <c r="AD993" s="65">
        <f>tblWorkPackages[[#This Row],[First labor date]]-tblWorkPackages[[#This Row],[Request date serial]]</f>
        <v>1</v>
      </c>
      <c r="AE993" s="65">
        <f>tblWorkPackages[[#This Row],[Last labor date]]-tblWorkPackages[[#This Row],[First labor date]]</f>
        <v>0</v>
      </c>
      <c r="AF993" s="65">
        <f>tblWorkPackages[[#This Row],[Completion date serial]]-tblWorkPackages[[#This Row],[Last labor date]]</f>
        <v>3</v>
      </c>
      <c r="AG993" s="65">
        <f>tblWorkPackages[[#This Row],[Completion date serial]]-tblWorkPackages[[#This Row],[Request date serial]]</f>
        <v>4</v>
      </c>
      <c r="AH993" s="65">
        <f>IFERROR(INDEX(tblParts[Delay days],MATCH(tblWorkPackages[[#This Row],[Work package ID]],tblParts[Work package ID],0)),0)</f>
        <v>0</v>
      </c>
      <c r="AI993" s="51" t="str">
        <f>IFERROR(INDEX(tblDisruptions[Event type],MATCH(tblWorkPackages[[#This Row],[Work package ID]],tblDisruptions[Work package ID],0)),"None")</f>
        <v>None</v>
      </c>
      <c r="AJ993" s="51" t="str">
        <f>TEXT(tblWorkPackages[[#This Row],[Due date serial]],"yyyy-mm")</f>
        <v>2024-08</v>
      </c>
    </row>
    <row r="994" spans="1:36" ht="15" x14ac:dyDescent="0.25">
      <c r="A994" s="53" t="s">
        <v>1887</v>
      </c>
      <c r="B994" s="53" t="s">
        <v>235</v>
      </c>
      <c r="C994" s="53" t="s">
        <v>870</v>
      </c>
      <c r="D994" s="53" t="s">
        <v>590</v>
      </c>
      <c r="E994" s="53" t="s">
        <v>144</v>
      </c>
      <c r="F994" s="53" t="s">
        <v>145</v>
      </c>
      <c r="G994" s="53" t="s">
        <v>146</v>
      </c>
      <c r="H994" s="53">
        <v>4</v>
      </c>
      <c r="I994" s="53" t="s">
        <v>130</v>
      </c>
      <c r="J994" s="53">
        <v>0</v>
      </c>
      <c r="K994" s="53">
        <v>0</v>
      </c>
      <c r="L994" s="53">
        <v>21</v>
      </c>
      <c r="M994" s="53" t="s">
        <v>466</v>
      </c>
      <c r="N994" s="53">
        <v>19.899999999999999</v>
      </c>
      <c r="O994" s="51" t="str">
        <f>TEXT(tblWorkPackages[[#This Row],[Request date serial]]-WEEKDAY(tblWorkPackages[[#This Row],[Request date serial]],3),"yyyy-mm-dd")</f>
        <v>2025-03-10</v>
      </c>
      <c r="P994" s="51">
        <f>ABS(tblWorkPackages[[#This Row],[Actual labor hours]]-tblWorkPackages[[#This Row],[Estimated labor hours]])</f>
        <v>1.1</v>
      </c>
      <c r="Q994" s="51">
        <f>IF(tblWorkPackages[[#This Row],[Actual labor hours]]&gt;tblWorkPackages[[#This Row],[Estimated labor hours]],1,0)</f>
        <v>0</v>
      </c>
      <c r="R994" s="51">
        <f>tblWorkPackages[[#This Row],[Actual labor hours]]-tblWorkPackages[[#This Row],[Estimated labor hours]]</f>
        <v>-1.1</v>
      </c>
      <c r="S994" s="51" t="str">
        <f>IF(tblWorkPackages[[#This Row],[Request date serial]]&lt;ValidationStart,"Train 2024",IF(tblWorkPackages[[#This Row],[Request date serial]]&lt;HoldoutStart,"Validation H1","Holdout H2"))</f>
        <v>Validation H1</v>
      </c>
      <c r="T994" s="51">
        <f>IF(tblWorkPackages[[#This Row],[Time split]]="Train 2024","",tblWorkPackages[[#This Row],[Estimated labor hours]]+VLOOKUP(tblWorkPackages[[#This Row],[Task type]],'Forecast validation'!$A$14:$E$25,IF(tblWorkPackages[[#This Row],[Time split]]="Validation H1",4,5),FALSE()))</f>
        <v>21.7547368421053</v>
      </c>
      <c r="U994" s="51">
        <f>IF(tblWorkPackages[[#This Row],[Calibrated forecast hours]]="","",ABS(tblWorkPackages[[#This Row],[Actual labor hours]]-tblWorkPackages[[#This Row],[Calibrated forecast hours]]))</f>
        <v>1.85473684210526</v>
      </c>
      <c r="V994" s="51">
        <f>IF(tblWorkPackages[[#This Row],[Time split]]="Train 2024",tblWorkPackages[[#This Row],[Estimated labor hours]],tblWorkPackages[[#This Row],[Calibrated forecast hours]])</f>
        <v>21.7547368421053</v>
      </c>
      <c r="W994" s="64">
        <f>DATEVALUE(tblWorkPackages[[#This Row],[Request date]])</f>
        <v>45732.0</v>
      </c>
      <c r="X994" s="64">
        <f>DATEVALUE(tblWorkPackages[[#This Row],[Due date]])</f>
        <v>45745.0</v>
      </c>
      <c r="Y994" s="64">
        <f>DATEVALUE(tblWorkPackages[[#This Row],[Completion date]])</f>
        <v>45746.0</v>
      </c>
      <c r="Z994" s="64">
        <f>_xlfn.MINIFS(tblLaborEntries[Work date serial],tblLaborEntries[Work package ID],tblWorkPackages[[#This Row],[Work package ID]])</f>
        <v>45744.0</v>
      </c>
      <c r="AA994" s="64">
        <f>_xlfn.MAXIFS(tblLaborEntries[Work date serial],tblLaborEntries[Work package ID],tblWorkPackages[[#This Row],[Work package ID]])</f>
        <v>45746.0</v>
      </c>
      <c r="AB994" s="65">
        <f>IF(tblWorkPackages[[#This Row],[Completion date serial]]&gt;tblWorkPackages[[#This Row],[Due date serial]],1,0)</f>
        <v>1</v>
      </c>
      <c r="AC994" s="65">
        <f>MAX(0,tblWorkPackages[[#This Row],[Completion date serial]]-tblWorkPackages[[#This Row],[Due date serial]])</f>
        <v>1</v>
      </c>
      <c r="AD994" s="65">
        <f>tblWorkPackages[[#This Row],[First labor date]]-tblWorkPackages[[#This Row],[Request date serial]]</f>
        <v>12</v>
      </c>
      <c r="AE994" s="65">
        <f>tblWorkPackages[[#This Row],[Last labor date]]-tblWorkPackages[[#This Row],[First labor date]]</f>
        <v>2</v>
      </c>
      <c r="AF994" s="65">
        <f>tblWorkPackages[[#This Row],[Completion date serial]]-tblWorkPackages[[#This Row],[Last labor date]]</f>
        <v>0</v>
      </c>
      <c r="AG994" s="65">
        <f>tblWorkPackages[[#This Row],[Completion date serial]]-tblWorkPackages[[#This Row],[Request date serial]]</f>
        <v>14</v>
      </c>
      <c r="AH994" s="65">
        <f>IFERROR(INDEX(tblParts[Delay days],MATCH(tblWorkPackages[[#This Row],[Work package ID]],tblParts[Work package ID],0)),0)</f>
        <v>0</v>
      </c>
      <c r="AI994" s="51" t="str">
        <f>IFERROR(INDEX(tblDisruptions[Event type],MATCH(tblWorkPackages[[#This Row],[Work package ID]],tblDisruptions[Work package ID],0)),"None")</f>
        <v>None</v>
      </c>
      <c r="AJ994" s="51" t="str">
        <f>TEXT(tblWorkPackages[[#This Row],[Due date serial]],"yyyy-mm")</f>
        <v>2025-03</v>
      </c>
    </row>
    <row r="995" spans="1:36" ht="15" x14ac:dyDescent="0.25">
      <c r="A995" s="53" t="s">
        <v>1888</v>
      </c>
      <c r="B995" s="53" t="s">
        <v>157</v>
      </c>
      <c r="C995" s="53" t="s">
        <v>572</v>
      </c>
      <c r="D995" s="53" t="s">
        <v>280</v>
      </c>
      <c r="E995" s="53" t="s">
        <v>160</v>
      </c>
      <c r="F995" s="53" t="s">
        <v>128</v>
      </c>
      <c r="G995" s="53" t="s">
        <v>138</v>
      </c>
      <c r="H995" s="53">
        <v>2</v>
      </c>
      <c r="I995" s="53" t="s">
        <v>130</v>
      </c>
      <c r="J995" s="53">
        <v>0</v>
      </c>
      <c r="K995" s="53">
        <v>0</v>
      </c>
      <c r="L995" s="53">
        <v>4.2</v>
      </c>
      <c r="M995" s="53" t="s">
        <v>253</v>
      </c>
      <c r="N995" s="53">
        <v>3.4</v>
      </c>
      <c r="O995" s="51" t="str">
        <f>TEXT(tblWorkPackages[[#This Row],[Request date serial]]-WEEKDAY(tblWorkPackages[[#This Row],[Request date serial]],3),"yyyy-mm-dd")</f>
        <v>2025-01-13</v>
      </c>
      <c r="P995" s="51">
        <f>ABS(tblWorkPackages[[#This Row],[Actual labor hours]]-tblWorkPackages[[#This Row],[Estimated labor hours]])</f>
        <v>0.8</v>
      </c>
      <c r="Q995" s="51">
        <f>IF(tblWorkPackages[[#This Row],[Actual labor hours]]&gt;tblWorkPackages[[#This Row],[Estimated labor hours]],1,0)</f>
        <v>0</v>
      </c>
      <c r="R995" s="51">
        <f>tblWorkPackages[[#This Row],[Actual labor hours]]-tblWorkPackages[[#This Row],[Estimated labor hours]]</f>
        <v>-0.8</v>
      </c>
      <c r="S995" s="51" t="str">
        <f>IF(tblWorkPackages[[#This Row],[Request date serial]]&lt;ValidationStart,"Train 2024",IF(tblWorkPackages[[#This Row],[Request date serial]]&lt;HoldoutStart,"Validation H1","Holdout H2"))</f>
        <v>Validation H1</v>
      </c>
      <c r="T995" s="51">
        <f>IF(tblWorkPackages[[#This Row],[Time split]]="Train 2024","",tblWorkPackages[[#This Row],[Estimated labor hours]]+VLOOKUP(tblWorkPackages[[#This Row],[Task type]],'Forecast validation'!$A$14:$E$25,IF(tblWorkPackages[[#This Row],[Time split]]="Validation H1",4,5),FALSE()))</f>
        <v>4.64146341463415</v>
      </c>
      <c r="U995" s="51">
        <f>IF(tblWorkPackages[[#This Row],[Calibrated forecast hours]]="","",ABS(tblWorkPackages[[#This Row],[Actual labor hours]]-tblWorkPackages[[#This Row],[Calibrated forecast hours]]))</f>
        <v>1.24146341463415</v>
      </c>
      <c r="V995" s="51">
        <f>IF(tblWorkPackages[[#This Row],[Time split]]="Train 2024",tblWorkPackages[[#This Row],[Estimated labor hours]],tblWorkPackages[[#This Row],[Calibrated forecast hours]])</f>
        <v>4.64146341463415</v>
      </c>
      <c r="W995" s="64">
        <f>DATEVALUE(tblWorkPackages[[#This Row],[Request date]])</f>
        <v>45672.0</v>
      </c>
      <c r="X995" s="64">
        <f>DATEVALUE(tblWorkPackages[[#This Row],[Due date]])</f>
        <v>45685.0</v>
      </c>
      <c r="Y995" s="64">
        <f>DATEVALUE(tblWorkPackages[[#This Row],[Completion date]])</f>
        <v>45677.0</v>
      </c>
      <c r="Z995" s="64">
        <f>_xlfn.MINIFS(tblLaborEntries[Work date serial],tblLaborEntries[Work package ID],tblWorkPackages[[#This Row],[Work package ID]])</f>
        <v>45675.0</v>
      </c>
      <c r="AA995" s="64">
        <f>_xlfn.MAXIFS(tblLaborEntries[Work date serial],tblLaborEntries[Work package ID],tblWorkPackages[[#This Row],[Work package ID]])</f>
        <v>45676.0</v>
      </c>
      <c r="AB995" s="65">
        <f>IF(tblWorkPackages[[#This Row],[Completion date serial]]&gt;tblWorkPackages[[#This Row],[Due date serial]],1,0)</f>
        <v>0</v>
      </c>
      <c r="AC995" s="65">
        <f>MAX(0,tblWorkPackages[[#This Row],[Completion date serial]]-tblWorkPackages[[#This Row],[Due date serial]])</f>
        <v>0</v>
      </c>
      <c r="AD995" s="65">
        <f>tblWorkPackages[[#This Row],[First labor date]]-tblWorkPackages[[#This Row],[Request date serial]]</f>
        <v>3</v>
      </c>
      <c r="AE995" s="65">
        <f>tblWorkPackages[[#This Row],[Last labor date]]-tblWorkPackages[[#This Row],[First labor date]]</f>
        <v>1</v>
      </c>
      <c r="AF995" s="65">
        <f>tblWorkPackages[[#This Row],[Completion date serial]]-tblWorkPackages[[#This Row],[Last labor date]]</f>
        <v>1</v>
      </c>
      <c r="AG995" s="65">
        <f>tblWorkPackages[[#This Row],[Completion date serial]]-tblWorkPackages[[#This Row],[Request date serial]]</f>
        <v>5</v>
      </c>
      <c r="AH995" s="65">
        <f>IFERROR(INDEX(tblParts[Delay days],MATCH(tblWorkPackages[[#This Row],[Work package ID]],tblParts[Work package ID],0)),0)</f>
        <v>0</v>
      </c>
      <c r="AI995" s="51" t="str">
        <f>IFERROR(INDEX(tblDisruptions[Event type],MATCH(tblWorkPackages[[#This Row],[Work package ID]],tblDisruptions[Work package ID],0)),"None")</f>
        <v>None</v>
      </c>
      <c r="AJ995" s="51" t="str">
        <f>TEXT(tblWorkPackages[[#This Row],[Due date serial]],"yyyy-mm")</f>
        <v>2025-01</v>
      </c>
    </row>
    <row r="996" spans="1:36" ht="15" x14ac:dyDescent="0.25">
      <c r="A996" s="53" t="s">
        <v>1889</v>
      </c>
      <c r="B996" s="53" t="s">
        <v>230</v>
      </c>
      <c r="C996" s="53" t="s">
        <v>960</v>
      </c>
      <c r="D996" s="53" t="s">
        <v>206</v>
      </c>
      <c r="E996" s="53" t="s">
        <v>209</v>
      </c>
      <c r="F996" s="53" t="s">
        <v>145</v>
      </c>
      <c r="G996" s="53" t="s">
        <v>210</v>
      </c>
      <c r="H996" s="53">
        <v>4</v>
      </c>
      <c r="I996" s="53" t="s">
        <v>130</v>
      </c>
      <c r="J996" s="53">
        <v>0</v>
      </c>
      <c r="K996" s="53">
        <v>1</v>
      </c>
      <c r="L996" s="53">
        <v>35.799999999999997</v>
      </c>
      <c r="M996" s="53" t="s">
        <v>255</v>
      </c>
      <c r="N996" s="53">
        <v>45.3</v>
      </c>
      <c r="O996" s="51" t="str">
        <f>TEXT(tblWorkPackages[[#This Row],[Request date serial]]-WEEKDAY(tblWorkPackages[[#This Row],[Request date serial]],3),"yyyy-mm-dd")</f>
        <v>2024-10-28</v>
      </c>
      <c r="P996" s="51">
        <f>ABS(tblWorkPackages[[#This Row],[Actual labor hours]]-tblWorkPackages[[#This Row],[Estimated labor hours]])</f>
        <v>9.5</v>
      </c>
      <c r="Q996" s="51">
        <f>IF(tblWorkPackages[[#This Row],[Actual labor hours]]&gt;tblWorkPackages[[#This Row],[Estimated labor hours]],1,0)</f>
        <v>1</v>
      </c>
      <c r="R996" s="51">
        <f>tblWorkPackages[[#This Row],[Actual labor hours]]-tblWorkPackages[[#This Row],[Estimated labor hours]]</f>
        <v>9.5</v>
      </c>
      <c r="S996" s="51" t="str">
        <f>IF(tblWorkPackages[[#This Row],[Request date serial]]&lt;ValidationStart,"Train 2024",IF(tblWorkPackages[[#This Row],[Request date serial]]&lt;HoldoutStart,"Validation H1","Holdout H2"))</f>
        <v>Train 2024</v>
      </c>
      <c r="T996" s="51" t="str">
        <f>IF(tblWorkPackages[[#This Row],[Time split]]="Train 2024","",tblWorkPackages[[#This Row],[Estimated labor hours]]+VLOOKUP(tblWorkPackages[[#This Row],[Task type]],'Forecast validation'!$A$14:$E$25,IF(tblWorkPackages[[#This Row],[Time split]]="Validation H1",4,5),FALSE()))</f>
        <v/>
      </c>
      <c r="U996" s="51" t="str">
        <f>IF(tblWorkPackages[[#This Row],[Calibrated forecast hours]]="","",ABS(tblWorkPackages[[#This Row],[Actual labor hours]]-tblWorkPackages[[#This Row],[Calibrated forecast hours]]))</f>
        <v/>
      </c>
      <c r="V996" s="51">
        <f>IF(tblWorkPackages[[#This Row],[Time split]]="Train 2024",tblWorkPackages[[#This Row],[Estimated labor hours]],tblWorkPackages[[#This Row],[Calibrated forecast hours]])</f>
        <v>35.8</v>
      </c>
      <c r="W996" s="64">
        <f>DATEVALUE(tblWorkPackages[[#This Row],[Request date]])</f>
        <v>45594.0</v>
      </c>
      <c r="X996" s="64">
        <f>DATEVALUE(tblWorkPackages[[#This Row],[Due date]])</f>
        <v>45607.0</v>
      </c>
      <c r="Y996" s="64">
        <f>DATEVALUE(tblWorkPackages[[#This Row],[Completion date]])</f>
        <v>45632.0</v>
      </c>
      <c r="Z996" s="64">
        <f>_xlfn.MINIFS(tblLaborEntries[Work date serial],tblLaborEntries[Work package ID],tblWorkPackages[[#This Row],[Work package ID]])</f>
        <v>45629.0</v>
      </c>
      <c r="AA996" s="64">
        <f>_xlfn.MAXIFS(tblLaborEntries[Work date serial],tblLaborEntries[Work package ID],tblWorkPackages[[#This Row],[Work package ID]])</f>
        <v>45630.0</v>
      </c>
      <c r="AB996" s="65">
        <f>IF(tblWorkPackages[[#This Row],[Completion date serial]]&gt;tblWorkPackages[[#This Row],[Due date serial]],1,0)</f>
        <v>1</v>
      </c>
      <c r="AC996" s="65">
        <f>MAX(0,tblWorkPackages[[#This Row],[Completion date serial]]-tblWorkPackages[[#This Row],[Due date serial]])</f>
        <v>25</v>
      </c>
      <c r="AD996" s="65">
        <f>tblWorkPackages[[#This Row],[First labor date]]-tblWorkPackages[[#This Row],[Request date serial]]</f>
        <v>35</v>
      </c>
      <c r="AE996" s="65">
        <f>tblWorkPackages[[#This Row],[Last labor date]]-tblWorkPackages[[#This Row],[First labor date]]</f>
        <v>1</v>
      </c>
      <c r="AF996" s="65">
        <f>tblWorkPackages[[#This Row],[Completion date serial]]-tblWorkPackages[[#This Row],[Last labor date]]</f>
        <v>2</v>
      </c>
      <c r="AG996" s="65">
        <f>tblWorkPackages[[#This Row],[Completion date serial]]-tblWorkPackages[[#This Row],[Request date serial]]</f>
        <v>38</v>
      </c>
      <c r="AH996" s="65">
        <f>IFERROR(INDEX(tblParts[Delay days],MATCH(tblWorkPackages[[#This Row],[Work package ID]],tblParts[Work package ID],0)),0)</f>
        <v>0</v>
      </c>
      <c r="AI996" s="51" t="str">
        <f>IFERROR(INDEX(tblDisruptions[Event type],MATCH(tblWorkPackages[[#This Row],[Work package ID]],tblDisruptions[Work package ID],0)),"None")</f>
        <v>None</v>
      </c>
      <c r="AJ996" s="51" t="str">
        <f>TEXT(tblWorkPackages[[#This Row],[Due date serial]],"yyyy-mm")</f>
        <v>2024-11</v>
      </c>
    </row>
    <row r="997" spans="1:36" ht="15" x14ac:dyDescent="0.25">
      <c r="A997" s="53" t="s">
        <v>1890</v>
      </c>
      <c r="B997" s="53" t="s">
        <v>250</v>
      </c>
      <c r="C997" s="53" t="s">
        <v>179</v>
      </c>
      <c r="D997" s="53" t="s">
        <v>180</v>
      </c>
      <c r="E997" s="53" t="s">
        <v>160</v>
      </c>
      <c r="F997" s="53" t="s">
        <v>128</v>
      </c>
      <c r="G997" s="53" t="s">
        <v>138</v>
      </c>
      <c r="H997" s="53">
        <v>3</v>
      </c>
      <c r="I997" s="53" t="s">
        <v>130</v>
      </c>
      <c r="J997" s="53">
        <v>0</v>
      </c>
      <c r="K997" s="53">
        <v>0</v>
      </c>
      <c r="L997" s="53">
        <v>6.8</v>
      </c>
      <c r="M997" s="53" t="s">
        <v>1076</v>
      </c>
      <c r="N997" s="53">
        <v>7.8</v>
      </c>
      <c r="O997" s="51" t="str">
        <f>TEXT(tblWorkPackages[[#This Row],[Request date serial]]-WEEKDAY(tblWorkPackages[[#This Row],[Request date serial]],3),"yyyy-mm-dd")</f>
        <v>2025-05-12</v>
      </c>
      <c r="P997" s="51">
        <f>ABS(tblWorkPackages[[#This Row],[Actual labor hours]]-tblWorkPackages[[#This Row],[Estimated labor hours]])</f>
        <v>1</v>
      </c>
      <c r="Q997" s="51">
        <f>IF(tblWorkPackages[[#This Row],[Actual labor hours]]&gt;tblWorkPackages[[#This Row],[Estimated labor hours]],1,0)</f>
        <v>1</v>
      </c>
      <c r="R997" s="51">
        <f>tblWorkPackages[[#This Row],[Actual labor hours]]-tblWorkPackages[[#This Row],[Estimated labor hours]]</f>
        <v>1</v>
      </c>
      <c r="S997" s="51" t="str">
        <f>IF(tblWorkPackages[[#This Row],[Request date serial]]&lt;ValidationStart,"Train 2024",IF(tblWorkPackages[[#This Row],[Request date serial]]&lt;HoldoutStart,"Validation H1","Holdout H2"))</f>
        <v>Validation H1</v>
      </c>
      <c r="T997" s="51">
        <f>IF(tblWorkPackages[[#This Row],[Time split]]="Train 2024","",tblWorkPackages[[#This Row],[Estimated labor hours]]+VLOOKUP(tblWorkPackages[[#This Row],[Task type]],'Forecast validation'!$A$14:$E$25,IF(tblWorkPackages[[#This Row],[Time split]]="Validation H1",4,5),FALSE()))</f>
        <v>7.24146341463415</v>
      </c>
      <c r="U997" s="51">
        <f>IF(tblWorkPackages[[#This Row],[Calibrated forecast hours]]="","",ABS(tblWorkPackages[[#This Row],[Actual labor hours]]-tblWorkPackages[[#This Row],[Calibrated forecast hours]]))</f>
        <v>0.558536585365854</v>
      </c>
      <c r="V997" s="51">
        <f>IF(tblWorkPackages[[#This Row],[Time split]]="Train 2024",tblWorkPackages[[#This Row],[Estimated labor hours]],tblWorkPackages[[#This Row],[Calibrated forecast hours]])</f>
        <v>7.24146341463415</v>
      </c>
      <c r="W997" s="64">
        <f>DATEVALUE(tblWorkPackages[[#This Row],[Request date]])</f>
        <v>45792.0</v>
      </c>
      <c r="X997" s="64">
        <f>DATEVALUE(tblWorkPackages[[#This Row],[Due date]])</f>
        <v>45805.0</v>
      </c>
      <c r="Y997" s="64">
        <f>DATEVALUE(tblWorkPackages[[#This Row],[Completion date]])</f>
        <v>45804.0</v>
      </c>
      <c r="Z997" s="64">
        <f>_xlfn.MINIFS(tblLaborEntries[Work date serial],tblLaborEntries[Work package ID],tblWorkPackages[[#This Row],[Work package ID]])</f>
        <v>45799.0</v>
      </c>
      <c r="AA997" s="64">
        <f>_xlfn.MAXIFS(tblLaborEntries[Work date serial],tblLaborEntries[Work package ID],tblWorkPackages[[#This Row],[Work package ID]])</f>
        <v>45801.0</v>
      </c>
      <c r="AB997" s="65">
        <f>IF(tblWorkPackages[[#This Row],[Completion date serial]]&gt;tblWorkPackages[[#This Row],[Due date serial]],1,0)</f>
        <v>0</v>
      </c>
      <c r="AC997" s="65">
        <f>MAX(0,tblWorkPackages[[#This Row],[Completion date serial]]-tblWorkPackages[[#This Row],[Due date serial]])</f>
        <v>0</v>
      </c>
      <c r="AD997" s="65">
        <f>tblWorkPackages[[#This Row],[First labor date]]-tblWorkPackages[[#This Row],[Request date serial]]</f>
        <v>7</v>
      </c>
      <c r="AE997" s="65">
        <f>tblWorkPackages[[#This Row],[Last labor date]]-tblWorkPackages[[#This Row],[First labor date]]</f>
        <v>2</v>
      </c>
      <c r="AF997" s="65">
        <f>tblWorkPackages[[#This Row],[Completion date serial]]-tblWorkPackages[[#This Row],[Last labor date]]</f>
        <v>3</v>
      </c>
      <c r="AG997" s="65">
        <f>tblWorkPackages[[#This Row],[Completion date serial]]-tblWorkPackages[[#This Row],[Request date serial]]</f>
        <v>12</v>
      </c>
      <c r="AH997" s="65">
        <f>IFERROR(INDEX(tblParts[Delay days],MATCH(tblWorkPackages[[#This Row],[Work package ID]],tblParts[Work package ID],0)),0)</f>
        <v>0</v>
      </c>
      <c r="AI997" s="51" t="str">
        <f>IFERROR(INDEX(tblDisruptions[Event type],MATCH(tblWorkPackages[[#This Row],[Work package ID]],tblDisruptions[Work package ID],0)),"None")</f>
        <v>Repeat inspection</v>
      </c>
      <c r="AJ997" s="51" t="str">
        <f>TEXT(tblWorkPackages[[#This Row],[Due date serial]],"yyyy-mm")</f>
        <v>2025-05</v>
      </c>
    </row>
    <row r="998" spans="1:36" ht="15" x14ac:dyDescent="0.25">
      <c r="A998" s="53" t="s">
        <v>1891</v>
      </c>
      <c r="B998" s="53" t="s">
        <v>250</v>
      </c>
      <c r="C998" s="53" t="s">
        <v>685</v>
      </c>
      <c r="D998" s="53" t="s">
        <v>1445</v>
      </c>
      <c r="E998" s="53" t="s">
        <v>153</v>
      </c>
      <c r="F998" s="53" t="s">
        <v>128</v>
      </c>
      <c r="G998" s="53" t="s">
        <v>154</v>
      </c>
      <c r="H998" s="53">
        <v>2</v>
      </c>
      <c r="I998" s="53" t="s">
        <v>176</v>
      </c>
      <c r="J998" s="53">
        <v>0</v>
      </c>
      <c r="K998" s="53">
        <v>0</v>
      </c>
      <c r="L998" s="53">
        <v>10.4</v>
      </c>
      <c r="M998" s="53" t="s">
        <v>607</v>
      </c>
      <c r="N998" s="53">
        <v>11</v>
      </c>
      <c r="O998" s="51" t="str">
        <f>TEXT(tblWorkPackages[[#This Row],[Request date serial]]-WEEKDAY(tblWorkPackages[[#This Row],[Request date serial]],3),"yyyy-mm-dd")</f>
        <v>2025-03-10</v>
      </c>
      <c r="P998" s="51">
        <f>ABS(tblWorkPackages[[#This Row],[Actual labor hours]]-tblWorkPackages[[#This Row],[Estimated labor hours]])</f>
        <v>0.6</v>
      </c>
      <c r="Q998" s="51">
        <f>IF(tblWorkPackages[[#This Row],[Actual labor hours]]&gt;tblWorkPackages[[#This Row],[Estimated labor hours]],1,0)</f>
        <v>1</v>
      </c>
      <c r="R998" s="51">
        <f>tblWorkPackages[[#This Row],[Actual labor hours]]-tblWorkPackages[[#This Row],[Estimated labor hours]]</f>
        <v>0.6</v>
      </c>
      <c r="S998" s="51" t="str">
        <f>IF(tblWorkPackages[[#This Row],[Request date serial]]&lt;ValidationStart,"Train 2024",IF(tblWorkPackages[[#This Row],[Request date serial]]&lt;HoldoutStart,"Validation H1","Holdout H2"))</f>
        <v>Validation H1</v>
      </c>
      <c r="T998" s="51">
        <f>IF(tblWorkPackages[[#This Row],[Time split]]="Train 2024","",tblWorkPackages[[#This Row],[Estimated labor hours]]+VLOOKUP(tblWorkPackages[[#This Row],[Task type]],'Forecast validation'!$A$14:$E$25,IF(tblWorkPackages[[#This Row],[Time split]]="Validation H1",4,5),FALSE()))</f>
        <v>10.9462264150943</v>
      </c>
      <c r="U998" s="51">
        <f>IF(tblWorkPackages[[#This Row],[Calibrated forecast hours]]="","",ABS(tblWorkPackages[[#This Row],[Actual labor hours]]-tblWorkPackages[[#This Row],[Calibrated forecast hours]]))</f>
        <v>0.0537735849056595</v>
      </c>
      <c r="V998" s="51">
        <f>IF(tblWorkPackages[[#This Row],[Time split]]="Train 2024",tblWorkPackages[[#This Row],[Estimated labor hours]],tblWorkPackages[[#This Row],[Calibrated forecast hours]])</f>
        <v>10.9462264150943</v>
      </c>
      <c r="W998" s="64">
        <f>DATEVALUE(tblWorkPackages[[#This Row],[Request date]])</f>
        <v>45730.0</v>
      </c>
      <c r="X998" s="64">
        <f>DATEVALUE(tblWorkPackages[[#This Row],[Due date]])</f>
        <v>45736.0</v>
      </c>
      <c r="Y998" s="64">
        <f>DATEVALUE(tblWorkPackages[[#This Row],[Completion date]])</f>
        <v>45734.0</v>
      </c>
      <c r="Z998" s="64">
        <f>_xlfn.MINIFS(tblLaborEntries[Work date serial],tblLaborEntries[Work package ID],tblWorkPackages[[#This Row],[Work package ID]])</f>
        <v>45732.0</v>
      </c>
      <c r="AA998" s="64">
        <f>_xlfn.MAXIFS(tblLaborEntries[Work date serial],tblLaborEntries[Work package ID],tblWorkPackages[[#This Row],[Work package ID]])</f>
        <v>45734.0</v>
      </c>
      <c r="AB998" s="65">
        <f>IF(tblWorkPackages[[#This Row],[Completion date serial]]&gt;tblWorkPackages[[#This Row],[Due date serial]],1,0)</f>
        <v>0</v>
      </c>
      <c r="AC998" s="65">
        <f>MAX(0,tblWorkPackages[[#This Row],[Completion date serial]]-tblWorkPackages[[#This Row],[Due date serial]])</f>
        <v>0</v>
      </c>
      <c r="AD998" s="65">
        <f>tblWorkPackages[[#This Row],[First labor date]]-tblWorkPackages[[#This Row],[Request date serial]]</f>
        <v>2</v>
      </c>
      <c r="AE998" s="65">
        <f>tblWorkPackages[[#This Row],[Last labor date]]-tblWorkPackages[[#This Row],[First labor date]]</f>
        <v>2</v>
      </c>
      <c r="AF998" s="65">
        <f>tblWorkPackages[[#This Row],[Completion date serial]]-tblWorkPackages[[#This Row],[Last labor date]]</f>
        <v>0</v>
      </c>
      <c r="AG998" s="65">
        <f>tblWorkPackages[[#This Row],[Completion date serial]]-tblWorkPackages[[#This Row],[Request date serial]]</f>
        <v>4</v>
      </c>
      <c r="AH998" s="65">
        <f>IFERROR(INDEX(tblParts[Delay days],MATCH(tblWorkPackages[[#This Row],[Work package ID]],tblParts[Work package ID],0)),0)</f>
        <v>0</v>
      </c>
      <c r="AI998" s="51" t="str">
        <f>IFERROR(INDEX(tblDisruptions[Event type],MATCH(tblWorkPackages[[#This Row],[Work package ID]],tblDisruptions[Work package ID],0)),"None")</f>
        <v>None</v>
      </c>
      <c r="AJ998" s="51" t="str">
        <f>TEXT(tblWorkPackages[[#This Row],[Due date serial]],"yyyy-mm")</f>
        <v>2025-03</v>
      </c>
    </row>
    <row r="999" spans="1:36" ht="15" x14ac:dyDescent="0.25">
      <c r="A999" s="53" t="s">
        <v>1892</v>
      </c>
      <c r="B999" s="53" t="s">
        <v>163</v>
      </c>
      <c r="C999" s="53" t="s">
        <v>1053</v>
      </c>
      <c r="D999" s="53" t="s">
        <v>443</v>
      </c>
      <c r="E999" s="53" t="s">
        <v>144</v>
      </c>
      <c r="F999" s="53" t="s">
        <v>145</v>
      </c>
      <c r="G999" s="53" t="s">
        <v>146</v>
      </c>
      <c r="H999" s="53">
        <v>2</v>
      </c>
      <c r="I999" s="53" t="s">
        <v>176</v>
      </c>
      <c r="J999" s="53">
        <v>0</v>
      </c>
      <c r="K999" s="53">
        <v>1</v>
      </c>
      <c r="L999" s="53">
        <v>10.6</v>
      </c>
      <c r="M999" s="53" t="s">
        <v>328</v>
      </c>
      <c r="N999" s="53">
        <v>12.9</v>
      </c>
      <c r="O999" s="51" t="str">
        <f>TEXT(tblWorkPackages[[#This Row],[Request date serial]]-WEEKDAY(tblWorkPackages[[#This Row],[Request date serial]],3),"yyyy-mm-dd")</f>
        <v>2024-02-19</v>
      </c>
      <c r="P999" s="51">
        <f>ABS(tblWorkPackages[[#This Row],[Actual labor hours]]-tblWorkPackages[[#This Row],[Estimated labor hours]])</f>
        <v>2.3</v>
      </c>
      <c r="Q999" s="51">
        <f>IF(tblWorkPackages[[#This Row],[Actual labor hours]]&gt;tblWorkPackages[[#This Row],[Estimated labor hours]],1,0)</f>
        <v>1</v>
      </c>
      <c r="R999" s="51">
        <f>tblWorkPackages[[#This Row],[Actual labor hours]]-tblWorkPackages[[#This Row],[Estimated labor hours]]</f>
        <v>2.3</v>
      </c>
      <c r="S999" s="51" t="str">
        <f>IF(tblWorkPackages[[#This Row],[Request date serial]]&lt;ValidationStart,"Train 2024",IF(tblWorkPackages[[#This Row],[Request date serial]]&lt;HoldoutStart,"Validation H1","Holdout H2"))</f>
        <v>Train 2024</v>
      </c>
      <c r="T999" s="51" t="str">
        <f>IF(tblWorkPackages[[#This Row],[Time split]]="Train 2024","",tblWorkPackages[[#This Row],[Estimated labor hours]]+VLOOKUP(tblWorkPackages[[#This Row],[Task type]],'Forecast validation'!$A$14:$E$25,IF(tblWorkPackages[[#This Row],[Time split]]="Validation H1",4,5),FALSE()))</f>
        <v/>
      </c>
      <c r="U999" s="51" t="str">
        <f>IF(tblWorkPackages[[#This Row],[Calibrated forecast hours]]="","",ABS(tblWorkPackages[[#This Row],[Actual labor hours]]-tblWorkPackages[[#This Row],[Calibrated forecast hours]]))</f>
        <v/>
      </c>
      <c r="V999" s="51">
        <f>IF(tblWorkPackages[[#This Row],[Time split]]="Train 2024",tblWorkPackages[[#This Row],[Estimated labor hours]],tblWorkPackages[[#This Row],[Calibrated forecast hours]])</f>
        <v>10.6</v>
      </c>
      <c r="W999" s="64">
        <f>DATEVALUE(tblWorkPackages[[#This Row],[Request date]])</f>
        <v>45345.0</v>
      </c>
      <c r="X999" s="64">
        <f>DATEVALUE(tblWorkPackages[[#This Row],[Due date]])</f>
        <v>45351.0</v>
      </c>
      <c r="Y999" s="64">
        <f>DATEVALUE(tblWorkPackages[[#This Row],[Completion date]])</f>
        <v>45361.0</v>
      </c>
      <c r="Z999" s="64">
        <f>_xlfn.MINIFS(tblLaborEntries[Work date serial],tblLaborEntries[Work package ID],tblWorkPackages[[#This Row],[Work package ID]])</f>
        <v>45360.0</v>
      </c>
      <c r="AA999" s="64">
        <f>_xlfn.MAXIFS(tblLaborEntries[Work date serial],tblLaborEntries[Work package ID],tblWorkPackages[[#This Row],[Work package ID]])</f>
        <v>45360.0</v>
      </c>
      <c r="AB999" s="65">
        <f>IF(tblWorkPackages[[#This Row],[Completion date serial]]&gt;tblWorkPackages[[#This Row],[Due date serial]],1,0)</f>
        <v>1</v>
      </c>
      <c r="AC999" s="65">
        <f>MAX(0,tblWorkPackages[[#This Row],[Completion date serial]]-tblWorkPackages[[#This Row],[Due date serial]])</f>
        <v>10</v>
      </c>
      <c r="AD999" s="65">
        <f>tblWorkPackages[[#This Row],[First labor date]]-tblWorkPackages[[#This Row],[Request date serial]]</f>
        <v>15</v>
      </c>
      <c r="AE999" s="65">
        <f>tblWorkPackages[[#This Row],[Last labor date]]-tblWorkPackages[[#This Row],[First labor date]]</f>
        <v>0</v>
      </c>
      <c r="AF999" s="65">
        <f>tblWorkPackages[[#This Row],[Completion date serial]]-tblWorkPackages[[#This Row],[Last labor date]]</f>
        <v>1</v>
      </c>
      <c r="AG999" s="65">
        <f>tblWorkPackages[[#This Row],[Completion date serial]]-tblWorkPackages[[#This Row],[Request date serial]]</f>
        <v>16</v>
      </c>
      <c r="AH999" s="65">
        <f>IFERROR(INDEX(tblParts[Delay days],MATCH(tblWorkPackages[[#This Row],[Work package ID]],tblParts[Work package ID],0)),0)</f>
        <v>0</v>
      </c>
      <c r="AI999" s="51" t="str">
        <f>IFERROR(INDEX(tblDisruptions[Event type],MATCH(tblWorkPackages[[#This Row],[Work package ID]],tblDisruptions[Work package ID],0)),"None")</f>
        <v>None</v>
      </c>
      <c r="AJ999" s="51" t="str">
        <f>TEXT(tblWorkPackages[[#This Row],[Due date serial]],"yyyy-mm")</f>
        <v>2024-02</v>
      </c>
    </row>
    <row r="1000" spans="1:36" ht="15" x14ac:dyDescent="0.25">
      <c r="A1000" s="53" t="s">
        <v>1893</v>
      </c>
      <c r="B1000" s="53" t="s">
        <v>250</v>
      </c>
      <c r="C1000" s="53" t="s">
        <v>1370</v>
      </c>
      <c r="D1000" s="53" t="s">
        <v>1442</v>
      </c>
      <c r="E1000" s="53" t="s">
        <v>272</v>
      </c>
      <c r="F1000" s="53" t="s">
        <v>145</v>
      </c>
      <c r="G1000" s="53" t="s">
        <v>273</v>
      </c>
      <c r="H1000" s="53">
        <v>1</v>
      </c>
      <c r="I1000" s="53" t="s">
        <v>130</v>
      </c>
      <c r="J1000" s="53">
        <v>0</v>
      </c>
      <c r="K1000" s="53">
        <v>1</v>
      </c>
      <c r="L1000" s="53">
        <v>7</v>
      </c>
      <c r="M1000" s="53" t="s">
        <v>1369</v>
      </c>
      <c r="N1000" s="53">
        <v>6.6</v>
      </c>
      <c r="O1000" s="51" t="str">
        <f>TEXT(tblWorkPackages[[#This Row],[Request date serial]]-WEEKDAY(tblWorkPackages[[#This Row],[Request date serial]],3),"yyyy-mm-dd")</f>
        <v>2024-07-29</v>
      </c>
      <c r="P1000" s="51">
        <f>ABS(tblWorkPackages[[#This Row],[Actual labor hours]]-tblWorkPackages[[#This Row],[Estimated labor hours]])</f>
        <v>0.4</v>
      </c>
      <c r="Q1000" s="51">
        <f>IF(tblWorkPackages[[#This Row],[Actual labor hours]]&gt;tblWorkPackages[[#This Row],[Estimated labor hours]],1,0)</f>
        <v>0</v>
      </c>
      <c r="R1000" s="51">
        <f>tblWorkPackages[[#This Row],[Actual labor hours]]-tblWorkPackages[[#This Row],[Estimated labor hours]]</f>
        <v>-0.4</v>
      </c>
      <c r="S1000" s="51" t="str">
        <f>IF(tblWorkPackages[[#This Row],[Request date serial]]&lt;ValidationStart,"Train 2024",IF(tblWorkPackages[[#This Row],[Request date serial]]&lt;HoldoutStart,"Validation H1","Holdout H2"))</f>
        <v>Train 2024</v>
      </c>
      <c r="T1000" s="51" t="str">
        <f>IF(tblWorkPackages[[#This Row],[Time split]]="Train 2024","",tblWorkPackages[[#This Row],[Estimated labor hours]]+VLOOKUP(tblWorkPackages[[#This Row],[Task type]],'Forecast validation'!$A$14:$E$25,IF(tblWorkPackages[[#This Row],[Time split]]="Validation H1",4,5),FALSE()))</f>
        <v/>
      </c>
      <c r="U1000" s="51" t="str">
        <f>IF(tblWorkPackages[[#This Row],[Calibrated forecast hours]]="","",ABS(tblWorkPackages[[#This Row],[Actual labor hours]]-tblWorkPackages[[#This Row],[Calibrated forecast hours]]))</f>
        <v/>
      </c>
      <c r="V1000" s="51">
        <f>IF(tblWorkPackages[[#This Row],[Time split]]="Train 2024",tblWorkPackages[[#This Row],[Estimated labor hours]],tblWorkPackages[[#This Row],[Calibrated forecast hours]])</f>
        <v>7</v>
      </c>
      <c r="W1000" s="64">
        <f>DATEVALUE(tblWorkPackages[[#This Row],[Request date]])</f>
        <v>45507.0</v>
      </c>
      <c r="X1000" s="64">
        <f>DATEVALUE(tblWorkPackages[[#This Row],[Due date]])</f>
        <v>45520.0</v>
      </c>
      <c r="Y1000" s="64">
        <f>DATEVALUE(tblWorkPackages[[#This Row],[Completion date]])</f>
        <v>45513.0</v>
      </c>
      <c r="Z1000" s="64">
        <f>_xlfn.MINIFS(tblLaborEntries[Work date serial],tblLaborEntries[Work package ID],tblWorkPackages[[#This Row],[Work package ID]])</f>
        <v>45511.0</v>
      </c>
      <c r="AA1000" s="64">
        <f>_xlfn.MAXIFS(tblLaborEntries[Work date serial],tblLaborEntries[Work package ID],tblWorkPackages[[#This Row],[Work package ID]])</f>
        <v>45511.0</v>
      </c>
      <c r="AB1000" s="65">
        <f>IF(tblWorkPackages[[#This Row],[Completion date serial]]&gt;tblWorkPackages[[#This Row],[Due date serial]],1,0)</f>
        <v>0</v>
      </c>
      <c r="AC1000" s="65">
        <f>MAX(0,tblWorkPackages[[#This Row],[Completion date serial]]-tblWorkPackages[[#This Row],[Due date serial]])</f>
        <v>0</v>
      </c>
      <c r="AD1000" s="65">
        <f>tblWorkPackages[[#This Row],[First labor date]]-tblWorkPackages[[#This Row],[Request date serial]]</f>
        <v>4</v>
      </c>
      <c r="AE1000" s="65">
        <f>tblWorkPackages[[#This Row],[Last labor date]]-tblWorkPackages[[#This Row],[First labor date]]</f>
        <v>0</v>
      </c>
      <c r="AF1000" s="65">
        <f>tblWorkPackages[[#This Row],[Completion date serial]]-tblWorkPackages[[#This Row],[Last labor date]]</f>
        <v>2</v>
      </c>
      <c r="AG1000" s="65">
        <f>tblWorkPackages[[#This Row],[Completion date serial]]-tblWorkPackages[[#This Row],[Request date serial]]</f>
        <v>6</v>
      </c>
      <c r="AH1000" s="65">
        <f>IFERROR(INDEX(tblParts[Delay days],MATCH(tblWorkPackages[[#This Row],[Work package ID]],tblParts[Work package ID],0)),0)</f>
        <v>0</v>
      </c>
      <c r="AI1000" s="51" t="str">
        <f>IFERROR(INDEX(tblDisruptions[Event type],MATCH(tblWorkPackages[[#This Row],[Work package ID]],tblDisruptions[Work package ID],0)),"None")</f>
        <v>None</v>
      </c>
      <c r="AJ1000" s="51" t="str">
        <f>TEXT(tblWorkPackages[[#This Row],[Due date serial]],"yyyy-mm")</f>
        <v>2024-08</v>
      </c>
    </row>
    <row r="1001" spans="1:36" ht="15" x14ac:dyDescent="0.25">
      <c r="A1001" s="53" t="s">
        <v>1894</v>
      </c>
      <c r="B1001" s="53" t="s">
        <v>203</v>
      </c>
      <c r="C1001" s="53" t="s">
        <v>1895</v>
      </c>
      <c r="D1001" s="53" t="s">
        <v>1283</v>
      </c>
      <c r="E1001" s="53" t="s">
        <v>153</v>
      </c>
      <c r="F1001" s="53" t="s">
        <v>128</v>
      </c>
      <c r="G1001" s="53" t="s">
        <v>154</v>
      </c>
      <c r="H1001" s="53">
        <v>2</v>
      </c>
      <c r="I1001" s="53" t="s">
        <v>130</v>
      </c>
      <c r="J1001" s="53">
        <v>0</v>
      </c>
      <c r="K1001" s="53">
        <v>0</v>
      </c>
      <c r="L1001" s="53">
        <v>9.9</v>
      </c>
      <c r="M1001" s="53" t="s">
        <v>271</v>
      </c>
      <c r="N1001" s="53">
        <v>10.1</v>
      </c>
      <c r="O1001" s="51" t="str">
        <f>TEXT(tblWorkPackages[[#This Row],[Request date serial]]-WEEKDAY(tblWorkPackages[[#This Row],[Request date serial]],3),"yyyy-mm-dd")</f>
        <v>2025-04-07</v>
      </c>
      <c r="P1001" s="51">
        <f>ABS(tblWorkPackages[[#This Row],[Actual labor hours]]-tblWorkPackages[[#This Row],[Estimated labor hours]])</f>
        <v>0.199999999999999</v>
      </c>
      <c r="Q1001" s="51">
        <f>IF(tblWorkPackages[[#This Row],[Actual labor hours]]&gt;tblWorkPackages[[#This Row],[Estimated labor hours]],1,0)</f>
        <v>1</v>
      </c>
      <c r="R1001" s="51">
        <f>tblWorkPackages[[#This Row],[Actual labor hours]]-tblWorkPackages[[#This Row],[Estimated labor hours]]</f>
        <v>0.199999999999999</v>
      </c>
      <c r="S1001" s="51" t="str">
        <f>IF(tblWorkPackages[[#This Row],[Request date serial]]&lt;ValidationStart,"Train 2024",IF(tblWorkPackages[[#This Row],[Request date serial]]&lt;HoldoutStart,"Validation H1","Holdout H2"))</f>
        <v>Validation H1</v>
      </c>
      <c r="T1001" s="51">
        <f>IF(tblWorkPackages[[#This Row],[Time split]]="Train 2024","",tblWorkPackages[[#This Row],[Estimated labor hours]]+VLOOKUP(tblWorkPackages[[#This Row],[Task type]],'Forecast validation'!$A$14:$E$25,IF(tblWorkPackages[[#This Row],[Time split]]="Validation H1",4,5),FALSE()))</f>
        <v>10.4462264150943</v>
      </c>
      <c r="U1001" s="51">
        <f>IF(tblWorkPackages[[#This Row],[Calibrated forecast hours]]="","",ABS(tblWorkPackages[[#This Row],[Actual labor hours]]-tblWorkPackages[[#This Row],[Calibrated forecast hours]]))</f>
        <v>0.346226415094341</v>
      </c>
      <c r="V1001" s="51">
        <f>IF(tblWorkPackages[[#This Row],[Time split]]="Train 2024",tblWorkPackages[[#This Row],[Estimated labor hours]],tblWorkPackages[[#This Row],[Calibrated forecast hours]])</f>
        <v>10.4462264150943</v>
      </c>
      <c r="W1001" s="64">
        <f>DATEVALUE(tblWorkPackages[[#This Row],[Request date]])</f>
        <v>45755.0</v>
      </c>
      <c r="X1001" s="64">
        <f>DATEVALUE(tblWorkPackages[[#This Row],[Due date]])</f>
        <v>45768.0</v>
      </c>
      <c r="Y1001" s="64">
        <f>DATEVALUE(tblWorkPackages[[#This Row],[Completion date]])</f>
        <v>45761.0</v>
      </c>
      <c r="Z1001" s="64">
        <f>_xlfn.MINIFS(tblLaborEntries[Work date serial],tblLaborEntries[Work package ID],tblWorkPackages[[#This Row],[Work package ID]])</f>
        <v>45756.0</v>
      </c>
      <c r="AA1001" s="64">
        <f>_xlfn.MAXIFS(tblLaborEntries[Work date serial],tblLaborEntries[Work package ID],tblWorkPackages[[#This Row],[Work package ID]])</f>
        <v>45758.0</v>
      </c>
      <c r="AB1001" s="65">
        <f>IF(tblWorkPackages[[#This Row],[Completion date serial]]&gt;tblWorkPackages[[#This Row],[Due date serial]],1,0)</f>
        <v>0</v>
      </c>
      <c r="AC1001" s="65">
        <f>MAX(0,tblWorkPackages[[#This Row],[Completion date serial]]-tblWorkPackages[[#This Row],[Due date serial]])</f>
        <v>0</v>
      </c>
      <c r="AD1001" s="65">
        <f>tblWorkPackages[[#This Row],[First labor date]]-tblWorkPackages[[#This Row],[Request date serial]]</f>
        <v>1</v>
      </c>
      <c r="AE1001" s="65">
        <f>tblWorkPackages[[#This Row],[Last labor date]]-tblWorkPackages[[#This Row],[First labor date]]</f>
        <v>2</v>
      </c>
      <c r="AF1001" s="65">
        <f>tblWorkPackages[[#This Row],[Completion date serial]]-tblWorkPackages[[#This Row],[Last labor date]]</f>
        <v>3</v>
      </c>
      <c r="AG1001" s="65">
        <f>tblWorkPackages[[#This Row],[Completion date serial]]-tblWorkPackages[[#This Row],[Request date serial]]</f>
        <v>6</v>
      </c>
      <c r="AH1001" s="65">
        <f>IFERROR(INDEX(tblParts[Delay days],MATCH(tblWorkPackages[[#This Row],[Work package ID]],tblParts[Work package ID],0)),0)</f>
        <v>0</v>
      </c>
      <c r="AI1001" s="51" t="str">
        <f>IFERROR(INDEX(tblDisruptions[Event type],MATCH(tblWorkPackages[[#This Row],[Work package ID]],tblDisruptions[Work package ID],0)),"None")</f>
        <v>None</v>
      </c>
      <c r="AJ1001" s="51" t="str">
        <f>TEXT(tblWorkPackages[[#This Row],[Due date serial]],"yyyy-mm")</f>
        <v>2025-04</v>
      </c>
    </row>
    <row r="1002" spans="1:36" ht="15" x14ac:dyDescent="0.25">
      <c r="A1002" s="53" t="s">
        <v>1896</v>
      </c>
      <c r="B1002" s="53" t="s">
        <v>230</v>
      </c>
      <c r="C1002" s="53" t="s">
        <v>849</v>
      </c>
      <c r="D1002" s="53" t="s">
        <v>1897</v>
      </c>
      <c r="E1002" s="53" t="s">
        <v>160</v>
      </c>
      <c r="F1002" s="53" t="s">
        <v>128</v>
      </c>
      <c r="G1002" s="53" t="s">
        <v>138</v>
      </c>
      <c r="H1002" s="53">
        <v>4</v>
      </c>
      <c r="I1002" s="53" t="s">
        <v>130</v>
      </c>
      <c r="J1002" s="53">
        <v>0</v>
      </c>
      <c r="K1002" s="53">
        <v>0</v>
      </c>
      <c r="L1002" s="53">
        <v>8.3000000000000007</v>
      </c>
      <c r="M1002" s="53" t="s">
        <v>1898</v>
      </c>
      <c r="N1002" s="53">
        <v>9.3000000000000007</v>
      </c>
      <c r="O1002" s="51" t="str">
        <f>TEXT(tblWorkPackages[[#This Row],[Request date serial]]-WEEKDAY(tblWorkPackages[[#This Row],[Request date serial]],3),"yyyy-mm-dd")</f>
        <v>2025-12-22</v>
      </c>
      <c r="P1002" s="51">
        <f>ABS(tblWorkPackages[[#This Row],[Actual labor hours]]-tblWorkPackages[[#This Row],[Estimated labor hours]])</f>
        <v>1</v>
      </c>
      <c r="Q1002" s="51">
        <f>IF(tblWorkPackages[[#This Row],[Actual labor hours]]&gt;tblWorkPackages[[#This Row],[Estimated labor hours]],1,0)</f>
        <v>1</v>
      </c>
      <c r="R1002" s="51">
        <f>tblWorkPackages[[#This Row],[Actual labor hours]]-tblWorkPackages[[#This Row],[Estimated labor hours]]</f>
        <v>1</v>
      </c>
      <c r="S1002" s="51" t="str">
        <f>IF(tblWorkPackages[[#This Row],[Request date serial]]&lt;ValidationStart,"Train 2024",IF(tblWorkPackages[[#This Row],[Request date serial]]&lt;HoldoutStart,"Validation H1","Holdout H2"))</f>
        <v>Holdout H2</v>
      </c>
      <c r="T1002" s="51">
        <f>IF(tblWorkPackages[[#This Row],[Time split]]="Train 2024","",tblWorkPackages[[#This Row],[Estimated labor hours]]+VLOOKUP(tblWorkPackages[[#This Row],[Task type]],'Forecast validation'!$A$14:$E$25,IF(tblWorkPackages[[#This Row],[Time split]]="Validation H1",4,5),FALSE()))</f>
        <v>8.73739837398374</v>
      </c>
      <c r="U1002" s="51">
        <f>IF(tblWorkPackages[[#This Row],[Calibrated forecast hours]]="","",ABS(tblWorkPackages[[#This Row],[Actual labor hours]]-tblWorkPackages[[#This Row],[Calibrated forecast hours]]))</f>
        <v>0.56260162601626</v>
      </c>
      <c r="V1002" s="51">
        <f>IF(tblWorkPackages[[#This Row],[Time split]]="Train 2024",tblWorkPackages[[#This Row],[Estimated labor hours]],tblWorkPackages[[#This Row],[Calibrated forecast hours]])</f>
        <v>8.73739837398374</v>
      </c>
      <c r="W1002" s="64">
        <f>DATEVALUE(tblWorkPackages[[#This Row],[Request date]])</f>
        <v>46019.0</v>
      </c>
      <c r="X1002" s="64">
        <f>DATEVALUE(tblWorkPackages[[#This Row],[Due date]])</f>
        <v>46032.0</v>
      </c>
      <c r="Y1002" s="64">
        <f>DATEVALUE(tblWorkPackages[[#This Row],[Completion date]])</f>
        <v>46030.0</v>
      </c>
      <c r="Z1002" s="64">
        <f>_xlfn.MINIFS(tblLaborEntries[Work date serial],tblLaborEntries[Work package ID],tblWorkPackages[[#This Row],[Work package ID]])</f>
        <v>46029.0</v>
      </c>
      <c r="AA1002" s="64">
        <f>_xlfn.MAXIFS(tblLaborEntries[Work date serial],tblLaborEntries[Work package ID],tblWorkPackages[[#This Row],[Work package ID]])</f>
        <v>46030.0</v>
      </c>
      <c r="AB1002" s="65">
        <f>IF(tblWorkPackages[[#This Row],[Completion date serial]]&gt;tblWorkPackages[[#This Row],[Due date serial]],1,0)</f>
        <v>0</v>
      </c>
      <c r="AC1002" s="65">
        <f>MAX(0,tblWorkPackages[[#This Row],[Completion date serial]]-tblWorkPackages[[#This Row],[Due date serial]])</f>
        <v>0</v>
      </c>
      <c r="AD1002" s="65">
        <f>tblWorkPackages[[#This Row],[First labor date]]-tblWorkPackages[[#This Row],[Request date serial]]</f>
        <v>10</v>
      </c>
      <c r="AE1002" s="65">
        <f>tblWorkPackages[[#This Row],[Last labor date]]-tblWorkPackages[[#This Row],[First labor date]]</f>
        <v>1</v>
      </c>
      <c r="AF1002" s="65">
        <f>tblWorkPackages[[#This Row],[Completion date serial]]-tblWorkPackages[[#This Row],[Last labor date]]</f>
        <v>0</v>
      </c>
      <c r="AG1002" s="65">
        <f>tblWorkPackages[[#This Row],[Completion date serial]]-tblWorkPackages[[#This Row],[Request date serial]]</f>
        <v>11</v>
      </c>
      <c r="AH1002" s="65">
        <f>IFERROR(INDEX(tblParts[Delay days],MATCH(tblWorkPackages[[#This Row],[Work package ID]],tblParts[Work package ID],0)),0)</f>
        <v>0</v>
      </c>
      <c r="AI1002" s="51" t="str">
        <f>IFERROR(INDEX(tblDisruptions[Event type],MATCH(tblWorkPackages[[#This Row],[Work package ID]],tblDisruptions[Work package ID],0)),"None")</f>
        <v>None</v>
      </c>
      <c r="AJ1002" s="51" t="str">
        <f>TEXT(tblWorkPackages[[#This Row],[Due date serial]],"yyyy-mm")</f>
        <v>2026-01</v>
      </c>
    </row>
    <row r="1003" spans="1:36" ht="15" x14ac:dyDescent="0.25">
      <c r="A1003" s="53" t="s">
        <v>1899</v>
      </c>
      <c r="B1003" s="53" t="s">
        <v>141</v>
      </c>
      <c r="C1003" s="53" t="s">
        <v>264</v>
      </c>
      <c r="D1003" s="53" t="s">
        <v>787</v>
      </c>
      <c r="E1003" s="53" t="s">
        <v>237</v>
      </c>
      <c r="F1003" s="53" t="s">
        <v>182</v>
      </c>
      <c r="G1003" s="53" t="s">
        <v>138</v>
      </c>
      <c r="H1003" s="53">
        <v>3</v>
      </c>
      <c r="I1003" s="53" t="s">
        <v>130</v>
      </c>
      <c r="J1003" s="53">
        <v>0</v>
      </c>
      <c r="K1003" s="53">
        <v>0</v>
      </c>
      <c r="L1003" s="53">
        <v>6.6</v>
      </c>
      <c r="M1003" s="53" t="s">
        <v>386</v>
      </c>
      <c r="N1003" s="53">
        <v>7.6</v>
      </c>
      <c r="O1003" s="51" t="str">
        <f>TEXT(tblWorkPackages[[#This Row],[Request date serial]]-WEEKDAY(tblWorkPackages[[#This Row],[Request date serial]],3),"yyyy-mm-dd")</f>
        <v>2024-08-19</v>
      </c>
      <c r="P1003" s="51">
        <f>ABS(tblWorkPackages[[#This Row],[Actual labor hours]]-tblWorkPackages[[#This Row],[Estimated labor hours]])</f>
        <v>1</v>
      </c>
      <c r="Q1003" s="51">
        <f>IF(tblWorkPackages[[#This Row],[Actual labor hours]]&gt;tblWorkPackages[[#This Row],[Estimated labor hours]],1,0)</f>
        <v>1</v>
      </c>
      <c r="R1003" s="51">
        <f>tblWorkPackages[[#This Row],[Actual labor hours]]-tblWorkPackages[[#This Row],[Estimated labor hours]]</f>
        <v>1</v>
      </c>
      <c r="S1003" s="51" t="str">
        <f>IF(tblWorkPackages[[#This Row],[Request date serial]]&lt;ValidationStart,"Train 2024",IF(tblWorkPackages[[#This Row],[Request date serial]]&lt;HoldoutStart,"Validation H1","Holdout H2"))</f>
        <v>Train 2024</v>
      </c>
      <c r="T1003" s="51" t="str">
        <f>IF(tblWorkPackages[[#This Row],[Time split]]="Train 2024","",tblWorkPackages[[#This Row],[Estimated labor hours]]+VLOOKUP(tblWorkPackages[[#This Row],[Task type]],'Forecast validation'!$A$14:$E$25,IF(tblWorkPackages[[#This Row],[Time split]]="Validation H1",4,5),FALSE()))</f>
        <v/>
      </c>
      <c r="U1003" s="51" t="str">
        <f>IF(tblWorkPackages[[#This Row],[Calibrated forecast hours]]="","",ABS(tblWorkPackages[[#This Row],[Actual labor hours]]-tblWorkPackages[[#This Row],[Calibrated forecast hours]]))</f>
        <v/>
      </c>
      <c r="V1003" s="51">
        <f>IF(tblWorkPackages[[#This Row],[Time split]]="Train 2024",tblWorkPackages[[#This Row],[Estimated labor hours]],tblWorkPackages[[#This Row],[Calibrated forecast hours]])</f>
        <v>6.6</v>
      </c>
      <c r="W1003" s="64">
        <f>DATEVALUE(tblWorkPackages[[#This Row],[Request date]])</f>
        <v>45528.0</v>
      </c>
      <c r="X1003" s="64">
        <f>DATEVALUE(tblWorkPackages[[#This Row],[Due date]])</f>
        <v>45541.0</v>
      </c>
      <c r="Y1003" s="64">
        <f>DATEVALUE(tblWorkPackages[[#This Row],[Completion date]])</f>
        <v>45533.0</v>
      </c>
      <c r="Z1003" s="64">
        <f>_xlfn.MINIFS(tblLaborEntries[Work date serial],tblLaborEntries[Work package ID],tblWorkPackages[[#This Row],[Work package ID]])</f>
        <v>45531.0</v>
      </c>
      <c r="AA1003" s="64">
        <f>_xlfn.MAXIFS(tblLaborEntries[Work date serial],tblLaborEntries[Work package ID],tblWorkPackages[[#This Row],[Work package ID]])</f>
        <v>45532.0</v>
      </c>
      <c r="AB1003" s="65">
        <f>IF(tblWorkPackages[[#This Row],[Completion date serial]]&gt;tblWorkPackages[[#This Row],[Due date serial]],1,0)</f>
        <v>0</v>
      </c>
      <c r="AC1003" s="65">
        <f>MAX(0,tblWorkPackages[[#This Row],[Completion date serial]]-tblWorkPackages[[#This Row],[Due date serial]])</f>
        <v>0</v>
      </c>
      <c r="AD1003" s="65">
        <f>tblWorkPackages[[#This Row],[First labor date]]-tblWorkPackages[[#This Row],[Request date serial]]</f>
        <v>3</v>
      </c>
      <c r="AE1003" s="65">
        <f>tblWorkPackages[[#This Row],[Last labor date]]-tblWorkPackages[[#This Row],[First labor date]]</f>
        <v>1</v>
      </c>
      <c r="AF1003" s="65">
        <f>tblWorkPackages[[#This Row],[Completion date serial]]-tblWorkPackages[[#This Row],[Last labor date]]</f>
        <v>1</v>
      </c>
      <c r="AG1003" s="65">
        <f>tblWorkPackages[[#This Row],[Completion date serial]]-tblWorkPackages[[#This Row],[Request date serial]]</f>
        <v>5</v>
      </c>
      <c r="AH1003" s="65">
        <f>IFERROR(INDEX(tblParts[Delay days],MATCH(tblWorkPackages[[#This Row],[Work package ID]],tblParts[Work package ID],0)),0)</f>
        <v>0</v>
      </c>
      <c r="AI1003" s="51" t="str">
        <f>IFERROR(INDEX(tblDisruptions[Event type],MATCH(tblWorkPackages[[#This Row],[Work package ID]],tblDisruptions[Work package ID],0)),"None")</f>
        <v>None</v>
      </c>
      <c r="AJ1003" s="51" t="str">
        <f>TEXT(tblWorkPackages[[#This Row],[Due date serial]],"yyyy-mm")</f>
        <v>2024-09</v>
      </c>
    </row>
    <row r="1004" spans="1:36" ht="15" x14ac:dyDescent="0.25">
      <c r="A1004" s="53" t="s">
        <v>1900</v>
      </c>
      <c r="B1004" s="53" t="s">
        <v>235</v>
      </c>
      <c r="C1004" s="53" t="s">
        <v>1028</v>
      </c>
      <c r="D1004" s="53" t="s">
        <v>1427</v>
      </c>
      <c r="E1004" s="53" t="s">
        <v>127</v>
      </c>
      <c r="F1004" s="53" t="s">
        <v>128</v>
      </c>
      <c r="G1004" s="53" t="s">
        <v>129</v>
      </c>
      <c r="H1004" s="53">
        <v>2</v>
      </c>
      <c r="I1004" s="53" t="s">
        <v>176</v>
      </c>
      <c r="J1004" s="53">
        <v>0</v>
      </c>
      <c r="K1004" s="53">
        <v>1</v>
      </c>
      <c r="L1004" s="53">
        <v>6.3</v>
      </c>
      <c r="M1004" s="53" t="s">
        <v>356</v>
      </c>
      <c r="N1004" s="53">
        <v>7.2</v>
      </c>
      <c r="O1004" s="51" t="str">
        <f>TEXT(tblWorkPackages[[#This Row],[Request date serial]]-WEEKDAY(tblWorkPackages[[#This Row],[Request date serial]],3),"yyyy-mm-dd")</f>
        <v>2025-11-17</v>
      </c>
      <c r="P1004" s="51">
        <f>ABS(tblWorkPackages[[#This Row],[Actual labor hours]]-tblWorkPackages[[#This Row],[Estimated labor hours]])</f>
        <v>0.9</v>
      </c>
      <c r="Q1004" s="51">
        <f>IF(tblWorkPackages[[#This Row],[Actual labor hours]]&gt;tblWorkPackages[[#This Row],[Estimated labor hours]],1,0)</f>
        <v>1</v>
      </c>
      <c r="R1004" s="51">
        <f>tblWorkPackages[[#This Row],[Actual labor hours]]-tblWorkPackages[[#This Row],[Estimated labor hours]]</f>
        <v>0.9</v>
      </c>
      <c r="S1004" s="51" t="str">
        <f>IF(tblWorkPackages[[#This Row],[Request date serial]]&lt;ValidationStart,"Train 2024",IF(tblWorkPackages[[#This Row],[Request date serial]]&lt;HoldoutStart,"Validation H1","Holdout H2"))</f>
        <v>Holdout H2</v>
      </c>
      <c r="T1004" s="51">
        <f>IF(tblWorkPackages[[#This Row],[Time split]]="Train 2024","",tblWorkPackages[[#This Row],[Estimated labor hours]]+VLOOKUP(tblWorkPackages[[#This Row],[Task type]],'Forecast validation'!$A$14:$E$25,IF(tblWorkPackages[[#This Row],[Time split]]="Validation H1",4,5),FALSE()))</f>
        <v>6.84341085271318</v>
      </c>
      <c r="U1004" s="51">
        <f>IF(tblWorkPackages[[#This Row],[Calibrated forecast hours]]="","",ABS(tblWorkPackages[[#This Row],[Actual labor hours]]-tblWorkPackages[[#This Row],[Calibrated forecast hours]]))</f>
        <v>0.356589147286822</v>
      </c>
      <c r="V1004" s="51">
        <f>IF(tblWorkPackages[[#This Row],[Time split]]="Train 2024",tblWorkPackages[[#This Row],[Estimated labor hours]],tblWorkPackages[[#This Row],[Calibrated forecast hours]])</f>
        <v>6.84341085271318</v>
      </c>
      <c r="W1004" s="64">
        <f>DATEVALUE(tblWorkPackages[[#This Row],[Request date]])</f>
        <v>45981.0</v>
      </c>
      <c r="X1004" s="64">
        <f>DATEVALUE(tblWorkPackages[[#This Row],[Due date]])</f>
        <v>45987.0</v>
      </c>
      <c r="Y1004" s="64">
        <f>DATEVALUE(tblWorkPackages[[#This Row],[Completion date]])</f>
        <v>46012.0</v>
      </c>
      <c r="Z1004" s="64">
        <f>_xlfn.MINIFS(tblLaborEntries[Work date serial],tblLaborEntries[Work package ID],tblWorkPackages[[#This Row],[Work package ID]])</f>
        <v>46009.0</v>
      </c>
      <c r="AA1004" s="64">
        <f>_xlfn.MAXIFS(tblLaborEntries[Work date serial],tblLaborEntries[Work package ID],tblWorkPackages[[#This Row],[Work package ID]])</f>
        <v>46010.0</v>
      </c>
      <c r="AB1004" s="65">
        <f>IF(tblWorkPackages[[#This Row],[Completion date serial]]&gt;tblWorkPackages[[#This Row],[Due date serial]],1,0)</f>
        <v>1</v>
      </c>
      <c r="AC1004" s="65">
        <f>MAX(0,tblWorkPackages[[#This Row],[Completion date serial]]-tblWorkPackages[[#This Row],[Due date serial]])</f>
        <v>25</v>
      </c>
      <c r="AD1004" s="65">
        <f>tblWorkPackages[[#This Row],[First labor date]]-tblWorkPackages[[#This Row],[Request date serial]]</f>
        <v>28</v>
      </c>
      <c r="AE1004" s="65">
        <f>tblWorkPackages[[#This Row],[Last labor date]]-tblWorkPackages[[#This Row],[First labor date]]</f>
        <v>1</v>
      </c>
      <c r="AF1004" s="65">
        <f>tblWorkPackages[[#This Row],[Completion date serial]]-tblWorkPackages[[#This Row],[Last labor date]]</f>
        <v>2</v>
      </c>
      <c r="AG1004" s="65">
        <f>tblWorkPackages[[#This Row],[Completion date serial]]-tblWorkPackages[[#This Row],[Request date serial]]</f>
        <v>31</v>
      </c>
      <c r="AH1004" s="65">
        <f>IFERROR(INDEX(tblParts[Delay days],MATCH(tblWorkPackages[[#This Row],[Work package ID]],tblParts[Work package ID],0)),0)</f>
        <v>0</v>
      </c>
      <c r="AI1004" s="51" t="str">
        <f>IFERROR(INDEX(tblDisruptions[Event type],MATCH(tblWorkPackages[[#This Row],[Work package ID]],tblDisruptions[Work package ID],0)),"None")</f>
        <v>None</v>
      </c>
      <c r="AJ1004" s="51" t="str">
        <f>TEXT(tblWorkPackages[[#This Row],[Due date serial]],"yyyy-mm")</f>
        <v>2025-11</v>
      </c>
    </row>
    <row r="1005" spans="1:36" ht="15" x14ac:dyDescent="0.25">
      <c r="A1005" s="53" t="s">
        <v>1901</v>
      </c>
      <c r="B1005" s="53" t="s">
        <v>163</v>
      </c>
      <c r="C1005" s="53" t="s">
        <v>329</v>
      </c>
      <c r="D1005" s="53" t="s">
        <v>613</v>
      </c>
      <c r="E1005" s="53" t="s">
        <v>242</v>
      </c>
      <c r="F1005" s="53" t="s">
        <v>243</v>
      </c>
      <c r="G1005" s="53" t="s">
        <v>129</v>
      </c>
      <c r="H1005" s="53">
        <v>2</v>
      </c>
      <c r="I1005" s="53" t="s">
        <v>130</v>
      </c>
      <c r="J1005" s="53">
        <v>0</v>
      </c>
      <c r="K1005" s="53">
        <v>1</v>
      </c>
      <c r="L1005" s="53">
        <v>9</v>
      </c>
      <c r="M1005" s="53" t="s">
        <v>630</v>
      </c>
      <c r="N1005" s="53">
        <v>10.1</v>
      </c>
      <c r="O1005" s="51" t="str">
        <f>TEXT(tblWorkPackages[[#This Row],[Request date serial]]-WEEKDAY(tblWorkPackages[[#This Row],[Request date serial]],3),"yyyy-mm-dd")</f>
        <v>2024-03-11</v>
      </c>
      <c r="P1005" s="51">
        <f>ABS(tblWorkPackages[[#This Row],[Actual labor hours]]-tblWorkPackages[[#This Row],[Estimated labor hours]])</f>
        <v>1.1</v>
      </c>
      <c r="Q1005" s="51">
        <f>IF(tblWorkPackages[[#This Row],[Actual labor hours]]&gt;tblWorkPackages[[#This Row],[Estimated labor hours]],1,0)</f>
        <v>1</v>
      </c>
      <c r="R1005" s="51">
        <f>tblWorkPackages[[#This Row],[Actual labor hours]]-tblWorkPackages[[#This Row],[Estimated labor hours]]</f>
        <v>1.1</v>
      </c>
      <c r="S1005" s="51" t="str">
        <f>IF(tblWorkPackages[[#This Row],[Request date serial]]&lt;ValidationStart,"Train 2024",IF(tblWorkPackages[[#This Row],[Request date serial]]&lt;HoldoutStart,"Validation H1","Holdout H2"))</f>
        <v>Train 2024</v>
      </c>
      <c r="T1005" s="51" t="str">
        <f>IF(tblWorkPackages[[#This Row],[Time split]]="Train 2024","",tblWorkPackages[[#This Row],[Estimated labor hours]]+VLOOKUP(tblWorkPackages[[#This Row],[Task type]],'Forecast validation'!$A$14:$E$25,IF(tblWorkPackages[[#This Row],[Time split]]="Validation H1",4,5),FALSE()))</f>
        <v/>
      </c>
      <c r="U1005" s="51" t="str">
        <f>IF(tblWorkPackages[[#This Row],[Calibrated forecast hours]]="","",ABS(tblWorkPackages[[#This Row],[Actual labor hours]]-tblWorkPackages[[#This Row],[Calibrated forecast hours]]))</f>
        <v/>
      </c>
      <c r="V1005" s="51">
        <f>IF(tblWorkPackages[[#This Row],[Time split]]="Train 2024",tblWorkPackages[[#This Row],[Estimated labor hours]],tblWorkPackages[[#This Row],[Calibrated forecast hours]])</f>
        <v>9</v>
      </c>
      <c r="W1005" s="64">
        <f>DATEVALUE(tblWorkPackages[[#This Row],[Request date]])</f>
        <v>45367.0</v>
      </c>
      <c r="X1005" s="64">
        <f>DATEVALUE(tblWorkPackages[[#This Row],[Due date]])</f>
        <v>45380.0</v>
      </c>
      <c r="Y1005" s="64">
        <f>DATEVALUE(tblWorkPackages[[#This Row],[Completion date]])</f>
        <v>45376.0</v>
      </c>
      <c r="Z1005" s="64">
        <f>_xlfn.MINIFS(tblLaborEntries[Work date serial],tblLaborEntries[Work package ID],tblWorkPackages[[#This Row],[Work package ID]])</f>
        <v>45372.0</v>
      </c>
      <c r="AA1005" s="64">
        <f>_xlfn.MAXIFS(tblLaborEntries[Work date serial],tblLaborEntries[Work package ID],tblWorkPackages[[#This Row],[Work package ID]])</f>
        <v>45373.0</v>
      </c>
      <c r="AB1005" s="65">
        <f>IF(tblWorkPackages[[#This Row],[Completion date serial]]&gt;tblWorkPackages[[#This Row],[Due date serial]],1,0)</f>
        <v>0</v>
      </c>
      <c r="AC1005" s="65">
        <f>MAX(0,tblWorkPackages[[#This Row],[Completion date serial]]-tblWorkPackages[[#This Row],[Due date serial]])</f>
        <v>0</v>
      </c>
      <c r="AD1005" s="65">
        <f>tblWorkPackages[[#This Row],[First labor date]]-tblWorkPackages[[#This Row],[Request date serial]]</f>
        <v>5</v>
      </c>
      <c r="AE1005" s="65">
        <f>tblWorkPackages[[#This Row],[Last labor date]]-tblWorkPackages[[#This Row],[First labor date]]</f>
        <v>1</v>
      </c>
      <c r="AF1005" s="65">
        <f>tblWorkPackages[[#This Row],[Completion date serial]]-tblWorkPackages[[#This Row],[Last labor date]]</f>
        <v>3</v>
      </c>
      <c r="AG1005" s="65">
        <f>tblWorkPackages[[#This Row],[Completion date serial]]-tblWorkPackages[[#This Row],[Request date serial]]</f>
        <v>9</v>
      </c>
      <c r="AH1005" s="65">
        <f>IFERROR(INDEX(tblParts[Delay days],MATCH(tblWorkPackages[[#This Row],[Work package ID]],tblParts[Work package ID],0)),0)</f>
        <v>0</v>
      </c>
      <c r="AI1005" s="51" t="str">
        <f>IFERROR(INDEX(tblDisruptions[Event type],MATCH(tblWorkPackages[[#This Row],[Work package ID]],tblDisruptions[Work package ID],0)),"None")</f>
        <v>None</v>
      </c>
      <c r="AJ1005" s="51" t="str">
        <f>TEXT(tblWorkPackages[[#This Row],[Due date serial]],"yyyy-mm")</f>
        <v>2024-03</v>
      </c>
    </row>
    <row r="1006" spans="1:36" ht="15" x14ac:dyDescent="0.25">
      <c r="A1006" s="53" t="s">
        <v>1902</v>
      </c>
      <c r="B1006" s="53" t="s">
        <v>173</v>
      </c>
      <c r="C1006" s="53" t="s">
        <v>529</v>
      </c>
      <c r="D1006" s="53" t="s">
        <v>810</v>
      </c>
      <c r="E1006" s="53" t="s">
        <v>181</v>
      </c>
      <c r="F1006" s="53" t="s">
        <v>182</v>
      </c>
      <c r="G1006" s="53" t="s">
        <v>138</v>
      </c>
      <c r="H1006" s="53">
        <v>4</v>
      </c>
      <c r="I1006" s="53" t="s">
        <v>176</v>
      </c>
      <c r="J1006" s="53">
        <v>0</v>
      </c>
      <c r="K1006" s="53">
        <v>0</v>
      </c>
      <c r="L1006" s="53">
        <v>12</v>
      </c>
      <c r="M1006" s="53" t="s">
        <v>903</v>
      </c>
      <c r="N1006" s="53">
        <v>10</v>
      </c>
      <c r="O1006" s="51" t="str">
        <f>TEXT(tblWorkPackages[[#This Row],[Request date serial]]-WEEKDAY(tblWorkPackages[[#This Row],[Request date serial]],3),"yyyy-mm-dd")</f>
        <v>2025-09-08</v>
      </c>
      <c r="P1006" s="51">
        <f>ABS(tblWorkPackages[[#This Row],[Actual labor hours]]-tblWorkPackages[[#This Row],[Estimated labor hours]])</f>
        <v>2</v>
      </c>
      <c r="Q1006" s="51">
        <f>IF(tblWorkPackages[[#This Row],[Actual labor hours]]&gt;tblWorkPackages[[#This Row],[Estimated labor hours]],1,0)</f>
        <v>0</v>
      </c>
      <c r="R1006" s="51">
        <f>tblWorkPackages[[#This Row],[Actual labor hours]]-tblWorkPackages[[#This Row],[Estimated labor hours]]</f>
        <v>-2</v>
      </c>
      <c r="S1006" s="51" t="str">
        <f>IF(tblWorkPackages[[#This Row],[Request date serial]]&lt;ValidationStart,"Train 2024",IF(tblWorkPackages[[#This Row],[Request date serial]]&lt;HoldoutStart,"Validation H1","Holdout H2"))</f>
        <v>Holdout H2</v>
      </c>
      <c r="T1006" s="51">
        <f>IF(tblWorkPackages[[#This Row],[Time split]]="Train 2024","",tblWorkPackages[[#This Row],[Estimated labor hours]]+VLOOKUP(tblWorkPackages[[#This Row],[Task type]],'Forecast validation'!$A$14:$E$25,IF(tblWorkPackages[[#This Row],[Time split]]="Validation H1",4,5),FALSE()))</f>
        <v>12.5916083916084</v>
      </c>
      <c r="U1006" s="51">
        <f>IF(tblWorkPackages[[#This Row],[Calibrated forecast hours]]="","",ABS(tblWorkPackages[[#This Row],[Actual labor hours]]-tblWorkPackages[[#This Row],[Calibrated forecast hours]]))</f>
        <v>2.59160839160839</v>
      </c>
      <c r="V1006" s="51">
        <f>IF(tblWorkPackages[[#This Row],[Time split]]="Train 2024",tblWorkPackages[[#This Row],[Estimated labor hours]],tblWorkPackages[[#This Row],[Calibrated forecast hours]])</f>
        <v>12.5916083916084</v>
      </c>
      <c r="W1006" s="64">
        <f>DATEVALUE(tblWorkPackages[[#This Row],[Request date]])</f>
        <v>45911.0</v>
      </c>
      <c r="X1006" s="64">
        <f>DATEVALUE(tblWorkPackages[[#This Row],[Due date]])</f>
        <v>45917.0</v>
      </c>
      <c r="Y1006" s="64">
        <f>DATEVALUE(tblWorkPackages[[#This Row],[Completion date]])</f>
        <v>45914.0</v>
      </c>
      <c r="Z1006" s="64">
        <f>_xlfn.MINIFS(tblLaborEntries[Work date serial],tblLaborEntries[Work package ID],tblWorkPackages[[#This Row],[Work package ID]])</f>
        <v>45912.0</v>
      </c>
      <c r="AA1006" s="64">
        <f>_xlfn.MAXIFS(tblLaborEntries[Work date serial],tblLaborEntries[Work package ID],tblWorkPackages[[#This Row],[Work package ID]])</f>
        <v>45914.0</v>
      </c>
      <c r="AB1006" s="65">
        <f>IF(tblWorkPackages[[#This Row],[Completion date serial]]&gt;tblWorkPackages[[#This Row],[Due date serial]],1,0)</f>
        <v>0</v>
      </c>
      <c r="AC1006" s="65">
        <f>MAX(0,tblWorkPackages[[#This Row],[Completion date serial]]-tblWorkPackages[[#This Row],[Due date serial]])</f>
        <v>0</v>
      </c>
      <c r="AD1006" s="65">
        <f>tblWorkPackages[[#This Row],[First labor date]]-tblWorkPackages[[#This Row],[Request date serial]]</f>
        <v>1</v>
      </c>
      <c r="AE1006" s="65">
        <f>tblWorkPackages[[#This Row],[Last labor date]]-tblWorkPackages[[#This Row],[First labor date]]</f>
        <v>2</v>
      </c>
      <c r="AF1006" s="65">
        <f>tblWorkPackages[[#This Row],[Completion date serial]]-tblWorkPackages[[#This Row],[Last labor date]]</f>
        <v>0</v>
      </c>
      <c r="AG1006" s="65">
        <f>tblWorkPackages[[#This Row],[Completion date serial]]-tblWorkPackages[[#This Row],[Request date serial]]</f>
        <v>3</v>
      </c>
      <c r="AH1006" s="65">
        <f>IFERROR(INDEX(tblParts[Delay days],MATCH(tblWorkPackages[[#This Row],[Work package ID]],tblParts[Work package ID],0)),0)</f>
        <v>0</v>
      </c>
      <c r="AI1006" s="51" t="str">
        <f>IFERROR(INDEX(tblDisruptions[Event type],MATCH(tblWorkPackages[[#This Row],[Work package ID]],tblDisruptions[Work package ID],0)),"None")</f>
        <v>None</v>
      </c>
      <c r="AJ1006" s="51" t="str">
        <f>TEXT(tblWorkPackages[[#This Row],[Due date serial]],"yyyy-mm")</f>
        <v>2025-09</v>
      </c>
    </row>
    <row r="1007" spans="1:36" ht="15" x14ac:dyDescent="0.25">
      <c r="A1007" s="53" t="s">
        <v>1903</v>
      </c>
      <c r="B1007" s="53" t="s">
        <v>168</v>
      </c>
      <c r="C1007" s="53" t="s">
        <v>464</v>
      </c>
      <c r="D1007" s="53" t="s">
        <v>1273</v>
      </c>
      <c r="E1007" s="53" t="s">
        <v>153</v>
      </c>
      <c r="F1007" s="53" t="s">
        <v>128</v>
      </c>
      <c r="G1007" s="53" t="s">
        <v>154</v>
      </c>
      <c r="H1007" s="53">
        <v>2</v>
      </c>
      <c r="I1007" s="53" t="s">
        <v>130</v>
      </c>
      <c r="J1007" s="53">
        <v>0</v>
      </c>
      <c r="K1007" s="53">
        <v>1</v>
      </c>
      <c r="L1007" s="53">
        <v>8.6999999999999993</v>
      </c>
      <c r="M1007" s="53" t="s">
        <v>942</v>
      </c>
      <c r="N1007" s="53">
        <v>12</v>
      </c>
      <c r="O1007" s="51" t="str">
        <f>TEXT(tblWorkPackages[[#This Row],[Request date serial]]-WEEKDAY(tblWorkPackages[[#This Row],[Request date serial]],3),"yyyy-mm-dd")</f>
        <v>2025-09-29</v>
      </c>
      <c r="P1007" s="51">
        <f>ABS(tblWorkPackages[[#This Row],[Actual labor hours]]-tblWorkPackages[[#This Row],[Estimated labor hours]])</f>
        <v>3.3</v>
      </c>
      <c r="Q1007" s="51">
        <f>IF(tblWorkPackages[[#This Row],[Actual labor hours]]&gt;tblWorkPackages[[#This Row],[Estimated labor hours]],1,0)</f>
        <v>1</v>
      </c>
      <c r="R1007" s="51">
        <f>tblWorkPackages[[#This Row],[Actual labor hours]]-tblWorkPackages[[#This Row],[Estimated labor hours]]</f>
        <v>3.3</v>
      </c>
      <c r="S1007" s="51" t="str">
        <f>IF(tblWorkPackages[[#This Row],[Request date serial]]&lt;ValidationStart,"Train 2024",IF(tblWorkPackages[[#This Row],[Request date serial]]&lt;HoldoutStart,"Validation H1","Holdout H2"))</f>
        <v>Holdout H2</v>
      </c>
      <c r="T1007" s="51">
        <f>IF(tblWorkPackages[[#This Row],[Time split]]="Train 2024","",tblWorkPackages[[#This Row],[Estimated labor hours]]+VLOOKUP(tblWorkPackages[[#This Row],[Task type]],'Forecast validation'!$A$14:$E$25,IF(tblWorkPackages[[#This Row],[Time split]]="Validation H1",4,5),FALSE()))</f>
        <v>9.30266666666667</v>
      </c>
      <c r="U1007" s="51">
        <f>IF(tblWorkPackages[[#This Row],[Calibrated forecast hours]]="","",ABS(tblWorkPackages[[#This Row],[Actual labor hours]]-tblWorkPackages[[#This Row],[Calibrated forecast hours]]))</f>
        <v>2.69733333333333</v>
      </c>
      <c r="V1007" s="51">
        <f>IF(tblWorkPackages[[#This Row],[Time split]]="Train 2024",tblWorkPackages[[#This Row],[Estimated labor hours]],tblWorkPackages[[#This Row],[Calibrated forecast hours]])</f>
        <v>9.30266666666667</v>
      </c>
      <c r="W1007" s="64">
        <f>DATEVALUE(tblWorkPackages[[#This Row],[Request date]])</f>
        <v>45929.0</v>
      </c>
      <c r="X1007" s="64">
        <f>DATEVALUE(tblWorkPackages[[#This Row],[Due date]])</f>
        <v>45942.0</v>
      </c>
      <c r="Y1007" s="64">
        <f>DATEVALUE(tblWorkPackages[[#This Row],[Completion date]])</f>
        <v>45946.0</v>
      </c>
      <c r="Z1007" s="64">
        <f>_xlfn.MINIFS(tblLaborEntries[Work date serial],tblLaborEntries[Work package ID],tblWorkPackages[[#This Row],[Work package ID]])</f>
        <v>45945.0</v>
      </c>
      <c r="AA1007" s="64">
        <f>_xlfn.MAXIFS(tblLaborEntries[Work date serial],tblLaborEntries[Work package ID],tblWorkPackages[[#This Row],[Work package ID]])</f>
        <v>45945.0</v>
      </c>
      <c r="AB1007" s="65">
        <f>IF(tblWorkPackages[[#This Row],[Completion date serial]]&gt;tblWorkPackages[[#This Row],[Due date serial]],1,0)</f>
        <v>1</v>
      </c>
      <c r="AC1007" s="65">
        <f>MAX(0,tblWorkPackages[[#This Row],[Completion date serial]]-tblWorkPackages[[#This Row],[Due date serial]])</f>
        <v>4</v>
      </c>
      <c r="AD1007" s="65">
        <f>tblWorkPackages[[#This Row],[First labor date]]-tblWorkPackages[[#This Row],[Request date serial]]</f>
        <v>16</v>
      </c>
      <c r="AE1007" s="65">
        <f>tblWorkPackages[[#This Row],[Last labor date]]-tblWorkPackages[[#This Row],[First labor date]]</f>
        <v>0</v>
      </c>
      <c r="AF1007" s="65">
        <f>tblWorkPackages[[#This Row],[Completion date serial]]-tblWorkPackages[[#This Row],[Last labor date]]</f>
        <v>1</v>
      </c>
      <c r="AG1007" s="65">
        <f>tblWorkPackages[[#This Row],[Completion date serial]]-tblWorkPackages[[#This Row],[Request date serial]]</f>
        <v>17</v>
      </c>
      <c r="AH1007" s="65">
        <f>IFERROR(INDEX(tblParts[Delay days],MATCH(tblWorkPackages[[#This Row],[Work package ID]],tblParts[Work package ID],0)),0)</f>
        <v>3</v>
      </c>
      <c r="AI1007" s="51" t="str">
        <f>IFERROR(INDEX(tblDisruptions[Event type],MATCH(tblWorkPackages[[#This Row],[Work package ID]],tblDisruptions[Work package ID],0)),"None")</f>
        <v>Part delay</v>
      </c>
      <c r="AJ1007" s="51" t="str">
        <f>TEXT(tblWorkPackages[[#This Row],[Due date serial]],"yyyy-mm")</f>
        <v>2025-10</v>
      </c>
    </row>
    <row r="1008" spans="1:36" ht="15" x14ac:dyDescent="0.25">
      <c r="A1008" s="53" t="s">
        <v>1904</v>
      </c>
      <c r="B1008" s="53" t="s">
        <v>235</v>
      </c>
      <c r="C1008" s="53" t="s">
        <v>1446</v>
      </c>
      <c r="D1008" s="53" t="s">
        <v>1172</v>
      </c>
      <c r="E1008" s="53" t="s">
        <v>144</v>
      </c>
      <c r="F1008" s="53" t="s">
        <v>145</v>
      </c>
      <c r="G1008" s="53" t="s">
        <v>146</v>
      </c>
      <c r="H1008" s="53">
        <v>4</v>
      </c>
      <c r="I1008" s="53" t="s">
        <v>130</v>
      </c>
      <c r="J1008" s="53">
        <v>0</v>
      </c>
      <c r="K1008" s="53">
        <v>1</v>
      </c>
      <c r="L1008" s="53">
        <v>21.4</v>
      </c>
      <c r="M1008" s="53" t="s">
        <v>592</v>
      </c>
      <c r="N1008" s="53">
        <v>20.399999999999999</v>
      </c>
      <c r="O1008" s="51" t="str">
        <f>TEXT(tblWorkPackages[[#This Row],[Request date serial]]-WEEKDAY(tblWorkPackages[[#This Row],[Request date serial]],3),"yyyy-mm-dd")</f>
        <v>2025-03-31</v>
      </c>
      <c r="P1008" s="51">
        <f>ABS(tblWorkPackages[[#This Row],[Actual labor hours]]-tblWorkPackages[[#This Row],[Estimated labor hours]])</f>
        <v>1</v>
      </c>
      <c r="Q1008" s="51">
        <f>IF(tblWorkPackages[[#This Row],[Actual labor hours]]&gt;tblWorkPackages[[#This Row],[Estimated labor hours]],1,0)</f>
        <v>0</v>
      </c>
      <c r="R1008" s="51">
        <f>tblWorkPackages[[#This Row],[Actual labor hours]]-tblWorkPackages[[#This Row],[Estimated labor hours]]</f>
        <v>-1</v>
      </c>
      <c r="S1008" s="51" t="str">
        <f>IF(tblWorkPackages[[#This Row],[Request date serial]]&lt;ValidationStart,"Train 2024",IF(tblWorkPackages[[#This Row],[Request date serial]]&lt;HoldoutStart,"Validation H1","Holdout H2"))</f>
        <v>Validation H1</v>
      </c>
      <c r="T1008" s="51">
        <f>IF(tblWorkPackages[[#This Row],[Time split]]="Train 2024","",tblWorkPackages[[#This Row],[Estimated labor hours]]+VLOOKUP(tblWorkPackages[[#This Row],[Task type]],'Forecast validation'!$A$14:$E$25,IF(tblWorkPackages[[#This Row],[Time split]]="Validation H1",4,5),FALSE()))</f>
        <v>22.1547368421053</v>
      </c>
      <c r="U1008" s="51">
        <f>IF(tblWorkPackages[[#This Row],[Calibrated forecast hours]]="","",ABS(tblWorkPackages[[#This Row],[Actual labor hours]]-tblWorkPackages[[#This Row],[Calibrated forecast hours]]))</f>
        <v>1.75473684210526</v>
      </c>
      <c r="V1008" s="51">
        <f>IF(tblWorkPackages[[#This Row],[Time split]]="Train 2024",tblWorkPackages[[#This Row],[Estimated labor hours]],tblWorkPackages[[#This Row],[Calibrated forecast hours]])</f>
        <v>22.1547368421053</v>
      </c>
      <c r="W1008" s="64">
        <f>DATEVALUE(tblWorkPackages[[#This Row],[Request date]])</f>
        <v>45751.0</v>
      </c>
      <c r="X1008" s="64">
        <f>DATEVALUE(tblWorkPackages[[#This Row],[Due date]])</f>
        <v>45764.0</v>
      </c>
      <c r="Y1008" s="64">
        <f>DATEVALUE(tblWorkPackages[[#This Row],[Completion date]])</f>
        <v>45757.0</v>
      </c>
      <c r="Z1008" s="64">
        <f>_xlfn.MINIFS(tblLaborEntries[Work date serial],tblLaborEntries[Work package ID],tblWorkPackages[[#This Row],[Work package ID]])</f>
        <v>45754.0</v>
      </c>
      <c r="AA1008" s="64">
        <f>_xlfn.MAXIFS(tblLaborEntries[Work date serial],tblLaborEntries[Work package ID],tblWorkPackages[[#This Row],[Work package ID]])</f>
        <v>45755.0</v>
      </c>
      <c r="AB1008" s="65">
        <f>IF(tblWorkPackages[[#This Row],[Completion date serial]]&gt;tblWorkPackages[[#This Row],[Due date serial]],1,0)</f>
        <v>0</v>
      </c>
      <c r="AC1008" s="65">
        <f>MAX(0,tblWorkPackages[[#This Row],[Completion date serial]]-tblWorkPackages[[#This Row],[Due date serial]])</f>
        <v>0</v>
      </c>
      <c r="AD1008" s="65">
        <f>tblWorkPackages[[#This Row],[First labor date]]-tblWorkPackages[[#This Row],[Request date serial]]</f>
        <v>3</v>
      </c>
      <c r="AE1008" s="65">
        <f>tblWorkPackages[[#This Row],[Last labor date]]-tblWorkPackages[[#This Row],[First labor date]]</f>
        <v>1</v>
      </c>
      <c r="AF1008" s="65">
        <f>tblWorkPackages[[#This Row],[Completion date serial]]-tblWorkPackages[[#This Row],[Last labor date]]</f>
        <v>2</v>
      </c>
      <c r="AG1008" s="65">
        <f>tblWorkPackages[[#This Row],[Completion date serial]]-tblWorkPackages[[#This Row],[Request date serial]]</f>
        <v>6</v>
      </c>
      <c r="AH1008" s="65">
        <f>IFERROR(INDEX(tblParts[Delay days],MATCH(tblWorkPackages[[#This Row],[Work package ID]],tblParts[Work package ID],0)),0)</f>
        <v>0</v>
      </c>
      <c r="AI1008" s="51" t="str">
        <f>IFERROR(INDEX(tblDisruptions[Event type],MATCH(tblWorkPackages[[#This Row],[Work package ID]],tblDisruptions[Work package ID],0)),"None")</f>
        <v>None</v>
      </c>
      <c r="AJ1008" s="51" t="str">
        <f>TEXT(tblWorkPackages[[#This Row],[Due date serial]],"yyyy-mm")</f>
        <v>2025-04</v>
      </c>
    </row>
    <row r="1009" spans="1:36" ht="15" x14ac:dyDescent="0.25">
      <c r="A1009" s="53" t="s">
        <v>1905</v>
      </c>
      <c r="B1009" s="53" t="s">
        <v>141</v>
      </c>
      <c r="C1009" s="53" t="s">
        <v>550</v>
      </c>
      <c r="D1009" s="53" t="s">
        <v>643</v>
      </c>
      <c r="E1009" s="53" t="s">
        <v>136</v>
      </c>
      <c r="F1009" s="53" t="s">
        <v>137</v>
      </c>
      <c r="G1009" s="53" t="s">
        <v>138</v>
      </c>
      <c r="H1009" s="53">
        <v>4</v>
      </c>
      <c r="I1009" s="53" t="s">
        <v>130</v>
      </c>
      <c r="J1009" s="53">
        <v>0</v>
      </c>
      <c r="K1009" s="53">
        <v>0</v>
      </c>
      <c r="L1009" s="53">
        <v>26</v>
      </c>
      <c r="M1009" s="53" t="s">
        <v>388</v>
      </c>
      <c r="N1009" s="53">
        <v>32.799999999999997</v>
      </c>
      <c r="O1009" s="51" t="str">
        <f>TEXT(tblWorkPackages[[#This Row],[Request date serial]]-WEEKDAY(tblWorkPackages[[#This Row],[Request date serial]],3),"yyyy-mm-dd")</f>
        <v>2024-07-08</v>
      </c>
      <c r="P1009" s="51">
        <f>ABS(tblWorkPackages[[#This Row],[Actual labor hours]]-tblWorkPackages[[#This Row],[Estimated labor hours]])</f>
        <v>6.8</v>
      </c>
      <c r="Q1009" s="51">
        <f>IF(tblWorkPackages[[#This Row],[Actual labor hours]]&gt;tblWorkPackages[[#This Row],[Estimated labor hours]],1,0)</f>
        <v>1</v>
      </c>
      <c r="R1009" s="51">
        <f>tblWorkPackages[[#This Row],[Actual labor hours]]-tblWorkPackages[[#This Row],[Estimated labor hours]]</f>
        <v>6.8</v>
      </c>
      <c r="S1009" s="51" t="str">
        <f>IF(tblWorkPackages[[#This Row],[Request date serial]]&lt;ValidationStart,"Train 2024",IF(tblWorkPackages[[#This Row],[Request date serial]]&lt;HoldoutStart,"Validation H1","Holdout H2"))</f>
        <v>Train 2024</v>
      </c>
      <c r="T1009" s="51" t="str">
        <f>IF(tblWorkPackages[[#This Row],[Time split]]="Train 2024","",tblWorkPackages[[#This Row],[Estimated labor hours]]+VLOOKUP(tblWorkPackages[[#This Row],[Task type]],'Forecast validation'!$A$14:$E$25,IF(tblWorkPackages[[#This Row],[Time split]]="Validation H1",4,5),FALSE()))</f>
        <v/>
      </c>
      <c r="U1009" s="51" t="str">
        <f>IF(tblWorkPackages[[#This Row],[Calibrated forecast hours]]="","",ABS(tblWorkPackages[[#This Row],[Actual labor hours]]-tblWorkPackages[[#This Row],[Calibrated forecast hours]]))</f>
        <v/>
      </c>
      <c r="V1009" s="51">
        <f>IF(tblWorkPackages[[#This Row],[Time split]]="Train 2024",tblWorkPackages[[#This Row],[Estimated labor hours]],tblWorkPackages[[#This Row],[Calibrated forecast hours]])</f>
        <v>26</v>
      </c>
      <c r="W1009" s="64">
        <f>DATEVALUE(tblWorkPackages[[#This Row],[Request date]])</f>
        <v>45482.0</v>
      </c>
      <c r="X1009" s="64">
        <f>DATEVALUE(tblWorkPackages[[#This Row],[Due date]])</f>
        <v>45495.0</v>
      </c>
      <c r="Y1009" s="64">
        <f>DATEVALUE(tblWorkPackages[[#This Row],[Completion date]])</f>
        <v>45537.0</v>
      </c>
      <c r="Z1009" s="64">
        <f>_xlfn.MINIFS(tblLaborEntries[Work date serial],tblLaborEntries[Work package ID],tblWorkPackages[[#This Row],[Work package ID]])</f>
        <v>45533.0</v>
      </c>
      <c r="AA1009" s="64">
        <f>_xlfn.MAXIFS(tblLaborEntries[Work date serial],tblLaborEntries[Work package ID],tblWorkPackages[[#This Row],[Work package ID]])</f>
        <v>45534.0</v>
      </c>
      <c r="AB1009" s="65">
        <f>IF(tblWorkPackages[[#This Row],[Completion date serial]]&gt;tblWorkPackages[[#This Row],[Due date serial]],1,0)</f>
        <v>1</v>
      </c>
      <c r="AC1009" s="65">
        <f>MAX(0,tblWorkPackages[[#This Row],[Completion date serial]]-tblWorkPackages[[#This Row],[Due date serial]])</f>
        <v>42</v>
      </c>
      <c r="AD1009" s="65">
        <f>tblWorkPackages[[#This Row],[First labor date]]-tblWorkPackages[[#This Row],[Request date serial]]</f>
        <v>51</v>
      </c>
      <c r="AE1009" s="65">
        <f>tblWorkPackages[[#This Row],[Last labor date]]-tblWorkPackages[[#This Row],[First labor date]]</f>
        <v>1</v>
      </c>
      <c r="AF1009" s="65">
        <f>tblWorkPackages[[#This Row],[Completion date serial]]-tblWorkPackages[[#This Row],[Last labor date]]</f>
        <v>3</v>
      </c>
      <c r="AG1009" s="65">
        <f>tblWorkPackages[[#This Row],[Completion date serial]]-tblWorkPackages[[#This Row],[Request date serial]]</f>
        <v>55</v>
      </c>
      <c r="AH1009" s="65">
        <f>IFERROR(INDEX(tblParts[Delay days],MATCH(tblWorkPackages[[#This Row],[Work package ID]],tblParts[Work package ID],0)),0)</f>
        <v>0</v>
      </c>
      <c r="AI1009" s="51" t="str">
        <f>IFERROR(INDEX(tblDisruptions[Event type],MATCH(tblWorkPackages[[#This Row],[Work package ID]],tblDisruptions[Work package ID],0)),"None")</f>
        <v>None</v>
      </c>
      <c r="AJ1009" s="51" t="str">
        <f>TEXT(tblWorkPackages[[#This Row],[Due date serial]],"yyyy-mm")</f>
        <v>2024-07</v>
      </c>
    </row>
    <row r="1010" spans="1:36" ht="15" x14ac:dyDescent="0.25">
      <c r="A1010" s="53" t="s">
        <v>1906</v>
      </c>
      <c r="B1010" s="53" t="s">
        <v>230</v>
      </c>
      <c r="C1010" s="53" t="s">
        <v>1276</v>
      </c>
      <c r="D1010" s="53" t="s">
        <v>1256</v>
      </c>
      <c r="E1010" s="53" t="s">
        <v>136</v>
      </c>
      <c r="F1010" s="53" t="s">
        <v>137</v>
      </c>
      <c r="G1010" s="53" t="s">
        <v>138</v>
      </c>
      <c r="H1010" s="53">
        <v>2</v>
      </c>
      <c r="I1010" s="53" t="s">
        <v>176</v>
      </c>
      <c r="J1010" s="53">
        <v>0</v>
      </c>
      <c r="K1010" s="53">
        <v>0</v>
      </c>
      <c r="L1010" s="53">
        <v>16</v>
      </c>
      <c r="M1010" s="53" t="s">
        <v>603</v>
      </c>
      <c r="N1010" s="53">
        <v>16.5</v>
      </c>
      <c r="O1010" s="51" t="str">
        <f>TEXT(tblWorkPackages[[#This Row],[Request date serial]]-WEEKDAY(tblWorkPackages[[#This Row],[Request date serial]],3),"yyyy-mm-dd")</f>
        <v>2025-06-16</v>
      </c>
      <c r="P1010" s="51">
        <f>ABS(tblWorkPackages[[#This Row],[Actual labor hours]]-tblWorkPackages[[#This Row],[Estimated labor hours]])</f>
        <v>0.5</v>
      </c>
      <c r="Q1010" s="51">
        <f>IF(tblWorkPackages[[#This Row],[Actual labor hours]]&gt;tblWorkPackages[[#This Row],[Estimated labor hours]],1,0)</f>
        <v>1</v>
      </c>
      <c r="R1010" s="51">
        <f>tblWorkPackages[[#This Row],[Actual labor hours]]-tblWorkPackages[[#This Row],[Estimated labor hours]]</f>
        <v>0.5</v>
      </c>
      <c r="S1010" s="51" t="str">
        <f>IF(tblWorkPackages[[#This Row],[Request date serial]]&lt;ValidationStart,"Train 2024",IF(tblWorkPackages[[#This Row],[Request date serial]]&lt;HoldoutStart,"Validation H1","Holdout H2"))</f>
        <v>Validation H1</v>
      </c>
      <c r="T1010" s="51">
        <f>IF(tblWorkPackages[[#This Row],[Time split]]="Train 2024","",tblWorkPackages[[#This Row],[Estimated labor hours]]+VLOOKUP(tblWorkPackages[[#This Row],[Task type]],'Forecast validation'!$A$14:$E$25,IF(tblWorkPackages[[#This Row],[Time split]]="Validation H1",4,5),FALSE()))</f>
        <v>16.8765306122449</v>
      </c>
      <c r="U1010" s="51">
        <f>IF(tblWorkPackages[[#This Row],[Calibrated forecast hours]]="","",ABS(tblWorkPackages[[#This Row],[Actual labor hours]]-tblWorkPackages[[#This Row],[Calibrated forecast hours]]))</f>
        <v>0.376530612244899</v>
      </c>
      <c r="V1010" s="51">
        <f>IF(tblWorkPackages[[#This Row],[Time split]]="Train 2024",tblWorkPackages[[#This Row],[Estimated labor hours]],tblWorkPackages[[#This Row],[Calibrated forecast hours]])</f>
        <v>16.8765306122449</v>
      </c>
      <c r="W1010" s="64">
        <f>DATEVALUE(tblWorkPackages[[#This Row],[Request date]])</f>
        <v>45825.0</v>
      </c>
      <c r="X1010" s="64">
        <f>DATEVALUE(tblWorkPackages[[#This Row],[Due date]])</f>
        <v>45831.0</v>
      </c>
      <c r="Y1010" s="64">
        <f>DATEVALUE(tblWorkPackages[[#This Row],[Completion date]])</f>
        <v>45834.0</v>
      </c>
      <c r="Z1010" s="64">
        <f>_xlfn.MINIFS(tblLaborEntries[Work date serial],tblLaborEntries[Work package ID],tblWorkPackages[[#This Row],[Work package ID]])</f>
        <v>45833.0</v>
      </c>
      <c r="AA1010" s="64">
        <f>_xlfn.MAXIFS(tblLaborEntries[Work date serial],tblLaborEntries[Work package ID],tblWorkPackages[[#This Row],[Work package ID]])</f>
        <v>45834.0</v>
      </c>
      <c r="AB1010" s="65">
        <f>IF(tblWorkPackages[[#This Row],[Completion date serial]]&gt;tblWorkPackages[[#This Row],[Due date serial]],1,0)</f>
        <v>1</v>
      </c>
      <c r="AC1010" s="65">
        <f>MAX(0,tblWorkPackages[[#This Row],[Completion date serial]]-tblWorkPackages[[#This Row],[Due date serial]])</f>
        <v>3</v>
      </c>
      <c r="AD1010" s="65">
        <f>tblWorkPackages[[#This Row],[First labor date]]-tblWorkPackages[[#This Row],[Request date serial]]</f>
        <v>8</v>
      </c>
      <c r="AE1010" s="65">
        <f>tblWorkPackages[[#This Row],[Last labor date]]-tblWorkPackages[[#This Row],[First labor date]]</f>
        <v>1</v>
      </c>
      <c r="AF1010" s="65">
        <f>tblWorkPackages[[#This Row],[Completion date serial]]-tblWorkPackages[[#This Row],[Last labor date]]</f>
        <v>0</v>
      </c>
      <c r="AG1010" s="65">
        <f>tblWorkPackages[[#This Row],[Completion date serial]]-tblWorkPackages[[#This Row],[Request date serial]]</f>
        <v>9</v>
      </c>
      <c r="AH1010" s="65">
        <f>IFERROR(INDEX(tblParts[Delay days],MATCH(tblWorkPackages[[#This Row],[Work package ID]],tblParts[Work package ID],0)),0)</f>
        <v>0</v>
      </c>
      <c r="AI1010" s="51" t="str">
        <f>IFERROR(INDEX(tblDisruptions[Event type],MATCH(tblWorkPackages[[#This Row],[Work package ID]],tblDisruptions[Work package ID],0)),"None")</f>
        <v>None</v>
      </c>
      <c r="AJ1010" s="51" t="str">
        <f>TEXT(tblWorkPackages[[#This Row],[Due date serial]],"yyyy-mm")</f>
        <v>2025-06</v>
      </c>
    </row>
    <row r="1011" spans="1:36" ht="15" x14ac:dyDescent="0.25">
      <c r="A1011" s="53" t="s">
        <v>1907</v>
      </c>
      <c r="B1011" s="53" t="s">
        <v>185</v>
      </c>
      <c r="C1011" s="53" t="s">
        <v>517</v>
      </c>
      <c r="D1011" s="53" t="s">
        <v>518</v>
      </c>
      <c r="E1011" s="53" t="s">
        <v>127</v>
      </c>
      <c r="F1011" s="53" t="s">
        <v>128</v>
      </c>
      <c r="G1011" s="53" t="s">
        <v>129</v>
      </c>
      <c r="H1011" s="53">
        <v>3</v>
      </c>
      <c r="I1011" s="53" t="s">
        <v>176</v>
      </c>
      <c r="J1011" s="53">
        <v>0</v>
      </c>
      <c r="K1011" s="53">
        <v>0</v>
      </c>
      <c r="L1011" s="53">
        <v>11.3</v>
      </c>
      <c r="M1011" s="53" t="s">
        <v>179</v>
      </c>
      <c r="N1011" s="53">
        <v>11.1</v>
      </c>
      <c r="O1011" s="51" t="str">
        <f>TEXT(tblWorkPackages[[#This Row],[Request date serial]]-WEEKDAY(tblWorkPackages[[#This Row],[Request date serial]],3),"yyyy-mm-dd")</f>
        <v>2025-05-05</v>
      </c>
      <c r="P1011" s="51">
        <f>ABS(tblWorkPackages[[#This Row],[Actual labor hours]]-tblWorkPackages[[#This Row],[Estimated labor hours]])</f>
        <v>0.200000000000001</v>
      </c>
      <c r="Q1011" s="51">
        <f>IF(tblWorkPackages[[#This Row],[Actual labor hours]]&gt;tblWorkPackages[[#This Row],[Estimated labor hours]],1,0)</f>
        <v>0</v>
      </c>
      <c r="R1011" s="51">
        <f>tblWorkPackages[[#This Row],[Actual labor hours]]-tblWorkPackages[[#This Row],[Estimated labor hours]]</f>
        <v>-0.200000000000001</v>
      </c>
      <c r="S1011" s="51" t="str">
        <f>IF(tblWorkPackages[[#This Row],[Request date serial]]&lt;ValidationStart,"Train 2024",IF(tblWorkPackages[[#This Row],[Request date serial]]&lt;HoldoutStart,"Validation H1","Holdout H2"))</f>
        <v>Validation H1</v>
      </c>
      <c r="T1011" s="51">
        <f>IF(tblWorkPackages[[#This Row],[Time split]]="Train 2024","",tblWorkPackages[[#This Row],[Estimated labor hours]]+VLOOKUP(tblWorkPackages[[#This Row],[Task type]],'Forecast validation'!$A$14:$E$25,IF(tblWorkPackages[[#This Row],[Time split]]="Validation H1",4,5),FALSE()))</f>
        <v>11.775641025641</v>
      </c>
      <c r="U1011" s="51">
        <f>IF(tblWorkPackages[[#This Row],[Calibrated forecast hours]]="","",ABS(tblWorkPackages[[#This Row],[Actual labor hours]]-tblWorkPackages[[#This Row],[Calibrated forecast hours]]))</f>
        <v>0.675641025641026</v>
      </c>
      <c r="V1011" s="51">
        <f>IF(tblWorkPackages[[#This Row],[Time split]]="Train 2024",tblWorkPackages[[#This Row],[Estimated labor hours]],tblWorkPackages[[#This Row],[Calibrated forecast hours]])</f>
        <v>11.775641025641</v>
      </c>
      <c r="W1011" s="64">
        <f>DATEVALUE(tblWorkPackages[[#This Row],[Request date]])</f>
        <v>45788.0</v>
      </c>
      <c r="X1011" s="64">
        <f>DATEVALUE(tblWorkPackages[[#This Row],[Due date]])</f>
        <v>45794.0</v>
      </c>
      <c r="Y1011" s="64">
        <f>DATEVALUE(tblWorkPackages[[#This Row],[Completion date]])</f>
        <v>45792.0</v>
      </c>
      <c r="Z1011" s="64">
        <f>_xlfn.MINIFS(tblLaborEntries[Work date serial],tblLaborEntries[Work package ID],tblWorkPackages[[#This Row],[Work package ID]])</f>
        <v>45790.0</v>
      </c>
      <c r="AA1011" s="64">
        <f>_xlfn.MAXIFS(tblLaborEntries[Work date serial],tblLaborEntries[Work package ID],tblWorkPackages[[#This Row],[Work package ID]])</f>
        <v>45791.0</v>
      </c>
      <c r="AB1011" s="65">
        <f>IF(tblWorkPackages[[#This Row],[Completion date serial]]&gt;tblWorkPackages[[#This Row],[Due date serial]],1,0)</f>
        <v>0</v>
      </c>
      <c r="AC1011" s="65">
        <f>MAX(0,tblWorkPackages[[#This Row],[Completion date serial]]-tblWorkPackages[[#This Row],[Due date serial]])</f>
        <v>0</v>
      </c>
      <c r="AD1011" s="65">
        <f>tblWorkPackages[[#This Row],[First labor date]]-tblWorkPackages[[#This Row],[Request date serial]]</f>
        <v>2</v>
      </c>
      <c r="AE1011" s="65">
        <f>tblWorkPackages[[#This Row],[Last labor date]]-tblWorkPackages[[#This Row],[First labor date]]</f>
        <v>1</v>
      </c>
      <c r="AF1011" s="65">
        <f>tblWorkPackages[[#This Row],[Completion date serial]]-tblWorkPackages[[#This Row],[Last labor date]]</f>
        <v>1</v>
      </c>
      <c r="AG1011" s="65">
        <f>tblWorkPackages[[#This Row],[Completion date serial]]-tblWorkPackages[[#This Row],[Request date serial]]</f>
        <v>4</v>
      </c>
      <c r="AH1011" s="65">
        <f>IFERROR(INDEX(tblParts[Delay days],MATCH(tblWorkPackages[[#This Row],[Work package ID]],tblParts[Work package ID],0)),0)</f>
        <v>0</v>
      </c>
      <c r="AI1011" s="51" t="str">
        <f>IFERROR(INDEX(tblDisruptions[Event type],MATCH(tblWorkPackages[[#This Row],[Work package ID]],tblDisruptions[Work package ID],0)),"None")</f>
        <v>None</v>
      </c>
      <c r="AJ1011" s="51" t="str">
        <f>TEXT(tblWorkPackages[[#This Row],[Due date serial]],"yyyy-mm")</f>
        <v>2025-05</v>
      </c>
    </row>
    <row r="1012" spans="1:36" ht="15" x14ac:dyDescent="0.25">
      <c r="A1012" s="53" t="s">
        <v>1908</v>
      </c>
      <c r="B1012" s="53" t="s">
        <v>124</v>
      </c>
      <c r="C1012" s="53" t="s">
        <v>332</v>
      </c>
      <c r="D1012" s="53" t="s">
        <v>309</v>
      </c>
      <c r="E1012" s="53" t="s">
        <v>237</v>
      </c>
      <c r="F1012" s="53" t="s">
        <v>182</v>
      </c>
      <c r="G1012" s="53" t="s">
        <v>138</v>
      </c>
      <c r="H1012" s="53">
        <v>3</v>
      </c>
      <c r="I1012" s="53" t="s">
        <v>130</v>
      </c>
      <c r="J1012" s="53">
        <v>0</v>
      </c>
      <c r="K1012" s="53">
        <v>0</v>
      </c>
      <c r="L1012" s="53">
        <v>6.4</v>
      </c>
      <c r="M1012" s="53" t="s">
        <v>308</v>
      </c>
      <c r="N1012" s="53">
        <v>5.2</v>
      </c>
      <c r="O1012" s="51" t="str">
        <f>TEXT(tblWorkPackages[[#This Row],[Request date serial]]-WEEKDAY(tblWorkPackages[[#This Row],[Request date serial]],3),"yyyy-mm-dd")</f>
        <v>2025-10-20</v>
      </c>
      <c r="P1012" s="51">
        <f>ABS(tblWorkPackages[[#This Row],[Actual labor hours]]-tblWorkPackages[[#This Row],[Estimated labor hours]])</f>
        <v>1.2</v>
      </c>
      <c r="Q1012" s="51">
        <f>IF(tblWorkPackages[[#This Row],[Actual labor hours]]&gt;tblWorkPackages[[#This Row],[Estimated labor hours]],1,0)</f>
        <v>0</v>
      </c>
      <c r="R1012" s="51">
        <f>tblWorkPackages[[#This Row],[Actual labor hours]]-tblWorkPackages[[#This Row],[Estimated labor hours]]</f>
        <v>-1.2</v>
      </c>
      <c r="S1012" s="51" t="str">
        <f>IF(tblWorkPackages[[#This Row],[Request date serial]]&lt;ValidationStart,"Train 2024",IF(tblWorkPackages[[#This Row],[Request date serial]]&lt;HoldoutStart,"Validation H1","Holdout H2"))</f>
        <v>Holdout H2</v>
      </c>
      <c r="T1012" s="51">
        <f>IF(tblWorkPackages[[#This Row],[Time split]]="Train 2024","",tblWorkPackages[[#This Row],[Estimated labor hours]]+VLOOKUP(tblWorkPackages[[#This Row],[Task type]],'Forecast validation'!$A$14:$E$25,IF(tblWorkPackages[[#This Row],[Time split]]="Validation H1",4,5),FALSE()))</f>
        <v>6.853125</v>
      </c>
      <c r="U1012" s="51">
        <f>IF(tblWorkPackages[[#This Row],[Calibrated forecast hours]]="","",ABS(tblWorkPackages[[#This Row],[Actual labor hours]]-tblWorkPackages[[#This Row],[Calibrated forecast hours]]))</f>
        <v>1.653125</v>
      </c>
      <c r="V1012" s="51">
        <f>IF(tblWorkPackages[[#This Row],[Time split]]="Train 2024",tblWorkPackages[[#This Row],[Estimated labor hours]],tblWorkPackages[[#This Row],[Calibrated forecast hours]])</f>
        <v>6.853125</v>
      </c>
      <c r="W1012" s="64">
        <f>DATEVALUE(tblWorkPackages[[#This Row],[Request date]])</f>
        <v>45954.0</v>
      </c>
      <c r="X1012" s="64">
        <f>DATEVALUE(tblWorkPackages[[#This Row],[Due date]])</f>
        <v>45967.0</v>
      </c>
      <c r="Y1012" s="64">
        <f>DATEVALUE(tblWorkPackages[[#This Row],[Completion date]])</f>
        <v>45977.0</v>
      </c>
      <c r="Z1012" s="64">
        <f>_xlfn.MINIFS(tblLaborEntries[Work date serial],tblLaborEntries[Work package ID],tblWorkPackages[[#This Row],[Work package ID]])</f>
        <v>45974.0</v>
      </c>
      <c r="AA1012" s="64">
        <f>_xlfn.MAXIFS(tblLaborEntries[Work date serial],tblLaborEntries[Work package ID],tblWorkPackages[[#This Row],[Work package ID]])</f>
        <v>45975.0</v>
      </c>
      <c r="AB1012" s="65">
        <f>IF(tblWorkPackages[[#This Row],[Completion date serial]]&gt;tblWorkPackages[[#This Row],[Due date serial]],1,0)</f>
        <v>1</v>
      </c>
      <c r="AC1012" s="65">
        <f>MAX(0,tblWorkPackages[[#This Row],[Completion date serial]]-tblWorkPackages[[#This Row],[Due date serial]])</f>
        <v>10</v>
      </c>
      <c r="AD1012" s="65">
        <f>tblWorkPackages[[#This Row],[First labor date]]-tblWorkPackages[[#This Row],[Request date serial]]</f>
        <v>20</v>
      </c>
      <c r="AE1012" s="65">
        <f>tblWorkPackages[[#This Row],[Last labor date]]-tblWorkPackages[[#This Row],[First labor date]]</f>
        <v>1</v>
      </c>
      <c r="AF1012" s="65">
        <f>tblWorkPackages[[#This Row],[Completion date serial]]-tblWorkPackages[[#This Row],[Last labor date]]</f>
        <v>2</v>
      </c>
      <c r="AG1012" s="65">
        <f>tblWorkPackages[[#This Row],[Completion date serial]]-tblWorkPackages[[#This Row],[Request date serial]]</f>
        <v>23</v>
      </c>
      <c r="AH1012" s="65">
        <f>IFERROR(INDEX(tblParts[Delay days],MATCH(tblWorkPackages[[#This Row],[Work package ID]],tblParts[Work package ID],0)),0)</f>
        <v>0</v>
      </c>
      <c r="AI1012" s="51" t="str">
        <f>IFERROR(INDEX(tblDisruptions[Event type],MATCH(tblWorkPackages[[#This Row],[Work package ID]],tblDisruptions[Work package ID],0)),"None")</f>
        <v>None</v>
      </c>
      <c r="AJ1012" s="51" t="str">
        <f>TEXT(tblWorkPackages[[#This Row],[Due date serial]],"yyyy-mm")</f>
        <v>2025-11</v>
      </c>
    </row>
    <row r="1013" spans="1:36" ht="15" x14ac:dyDescent="0.25">
      <c r="A1013" s="53" t="s">
        <v>1909</v>
      </c>
      <c r="B1013" s="53" t="s">
        <v>250</v>
      </c>
      <c r="C1013" s="53" t="s">
        <v>1439</v>
      </c>
      <c r="D1013" s="53" t="s">
        <v>895</v>
      </c>
      <c r="E1013" s="53" t="s">
        <v>200</v>
      </c>
      <c r="F1013" s="53" t="s">
        <v>128</v>
      </c>
      <c r="G1013" s="53" t="s">
        <v>129</v>
      </c>
      <c r="H1013" s="53">
        <v>4</v>
      </c>
      <c r="I1013" s="53" t="s">
        <v>130</v>
      </c>
      <c r="J1013" s="53">
        <v>0</v>
      </c>
      <c r="K1013" s="53">
        <v>0</v>
      </c>
      <c r="L1013" s="53">
        <v>5</v>
      </c>
      <c r="M1013" s="53" t="s">
        <v>799</v>
      </c>
      <c r="N1013" s="53">
        <v>5.4</v>
      </c>
      <c r="O1013" s="51" t="str">
        <f>TEXT(tblWorkPackages[[#This Row],[Request date serial]]-WEEKDAY(tblWorkPackages[[#This Row],[Request date serial]],3),"yyyy-mm-dd")</f>
        <v>2024-09-02</v>
      </c>
      <c r="P1013" s="51">
        <f>ABS(tblWorkPackages[[#This Row],[Actual labor hours]]-tblWorkPackages[[#This Row],[Estimated labor hours]])</f>
        <v>0.4</v>
      </c>
      <c r="Q1013" s="51">
        <f>IF(tblWorkPackages[[#This Row],[Actual labor hours]]&gt;tblWorkPackages[[#This Row],[Estimated labor hours]],1,0)</f>
        <v>1</v>
      </c>
      <c r="R1013" s="51">
        <f>tblWorkPackages[[#This Row],[Actual labor hours]]-tblWorkPackages[[#This Row],[Estimated labor hours]]</f>
        <v>0.4</v>
      </c>
      <c r="S1013" s="51" t="str">
        <f>IF(tblWorkPackages[[#This Row],[Request date serial]]&lt;ValidationStart,"Train 2024",IF(tblWorkPackages[[#This Row],[Request date serial]]&lt;HoldoutStart,"Validation H1","Holdout H2"))</f>
        <v>Train 2024</v>
      </c>
      <c r="T1013" s="51" t="str">
        <f>IF(tblWorkPackages[[#This Row],[Time split]]="Train 2024","",tblWorkPackages[[#This Row],[Estimated labor hours]]+VLOOKUP(tblWorkPackages[[#This Row],[Task type]],'Forecast validation'!$A$14:$E$25,IF(tblWorkPackages[[#This Row],[Time split]]="Validation H1",4,5),FALSE()))</f>
        <v/>
      </c>
      <c r="U1013" s="51" t="str">
        <f>IF(tblWorkPackages[[#This Row],[Calibrated forecast hours]]="","",ABS(tblWorkPackages[[#This Row],[Actual labor hours]]-tblWorkPackages[[#This Row],[Calibrated forecast hours]]))</f>
        <v/>
      </c>
      <c r="V1013" s="51">
        <f>IF(tblWorkPackages[[#This Row],[Time split]]="Train 2024",tblWorkPackages[[#This Row],[Estimated labor hours]],tblWorkPackages[[#This Row],[Calibrated forecast hours]])</f>
        <v>5</v>
      </c>
      <c r="W1013" s="64">
        <f>DATEVALUE(tblWorkPackages[[#This Row],[Request date]])</f>
        <v>45540.0</v>
      </c>
      <c r="X1013" s="64">
        <f>DATEVALUE(tblWorkPackages[[#This Row],[Due date]])</f>
        <v>45553.0</v>
      </c>
      <c r="Y1013" s="64">
        <f>DATEVALUE(tblWorkPackages[[#This Row],[Completion date]])</f>
        <v>45549.0</v>
      </c>
      <c r="Z1013" s="64">
        <f>_xlfn.MINIFS(tblLaborEntries[Work date serial],tblLaborEntries[Work package ID],tblWorkPackages[[#This Row],[Work package ID]])</f>
        <v>45544.0</v>
      </c>
      <c r="AA1013" s="64">
        <f>_xlfn.MAXIFS(tblLaborEntries[Work date serial],tblLaborEntries[Work package ID],tblWorkPackages[[#This Row],[Work package ID]])</f>
        <v>45546.0</v>
      </c>
      <c r="AB1013" s="65">
        <f>IF(tblWorkPackages[[#This Row],[Completion date serial]]&gt;tblWorkPackages[[#This Row],[Due date serial]],1,0)</f>
        <v>0</v>
      </c>
      <c r="AC1013" s="65">
        <f>MAX(0,tblWorkPackages[[#This Row],[Completion date serial]]-tblWorkPackages[[#This Row],[Due date serial]])</f>
        <v>0</v>
      </c>
      <c r="AD1013" s="65">
        <f>tblWorkPackages[[#This Row],[First labor date]]-tblWorkPackages[[#This Row],[Request date serial]]</f>
        <v>4</v>
      </c>
      <c r="AE1013" s="65">
        <f>tblWorkPackages[[#This Row],[Last labor date]]-tblWorkPackages[[#This Row],[First labor date]]</f>
        <v>2</v>
      </c>
      <c r="AF1013" s="65">
        <f>tblWorkPackages[[#This Row],[Completion date serial]]-tblWorkPackages[[#This Row],[Last labor date]]</f>
        <v>3</v>
      </c>
      <c r="AG1013" s="65">
        <f>tblWorkPackages[[#This Row],[Completion date serial]]-tblWorkPackages[[#This Row],[Request date serial]]</f>
        <v>9</v>
      </c>
      <c r="AH1013" s="65">
        <f>IFERROR(INDEX(tblParts[Delay days],MATCH(tblWorkPackages[[#This Row],[Work package ID]],tblParts[Work package ID],0)),0)</f>
        <v>0</v>
      </c>
      <c r="AI1013" s="51" t="str">
        <f>IFERROR(INDEX(tblDisruptions[Event type],MATCH(tblWorkPackages[[#This Row],[Work package ID]],tblDisruptions[Work package ID],0)),"None")</f>
        <v>None</v>
      </c>
      <c r="AJ1013" s="51" t="str">
        <f>TEXT(tblWorkPackages[[#This Row],[Due date serial]],"yyyy-mm")</f>
        <v>2024-09</v>
      </c>
    </row>
    <row r="1014" spans="1:36" ht="15" x14ac:dyDescent="0.25">
      <c r="A1014" s="53" t="s">
        <v>1910</v>
      </c>
      <c r="B1014" s="53" t="s">
        <v>141</v>
      </c>
      <c r="C1014" s="53" t="s">
        <v>285</v>
      </c>
      <c r="D1014" s="53" t="s">
        <v>624</v>
      </c>
      <c r="E1014" s="53" t="s">
        <v>160</v>
      </c>
      <c r="F1014" s="53" t="s">
        <v>128</v>
      </c>
      <c r="G1014" s="53" t="s">
        <v>138</v>
      </c>
      <c r="H1014" s="53">
        <v>4</v>
      </c>
      <c r="I1014" s="53" t="s">
        <v>176</v>
      </c>
      <c r="J1014" s="53">
        <v>0</v>
      </c>
      <c r="K1014" s="53">
        <v>0</v>
      </c>
      <c r="L1014" s="53">
        <v>7.5</v>
      </c>
      <c r="M1014" s="53" t="s">
        <v>135</v>
      </c>
      <c r="N1014" s="53">
        <v>6.9</v>
      </c>
      <c r="O1014" s="51" t="str">
        <f>TEXT(tblWorkPackages[[#This Row],[Request date serial]]-WEEKDAY(tblWorkPackages[[#This Row],[Request date serial]],3),"yyyy-mm-dd")</f>
        <v>2025-09-15</v>
      </c>
      <c r="P1014" s="51">
        <f>ABS(tblWorkPackages[[#This Row],[Actual labor hours]]-tblWorkPackages[[#This Row],[Estimated labor hours]])</f>
        <v>0.6</v>
      </c>
      <c r="Q1014" s="51">
        <f>IF(tblWorkPackages[[#This Row],[Actual labor hours]]&gt;tblWorkPackages[[#This Row],[Estimated labor hours]],1,0)</f>
        <v>0</v>
      </c>
      <c r="R1014" s="51">
        <f>tblWorkPackages[[#This Row],[Actual labor hours]]-tblWorkPackages[[#This Row],[Estimated labor hours]]</f>
        <v>-0.6</v>
      </c>
      <c r="S1014" s="51" t="str">
        <f>IF(tblWorkPackages[[#This Row],[Request date serial]]&lt;ValidationStart,"Train 2024",IF(tblWorkPackages[[#This Row],[Request date serial]]&lt;HoldoutStart,"Validation H1","Holdout H2"))</f>
        <v>Holdout H2</v>
      </c>
      <c r="T1014" s="51">
        <f>IF(tblWorkPackages[[#This Row],[Time split]]="Train 2024","",tblWorkPackages[[#This Row],[Estimated labor hours]]+VLOOKUP(tblWorkPackages[[#This Row],[Task type]],'Forecast validation'!$A$14:$E$25,IF(tblWorkPackages[[#This Row],[Time split]]="Validation H1",4,5),FALSE()))</f>
        <v>7.93739837398374</v>
      </c>
      <c r="U1014" s="51">
        <f>IF(tblWorkPackages[[#This Row],[Calibrated forecast hours]]="","",ABS(tblWorkPackages[[#This Row],[Actual labor hours]]-tblWorkPackages[[#This Row],[Calibrated forecast hours]]))</f>
        <v>1.03739837398374</v>
      </c>
      <c r="V1014" s="51">
        <f>IF(tblWorkPackages[[#This Row],[Time split]]="Train 2024",tblWorkPackages[[#This Row],[Estimated labor hours]],tblWorkPackages[[#This Row],[Calibrated forecast hours]])</f>
        <v>7.93739837398374</v>
      </c>
      <c r="W1014" s="64">
        <f>DATEVALUE(tblWorkPackages[[#This Row],[Request date]])</f>
        <v>45915.0</v>
      </c>
      <c r="X1014" s="64">
        <f>DATEVALUE(tblWorkPackages[[#This Row],[Due date]])</f>
        <v>45921.0</v>
      </c>
      <c r="Y1014" s="64">
        <f>DATEVALUE(tblWorkPackages[[#This Row],[Completion date]])</f>
        <v>45918.0</v>
      </c>
      <c r="Z1014" s="64">
        <f>_xlfn.MINIFS(tblLaborEntries[Work date serial],tblLaborEntries[Work package ID],tblWorkPackages[[#This Row],[Work package ID]])</f>
        <v>45916.0</v>
      </c>
      <c r="AA1014" s="64">
        <f>_xlfn.MAXIFS(tblLaborEntries[Work date serial],tblLaborEntries[Work package ID],tblWorkPackages[[#This Row],[Work package ID]])</f>
        <v>45918.0</v>
      </c>
      <c r="AB1014" s="65">
        <f>IF(tblWorkPackages[[#This Row],[Completion date serial]]&gt;tblWorkPackages[[#This Row],[Due date serial]],1,0)</f>
        <v>0</v>
      </c>
      <c r="AC1014" s="65">
        <f>MAX(0,tblWorkPackages[[#This Row],[Completion date serial]]-tblWorkPackages[[#This Row],[Due date serial]])</f>
        <v>0</v>
      </c>
      <c r="AD1014" s="65">
        <f>tblWorkPackages[[#This Row],[First labor date]]-tblWorkPackages[[#This Row],[Request date serial]]</f>
        <v>1</v>
      </c>
      <c r="AE1014" s="65">
        <f>tblWorkPackages[[#This Row],[Last labor date]]-tblWorkPackages[[#This Row],[First labor date]]</f>
        <v>2</v>
      </c>
      <c r="AF1014" s="65">
        <f>tblWorkPackages[[#This Row],[Completion date serial]]-tblWorkPackages[[#This Row],[Last labor date]]</f>
        <v>0</v>
      </c>
      <c r="AG1014" s="65">
        <f>tblWorkPackages[[#This Row],[Completion date serial]]-tblWorkPackages[[#This Row],[Request date serial]]</f>
        <v>3</v>
      </c>
      <c r="AH1014" s="65">
        <f>IFERROR(INDEX(tblParts[Delay days],MATCH(tblWorkPackages[[#This Row],[Work package ID]],tblParts[Work package ID],0)),0)</f>
        <v>0</v>
      </c>
      <c r="AI1014" s="51" t="str">
        <f>IFERROR(INDEX(tblDisruptions[Event type],MATCH(tblWorkPackages[[#This Row],[Work package ID]],tblDisruptions[Work package ID],0)),"None")</f>
        <v>None</v>
      </c>
      <c r="AJ1014" s="51" t="str">
        <f>TEXT(tblWorkPackages[[#This Row],[Due date serial]],"yyyy-mm")</f>
        <v>2025-09</v>
      </c>
    </row>
    <row r="1015" spans="1:36" ht="15" x14ac:dyDescent="0.25">
      <c r="A1015" s="53" t="s">
        <v>1911</v>
      </c>
      <c r="B1015" s="53" t="s">
        <v>185</v>
      </c>
      <c r="C1015" s="53" t="s">
        <v>898</v>
      </c>
      <c r="D1015" s="53" t="s">
        <v>405</v>
      </c>
      <c r="E1015" s="53" t="s">
        <v>136</v>
      </c>
      <c r="F1015" s="53" t="s">
        <v>137</v>
      </c>
      <c r="G1015" s="53" t="s">
        <v>138</v>
      </c>
      <c r="H1015" s="53">
        <v>4</v>
      </c>
      <c r="I1015" s="53" t="s">
        <v>130</v>
      </c>
      <c r="J1015" s="53">
        <v>1</v>
      </c>
      <c r="K1015" s="53">
        <v>1</v>
      </c>
      <c r="L1015" s="53">
        <v>30.6</v>
      </c>
      <c r="M1015" s="53" t="s">
        <v>1108</v>
      </c>
      <c r="N1015" s="53">
        <v>45.5</v>
      </c>
      <c r="O1015" s="51" t="str">
        <f>TEXT(tblWorkPackages[[#This Row],[Request date serial]]-WEEKDAY(tblWorkPackages[[#This Row],[Request date serial]],3),"yyyy-mm-dd")</f>
        <v>2024-05-06</v>
      </c>
      <c r="P1015" s="51">
        <f>ABS(tblWorkPackages[[#This Row],[Actual labor hours]]-tblWorkPackages[[#This Row],[Estimated labor hours]])</f>
        <v>14.9</v>
      </c>
      <c r="Q1015" s="51">
        <f>IF(tblWorkPackages[[#This Row],[Actual labor hours]]&gt;tblWorkPackages[[#This Row],[Estimated labor hours]],1,0)</f>
        <v>1</v>
      </c>
      <c r="R1015" s="51">
        <f>tblWorkPackages[[#This Row],[Actual labor hours]]-tblWorkPackages[[#This Row],[Estimated labor hours]]</f>
        <v>14.9</v>
      </c>
      <c r="S1015" s="51" t="str">
        <f>IF(tblWorkPackages[[#This Row],[Request date serial]]&lt;ValidationStart,"Train 2024",IF(tblWorkPackages[[#This Row],[Request date serial]]&lt;HoldoutStart,"Validation H1","Holdout H2"))</f>
        <v>Train 2024</v>
      </c>
      <c r="T1015" s="51" t="str">
        <f>IF(tblWorkPackages[[#This Row],[Time split]]="Train 2024","",tblWorkPackages[[#This Row],[Estimated labor hours]]+VLOOKUP(tblWorkPackages[[#This Row],[Task type]],'Forecast validation'!$A$14:$E$25,IF(tblWorkPackages[[#This Row],[Time split]]="Validation H1",4,5),FALSE()))</f>
        <v/>
      </c>
      <c r="U1015" s="51" t="str">
        <f>IF(tblWorkPackages[[#This Row],[Calibrated forecast hours]]="","",ABS(tblWorkPackages[[#This Row],[Actual labor hours]]-tblWorkPackages[[#This Row],[Calibrated forecast hours]]))</f>
        <v/>
      </c>
      <c r="V1015" s="51">
        <f>IF(tblWorkPackages[[#This Row],[Time split]]="Train 2024",tblWorkPackages[[#This Row],[Estimated labor hours]],tblWorkPackages[[#This Row],[Calibrated forecast hours]])</f>
        <v>30.6</v>
      </c>
      <c r="W1015" s="64">
        <f>DATEVALUE(tblWorkPackages[[#This Row],[Request date]])</f>
        <v>45420.0</v>
      </c>
      <c r="X1015" s="64">
        <f>DATEVALUE(tblWorkPackages[[#This Row],[Due date]])</f>
        <v>45433.0</v>
      </c>
      <c r="Y1015" s="64">
        <f>DATEVALUE(tblWorkPackages[[#This Row],[Completion date]])</f>
        <v>45437.0</v>
      </c>
      <c r="Z1015" s="64">
        <f>_xlfn.MINIFS(tblLaborEntries[Work date serial],tblLaborEntries[Work package ID],tblWorkPackages[[#This Row],[Work package ID]])</f>
        <v>45435.0</v>
      </c>
      <c r="AA1015" s="64">
        <f>_xlfn.MAXIFS(tblLaborEntries[Work date serial],tblLaborEntries[Work package ID],tblWorkPackages[[#This Row],[Work package ID]])</f>
        <v>45436.0</v>
      </c>
      <c r="AB1015" s="65">
        <f>IF(tblWorkPackages[[#This Row],[Completion date serial]]&gt;tblWorkPackages[[#This Row],[Due date serial]],1,0)</f>
        <v>1</v>
      </c>
      <c r="AC1015" s="65">
        <f>MAX(0,tblWorkPackages[[#This Row],[Completion date serial]]-tblWorkPackages[[#This Row],[Due date serial]])</f>
        <v>4</v>
      </c>
      <c r="AD1015" s="65">
        <f>tblWorkPackages[[#This Row],[First labor date]]-tblWorkPackages[[#This Row],[Request date serial]]</f>
        <v>15</v>
      </c>
      <c r="AE1015" s="65">
        <f>tblWorkPackages[[#This Row],[Last labor date]]-tblWorkPackages[[#This Row],[First labor date]]</f>
        <v>1</v>
      </c>
      <c r="AF1015" s="65">
        <f>tblWorkPackages[[#This Row],[Completion date serial]]-tblWorkPackages[[#This Row],[Last labor date]]</f>
        <v>1</v>
      </c>
      <c r="AG1015" s="65">
        <f>tblWorkPackages[[#This Row],[Completion date serial]]-tblWorkPackages[[#This Row],[Request date serial]]</f>
        <v>17</v>
      </c>
      <c r="AH1015" s="65">
        <f>IFERROR(INDEX(tblParts[Delay days],MATCH(tblWorkPackages[[#This Row],[Work package ID]],tblParts[Work package ID],0)),0)</f>
        <v>5</v>
      </c>
      <c r="AI1015" s="51" t="str">
        <f>IFERROR(INDEX(tblDisruptions[Event type],MATCH(tblWorkPackages[[#This Row],[Work package ID]],tblDisruptions[Work package ID],0)),"None")</f>
        <v>Part delay</v>
      </c>
      <c r="AJ1015" s="51" t="str">
        <f>TEXT(tblWorkPackages[[#This Row],[Due date serial]],"yyyy-mm")</f>
        <v>2024-05</v>
      </c>
    </row>
    <row r="1016" spans="1:36" ht="15" x14ac:dyDescent="0.25">
      <c r="A1016" s="53" t="s">
        <v>1912</v>
      </c>
      <c r="B1016" s="53" t="s">
        <v>168</v>
      </c>
      <c r="C1016" s="53" t="s">
        <v>276</v>
      </c>
      <c r="D1016" s="53" t="s">
        <v>509</v>
      </c>
      <c r="E1016" s="53" t="s">
        <v>153</v>
      </c>
      <c r="F1016" s="53" t="s">
        <v>128</v>
      </c>
      <c r="G1016" s="53" t="s">
        <v>154</v>
      </c>
      <c r="H1016" s="53">
        <v>2</v>
      </c>
      <c r="I1016" s="53" t="s">
        <v>130</v>
      </c>
      <c r="J1016" s="53">
        <v>0</v>
      </c>
      <c r="K1016" s="53">
        <v>0</v>
      </c>
      <c r="L1016" s="53">
        <v>8.6</v>
      </c>
      <c r="M1016" s="53" t="s">
        <v>534</v>
      </c>
      <c r="N1016" s="53">
        <v>12.1</v>
      </c>
      <c r="O1016" s="51" t="str">
        <f>TEXT(tblWorkPackages[[#This Row],[Request date serial]]-WEEKDAY(tblWorkPackages[[#This Row],[Request date serial]],3),"yyyy-mm-dd")</f>
        <v>2024-10-14</v>
      </c>
      <c r="P1016" s="51">
        <f>ABS(tblWorkPackages[[#This Row],[Actual labor hours]]-tblWorkPackages[[#This Row],[Estimated labor hours]])</f>
        <v>3.5</v>
      </c>
      <c r="Q1016" s="51">
        <f>IF(tblWorkPackages[[#This Row],[Actual labor hours]]&gt;tblWorkPackages[[#This Row],[Estimated labor hours]],1,0)</f>
        <v>1</v>
      </c>
      <c r="R1016" s="51">
        <f>tblWorkPackages[[#This Row],[Actual labor hours]]-tblWorkPackages[[#This Row],[Estimated labor hours]]</f>
        <v>3.5</v>
      </c>
      <c r="S1016" s="51" t="str">
        <f>IF(tblWorkPackages[[#This Row],[Request date serial]]&lt;ValidationStart,"Train 2024",IF(tblWorkPackages[[#This Row],[Request date serial]]&lt;HoldoutStart,"Validation H1","Holdout H2"))</f>
        <v>Train 2024</v>
      </c>
      <c r="T1016" s="51" t="str">
        <f>IF(tblWorkPackages[[#This Row],[Time split]]="Train 2024","",tblWorkPackages[[#This Row],[Estimated labor hours]]+VLOOKUP(tblWorkPackages[[#This Row],[Task type]],'Forecast validation'!$A$14:$E$25,IF(tblWorkPackages[[#This Row],[Time split]]="Validation H1",4,5),FALSE()))</f>
        <v/>
      </c>
      <c r="U1016" s="51" t="str">
        <f>IF(tblWorkPackages[[#This Row],[Calibrated forecast hours]]="","",ABS(tblWorkPackages[[#This Row],[Actual labor hours]]-tblWorkPackages[[#This Row],[Calibrated forecast hours]]))</f>
        <v/>
      </c>
      <c r="V1016" s="51">
        <f>IF(tblWorkPackages[[#This Row],[Time split]]="Train 2024",tblWorkPackages[[#This Row],[Estimated labor hours]],tblWorkPackages[[#This Row],[Calibrated forecast hours]])</f>
        <v>8.6</v>
      </c>
      <c r="W1016" s="64">
        <f>DATEVALUE(tblWorkPackages[[#This Row],[Request date]])</f>
        <v>45584.0</v>
      </c>
      <c r="X1016" s="64">
        <f>DATEVALUE(tblWorkPackages[[#This Row],[Due date]])</f>
        <v>45597.0</v>
      </c>
      <c r="Y1016" s="64">
        <f>DATEVALUE(tblWorkPackages[[#This Row],[Completion date]])</f>
        <v>45591.0</v>
      </c>
      <c r="Z1016" s="64">
        <f>_xlfn.MINIFS(tblLaborEntries[Work date serial],tblLaborEntries[Work package ID],tblWorkPackages[[#This Row],[Work package ID]])</f>
        <v>45587.0</v>
      </c>
      <c r="AA1016" s="64">
        <f>_xlfn.MAXIFS(tblLaborEntries[Work date serial],tblLaborEntries[Work package ID],tblWorkPackages[[#This Row],[Work package ID]])</f>
        <v>45589.0</v>
      </c>
      <c r="AB1016" s="65">
        <f>IF(tblWorkPackages[[#This Row],[Completion date serial]]&gt;tblWorkPackages[[#This Row],[Due date serial]],1,0)</f>
        <v>0</v>
      </c>
      <c r="AC1016" s="65">
        <f>MAX(0,tblWorkPackages[[#This Row],[Completion date serial]]-tblWorkPackages[[#This Row],[Due date serial]])</f>
        <v>0</v>
      </c>
      <c r="AD1016" s="65">
        <f>tblWorkPackages[[#This Row],[First labor date]]-tblWorkPackages[[#This Row],[Request date serial]]</f>
        <v>3</v>
      </c>
      <c r="AE1016" s="65">
        <f>tblWorkPackages[[#This Row],[Last labor date]]-tblWorkPackages[[#This Row],[First labor date]]</f>
        <v>2</v>
      </c>
      <c r="AF1016" s="65">
        <f>tblWorkPackages[[#This Row],[Completion date serial]]-tblWorkPackages[[#This Row],[Last labor date]]</f>
        <v>2</v>
      </c>
      <c r="AG1016" s="65">
        <f>tblWorkPackages[[#This Row],[Completion date serial]]-tblWorkPackages[[#This Row],[Request date serial]]</f>
        <v>7</v>
      </c>
      <c r="AH1016" s="65">
        <f>IFERROR(INDEX(tblParts[Delay days],MATCH(tblWorkPackages[[#This Row],[Work package ID]],tblParts[Work package ID],0)),0)</f>
        <v>0</v>
      </c>
      <c r="AI1016" s="51" t="str">
        <f>IFERROR(INDEX(tblDisruptions[Event type],MATCH(tblWorkPackages[[#This Row],[Work package ID]],tblDisruptions[Work package ID],0)),"None")</f>
        <v>Equipment unavailable</v>
      </c>
      <c r="AJ1016" s="51" t="str">
        <f>TEXT(tblWorkPackages[[#This Row],[Due date serial]],"yyyy-mm")</f>
        <v>2024-11</v>
      </c>
    </row>
    <row r="1017" spans="1:36" ht="15" x14ac:dyDescent="0.25">
      <c r="A1017" s="53" t="s">
        <v>1913</v>
      </c>
      <c r="B1017" s="53" t="s">
        <v>230</v>
      </c>
      <c r="C1017" s="53" t="s">
        <v>1044</v>
      </c>
      <c r="D1017" s="53" t="s">
        <v>201</v>
      </c>
      <c r="E1017" s="53" t="s">
        <v>223</v>
      </c>
      <c r="F1017" s="53" t="s">
        <v>182</v>
      </c>
      <c r="G1017" s="53" t="s">
        <v>154</v>
      </c>
      <c r="H1017" s="53">
        <v>3</v>
      </c>
      <c r="I1017" s="53" t="s">
        <v>130</v>
      </c>
      <c r="J1017" s="53">
        <v>0</v>
      </c>
      <c r="K1017" s="53">
        <v>1</v>
      </c>
      <c r="L1017" s="53">
        <v>18.899999999999999</v>
      </c>
      <c r="M1017" s="53" t="s">
        <v>746</v>
      </c>
      <c r="N1017" s="53">
        <v>17.8</v>
      </c>
      <c r="O1017" s="51" t="str">
        <f>TEXT(tblWorkPackages[[#This Row],[Request date serial]]-WEEKDAY(tblWorkPackages[[#This Row],[Request date serial]],3),"yyyy-mm-dd")</f>
        <v>2025-06-09</v>
      </c>
      <c r="P1017" s="51">
        <f>ABS(tblWorkPackages[[#This Row],[Actual labor hours]]-tblWorkPackages[[#This Row],[Estimated labor hours]])</f>
        <v>1.1</v>
      </c>
      <c r="Q1017" s="51">
        <f>IF(tblWorkPackages[[#This Row],[Actual labor hours]]&gt;tblWorkPackages[[#This Row],[Estimated labor hours]],1,0)</f>
        <v>0</v>
      </c>
      <c r="R1017" s="51">
        <f>tblWorkPackages[[#This Row],[Actual labor hours]]-tblWorkPackages[[#This Row],[Estimated labor hours]]</f>
        <v>-1.1</v>
      </c>
      <c r="S1017" s="51" t="str">
        <f>IF(tblWorkPackages[[#This Row],[Request date serial]]&lt;ValidationStart,"Train 2024",IF(tblWorkPackages[[#This Row],[Request date serial]]&lt;HoldoutStart,"Validation H1","Holdout H2"))</f>
        <v>Validation H1</v>
      </c>
      <c r="T1017" s="51">
        <f>IF(tblWorkPackages[[#This Row],[Time split]]="Train 2024","",tblWorkPackages[[#This Row],[Estimated labor hours]]+VLOOKUP(tblWorkPackages[[#This Row],[Task type]],'Forecast validation'!$A$14:$E$25,IF(tblWorkPackages[[#This Row],[Time split]]="Validation H1",4,5),FALSE()))</f>
        <v>19.7824175824176</v>
      </c>
      <c r="U1017" s="51">
        <f>IF(tblWorkPackages[[#This Row],[Calibrated forecast hours]]="","",ABS(tblWorkPackages[[#This Row],[Actual labor hours]]-tblWorkPackages[[#This Row],[Calibrated forecast hours]]))</f>
        <v>1.98241758241758</v>
      </c>
      <c r="V1017" s="51">
        <f>IF(tblWorkPackages[[#This Row],[Time split]]="Train 2024",tblWorkPackages[[#This Row],[Estimated labor hours]],tblWorkPackages[[#This Row],[Calibrated forecast hours]])</f>
        <v>19.7824175824176</v>
      </c>
      <c r="W1017" s="64">
        <f>DATEVALUE(tblWorkPackages[[#This Row],[Request date]])</f>
        <v>45822.0</v>
      </c>
      <c r="X1017" s="64">
        <f>DATEVALUE(tblWorkPackages[[#This Row],[Due date]])</f>
        <v>45835.0</v>
      </c>
      <c r="Y1017" s="64">
        <f>DATEVALUE(tblWorkPackages[[#This Row],[Completion date]])</f>
        <v>45860.0</v>
      </c>
      <c r="Z1017" s="64">
        <f>_xlfn.MINIFS(tblLaborEntries[Work date serial],tblLaborEntries[Work package ID],tblWorkPackages[[#This Row],[Work package ID]])</f>
        <v>45855.0</v>
      </c>
      <c r="AA1017" s="64">
        <f>_xlfn.MAXIFS(tblLaborEntries[Work date serial],tblLaborEntries[Work package ID],tblWorkPackages[[#This Row],[Work package ID]])</f>
        <v>45857.0</v>
      </c>
      <c r="AB1017" s="65">
        <f>IF(tblWorkPackages[[#This Row],[Completion date serial]]&gt;tblWorkPackages[[#This Row],[Due date serial]],1,0)</f>
        <v>1</v>
      </c>
      <c r="AC1017" s="65">
        <f>MAX(0,tblWorkPackages[[#This Row],[Completion date serial]]-tblWorkPackages[[#This Row],[Due date serial]])</f>
        <v>25</v>
      </c>
      <c r="AD1017" s="65">
        <f>tblWorkPackages[[#This Row],[First labor date]]-tblWorkPackages[[#This Row],[Request date serial]]</f>
        <v>33</v>
      </c>
      <c r="AE1017" s="65">
        <f>tblWorkPackages[[#This Row],[Last labor date]]-tblWorkPackages[[#This Row],[First labor date]]</f>
        <v>2</v>
      </c>
      <c r="AF1017" s="65">
        <f>tblWorkPackages[[#This Row],[Completion date serial]]-tblWorkPackages[[#This Row],[Last labor date]]</f>
        <v>3</v>
      </c>
      <c r="AG1017" s="65">
        <f>tblWorkPackages[[#This Row],[Completion date serial]]-tblWorkPackages[[#This Row],[Request date serial]]</f>
        <v>38</v>
      </c>
      <c r="AH1017" s="65">
        <f>IFERROR(INDEX(tblParts[Delay days],MATCH(tblWorkPackages[[#This Row],[Work package ID]],tblParts[Work package ID],0)),0)</f>
        <v>0</v>
      </c>
      <c r="AI1017" s="51" t="str">
        <f>IFERROR(INDEX(tblDisruptions[Event type],MATCH(tblWorkPackages[[#This Row],[Work package ID]],tblDisruptions[Work package ID],0)),"None")</f>
        <v>Technician absence</v>
      </c>
      <c r="AJ1017" s="51" t="str">
        <f>TEXT(tblWorkPackages[[#This Row],[Due date serial]],"yyyy-mm")</f>
        <v>2025-06</v>
      </c>
    </row>
    <row r="1018" spans="1:36" ht="15" x14ac:dyDescent="0.25">
      <c r="A1018" s="53" t="s">
        <v>1914</v>
      </c>
      <c r="B1018" s="53" t="s">
        <v>235</v>
      </c>
      <c r="C1018" s="53" t="s">
        <v>732</v>
      </c>
      <c r="D1018" s="53" t="s">
        <v>1383</v>
      </c>
      <c r="E1018" s="53" t="s">
        <v>200</v>
      </c>
      <c r="F1018" s="53" t="s">
        <v>128</v>
      </c>
      <c r="G1018" s="53" t="s">
        <v>129</v>
      </c>
      <c r="H1018" s="53">
        <v>2</v>
      </c>
      <c r="I1018" s="53" t="s">
        <v>130</v>
      </c>
      <c r="J1018" s="53">
        <v>0</v>
      </c>
      <c r="K1018" s="53">
        <v>0</v>
      </c>
      <c r="L1018" s="53">
        <v>3</v>
      </c>
      <c r="M1018" s="53" t="s">
        <v>1148</v>
      </c>
      <c r="N1018" s="53">
        <v>2.7</v>
      </c>
      <c r="O1018" s="51" t="str">
        <f>TEXT(tblWorkPackages[[#This Row],[Request date serial]]-WEEKDAY(tblWorkPackages[[#This Row],[Request date serial]],3),"yyyy-mm-dd")</f>
        <v>2025-01-13</v>
      </c>
      <c r="P1018" s="51">
        <f>ABS(tblWorkPackages[[#This Row],[Actual labor hours]]-tblWorkPackages[[#This Row],[Estimated labor hours]])</f>
        <v>0.3</v>
      </c>
      <c r="Q1018" s="51">
        <f>IF(tblWorkPackages[[#This Row],[Actual labor hours]]&gt;tblWorkPackages[[#This Row],[Estimated labor hours]],1,0)</f>
        <v>0</v>
      </c>
      <c r="R1018" s="51">
        <f>tblWorkPackages[[#This Row],[Actual labor hours]]-tblWorkPackages[[#This Row],[Estimated labor hours]]</f>
        <v>-0.3</v>
      </c>
      <c r="S1018" s="51" t="str">
        <f>IF(tblWorkPackages[[#This Row],[Request date serial]]&lt;ValidationStart,"Train 2024",IF(tblWorkPackages[[#This Row],[Request date serial]]&lt;HoldoutStart,"Validation H1","Holdout H2"))</f>
        <v>Validation H1</v>
      </c>
      <c r="T1018" s="51">
        <f>IF(tblWorkPackages[[#This Row],[Time split]]="Train 2024","",tblWorkPackages[[#This Row],[Estimated labor hours]]+VLOOKUP(tblWorkPackages[[#This Row],[Task type]],'Forecast validation'!$A$14:$E$25,IF(tblWorkPackages[[#This Row],[Time split]]="Validation H1",4,5),FALSE()))</f>
        <v>3.33069306930693</v>
      </c>
      <c r="U1018" s="51">
        <f>IF(tblWorkPackages[[#This Row],[Calibrated forecast hours]]="","",ABS(tblWorkPackages[[#This Row],[Actual labor hours]]-tblWorkPackages[[#This Row],[Calibrated forecast hours]]))</f>
        <v>0.63069306930693</v>
      </c>
      <c r="V1018" s="51">
        <f>IF(tblWorkPackages[[#This Row],[Time split]]="Train 2024",tblWorkPackages[[#This Row],[Estimated labor hours]],tblWorkPackages[[#This Row],[Calibrated forecast hours]])</f>
        <v>3.33069306930693</v>
      </c>
      <c r="W1018" s="64">
        <f>DATEVALUE(tblWorkPackages[[#This Row],[Request date]])</f>
        <v>45670.0</v>
      </c>
      <c r="X1018" s="64">
        <f>DATEVALUE(tblWorkPackages[[#This Row],[Due date]])</f>
        <v>45683.0</v>
      </c>
      <c r="Y1018" s="64">
        <f>DATEVALUE(tblWorkPackages[[#This Row],[Completion date]])</f>
        <v>45678.0</v>
      </c>
      <c r="Z1018" s="64">
        <f>_xlfn.MINIFS(tblLaborEntries[Work date serial],tblLaborEntries[Work package ID],tblWorkPackages[[#This Row],[Work package ID]])</f>
        <v>45676.0</v>
      </c>
      <c r="AA1018" s="64">
        <f>_xlfn.MAXIFS(tblLaborEntries[Work date serial],tblLaborEntries[Work package ID],tblWorkPackages[[#This Row],[Work package ID]])</f>
        <v>45678.0</v>
      </c>
      <c r="AB1018" s="65">
        <f>IF(tblWorkPackages[[#This Row],[Completion date serial]]&gt;tblWorkPackages[[#This Row],[Due date serial]],1,0)</f>
        <v>0</v>
      </c>
      <c r="AC1018" s="65">
        <f>MAX(0,tblWorkPackages[[#This Row],[Completion date serial]]-tblWorkPackages[[#This Row],[Due date serial]])</f>
        <v>0</v>
      </c>
      <c r="AD1018" s="65">
        <f>tblWorkPackages[[#This Row],[First labor date]]-tblWorkPackages[[#This Row],[Request date serial]]</f>
        <v>6</v>
      </c>
      <c r="AE1018" s="65">
        <f>tblWorkPackages[[#This Row],[Last labor date]]-tblWorkPackages[[#This Row],[First labor date]]</f>
        <v>2</v>
      </c>
      <c r="AF1018" s="65">
        <f>tblWorkPackages[[#This Row],[Completion date serial]]-tblWorkPackages[[#This Row],[Last labor date]]</f>
        <v>0</v>
      </c>
      <c r="AG1018" s="65">
        <f>tblWorkPackages[[#This Row],[Completion date serial]]-tblWorkPackages[[#This Row],[Request date serial]]</f>
        <v>8</v>
      </c>
      <c r="AH1018" s="65">
        <f>IFERROR(INDEX(tblParts[Delay days],MATCH(tblWorkPackages[[#This Row],[Work package ID]],tblParts[Work package ID],0)),0)</f>
        <v>0</v>
      </c>
      <c r="AI1018" s="51" t="str">
        <f>IFERROR(INDEX(tblDisruptions[Event type],MATCH(tblWorkPackages[[#This Row],[Work package ID]],tblDisruptions[Work package ID],0)),"None")</f>
        <v>None</v>
      </c>
      <c r="AJ1018" s="51" t="str">
        <f>TEXT(tblWorkPackages[[#This Row],[Due date serial]],"yyyy-mm")</f>
        <v>2025-01</v>
      </c>
    </row>
    <row r="1019" spans="1:36" ht="15" x14ac:dyDescent="0.25">
      <c r="A1019" s="53" t="s">
        <v>1915</v>
      </c>
      <c r="B1019" s="53" t="s">
        <v>124</v>
      </c>
      <c r="C1019" s="53" t="s">
        <v>1180</v>
      </c>
      <c r="D1019" s="53" t="s">
        <v>616</v>
      </c>
      <c r="E1019" s="53" t="s">
        <v>181</v>
      </c>
      <c r="F1019" s="53" t="s">
        <v>182</v>
      </c>
      <c r="G1019" s="53" t="s">
        <v>138</v>
      </c>
      <c r="H1019" s="53">
        <v>2</v>
      </c>
      <c r="I1019" s="53" t="s">
        <v>147</v>
      </c>
      <c r="J1019" s="53">
        <v>0</v>
      </c>
      <c r="K1019" s="53">
        <v>0</v>
      </c>
      <c r="L1019" s="53">
        <v>8.1999999999999993</v>
      </c>
      <c r="M1019" s="53" t="s">
        <v>490</v>
      </c>
      <c r="N1019" s="53">
        <v>9.1</v>
      </c>
      <c r="O1019" s="51" t="str">
        <f>TEXT(tblWorkPackages[[#This Row],[Request date serial]]-WEEKDAY(tblWorkPackages[[#This Row],[Request date serial]],3),"yyyy-mm-dd")</f>
        <v>2024-02-05</v>
      </c>
      <c r="P1019" s="51">
        <f>ABS(tblWorkPackages[[#This Row],[Actual labor hours]]-tblWorkPackages[[#This Row],[Estimated labor hours]])</f>
        <v>0.9</v>
      </c>
      <c r="Q1019" s="51">
        <f>IF(tblWorkPackages[[#This Row],[Actual labor hours]]&gt;tblWorkPackages[[#This Row],[Estimated labor hours]],1,0)</f>
        <v>1</v>
      </c>
      <c r="R1019" s="51">
        <f>tblWorkPackages[[#This Row],[Actual labor hours]]-tblWorkPackages[[#This Row],[Estimated labor hours]]</f>
        <v>0.9</v>
      </c>
      <c r="S1019" s="51" t="str">
        <f>IF(tblWorkPackages[[#This Row],[Request date serial]]&lt;ValidationStart,"Train 2024",IF(tblWorkPackages[[#This Row],[Request date serial]]&lt;HoldoutStart,"Validation H1","Holdout H2"))</f>
        <v>Train 2024</v>
      </c>
      <c r="T1019" s="51" t="str">
        <f>IF(tblWorkPackages[[#This Row],[Time split]]="Train 2024","",tblWorkPackages[[#This Row],[Estimated labor hours]]+VLOOKUP(tblWorkPackages[[#This Row],[Task type]],'Forecast validation'!$A$14:$E$25,IF(tblWorkPackages[[#This Row],[Time split]]="Validation H1",4,5),FALSE()))</f>
        <v/>
      </c>
      <c r="U1019" s="51" t="str">
        <f>IF(tblWorkPackages[[#This Row],[Calibrated forecast hours]]="","",ABS(tblWorkPackages[[#This Row],[Actual labor hours]]-tblWorkPackages[[#This Row],[Calibrated forecast hours]]))</f>
        <v/>
      </c>
      <c r="V1019" s="51">
        <f>IF(tblWorkPackages[[#This Row],[Time split]]="Train 2024",tblWorkPackages[[#This Row],[Estimated labor hours]],tblWorkPackages[[#This Row],[Calibrated forecast hours]])</f>
        <v>8.2</v>
      </c>
      <c r="W1019" s="64">
        <f>DATEVALUE(tblWorkPackages[[#This Row],[Request date]])</f>
        <v>45327.0</v>
      </c>
      <c r="X1019" s="64">
        <f>DATEVALUE(tblWorkPackages[[#This Row],[Due date]])</f>
        <v>45329.0</v>
      </c>
      <c r="Y1019" s="64">
        <f>DATEVALUE(tblWorkPackages[[#This Row],[Completion date]])</f>
        <v>45332.0</v>
      </c>
      <c r="Z1019" s="64">
        <f>_xlfn.MINIFS(tblLaborEntries[Work date serial],tblLaborEntries[Work package ID],tblWorkPackages[[#This Row],[Work package ID]])</f>
        <v>45329.0</v>
      </c>
      <c r="AA1019" s="64">
        <f>_xlfn.MAXIFS(tblLaborEntries[Work date serial],tblLaborEntries[Work package ID],tblWorkPackages[[#This Row],[Work package ID]])</f>
        <v>45331.0</v>
      </c>
      <c r="AB1019" s="65">
        <f>IF(tblWorkPackages[[#This Row],[Completion date serial]]&gt;tblWorkPackages[[#This Row],[Due date serial]],1,0)</f>
        <v>1</v>
      </c>
      <c r="AC1019" s="65">
        <f>MAX(0,tblWorkPackages[[#This Row],[Completion date serial]]-tblWorkPackages[[#This Row],[Due date serial]])</f>
        <v>3</v>
      </c>
      <c r="AD1019" s="65">
        <f>tblWorkPackages[[#This Row],[First labor date]]-tblWorkPackages[[#This Row],[Request date serial]]</f>
        <v>2</v>
      </c>
      <c r="AE1019" s="65">
        <f>tblWorkPackages[[#This Row],[Last labor date]]-tblWorkPackages[[#This Row],[First labor date]]</f>
        <v>2</v>
      </c>
      <c r="AF1019" s="65">
        <f>tblWorkPackages[[#This Row],[Completion date serial]]-tblWorkPackages[[#This Row],[Last labor date]]</f>
        <v>1</v>
      </c>
      <c r="AG1019" s="65">
        <f>tblWorkPackages[[#This Row],[Completion date serial]]-tblWorkPackages[[#This Row],[Request date serial]]</f>
        <v>5</v>
      </c>
      <c r="AH1019" s="65">
        <f>IFERROR(INDEX(tblParts[Delay days],MATCH(tblWorkPackages[[#This Row],[Work package ID]],tblParts[Work package ID],0)),0)</f>
        <v>0</v>
      </c>
      <c r="AI1019" s="51" t="str">
        <f>IFERROR(INDEX(tblDisruptions[Event type],MATCH(tblWorkPackages[[#This Row],[Work package ID]],tblDisruptions[Work package ID],0)),"None")</f>
        <v>None</v>
      </c>
      <c r="AJ1019" s="51" t="str">
        <f>TEXT(tblWorkPackages[[#This Row],[Due date serial]],"yyyy-mm")</f>
        <v>2024-02</v>
      </c>
    </row>
    <row r="1020" spans="1:36" ht="15" x14ac:dyDescent="0.25">
      <c r="A1020" s="53" t="s">
        <v>1916</v>
      </c>
      <c r="B1020" s="53" t="s">
        <v>235</v>
      </c>
      <c r="C1020" s="53" t="s">
        <v>960</v>
      </c>
      <c r="D1020" s="53" t="s">
        <v>206</v>
      </c>
      <c r="E1020" s="53" t="s">
        <v>160</v>
      </c>
      <c r="F1020" s="53" t="s">
        <v>128</v>
      </c>
      <c r="G1020" s="53" t="s">
        <v>138</v>
      </c>
      <c r="H1020" s="53">
        <v>4</v>
      </c>
      <c r="I1020" s="53" t="s">
        <v>130</v>
      </c>
      <c r="J1020" s="53">
        <v>0</v>
      </c>
      <c r="K1020" s="53">
        <v>0</v>
      </c>
      <c r="L1020" s="53">
        <v>7.3</v>
      </c>
      <c r="M1020" s="53" t="s">
        <v>890</v>
      </c>
      <c r="N1020" s="53">
        <v>8.9</v>
      </c>
      <c r="O1020" s="51" t="str">
        <f>TEXT(tblWorkPackages[[#This Row],[Request date serial]]-WEEKDAY(tblWorkPackages[[#This Row],[Request date serial]],3),"yyyy-mm-dd")</f>
        <v>2024-10-28</v>
      </c>
      <c r="P1020" s="51">
        <f>ABS(tblWorkPackages[[#This Row],[Actual labor hours]]-tblWorkPackages[[#This Row],[Estimated labor hours]])</f>
        <v>1.6</v>
      </c>
      <c r="Q1020" s="51">
        <f>IF(tblWorkPackages[[#This Row],[Actual labor hours]]&gt;tblWorkPackages[[#This Row],[Estimated labor hours]],1,0)</f>
        <v>1</v>
      </c>
      <c r="R1020" s="51">
        <f>tblWorkPackages[[#This Row],[Actual labor hours]]-tblWorkPackages[[#This Row],[Estimated labor hours]]</f>
        <v>1.6</v>
      </c>
      <c r="S1020" s="51" t="str">
        <f>IF(tblWorkPackages[[#This Row],[Request date serial]]&lt;ValidationStart,"Train 2024",IF(tblWorkPackages[[#This Row],[Request date serial]]&lt;HoldoutStart,"Validation H1","Holdout H2"))</f>
        <v>Train 2024</v>
      </c>
      <c r="T1020" s="51" t="str">
        <f>IF(tblWorkPackages[[#This Row],[Time split]]="Train 2024","",tblWorkPackages[[#This Row],[Estimated labor hours]]+VLOOKUP(tblWorkPackages[[#This Row],[Task type]],'Forecast validation'!$A$14:$E$25,IF(tblWorkPackages[[#This Row],[Time split]]="Validation H1",4,5),FALSE()))</f>
        <v/>
      </c>
      <c r="U1020" s="51" t="str">
        <f>IF(tblWorkPackages[[#This Row],[Calibrated forecast hours]]="","",ABS(tblWorkPackages[[#This Row],[Actual labor hours]]-tblWorkPackages[[#This Row],[Calibrated forecast hours]]))</f>
        <v/>
      </c>
      <c r="V1020" s="51">
        <f>IF(tblWorkPackages[[#This Row],[Time split]]="Train 2024",tblWorkPackages[[#This Row],[Estimated labor hours]],tblWorkPackages[[#This Row],[Calibrated forecast hours]])</f>
        <v>7.3</v>
      </c>
      <c r="W1020" s="64">
        <f>DATEVALUE(tblWorkPackages[[#This Row],[Request date]])</f>
        <v>45594.0</v>
      </c>
      <c r="X1020" s="64">
        <f>DATEVALUE(tblWorkPackages[[#This Row],[Due date]])</f>
        <v>45607.0</v>
      </c>
      <c r="Y1020" s="64">
        <f>DATEVALUE(tblWorkPackages[[#This Row],[Completion date]])</f>
        <v>45613.0</v>
      </c>
      <c r="Z1020" s="64">
        <f>_xlfn.MINIFS(tblLaborEntries[Work date serial],tblLaborEntries[Work package ID],tblWorkPackages[[#This Row],[Work package ID]])</f>
        <v>45609.0</v>
      </c>
      <c r="AA1020" s="64">
        <f>_xlfn.MAXIFS(tblLaborEntries[Work date serial],tblLaborEntries[Work package ID],tblWorkPackages[[#This Row],[Work package ID]])</f>
        <v>45611.0</v>
      </c>
      <c r="AB1020" s="65">
        <f>IF(tblWorkPackages[[#This Row],[Completion date serial]]&gt;tblWorkPackages[[#This Row],[Due date serial]],1,0)</f>
        <v>1</v>
      </c>
      <c r="AC1020" s="65">
        <f>MAX(0,tblWorkPackages[[#This Row],[Completion date serial]]-tblWorkPackages[[#This Row],[Due date serial]])</f>
        <v>6</v>
      </c>
      <c r="AD1020" s="65">
        <f>tblWorkPackages[[#This Row],[First labor date]]-tblWorkPackages[[#This Row],[Request date serial]]</f>
        <v>15</v>
      </c>
      <c r="AE1020" s="65">
        <f>tblWorkPackages[[#This Row],[Last labor date]]-tblWorkPackages[[#This Row],[First labor date]]</f>
        <v>2</v>
      </c>
      <c r="AF1020" s="65">
        <f>tblWorkPackages[[#This Row],[Completion date serial]]-tblWorkPackages[[#This Row],[Last labor date]]</f>
        <v>2</v>
      </c>
      <c r="AG1020" s="65">
        <f>tblWorkPackages[[#This Row],[Completion date serial]]-tblWorkPackages[[#This Row],[Request date serial]]</f>
        <v>19</v>
      </c>
      <c r="AH1020" s="65">
        <f>IFERROR(INDEX(tblParts[Delay days],MATCH(tblWorkPackages[[#This Row],[Work package ID]],tblParts[Work package ID],0)),0)</f>
        <v>0</v>
      </c>
      <c r="AI1020" s="51" t="str">
        <f>IFERROR(INDEX(tblDisruptions[Event type],MATCH(tblWorkPackages[[#This Row],[Work package ID]],tblDisruptions[Work package ID],0)),"None")</f>
        <v>None</v>
      </c>
      <c r="AJ1020" s="51" t="str">
        <f>TEXT(tblWorkPackages[[#This Row],[Due date serial]],"yyyy-mm")</f>
        <v>2024-11</v>
      </c>
    </row>
    <row r="1021" spans="1:36" ht="15" x14ac:dyDescent="0.25">
      <c r="A1021" s="53" t="s">
        <v>1917</v>
      </c>
      <c r="B1021" s="53" t="s">
        <v>124</v>
      </c>
      <c r="C1021" s="53" t="s">
        <v>1244</v>
      </c>
      <c r="D1021" s="53" t="s">
        <v>1838</v>
      </c>
      <c r="E1021" s="53" t="s">
        <v>127</v>
      </c>
      <c r="F1021" s="53" t="s">
        <v>128</v>
      </c>
      <c r="G1021" s="53" t="s">
        <v>129</v>
      </c>
      <c r="H1021" s="53">
        <v>3</v>
      </c>
      <c r="I1021" s="53" t="s">
        <v>130</v>
      </c>
      <c r="J1021" s="53">
        <v>0</v>
      </c>
      <c r="K1021" s="53">
        <v>0</v>
      </c>
      <c r="L1021" s="53">
        <v>11.1</v>
      </c>
      <c r="M1021" s="53" t="s">
        <v>236</v>
      </c>
      <c r="N1021" s="53">
        <v>13</v>
      </c>
      <c r="O1021" s="51" t="str">
        <f>TEXT(tblWorkPackages[[#This Row],[Request date serial]]-WEEKDAY(tblWorkPackages[[#This Row],[Request date serial]],3),"yyyy-mm-dd")</f>
        <v>2025-04-21</v>
      </c>
      <c r="P1021" s="51">
        <f>ABS(tblWorkPackages[[#This Row],[Actual labor hours]]-tblWorkPackages[[#This Row],[Estimated labor hours]])</f>
        <v>1.9</v>
      </c>
      <c r="Q1021" s="51">
        <f>IF(tblWorkPackages[[#This Row],[Actual labor hours]]&gt;tblWorkPackages[[#This Row],[Estimated labor hours]],1,0)</f>
        <v>1</v>
      </c>
      <c r="R1021" s="51">
        <f>tblWorkPackages[[#This Row],[Actual labor hours]]-tblWorkPackages[[#This Row],[Estimated labor hours]]</f>
        <v>1.9</v>
      </c>
      <c r="S1021" s="51" t="str">
        <f>IF(tblWorkPackages[[#This Row],[Request date serial]]&lt;ValidationStart,"Train 2024",IF(tblWorkPackages[[#This Row],[Request date serial]]&lt;HoldoutStart,"Validation H1","Holdout H2"))</f>
        <v>Validation H1</v>
      </c>
      <c r="T1021" s="51">
        <f>IF(tblWorkPackages[[#This Row],[Time split]]="Train 2024","",tblWorkPackages[[#This Row],[Estimated labor hours]]+VLOOKUP(tblWorkPackages[[#This Row],[Task type]],'Forecast validation'!$A$14:$E$25,IF(tblWorkPackages[[#This Row],[Time split]]="Validation H1",4,5),FALSE()))</f>
        <v>11.575641025641</v>
      </c>
      <c r="U1021" s="51">
        <f>IF(tblWorkPackages[[#This Row],[Calibrated forecast hours]]="","",ABS(tblWorkPackages[[#This Row],[Actual labor hours]]-tblWorkPackages[[#This Row],[Calibrated forecast hours]]))</f>
        <v>1.42435897435898</v>
      </c>
      <c r="V1021" s="51">
        <f>IF(tblWorkPackages[[#This Row],[Time split]]="Train 2024",tblWorkPackages[[#This Row],[Estimated labor hours]],tblWorkPackages[[#This Row],[Calibrated forecast hours]])</f>
        <v>11.575641025641</v>
      </c>
      <c r="W1021" s="64">
        <f>DATEVALUE(tblWorkPackages[[#This Row],[Request date]])</f>
        <v>45773.0</v>
      </c>
      <c r="X1021" s="64">
        <f>DATEVALUE(tblWorkPackages[[#This Row],[Due date]])</f>
        <v>45786.0</v>
      </c>
      <c r="Y1021" s="64">
        <f>DATEVALUE(tblWorkPackages[[#This Row],[Completion date]])</f>
        <v>45782.0</v>
      </c>
      <c r="Z1021" s="64">
        <f>_xlfn.MINIFS(tblLaborEntries[Work date serial],tblLaborEntries[Work package ID],tblWorkPackages[[#This Row],[Work package ID]])</f>
        <v>45777.0</v>
      </c>
      <c r="AA1021" s="64">
        <f>_xlfn.MAXIFS(tblLaborEntries[Work date serial],tblLaborEntries[Work package ID],tblWorkPackages[[#This Row],[Work package ID]])</f>
        <v>45779.0</v>
      </c>
      <c r="AB1021" s="65">
        <f>IF(tblWorkPackages[[#This Row],[Completion date serial]]&gt;tblWorkPackages[[#This Row],[Due date serial]],1,0)</f>
        <v>0</v>
      </c>
      <c r="AC1021" s="65">
        <f>MAX(0,tblWorkPackages[[#This Row],[Completion date serial]]-tblWorkPackages[[#This Row],[Due date serial]])</f>
        <v>0</v>
      </c>
      <c r="AD1021" s="65">
        <f>tblWorkPackages[[#This Row],[First labor date]]-tblWorkPackages[[#This Row],[Request date serial]]</f>
        <v>4</v>
      </c>
      <c r="AE1021" s="65">
        <f>tblWorkPackages[[#This Row],[Last labor date]]-tblWorkPackages[[#This Row],[First labor date]]</f>
        <v>2</v>
      </c>
      <c r="AF1021" s="65">
        <f>tblWorkPackages[[#This Row],[Completion date serial]]-tblWorkPackages[[#This Row],[Last labor date]]</f>
        <v>3</v>
      </c>
      <c r="AG1021" s="65">
        <f>tblWorkPackages[[#This Row],[Completion date serial]]-tblWorkPackages[[#This Row],[Request date serial]]</f>
        <v>9</v>
      </c>
      <c r="AH1021" s="65">
        <f>IFERROR(INDEX(tblParts[Delay days],MATCH(tblWorkPackages[[#This Row],[Work package ID]],tblParts[Work package ID],0)),0)</f>
        <v>0</v>
      </c>
      <c r="AI1021" s="51" t="str">
        <f>IFERROR(INDEX(tblDisruptions[Event type],MATCH(tblWorkPackages[[#This Row],[Work package ID]],tblDisruptions[Work package ID],0)),"None")</f>
        <v>None</v>
      </c>
      <c r="AJ1021" s="51" t="str">
        <f>TEXT(tblWorkPackages[[#This Row],[Due date serial]],"yyyy-mm")</f>
        <v>2025-05</v>
      </c>
    </row>
    <row r="1022" spans="1:36" ht="15" x14ac:dyDescent="0.25">
      <c r="A1022" s="53" t="s">
        <v>1918</v>
      </c>
      <c r="B1022" s="53" t="s">
        <v>203</v>
      </c>
      <c r="C1022" s="53" t="s">
        <v>576</v>
      </c>
      <c r="D1022" s="53" t="s">
        <v>451</v>
      </c>
      <c r="E1022" s="53" t="s">
        <v>223</v>
      </c>
      <c r="F1022" s="53" t="s">
        <v>182</v>
      </c>
      <c r="G1022" s="53" t="s">
        <v>154</v>
      </c>
      <c r="H1022" s="53">
        <v>3</v>
      </c>
      <c r="I1022" s="53" t="s">
        <v>130</v>
      </c>
      <c r="J1022" s="53">
        <v>0</v>
      </c>
      <c r="K1022" s="53">
        <v>0</v>
      </c>
      <c r="L1022" s="53">
        <v>16.5</v>
      </c>
      <c r="M1022" s="53" t="s">
        <v>929</v>
      </c>
      <c r="N1022" s="53">
        <v>14.8</v>
      </c>
      <c r="O1022" s="51" t="str">
        <f>TEXT(tblWorkPackages[[#This Row],[Request date serial]]-WEEKDAY(tblWorkPackages[[#This Row],[Request date serial]],3),"yyyy-mm-dd")</f>
        <v>2024-06-24</v>
      </c>
      <c r="P1022" s="51">
        <f>ABS(tblWorkPackages[[#This Row],[Actual labor hours]]-tblWorkPackages[[#This Row],[Estimated labor hours]])</f>
        <v>1.7</v>
      </c>
      <c r="Q1022" s="51">
        <f>IF(tblWorkPackages[[#This Row],[Actual labor hours]]&gt;tblWorkPackages[[#This Row],[Estimated labor hours]],1,0)</f>
        <v>0</v>
      </c>
      <c r="R1022" s="51">
        <f>tblWorkPackages[[#This Row],[Actual labor hours]]-tblWorkPackages[[#This Row],[Estimated labor hours]]</f>
        <v>-1.7</v>
      </c>
      <c r="S1022" s="51" t="str">
        <f>IF(tblWorkPackages[[#This Row],[Request date serial]]&lt;ValidationStart,"Train 2024",IF(tblWorkPackages[[#This Row],[Request date serial]]&lt;HoldoutStart,"Validation H1","Holdout H2"))</f>
        <v>Train 2024</v>
      </c>
      <c r="T1022" s="51" t="str">
        <f>IF(tblWorkPackages[[#This Row],[Time split]]="Train 2024","",tblWorkPackages[[#This Row],[Estimated labor hours]]+VLOOKUP(tblWorkPackages[[#This Row],[Task type]],'Forecast validation'!$A$14:$E$25,IF(tblWorkPackages[[#This Row],[Time split]]="Validation H1",4,5),FALSE()))</f>
        <v/>
      </c>
      <c r="U1022" s="51" t="str">
        <f>IF(tblWorkPackages[[#This Row],[Calibrated forecast hours]]="","",ABS(tblWorkPackages[[#This Row],[Actual labor hours]]-tblWorkPackages[[#This Row],[Calibrated forecast hours]]))</f>
        <v/>
      </c>
      <c r="V1022" s="51">
        <f>IF(tblWorkPackages[[#This Row],[Time split]]="Train 2024",tblWorkPackages[[#This Row],[Estimated labor hours]],tblWorkPackages[[#This Row],[Calibrated forecast hours]])</f>
        <v>16.5</v>
      </c>
      <c r="W1022" s="64">
        <f>DATEVALUE(tblWorkPackages[[#This Row],[Request date]])</f>
        <v>45471.0</v>
      </c>
      <c r="X1022" s="64">
        <f>DATEVALUE(tblWorkPackages[[#This Row],[Due date]])</f>
        <v>45484.0</v>
      </c>
      <c r="Y1022" s="64">
        <f>DATEVALUE(tblWorkPackages[[#This Row],[Completion date]])</f>
        <v>45473.0</v>
      </c>
      <c r="Z1022" s="64">
        <f>_xlfn.MINIFS(tblLaborEntries[Work date serial],tblLaborEntries[Work package ID],tblWorkPackages[[#This Row],[Work package ID]])</f>
        <v>45472.0</v>
      </c>
      <c r="AA1022" s="64">
        <f>_xlfn.MAXIFS(tblLaborEntries[Work date serial],tblLaborEntries[Work package ID],tblWorkPackages[[#This Row],[Work package ID]])</f>
        <v>45473.0</v>
      </c>
      <c r="AB1022" s="65">
        <f>IF(tblWorkPackages[[#This Row],[Completion date serial]]&gt;tblWorkPackages[[#This Row],[Due date serial]],1,0)</f>
        <v>0</v>
      </c>
      <c r="AC1022" s="65">
        <f>MAX(0,tblWorkPackages[[#This Row],[Completion date serial]]-tblWorkPackages[[#This Row],[Due date serial]])</f>
        <v>0</v>
      </c>
      <c r="AD1022" s="65">
        <f>tblWorkPackages[[#This Row],[First labor date]]-tblWorkPackages[[#This Row],[Request date serial]]</f>
        <v>1</v>
      </c>
      <c r="AE1022" s="65">
        <f>tblWorkPackages[[#This Row],[Last labor date]]-tblWorkPackages[[#This Row],[First labor date]]</f>
        <v>1</v>
      </c>
      <c r="AF1022" s="65">
        <f>tblWorkPackages[[#This Row],[Completion date serial]]-tblWorkPackages[[#This Row],[Last labor date]]</f>
        <v>0</v>
      </c>
      <c r="AG1022" s="65">
        <f>tblWorkPackages[[#This Row],[Completion date serial]]-tblWorkPackages[[#This Row],[Request date serial]]</f>
        <v>2</v>
      </c>
      <c r="AH1022" s="65">
        <f>IFERROR(INDEX(tblParts[Delay days],MATCH(tblWorkPackages[[#This Row],[Work package ID]],tblParts[Work package ID],0)),0)</f>
        <v>0</v>
      </c>
      <c r="AI1022" s="51" t="str">
        <f>IFERROR(INDEX(tblDisruptions[Event type],MATCH(tblWorkPackages[[#This Row],[Work package ID]],tblDisruptions[Work package ID],0)),"None")</f>
        <v>None</v>
      </c>
      <c r="AJ1022" s="51" t="str">
        <f>TEXT(tblWorkPackages[[#This Row],[Due date serial]],"yyyy-mm")</f>
        <v>2024-07</v>
      </c>
    </row>
    <row r="1023" spans="1:36" ht="15" x14ac:dyDescent="0.25">
      <c r="A1023" s="53" t="s">
        <v>1919</v>
      </c>
      <c r="B1023" s="53" t="s">
        <v>173</v>
      </c>
      <c r="C1023" s="53" t="s">
        <v>1620</v>
      </c>
      <c r="D1023" s="53" t="s">
        <v>1192</v>
      </c>
      <c r="E1023" s="53" t="s">
        <v>223</v>
      </c>
      <c r="F1023" s="53" t="s">
        <v>182</v>
      </c>
      <c r="G1023" s="53" t="s">
        <v>154</v>
      </c>
      <c r="H1023" s="53">
        <v>1</v>
      </c>
      <c r="I1023" s="53" t="s">
        <v>176</v>
      </c>
      <c r="J1023" s="53">
        <v>0</v>
      </c>
      <c r="K1023" s="53">
        <v>0</v>
      </c>
      <c r="L1023" s="53">
        <v>8.6</v>
      </c>
      <c r="M1023" s="53" t="s">
        <v>687</v>
      </c>
      <c r="N1023" s="53">
        <v>8.8000000000000007</v>
      </c>
      <c r="O1023" s="51" t="str">
        <f>TEXT(tblWorkPackages[[#This Row],[Request date serial]]-WEEKDAY(tblWorkPackages[[#This Row],[Request date serial]],3),"yyyy-mm-dd")</f>
        <v>2025-03-24</v>
      </c>
      <c r="P1023" s="51">
        <f>ABS(tblWorkPackages[[#This Row],[Actual labor hours]]-tblWorkPackages[[#This Row],[Estimated labor hours]])</f>
        <v>0.200000000000001</v>
      </c>
      <c r="Q1023" s="51">
        <f>IF(tblWorkPackages[[#This Row],[Actual labor hours]]&gt;tblWorkPackages[[#This Row],[Estimated labor hours]],1,0)</f>
        <v>1</v>
      </c>
      <c r="R1023" s="51">
        <f>tblWorkPackages[[#This Row],[Actual labor hours]]-tblWorkPackages[[#This Row],[Estimated labor hours]]</f>
        <v>0.200000000000001</v>
      </c>
      <c r="S1023" s="51" t="str">
        <f>IF(tblWorkPackages[[#This Row],[Request date serial]]&lt;ValidationStart,"Train 2024",IF(tblWorkPackages[[#This Row],[Request date serial]]&lt;HoldoutStart,"Validation H1","Holdout H2"))</f>
        <v>Validation H1</v>
      </c>
      <c r="T1023" s="51">
        <f>IF(tblWorkPackages[[#This Row],[Time split]]="Train 2024","",tblWorkPackages[[#This Row],[Estimated labor hours]]+VLOOKUP(tblWorkPackages[[#This Row],[Task type]],'Forecast validation'!$A$14:$E$25,IF(tblWorkPackages[[#This Row],[Time split]]="Validation H1",4,5),FALSE()))</f>
        <v>9.48241758241758</v>
      </c>
      <c r="U1023" s="51">
        <f>IF(tblWorkPackages[[#This Row],[Calibrated forecast hours]]="","",ABS(tblWorkPackages[[#This Row],[Actual labor hours]]-tblWorkPackages[[#This Row],[Calibrated forecast hours]]))</f>
        <v>0.682417582417582</v>
      </c>
      <c r="V1023" s="51">
        <f>IF(tblWorkPackages[[#This Row],[Time split]]="Train 2024",tblWorkPackages[[#This Row],[Estimated labor hours]],tblWorkPackages[[#This Row],[Calibrated forecast hours]])</f>
        <v>9.48241758241758</v>
      </c>
      <c r="W1023" s="64">
        <f>DATEVALUE(tblWorkPackages[[#This Row],[Request date]])</f>
        <v>45741.0</v>
      </c>
      <c r="X1023" s="64">
        <f>DATEVALUE(tblWorkPackages[[#This Row],[Due date]])</f>
        <v>45747.0</v>
      </c>
      <c r="Y1023" s="64">
        <f>DATEVALUE(tblWorkPackages[[#This Row],[Completion date]])</f>
        <v>45753.0</v>
      </c>
      <c r="Z1023" s="64">
        <f>_xlfn.MINIFS(tblLaborEntries[Work date serial],tblLaborEntries[Work package ID],tblWorkPackages[[#This Row],[Work package ID]])</f>
        <v>45750.0</v>
      </c>
      <c r="AA1023" s="64">
        <f>_xlfn.MAXIFS(tblLaborEntries[Work date serial],tblLaborEntries[Work package ID],tblWorkPackages[[#This Row],[Work package ID]])</f>
        <v>45752.0</v>
      </c>
      <c r="AB1023" s="65">
        <f>IF(tblWorkPackages[[#This Row],[Completion date serial]]&gt;tblWorkPackages[[#This Row],[Due date serial]],1,0)</f>
        <v>1</v>
      </c>
      <c r="AC1023" s="65">
        <f>MAX(0,tblWorkPackages[[#This Row],[Completion date serial]]-tblWorkPackages[[#This Row],[Due date serial]])</f>
        <v>6</v>
      </c>
      <c r="AD1023" s="65">
        <f>tblWorkPackages[[#This Row],[First labor date]]-tblWorkPackages[[#This Row],[Request date serial]]</f>
        <v>9</v>
      </c>
      <c r="AE1023" s="65">
        <f>tblWorkPackages[[#This Row],[Last labor date]]-tblWorkPackages[[#This Row],[First labor date]]</f>
        <v>2</v>
      </c>
      <c r="AF1023" s="65">
        <f>tblWorkPackages[[#This Row],[Completion date serial]]-tblWorkPackages[[#This Row],[Last labor date]]</f>
        <v>1</v>
      </c>
      <c r="AG1023" s="65">
        <f>tblWorkPackages[[#This Row],[Completion date serial]]-tblWorkPackages[[#This Row],[Request date serial]]</f>
        <v>12</v>
      </c>
      <c r="AH1023" s="65">
        <f>IFERROR(INDEX(tblParts[Delay days],MATCH(tblWorkPackages[[#This Row],[Work package ID]],tblParts[Work package ID],0)),0)</f>
        <v>0</v>
      </c>
      <c r="AI1023" s="51" t="str">
        <f>IFERROR(INDEX(tblDisruptions[Event type],MATCH(tblWorkPackages[[#This Row],[Work package ID]],tblDisruptions[Work package ID],0)),"None")</f>
        <v>None</v>
      </c>
      <c r="AJ1023" s="51" t="str">
        <f>TEXT(tblWorkPackages[[#This Row],[Due date serial]],"yyyy-mm")</f>
        <v>2025-03</v>
      </c>
    </row>
    <row r="1024" spans="1:36" ht="15" x14ac:dyDescent="0.25">
      <c r="A1024" s="53" t="s">
        <v>1920</v>
      </c>
      <c r="B1024" s="53" t="s">
        <v>230</v>
      </c>
      <c r="C1024" s="53" t="s">
        <v>320</v>
      </c>
      <c r="D1024" s="53" t="s">
        <v>667</v>
      </c>
      <c r="E1024" s="53" t="s">
        <v>144</v>
      </c>
      <c r="F1024" s="53" t="s">
        <v>145</v>
      </c>
      <c r="G1024" s="53" t="s">
        <v>146</v>
      </c>
      <c r="H1024" s="53">
        <v>1</v>
      </c>
      <c r="I1024" s="53" t="s">
        <v>130</v>
      </c>
      <c r="J1024" s="53">
        <v>0</v>
      </c>
      <c r="K1024" s="53">
        <v>0</v>
      </c>
      <c r="L1024" s="53">
        <v>8</v>
      </c>
      <c r="M1024" s="53" t="s">
        <v>663</v>
      </c>
      <c r="N1024" s="53">
        <v>7.7</v>
      </c>
      <c r="O1024" s="51" t="str">
        <f>TEXT(tblWorkPackages[[#This Row],[Request date serial]]-WEEKDAY(tblWorkPackages[[#This Row],[Request date serial]],3),"yyyy-mm-dd")</f>
        <v>2024-03-04</v>
      </c>
      <c r="P1024" s="51">
        <f>ABS(tblWorkPackages[[#This Row],[Actual labor hours]]-tblWorkPackages[[#This Row],[Estimated labor hours]])</f>
        <v>0.3</v>
      </c>
      <c r="Q1024" s="51">
        <f>IF(tblWorkPackages[[#This Row],[Actual labor hours]]&gt;tblWorkPackages[[#This Row],[Estimated labor hours]],1,0)</f>
        <v>0</v>
      </c>
      <c r="R1024" s="51">
        <f>tblWorkPackages[[#This Row],[Actual labor hours]]-tblWorkPackages[[#This Row],[Estimated labor hours]]</f>
        <v>-0.3</v>
      </c>
      <c r="S1024" s="51" t="str">
        <f>IF(tblWorkPackages[[#This Row],[Request date serial]]&lt;ValidationStart,"Train 2024",IF(tblWorkPackages[[#This Row],[Request date serial]]&lt;HoldoutStart,"Validation H1","Holdout H2"))</f>
        <v>Train 2024</v>
      </c>
      <c r="T1024" s="51" t="str">
        <f>IF(tblWorkPackages[[#This Row],[Time split]]="Train 2024","",tblWorkPackages[[#This Row],[Estimated labor hours]]+VLOOKUP(tblWorkPackages[[#This Row],[Task type]],'Forecast validation'!$A$14:$E$25,IF(tblWorkPackages[[#This Row],[Time split]]="Validation H1",4,5),FALSE()))</f>
        <v/>
      </c>
      <c r="U1024" s="51" t="str">
        <f>IF(tblWorkPackages[[#This Row],[Calibrated forecast hours]]="","",ABS(tblWorkPackages[[#This Row],[Actual labor hours]]-tblWorkPackages[[#This Row],[Calibrated forecast hours]]))</f>
        <v/>
      </c>
      <c r="V1024" s="51">
        <f>IF(tblWorkPackages[[#This Row],[Time split]]="Train 2024",tblWorkPackages[[#This Row],[Estimated labor hours]],tblWorkPackages[[#This Row],[Calibrated forecast hours]])</f>
        <v>8</v>
      </c>
      <c r="W1024" s="64">
        <f>DATEVALUE(tblWorkPackages[[#This Row],[Request date]])</f>
        <v>45360.0</v>
      </c>
      <c r="X1024" s="64">
        <f>DATEVALUE(tblWorkPackages[[#This Row],[Due date]])</f>
        <v>45373.0</v>
      </c>
      <c r="Y1024" s="64">
        <f>DATEVALUE(tblWorkPackages[[#This Row],[Completion date]])</f>
        <v>45366.0</v>
      </c>
      <c r="Z1024" s="64">
        <f>_xlfn.MINIFS(tblLaborEntries[Work date serial],tblLaborEntries[Work package ID],tblWorkPackages[[#This Row],[Work package ID]])</f>
        <v>45362.0</v>
      </c>
      <c r="AA1024" s="64">
        <f>_xlfn.MAXIFS(tblLaborEntries[Work date serial],tblLaborEntries[Work package ID],tblWorkPackages[[#This Row],[Work package ID]])</f>
        <v>45364.0</v>
      </c>
      <c r="AB1024" s="65">
        <f>IF(tblWorkPackages[[#This Row],[Completion date serial]]&gt;tblWorkPackages[[#This Row],[Due date serial]],1,0)</f>
        <v>0</v>
      </c>
      <c r="AC1024" s="65">
        <f>MAX(0,tblWorkPackages[[#This Row],[Completion date serial]]-tblWorkPackages[[#This Row],[Due date serial]])</f>
        <v>0</v>
      </c>
      <c r="AD1024" s="65">
        <f>tblWorkPackages[[#This Row],[First labor date]]-tblWorkPackages[[#This Row],[Request date serial]]</f>
        <v>2</v>
      </c>
      <c r="AE1024" s="65">
        <f>tblWorkPackages[[#This Row],[Last labor date]]-tblWorkPackages[[#This Row],[First labor date]]</f>
        <v>2</v>
      </c>
      <c r="AF1024" s="65">
        <f>tblWorkPackages[[#This Row],[Completion date serial]]-tblWorkPackages[[#This Row],[Last labor date]]</f>
        <v>2</v>
      </c>
      <c r="AG1024" s="65">
        <f>tblWorkPackages[[#This Row],[Completion date serial]]-tblWorkPackages[[#This Row],[Request date serial]]</f>
        <v>6</v>
      </c>
      <c r="AH1024" s="65">
        <f>IFERROR(INDEX(tblParts[Delay days],MATCH(tblWorkPackages[[#This Row],[Work package ID]],tblParts[Work package ID],0)),0)</f>
        <v>0</v>
      </c>
      <c r="AI1024" s="51" t="str">
        <f>IFERROR(INDEX(tblDisruptions[Event type],MATCH(tblWorkPackages[[#This Row],[Work package ID]],tblDisruptions[Work package ID],0)),"None")</f>
        <v>None</v>
      </c>
      <c r="AJ1024" s="51" t="str">
        <f>TEXT(tblWorkPackages[[#This Row],[Due date serial]],"yyyy-mm")</f>
        <v>2024-03</v>
      </c>
    </row>
    <row r="1025" spans="1:36" ht="15" x14ac:dyDescent="0.25">
      <c r="A1025" s="53" t="s">
        <v>1921</v>
      </c>
      <c r="B1025" s="53" t="s">
        <v>235</v>
      </c>
      <c r="C1025" s="53" t="s">
        <v>1180</v>
      </c>
      <c r="D1025" s="53" t="s">
        <v>1466</v>
      </c>
      <c r="E1025" s="53" t="s">
        <v>153</v>
      </c>
      <c r="F1025" s="53" t="s">
        <v>128</v>
      </c>
      <c r="G1025" s="53" t="s">
        <v>154</v>
      </c>
      <c r="H1025" s="53">
        <v>3</v>
      </c>
      <c r="I1025" s="53" t="s">
        <v>176</v>
      </c>
      <c r="J1025" s="53">
        <v>0</v>
      </c>
      <c r="K1025" s="53">
        <v>0</v>
      </c>
      <c r="L1025" s="53">
        <v>13.6</v>
      </c>
      <c r="M1025" s="53" t="s">
        <v>1067</v>
      </c>
      <c r="N1025" s="53">
        <v>14.7</v>
      </c>
      <c r="O1025" s="51" t="str">
        <f>TEXT(tblWorkPackages[[#This Row],[Request date serial]]-WEEKDAY(tblWorkPackages[[#This Row],[Request date serial]],3),"yyyy-mm-dd")</f>
        <v>2024-02-05</v>
      </c>
      <c r="P1025" s="51">
        <f>ABS(tblWorkPackages[[#This Row],[Actual labor hours]]-tblWorkPackages[[#This Row],[Estimated labor hours]])</f>
        <v>1.1</v>
      </c>
      <c r="Q1025" s="51">
        <f>IF(tblWorkPackages[[#This Row],[Actual labor hours]]&gt;tblWorkPackages[[#This Row],[Estimated labor hours]],1,0)</f>
        <v>1</v>
      </c>
      <c r="R1025" s="51">
        <f>tblWorkPackages[[#This Row],[Actual labor hours]]-tblWorkPackages[[#This Row],[Estimated labor hours]]</f>
        <v>1.1</v>
      </c>
      <c r="S1025" s="51" t="str">
        <f>IF(tblWorkPackages[[#This Row],[Request date serial]]&lt;ValidationStart,"Train 2024",IF(tblWorkPackages[[#This Row],[Request date serial]]&lt;HoldoutStart,"Validation H1","Holdout H2"))</f>
        <v>Train 2024</v>
      </c>
      <c r="T1025" s="51" t="str">
        <f>IF(tblWorkPackages[[#This Row],[Time split]]="Train 2024","",tblWorkPackages[[#This Row],[Estimated labor hours]]+VLOOKUP(tblWorkPackages[[#This Row],[Task type]],'Forecast validation'!$A$14:$E$25,IF(tblWorkPackages[[#This Row],[Time split]]="Validation H1",4,5),FALSE()))</f>
        <v/>
      </c>
      <c r="U1025" s="51" t="str">
        <f>IF(tblWorkPackages[[#This Row],[Calibrated forecast hours]]="","",ABS(tblWorkPackages[[#This Row],[Actual labor hours]]-tblWorkPackages[[#This Row],[Calibrated forecast hours]]))</f>
        <v/>
      </c>
      <c r="V1025" s="51">
        <f>IF(tblWorkPackages[[#This Row],[Time split]]="Train 2024",tblWorkPackages[[#This Row],[Estimated labor hours]],tblWorkPackages[[#This Row],[Calibrated forecast hours]])</f>
        <v>13.6</v>
      </c>
      <c r="W1025" s="64">
        <f>DATEVALUE(tblWorkPackages[[#This Row],[Request date]])</f>
        <v>45327.0</v>
      </c>
      <c r="X1025" s="64">
        <f>DATEVALUE(tblWorkPackages[[#This Row],[Due date]])</f>
        <v>45333.0</v>
      </c>
      <c r="Y1025" s="64">
        <f>DATEVALUE(tblWorkPackages[[#This Row],[Completion date]])</f>
        <v>45357.0</v>
      </c>
      <c r="Z1025" s="64">
        <f>_xlfn.MINIFS(tblLaborEntries[Work date serial],tblLaborEntries[Work package ID],tblWorkPackages[[#This Row],[Work package ID]])</f>
        <v>45352.0</v>
      </c>
      <c r="AA1025" s="64">
        <f>_xlfn.MAXIFS(tblLaborEntries[Work date serial],tblLaborEntries[Work package ID],tblWorkPackages[[#This Row],[Work package ID]])</f>
        <v>45354.0</v>
      </c>
      <c r="AB1025" s="65">
        <f>IF(tblWorkPackages[[#This Row],[Completion date serial]]&gt;tblWorkPackages[[#This Row],[Due date serial]],1,0)</f>
        <v>1</v>
      </c>
      <c r="AC1025" s="65">
        <f>MAX(0,tblWorkPackages[[#This Row],[Completion date serial]]-tblWorkPackages[[#This Row],[Due date serial]])</f>
        <v>24</v>
      </c>
      <c r="AD1025" s="65">
        <f>tblWorkPackages[[#This Row],[First labor date]]-tblWorkPackages[[#This Row],[Request date serial]]</f>
        <v>25</v>
      </c>
      <c r="AE1025" s="65">
        <f>tblWorkPackages[[#This Row],[Last labor date]]-tblWorkPackages[[#This Row],[First labor date]]</f>
        <v>2</v>
      </c>
      <c r="AF1025" s="65">
        <f>tblWorkPackages[[#This Row],[Completion date serial]]-tblWorkPackages[[#This Row],[Last labor date]]</f>
        <v>3</v>
      </c>
      <c r="AG1025" s="65">
        <f>tblWorkPackages[[#This Row],[Completion date serial]]-tblWorkPackages[[#This Row],[Request date serial]]</f>
        <v>30</v>
      </c>
      <c r="AH1025" s="65">
        <f>IFERROR(INDEX(tblParts[Delay days],MATCH(tblWorkPackages[[#This Row],[Work package ID]],tblParts[Work package ID],0)),0)</f>
        <v>0</v>
      </c>
      <c r="AI1025" s="51" t="str">
        <f>IFERROR(INDEX(tblDisruptions[Event type],MATCH(tblWorkPackages[[#This Row],[Work package ID]],tblDisruptions[Work package ID],0)),"None")</f>
        <v>None</v>
      </c>
      <c r="AJ1025" s="51" t="str">
        <f>TEXT(tblWorkPackages[[#This Row],[Due date serial]],"yyyy-mm")</f>
        <v>2024-02</v>
      </c>
    </row>
    <row r="1026" spans="1:36" ht="15" x14ac:dyDescent="0.25">
      <c r="A1026" s="53" t="s">
        <v>1922</v>
      </c>
      <c r="B1026" s="53" t="s">
        <v>203</v>
      </c>
      <c r="C1026" s="53" t="s">
        <v>1195</v>
      </c>
      <c r="D1026" s="53" t="s">
        <v>1297</v>
      </c>
      <c r="E1026" s="53" t="s">
        <v>153</v>
      </c>
      <c r="F1026" s="53" t="s">
        <v>128</v>
      </c>
      <c r="G1026" s="53" t="s">
        <v>154</v>
      </c>
      <c r="H1026" s="53">
        <v>4</v>
      </c>
      <c r="I1026" s="53" t="s">
        <v>130</v>
      </c>
      <c r="J1026" s="53">
        <v>0</v>
      </c>
      <c r="K1026" s="53">
        <v>0</v>
      </c>
      <c r="L1026" s="53">
        <v>14.3</v>
      </c>
      <c r="M1026" s="53" t="s">
        <v>1133</v>
      </c>
      <c r="N1026" s="53">
        <v>13.1</v>
      </c>
      <c r="O1026" s="51" t="str">
        <f>TEXT(tblWorkPackages[[#This Row],[Request date serial]]-WEEKDAY(tblWorkPackages[[#This Row],[Request date serial]],3),"yyyy-mm-dd")</f>
        <v>2025-10-20</v>
      </c>
      <c r="P1026" s="51">
        <f>ABS(tblWorkPackages[[#This Row],[Actual labor hours]]-tblWorkPackages[[#This Row],[Estimated labor hours]])</f>
        <v>1.2</v>
      </c>
      <c r="Q1026" s="51">
        <f>IF(tblWorkPackages[[#This Row],[Actual labor hours]]&gt;tblWorkPackages[[#This Row],[Estimated labor hours]],1,0)</f>
        <v>0</v>
      </c>
      <c r="R1026" s="51">
        <f>tblWorkPackages[[#This Row],[Actual labor hours]]-tblWorkPackages[[#This Row],[Estimated labor hours]]</f>
        <v>-1.2</v>
      </c>
      <c r="S1026" s="51" t="str">
        <f>IF(tblWorkPackages[[#This Row],[Request date serial]]&lt;ValidationStart,"Train 2024",IF(tblWorkPackages[[#This Row],[Request date serial]]&lt;HoldoutStart,"Validation H1","Holdout H2"))</f>
        <v>Holdout H2</v>
      </c>
      <c r="T1026" s="51">
        <f>IF(tblWorkPackages[[#This Row],[Time split]]="Train 2024","",tblWorkPackages[[#This Row],[Estimated labor hours]]+VLOOKUP(tblWorkPackages[[#This Row],[Task type]],'Forecast validation'!$A$14:$E$25,IF(tblWorkPackages[[#This Row],[Time split]]="Validation H1",4,5),FALSE()))</f>
        <v>14.9026666666667</v>
      </c>
      <c r="U1026" s="51">
        <f>IF(tblWorkPackages[[#This Row],[Calibrated forecast hours]]="","",ABS(tblWorkPackages[[#This Row],[Actual labor hours]]-tblWorkPackages[[#This Row],[Calibrated forecast hours]]))</f>
        <v>1.80266666666667</v>
      </c>
      <c r="V1026" s="51">
        <f>IF(tblWorkPackages[[#This Row],[Time split]]="Train 2024",tblWorkPackages[[#This Row],[Estimated labor hours]],tblWorkPackages[[#This Row],[Calibrated forecast hours]])</f>
        <v>14.9026666666667</v>
      </c>
      <c r="W1026" s="64">
        <f>DATEVALUE(tblWorkPackages[[#This Row],[Request date]])</f>
        <v>45953.0</v>
      </c>
      <c r="X1026" s="64">
        <f>DATEVALUE(tblWorkPackages[[#This Row],[Due date]])</f>
        <v>45966.0</v>
      </c>
      <c r="Y1026" s="64">
        <f>DATEVALUE(tblWorkPackages[[#This Row],[Completion date]])</f>
        <v>45957.0</v>
      </c>
      <c r="Z1026" s="64">
        <f>_xlfn.MINIFS(tblLaborEntries[Work date serial],tblLaborEntries[Work package ID],tblWorkPackages[[#This Row],[Work package ID]])</f>
        <v>45957.0</v>
      </c>
      <c r="AA1026" s="64">
        <f>_xlfn.MAXIFS(tblLaborEntries[Work date serial],tblLaborEntries[Work package ID],tblWorkPackages[[#This Row],[Work package ID]])</f>
        <v>45957.0</v>
      </c>
      <c r="AB1026" s="65">
        <f>IF(tblWorkPackages[[#This Row],[Completion date serial]]&gt;tblWorkPackages[[#This Row],[Due date serial]],1,0)</f>
        <v>0</v>
      </c>
      <c r="AC1026" s="65">
        <f>MAX(0,tblWorkPackages[[#This Row],[Completion date serial]]-tblWorkPackages[[#This Row],[Due date serial]])</f>
        <v>0</v>
      </c>
      <c r="AD1026" s="65">
        <f>tblWorkPackages[[#This Row],[First labor date]]-tblWorkPackages[[#This Row],[Request date serial]]</f>
        <v>4</v>
      </c>
      <c r="AE1026" s="65">
        <f>tblWorkPackages[[#This Row],[Last labor date]]-tblWorkPackages[[#This Row],[First labor date]]</f>
        <v>0</v>
      </c>
      <c r="AF1026" s="65">
        <f>tblWorkPackages[[#This Row],[Completion date serial]]-tblWorkPackages[[#This Row],[Last labor date]]</f>
        <v>0</v>
      </c>
      <c r="AG1026" s="65">
        <f>tblWorkPackages[[#This Row],[Completion date serial]]-tblWorkPackages[[#This Row],[Request date serial]]</f>
        <v>4</v>
      </c>
      <c r="AH1026" s="65">
        <f>IFERROR(INDEX(tblParts[Delay days],MATCH(tblWorkPackages[[#This Row],[Work package ID]],tblParts[Work package ID],0)),0)</f>
        <v>0</v>
      </c>
      <c r="AI1026" s="51" t="str">
        <f>IFERROR(INDEX(tblDisruptions[Event type],MATCH(tblWorkPackages[[#This Row],[Work package ID]],tblDisruptions[Work package ID],0)),"None")</f>
        <v>None</v>
      </c>
      <c r="AJ1026" s="51" t="str">
        <f>TEXT(tblWorkPackages[[#This Row],[Due date serial]],"yyyy-mm")</f>
        <v>2025-11</v>
      </c>
    </row>
    <row r="1027" spans="1:36" ht="15" x14ac:dyDescent="0.25">
      <c r="A1027" s="53" t="s">
        <v>1923</v>
      </c>
      <c r="B1027" s="53" t="s">
        <v>250</v>
      </c>
      <c r="C1027" s="53" t="s">
        <v>979</v>
      </c>
      <c r="D1027" s="53" t="s">
        <v>937</v>
      </c>
      <c r="E1027" s="53" t="s">
        <v>144</v>
      </c>
      <c r="F1027" s="53" t="s">
        <v>145</v>
      </c>
      <c r="G1027" s="53" t="s">
        <v>146</v>
      </c>
      <c r="H1027" s="53">
        <v>1</v>
      </c>
      <c r="I1027" s="53" t="s">
        <v>176</v>
      </c>
      <c r="J1027" s="53">
        <v>1</v>
      </c>
      <c r="K1027" s="53">
        <v>1</v>
      </c>
      <c r="L1027" s="53">
        <v>6.1</v>
      </c>
      <c r="M1027" s="53" t="s">
        <v>481</v>
      </c>
      <c r="N1027" s="53">
        <v>8.1</v>
      </c>
      <c r="O1027" s="51" t="str">
        <f>TEXT(tblWorkPackages[[#This Row],[Request date serial]]-WEEKDAY(tblWorkPackages[[#This Row],[Request date serial]],3),"yyyy-mm-dd")</f>
        <v>2025-11-03</v>
      </c>
      <c r="P1027" s="51">
        <f>ABS(tblWorkPackages[[#This Row],[Actual labor hours]]-tblWorkPackages[[#This Row],[Estimated labor hours]])</f>
        <v>2</v>
      </c>
      <c r="Q1027" s="51">
        <f>IF(tblWorkPackages[[#This Row],[Actual labor hours]]&gt;tblWorkPackages[[#This Row],[Estimated labor hours]],1,0)</f>
        <v>1</v>
      </c>
      <c r="R1027" s="51">
        <f>tblWorkPackages[[#This Row],[Actual labor hours]]-tblWorkPackages[[#This Row],[Estimated labor hours]]</f>
        <v>2</v>
      </c>
      <c r="S1027" s="51" t="str">
        <f>IF(tblWorkPackages[[#This Row],[Request date serial]]&lt;ValidationStart,"Train 2024",IF(tblWorkPackages[[#This Row],[Request date serial]]&lt;HoldoutStart,"Validation H1","Holdout H2"))</f>
        <v>Holdout H2</v>
      </c>
      <c r="T1027" s="51">
        <f>IF(tblWorkPackages[[#This Row],[Time split]]="Train 2024","",tblWorkPackages[[#This Row],[Estimated labor hours]]+VLOOKUP(tblWorkPackages[[#This Row],[Task type]],'Forecast validation'!$A$14:$E$25,IF(tblWorkPackages[[#This Row],[Time split]]="Validation H1",4,5),FALSE()))</f>
        <v>7.07354838709677</v>
      </c>
      <c r="U1027" s="51">
        <f>IF(tblWorkPackages[[#This Row],[Calibrated forecast hours]]="","",ABS(tblWorkPackages[[#This Row],[Actual labor hours]]-tblWorkPackages[[#This Row],[Calibrated forecast hours]]))</f>
        <v>1.02645161290323</v>
      </c>
      <c r="V1027" s="51">
        <f>IF(tblWorkPackages[[#This Row],[Time split]]="Train 2024",tblWorkPackages[[#This Row],[Estimated labor hours]],tblWorkPackages[[#This Row],[Calibrated forecast hours]])</f>
        <v>7.07354838709677</v>
      </c>
      <c r="W1027" s="64">
        <f>DATEVALUE(tblWorkPackages[[#This Row],[Request date]])</f>
        <v>45965.0</v>
      </c>
      <c r="X1027" s="64">
        <f>DATEVALUE(tblWorkPackages[[#This Row],[Due date]])</f>
        <v>45971.0</v>
      </c>
      <c r="Y1027" s="64">
        <f>DATEVALUE(tblWorkPackages[[#This Row],[Completion date]])</f>
        <v>45968.0</v>
      </c>
      <c r="Z1027" s="64">
        <f>_xlfn.MINIFS(tblLaborEntries[Work date serial],tblLaborEntries[Work package ID],tblWorkPackages[[#This Row],[Work package ID]])</f>
        <v>45966.0</v>
      </c>
      <c r="AA1027" s="64">
        <f>_xlfn.MAXIFS(tblLaborEntries[Work date serial],tblLaborEntries[Work package ID],tblWorkPackages[[#This Row],[Work package ID]])</f>
        <v>45967.0</v>
      </c>
      <c r="AB1027" s="65">
        <f>IF(tblWorkPackages[[#This Row],[Completion date serial]]&gt;tblWorkPackages[[#This Row],[Due date serial]],1,0)</f>
        <v>0</v>
      </c>
      <c r="AC1027" s="65">
        <f>MAX(0,tblWorkPackages[[#This Row],[Completion date serial]]-tblWorkPackages[[#This Row],[Due date serial]])</f>
        <v>0</v>
      </c>
      <c r="AD1027" s="65">
        <f>tblWorkPackages[[#This Row],[First labor date]]-tblWorkPackages[[#This Row],[Request date serial]]</f>
        <v>1</v>
      </c>
      <c r="AE1027" s="65">
        <f>tblWorkPackages[[#This Row],[Last labor date]]-tblWorkPackages[[#This Row],[First labor date]]</f>
        <v>1</v>
      </c>
      <c r="AF1027" s="65">
        <f>tblWorkPackages[[#This Row],[Completion date serial]]-tblWorkPackages[[#This Row],[Last labor date]]</f>
        <v>1</v>
      </c>
      <c r="AG1027" s="65">
        <f>tblWorkPackages[[#This Row],[Completion date serial]]-tblWorkPackages[[#This Row],[Request date serial]]</f>
        <v>3</v>
      </c>
      <c r="AH1027" s="65">
        <f>IFERROR(INDEX(tblParts[Delay days],MATCH(tblWorkPackages[[#This Row],[Work package ID]],tblParts[Work package ID],0)),0)</f>
        <v>0</v>
      </c>
      <c r="AI1027" s="51" t="str">
        <f>IFERROR(INDEX(tblDisruptions[Event type],MATCH(tblWorkPackages[[#This Row],[Work package ID]],tblDisruptions[Work package ID],0)),"None")</f>
        <v>None</v>
      </c>
      <c r="AJ1027" s="51" t="str">
        <f>TEXT(tblWorkPackages[[#This Row],[Due date serial]],"yyyy-mm")</f>
        <v>2025-11</v>
      </c>
    </row>
    <row r="1028" spans="1:36" ht="15" x14ac:dyDescent="0.25">
      <c r="A1028" s="53" t="s">
        <v>1924</v>
      </c>
      <c r="B1028" s="53" t="s">
        <v>250</v>
      </c>
      <c r="C1028" s="53" t="s">
        <v>417</v>
      </c>
      <c r="D1028" s="53" t="s">
        <v>301</v>
      </c>
      <c r="E1028" s="53" t="s">
        <v>181</v>
      </c>
      <c r="F1028" s="53" t="s">
        <v>182</v>
      </c>
      <c r="G1028" s="53" t="s">
        <v>138</v>
      </c>
      <c r="H1028" s="53">
        <v>1</v>
      </c>
      <c r="I1028" s="53" t="s">
        <v>176</v>
      </c>
      <c r="J1028" s="53">
        <v>0</v>
      </c>
      <c r="K1028" s="53">
        <v>1</v>
      </c>
      <c r="L1028" s="53">
        <v>5.5</v>
      </c>
      <c r="M1028" s="53" t="s">
        <v>405</v>
      </c>
      <c r="N1028" s="53">
        <v>5.4</v>
      </c>
      <c r="O1028" s="51" t="str">
        <f>TEXT(tblWorkPackages[[#This Row],[Request date serial]]-WEEKDAY(tblWorkPackages[[#This Row],[Request date serial]],3),"yyyy-mm-dd")</f>
        <v>2024-04-29</v>
      </c>
      <c r="P1028" s="51">
        <f>ABS(tblWorkPackages[[#This Row],[Actual labor hours]]-tblWorkPackages[[#This Row],[Estimated labor hours]])</f>
        <v>0.0999999999999996</v>
      </c>
      <c r="Q1028" s="51">
        <f>IF(tblWorkPackages[[#This Row],[Actual labor hours]]&gt;tblWorkPackages[[#This Row],[Estimated labor hours]],1,0)</f>
        <v>0</v>
      </c>
      <c r="R1028" s="51">
        <f>tblWorkPackages[[#This Row],[Actual labor hours]]-tblWorkPackages[[#This Row],[Estimated labor hours]]</f>
        <v>-0.0999999999999996</v>
      </c>
      <c r="S1028" s="51" t="str">
        <f>IF(tblWorkPackages[[#This Row],[Request date serial]]&lt;ValidationStart,"Train 2024",IF(tblWorkPackages[[#This Row],[Request date serial]]&lt;HoldoutStart,"Validation H1","Holdout H2"))</f>
        <v>Train 2024</v>
      </c>
      <c r="T1028" s="51" t="str">
        <f>IF(tblWorkPackages[[#This Row],[Time split]]="Train 2024","",tblWorkPackages[[#This Row],[Estimated labor hours]]+VLOOKUP(tblWorkPackages[[#This Row],[Task type]],'Forecast validation'!$A$14:$E$25,IF(tblWorkPackages[[#This Row],[Time split]]="Validation H1",4,5),FALSE()))</f>
        <v/>
      </c>
      <c r="U1028" s="51" t="str">
        <f>IF(tblWorkPackages[[#This Row],[Calibrated forecast hours]]="","",ABS(tblWorkPackages[[#This Row],[Actual labor hours]]-tblWorkPackages[[#This Row],[Calibrated forecast hours]]))</f>
        <v/>
      </c>
      <c r="V1028" s="51">
        <f>IF(tblWorkPackages[[#This Row],[Time split]]="Train 2024",tblWorkPackages[[#This Row],[Estimated labor hours]],tblWorkPackages[[#This Row],[Calibrated forecast hours]])</f>
        <v>5.5</v>
      </c>
      <c r="W1028" s="64">
        <f>DATEVALUE(tblWorkPackages[[#This Row],[Request date]])</f>
        <v>45416.0</v>
      </c>
      <c r="X1028" s="64">
        <f>DATEVALUE(tblWorkPackages[[#This Row],[Due date]])</f>
        <v>45422.0</v>
      </c>
      <c r="Y1028" s="64">
        <f>DATEVALUE(tblWorkPackages[[#This Row],[Completion date]])</f>
        <v>45433.0</v>
      </c>
      <c r="Z1028" s="64">
        <f>_xlfn.MINIFS(tblLaborEntries[Work date serial],tblLaborEntries[Work package ID],tblWorkPackages[[#This Row],[Work package ID]])</f>
        <v>45429.0</v>
      </c>
      <c r="AA1028" s="64">
        <f>_xlfn.MAXIFS(tblLaborEntries[Work date serial],tblLaborEntries[Work package ID],tblWorkPackages[[#This Row],[Work package ID]])</f>
        <v>45431.0</v>
      </c>
      <c r="AB1028" s="65">
        <f>IF(tblWorkPackages[[#This Row],[Completion date serial]]&gt;tblWorkPackages[[#This Row],[Due date serial]],1,0)</f>
        <v>1</v>
      </c>
      <c r="AC1028" s="65">
        <f>MAX(0,tblWorkPackages[[#This Row],[Completion date serial]]-tblWorkPackages[[#This Row],[Due date serial]])</f>
        <v>11</v>
      </c>
      <c r="AD1028" s="65">
        <f>tblWorkPackages[[#This Row],[First labor date]]-tblWorkPackages[[#This Row],[Request date serial]]</f>
        <v>13</v>
      </c>
      <c r="AE1028" s="65">
        <f>tblWorkPackages[[#This Row],[Last labor date]]-tblWorkPackages[[#This Row],[First labor date]]</f>
        <v>2</v>
      </c>
      <c r="AF1028" s="65">
        <f>tblWorkPackages[[#This Row],[Completion date serial]]-tblWorkPackages[[#This Row],[Last labor date]]</f>
        <v>2</v>
      </c>
      <c r="AG1028" s="65">
        <f>tblWorkPackages[[#This Row],[Completion date serial]]-tblWorkPackages[[#This Row],[Request date serial]]</f>
        <v>17</v>
      </c>
      <c r="AH1028" s="65">
        <f>IFERROR(INDEX(tblParts[Delay days],MATCH(tblWorkPackages[[#This Row],[Work package ID]],tblParts[Work package ID],0)),0)</f>
        <v>0</v>
      </c>
      <c r="AI1028" s="51" t="str">
        <f>IFERROR(INDEX(tblDisruptions[Event type],MATCH(tblWorkPackages[[#This Row],[Work package ID]],tblDisruptions[Work package ID],0)),"None")</f>
        <v>None</v>
      </c>
      <c r="AJ1028" s="51" t="str">
        <f>TEXT(tblWorkPackages[[#This Row],[Due date serial]],"yyyy-mm")</f>
        <v>2024-05</v>
      </c>
    </row>
    <row r="1029" spans="1:36" ht="15" x14ac:dyDescent="0.25">
      <c r="A1029" s="53" t="s">
        <v>1925</v>
      </c>
      <c r="B1029" s="53" t="s">
        <v>133</v>
      </c>
      <c r="C1029" s="53" t="s">
        <v>953</v>
      </c>
      <c r="D1029" s="53" t="s">
        <v>947</v>
      </c>
      <c r="E1029" s="53" t="s">
        <v>223</v>
      </c>
      <c r="F1029" s="53" t="s">
        <v>182</v>
      </c>
      <c r="G1029" s="53" t="s">
        <v>154</v>
      </c>
      <c r="H1029" s="53">
        <v>3</v>
      </c>
      <c r="I1029" s="53" t="s">
        <v>147</v>
      </c>
      <c r="J1029" s="53">
        <v>0</v>
      </c>
      <c r="K1029" s="53">
        <v>0</v>
      </c>
      <c r="L1029" s="53">
        <v>14.2</v>
      </c>
      <c r="M1029" s="53" t="s">
        <v>373</v>
      </c>
      <c r="N1029" s="53">
        <v>11.3</v>
      </c>
      <c r="O1029" s="51" t="str">
        <f>TEXT(tblWorkPackages[[#This Row],[Request date serial]]-WEEKDAY(tblWorkPackages[[#This Row],[Request date serial]],3),"yyyy-mm-dd")</f>
        <v>2024-09-30</v>
      </c>
      <c r="P1029" s="51">
        <f>ABS(tblWorkPackages[[#This Row],[Actual labor hours]]-tblWorkPackages[[#This Row],[Estimated labor hours]])</f>
        <v>2.9</v>
      </c>
      <c r="Q1029" s="51">
        <f>IF(tblWorkPackages[[#This Row],[Actual labor hours]]&gt;tblWorkPackages[[#This Row],[Estimated labor hours]],1,0)</f>
        <v>0</v>
      </c>
      <c r="R1029" s="51">
        <f>tblWorkPackages[[#This Row],[Actual labor hours]]-tblWorkPackages[[#This Row],[Estimated labor hours]]</f>
        <v>-2.9</v>
      </c>
      <c r="S1029" s="51" t="str">
        <f>IF(tblWorkPackages[[#This Row],[Request date serial]]&lt;ValidationStart,"Train 2024",IF(tblWorkPackages[[#This Row],[Request date serial]]&lt;HoldoutStart,"Validation H1","Holdout H2"))</f>
        <v>Train 2024</v>
      </c>
      <c r="T1029" s="51" t="str">
        <f>IF(tblWorkPackages[[#This Row],[Time split]]="Train 2024","",tblWorkPackages[[#This Row],[Estimated labor hours]]+VLOOKUP(tblWorkPackages[[#This Row],[Task type]],'Forecast validation'!$A$14:$E$25,IF(tblWorkPackages[[#This Row],[Time split]]="Validation H1",4,5),FALSE()))</f>
        <v/>
      </c>
      <c r="U1029" s="51" t="str">
        <f>IF(tblWorkPackages[[#This Row],[Calibrated forecast hours]]="","",ABS(tblWorkPackages[[#This Row],[Actual labor hours]]-tblWorkPackages[[#This Row],[Calibrated forecast hours]]))</f>
        <v/>
      </c>
      <c r="V1029" s="51">
        <f>IF(tblWorkPackages[[#This Row],[Time split]]="Train 2024",tblWorkPackages[[#This Row],[Estimated labor hours]],tblWorkPackages[[#This Row],[Calibrated forecast hours]])</f>
        <v>14.2</v>
      </c>
      <c r="W1029" s="64">
        <f>DATEVALUE(tblWorkPackages[[#This Row],[Request date]])</f>
        <v>45568.0</v>
      </c>
      <c r="X1029" s="64">
        <f>DATEVALUE(tblWorkPackages[[#This Row],[Due date]])</f>
        <v>45570.0</v>
      </c>
      <c r="Y1029" s="64">
        <f>DATEVALUE(tblWorkPackages[[#This Row],[Completion date]])</f>
        <v>45575.0</v>
      </c>
      <c r="Z1029" s="64">
        <f>_xlfn.MINIFS(tblLaborEntries[Work date serial],tblLaborEntries[Work package ID],tblWorkPackages[[#This Row],[Work package ID]])</f>
        <v>45571.0</v>
      </c>
      <c r="AA1029" s="64">
        <f>_xlfn.MAXIFS(tblLaborEntries[Work date serial],tblLaborEntries[Work package ID],tblWorkPackages[[#This Row],[Work package ID]])</f>
        <v>45572.0</v>
      </c>
      <c r="AB1029" s="65">
        <f>IF(tblWorkPackages[[#This Row],[Completion date serial]]&gt;tblWorkPackages[[#This Row],[Due date serial]],1,0)</f>
        <v>1</v>
      </c>
      <c r="AC1029" s="65">
        <f>MAX(0,tblWorkPackages[[#This Row],[Completion date serial]]-tblWorkPackages[[#This Row],[Due date serial]])</f>
        <v>5</v>
      </c>
      <c r="AD1029" s="65">
        <f>tblWorkPackages[[#This Row],[First labor date]]-tblWorkPackages[[#This Row],[Request date serial]]</f>
        <v>3</v>
      </c>
      <c r="AE1029" s="65">
        <f>tblWorkPackages[[#This Row],[Last labor date]]-tblWorkPackages[[#This Row],[First labor date]]</f>
        <v>1</v>
      </c>
      <c r="AF1029" s="65">
        <f>tblWorkPackages[[#This Row],[Completion date serial]]-tblWorkPackages[[#This Row],[Last labor date]]</f>
        <v>3</v>
      </c>
      <c r="AG1029" s="65">
        <f>tblWorkPackages[[#This Row],[Completion date serial]]-tblWorkPackages[[#This Row],[Request date serial]]</f>
        <v>7</v>
      </c>
      <c r="AH1029" s="65">
        <f>IFERROR(INDEX(tblParts[Delay days],MATCH(tblWorkPackages[[#This Row],[Work package ID]],tblParts[Work package ID],0)),0)</f>
        <v>0</v>
      </c>
      <c r="AI1029" s="51" t="str">
        <f>IFERROR(INDEX(tblDisruptions[Event type],MATCH(tblWorkPackages[[#This Row],[Work package ID]],tblDisruptions[Work package ID],0)),"None")</f>
        <v>None</v>
      </c>
      <c r="AJ1029" s="51" t="str">
        <f>TEXT(tblWorkPackages[[#This Row],[Due date serial]],"yyyy-mm")</f>
        <v>2024-10</v>
      </c>
    </row>
    <row r="1030" spans="1:36" ht="15" x14ac:dyDescent="0.25">
      <c r="A1030" s="53" t="s">
        <v>1926</v>
      </c>
      <c r="B1030" s="53" t="s">
        <v>163</v>
      </c>
      <c r="C1030" s="53" t="s">
        <v>428</v>
      </c>
      <c r="D1030" s="53" t="s">
        <v>472</v>
      </c>
      <c r="E1030" s="53" t="s">
        <v>272</v>
      </c>
      <c r="F1030" s="53" t="s">
        <v>145</v>
      </c>
      <c r="G1030" s="53" t="s">
        <v>273</v>
      </c>
      <c r="H1030" s="53">
        <v>3</v>
      </c>
      <c r="I1030" s="53" t="s">
        <v>176</v>
      </c>
      <c r="J1030" s="53">
        <v>0</v>
      </c>
      <c r="K1030" s="53">
        <v>1</v>
      </c>
      <c r="L1030" s="53">
        <v>16.7</v>
      </c>
      <c r="M1030" s="53" t="s">
        <v>368</v>
      </c>
      <c r="N1030" s="53">
        <v>12.7</v>
      </c>
      <c r="O1030" s="51" t="str">
        <f>TEXT(tblWorkPackages[[#This Row],[Request date serial]]-WEEKDAY(tblWorkPackages[[#This Row],[Request date serial]],3),"yyyy-mm-dd")</f>
        <v>2024-04-15</v>
      </c>
      <c r="P1030" s="51">
        <f>ABS(tblWorkPackages[[#This Row],[Actual labor hours]]-tblWorkPackages[[#This Row],[Estimated labor hours]])</f>
        <v>4</v>
      </c>
      <c r="Q1030" s="51">
        <f>IF(tblWorkPackages[[#This Row],[Actual labor hours]]&gt;tblWorkPackages[[#This Row],[Estimated labor hours]],1,0)</f>
        <v>0</v>
      </c>
      <c r="R1030" s="51">
        <f>tblWorkPackages[[#This Row],[Actual labor hours]]-tblWorkPackages[[#This Row],[Estimated labor hours]]</f>
        <v>-4</v>
      </c>
      <c r="S1030" s="51" t="str">
        <f>IF(tblWorkPackages[[#This Row],[Request date serial]]&lt;ValidationStart,"Train 2024",IF(tblWorkPackages[[#This Row],[Request date serial]]&lt;HoldoutStart,"Validation H1","Holdout H2"))</f>
        <v>Train 2024</v>
      </c>
      <c r="T1030" s="51" t="str">
        <f>IF(tblWorkPackages[[#This Row],[Time split]]="Train 2024","",tblWorkPackages[[#This Row],[Estimated labor hours]]+VLOOKUP(tblWorkPackages[[#This Row],[Task type]],'Forecast validation'!$A$14:$E$25,IF(tblWorkPackages[[#This Row],[Time split]]="Validation H1",4,5),FALSE()))</f>
        <v/>
      </c>
      <c r="U1030" s="51" t="str">
        <f>IF(tblWorkPackages[[#This Row],[Calibrated forecast hours]]="","",ABS(tblWorkPackages[[#This Row],[Actual labor hours]]-tblWorkPackages[[#This Row],[Calibrated forecast hours]]))</f>
        <v/>
      </c>
      <c r="V1030" s="51">
        <f>IF(tblWorkPackages[[#This Row],[Time split]]="Train 2024",tblWorkPackages[[#This Row],[Estimated labor hours]],tblWorkPackages[[#This Row],[Calibrated forecast hours]])</f>
        <v>16.7</v>
      </c>
      <c r="W1030" s="64">
        <f>DATEVALUE(tblWorkPackages[[#This Row],[Request date]])</f>
        <v>45402.0</v>
      </c>
      <c r="X1030" s="64">
        <f>DATEVALUE(tblWorkPackages[[#This Row],[Due date]])</f>
        <v>45408.0</v>
      </c>
      <c r="Y1030" s="64">
        <f>DATEVALUE(tblWorkPackages[[#This Row],[Completion date]])</f>
        <v>45442.0</v>
      </c>
      <c r="Z1030" s="64">
        <f>_xlfn.MINIFS(tblLaborEntries[Work date serial],tblLaborEntries[Work package ID],tblWorkPackages[[#This Row],[Work package ID]])</f>
        <v>45442.0</v>
      </c>
      <c r="AA1030" s="64">
        <f>_xlfn.MAXIFS(tblLaborEntries[Work date serial],tblLaborEntries[Work package ID],tblWorkPackages[[#This Row],[Work package ID]])</f>
        <v>45442.0</v>
      </c>
      <c r="AB1030" s="65">
        <f>IF(tblWorkPackages[[#This Row],[Completion date serial]]&gt;tblWorkPackages[[#This Row],[Due date serial]],1,0)</f>
        <v>1</v>
      </c>
      <c r="AC1030" s="65">
        <f>MAX(0,tblWorkPackages[[#This Row],[Completion date serial]]-tblWorkPackages[[#This Row],[Due date serial]])</f>
        <v>34</v>
      </c>
      <c r="AD1030" s="65">
        <f>tblWorkPackages[[#This Row],[First labor date]]-tblWorkPackages[[#This Row],[Request date serial]]</f>
        <v>40</v>
      </c>
      <c r="AE1030" s="65">
        <f>tblWorkPackages[[#This Row],[Last labor date]]-tblWorkPackages[[#This Row],[First labor date]]</f>
        <v>0</v>
      </c>
      <c r="AF1030" s="65">
        <f>tblWorkPackages[[#This Row],[Completion date serial]]-tblWorkPackages[[#This Row],[Last labor date]]</f>
        <v>0</v>
      </c>
      <c r="AG1030" s="65">
        <f>tblWorkPackages[[#This Row],[Completion date serial]]-tblWorkPackages[[#This Row],[Request date serial]]</f>
        <v>40</v>
      </c>
      <c r="AH1030" s="65">
        <f>IFERROR(INDEX(tblParts[Delay days],MATCH(tblWorkPackages[[#This Row],[Work package ID]],tblParts[Work package ID],0)),0)</f>
        <v>0</v>
      </c>
      <c r="AI1030" s="51" t="str">
        <f>IFERROR(INDEX(tblDisruptions[Event type],MATCH(tblWorkPackages[[#This Row],[Work package ID]],tblDisruptions[Work package ID],0)),"None")</f>
        <v>None</v>
      </c>
      <c r="AJ1030" s="51" t="str">
        <f>TEXT(tblWorkPackages[[#This Row],[Due date serial]],"yyyy-mm")</f>
        <v>2024-04</v>
      </c>
    </row>
    <row r="1031" spans="1:36" ht="15" x14ac:dyDescent="0.25">
      <c r="A1031" s="53" t="s">
        <v>1927</v>
      </c>
      <c r="B1031" s="53" t="s">
        <v>168</v>
      </c>
      <c r="C1031" s="53" t="s">
        <v>362</v>
      </c>
      <c r="D1031" s="53" t="s">
        <v>1370</v>
      </c>
      <c r="E1031" s="53" t="s">
        <v>127</v>
      </c>
      <c r="F1031" s="53" t="s">
        <v>128</v>
      </c>
      <c r="G1031" s="53" t="s">
        <v>129</v>
      </c>
      <c r="H1031" s="53">
        <v>4</v>
      </c>
      <c r="I1031" s="53" t="s">
        <v>130</v>
      </c>
      <c r="J1031" s="53">
        <v>0</v>
      </c>
      <c r="K1031" s="53">
        <v>0</v>
      </c>
      <c r="L1031" s="53">
        <v>13.4</v>
      </c>
      <c r="M1031" s="53" t="s">
        <v>1354</v>
      </c>
      <c r="N1031" s="53">
        <v>11</v>
      </c>
      <c r="O1031" s="51" t="str">
        <f>TEXT(tblWorkPackages[[#This Row],[Request date serial]]-WEEKDAY(tblWorkPackages[[#This Row],[Request date serial]],3),"yyyy-mm-dd")</f>
        <v>2024-07-15</v>
      </c>
      <c r="P1031" s="51">
        <f>ABS(tblWorkPackages[[#This Row],[Actual labor hours]]-tblWorkPackages[[#This Row],[Estimated labor hours]])</f>
        <v>2.4</v>
      </c>
      <c r="Q1031" s="51">
        <f>IF(tblWorkPackages[[#This Row],[Actual labor hours]]&gt;tblWorkPackages[[#This Row],[Estimated labor hours]],1,0)</f>
        <v>0</v>
      </c>
      <c r="R1031" s="51">
        <f>tblWorkPackages[[#This Row],[Actual labor hours]]-tblWorkPackages[[#This Row],[Estimated labor hours]]</f>
        <v>-2.4</v>
      </c>
      <c r="S1031" s="51" t="str">
        <f>IF(tblWorkPackages[[#This Row],[Request date serial]]&lt;ValidationStart,"Train 2024",IF(tblWorkPackages[[#This Row],[Request date serial]]&lt;HoldoutStart,"Validation H1","Holdout H2"))</f>
        <v>Train 2024</v>
      </c>
      <c r="T1031" s="51" t="str">
        <f>IF(tblWorkPackages[[#This Row],[Time split]]="Train 2024","",tblWorkPackages[[#This Row],[Estimated labor hours]]+VLOOKUP(tblWorkPackages[[#This Row],[Task type]],'Forecast validation'!$A$14:$E$25,IF(tblWorkPackages[[#This Row],[Time split]]="Validation H1",4,5),FALSE()))</f>
        <v/>
      </c>
      <c r="U1031" s="51" t="str">
        <f>IF(tblWorkPackages[[#This Row],[Calibrated forecast hours]]="","",ABS(tblWorkPackages[[#This Row],[Actual labor hours]]-tblWorkPackages[[#This Row],[Calibrated forecast hours]]))</f>
        <v/>
      </c>
      <c r="V1031" s="51">
        <f>IF(tblWorkPackages[[#This Row],[Time split]]="Train 2024",tblWorkPackages[[#This Row],[Estimated labor hours]],tblWorkPackages[[#This Row],[Calibrated forecast hours]])</f>
        <v>13.4</v>
      </c>
      <c r="W1031" s="64">
        <f>DATEVALUE(tblWorkPackages[[#This Row],[Request date]])</f>
        <v>45494.0</v>
      </c>
      <c r="X1031" s="64">
        <f>DATEVALUE(tblWorkPackages[[#This Row],[Due date]])</f>
        <v>45507.0</v>
      </c>
      <c r="Y1031" s="64">
        <f>DATEVALUE(tblWorkPackages[[#This Row],[Completion date]])</f>
        <v>45504.0</v>
      </c>
      <c r="Z1031" s="64">
        <f>_xlfn.MINIFS(tblLaborEntries[Work date serial],tblLaborEntries[Work package ID],tblWorkPackages[[#This Row],[Work package ID]])</f>
        <v>45501.0</v>
      </c>
      <c r="AA1031" s="64">
        <f>_xlfn.MAXIFS(tblLaborEntries[Work date serial],tblLaborEntries[Work package ID],tblWorkPackages[[#This Row],[Work package ID]])</f>
        <v>45503.0</v>
      </c>
      <c r="AB1031" s="65">
        <f>IF(tblWorkPackages[[#This Row],[Completion date serial]]&gt;tblWorkPackages[[#This Row],[Due date serial]],1,0)</f>
        <v>0</v>
      </c>
      <c r="AC1031" s="65">
        <f>MAX(0,tblWorkPackages[[#This Row],[Completion date serial]]-tblWorkPackages[[#This Row],[Due date serial]])</f>
        <v>0</v>
      </c>
      <c r="AD1031" s="65">
        <f>tblWorkPackages[[#This Row],[First labor date]]-tblWorkPackages[[#This Row],[Request date serial]]</f>
        <v>7</v>
      </c>
      <c r="AE1031" s="65">
        <f>tblWorkPackages[[#This Row],[Last labor date]]-tblWorkPackages[[#This Row],[First labor date]]</f>
        <v>2</v>
      </c>
      <c r="AF1031" s="65">
        <f>tblWorkPackages[[#This Row],[Completion date serial]]-tblWorkPackages[[#This Row],[Last labor date]]</f>
        <v>1</v>
      </c>
      <c r="AG1031" s="65">
        <f>tblWorkPackages[[#This Row],[Completion date serial]]-tblWorkPackages[[#This Row],[Request date serial]]</f>
        <v>10</v>
      </c>
      <c r="AH1031" s="65">
        <f>IFERROR(INDEX(tblParts[Delay days],MATCH(tblWorkPackages[[#This Row],[Work package ID]],tblParts[Work package ID],0)),0)</f>
        <v>0</v>
      </c>
      <c r="AI1031" s="51" t="str">
        <f>IFERROR(INDEX(tblDisruptions[Event type],MATCH(tblWorkPackages[[#This Row],[Work package ID]],tblDisruptions[Work package ID],0)),"None")</f>
        <v>None</v>
      </c>
      <c r="AJ1031" s="51" t="str">
        <f>TEXT(tblWorkPackages[[#This Row],[Due date serial]],"yyyy-mm")</f>
        <v>2024-08</v>
      </c>
    </row>
    <row r="1032" spans="1:36" ht="15" x14ac:dyDescent="0.25">
      <c r="A1032" s="53" t="s">
        <v>1928</v>
      </c>
      <c r="B1032" s="53" t="s">
        <v>168</v>
      </c>
      <c r="C1032" s="53" t="s">
        <v>1063</v>
      </c>
      <c r="D1032" s="53" t="s">
        <v>1191</v>
      </c>
      <c r="E1032" s="53" t="s">
        <v>127</v>
      </c>
      <c r="F1032" s="53" t="s">
        <v>128</v>
      </c>
      <c r="G1032" s="53" t="s">
        <v>129</v>
      </c>
      <c r="H1032" s="53">
        <v>4</v>
      </c>
      <c r="I1032" s="53" t="s">
        <v>130</v>
      </c>
      <c r="J1032" s="53">
        <v>1</v>
      </c>
      <c r="K1032" s="53">
        <v>1</v>
      </c>
      <c r="L1032" s="53">
        <v>14.8</v>
      </c>
      <c r="M1032" s="53" t="s">
        <v>966</v>
      </c>
      <c r="N1032" s="53">
        <v>23.4</v>
      </c>
      <c r="O1032" s="51" t="str">
        <f>TEXT(tblWorkPackages[[#This Row],[Request date serial]]-WEEKDAY(tblWorkPackages[[#This Row],[Request date serial]],3),"yyyy-mm-dd")</f>
        <v>2025-03-10</v>
      </c>
      <c r="P1032" s="51">
        <f>ABS(tblWorkPackages[[#This Row],[Actual labor hours]]-tblWorkPackages[[#This Row],[Estimated labor hours]])</f>
        <v>8.6</v>
      </c>
      <c r="Q1032" s="51">
        <f>IF(tblWorkPackages[[#This Row],[Actual labor hours]]&gt;tblWorkPackages[[#This Row],[Estimated labor hours]],1,0)</f>
        <v>1</v>
      </c>
      <c r="R1032" s="51">
        <f>tblWorkPackages[[#This Row],[Actual labor hours]]-tblWorkPackages[[#This Row],[Estimated labor hours]]</f>
        <v>8.6</v>
      </c>
      <c r="S1032" s="51" t="str">
        <f>IF(tblWorkPackages[[#This Row],[Request date serial]]&lt;ValidationStart,"Train 2024",IF(tblWorkPackages[[#This Row],[Request date serial]]&lt;HoldoutStart,"Validation H1","Holdout H2"))</f>
        <v>Validation H1</v>
      </c>
      <c r="T1032" s="51">
        <f>IF(tblWorkPackages[[#This Row],[Time split]]="Train 2024","",tblWorkPackages[[#This Row],[Estimated labor hours]]+VLOOKUP(tblWorkPackages[[#This Row],[Task type]],'Forecast validation'!$A$14:$E$25,IF(tblWorkPackages[[#This Row],[Time split]]="Validation H1",4,5),FALSE()))</f>
        <v>15.275641025641</v>
      </c>
      <c r="U1032" s="51">
        <f>IF(tblWorkPackages[[#This Row],[Calibrated forecast hours]]="","",ABS(tblWorkPackages[[#This Row],[Actual labor hours]]-tblWorkPackages[[#This Row],[Calibrated forecast hours]]))</f>
        <v>8.12435897435897</v>
      </c>
      <c r="V1032" s="51">
        <f>IF(tblWorkPackages[[#This Row],[Time split]]="Train 2024",tblWorkPackages[[#This Row],[Estimated labor hours]],tblWorkPackages[[#This Row],[Calibrated forecast hours]])</f>
        <v>15.275641025641</v>
      </c>
      <c r="W1032" s="64">
        <f>DATEVALUE(tblWorkPackages[[#This Row],[Request date]])</f>
        <v>45727.0</v>
      </c>
      <c r="X1032" s="64">
        <f>DATEVALUE(tblWorkPackages[[#This Row],[Due date]])</f>
        <v>45740.0</v>
      </c>
      <c r="Y1032" s="64">
        <f>DATEVALUE(tblWorkPackages[[#This Row],[Completion date]])</f>
        <v>45733.0</v>
      </c>
      <c r="Z1032" s="64">
        <f>_xlfn.MINIFS(tblLaborEntries[Work date serial],tblLaborEntries[Work package ID],tblWorkPackages[[#This Row],[Work package ID]])</f>
        <v>45729.0</v>
      </c>
      <c r="AA1032" s="64">
        <f>_xlfn.MAXIFS(tblLaborEntries[Work date serial],tblLaborEntries[Work package ID],tblWorkPackages[[#This Row],[Work package ID]])</f>
        <v>45731.0</v>
      </c>
      <c r="AB1032" s="65">
        <f>IF(tblWorkPackages[[#This Row],[Completion date serial]]&gt;tblWorkPackages[[#This Row],[Due date serial]],1,0)</f>
        <v>0</v>
      </c>
      <c r="AC1032" s="65">
        <f>MAX(0,tblWorkPackages[[#This Row],[Completion date serial]]-tblWorkPackages[[#This Row],[Due date serial]])</f>
        <v>0</v>
      </c>
      <c r="AD1032" s="65">
        <f>tblWorkPackages[[#This Row],[First labor date]]-tblWorkPackages[[#This Row],[Request date serial]]</f>
        <v>2</v>
      </c>
      <c r="AE1032" s="65">
        <f>tblWorkPackages[[#This Row],[Last labor date]]-tblWorkPackages[[#This Row],[First labor date]]</f>
        <v>2</v>
      </c>
      <c r="AF1032" s="65">
        <f>tblWorkPackages[[#This Row],[Completion date serial]]-tblWorkPackages[[#This Row],[Last labor date]]</f>
        <v>2</v>
      </c>
      <c r="AG1032" s="65">
        <f>tblWorkPackages[[#This Row],[Completion date serial]]-tblWorkPackages[[#This Row],[Request date serial]]</f>
        <v>6</v>
      </c>
      <c r="AH1032" s="65">
        <f>IFERROR(INDEX(tblParts[Delay days],MATCH(tblWorkPackages[[#This Row],[Work package ID]],tblParts[Work package ID],0)),0)</f>
        <v>0</v>
      </c>
      <c r="AI1032" s="51" t="str">
        <f>IFERROR(INDEX(tblDisruptions[Event type],MATCH(tblWorkPackages[[#This Row],[Work package ID]],tblDisruptions[Work package ID],0)),"None")</f>
        <v>None</v>
      </c>
      <c r="AJ1032" s="51" t="str">
        <f>TEXT(tblWorkPackages[[#This Row],[Due date serial]],"yyyy-mm")</f>
        <v>2025-03</v>
      </c>
    </row>
    <row r="1033" spans="1:36" ht="15" x14ac:dyDescent="0.25">
      <c r="A1033" s="53" t="s">
        <v>1929</v>
      </c>
      <c r="B1033" s="53" t="s">
        <v>141</v>
      </c>
      <c r="C1033" s="53" t="s">
        <v>1540</v>
      </c>
      <c r="D1033" s="53" t="s">
        <v>854</v>
      </c>
      <c r="E1033" s="53" t="s">
        <v>160</v>
      </c>
      <c r="F1033" s="53" t="s">
        <v>128</v>
      </c>
      <c r="G1033" s="53" t="s">
        <v>138</v>
      </c>
      <c r="H1033" s="53">
        <v>2</v>
      </c>
      <c r="I1033" s="53" t="s">
        <v>176</v>
      </c>
      <c r="J1033" s="53">
        <v>0</v>
      </c>
      <c r="K1033" s="53">
        <v>0</v>
      </c>
      <c r="L1033" s="53">
        <v>4.5</v>
      </c>
      <c r="M1033" s="53" t="s">
        <v>1370</v>
      </c>
      <c r="N1033" s="53">
        <v>4.7</v>
      </c>
      <c r="O1033" s="51" t="str">
        <f>TEXT(tblWorkPackages[[#This Row],[Request date serial]]-WEEKDAY(tblWorkPackages[[#This Row],[Request date serial]],3),"yyyy-mm-dd")</f>
        <v>2024-07-08</v>
      </c>
      <c r="P1033" s="51">
        <f>ABS(tblWorkPackages[[#This Row],[Actual labor hours]]-tblWorkPackages[[#This Row],[Estimated labor hours]])</f>
        <v>0.2</v>
      </c>
      <c r="Q1033" s="51">
        <f>IF(tblWorkPackages[[#This Row],[Actual labor hours]]&gt;tblWorkPackages[[#This Row],[Estimated labor hours]],1,0)</f>
        <v>1</v>
      </c>
      <c r="R1033" s="51">
        <f>tblWorkPackages[[#This Row],[Actual labor hours]]-tblWorkPackages[[#This Row],[Estimated labor hours]]</f>
        <v>0.2</v>
      </c>
      <c r="S1033" s="51" t="str">
        <f>IF(tblWorkPackages[[#This Row],[Request date serial]]&lt;ValidationStart,"Train 2024",IF(tblWorkPackages[[#This Row],[Request date serial]]&lt;HoldoutStart,"Validation H1","Holdout H2"))</f>
        <v>Train 2024</v>
      </c>
      <c r="T1033" s="51" t="str">
        <f>IF(tblWorkPackages[[#This Row],[Time split]]="Train 2024","",tblWorkPackages[[#This Row],[Estimated labor hours]]+VLOOKUP(tblWorkPackages[[#This Row],[Task type]],'Forecast validation'!$A$14:$E$25,IF(tblWorkPackages[[#This Row],[Time split]]="Validation H1",4,5),FALSE()))</f>
        <v/>
      </c>
      <c r="U1033" s="51" t="str">
        <f>IF(tblWorkPackages[[#This Row],[Calibrated forecast hours]]="","",ABS(tblWorkPackages[[#This Row],[Actual labor hours]]-tblWorkPackages[[#This Row],[Calibrated forecast hours]]))</f>
        <v/>
      </c>
      <c r="V1033" s="51">
        <f>IF(tblWorkPackages[[#This Row],[Time split]]="Train 2024",tblWorkPackages[[#This Row],[Estimated labor hours]],tblWorkPackages[[#This Row],[Calibrated forecast hours]])</f>
        <v>4.5</v>
      </c>
      <c r="W1033" s="64">
        <f>DATEVALUE(tblWorkPackages[[#This Row],[Request date]])</f>
        <v>45486.0</v>
      </c>
      <c r="X1033" s="64">
        <f>DATEVALUE(tblWorkPackages[[#This Row],[Due date]])</f>
        <v>45492.0</v>
      </c>
      <c r="Y1033" s="64">
        <f>DATEVALUE(tblWorkPackages[[#This Row],[Completion date]])</f>
        <v>45507.0</v>
      </c>
      <c r="Z1033" s="64">
        <f>_xlfn.MINIFS(tblLaborEntries[Work date serial],tblLaborEntries[Work package ID],tblWorkPackages[[#This Row],[Work package ID]])</f>
        <v>45503.0</v>
      </c>
      <c r="AA1033" s="64">
        <f>_xlfn.MAXIFS(tblLaborEntries[Work date serial],tblLaborEntries[Work package ID],tblWorkPackages[[#This Row],[Work package ID]])</f>
        <v>45504.0</v>
      </c>
      <c r="AB1033" s="65">
        <f>IF(tblWorkPackages[[#This Row],[Completion date serial]]&gt;tblWorkPackages[[#This Row],[Due date serial]],1,0)</f>
        <v>1</v>
      </c>
      <c r="AC1033" s="65">
        <f>MAX(0,tblWorkPackages[[#This Row],[Completion date serial]]-tblWorkPackages[[#This Row],[Due date serial]])</f>
        <v>15</v>
      </c>
      <c r="AD1033" s="65">
        <f>tblWorkPackages[[#This Row],[First labor date]]-tblWorkPackages[[#This Row],[Request date serial]]</f>
        <v>17</v>
      </c>
      <c r="AE1033" s="65">
        <f>tblWorkPackages[[#This Row],[Last labor date]]-tblWorkPackages[[#This Row],[First labor date]]</f>
        <v>1</v>
      </c>
      <c r="AF1033" s="65">
        <f>tblWorkPackages[[#This Row],[Completion date serial]]-tblWorkPackages[[#This Row],[Last labor date]]</f>
        <v>3</v>
      </c>
      <c r="AG1033" s="65">
        <f>tblWorkPackages[[#This Row],[Completion date serial]]-tblWorkPackages[[#This Row],[Request date serial]]</f>
        <v>21</v>
      </c>
      <c r="AH1033" s="65">
        <f>IFERROR(INDEX(tblParts[Delay days],MATCH(tblWorkPackages[[#This Row],[Work package ID]],tblParts[Work package ID],0)),0)</f>
        <v>0</v>
      </c>
      <c r="AI1033" s="51" t="str">
        <f>IFERROR(INDEX(tblDisruptions[Event type],MATCH(tblWorkPackages[[#This Row],[Work package ID]],tblDisruptions[Work package ID],0)),"None")</f>
        <v>None</v>
      </c>
      <c r="AJ1033" s="51" t="str">
        <f>TEXT(tblWorkPackages[[#This Row],[Due date serial]],"yyyy-mm")</f>
        <v>2024-07</v>
      </c>
    </row>
    <row r="1034" spans="1:36" ht="15" x14ac:dyDescent="0.25">
      <c r="A1034" s="53" t="s">
        <v>1930</v>
      </c>
      <c r="B1034" s="53" t="s">
        <v>230</v>
      </c>
      <c r="C1034" s="53" t="s">
        <v>1369</v>
      </c>
      <c r="D1034" s="53" t="s">
        <v>1735</v>
      </c>
      <c r="E1034" s="53" t="s">
        <v>223</v>
      </c>
      <c r="F1034" s="53" t="s">
        <v>182</v>
      </c>
      <c r="G1034" s="53" t="s">
        <v>154</v>
      </c>
      <c r="H1034" s="53">
        <v>2</v>
      </c>
      <c r="I1034" s="53" t="s">
        <v>130</v>
      </c>
      <c r="J1034" s="53">
        <v>0</v>
      </c>
      <c r="K1034" s="53">
        <v>0</v>
      </c>
      <c r="L1034" s="53">
        <v>12.3</v>
      </c>
      <c r="M1034" s="53" t="s">
        <v>782</v>
      </c>
      <c r="N1034" s="53">
        <v>12.2</v>
      </c>
      <c r="O1034" s="51" t="str">
        <f>TEXT(tblWorkPackages[[#This Row],[Request date serial]]-WEEKDAY(tblWorkPackages[[#This Row],[Request date serial]],3),"yyyy-mm-dd")</f>
        <v>2024-08-05</v>
      </c>
      <c r="P1034" s="51">
        <f>ABS(tblWorkPackages[[#This Row],[Actual labor hours]]-tblWorkPackages[[#This Row],[Estimated labor hours]])</f>
        <v>0.100000000000001</v>
      </c>
      <c r="Q1034" s="51">
        <f>IF(tblWorkPackages[[#This Row],[Actual labor hours]]&gt;tblWorkPackages[[#This Row],[Estimated labor hours]],1,0)</f>
        <v>0</v>
      </c>
      <c r="R1034" s="51">
        <f>tblWorkPackages[[#This Row],[Actual labor hours]]-tblWorkPackages[[#This Row],[Estimated labor hours]]</f>
        <v>-0.100000000000001</v>
      </c>
      <c r="S1034" s="51" t="str">
        <f>IF(tblWorkPackages[[#This Row],[Request date serial]]&lt;ValidationStart,"Train 2024",IF(tblWorkPackages[[#This Row],[Request date serial]]&lt;HoldoutStart,"Validation H1","Holdout H2"))</f>
        <v>Train 2024</v>
      </c>
      <c r="T1034" s="51" t="str">
        <f>IF(tblWorkPackages[[#This Row],[Time split]]="Train 2024","",tblWorkPackages[[#This Row],[Estimated labor hours]]+VLOOKUP(tblWorkPackages[[#This Row],[Task type]],'Forecast validation'!$A$14:$E$25,IF(tblWorkPackages[[#This Row],[Time split]]="Validation H1",4,5),FALSE()))</f>
        <v/>
      </c>
      <c r="U1034" s="51" t="str">
        <f>IF(tblWorkPackages[[#This Row],[Calibrated forecast hours]]="","",ABS(tblWorkPackages[[#This Row],[Actual labor hours]]-tblWorkPackages[[#This Row],[Calibrated forecast hours]]))</f>
        <v/>
      </c>
      <c r="V1034" s="51">
        <f>IF(tblWorkPackages[[#This Row],[Time split]]="Train 2024",tblWorkPackages[[#This Row],[Estimated labor hours]],tblWorkPackages[[#This Row],[Calibrated forecast hours]])</f>
        <v>12.3</v>
      </c>
      <c r="W1034" s="64">
        <f>DATEVALUE(tblWorkPackages[[#This Row],[Request date]])</f>
        <v>45513.0</v>
      </c>
      <c r="X1034" s="64">
        <f>DATEVALUE(tblWorkPackages[[#This Row],[Due date]])</f>
        <v>45526.0</v>
      </c>
      <c r="Y1034" s="64">
        <f>DATEVALUE(tblWorkPackages[[#This Row],[Completion date]])</f>
        <v>45517.0</v>
      </c>
      <c r="Z1034" s="64">
        <f>_xlfn.MINIFS(tblLaborEntries[Work date serial],tblLaborEntries[Work package ID],tblWorkPackages[[#This Row],[Work package ID]])</f>
        <v>45517.0</v>
      </c>
      <c r="AA1034" s="64">
        <f>_xlfn.MAXIFS(tblLaborEntries[Work date serial],tblLaborEntries[Work package ID],tblWorkPackages[[#This Row],[Work package ID]])</f>
        <v>45517.0</v>
      </c>
      <c r="AB1034" s="65">
        <f>IF(tblWorkPackages[[#This Row],[Completion date serial]]&gt;tblWorkPackages[[#This Row],[Due date serial]],1,0)</f>
        <v>0</v>
      </c>
      <c r="AC1034" s="65">
        <f>MAX(0,tblWorkPackages[[#This Row],[Completion date serial]]-tblWorkPackages[[#This Row],[Due date serial]])</f>
        <v>0</v>
      </c>
      <c r="AD1034" s="65">
        <f>tblWorkPackages[[#This Row],[First labor date]]-tblWorkPackages[[#This Row],[Request date serial]]</f>
        <v>4</v>
      </c>
      <c r="AE1034" s="65">
        <f>tblWorkPackages[[#This Row],[Last labor date]]-tblWorkPackages[[#This Row],[First labor date]]</f>
        <v>0</v>
      </c>
      <c r="AF1034" s="65">
        <f>tblWorkPackages[[#This Row],[Completion date serial]]-tblWorkPackages[[#This Row],[Last labor date]]</f>
        <v>0</v>
      </c>
      <c r="AG1034" s="65">
        <f>tblWorkPackages[[#This Row],[Completion date serial]]-tblWorkPackages[[#This Row],[Request date serial]]</f>
        <v>4</v>
      </c>
      <c r="AH1034" s="65">
        <f>IFERROR(INDEX(tblParts[Delay days],MATCH(tblWorkPackages[[#This Row],[Work package ID]],tblParts[Work package ID],0)),0)</f>
        <v>0</v>
      </c>
      <c r="AI1034" s="51" t="str">
        <f>IFERROR(INDEX(tblDisruptions[Event type],MATCH(tblWorkPackages[[#This Row],[Work package ID]],tblDisruptions[Work package ID],0)),"None")</f>
        <v>None</v>
      </c>
      <c r="AJ1034" s="51" t="str">
        <f>TEXT(tblWorkPackages[[#This Row],[Due date serial]],"yyyy-mm")</f>
        <v>2024-08</v>
      </c>
    </row>
    <row r="1035" spans="1:36" ht="15" x14ac:dyDescent="0.25">
      <c r="A1035" s="53" t="s">
        <v>1931</v>
      </c>
      <c r="B1035" s="53" t="s">
        <v>235</v>
      </c>
      <c r="C1035" s="53" t="s">
        <v>691</v>
      </c>
      <c r="D1035" s="53" t="s">
        <v>299</v>
      </c>
      <c r="E1035" s="53" t="s">
        <v>272</v>
      </c>
      <c r="F1035" s="53" t="s">
        <v>145</v>
      </c>
      <c r="G1035" s="53" t="s">
        <v>273</v>
      </c>
      <c r="H1035" s="53">
        <v>1</v>
      </c>
      <c r="I1035" s="53" t="s">
        <v>176</v>
      </c>
      <c r="J1035" s="53">
        <v>0</v>
      </c>
      <c r="K1035" s="53">
        <v>1</v>
      </c>
      <c r="L1035" s="53">
        <v>8.3000000000000007</v>
      </c>
      <c r="M1035" s="53" t="s">
        <v>437</v>
      </c>
      <c r="N1035" s="53">
        <v>8.4</v>
      </c>
      <c r="O1035" s="51" t="str">
        <f>TEXT(tblWorkPackages[[#This Row],[Request date serial]]-WEEKDAY(tblWorkPackages[[#This Row],[Request date serial]],3),"yyyy-mm-dd")</f>
        <v>2024-04-01</v>
      </c>
      <c r="P1035" s="51">
        <f>ABS(tblWorkPackages[[#This Row],[Actual labor hours]]-tblWorkPackages[[#This Row],[Estimated labor hours]])</f>
        <v>0.0999999999999996</v>
      </c>
      <c r="Q1035" s="51">
        <f>IF(tblWorkPackages[[#This Row],[Actual labor hours]]&gt;tblWorkPackages[[#This Row],[Estimated labor hours]],1,0)</f>
        <v>1</v>
      </c>
      <c r="R1035" s="51">
        <f>tblWorkPackages[[#This Row],[Actual labor hours]]-tblWorkPackages[[#This Row],[Estimated labor hours]]</f>
        <v>0.0999999999999996</v>
      </c>
      <c r="S1035" s="51" t="str">
        <f>IF(tblWorkPackages[[#This Row],[Request date serial]]&lt;ValidationStart,"Train 2024",IF(tblWorkPackages[[#This Row],[Request date serial]]&lt;HoldoutStart,"Validation H1","Holdout H2"))</f>
        <v>Train 2024</v>
      </c>
      <c r="T1035" s="51" t="str">
        <f>IF(tblWorkPackages[[#This Row],[Time split]]="Train 2024","",tblWorkPackages[[#This Row],[Estimated labor hours]]+VLOOKUP(tblWorkPackages[[#This Row],[Task type]],'Forecast validation'!$A$14:$E$25,IF(tblWorkPackages[[#This Row],[Time split]]="Validation H1",4,5),FALSE()))</f>
        <v/>
      </c>
      <c r="U1035" s="51" t="str">
        <f>IF(tblWorkPackages[[#This Row],[Calibrated forecast hours]]="","",ABS(tblWorkPackages[[#This Row],[Actual labor hours]]-tblWorkPackages[[#This Row],[Calibrated forecast hours]]))</f>
        <v/>
      </c>
      <c r="V1035" s="51">
        <f>IF(tblWorkPackages[[#This Row],[Time split]]="Train 2024",tblWorkPackages[[#This Row],[Estimated labor hours]],tblWorkPackages[[#This Row],[Calibrated forecast hours]])</f>
        <v>8.3</v>
      </c>
      <c r="W1035" s="64">
        <f>DATEVALUE(tblWorkPackages[[#This Row],[Request date]])</f>
        <v>45389.0</v>
      </c>
      <c r="X1035" s="64">
        <f>DATEVALUE(tblWorkPackages[[#This Row],[Due date]])</f>
        <v>45395.0</v>
      </c>
      <c r="Y1035" s="64">
        <f>DATEVALUE(tblWorkPackages[[#This Row],[Completion date]])</f>
        <v>45393.0</v>
      </c>
      <c r="Z1035" s="64">
        <f>_xlfn.MINIFS(tblLaborEntries[Work date serial],tblLaborEntries[Work package ID],tblWorkPackages[[#This Row],[Work package ID]])</f>
        <v>45390.0</v>
      </c>
      <c r="AA1035" s="64">
        <f>_xlfn.MAXIFS(tblLaborEntries[Work date serial],tblLaborEntries[Work package ID],tblWorkPackages[[#This Row],[Work package ID]])</f>
        <v>45392.0</v>
      </c>
      <c r="AB1035" s="65">
        <f>IF(tblWorkPackages[[#This Row],[Completion date serial]]&gt;tblWorkPackages[[#This Row],[Due date serial]],1,0)</f>
        <v>0</v>
      </c>
      <c r="AC1035" s="65">
        <f>MAX(0,tblWorkPackages[[#This Row],[Completion date serial]]-tblWorkPackages[[#This Row],[Due date serial]])</f>
        <v>0</v>
      </c>
      <c r="AD1035" s="65">
        <f>tblWorkPackages[[#This Row],[First labor date]]-tblWorkPackages[[#This Row],[Request date serial]]</f>
        <v>1</v>
      </c>
      <c r="AE1035" s="65">
        <f>tblWorkPackages[[#This Row],[Last labor date]]-tblWorkPackages[[#This Row],[First labor date]]</f>
        <v>2</v>
      </c>
      <c r="AF1035" s="65">
        <f>tblWorkPackages[[#This Row],[Completion date serial]]-tblWorkPackages[[#This Row],[Last labor date]]</f>
        <v>1</v>
      </c>
      <c r="AG1035" s="65">
        <f>tblWorkPackages[[#This Row],[Completion date serial]]-tblWorkPackages[[#This Row],[Request date serial]]</f>
        <v>4</v>
      </c>
      <c r="AH1035" s="65">
        <f>IFERROR(INDEX(tblParts[Delay days],MATCH(tblWorkPackages[[#This Row],[Work package ID]],tblParts[Work package ID],0)),0)</f>
        <v>0</v>
      </c>
      <c r="AI1035" s="51" t="str">
        <f>IFERROR(INDEX(tblDisruptions[Event type],MATCH(tblWorkPackages[[#This Row],[Work package ID]],tblDisruptions[Work package ID],0)),"None")</f>
        <v>None</v>
      </c>
      <c r="AJ1035" s="51" t="str">
        <f>TEXT(tblWorkPackages[[#This Row],[Due date serial]],"yyyy-mm")</f>
        <v>2024-04</v>
      </c>
    </row>
    <row r="1036" spans="1:36" ht="15" x14ac:dyDescent="0.25">
      <c r="A1036" s="53" t="s">
        <v>1932</v>
      </c>
      <c r="B1036" s="53" t="s">
        <v>250</v>
      </c>
      <c r="C1036" s="53" t="s">
        <v>796</v>
      </c>
      <c r="D1036" s="53" t="s">
        <v>744</v>
      </c>
      <c r="E1036" s="53" t="s">
        <v>237</v>
      </c>
      <c r="F1036" s="53" t="s">
        <v>182</v>
      </c>
      <c r="G1036" s="53" t="s">
        <v>138</v>
      </c>
      <c r="H1036" s="53">
        <v>4</v>
      </c>
      <c r="I1036" s="53" t="s">
        <v>130</v>
      </c>
      <c r="J1036" s="53">
        <v>0</v>
      </c>
      <c r="K1036" s="53">
        <v>0</v>
      </c>
      <c r="L1036" s="53">
        <v>9.5</v>
      </c>
      <c r="M1036" s="53" t="s">
        <v>1154</v>
      </c>
      <c r="N1036" s="53">
        <v>8.4</v>
      </c>
      <c r="O1036" s="51" t="str">
        <f>TEXT(tblWorkPackages[[#This Row],[Request date serial]]-WEEKDAY(tblWorkPackages[[#This Row],[Request date serial]],3),"yyyy-mm-dd")</f>
        <v>2025-07-07</v>
      </c>
      <c r="P1036" s="51">
        <f>ABS(tblWorkPackages[[#This Row],[Actual labor hours]]-tblWorkPackages[[#This Row],[Estimated labor hours]])</f>
        <v>1.1</v>
      </c>
      <c r="Q1036" s="51">
        <f>IF(tblWorkPackages[[#This Row],[Actual labor hours]]&gt;tblWorkPackages[[#This Row],[Estimated labor hours]],1,0)</f>
        <v>0</v>
      </c>
      <c r="R1036" s="51">
        <f>tblWorkPackages[[#This Row],[Actual labor hours]]-tblWorkPackages[[#This Row],[Estimated labor hours]]</f>
        <v>-1.1</v>
      </c>
      <c r="S1036" s="51" t="str">
        <f>IF(tblWorkPackages[[#This Row],[Request date serial]]&lt;ValidationStart,"Train 2024",IF(tblWorkPackages[[#This Row],[Request date serial]]&lt;HoldoutStart,"Validation H1","Holdout H2"))</f>
        <v>Holdout H2</v>
      </c>
      <c r="T1036" s="51">
        <f>IF(tblWorkPackages[[#This Row],[Time split]]="Train 2024","",tblWorkPackages[[#This Row],[Estimated labor hours]]+VLOOKUP(tblWorkPackages[[#This Row],[Task type]],'Forecast validation'!$A$14:$E$25,IF(tblWorkPackages[[#This Row],[Time split]]="Validation H1",4,5),FALSE()))</f>
        <v>9.953125</v>
      </c>
      <c r="U1036" s="51">
        <f>IF(tblWorkPackages[[#This Row],[Calibrated forecast hours]]="","",ABS(tblWorkPackages[[#This Row],[Actual labor hours]]-tblWorkPackages[[#This Row],[Calibrated forecast hours]]))</f>
        <v>1.553125</v>
      </c>
      <c r="V1036" s="51">
        <f>IF(tblWorkPackages[[#This Row],[Time split]]="Train 2024",tblWorkPackages[[#This Row],[Estimated labor hours]],tblWorkPackages[[#This Row],[Calibrated forecast hours]])</f>
        <v>9.953125</v>
      </c>
      <c r="W1036" s="64">
        <f>DATEVALUE(tblWorkPackages[[#This Row],[Request date]])</f>
        <v>45850.0</v>
      </c>
      <c r="X1036" s="64">
        <f>DATEVALUE(tblWorkPackages[[#This Row],[Due date]])</f>
        <v>45863.0</v>
      </c>
      <c r="Y1036" s="64">
        <f>DATEVALUE(tblWorkPackages[[#This Row],[Completion date]])</f>
        <v>45864.0</v>
      </c>
      <c r="Z1036" s="64">
        <f>_xlfn.MINIFS(tblLaborEntries[Work date serial],tblLaborEntries[Work package ID],tblWorkPackages[[#This Row],[Work package ID]])</f>
        <v>45861.0</v>
      </c>
      <c r="AA1036" s="64">
        <f>_xlfn.MAXIFS(tblLaborEntries[Work date serial],tblLaborEntries[Work package ID],tblWorkPackages[[#This Row],[Work package ID]])</f>
        <v>45862.0</v>
      </c>
      <c r="AB1036" s="65">
        <f>IF(tblWorkPackages[[#This Row],[Completion date serial]]&gt;tblWorkPackages[[#This Row],[Due date serial]],1,0)</f>
        <v>1</v>
      </c>
      <c r="AC1036" s="65">
        <f>MAX(0,tblWorkPackages[[#This Row],[Completion date serial]]-tblWorkPackages[[#This Row],[Due date serial]])</f>
        <v>1</v>
      </c>
      <c r="AD1036" s="65">
        <f>tblWorkPackages[[#This Row],[First labor date]]-tblWorkPackages[[#This Row],[Request date serial]]</f>
        <v>11</v>
      </c>
      <c r="AE1036" s="65">
        <f>tblWorkPackages[[#This Row],[Last labor date]]-tblWorkPackages[[#This Row],[First labor date]]</f>
        <v>1</v>
      </c>
      <c r="AF1036" s="65">
        <f>tblWorkPackages[[#This Row],[Completion date serial]]-tblWorkPackages[[#This Row],[Last labor date]]</f>
        <v>2</v>
      </c>
      <c r="AG1036" s="65">
        <f>tblWorkPackages[[#This Row],[Completion date serial]]-tblWorkPackages[[#This Row],[Request date serial]]</f>
        <v>14</v>
      </c>
      <c r="AH1036" s="65">
        <f>IFERROR(INDEX(tblParts[Delay days],MATCH(tblWorkPackages[[#This Row],[Work package ID]],tblParts[Work package ID],0)),0)</f>
        <v>0</v>
      </c>
      <c r="AI1036" s="51" t="str">
        <f>IFERROR(INDEX(tblDisruptions[Event type],MATCH(tblWorkPackages[[#This Row],[Work package ID]],tblDisruptions[Work package ID],0)),"None")</f>
        <v>None</v>
      </c>
      <c r="AJ1036" s="51" t="str">
        <f>TEXT(tblWorkPackages[[#This Row],[Due date serial]],"yyyy-mm")</f>
        <v>2025-07</v>
      </c>
    </row>
    <row r="1037" spans="1:36" ht="15" x14ac:dyDescent="0.25">
      <c r="A1037" s="53" t="s">
        <v>1933</v>
      </c>
      <c r="B1037" s="53" t="s">
        <v>287</v>
      </c>
      <c r="C1037" s="53" t="s">
        <v>1895</v>
      </c>
      <c r="D1037" s="53" t="s">
        <v>1283</v>
      </c>
      <c r="E1037" s="53" t="s">
        <v>242</v>
      </c>
      <c r="F1037" s="53" t="s">
        <v>243</v>
      </c>
      <c r="G1037" s="53" t="s">
        <v>129</v>
      </c>
      <c r="H1037" s="53">
        <v>2</v>
      </c>
      <c r="I1037" s="53" t="s">
        <v>130</v>
      </c>
      <c r="J1037" s="53">
        <v>0</v>
      </c>
      <c r="K1037" s="53">
        <v>0</v>
      </c>
      <c r="L1037" s="53">
        <v>9.8000000000000007</v>
      </c>
      <c r="M1037" s="53" t="s">
        <v>271</v>
      </c>
      <c r="N1037" s="53">
        <v>8.6</v>
      </c>
      <c r="O1037" s="51" t="str">
        <f>TEXT(tblWorkPackages[[#This Row],[Request date serial]]-WEEKDAY(tblWorkPackages[[#This Row],[Request date serial]],3),"yyyy-mm-dd")</f>
        <v>2025-04-07</v>
      </c>
      <c r="P1037" s="51">
        <f>ABS(tblWorkPackages[[#This Row],[Actual labor hours]]-tblWorkPackages[[#This Row],[Estimated labor hours]])</f>
        <v>1.2</v>
      </c>
      <c r="Q1037" s="51">
        <f>IF(tblWorkPackages[[#This Row],[Actual labor hours]]&gt;tblWorkPackages[[#This Row],[Estimated labor hours]],1,0)</f>
        <v>0</v>
      </c>
      <c r="R1037" s="51">
        <f>tblWorkPackages[[#This Row],[Actual labor hours]]-tblWorkPackages[[#This Row],[Estimated labor hours]]</f>
        <v>-1.2</v>
      </c>
      <c r="S1037" s="51" t="str">
        <f>IF(tblWorkPackages[[#This Row],[Request date serial]]&lt;ValidationStart,"Train 2024",IF(tblWorkPackages[[#This Row],[Request date serial]]&lt;HoldoutStart,"Validation H1","Holdout H2"))</f>
        <v>Validation H1</v>
      </c>
      <c r="T1037" s="51">
        <f>IF(tblWorkPackages[[#This Row],[Time split]]="Train 2024","",tblWorkPackages[[#This Row],[Estimated labor hours]]+VLOOKUP(tblWorkPackages[[#This Row],[Task type]],'Forecast validation'!$A$14:$E$25,IF(tblWorkPackages[[#This Row],[Time split]]="Validation H1",4,5),FALSE()))</f>
        <v>10.3561224489796</v>
      </c>
      <c r="U1037" s="51">
        <f>IF(tblWorkPackages[[#This Row],[Calibrated forecast hours]]="","",ABS(tblWorkPackages[[#This Row],[Actual labor hours]]-tblWorkPackages[[#This Row],[Calibrated forecast hours]]))</f>
        <v>1.75612244897959</v>
      </c>
      <c r="V1037" s="51">
        <f>IF(tblWorkPackages[[#This Row],[Time split]]="Train 2024",tblWorkPackages[[#This Row],[Estimated labor hours]],tblWorkPackages[[#This Row],[Calibrated forecast hours]])</f>
        <v>10.3561224489796</v>
      </c>
      <c r="W1037" s="64">
        <f>DATEVALUE(tblWorkPackages[[#This Row],[Request date]])</f>
        <v>45755.0</v>
      </c>
      <c r="X1037" s="64">
        <f>DATEVALUE(tblWorkPackages[[#This Row],[Due date]])</f>
        <v>45768.0</v>
      </c>
      <c r="Y1037" s="64">
        <f>DATEVALUE(tblWorkPackages[[#This Row],[Completion date]])</f>
        <v>45761.0</v>
      </c>
      <c r="Z1037" s="64">
        <f>_xlfn.MINIFS(tblLaborEntries[Work date serial],tblLaborEntries[Work package ID],tblWorkPackages[[#This Row],[Work package ID]])</f>
        <v>45758.0</v>
      </c>
      <c r="AA1037" s="64">
        <f>_xlfn.MAXIFS(tblLaborEntries[Work date serial],tblLaborEntries[Work package ID],tblWorkPackages[[#This Row],[Work package ID]])</f>
        <v>45758.0</v>
      </c>
      <c r="AB1037" s="65">
        <f>IF(tblWorkPackages[[#This Row],[Completion date serial]]&gt;tblWorkPackages[[#This Row],[Due date serial]],1,0)</f>
        <v>0</v>
      </c>
      <c r="AC1037" s="65">
        <f>MAX(0,tblWorkPackages[[#This Row],[Completion date serial]]-tblWorkPackages[[#This Row],[Due date serial]])</f>
        <v>0</v>
      </c>
      <c r="AD1037" s="65">
        <f>tblWorkPackages[[#This Row],[First labor date]]-tblWorkPackages[[#This Row],[Request date serial]]</f>
        <v>3</v>
      </c>
      <c r="AE1037" s="65">
        <f>tblWorkPackages[[#This Row],[Last labor date]]-tblWorkPackages[[#This Row],[First labor date]]</f>
        <v>0</v>
      </c>
      <c r="AF1037" s="65">
        <f>tblWorkPackages[[#This Row],[Completion date serial]]-tblWorkPackages[[#This Row],[Last labor date]]</f>
        <v>3</v>
      </c>
      <c r="AG1037" s="65">
        <f>tblWorkPackages[[#This Row],[Completion date serial]]-tblWorkPackages[[#This Row],[Request date serial]]</f>
        <v>6</v>
      </c>
      <c r="AH1037" s="65">
        <f>IFERROR(INDEX(tblParts[Delay days],MATCH(tblWorkPackages[[#This Row],[Work package ID]],tblParts[Work package ID],0)),0)</f>
        <v>0</v>
      </c>
      <c r="AI1037" s="51" t="str">
        <f>IFERROR(INDEX(tblDisruptions[Event type],MATCH(tblWorkPackages[[#This Row],[Work package ID]],tblDisruptions[Work package ID],0)),"None")</f>
        <v>None</v>
      </c>
      <c r="AJ1037" s="51" t="str">
        <f>TEXT(tblWorkPackages[[#This Row],[Due date serial]],"yyyy-mm")</f>
        <v>2025-04</v>
      </c>
    </row>
    <row r="1038" spans="1:36" ht="15" x14ac:dyDescent="0.25">
      <c r="A1038" s="53" t="s">
        <v>1934</v>
      </c>
      <c r="B1038" s="53" t="s">
        <v>163</v>
      </c>
      <c r="C1038" s="53" t="s">
        <v>187</v>
      </c>
      <c r="D1038" s="53" t="s">
        <v>1318</v>
      </c>
      <c r="E1038" s="53" t="s">
        <v>181</v>
      </c>
      <c r="F1038" s="53" t="s">
        <v>182</v>
      </c>
      <c r="G1038" s="53" t="s">
        <v>138</v>
      </c>
      <c r="H1038" s="53">
        <v>1</v>
      </c>
      <c r="I1038" s="53" t="s">
        <v>130</v>
      </c>
      <c r="J1038" s="53">
        <v>0</v>
      </c>
      <c r="K1038" s="53">
        <v>0</v>
      </c>
      <c r="L1038" s="53">
        <v>5.0999999999999996</v>
      </c>
      <c r="M1038" s="53" t="s">
        <v>590</v>
      </c>
      <c r="N1038" s="53">
        <v>6</v>
      </c>
      <c r="O1038" s="51" t="str">
        <f>TEXT(tblWorkPackages[[#This Row],[Request date serial]]-WEEKDAY(tblWorkPackages[[#This Row],[Request date serial]],3),"yyyy-mm-dd")</f>
        <v>2025-02-24</v>
      </c>
      <c r="P1038" s="51">
        <f>ABS(tblWorkPackages[[#This Row],[Actual labor hours]]-tblWorkPackages[[#This Row],[Estimated labor hours]])</f>
        <v>0.9</v>
      </c>
      <c r="Q1038" s="51">
        <f>IF(tblWorkPackages[[#This Row],[Actual labor hours]]&gt;tblWorkPackages[[#This Row],[Estimated labor hours]],1,0)</f>
        <v>1</v>
      </c>
      <c r="R1038" s="51">
        <f>tblWorkPackages[[#This Row],[Actual labor hours]]-tblWorkPackages[[#This Row],[Estimated labor hours]]</f>
        <v>0.9</v>
      </c>
      <c r="S1038" s="51" t="str">
        <f>IF(tblWorkPackages[[#This Row],[Request date serial]]&lt;ValidationStart,"Train 2024",IF(tblWorkPackages[[#This Row],[Request date serial]]&lt;HoldoutStart,"Validation H1","Holdout H2"))</f>
        <v>Validation H1</v>
      </c>
      <c r="T1038" s="51">
        <f>IF(tblWorkPackages[[#This Row],[Time split]]="Train 2024","",tblWorkPackages[[#This Row],[Estimated labor hours]]+VLOOKUP(tblWorkPackages[[#This Row],[Task type]],'Forecast validation'!$A$14:$E$25,IF(tblWorkPackages[[#This Row],[Time split]]="Validation H1",4,5),FALSE()))</f>
        <v>5.68409090909091</v>
      </c>
      <c r="U1038" s="51">
        <f>IF(tblWorkPackages[[#This Row],[Calibrated forecast hours]]="","",ABS(tblWorkPackages[[#This Row],[Actual labor hours]]-tblWorkPackages[[#This Row],[Calibrated forecast hours]]))</f>
        <v>0.315909090909091</v>
      </c>
      <c r="V1038" s="51">
        <f>IF(tblWorkPackages[[#This Row],[Time split]]="Train 2024",tblWorkPackages[[#This Row],[Estimated labor hours]],tblWorkPackages[[#This Row],[Calibrated forecast hours]])</f>
        <v>5.68409090909091</v>
      </c>
      <c r="W1038" s="64">
        <f>DATEVALUE(tblWorkPackages[[#This Row],[Request date]])</f>
        <v>45713.0</v>
      </c>
      <c r="X1038" s="64">
        <f>DATEVALUE(tblWorkPackages[[#This Row],[Due date]])</f>
        <v>45726.0</v>
      </c>
      <c r="Y1038" s="64">
        <f>DATEVALUE(tblWorkPackages[[#This Row],[Completion date]])</f>
        <v>45745.0</v>
      </c>
      <c r="Z1038" s="64">
        <f>_xlfn.MINIFS(tblLaborEntries[Work date serial],tblLaborEntries[Work package ID],tblWorkPackages[[#This Row],[Work package ID]])</f>
        <v>45743.0</v>
      </c>
      <c r="AA1038" s="64">
        <f>_xlfn.MAXIFS(tblLaborEntries[Work date serial],tblLaborEntries[Work package ID],tblWorkPackages[[#This Row],[Work package ID]])</f>
        <v>45745.0</v>
      </c>
      <c r="AB1038" s="65">
        <f>IF(tblWorkPackages[[#This Row],[Completion date serial]]&gt;tblWorkPackages[[#This Row],[Due date serial]],1,0)</f>
        <v>1</v>
      </c>
      <c r="AC1038" s="65">
        <f>MAX(0,tblWorkPackages[[#This Row],[Completion date serial]]-tblWorkPackages[[#This Row],[Due date serial]])</f>
        <v>19</v>
      </c>
      <c r="AD1038" s="65">
        <f>tblWorkPackages[[#This Row],[First labor date]]-tblWorkPackages[[#This Row],[Request date serial]]</f>
        <v>30</v>
      </c>
      <c r="AE1038" s="65">
        <f>tblWorkPackages[[#This Row],[Last labor date]]-tblWorkPackages[[#This Row],[First labor date]]</f>
        <v>2</v>
      </c>
      <c r="AF1038" s="65">
        <f>tblWorkPackages[[#This Row],[Completion date serial]]-tblWorkPackages[[#This Row],[Last labor date]]</f>
        <v>0</v>
      </c>
      <c r="AG1038" s="65">
        <f>tblWorkPackages[[#This Row],[Completion date serial]]-tblWorkPackages[[#This Row],[Request date serial]]</f>
        <v>32</v>
      </c>
      <c r="AH1038" s="65">
        <f>IFERROR(INDEX(tblParts[Delay days],MATCH(tblWorkPackages[[#This Row],[Work package ID]],tblParts[Work package ID],0)),0)</f>
        <v>0</v>
      </c>
      <c r="AI1038" s="51" t="str">
        <f>IFERROR(INDEX(tblDisruptions[Event type],MATCH(tblWorkPackages[[#This Row],[Work package ID]],tblDisruptions[Work package ID],0)),"None")</f>
        <v>None</v>
      </c>
      <c r="AJ1038" s="51" t="str">
        <f>TEXT(tblWorkPackages[[#This Row],[Due date serial]],"yyyy-mm")</f>
        <v>2025-03</v>
      </c>
    </row>
    <row r="1039" spans="1:36" ht="15" x14ac:dyDescent="0.25">
      <c r="A1039" s="53" t="s">
        <v>1935</v>
      </c>
      <c r="B1039" s="53" t="s">
        <v>163</v>
      </c>
      <c r="C1039" s="53" t="s">
        <v>1802</v>
      </c>
      <c r="D1039" s="53" t="s">
        <v>1044</v>
      </c>
      <c r="E1039" s="53" t="s">
        <v>209</v>
      </c>
      <c r="F1039" s="53" t="s">
        <v>145</v>
      </c>
      <c r="G1039" s="53" t="s">
        <v>210</v>
      </c>
      <c r="H1039" s="53">
        <v>2</v>
      </c>
      <c r="I1039" s="53" t="s">
        <v>130</v>
      </c>
      <c r="J1039" s="53">
        <v>1</v>
      </c>
      <c r="K1039" s="53">
        <v>1</v>
      </c>
      <c r="L1039" s="53">
        <v>21.2</v>
      </c>
      <c r="M1039" s="53" t="s">
        <v>639</v>
      </c>
      <c r="N1039" s="53">
        <v>26.7</v>
      </c>
      <c r="O1039" s="51" t="str">
        <f>TEXT(tblWorkPackages[[#This Row],[Request date serial]]-WEEKDAY(tblWorkPackages[[#This Row],[Request date serial]],3),"yyyy-mm-dd")</f>
        <v>2025-05-26</v>
      </c>
      <c r="P1039" s="51">
        <f>ABS(tblWorkPackages[[#This Row],[Actual labor hours]]-tblWorkPackages[[#This Row],[Estimated labor hours]])</f>
        <v>5.5</v>
      </c>
      <c r="Q1039" s="51">
        <f>IF(tblWorkPackages[[#This Row],[Actual labor hours]]&gt;tblWorkPackages[[#This Row],[Estimated labor hours]],1,0)</f>
        <v>1</v>
      </c>
      <c r="R1039" s="51">
        <f>tblWorkPackages[[#This Row],[Actual labor hours]]-tblWorkPackages[[#This Row],[Estimated labor hours]]</f>
        <v>5.5</v>
      </c>
      <c r="S1039" s="51" t="str">
        <f>IF(tblWorkPackages[[#This Row],[Request date serial]]&lt;ValidationStart,"Train 2024",IF(tblWorkPackages[[#This Row],[Request date serial]]&lt;HoldoutStart,"Validation H1","Holdout H2"))</f>
        <v>Validation H1</v>
      </c>
      <c r="T1039" s="51">
        <f>IF(tblWorkPackages[[#This Row],[Time split]]="Train 2024","",tblWorkPackages[[#This Row],[Estimated labor hours]]+VLOOKUP(tblWorkPackages[[#This Row],[Task type]],'Forecast validation'!$A$14:$E$25,IF(tblWorkPackages[[#This Row],[Time split]]="Validation H1",4,5),FALSE()))</f>
        <v>22.3029850746269</v>
      </c>
      <c r="U1039" s="51">
        <f>IF(tblWorkPackages[[#This Row],[Calibrated forecast hours]]="","",ABS(tblWorkPackages[[#This Row],[Actual labor hours]]-tblWorkPackages[[#This Row],[Calibrated forecast hours]]))</f>
        <v>4.39701492537314</v>
      </c>
      <c r="V1039" s="51">
        <f>IF(tblWorkPackages[[#This Row],[Time split]]="Train 2024",tblWorkPackages[[#This Row],[Estimated labor hours]],tblWorkPackages[[#This Row],[Calibrated forecast hours]])</f>
        <v>22.3029850746269</v>
      </c>
      <c r="W1039" s="64">
        <f>DATEVALUE(tblWorkPackages[[#This Row],[Request date]])</f>
        <v>45809.0</v>
      </c>
      <c r="X1039" s="64">
        <f>DATEVALUE(tblWorkPackages[[#This Row],[Due date]])</f>
        <v>45822.0</v>
      </c>
      <c r="Y1039" s="64">
        <f>DATEVALUE(tblWorkPackages[[#This Row],[Completion date]])</f>
        <v>45815.0</v>
      </c>
      <c r="Z1039" s="64">
        <f>_xlfn.MINIFS(tblLaborEntries[Work date serial],tblLaborEntries[Work package ID],tblWorkPackages[[#This Row],[Work package ID]])</f>
        <v>45814.0</v>
      </c>
      <c r="AA1039" s="64">
        <f>_xlfn.MAXIFS(tblLaborEntries[Work date serial],tblLaborEntries[Work package ID],tblWorkPackages[[#This Row],[Work package ID]])</f>
        <v>45814.0</v>
      </c>
      <c r="AB1039" s="65">
        <f>IF(tblWorkPackages[[#This Row],[Completion date serial]]&gt;tblWorkPackages[[#This Row],[Due date serial]],1,0)</f>
        <v>0</v>
      </c>
      <c r="AC1039" s="65">
        <f>MAX(0,tblWorkPackages[[#This Row],[Completion date serial]]-tblWorkPackages[[#This Row],[Due date serial]])</f>
        <v>0</v>
      </c>
      <c r="AD1039" s="65">
        <f>tblWorkPackages[[#This Row],[First labor date]]-tblWorkPackages[[#This Row],[Request date serial]]</f>
        <v>5</v>
      </c>
      <c r="AE1039" s="65">
        <f>tblWorkPackages[[#This Row],[Last labor date]]-tblWorkPackages[[#This Row],[First labor date]]</f>
        <v>0</v>
      </c>
      <c r="AF1039" s="65">
        <f>tblWorkPackages[[#This Row],[Completion date serial]]-tblWorkPackages[[#This Row],[Last labor date]]</f>
        <v>1</v>
      </c>
      <c r="AG1039" s="65">
        <f>tblWorkPackages[[#This Row],[Completion date serial]]-tblWorkPackages[[#This Row],[Request date serial]]</f>
        <v>6</v>
      </c>
      <c r="AH1039" s="65">
        <f>IFERROR(INDEX(tblParts[Delay days],MATCH(tblWorkPackages[[#This Row],[Work package ID]],tblParts[Work package ID],0)),0)</f>
        <v>0</v>
      </c>
      <c r="AI1039" s="51" t="str">
        <f>IFERROR(INDEX(tblDisruptions[Event type],MATCH(tblWorkPackages[[#This Row],[Work package ID]],tblDisruptions[Work package ID],0)),"None")</f>
        <v>None</v>
      </c>
      <c r="AJ1039" s="51" t="str">
        <f>TEXT(tblWorkPackages[[#This Row],[Due date serial]],"yyyy-mm")</f>
        <v>2025-06</v>
      </c>
    </row>
    <row r="1040" spans="1:36" ht="15" x14ac:dyDescent="0.25">
      <c r="A1040" s="53" t="s">
        <v>1936</v>
      </c>
      <c r="B1040" s="53" t="s">
        <v>230</v>
      </c>
      <c r="C1040" s="53" t="s">
        <v>369</v>
      </c>
      <c r="D1040" s="53" t="s">
        <v>303</v>
      </c>
      <c r="E1040" s="53" t="s">
        <v>200</v>
      </c>
      <c r="F1040" s="53" t="s">
        <v>128</v>
      </c>
      <c r="G1040" s="53" t="s">
        <v>129</v>
      </c>
      <c r="H1040" s="53">
        <v>2</v>
      </c>
      <c r="I1040" s="53" t="s">
        <v>130</v>
      </c>
      <c r="J1040" s="53">
        <v>0</v>
      </c>
      <c r="K1040" s="53">
        <v>0</v>
      </c>
      <c r="L1040" s="53">
        <v>3.4</v>
      </c>
      <c r="M1040" s="53" t="s">
        <v>1092</v>
      </c>
      <c r="N1040" s="53">
        <v>3.8</v>
      </c>
      <c r="O1040" s="51" t="str">
        <f>TEXT(tblWorkPackages[[#This Row],[Request date serial]]-WEEKDAY(tblWorkPackages[[#This Row],[Request date serial]],3),"yyyy-mm-dd")</f>
        <v>2024-06-10</v>
      </c>
      <c r="P1040" s="51">
        <f>ABS(tblWorkPackages[[#This Row],[Actual labor hours]]-tblWorkPackages[[#This Row],[Estimated labor hours]])</f>
        <v>0.4</v>
      </c>
      <c r="Q1040" s="51">
        <f>IF(tblWorkPackages[[#This Row],[Actual labor hours]]&gt;tblWorkPackages[[#This Row],[Estimated labor hours]],1,0)</f>
        <v>1</v>
      </c>
      <c r="R1040" s="51">
        <f>tblWorkPackages[[#This Row],[Actual labor hours]]-tblWorkPackages[[#This Row],[Estimated labor hours]]</f>
        <v>0.4</v>
      </c>
      <c r="S1040" s="51" t="str">
        <f>IF(tblWorkPackages[[#This Row],[Request date serial]]&lt;ValidationStart,"Train 2024",IF(tblWorkPackages[[#This Row],[Request date serial]]&lt;HoldoutStart,"Validation H1","Holdout H2"))</f>
        <v>Train 2024</v>
      </c>
      <c r="T1040" s="51" t="str">
        <f>IF(tblWorkPackages[[#This Row],[Time split]]="Train 2024","",tblWorkPackages[[#This Row],[Estimated labor hours]]+VLOOKUP(tblWorkPackages[[#This Row],[Task type]],'Forecast validation'!$A$14:$E$25,IF(tblWorkPackages[[#This Row],[Time split]]="Validation H1",4,5),FALSE()))</f>
        <v/>
      </c>
      <c r="U1040" s="51" t="str">
        <f>IF(tblWorkPackages[[#This Row],[Calibrated forecast hours]]="","",ABS(tblWorkPackages[[#This Row],[Actual labor hours]]-tblWorkPackages[[#This Row],[Calibrated forecast hours]]))</f>
        <v/>
      </c>
      <c r="V1040" s="51">
        <f>IF(tblWorkPackages[[#This Row],[Time split]]="Train 2024",tblWorkPackages[[#This Row],[Estimated labor hours]],tblWorkPackages[[#This Row],[Calibrated forecast hours]])</f>
        <v>3.4</v>
      </c>
      <c r="W1040" s="64">
        <f>DATEVALUE(tblWorkPackages[[#This Row],[Request date]])</f>
        <v>45455.0</v>
      </c>
      <c r="X1040" s="64">
        <f>DATEVALUE(tblWorkPackages[[#This Row],[Due date]])</f>
        <v>45468.0</v>
      </c>
      <c r="Y1040" s="64">
        <f>DATEVALUE(tblWorkPackages[[#This Row],[Completion date]])</f>
        <v>45459.0</v>
      </c>
      <c r="Z1040" s="64">
        <f>_xlfn.MINIFS(tblLaborEntries[Work date serial],tblLaborEntries[Work package ID],tblWorkPackages[[#This Row],[Work package ID]])</f>
        <v>45457.0</v>
      </c>
      <c r="AA1040" s="64">
        <f>_xlfn.MAXIFS(tblLaborEntries[Work date serial],tblLaborEntries[Work package ID],tblWorkPackages[[#This Row],[Work package ID]])</f>
        <v>45457.0</v>
      </c>
      <c r="AB1040" s="65">
        <f>IF(tblWorkPackages[[#This Row],[Completion date serial]]&gt;tblWorkPackages[[#This Row],[Due date serial]],1,0)</f>
        <v>0</v>
      </c>
      <c r="AC1040" s="65">
        <f>MAX(0,tblWorkPackages[[#This Row],[Completion date serial]]-tblWorkPackages[[#This Row],[Due date serial]])</f>
        <v>0</v>
      </c>
      <c r="AD1040" s="65">
        <f>tblWorkPackages[[#This Row],[First labor date]]-tblWorkPackages[[#This Row],[Request date serial]]</f>
        <v>2</v>
      </c>
      <c r="AE1040" s="65">
        <f>tblWorkPackages[[#This Row],[Last labor date]]-tblWorkPackages[[#This Row],[First labor date]]</f>
        <v>0</v>
      </c>
      <c r="AF1040" s="65">
        <f>tblWorkPackages[[#This Row],[Completion date serial]]-tblWorkPackages[[#This Row],[Last labor date]]</f>
        <v>2</v>
      </c>
      <c r="AG1040" s="65">
        <f>tblWorkPackages[[#This Row],[Completion date serial]]-tblWorkPackages[[#This Row],[Request date serial]]</f>
        <v>4</v>
      </c>
      <c r="AH1040" s="65">
        <f>IFERROR(INDEX(tblParts[Delay days],MATCH(tblWorkPackages[[#This Row],[Work package ID]],tblParts[Work package ID],0)),0)</f>
        <v>0</v>
      </c>
      <c r="AI1040" s="51" t="str">
        <f>IFERROR(INDEX(tblDisruptions[Event type],MATCH(tblWorkPackages[[#This Row],[Work package ID]],tblDisruptions[Work package ID],0)),"None")</f>
        <v>None</v>
      </c>
      <c r="AJ1040" s="51" t="str">
        <f>TEXT(tblWorkPackages[[#This Row],[Due date serial]],"yyyy-mm")</f>
        <v>2024-06</v>
      </c>
    </row>
    <row r="1041" spans="1:36" ht="15" x14ac:dyDescent="0.25">
      <c r="A1041" s="53" t="s">
        <v>1937</v>
      </c>
      <c r="B1041" s="53" t="s">
        <v>235</v>
      </c>
      <c r="C1041" s="53" t="s">
        <v>285</v>
      </c>
      <c r="D1041" s="53" t="s">
        <v>288</v>
      </c>
      <c r="E1041" s="53" t="s">
        <v>160</v>
      </c>
      <c r="F1041" s="53" t="s">
        <v>128</v>
      </c>
      <c r="G1041" s="53" t="s">
        <v>138</v>
      </c>
      <c r="H1041" s="53">
        <v>4</v>
      </c>
      <c r="I1041" s="53" t="s">
        <v>130</v>
      </c>
      <c r="J1041" s="53">
        <v>0</v>
      </c>
      <c r="K1041" s="53">
        <v>0</v>
      </c>
      <c r="L1041" s="53">
        <v>7.5</v>
      </c>
      <c r="M1041" s="53" t="s">
        <v>683</v>
      </c>
      <c r="N1041" s="53">
        <v>6.6</v>
      </c>
      <c r="O1041" s="51" t="str">
        <f>TEXT(tblWorkPackages[[#This Row],[Request date serial]]-WEEKDAY(tblWorkPackages[[#This Row],[Request date serial]],3),"yyyy-mm-dd")</f>
        <v>2025-09-15</v>
      </c>
      <c r="P1041" s="51">
        <f>ABS(tblWorkPackages[[#This Row],[Actual labor hours]]-tblWorkPackages[[#This Row],[Estimated labor hours]])</f>
        <v>0.9</v>
      </c>
      <c r="Q1041" s="51">
        <f>IF(tblWorkPackages[[#This Row],[Actual labor hours]]&gt;tblWorkPackages[[#This Row],[Estimated labor hours]],1,0)</f>
        <v>0</v>
      </c>
      <c r="R1041" s="51">
        <f>tblWorkPackages[[#This Row],[Actual labor hours]]-tblWorkPackages[[#This Row],[Estimated labor hours]]</f>
        <v>-0.9</v>
      </c>
      <c r="S1041" s="51" t="str">
        <f>IF(tblWorkPackages[[#This Row],[Request date serial]]&lt;ValidationStart,"Train 2024",IF(tblWorkPackages[[#This Row],[Request date serial]]&lt;HoldoutStart,"Validation H1","Holdout H2"))</f>
        <v>Holdout H2</v>
      </c>
      <c r="T1041" s="51">
        <f>IF(tblWorkPackages[[#This Row],[Time split]]="Train 2024","",tblWorkPackages[[#This Row],[Estimated labor hours]]+VLOOKUP(tblWorkPackages[[#This Row],[Task type]],'Forecast validation'!$A$14:$E$25,IF(tblWorkPackages[[#This Row],[Time split]]="Validation H1",4,5),FALSE()))</f>
        <v>7.93739837398374</v>
      </c>
      <c r="U1041" s="51">
        <f>IF(tblWorkPackages[[#This Row],[Calibrated forecast hours]]="","",ABS(tblWorkPackages[[#This Row],[Actual labor hours]]-tblWorkPackages[[#This Row],[Calibrated forecast hours]]))</f>
        <v>1.33739837398374</v>
      </c>
      <c r="V1041" s="51">
        <f>IF(tblWorkPackages[[#This Row],[Time split]]="Train 2024",tblWorkPackages[[#This Row],[Estimated labor hours]],tblWorkPackages[[#This Row],[Calibrated forecast hours]])</f>
        <v>7.93739837398374</v>
      </c>
      <c r="W1041" s="64">
        <f>DATEVALUE(tblWorkPackages[[#This Row],[Request date]])</f>
        <v>45915.0</v>
      </c>
      <c r="X1041" s="64">
        <f>DATEVALUE(tblWorkPackages[[#This Row],[Due date]])</f>
        <v>45928.0</v>
      </c>
      <c r="Y1041" s="64">
        <f>DATEVALUE(tblWorkPackages[[#This Row],[Completion date]])</f>
        <v>45932.0</v>
      </c>
      <c r="Z1041" s="64">
        <f>_xlfn.MINIFS(tblLaborEntries[Work date serial],tblLaborEntries[Work package ID],tblWorkPackages[[#This Row],[Work package ID]])</f>
        <v>45929.0</v>
      </c>
      <c r="AA1041" s="64">
        <f>_xlfn.MAXIFS(tblLaborEntries[Work date serial],tblLaborEntries[Work package ID],tblWorkPackages[[#This Row],[Work package ID]])</f>
        <v>45929.0</v>
      </c>
      <c r="AB1041" s="65">
        <f>IF(tblWorkPackages[[#This Row],[Completion date serial]]&gt;tblWorkPackages[[#This Row],[Due date serial]],1,0)</f>
        <v>1</v>
      </c>
      <c r="AC1041" s="65">
        <f>MAX(0,tblWorkPackages[[#This Row],[Completion date serial]]-tblWorkPackages[[#This Row],[Due date serial]])</f>
        <v>4</v>
      </c>
      <c r="AD1041" s="65">
        <f>tblWorkPackages[[#This Row],[First labor date]]-tblWorkPackages[[#This Row],[Request date serial]]</f>
        <v>14</v>
      </c>
      <c r="AE1041" s="65">
        <f>tblWorkPackages[[#This Row],[Last labor date]]-tblWorkPackages[[#This Row],[First labor date]]</f>
        <v>0</v>
      </c>
      <c r="AF1041" s="65">
        <f>tblWorkPackages[[#This Row],[Completion date serial]]-tblWorkPackages[[#This Row],[Last labor date]]</f>
        <v>3</v>
      </c>
      <c r="AG1041" s="65">
        <f>tblWorkPackages[[#This Row],[Completion date serial]]-tblWorkPackages[[#This Row],[Request date serial]]</f>
        <v>17</v>
      </c>
      <c r="AH1041" s="65">
        <f>IFERROR(INDEX(tblParts[Delay days],MATCH(tblWorkPackages[[#This Row],[Work package ID]],tblParts[Work package ID],0)),0)</f>
        <v>0</v>
      </c>
      <c r="AI1041" s="51" t="str">
        <f>IFERROR(INDEX(tblDisruptions[Event type],MATCH(tblWorkPackages[[#This Row],[Work package ID]],tblDisruptions[Work package ID],0)),"None")</f>
        <v>None</v>
      </c>
      <c r="AJ1041" s="51" t="str">
        <f>TEXT(tblWorkPackages[[#This Row],[Due date serial]],"yyyy-mm")</f>
        <v>2025-09</v>
      </c>
    </row>
    <row r="1042" spans="1:36" ht="15" x14ac:dyDescent="0.25">
      <c r="A1042" s="53" t="s">
        <v>1938</v>
      </c>
      <c r="B1042" s="53" t="s">
        <v>163</v>
      </c>
      <c r="C1042" s="53" t="s">
        <v>738</v>
      </c>
      <c r="D1042" s="53" t="s">
        <v>431</v>
      </c>
      <c r="E1042" s="53" t="s">
        <v>136</v>
      </c>
      <c r="F1042" s="53" t="s">
        <v>137</v>
      </c>
      <c r="G1042" s="53" t="s">
        <v>138</v>
      </c>
      <c r="H1042" s="53">
        <v>4</v>
      </c>
      <c r="I1042" s="53" t="s">
        <v>130</v>
      </c>
      <c r="J1042" s="53">
        <v>0</v>
      </c>
      <c r="K1042" s="53">
        <v>1</v>
      </c>
      <c r="L1042" s="53">
        <v>25.2</v>
      </c>
      <c r="M1042" s="53" t="s">
        <v>1030</v>
      </c>
      <c r="N1042" s="53">
        <v>30.1</v>
      </c>
      <c r="O1042" s="51" t="str">
        <f>TEXT(tblWorkPackages[[#This Row],[Request date serial]]-WEEKDAY(tblWorkPackages[[#This Row],[Request date serial]],3),"yyyy-mm-dd")</f>
        <v>2025-06-30</v>
      </c>
      <c r="P1042" s="51">
        <f>ABS(tblWorkPackages[[#This Row],[Actual labor hours]]-tblWorkPackages[[#This Row],[Estimated labor hours]])</f>
        <v>4.9</v>
      </c>
      <c r="Q1042" s="51">
        <f>IF(tblWorkPackages[[#This Row],[Actual labor hours]]&gt;tblWorkPackages[[#This Row],[Estimated labor hours]],1,0)</f>
        <v>1</v>
      </c>
      <c r="R1042" s="51">
        <f>tblWorkPackages[[#This Row],[Actual labor hours]]-tblWorkPackages[[#This Row],[Estimated labor hours]]</f>
        <v>4.9</v>
      </c>
      <c r="S1042" s="51" t="str">
        <f>IF(tblWorkPackages[[#This Row],[Request date serial]]&lt;ValidationStart,"Train 2024",IF(tblWorkPackages[[#This Row],[Request date serial]]&lt;HoldoutStart,"Validation H1","Holdout H2"))</f>
        <v>Holdout H2</v>
      </c>
      <c r="T1042" s="51">
        <f>IF(tblWorkPackages[[#This Row],[Time split]]="Train 2024","",tblWorkPackages[[#This Row],[Estimated labor hours]]+VLOOKUP(tblWorkPackages[[#This Row],[Task type]],'Forecast validation'!$A$14:$E$25,IF(tblWorkPackages[[#This Row],[Time split]]="Validation H1",4,5),FALSE()))</f>
        <v>26.1207547169811</v>
      </c>
      <c r="U1042" s="51">
        <f>IF(tblWorkPackages[[#This Row],[Calibrated forecast hours]]="","",ABS(tblWorkPackages[[#This Row],[Actual labor hours]]-tblWorkPackages[[#This Row],[Calibrated forecast hours]]))</f>
        <v>3.97924528301887</v>
      </c>
      <c r="V1042" s="51">
        <f>IF(tblWorkPackages[[#This Row],[Time split]]="Train 2024",tblWorkPackages[[#This Row],[Estimated labor hours]],tblWorkPackages[[#This Row],[Calibrated forecast hours]])</f>
        <v>26.1207547169811</v>
      </c>
      <c r="W1042" s="64">
        <f>DATEVALUE(tblWorkPackages[[#This Row],[Request date]])</f>
        <v>45839.0</v>
      </c>
      <c r="X1042" s="64">
        <f>DATEVALUE(tblWorkPackages[[#This Row],[Due date]])</f>
        <v>45852.0</v>
      </c>
      <c r="Y1042" s="64">
        <f>DATEVALUE(tblWorkPackages[[#This Row],[Completion date]])</f>
        <v>45844.0</v>
      </c>
      <c r="Z1042" s="64">
        <f>_xlfn.MINIFS(tblLaborEntries[Work date serial],tblLaborEntries[Work package ID],tblWorkPackages[[#This Row],[Work package ID]])</f>
        <v>45842.0</v>
      </c>
      <c r="AA1042" s="64">
        <f>_xlfn.MAXIFS(tblLaborEntries[Work date serial],tblLaborEntries[Work package ID],tblWorkPackages[[#This Row],[Work package ID]])</f>
        <v>45844.0</v>
      </c>
      <c r="AB1042" s="65">
        <f>IF(tblWorkPackages[[#This Row],[Completion date serial]]&gt;tblWorkPackages[[#This Row],[Due date serial]],1,0)</f>
        <v>0</v>
      </c>
      <c r="AC1042" s="65">
        <f>MAX(0,tblWorkPackages[[#This Row],[Completion date serial]]-tblWorkPackages[[#This Row],[Due date serial]])</f>
        <v>0</v>
      </c>
      <c r="AD1042" s="65">
        <f>tblWorkPackages[[#This Row],[First labor date]]-tblWorkPackages[[#This Row],[Request date serial]]</f>
        <v>3</v>
      </c>
      <c r="AE1042" s="65">
        <f>tblWorkPackages[[#This Row],[Last labor date]]-tblWorkPackages[[#This Row],[First labor date]]</f>
        <v>2</v>
      </c>
      <c r="AF1042" s="65">
        <f>tblWorkPackages[[#This Row],[Completion date serial]]-tblWorkPackages[[#This Row],[Last labor date]]</f>
        <v>0</v>
      </c>
      <c r="AG1042" s="65">
        <f>tblWorkPackages[[#This Row],[Completion date serial]]-tblWorkPackages[[#This Row],[Request date serial]]</f>
        <v>5</v>
      </c>
      <c r="AH1042" s="65">
        <f>IFERROR(INDEX(tblParts[Delay days],MATCH(tblWorkPackages[[#This Row],[Work package ID]],tblParts[Work package ID],0)),0)</f>
        <v>0</v>
      </c>
      <c r="AI1042" s="51" t="str">
        <f>IFERROR(INDEX(tblDisruptions[Event type],MATCH(tblWorkPackages[[#This Row],[Work package ID]],tblDisruptions[Work package ID],0)),"None")</f>
        <v>None</v>
      </c>
      <c r="AJ1042" s="51" t="str">
        <f>TEXT(tblWorkPackages[[#This Row],[Due date serial]],"yyyy-mm")</f>
        <v>2025-07</v>
      </c>
    </row>
    <row r="1043" spans="1:36" ht="15" x14ac:dyDescent="0.25">
      <c r="A1043" s="53" t="s">
        <v>1939</v>
      </c>
      <c r="B1043" s="53" t="s">
        <v>287</v>
      </c>
      <c r="C1043" s="53" t="s">
        <v>166</v>
      </c>
      <c r="D1043" s="53" t="s">
        <v>450</v>
      </c>
      <c r="E1043" s="53" t="s">
        <v>209</v>
      </c>
      <c r="F1043" s="53" t="s">
        <v>145</v>
      </c>
      <c r="G1043" s="53" t="s">
        <v>210</v>
      </c>
      <c r="H1043" s="53">
        <v>1</v>
      </c>
      <c r="I1043" s="53" t="s">
        <v>147</v>
      </c>
      <c r="J1043" s="53">
        <v>0</v>
      </c>
      <c r="K1043" s="53">
        <v>1</v>
      </c>
      <c r="L1043" s="53">
        <v>14.1</v>
      </c>
      <c r="M1043" s="53" t="s">
        <v>875</v>
      </c>
      <c r="N1043" s="53">
        <v>13.2</v>
      </c>
      <c r="O1043" s="51" t="str">
        <f>TEXT(tblWorkPackages[[#This Row],[Request date serial]]-WEEKDAY(tblWorkPackages[[#This Row],[Request date serial]],3),"yyyy-mm-dd")</f>
        <v>2024-07-08</v>
      </c>
      <c r="P1043" s="51">
        <f>ABS(tblWorkPackages[[#This Row],[Actual labor hours]]-tblWorkPackages[[#This Row],[Estimated labor hours]])</f>
        <v>0.9</v>
      </c>
      <c r="Q1043" s="51">
        <f>IF(tblWorkPackages[[#This Row],[Actual labor hours]]&gt;tblWorkPackages[[#This Row],[Estimated labor hours]],1,0)</f>
        <v>0</v>
      </c>
      <c r="R1043" s="51">
        <f>tblWorkPackages[[#This Row],[Actual labor hours]]-tblWorkPackages[[#This Row],[Estimated labor hours]]</f>
        <v>-0.9</v>
      </c>
      <c r="S1043" s="51" t="str">
        <f>IF(tblWorkPackages[[#This Row],[Request date serial]]&lt;ValidationStart,"Train 2024",IF(tblWorkPackages[[#This Row],[Request date serial]]&lt;HoldoutStart,"Validation H1","Holdout H2"))</f>
        <v>Train 2024</v>
      </c>
      <c r="T1043" s="51" t="str">
        <f>IF(tblWorkPackages[[#This Row],[Time split]]="Train 2024","",tblWorkPackages[[#This Row],[Estimated labor hours]]+VLOOKUP(tblWorkPackages[[#This Row],[Task type]],'Forecast validation'!$A$14:$E$25,IF(tblWorkPackages[[#This Row],[Time split]]="Validation H1",4,5),FALSE()))</f>
        <v/>
      </c>
      <c r="U1043" s="51" t="str">
        <f>IF(tblWorkPackages[[#This Row],[Calibrated forecast hours]]="","",ABS(tblWorkPackages[[#This Row],[Actual labor hours]]-tblWorkPackages[[#This Row],[Calibrated forecast hours]]))</f>
        <v/>
      </c>
      <c r="V1043" s="51">
        <f>IF(tblWorkPackages[[#This Row],[Time split]]="Train 2024",tblWorkPackages[[#This Row],[Estimated labor hours]],tblWorkPackages[[#This Row],[Calibrated forecast hours]])</f>
        <v>14.1</v>
      </c>
      <c r="W1043" s="64">
        <f>DATEVALUE(tblWorkPackages[[#This Row],[Request date]])</f>
        <v>45485.0</v>
      </c>
      <c r="X1043" s="64">
        <f>DATEVALUE(tblWorkPackages[[#This Row],[Due date]])</f>
        <v>45487.0</v>
      </c>
      <c r="Y1043" s="64">
        <f>DATEVALUE(tblWorkPackages[[#This Row],[Completion date]])</f>
        <v>45544.0</v>
      </c>
      <c r="Z1043" s="64">
        <f>_xlfn.MINIFS(tblLaborEntries[Work date serial],tblLaborEntries[Work package ID],tblWorkPackages[[#This Row],[Work package ID]])</f>
        <v>45542.0</v>
      </c>
      <c r="AA1043" s="64">
        <f>_xlfn.MAXIFS(tblLaborEntries[Work date serial],tblLaborEntries[Work package ID],tblWorkPackages[[#This Row],[Work package ID]])</f>
        <v>45543.0</v>
      </c>
      <c r="AB1043" s="65">
        <f>IF(tblWorkPackages[[#This Row],[Completion date serial]]&gt;tblWorkPackages[[#This Row],[Due date serial]],1,0)</f>
        <v>1</v>
      </c>
      <c r="AC1043" s="65">
        <f>MAX(0,tblWorkPackages[[#This Row],[Completion date serial]]-tblWorkPackages[[#This Row],[Due date serial]])</f>
        <v>57</v>
      </c>
      <c r="AD1043" s="65">
        <f>tblWorkPackages[[#This Row],[First labor date]]-tblWorkPackages[[#This Row],[Request date serial]]</f>
        <v>57</v>
      </c>
      <c r="AE1043" s="65">
        <f>tblWorkPackages[[#This Row],[Last labor date]]-tblWorkPackages[[#This Row],[First labor date]]</f>
        <v>1</v>
      </c>
      <c r="AF1043" s="65">
        <f>tblWorkPackages[[#This Row],[Completion date serial]]-tblWorkPackages[[#This Row],[Last labor date]]</f>
        <v>1</v>
      </c>
      <c r="AG1043" s="65">
        <f>tblWorkPackages[[#This Row],[Completion date serial]]-tblWorkPackages[[#This Row],[Request date serial]]</f>
        <v>59</v>
      </c>
      <c r="AH1043" s="65">
        <f>IFERROR(INDEX(tblParts[Delay days],MATCH(tblWorkPackages[[#This Row],[Work package ID]],tblParts[Work package ID],0)),0)</f>
        <v>0</v>
      </c>
      <c r="AI1043" s="51" t="str">
        <f>IFERROR(INDEX(tblDisruptions[Event type],MATCH(tblWorkPackages[[#This Row],[Work package ID]],tblDisruptions[Work package ID],0)),"None")</f>
        <v>None</v>
      </c>
      <c r="AJ1043" s="51" t="str">
        <f>TEXT(tblWorkPackages[[#This Row],[Due date serial]],"yyyy-mm")</f>
        <v>2024-07</v>
      </c>
    </row>
    <row r="1044" spans="1:36" ht="15" x14ac:dyDescent="0.25">
      <c r="A1044" s="53" t="s">
        <v>1940</v>
      </c>
      <c r="B1044" s="53" t="s">
        <v>203</v>
      </c>
      <c r="C1044" s="53" t="s">
        <v>152</v>
      </c>
      <c r="D1044" s="53" t="s">
        <v>846</v>
      </c>
      <c r="E1044" s="53" t="s">
        <v>200</v>
      </c>
      <c r="F1044" s="53" t="s">
        <v>128</v>
      </c>
      <c r="G1044" s="53" t="s">
        <v>129</v>
      </c>
      <c r="H1044" s="53">
        <v>3</v>
      </c>
      <c r="I1044" s="53" t="s">
        <v>130</v>
      </c>
      <c r="J1044" s="53">
        <v>0</v>
      </c>
      <c r="K1044" s="53">
        <v>0</v>
      </c>
      <c r="L1044" s="53">
        <v>3.6</v>
      </c>
      <c r="M1044" s="53" t="s">
        <v>846</v>
      </c>
      <c r="N1044" s="53">
        <v>3</v>
      </c>
      <c r="O1044" s="51" t="str">
        <f>TEXT(tblWorkPackages[[#This Row],[Request date serial]]-WEEKDAY(tblWorkPackages[[#This Row],[Request date serial]],3),"yyyy-mm-dd")</f>
        <v>2024-08-19</v>
      </c>
      <c r="P1044" s="51">
        <f>ABS(tblWorkPackages[[#This Row],[Actual labor hours]]-tblWorkPackages[[#This Row],[Estimated labor hours]])</f>
        <v>0.6</v>
      </c>
      <c r="Q1044" s="51">
        <f>IF(tblWorkPackages[[#This Row],[Actual labor hours]]&gt;tblWorkPackages[[#This Row],[Estimated labor hours]],1,0)</f>
        <v>0</v>
      </c>
      <c r="R1044" s="51">
        <f>tblWorkPackages[[#This Row],[Actual labor hours]]-tblWorkPackages[[#This Row],[Estimated labor hours]]</f>
        <v>-0.6</v>
      </c>
      <c r="S1044" s="51" t="str">
        <f>IF(tblWorkPackages[[#This Row],[Request date serial]]&lt;ValidationStart,"Train 2024",IF(tblWorkPackages[[#This Row],[Request date serial]]&lt;HoldoutStart,"Validation H1","Holdout H2"))</f>
        <v>Train 2024</v>
      </c>
      <c r="T1044" s="51" t="str">
        <f>IF(tblWorkPackages[[#This Row],[Time split]]="Train 2024","",tblWorkPackages[[#This Row],[Estimated labor hours]]+VLOOKUP(tblWorkPackages[[#This Row],[Task type]],'Forecast validation'!$A$14:$E$25,IF(tblWorkPackages[[#This Row],[Time split]]="Validation H1",4,5),FALSE()))</f>
        <v/>
      </c>
      <c r="U1044" s="51" t="str">
        <f>IF(tblWorkPackages[[#This Row],[Calibrated forecast hours]]="","",ABS(tblWorkPackages[[#This Row],[Actual labor hours]]-tblWorkPackages[[#This Row],[Calibrated forecast hours]]))</f>
        <v/>
      </c>
      <c r="V1044" s="51">
        <f>IF(tblWorkPackages[[#This Row],[Time split]]="Train 2024",tblWorkPackages[[#This Row],[Estimated labor hours]],tblWorkPackages[[#This Row],[Calibrated forecast hours]])</f>
        <v>3.6</v>
      </c>
      <c r="W1044" s="64">
        <f>DATEVALUE(tblWorkPackages[[#This Row],[Request date]])</f>
        <v>45529.0</v>
      </c>
      <c r="X1044" s="64">
        <f>DATEVALUE(tblWorkPackages[[#This Row],[Due date]])</f>
        <v>45542.0</v>
      </c>
      <c r="Y1044" s="64">
        <f>DATEVALUE(tblWorkPackages[[#This Row],[Completion date]])</f>
        <v>45542.0</v>
      </c>
      <c r="Z1044" s="64">
        <f>_xlfn.MINIFS(tblLaborEntries[Work date serial],tblLaborEntries[Work package ID],tblWorkPackages[[#This Row],[Work package ID]])</f>
        <v>45538.0</v>
      </c>
      <c r="AA1044" s="64">
        <f>_xlfn.MAXIFS(tblLaborEntries[Work date serial],tblLaborEntries[Work package ID],tblWorkPackages[[#This Row],[Work package ID]])</f>
        <v>45540.0</v>
      </c>
      <c r="AB1044" s="65">
        <f>IF(tblWorkPackages[[#This Row],[Completion date serial]]&gt;tblWorkPackages[[#This Row],[Due date serial]],1,0)</f>
        <v>0</v>
      </c>
      <c r="AC1044" s="65">
        <f>MAX(0,tblWorkPackages[[#This Row],[Completion date serial]]-tblWorkPackages[[#This Row],[Due date serial]])</f>
        <v>0</v>
      </c>
      <c r="AD1044" s="65">
        <f>tblWorkPackages[[#This Row],[First labor date]]-tblWorkPackages[[#This Row],[Request date serial]]</f>
        <v>9</v>
      </c>
      <c r="AE1044" s="65">
        <f>tblWorkPackages[[#This Row],[Last labor date]]-tblWorkPackages[[#This Row],[First labor date]]</f>
        <v>2</v>
      </c>
      <c r="AF1044" s="65">
        <f>tblWorkPackages[[#This Row],[Completion date serial]]-tblWorkPackages[[#This Row],[Last labor date]]</f>
        <v>2</v>
      </c>
      <c r="AG1044" s="65">
        <f>tblWorkPackages[[#This Row],[Completion date serial]]-tblWorkPackages[[#This Row],[Request date serial]]</f>
        <v>13</v>
      </c>
      <c r="AH1044" s="65">
        <f>IFERROR(INDEX(tblParts[Delay days],MATCH(tblWorkPackages[[#This Row],[Work package ID]],tblParts[Work package ID],0)),0)</f>
        <v>0</v>
      </c>
      <c r="AI1044" s="51" t="str">
        <f>IFERROR(INDEX(tblDisruptions[Event type],MATCH(tblWorkPackages[[#This Row],[Work package ID]],tblDisruptions[Work package ID],0)),"None")</f>
        <v>None</v>
      </c>
      <c r="AJ1044" s="51" t="str">
        <f>TEXT(tblWorkPackages[[#This Row],[Due date serial]],"yyyy-mm")</f>
        <v>2024-09</v>
      </c>
    </row>
    <row r="1045" spans="1:36" ht="15" x14ac:dyDescent="0.25">
      <c r="A1045" s="53" t="s">
        <v>1941</v>
      </c>
      <c r="B1045" s="53" t="s">
        <v>287</v>
      </c>
      <c r="C1045" s="53" t="s">
        <v>837</v>
      </c>
      <c r="D1045" s="53" t="s">
        <v>1148</v>
      </c>
      <c r="E1045" s="53" t="s">
        <v>127</v>
      </c>
      <c r="F1045" s="53" t="s">
        <v>128</v>
      </c>
      <c r="G1045" s="53" t="s">
        <v>129</v>
      </c>
      <c r="H1045" s="53">
        <v>2</v>
      </c>
      <c r="I1045" s="53" t="s">
        <v>130</v>
      </c>
      <c r="J1045" s="53">
        <v>0</v>
      </c>
      <c r="K1045" s="53">
        <v>0</v>
      </c>
      <c r="L1045" s="53">
        <v>7.3</v>
      </c>
      <c r="M1045" s="53" t="s">
        <v>587</v>
      </c>
      <c r="N1045" s="53">
        <v>6.3</v>
      </c>
      <c r="O1045" s="51" t="str">
        <f>TEXT(tblWorkPackages[[#This Row],[Request date serial]]-WEEKDAY(tblWorkPackages[[#This Row],[Request date serial]],3),"yyyy-mm-dd")</f>
        <v>2025-01-06</v>
      </c>
      <c r="P1045" s="51">
        <f>ABS(tblWorkPackages[[#This Row],[Actual labor hours]]-tblWorkPackages[[#This Row],[Estimated labor hours]])</f>
        <v>1</v>
      </c>
      <c r="Q1045" s="51">
        <f>IF(tblWorkPackages[[#This Row],[Actual labor hours]]&gt;tblWorkPackages[[#This Row],[Estimated labor hours]],1,0)</f>
        <v>0</v>
      </c>
      <c r="R1045" s="51">
        <f>tblWorkPackages[[#This Row],[Actual labor hours]]-tblWorkPackages[[#This Row],[Estimated labor hours]]</f>
        <v>-1</v>
      </c>
      <c r="S1045" s="51" t="str">
        <f>IF(tblWorkPackages[[#This Row],[Request date serial]]&lt;ValidationStart,"Train 2024",IF(tblWorkPackages[[#This Row],[Request date serial]]&lt;HoldoutStart,"Validation H1","Holdout H2"))</f>
        <v>Validation H1</v>
      </c>
      <c r="T1045" s="51">
        <f>IF(tblWorkPackages[[#This Row],[Time split]]="Train 2024","",tblWorkPackages[[#This Row],[Estimated labor hours]]+VLOOKUP(tblWorkPackages[[#This Row],[Task type]],'Forecast validation'!$A$14:$E$25,IF(tblWorkPackages[[#This Row],[Time split]]="Validation H1",4,5),FALSE()))</f>
        <v>7.77564102564103</v>
      </c>
      <c r="U1045" s="51">
        <f>IF(tblWorkPackages[[#This Row],[Calibrated forecast hours]]="","",ABS(tblWorkPackages[[#This Row],[Actual labor hours]]-tblWorkPackages[[#This Row],[Calibrated forecast hours]]))</f>
        <v>1.47564102564103</v>
      </c>
      <c r="V1045" s="51">
        <f>IF(tblWorkPackages[[#This Row],[Time split]]="Train 2024",tblWorkPackages[[#This Row],[Estimated labor hours]],tblWorkPackages[[#This Row],[Calibrated forecast hours]])</f>
        <v>7.77564102564103</v>
      </c>
      <c r="W1045" s="64">
        <f>DATEVALUE(tblWorkPackages[[#This Row],[Request date]])</f>
        <v>45665.0</v>
      </c>
      <c r="X1045" s="64">
        <f>DATEVALUE(tblWorkPackages[[#This Row],[Due date]])</f>
        <v>45678.0</v>
      </c>
      <c r="Y1045" s="64">
        <f>DATEVALUE(tblWorkPackages[[#This Row],[Completion date]])</f>
        <v>45671.0</v>
      </c>
      <c r="Z1045" s="64">
        <f>_xlfn.MINIFS(tblLaborEntries[Work date serial],tblLaborEntries[Work package ID],tblWorkPackages[[#This Row],[Work package ID]])</f>
        <v>45667.0</v>
      </c>
      <c r="AA1045" s="64">
        <f>_xlfn.MAXIFS(tblLaborEntries[Work date serial],tblLaborEntries[Work package ID],tblWorkPackages[[#This Row],[Work package ID]])</f>
        <v>45668.0</v>
      </c>
      <c r="AB1045" s="65">
        <f>IF(tblWorkPackages[[#This Row],[Completion date serial]]&gt;tblWorkPackages[[#This Row],[Due date serial]],1,0)</f>
        <v>0</v>
      </c>
      <c r="AC1045" s="65">
        <f>MAX(0,tblWorkPackages[[#This Row],[Completion date serial]]-tblWorkPackages[[#This Row],[Due date serial]])</f>
        <v>0</v>
      </c>
      <c r="AD1045" s="65">
        <f>tblWorkPackages[[#This Row],[First labor date]]-tblWorkPackages[[#This Row],[Request date serial]]</f>
        <v>2</v>
      </c>
      <c r="AE1045" s="65">
        <f>tblWorkPackages[[#This Row],[Last labor date]]-tblWorkPackages[[#This Row],[First labor date]]</f>
        <v>1</v>
      </c>
      <c r="AF1045" s="65">
        <f>tblWorkPackages[[#This Row],[Completion date serial]]-tblWorkPackages[[#This Row],[Last labor date]]</f>
        <v>3</v>
      </c>
      <c r="AG1045" s="65">
        <f>tblWorkPackages[[#This Row],[Completion date serial]]-tblWorkPackages[[#This Row],[Request date serial]]</f>
        <v>6</v>
      </c>
      <c r="AH1045" s="65">
        <f>IFERROR(INDEX(tblParts[Delay days],MATCH(tblWorkPackages[[#This Row],[Work package ID]],tblParts[Work package ID],0)),0)</f>
        <v>0</v>
      </c>
      <c r="AI1045" s="51" t="str">
        <f>IFERROR(INDEX(tblDisruptions[Event type],MATCH(tblWorkPackages[[#This Row],[Work package ID]],tblDisruptions[Work package ID],0)),"None")</f>
        <v>None</v>
      </c>
      <c r="AJ1045" s="51" t="str">
        <f>TEXT(tblWorkPackages[[#This Row],[Due date serial]],"yyyy-mm")</f>
        <v>2025-01</v>
      </c>
    </row>
    <row r="1046" spans="1:36" ht="15" x14ac:dyDescent="0.25">
      <c r="A1046" s="53" t="s">
        <v>1942</v>
      </c>
      <c r="B1046" s="53" t="s">
        <v>235</v>
      </c>
      <c r="C1046" s="53" t="s">
        <v>148</v>
      </c>
      <c r="D1046" s="53" t="s">
        <v>328</v>
      </c>
      <c r="E1046" s="53" t="s">
        <v>127</v>
      </c>
      <c r="F1046" s="53" t="s">
        <v>128</v>
      </c>
      <c r="G1046" s="53" t="s">
        <v>129</v>
      </c>
      <c r="H1046" s="53">
        <v>4</v>
      </c>
      <c r="I1046" s="53" t="s">
        <v>130</v>
      </c>
      <c r="J1046" s="53">
        <v>0</v>
      </c>
      <c r="K1046" s="53">
        <v>0</v>
      </c>
      <c r="L1046" s="53">
        <v>13.8</v>
      </c>
      <c r="M1046" s="53" t="s">
        <v>1068</v>
      </c>
      <c r="N1046" s="53">
        <v>15.2</v>
      </c>
      <c r="O1046" s="51" t="str">
        <f>TEXT(tblWorkPackages[[#This Row],[Request date serial]]-WEEKDAY(tblWorkPackages[[#This Row],[Request date serial]],3),"yyyy-mm-dd")</f>
        <v>2024-02-26</v>
      </c>
      <c r="P1046" s="51">
        <f>ABS(tblWorkPackages[[#This Row],[Actual labor hours]]-tblWorkPackages[[#This Row],[Estimated labor hours]])</f>
        <v>1.4</v>
      </c>
      <c r="Q1046" s="51">
        <f>IF(tblWorkPackages[[#This Row],[Actual labor hours]]&gt;tblWorkPackages[[#This Row],[Estimated labor hours]],1,0)</f>
        <v>1</v>
      </c>
      <c r="R1046" s="51">
        <f>tblWorkPackages[[#This Row],[Actual labor hours]]-tblWorkPackages[[#This Row],[Estimated labor hours]]</f>
        <v>1.4</v>
      </c>
      <c r="S1046" s="51" t="str">
        <f>IF(tblWorkPackages[[#This Row],[Request date serial]]&lt;ValidationStart,"Train 2024",IF(tblWorkPackages[[#This Row],[Request date serial]]&lt;HoldoutStart,"Validation H1","Holdout H2"))</f>
        <v>Train 2024</v>
      </c>
      <c r="T1046" s="51" t="str">
        <f>IF(tblWorkPackages[[#This Row],[Time split]]="Train 2024","",tblWorkPackages[[#This Row],[Estimated labor hours]]+VLOOKUP(tblWorkPackages[[#This Row],[Task type]],'Forecast validation'!$A$14:$E$25,IF(tblWorkPackages[[#This Row],[Time split]]="Validation H1",4,5),FALSE()))</f>
        <v/>
      </c>
      <c r="U1046" s="51" t="str">
        <f>IF(tblWorkPackages[[#This Row],[Calibrated forecast hours]]="","",ABS(tblWorkPackages[[#This Row],[Actual labor hours]]-tblWorkPackages[[#This Row],[Calibrated forecast hours]]))</f>
        <v/>
      </c>
      <c r="V1046" s="51">
        <f>IF(tblWorkPackages[[#This Row],[Time split]]="Train 2024",tblWorkPackages[[#This Row],[Estimated labor hours]],tblWorkPackages[[#This Row],[Calibrated forecast hours]])</f>
        <v>13.8</v>
      </c>
      <c r="W1046" s="64">
        <f>DATEVALUE(tblWorkPackages[[#This Row],[Request date]])</f>
        <v>45348.0</v>
      </c>
      <c r="X1046" s="64">
        <f>DATEVALUE(tblWorkPackages[[#This Row],[Due date]])</f>
        <v>45361.0</v>
      </c>
      <c r="Y1046" s="64">
        <f>DATEVALUE(tblWorkPackages[[#This Row],[Completion date]])</f>
        <v>45370.0</v>
      </c>
      <c r="Z1046" s="64">
        <f>_xlfn.MINIFS(tblLaborEntries[Work date serial],tblLaborEntries[Work package ID],tblWorkPackages[[#This Row],[Work package ID]])</f>
        <v>45370.0</v>
      </c>
      <c r="AA1046" s="64">
        <f>_xlfn.MAXIFS(tblLaborEntries[Work date serial],tblLaborEntries[Work package ID],tblWorkPackages[[#This Row],[Work package ID]])</f>
        <v>45370.0</v>
      </c>
      <c r="AB1046" s="65">
        <f>IF(tblWorkPackages[[#This Row],[Completion date serial]]&gt;tblWorkPackages[[#This Row],[Due date serial]],1,0)</f>
        <v>1</v>
      </c>
      <c r="AC1046" s="65">
        <f>MAX(0,tblWorkPackages[[#This Row],[Completion date serial]]-tblWorkPackages[[#This Row],[Due date serial]])</f>
        <v>9</v>
      </c>
      <c r="AD1046" s="65">
        <f>tblWorkPackages[[#This Row],[First labor date]]-tblWorkPackages[[#This Row],[Request date serial]]</f>
        <v>22</v>
      </c>
      <c r="AE1046" s="65">
        <f>tblWorkPackages[[#This Row],[Last labor date]]-tblWorkPackages[[#This Row],[First labor date]]</f>
        <v>0</v>
      </c>
      <c r="AF1046" s="65">
        <f>tblWorkPackages[[#This Row],[Completion date serial]]-tblWorkPackages[[#This Row],[Last labor date]]</f>
        <v>0</v>
      </c>
      <c r="AG1046" s="65">
        <f>tblWorkPackages[[#This Row],[Completion date serial]]-tblWorkPackages[[#This Row],[Request date serial]]</f>
        <v>22</v>
      </c>
      <c r="AH1046" s="65">
        <f>IFERROR(INDEX(tblParts[Delay days],MATCH(tblWorkPackages[[#This Row],[Work package ID]],tblParts[Work package ID],0)),0)</f>
        <v>0</v>
      </c>
      <c r="AI1046" s="51" t="str">
        <f>IFERROR(INDEX(tblDisruptions[Event type],MATCH(tblWorkPackages[[#This Row],[Work package ID]],tblDisruptions[Work package ID],0)),"None")</f>
        <v>None</v>
      </c>
      <c r="AJ1046" s="51" t="str">
        <f>TEXT(tblWorkPackages[[#This Row],[Due date serial]],"yyyy-mm")</f>
        <v>2024-03</v>
      </c>
    </row>
    <row r="1047" spans="1:36" ht="15" x14ac:dyDescent="0.25">
      <c r="A1047" s="53" t="s">
        <v>1943</v>
      </c>
      <c r="B1047" s="53" t="s">
        <v>250</v>
      </c>
      <c r="C1047" s="53" t="s">
        <v>1260</v>
      </c>
      <c r="D1047" s="53" t="s">
        <v>328</v>
      </c>
      <c r="E1047" s="53" t="s">
        <v>181</v>
      </c>
      <c r="F1047" s="53" t="s">
        <v>182</v>
      </c>
      <c r="G1047" s="53" t="s">
        <v>138</v>
      </c>
      <c r="H1047" s="53">
        <v>4</v>
      </c>
      <c r="I1047" s="53" t="s">
        <v>176</v>
      </c>
      <c r="J1047" s="53">
        <v>0</v>
      </c>
      <c r="K1047" s="53">
        <v>0</v>
      </c>
      <c r="L1047" s="53">
        <v>15.3</v>
      </c>
      <c r="M1047" s="53" t="s">
        <v>320</v>
      </c>
      <c r="N1047" s="53">
        <v>15.5</v>
      </c>
      <c r="O1047" s="51" t="str">
        <f>TEXT(tblWorkPackages[[#This Row],[Request date serial]]-WEEKDAY(tblWorkPackages[[#This Row],[Request date serial]],3),"yyyy-mm-dd")</f>
        <v>2024-03-04</v>
      </c>
      <c r="P1047" s="51">
        <f>ABS(tblWorkPackages[[#This Row],[Actual labor hours]]-tblWorkPackages[[#This Row],[Estimated labor hours]])</f>
        <v>0.199999999999999</v>
      </c>
      <c r="Q1047" s="51">
        <f>IF(tblWorkPackages[[#This Row],[Actual labor hours]]&gt;tblWorkPackages[[#This Row],[Estimated labor hours]],1,0)</f>
        <v>1</v>
      </c>
      <c r="R1047" s="51">
        <f>tblWorkPackages[[#This Row],[Actual labor hours]]-tblWorkPackages[[#This Row],[Estimated labor hours]]</f>
        <v>0.199999999999999</v>
      </c>
      <c r="S1047" s="51" t="str">
        <f>IF(tblWorkPackages[[#This Row],[Request date serial]]&lt;ValidationStart,"Train 2024",IF(tblWorkPackages[[#This Row],[Request date serial]]&lt;HoldoutStart,"Validation H1","Holdout H2"))</f>
        <v>Train 2024</v>
      </c>
      <c r="T1047" s="51" t="str">
        <f>IF(tblWorkPackages[[#This Row],[Time split]]="Train 2024","",tblWorkPackages[[#This Row],[Estimated labor hours]]+VLOOKUP(tblWorkPackages[[#This Row],[Task type]],'Forecast validation'!$A$14:$E$25,IF(tblWorkPackages[[#This Row],[Time split]]="Validation H1",4,5),FALSE()))</f>
        <v/>
      </c>
      <c r="U1047" s="51" t="str">
        <f>IF(tblWorkPackages[[#This Row],[Calibrated forecast hours]]="","",ABS(tblWorkPackages[[#This Row],[Actual labor hours]]-tblWorkPackages[[#This Row],[Calibrated forecast hours]]))</f>
        <v/>
      </c>
      <c r="V1047" s="51">
        <f>IF(tblWorkPackages[[#This Row],[Time split]]="Train 2024",tblWorkPackages[[#This Row],[Estimated labor hours]],tblWorkPackages[[#This Row],[Calibrated forecast hours]])</f>
        <v>15.3</v>
      </c>
      <c r="W1047" s="64">
        <f>DATEVALUE(tblWorkPackages[[#This Row],[Request date]])</f>
        <v>45355.0</v>
      </c>
      <c r="X1047" s="64">
        <f>DATEVALUE(tblWorkPackages[[#This Row],[Due date]])</f>
        <v>45361.0</v>
      </c>
      <c r="Y1047" s="64">
        <f>DATEVALUE(tblWorkPackages[[#This Row],[Completion date]])</f>
        <v>45360.0</v>
      </c>
      <c r="Z1047" s="64">
        <f>_xlfn.MINIFS(tblLaborEntries[Work date serial],tblLaborEntries[Work package ID],tblWorkPackages[[#This Row],[Work package ID]])</f>
        <v>45359.0</v>
      </c>
      <c r="AA1047" s="64">
        <f>_xlfn.MAXIFS(tblLaborEntries[Work date serial],tblLaborEntries[Work package ID],tblWorkPackages[[#This Row],[Work package ID]])</f>
        <v>45359.0</v>
      </c>
      <c r="AB1047" s="65">
        <f>IF(tblWorkPackages[[#This Row],[Completion date serial]]&gt;tblWorkPackages[[#This Row],[Due date serial]],1,0)</f>
        <v>0</v>
      </c>
      <c r="AC1047" s="65">
        <f>MAX(0,tblWorkPackages[[#This Row],[Completion date serial]]-tblWorkPackages[[#This Row],[Due date serial]])</f>
        <v>0</v>
      </c>
      <c r="AD1047" s="65">
        <f>tblWorkPackages[[#This Row],[First labor date]]-tblWorkPackages[[#This Row],[Request date serial]]</f>
        <v>4</v>
      </c>
      <c r="AE1047" s="65">
        <f>tblWorkPackages[[#This Row],[Last labor date]]-tblWorkPackages[[#This Row],[First labor date]]</f>
        <v>0</v>
      </c>
      <c r="AF1047" s="65">
        <f>tblWorkPackages[[#This Row],[Completion date serial]]-tblWorkPackages[[#This Row],[Last labor date]]</f>
        <v>1</v>
      </c>
      <c r="AG1047" s="65">
        <f>tblWorkPackages[[#This Row],[Completion date serial]]-tblWorkPackages[[#This Row],[Request date serial]]</f>
        <v>5</v>
      </c>
      <c r="AH1047" s="65">
        <f>IFERROR(INDEX(tblParts[Delay days],MATCH(tblWorkPackages[[#This Row],[Work package ID]],tblParts[Work package ID],0)),0)</f>
        <v>0</v>
      </c>
      <c r="AI1047" s="51" t="str">
        <f>IFERROR(INDEX(tblDisruptions[Event type],MATCH(tblWorkPackages[[#This Row],[Work package ID]],tblDisruptions[Work package ID],0)),"None")</f>
        <v>None</v>
      </c>
      <c r="AJ1047" s="51" t="str">
        <f>TEXT(tblWorkPackages[[#This Row],[Due date serial]],"yyyy-mm")</f>
        <v>2024-03</v>
      </c>
    </row>
    <row r="1048" spans="1:36" ht="15" x14ac:dyDescent="0.25">
      <c r="A1048" s="53" t="s">
        <v>1944</v>
      </c>
      <c r="B1048" s="53" t="s">
        <v>163</v>
      </c>
      <c r="C1048" s="53" t="s">
        <v>1158</v>
      </c>
      <c r="D1048" s="53" t="s">
        <v>941</v>
      </c>
      <c r="E1048" s="53" t="s">
        <v>223</v>
      </c>
      <c r="F1048" s="53" t="s">
        <v>182</v>
      </c>
      <c r="G1048" s="53" t="s">
        <v>154</v>
      </c>
      <c r="H1048" s="53">
        <v>1</v>
      </c>
      <c r="I1048" s="53" t="s">
        <v>176</v>
      </c>
      <c r="J1048" s="53">
        <v>0</v>
      </c>
      <c r="K1048" s="53">
        <v>0</v>
      </c>
      <c r="L1048" s="53">
        <v>7</v>
      </c>
      <c r="M1048" s="53" t="s">
        <v>463</v>
      </c>
      <c r="N1048" s="53">
        <v>8.9</v>
      </c>
      <c r="O1048" s="51" t="str">
        <f>TEXT(tblWorkPackages[[#This Row],[Request date serial]]-WEEKDAY(tblWorkPackages[[#This Row],[Request date serial]],3),"yyyy-mm-dd")</f>
        <v>2025-09-22</v>
      </c>
      <c r="P1048" s="51">
        <f>ABS(tblWorkPackages[[#This Row],[Actual labor hours]]-tblWorkPackages[[#This Row],[Estimated labor hours]])</f>
        <v>1.9</v>
      </c>
      <c r="Q1048" s="51">
        <f>IF(tblWorkPackages[[#This Row],[Actual labor hours]]&gt;tblWorkPackages[[#This Row],[Estimated labor hours]],1,0)</f>
        <v>1</v>
      </c>
      <c r="R1048" s="51">
        <f>tblWorkPackages[[#This Row],[Actual labor hours]]-tblWorkPackages[[#This Row],[Estimated labor hours]]</f>
        <v>1.9</v>
      </c>
      <c r="S1048" s="51" t="str">
        <f>IF(tblWorkPackages[[#This Row],[Request date serial]]&lt;ValidationStart,"Train 2024",IF(tblWorkPackages[[#This Row],[Request date serial]]&lt;HoldoutStart,"Validation H1","Holdout H2"))</f>
        <v>Holdout H2</v>
      </c>
      <c r="T1048" s="51">
        <f>IF(tblWorkPackages[[#This Row],[Time split]]="Train 2024","",tblWorkPackages[[#This Row],[Estimated labor hours]]+VLOOKUP(tblWorkPackages[[#This Row],[Task type]],'Forecast validation'!$A$14:$E$25,IF(tblWorkPackages[[#This Row],[Time split]]="Validation H1",4,5),FALSE()))</f>
        <v>7.92465753424658</v>
      </c>
      <c r="U1048" s="51">
        <f>IF(tblWorkPackages[[#This Row],[Calibrated forecast hours]]="","",ABS(tblWorkPackages[[#This Row],[Actual labor hours]]-tblWorkPackages[[#This Row],[Calibrated forecast hours]]))</f>
        <v>0.975342465753425</v>
      </c>
      <c r="V1048" s="51">
        <f>IF(tblWorkPackages[[#This Row],[Time split]]="Train 2024",tblWorkPackages[[#This Row],[Estimated labor hours]],tblWorkPackages[[#This Row],[Calibrated forecast hours]])</f>
        <v>7.92465753424658</v>
      </c>
      <c r="W1048" s="64">
        <f>DATEVALUE(tblWorkPackages[[#This Row],[Request date]])</f>
        <v>45927.0</v>
      </c>
      <c r="X1048" s="64">
        <f>DATEVALUE(tblWorkPackages[[#This Row],[Due date]])</f>
        <v>45933.0</v>
      </c>
      <c r="Y1048" s="64">
        <f>DATEVALUE(tblWorkPackages[[#This Row],[Completion date]])</f>
        <v>45931.0</v>
      </c>
      <c r="Z1048" s="64">
        <f>_xlfn.MINIFS(tblLaborEntries[Work date serial],tblLaborEntries[Work package ID],tblWorkPackages[[#This Row],[Work package ID]])</f>
        <v>45928.0</v>
      </c>
      <c r="AA1048" s="64">
        <f>_xlfn.MAXIFS(tblLaborEntries[Work date serial],tblLaborEntries[Work package ID],tblWorkPackages[[#This Row],[Work package ID]])</f>
        <v>45929.0</v>
      </c>
      <c r="AB1048" s="65">
        <f>IF(tblWorkPackages[[#This Row],[Completion date serial]]&gt;tblWorkPackages[[#This Row],[Due date serial]],1,0)</f>
        <v>0</v>
      </c>
      <c r="AC1048" s="65">
        <f>MAX(0,tblWorkPackages[[#This Row],[Completion date serial]]-tblWorkPackages[[#This Row],[Due date serial]])</f>
        <v>0</v>
      </c>
      <c r="AD1048" s="65">
        <f>tblWorkPackages[[#This Row],[First labor date]]-tblWorkPackages[[#This Row],[Request date serial]]</f>
        <v>1</v>
      </c>
      <c r="AE1048" s="65">
        <f>tblWorkPackages[[#This Row],[Last labor date]]-tblWorkPackages[[#This Row],[First labor date]]</f>
        <v>1</v>
      </c>
      <c r="AF1048" s="65">
        <f>tblWorkPackages[[#This Row],[Completion date serial]]-tblWorkPackages[[#This Row],[Last labor date]]</f>
        <v>2</v>
      </c>
      <c r="AG1048" s="65">
        <f>tblWorkPackages[[#This Row],[Completion date serial]]-tblWorkPackages[[#This Row],[Request date serial]]</f>
        <v>4</v>
      </c>
      <c r="AH1048" s="65">
        <f>IFERROR(INDEX(tblParts[Delay days],MATCH(tblWorkPackages[[#This Row],[Work package ID]],tblParts[Work package ID],0)),0)</f>
        <v>0</v>
      </c>
      <c r="AI1048" s="51" t="str">
        <f>IFERROR(INDEX(tblDisruptions[Event type],MATCH(tblWorkPackages[[#This Row],[Work package ID]],tblDisruptions[Work package ID],0)),"None")</f>
        <v>None</v>
      </c>
      <c r="AJ1048" s="51" t="str">
        <f>TEXT(tblWorkPackages[[#This Row],[Due date serial]],"yyyy-mm")</f>
        <v>2025-10</v>
      </c>
    </row>
    <row r="1049" spans="1:36" ht="15" x14ac:dyDescent="0.25">
      <c r="A1049" s="53" t="s">
        <v>1945</v>
      </c>
      <c r="B1049" s="53" t="s">
        <v>150</v>
      </c>
      <c r="C1049" s="53" t="s">
        <v>166</v>
      </c>
      <c r="D1049" s="53" t="s">
        <v>552</v>
      </c>
      <c r="E1049" s="53" t="s">
        <v>223</v>
      </c>
      <c r="F1049" s="53" t="s">
        <v>182</v>
      </c>
      <c r="G1049" s="53" t="s">
        <v>154</v>
      </c>
      <c r="H1049" s="53">
        <v>1</v>
      </c>
      <c r="I1049" s="53" t="s">
        <v>130</v>
      </c>
      <c r="J1049" s="53">
        <v>0</v>
      </c>
      <c r="K1049" s="53">
        <v>0</v>
      </c>
      <c r="L1049" s="53">
        <v>8.6</v>
      </c>
      <c r="M1049" s="53" t="s">
        <v>361</v>
      </c>
      <c r="N1049" s="53">
        <v>7.3</v>
      </c>
      <c r="O1049" s="51" t="str">
        <f>TEXT(tblWorkPackages[[#This Row],[Request date serial]]-WEEKDAY(tblWorkPackages[[#This Row],[Request date serial]],3),"yyyy-mm-dd")</f>
        <v>2024-07-08</v>
      </c>
      <c r="P1049" s="51">
        <f>ABS(tblWorkPackages[[#This Row],[Actual labor hours]]-tblWorkPackages[[#This Row],[Estimated labor hours]])</f>
        <v>1.3</v>
      </c>
      <c r="Q1049" s="51">
        <f>IF(tblWorkPackages[[#This Row],[Actual labor hours]]&gt;tblWorkPackages[[#This Row],[Estimated labor hours]],1,0)</f>
        <v>0</v>
      </c>
      <c r="R1049" s="51">
        <f>tblWorkPackages[[#This Row],[Actual labor hours]]-tblWorkPackages[[#This Row],[Estimated labor hours]]</f>
        <v>-1.3</v>
      </c>
      <c r="S1049" s="51" t="str">
        <f>IF(tblWorkPackages[[#This Row],[Request date serial]]&lt;ValidationStart,"Train 2024",IF(tblWorkPackages[[#This Row],[Request date serial]]&lt;HoldoutStart,"Validation H1","Holdout H2"))</f>
        <v>Train 2024</v>
      </c>
      <c r="T1049" s="51" t="str">
        <f>IF(tblWorkPackages[[#This Row],[Time split]]="Train 2024","",tblWorkPackages[[#This Row],[Estimated labor hours]]+VLOOKUP(tblWorkPackages[[#This Row],[Task type]],'Forecast validation'!$A$14:$E$25,IF(tblWorkPackages[[#This Row],[Time split]]="Validation H1",4,5),FALSE()))</f>
        <v/>
      </c>
      <c r="U1049" s="51" t="str">
        <f>IF(tblWorkPackages[[#This Row],[Calibrated forecast hours]]="","",ABS(tblWorkPackages[[#This Row],[Actual labor hours]]-tblWorkPackages[[#This Row],[Calibrated forecast hours]]))</f>
        <v/>
      </c>
      <c r="V1049" s="51">
        <f>IF(tblWorkPackages[[#This Row],[Time split]]="Train 2024",tblWorkPackages[[#This Row],[Estimated labor hours]],tblWorkPackages[[#This Row],[Calibrated forecast hours]])</f>
        <v>8.6</v>
      </c>
      <c r="W1049" s="64">
        <f>DATEVALUE(tblWorkPackages[[#This Row],[Request date]])</f>
        <v>45485.0</v>
      </c>
      <c r="X1049" s="64">
        <f>DATEVALUE(tblWorkPackages[[#This Row],[Due date]])</f>
        <v>45498.0</v>
      </c>
      <c r="Y1049" s="64">
        <f>DATEVALUE(tblWorkPackages[[#This Row],[Completion date]])</f>
        <v>45502.0</v>
      </c>
      <c r="Z1049" s="64">
        <f>_xlfn.MINIFS(tblLaborEntries[Work date serial],tblLaborEntries[Work package ID],tblWorkPackages[[#This Row],[Work package ID]])</f>
        <v>45497.0</v>
      </c>
      <c r="AA1049" s="64">
        <f>_xlfn.MAXIFS(tblLaborEntries[Work date serial],tblLaborEntries[Work package ID],tblWorkPackages[[#This Row],[Work package ID]])</f>
        <v>45499.0</v>
      </c>
      <c r="AB1049" s="65">
        <f>IF(tblWorkPackages[[#This Row],[Completion date serial]]&gt;tblWorkPackages[[#This Row],[Due date serial]],1,0)</f>
        <v>1</v>
      </c>
      <c r="AC1049" s="65">
        <f>MAX(0,tblWorkPackages[[#This Row],[Completion date serial]]-tblWorkPackages[[#This Row],[Due date serial]])</f>
        <v>4</v>
      </c>
      <c r="AD1049" s="65">
        <f>tblWorkPackages[[#This Row],[First labor date]]-tblWorkPackages[[#This Row],[Request date serial]]</f>
        <v>12</v>
      </c>
      <c r="AE1049" s="65">
        <f>tblWorkPackages[[#This Row],[Last labor date]]-tblWorkPackages[[#This Row],[First labor date]]</f>
        <v>2</v>
      </c>
      <c r="AF1049" s="65">
        <f>tblWorkPackages[[#This Row],[Completion date serial]]-tblWorkPackages[[#This Row],[Last labor date]]</f>
        <v>3</v>
      </c>
      <c r="AG1049" s="65">
        <f>tblWorkPackages[[#This Row],[Completion date serial]]-tblWorkPackages[[#This Row],[Request date serial]]</f>
        <v>17</v>
      </c>
      <c r="AH1049" s="65">
        <f>IFERROR(INDEX(tblParts[Delay days],MATCH(tblWorkPackages[[#This Row],[Work package ID]],tblParts[Work package ID],0)),0)</f>
        <v>0</v>
      </c>
      <c r="AI1049" s="51" t="str">
        <f>IFERROR(INDEX(tblDisruptions[Event type],MATCH(tblWorkPackages[[#This Row],[Work package ID]],tblDisruptions[Work package ID],0)),"None")</f>
        <v>None</v>
      </c>
      <c r="AJ1049" s="51" t="str">
        <f>TEXT(tblWorkPackages[[#This Row],[Due date serial]],"yyyy-mm")</f>
        <v>2024-07</v>
      </c>
    </row>
    <row r="1050" spans="1:36" ht="15" x14ac:dyDescent="0.25">
      <c r="A1050" s="53" t="s">
        <v>1946</v>
      </c>
      <c r="B1050" s="53" t="s">
        <v>141</v>
      </c>
      <c r="C1050" s="53" t="s">
        <v>1392</v>
      </c>
      <c r="D1050" s="53" t="s">
        <v>945</v>
      </c>
      <c r="E1050" s="53" t="s">
        <v>200</v>
      </c>
      <c r="F1050" s="53" t="s">
        <v>128</v>
      </c>
      <c r="G1050" s="53" t="s">
        <v>129</v>
      </c>
      <c r="H1050" s="53">
        <v>4</v>
      </c>
      <c r="I1050" s="53" t="s">
        <v>130</v>
      </c>
      <c r="J1050" s="53">
        <v>0</v>
      </c>
      <c r="K1050" s="53">
        <v>0</v>
      </c>
      <c r="L1050" s="53">
        <v>5.2</v>
      </c>
      <c r="M1050" s="53" t="s">
        <v>1369</v>
      </c>
      <c r="N1050" s="53">
        <v>6.5</v>
      </c>
      <c r="O1050" s="51" t="str">
        <f>TEXT(tblWorkPackages[[#This Row],[Request date serial]]-WEEKDAY(tblWorkPackages[[#This Row],[Request date serial]],3),"yyyy-mm-dd")</f>
        <v>2024-07-29</v>
      </c>
      <c r="P1050" s="51">
        <f>ABS(tblWorkPackages[[#This Row],[Actual labor hours]]-tblWorkPackages[[#This Row],[Estimated labor hours]])</f>
        <v>1.3</v>
      </c>
      <c r="Q1050" s="51">
        <f>IF(tblWorkPackages[[#This Row],[Actual labor hours]]&gt;tblWorkPackages[[#This Row],[Estimated labor hours]],1,0)</f>
        <v>1</v>
      </c>
      <c r="R1050" s="51">
        <f>tblWorkPackages[[#This Row],[Actual labor hours]]-tblWorkPackages[[#This Row],[Estimated labor hours]]</f>
        <v>1.3</v>
      </c>
      <c r="S1050" s="51" t="str">
        <f>IF(tblWorkPackages[[#This Row],[Request date serial]]&lt;ValidationStart,"Train 2024",IF(tblWorkPackages[[#This Row],[Request date serial]]&lt;HoldoutStart,"Validation H1","Holdout H2"))</f>
        <v>Train 2024</v>
      </c>
      <c r="T1050" s="51" t="str">
        <f>IF(tblWorkPackages[[#This Row],[Time split]]="Train 2024","",tblWorkPackages[[#This Row],[Estimated labor hours]]+VLOOKUP(tblWorkPackages[[#This Row],[Task type]],'Forecast validation'!$A$14:$E$25,IF(tblWorkPackages[[#This Row],[Time split]]="Validation H1",4,5),FALSE()))</f>
        <v/>
      </c>
      <c r="U1050" s="51" t="str">
        <f>IF(tblWorkPackages[[#This Row],[Calibrated forecast hours]]="","",ABS(tblWorkPackages[[#This Row],[Actual labor hours]]-tblWorkPackages[[#This Row],[Calibrated forecast hours]]))</f>
        <v/>
      </c>
      <c r="V1050" s="51">
        <f>IF(tblWorkPackages[[#This Row],[Time split]]="Train 2024",tblWorkPackages[[#This Row],[Estimated labor hours]],tblWorkPackages[[#This Row],[Calibrated forecast hours]])</f>
        <v>5.2</v>
      </c>
      <c r="W1050" s="64">
        <f>DATEVALUE(tblWorkPackages[[#This Row],[Request date]])</f>
        <v>45508.0</v>
      </c>
      <c r="X1050" s="64">
        <f>DATEVALUE(tblWorkPackages[[#This Row],[Due date]])</f>
        <v>45521.0</v>
      </c>
      <c r="Y1050" s="64">
        <f>DATEVALUE(tblWorkPackages[[#This Row],[Completion date]])</f>
        <v>45513.0</v>
      </c>
      <c r="Z1050" s="64">
        <f>_xlfn.MINIFS(tblLaborEntries[Work date serial],tblLaborEntries[Work package ID],tblWorkPackages[[#This Row],[Work package ID]])</f>
        <v>45511.0</v>
      </c>
      <c r="AA1050" s="64">
        <f>_xlfn.MAXIFS(tblLaborEntries[Work date serial],tblLaborEntries[Work package ID],tblWorkPackages[[#This Row],[Work package ID]])</f>
        <v>45513.0</v>
      </c>
      <c r="AB1050" s="65">
        <f>IF(tblWorkPackages[[#This Row],[Completion date serial]]&gt;tblWorkPackages[[#This Row],[Due date serial]],1,0)</f>
        <v>0</v>
      </c>
      <c r="AC1050" s="65">
        <f>MAX(0,tblWorkPackages[[#This Row],[Completion date serial]]-tblWorkPackages[[#This Row],[Due date serial]])</f>
        <v>0</v>
      </c>
      <c r="AD1050" s="65">
        <f>tblWorkPackages[[#This Row],[First labor date]]-tblWorkPackages[[#This Row],[Request date serial]]</f>
        <v>3</v>
      </c>
      <c r="AE1050" s="65">
        <f>tblWorkPackages[[#This Row],[Last labor date]]-tblWorkPackages[[#This Row],[First labor date]]</f>
        <v>2</v>
      </c>
      <c r="AF1050" s="65">
        <f>tblWorkPackages[[#This Row],[Completion date serial]]-tblWorkPackages[[#This Row],[Last labor date]]</f>
        <v>0</v>
      </c>
      <c r="AG1050" s="65">
        <f>tblWorkPackages[[#This Row],[Completion date serial]]-tblWorkPackages[[#This Row],[Request date serial]]</f>
        <v>5</v>
      </c>
      <c r="AH1050" s="65">
        <f>IFERROR(INDEX(tblParts[Delay days],MATCH(tblWorkPackages[[#This Row],[Work package ID]],tblParts[Work package ID],0)),0)</f>
        <v>0</v>
      </c>
      <c r="AI1050" s="51" t="str">
        <f>IFERROR(INDEX(tblDisruptions[Event type],MATCH(tblWorkPackages[[#This Row],[Work package ID]],tblDisruptions[Work package ID],0)),"None")</f>
        <v>None</v>
      </c>
      <c r="AJ1050" s="51" t="str">
        <f>TEXT(tblWorkPackages[[#This Row],[Due date serial]],"yyyy-mm")</f>
        <v>2024-08</v>
      </c>
    </row>
    <row r="1051" spans="1:36" ht="15" x14ac:dyDescent="0.25">
      <c r="A1051" s="53" t="s">
        <v>1947</v>
      </c>
      <c r="B1051" s="53" t="s">
        <v>185</v>
      </c>
      <c r="C1051" s="53" t="s">
        <v>194</v>
      </c>
      <c r="D1051" s="53" t="s">
        <v>170</v>
      </c>
      <c r="E1051" s="53" t="s">
        <v>160</v>
      </c>
      <c r="F1051" s="53" t="s">
        <v>128</v>
      </c>
      <c r="G1051" s="53" t="s">
        <v>138</v>
      </c>
      <c r="H1051" s="53">
        <v>1</v>
      </c>
      <c r="I1051" s="53" t="s">
        <v>130</v>
      </c>
      <c r="J1051" s="53">
        <v>0</v>
      </c>
      <c r="K1051" s="53">
        <v>1</v>
      </c>
      <c r="L1051" s="53">
        <v>2.8</v>
      </c>
      <c r="M1051" s="53" t="s">
        <v>1948</v>
      </c>
      <c r="N1051" s="53">
        <v>4.2</v>
      </c>
      <c r="O1051" s="51" t="str">
        <f>TEXT(tblWorkPackages[[#This Row],[Request date serial]]-WEEKDAY(tblWorkPackages[[#This Row],[Request date serial]],3),"yyyy-mm-dd")</f>
        <v>2024-10-07</v>
      </c>
      <c r="P1051" s="51">
        <f>ABS(tblWorkPackages[[#This Row],[Actual labor hours]]-tblWorkPackages[[#This Row],[Estimated labor hours]])</f>
        <v>1.4</v>
      </c>
      <c r="Q1051" s="51">
        <f>IF(tblWorkPackages[[#This Row],[Actual labor hours]]&gt;tblWorkPackages[[#This Row],[Estimated labor hours]],1,0)</f>
        <v>1</v>
      </c>
      <c r="R1051" s="51">
        <f>tblWorkPackages[[#This Row],[Actual labor hours]]-tblWorkPackages[[#This Row],[Estimated labor hours]]</f>
        <v>1.4</v>
      </c>
      <c r="S1051" s="51" t="str">
        <f>IF(tblWorkPackages[[#This Row],[Request date serial]]&lt;ValidationStart,"Train 2024",IF(tblWorkPackages[[#This Row],[Request date serial]]&lt;HoldoutStart,"Validation H1","Holdout H2"))</f>
        <v>Train 2024</v>
      </c>
      <c r="T1051" s="51" t="str">
        <f>IF(tblWorkPackages[[#This Row],[Time split]]="Train 2024","",tblWorkPackages[[#This Row],[Estimated labor hours]]+VLOOKUP(tblWorkPackages[[#This Row],[Task type]],'Forecast validation'!$A$14:$E$25,IF(tblWorkPackages[[#This Row],[Time split]]="Validation H1",4,5),FALSE()))</f>
        <v/>
      </c>
      <c r="U1051" s="51" t="str">
        <f>IF(tblWorkPackages[[#This Row],[Calibrated forecast hours]]="","",ABS(tblWorkPackages[[#This Row],[Actual labor hours]]-tblWorkPackages[[#This Row],[Calibrated forecast hours]]))</f>
        <v/>
      </c>
      <c r="V1051" s="51">
        <f>IF(tblWorkPackages[[#This Row],[Time split]]="Train 2024",tblWorkPackages[[#This Row],[Estimated labor hours]],tblWorkPackages[[#This Row],[Calibrated forecast hours]])</f>
        <v>2.8</v>
      </c>
      <c r="W1051" s="64">
        <f>DATEVALUE(tblWorkPackages[[#This Row],[Request date]])</f>
        <v>45574.0</v>
      </c>
      <c r="X1051" s="64">
        <f>DATEVALUE(tblWorkPackages[[#This Row],[Due date]])</f>
        <v>45587.0</v>
      </c>
      <c r="Y1051" s="64">
        <f>DATEVALUE(tblWorkPackages[[#This Row],[Completion date]])</f>
        <v>45611.0</v>
      </c>
      <c r="Z1051" s="64">
        <f>_xlfn.MINIFS(tblLaborEntries[Work date serial],tblLaborEntries[Work package ID],tblWorkPackages[[#This Row],[Work package ID]])</f>
        <v>45610.0</v>
      </c>
      <c r="AA1051" s="64">
        <f>_xlfn.MAXIFS(tblLaborEntries[Work date serial],tblLaborEntries[Work package ID],tblWorkPackages[[#This Row],[Work package ID]])</f>
        <v>45610.0</v>
      </c>
      <c r="AB1051" s="65">
        <f>IF(tblWorkPackages[[#This Row],[Completion date serial]]&gt;tblWorkPackages[[#This Row],[Due date serial]],1,0)</f>
        <v>1</v>
      </c>
      <c r="AC1051" s="65">
        <f>MAX(0,tblWorkPackages[[#This Row],[Completion date serial]]-tblWorkPackages[[#This Row],[Due date serial]])</f>
        <v>24</v>
      </c>
      <c r="AD1051" s="65">
        <f>tblWorkPackages[[#This Row],[First labor date]]-tblWorkPackages[[#This Row],[Request date serial]]</f>
        <v>36</v>
      </c>
      <c r="AE1051" s="65">
        <f>tblWorkPackages[[#This Row],[Last labor date]]-tblWorkPackages[[#This Row],[First labor date]]</f>
        <v>0</v>
      </c>
      <c r="AF1051" s="65">
        <f>tblWorkPackages[[#This Row],[Completion date serial]]-tblWorkPackages[[#This Row],[Last labor date]]</f>
        <v>1</v>
      </c>
      <c r="AG1051" s="65">
        <f>tblWorkPackages[[#This Row],[Completion date serial]]-tblWorkPackages[[#This Row],[Request date serial]]</f>
        <v>37</v>
      </c>
      <c r="AH1051" s="65">
        <f>IFERROR(INDEX(tblParts[Delay days],MATCH(tblWorkPackages[[#This Row],[Work package ID]],tblParts[Work package ID],0)),0)</f>
        <v>2</v>
      </c>
      <c r="AI1051" s="51" t="str">
        <f>IFERROR(INDEX(tblDisruptions[Event type],MATCH(tblWorkPackages[[#This Row],[Work package ID]],tblDisruptions[Work package ID],0)),"None")</f>
        <v>Part delay</v>
      </c>
      <c r="AJ1051" s="51" t="str">
        <f>TEXT(tblWorkPackages[[#This Row],[Due date serial]],"yyyy-mm")</f>
        <v>2024-10</v>
      </c>
    </row>
    <row r="1052" spans="1:36" ht="15" x14ac:dyDescent="0.25">
      <c r="A1052" s="53" t="s">
        <v>1949</v>
      </c>
      <c r="B1052" s="53" t="s">
        <v>168</v>
      </c>
      <c r="C1052" s="53" t="s">
        <v>1540</v>
      </c>
      <c r="D1052" s="53" t="s">
        <v>854</v>
      </c>
      <c r="E1052" s="53" t="s">
        <v>237</v>
      </c>
      <c r="F1052" s="53" t="s">
        <v>182</v>
      </c>
      <c r="G1052" s="53" t="s">
        <v>138</v>
      </c>
      <c r="H1052" s="53">
        <v>4</v>
      </c>
      <c r="I1052" s="53" t="s">
        <v>176</v>
      </c>
      <c r="J1052" s="53">
        <v>0</v>
      </c>
      <c r="K1052" s="53">
        <v>0</v>
      </c>
      <c r="L1052" s="53">
        <v>9.8000000000000007</v>
      </c>
      <c r="M1052" s="53" t="s">
        <v>362</v>
      </c>
      <c r="N1052" s="53">
        <v>10.3</v>
      </c>
      <c r="O1052" s="51" t="str">
        <f>TEXT(tblWorkPackages[[#This Row],[Request date serial]]-WEEKDAY(tblWorkPackages[[#This Row],[Request date serial]],3),"yyyy-mm-dd")</f>
        <v>2024-07-08</v>
      </c>
      <c r="P1052" s="51">
        <f>ABS(tblWorkPackages[[#This Row],[Actual labor hours]]-tblWorkPackages[[#This Row],[Estimated labor hours]])</f>
        <v>0.5</v>
      </c>
      <c r="Q1052" s="51">
        <f>IF(tblWorkPackages[[#This Row],[Actual labor hours]]&gt;tblWorkPackages[[#This Row],[Estimated labor hours]],1,0)</f>
        <v>1</v>
      </c>
      <c r="R1052" s="51">
        <f>tblWorkPackages[[#This Row],[Actual labor hours]]-tblWorkPackages[[#This Row],[Estimated labor hours]]</f>
        <v>0.5</v>
      </c>
      <c r="S1052" s="51" t="str">
        <f>IF(tblWorkPackages[[#This Row],[Request date serial]]&lt;ValidationStart,"Train 2024",IF(tblWorkPackages[[#This Row],[Request date serial]]&lt;HoldoutStart,"Validation H1","Holdout H2"))</f>
        <v>Train 2024</v>
      </c>
      <c r="T1052" s="51" t="str">
        <f>IF(tblWorkPackages[[#This Row],[Time split]]="Train 2024","",tblWorkPackages[[#This Row],[Estimated labor hours]]+VLOOKUP(tblWorkPackages[[#This Row],[Task type]],'Forecast validation'!$A$14:$E$25,IF(tblWorkPackages[[#This Row],[Time split]]="Validation H1",4,5),FALSE()))</f>
        <v/>
      </c>
      <c r="U1052" s="51" t="str">
        <f>IF(tblWorkPackages[[#This Row],[Calibrated forecast hours]]="","",ABS(tblWorkPackages[[#This Row],[Actual labor hours]]-tblWorkPackages[[#This Row],[Calibrated forecast hours]]))</f>
        <v/>
      </c>
      <c r="V1052" s="51">
        <f>IF(tblWorkPackages[[#This Row],[Time split]]="Train 2024",tblWorkPackages[[#This Row],[Estimated labor hours]],tblWorkPackages[[#This Row],[Calibrated forecast hours]])</f>
        <v>9.8</v>
      </c>
      <c r="W1052" s="64">
        <f>DATEVALUE(tblWorkPackages[[#This Row],[Request date]])</f>
        <v>45486.0</v>
      </c>
      <c r="X1052" s="64">
        <f>DATEVALUE(tblWorkPackages[[#This Row],[Due date]])</f>
        <v>45492.0</v>
      </c>
      <c r="Y1052" s="64">
        <f>DATEVALUE(tblWorkPackages[[#This Row],[Completion date]])</f>
        <v>45494.0</v>
      </c>
      <c r="Z1052" s="64">
        <f>_xlfn.MINIFS(tblLaborEntries[Work date serial],tblLaborEntries[Work package ID],tblWorkPackages[[#This Row],[Work package ID]])</f>
        <v>45492.0</v>
      </c>
      <c r="AA1052" s="64">
        <f>_xlfn.MAXIFS(tblLaborEntries[Work date serial],tblLaborEntries[Work package ID],tblWorkPackages[[#This Row],[Work package ID]])</f>
        <v>45492.0</v>
      </c>
      <c r="AB1052" s="65">
        <f>IF(tblWorkPackages[[#This Row],[Completion date serial]]&gt;tblWorkPackages[[#This Row],[Due date serial]],1,0)</f>
        <v>1</v>
      </c>
      <c r="AC1052" s="65">
        <f>MAX(0,tblWorkPackages[[#This Row],[Completion date serial]]-tblWorkPackages[[#This Row],[Due date serial]])</f>
        <v>2</v>
      </c>
      <c r="AD1052" s="65">
        <f>tblWorkPackages[[#This Row],[First labor date]]-tblWorkPackages[[#This Row],[Request date serial]]</f>
        <v>6</v>
      </c>
      <c r="AE1052" s="65">
        <f>tblWorkPackages[[#This Row],[Last labor date]]-tblWorkPackages[[#This Row],[First labor date]]</f>
        <v>0</v>
      </c>
      <c r="AF1052" s="65">
        <f>tblWorkPackages[[#This Row],[Completion date serial]]-tblWorkPackages[[#This Row],[Last labor date]]</f>
        <v>2</v>
      </c>
      <c r="AG1052" s="65">
        <f>tblWorkPackages[[#This Row],[Completion date serial]]-tblWorkPackages[[#This Row],[Request date serial]]</f>
        <v>8</v>
      </c>
      <c r="AH1052" s="65">
        <f>IFERROR(INDEX(tblParts[Delay days],MATCH(tblWorkPackages[[#This Row],[Work package ID]],tblParts[Work package ID],0)),0)</f>
        <v>0</v>
      </c>
      <c r="AI1052" s="51" t="str">
        <f>IFERROR(INDEX(tblDisruptions[Event type],MATCH(tblWorkPackages[[#This Row],[Work package ID]],tblDisruptions[Work package ID],0)),"None")</f>
        <v>None</v>
      </c>
      <c r="AJ1052" s="51" t="str">
        <f>TEXT(tblWorkPackages[[#This Row],[Due date serial]],"yyyy-mm")</f>
        <v>2024-07</v>
      </c>
    </row>
    <row r="1053" spans="1:36" ht="15" x14ac:dyDescent="0.25">
      <c r="A1053" s="53" t="s">
        <v>1950</v>
      </c>
      <c r="B1053" s="53" t="s">
        <v>203</v>
      </c>
      <c r="C1053" s="53" t="s">
        <v>391</v>
      </c>
      <c r="D1053" s="53" t="s">
        <v>296</v>
      </c>
      <c r="E1053" s="53" t="s">
        <v>200</v>
      </c>
      <c r="F1053" s="53" t="s">
        <v>128</v>
      </c>
      <c r="G1053" s="53" t="s">
        <v>129</v>
      </c>
      <c r="H1053" s="53">
        <v>3</v>
      </c>
      <c r="I1053" s="53" t="s">
        <v>130</v>
      </c>
      <c r="J1053" s="53">
        <v>1</v>
      </c>
      <c r="K1053" s="53">
        <v>0</v>
      </c>
      <c r="L1053" s="53">
        <v>3.6</v>
      </c>
      <c r="M1053" s="53" t="s">
        <v>1293</v>
      </c>
      <c r="N1053" s="53">
        <v>5.6</v>
      </c>
      <c r="O1053" s="51" t="str">
        <f>TEXT(tblWorkPackages[[#This Row],[Request date serial]]-WEEKDAY(tblWorkPackages[[#This Row],[Request date serial]],3),"yyyy-mm-dd")</f>
        <v>2024-08-05</v>
      </c>
      <c r="P1053" s="51">
        <f>ABS(tblWorkPackages[[#This Row],[Actual labor hours]]-tblWorkPackages[[#This Row],[Estimated labor hours]])</f>
        <v>2</v>
      </c>
      <c r="Q1053" s="51">
        <f>IF(tblWorkPackages[[#This Row],[Actual labor hours]]&gt;tblWorkPackages[[#This Row],[Estimated labor hours]],1,0)</f>
        <v>1</v>
      </c>
      <c r="R1053" s="51">
        <f>tblWorkPackages[[#This Row],[Actual labor hours]]-tblWorkPackages[[#This Row],[Estimated labor hours]]</f>
        <v>2</v>
      </c>
      <c r="S1053" s="51" t="str">
        <f>IF(tblWorkPackages[[#This Row],[Request date serial]]&lt;ValidationStart,"Train 2024",IF(tblWorkPackages[[#This Row],[Request date serial]]&lt;HoldoutStart,"Validation H1","Holdout H2"))</f>
        <v>Train 2024</v>
      </c>
      <c r="T1053" s="51" t="str">
        <f>IF(tblWorkPackages[[#This Row],[Time split]]="Train 2024","",tblWorkPackages[[#This Row],[Estimated labor hours]]+VLOOKUP(tblWorkPackages[[#This Row],[Task type]],'Forecast validation'!$A$14:$E$25,IF(tblWorkPackages[[#This Row],[Time split]]="Validation H1",4,5),FALSE()))</f>
        <v/>
      </c>
      <c r="U1053" s="51" t="str">
        <f>IF(tblWorkPackages[[#This Row],[Calibrated forecast hours]]="","",ABS(tblWorkPackages[[#This Row],[Actual labor hours]]-tblWorkPackages[[#This Row],[Calibrated forecast hours]]))</f>
        <v/>
      </c>
      <c r="V1053" s="51">
        <f>IF(tblWorkPackages[[#This Row],[Time split]]="Train 2024",tblWorkPackages[[#This Row],[Estimated labor hours]],tblWorkPackages[[#This Row],[Calibrated forecast hours]])</f>
        <v>3.6</v>
      </c>
      <c r="W1053" s="64">
        <f>DATEVALUE(tblWorkPackages[[#This Row],[Request date]])</f>
        <v>45510.0</v>
      </c>
      <c r="X1053" s="64">
        <f>DATEVALUE(tblWorkPackages[[#This Row],[Due date]])</f>
        <v>45523.0</v>
      </c>
      <c r="Y1053" s="64">
        <f>DATEVALUE(tblWorkPackages[[#This Row],[Completion date]])</f>
        <v>45515.0</v>
      </c>
      <c r="Z1053" s="64">
        <f>_xlfn.MINIFS(tblLaborEntries[Work date serial],tblLaborEntries[Work package ID],tblWorkPackages[[#This Row],[Work package ID]])</f>
        <v>45512.0</v>
      </c>
      <c r="AA1053" s="64">
        <f>_xlfn.MAXIFS(tblLaborEntries[Work date serial],tblLaborEntries[Work package ID],tblWorkPackages[[#This Row],[Work package ID]])</f>
        <v>45512.0</v>
      </c>
      <c r="AB1053" s="65">
        <f>IF(tblWorkPackages[[#This Row],[Completion date serial]]&gt;tblWorkPackages[[#This Row],[Due date serial]],1,0)</f>
        <v>0</v>
      </c>
      <c r="AC1053" s="65">
        <f>MAX(0,tblWorkPackages[[#This Row],[Completion date serial]]-tblWorkPackages[[#This Row],[Due date serial]])</f>
        <v>0</v>
      </c>
      <c r="AD1053" s="65">
        <f>tblWorkPackages[[#This Row],[First labor date]]-tblWorkPackages[[#This Row],[Request date serial]]</f>
        <v>2</v>
      </c>
      <c r="AE1053" s="65">
        <f>tblWorkPackages[[#This Row],[Last labor date]]-tblWorkPackages[[#This Row],[First labor date]]</f>
        <v>0</v>
      </c>
      <c r="AF1053" s="65">
        <f>tblWorkPackages[[#This Row],[Completion date serial]]-tblWorkPackages[[#This Row],[Last labor date]]</f>
        <v>3</v>
      </c>
      <c r="AG1053" s="65">
        <f>tblWorkPackages[[#This Row],[Completion date serial]]-tblWorkPackages[[#This Row],[Request date serial]]</f>
        <v>5</v>
      </c>
      <c r="AH1053" s="65">
        <f>IFERROR(INDEX(tblParts[Delay days],MATCH(tblWorkPackages[[#This Row],[Work package ID]],tblParts[Work package ID],0)),0)</f>
        <v>0</v>
      </c>
      <c r="AI1053" s="51" t="str">
        <f>IFERROR(INDEX(tblDisruptions[Event type],MATCH(tblWorkPackages[[#This Row],[Work package ID]],tblDisruptions[Work package ID],0)),"None")</f>
        <v>None</v>
      </c>
      <c r="AJ1053" s="51" t="str">
        <f>TEXT(tblWorkPackages[[#This Row],[Due date serial]],"yyyy-mm")</f>
        <v>2024-08</v>
      </c>
    </row>
    <row r="1054" spans="1:36" ht="15" x14ac:dyDescent="0.25">
      <c r="A1054" s="53" t="s">
        <v>1951</v>
      </c>
      <c r="B1054" s="53" t="s">
        <v>230</v>
      </c>
      <c r="C1054" s="53" t="s">
        <v>1314</v>
      </c>
      <c r="D1054" s="53" t="s">
        <v>142</v>
      </c>
      <c r="E1054" s="53" t="s">
        <v>242</v>
      </c>
      <c r="F1054" s="53" t="s">
        <v>243</v>
      </c>
      <c r="G1054" s="53" t="s">
        <v>129</v>
      </c>
      <c r="H1054" s="53">
        <v>3</v>
      </c>
      <c r="I1054" s="53" t="s">
        <v>130</v>
      </c>
      <c r="J1054" s="53">
        <v>0</v>
      </c>
      <c r="K1054" s="53">
        <v>1</v>
      </c>
      <c r="L1054" s="53">
        <v>12.3</v>
      </c>
      <c r="M1054" s="53" t="s">
        <v>805</v>
      </c>
      <c r="N1054" s="53">
        <v>14.9</v>
      </c>
      <c r="O1054" s="51" t="str">
        <f>TEXT(tblWorkPackages[[#This Row],[Request date serial]]-WEEKDAY(tblWorkPackages[[#This Row],[Request date serial]],3),"yyyy-mm-dd")</f>
        <v>2024-01-15</v>
      </c>
      <c r="P1054" s="51">
        <f>ABS(tblWorkPackages[[#This Row],[Actual labor hours]]-tblWorkPackages[[#This Row],[Estimated labor hours]])</f>
        <v>2.6</v>
      </c>
      <c r="Q1054" s="51">
        <f>IF(tblWorkPackages[[#This Row],[Actual labor hours]]&gt;tblWorkPackages[[#This Row],[Estimated labor hours]],1,0)</f>
        <v>1</v>
      </c>
      <c r="R1054" s="51">
        <f>tblWorkPackages[[#This Row],[Actual labor hours]]-tblWorkPackages[[#This Row],[Estimated labor hours]]</f>
        <v>2.6</v>
      </c>
      <c r="S1054" s="51" t="str">
        <f>IF(tblWorkPackages[[#This Row],[Request date serial]]&lt;ValidationStart,"Train 2024",IF(tblWorkPackages[[#This Row],[Request date serial]]&lt;HoldoutStart,"Validation H1","Holdout H2"))</f>
        <v>Train 2024</v>
      </c>
      <c r="T1054" s="51" t="str">
        <f>IF(tblWorkPackages[[#This Row],[Time split]]="Train 2024","",tblWorkPackages[[#This Row],[Estimated labor hours]]+VLOOKUP(tblWorkPackages[[#This Row],[Task type]],'Forecast validation'!$A$14:$E$25,IF(tblWorkPackages[[#This Row],[Time split]]="Validation H1",4,5),FALSE()))</f>
        <v/>
      </c>
      <c r="U1054" s="51" t="str">
        <f>IF(tblWorkPackages[[#This Row],[Calibrated forecast hours]]="","",ABS(tblWorkPackages[[#This Row],[Actual labor hours]]-tblWorkPackages[[#This Row],[Calibrated forecast hours]]))</f>
        <v/>
      </c>
      <c r="V1054" s="51">
        <f>IF(tblWorkPackages[[#This Row],[Time split]]="Train 2024",tblWorkPackages[[#This Row],[Estimated labor hours]],tblWorkPackages[[#This Row],[Calibrated forecast hours]])</f>
        <v>12.3</v>
      </c>
      <c r="W1054" s="64">
        <f>DATEVALUE(tblWorkPackages[[#This Row],[Request date]])</f>
        <v>45309.0</v>
      </c>
      <c r="X1054" s="64">
        <f>DATEVALUE(tblWorkPackages[[#This Row],[Due date]])</f>
        <v>45322.0</v>
      </c>
      <c r="Y1054" s="64">
        <f>DATEVALUE(tblWorkPackages[[#This Row],[Completion date]])</f>
        <v>45335.0</v>
      </c>
      <c r="Z1054" s="64">
        <f>_xlfn.MINIFS(tblLaborEntries[Work date serial],tblLaborEntries[Work package ID],tblWorkPackages[[#This Row],[Work package ID]])</f>
        <v>45333.0</v>
      </c>
      <c r="AA1054" s="64">
        <f>_xlfn.MAXIFS(tblLaborEntries[Work date serial],tblLaborEntries[Work package ID],tblWorkPackages[[#This Row],[Work package ID]])</f>
        <v>45335.0</v>
      </c>
      <c r="AB1054" s="65">
        <f>IF(tblWorkPackages[[#This Row],[Completion date serial]]&gt;tblWorkPackages[[#This Row],[Due date serial]],1,0)</f>
        <v>1</v>
      </c>
      <c r="AC1054" s="65">
        <f>MAX(0,tblWorkPackages[[#This Row],[Completion date serial]]-tblWorkPackages[[#This Row],[Due date serial]])</f>
        <v>13</v>
      </c>
      <c r="AD1054" s="65">
        <f>tblWorkPackages[[#This Row],[First labor date]]-tblWorkPackages[[#This Row],[Request date serial]]</f>
        <v>24</v>
      </c>
      <c r="AE1054" s="65">
        <f>tblWorkPackages[[#This Row],[Last labor date]]-tblWorkPackages[[#This Row],[First labor date]]</f>
        <v>2</v>
      </c>
      <c r="AF1054" s="65">
        <f>tblWorkPackages[[#This Row],[Completion date serial]]-tblWorkPackages[[#This Row],[Last labor date]]</f>
        <v>0</v>
      </c>
      <c r="AG1054" s="65">
        <f>tblWorkPackages[[#This Row],[Completion date serial]]-tblWorkPackages[[#This Row],[Request date serial]]</f>
        <v>26</v>
      </c>
      <c r="AH1054" s="65">
        <f>IFERROR(INDEX(tblParts[Delay days],MATCH(tblWorkPackages[[#This Row],[Work package ID]],tblParts[Work package ID],0)),0)</f>
        <v>9</v>
      </c>
      <c r="AI1054" s="51" t="str">
        <f>IFERROR(INDEX(tblDisruptions[Event type],MATCH(tblWorkPackages[[#This Row],[Work package ID]],tblDisruptions[Work package ID],0)),"None")</f>
        <v>Part delay</v>
      </c>
      <c r="AJ1054" s="51" t="str">
        <f>TEXT(tblWorkPackages[[#This Row],[Due date serial]],"yyyy-mm")</f>
        <v>2024-01</v>
      </c>
    </row>
    <row r="1055" spans="1:36" ht="15" x14ac:dyDescent="0.25">
      <c r="A1055" s="53" t="s">
        <v>1952</v>
      </c>
      <c r="B1055" s="53" t="s">
        <v>157</v>
      </c>
      <c r="C1055" s="53" t="s">
        <v>774</v>
      </c>
      <c r="D1055" s="53" t="s">
        <v>317</v>
      </c>
      <c r="E1055" s="53" t="s">
        <v>200</v>
      </c>
      <c r="F1055" s="53" t="s">
        <v>128</v>
      </c>
      <c r="G1055" s="53" t="s">
        <v>129</v>
      </c>
      <c r="H1055" s="53">
        <v>1</v>
      </c>
      <c r="I1055" s="53" t="s">
        <v>130</v>
      </c>
      <c r="J1055" s="53">
        <v>0</v>
      </c>
      <c r="K1055" s="53">
        <v>0</v>
      </c>
      <c r="L1055" s="53">
        <v>2</v>
      </c>
      <c r="M1055" s="53" t="s">
        <v>879</v>
      </c>
      <c r="N1055" s="53">
        <v>1.7</v>
      </c>
      <c r="O1055" s="51" t="str">
        <f>TEXT(tblWorkPackages[[#This Row],[Request date serial]]-WEEKDAY(tblWorkPackages[[#This Row],[Request date serial]],3),"yyyy-mm-dd")</f>
        <v>2024-03-25</v>
      </c>
      <c r="P1055" s="51">
        <f>ABS(tblWorkPackages[[#This Row],[Actual labor hours]]-tblWorkPackages[[#This Row],[Estimated labor hours]])</f>
        <v>0.3</v>
      </c>
      <c r="Q1055" s="51">
        <f>IF(tblWorkPackages[[#This Row],[Actual labor hours]]&gt;tblWorkPackages[[#This Row],[Estimated labor hours]],1,0)</f>
        <v>0</v>
      </c>
      <c r="R1055" s="51">
        <f>tblWorkPackages[[#This Row],[Actual labor hours]]-tblWorkPackages[[#This Row],[Estimated labor hours]]</f>
        <v>-0.3</v>
      </c>
      <c r="S1055" s="51" t="str">
        <f>IF(tblWorkPackages[[#This Row],[Request date serial]]&lt;ValidationStart,"Train 2024",IF(tblWorkPackages[[#This Row],[Request date serial]]&lt;HoldoutStart,"Validation H1","Holdout H2"))</f>
        <v>Train 2024</v>
      </c>
      <c r="T1055" s="51" t="str">
        <f>IF(tblWorkPackages[[#This Row],[Time split]]="Train 2024","",tblWorkPackages[[#This Row],[Estimated labor hours]]+VLOOKUP(tblWorkPackages[[#This Row],[Task type]],'Forecast validation'!$A$14:$E$25,IF(tblWorkPackages[[#This Row],[Time split]]="Validation H1",4,5),FALSE()))</f>
        <v/>
      </c>
      <c r="U1055" s="51" t="str">
        <f>IF(tblWorkPackages[[#This Row],[Calibrated forecast hours]]="","",ABS(tblWorkPackages[[#This Row],[Actual labor hours]]-tblWorkPackages[[#This Row],[Calibrated forecast hours]]))</f>
        <v/>
      </c>
      <c r="V1055" s="51">
        <f>IF(tblWorkPackages[[#This Row],[Time split]]="Train 2024",tblWorkPackages[[#This Row],[Estimated labor hours]],tblWorkPackages[[#This Row],[Calibrated forecast hours]])</f>
        <v>2</v>
      </c>
      <c r="W1055" s="64">
        <f>DATEVALUE(tblWorkPackages[[#This Row],[Request date]])</f>
        <v>45381.0</v>
      </c>
      <c r="X1055" s="64">
        <f>DATEVALUE(tblWorkPackages[[#This Row],[Due date]])</f>
        <v>45394.0</v>
      </c>
      <c r="Y1055" s="64">
        <f>DATEVALUE(tblWorkPackages[[#This Row],[Completion date]])</f>
        <v>45386.0</v>
      </c>
      <c r="Z1055" s="64">
        <f>_xlfn.MINIFS(tblLaborEntries[Work date serial],tblLaborEntries[Work package ID],tblWorkPackages[[#This Row],[Work package ID]])</f>
        <v>45385.0</v>
      </c>
      <c r="AA1055" s="64">
        <f>_xlfn.MAXIFS(tblLaborEntries[Work date serial],tblLaborEntries[Work package ID],tblWorkPackages[[#This Row],[Work package ID]])</f>
        <v>45385.0</v>
      </c>
      <c r="AB1055" s="65">
        <f>IF(tblWorkPackages[[#This Row],[Completion date serial]]&gt;tblWorkPackages[[#This Row],[Due date serial]],1,0)</f>
        <v>0</v>
      </c>
      <c r="AC1055" s="65">
        <f>MAX(0,tblWorkPackages[[#This Row],[Completion date serial]]-tblWorkPackages[[#This Row],[Due date serial]])</f>
        <v>0</v>
      </c>
      <c r="AD1055" s="65">
        <f>tblWorkPackages[[#This Row],[First labor date]]-tblWorkPackages[[#This Row],[Request date serial]]</f>
        <v>4</v>
      </c>
      <c r="AE1055" s="65">
        <f>tblWorkPackages[[#This Row],[Last labor date]]-tblWorkPackages[[#This Row],[First labor date]]</f>
        <v>0</v>
      </c>
      <c r="AF1055" s="65">
        <f>tblWorkPackages[[#This Row],[Completion date serial]]-tblWorkPackages[[#This Row],[Last labor date]]</f>
        <v>1</v>
      </c>
      <c r="AG1055" s="65">
        <f>tblWorkPackages[[#This Row],[Completion date serial]]-tblWorkPackages[[#This Row],[Request date serial]]</f>
        <v>5</v>
      </c>
      <c r="AH1055" s="65">
        <f>IFERROR(INDEX(tblParts[Delay days],MATCH(tblWorkPackages[[#This Row],[Work package ID]],tblParts[Work package ID],0)),0)</f>
        <v>0</v>
      </c>
      <c r="AI1055" s="51" t="str">
        <f>IFERROR(INDEX(tblDisruptions[Event type],MATCH(tblWorkPackages[[#This Row],[Work package ID]],tblDisruptions[Work package ID],0)),"None")</f>
        <v>None</v>
      </c>
      <c r="AJ1055" s="51" t="str">
        <f>TEXT(tblWorkPackages[[#This Row],[Due date serial]],"yyyy-mm")</f>
        <v>2024-04</v>
      </c>
    </row>
    <row r="1056" spans="1:36" ht="15" x14ac:dyDescent="0.25">
      <c r="A1056" s="53" t="s">
        <v>1953</v>
      </c>
      <c r="B1056" s="53" t="s">
        <v>150</v>
      </c>
      <c r="C1056" s="53" t="s">
        <v>349</v>
      </c>
      <c r="D1056" s="53" t="s">
        <v>615</v>
      </c>
      <c r="E1056" s="53" t="s">
        <v>144</v>
      </c>
      <c r="F1056" s="53" t="s">
        <v>145</v>
      </c>
      <c r="G1056" s="53" t="s">
        <v>146</v>
      </c>
      <c r="H1056" s="53">
        <v>2</v>
      </c>
      <c r="I1056" s="53" t="s">
        <v>176</v>
      </c>
      <c r="J1056" s="53">
        <v>0</v>
      </c>
      <c r="K1056" s="53">
        <v>1</v>
      </c>
      <c r="L1056" s="53">
        <v>11</v>
      </c>
      <c r="M1056" s="53" t="s">
        <v>1668</v>
      </c>
      <c r="N1056" s="53">
        <v>9.5</v>
      </c>
      <c r="O1056" s="51" t="str">
        <f>TEXT(tblWorkPackages[[#This Row],[Request date serial]]-WEEKDAY(tblWorkPackages[[#This Row],[Request date serial]],3),"yyyy-mm-dd")</f>
        <v>2024-01-15</v>
      </c>
      <c r="P1056" s="51">
        <f>ABS(tblWorkPackages[[#This Row],[Actual labor hours]]-tblWorkPackages[[#This Row],[Estimated labor hours]])</f>
        <v>1.5</v>
      </c>
      <c r="Q1056" s="51">
        <f>IF(tblWorkPackages[[#This Row],[Actual labor hours]]&gt;tblWorkPackages[[#This Row],[Estimated labor hours]],1,0)</f>
        <v>0</v>
      </c>
      <c r="R1056" s="51">
        <f>tblWorkPackages[[#This Row],[Actual labor hours]]-tblWorkPackages[[#This Row],[Estimated labor hours]]</f>
        <v>-1.5</v>
      </c>
      <c r="S1056" s="51" t="str">
        <f>IF(tblWorkPackages[[#This Row],[Request date serial]]&lt;ValidationStart,"Train 2024",IF(tblWorkPackages[[#This Row],[Request date serial]]&lt;HoldoutStart,"Validation H1","Holdout H2"))</f>
        <v>Train 2024</v>
      </c>
      <c r="T1056" s="51" t="str">
        <f>IF(tblWorkPackages[[#This Row],[Time split]]="Train 2024","",tblWorkPackages[[#This Row],[Estimated labor hours]]+VLOOKUP(tblWorkPackages[[#This Row],[Task type]],'Forecast validation'!$A$14:$E$25,IF(tblWorkPackages[[#This Row],[Time split]]="Validation H1",4,5),FALSE()))</f>
        <v/>
      </c>
      <c r="U1056" s="51" t="str">
        <f>IF(tblWorkPackages[[#This Row],[Calibrated forecast hours]]="","",ABS(tblWorkPackages[[#This Row],[Actual labor hours]]-tblWorkPackages[[#This Row],[Calibrated forecast hours]]))</f>
        <v/>
      </c>
      <c r="V1056" s="51">
        <f>IF(tblWorkPackages[[#This Row],[Time split]]="Train 2024",tblWorkPackages[[#This Row],[Estimated labor hours]],tblWorkPackages[[#This Row],[Calibrated forecast hours]])</f>
        <v>11</v>
      </c>
      <c r="W1056" s="64">
        <f>DATEVALUE(tblWorkPackages[[#This Row],[Request date]])</f>
        <v>45310.0</v>
      </c>
      <c r="X1056" s="64">
        <f>DATEVALUE(tblWorkPackages[[#This Row],[Due date]])</f>
        <v>45316.0</v>
      </c>
      <c r="Y1056" s="64">
        <f>DATEVALUE(tblWorkPackages[[#This Row],[Completion date]])</f>
        <v>45314.0</v>
      </c>
      <c r="Z1056" s="64">
        <f>_xlfn.MINIFS(tblLaborEntries[Work date serial],tblLaborEntries[Work package ID],tblWorkPackages[[#This Row],[Work package ID]])</f>
        <v>45311.0</v>
      </c>
      <c r="AA1056" s="64">
        <f>_xlfn.MAXIFS(tblLaborEntries[Work date serial],tblLaborEntries[Work package ID],tblWorkPackages[[#This Row],[Work package ID]])</f>
        <v>45312.0</v>
      </c>
      <c r="AB1056" s="65">
        <f>IF(tblWorkPackages[[#This Row],[Completion date serial]]&gt;tblWorkPackages[[#This Row],[Due date serial]],1,0)</f>
        <v>0</v>
      </c>
      <c r="AC1056" s="65">
        <f>MAX(0,tblWorkPackages[[#This Row],[Completion date serial]]-tblWorkPackages[[#This Row],[Due date serial]])</f>
        <v>0</v>
      </c>
      <c r="AD1056" s="65">
        <f>tblWorkPackages[[#This Row],[First labor date]]-tblWorkPackages[[#This Row],[Request date serial]]</f>
        <v>1</v>
      </c>
      <c r="AE1056" s="65">
        <f>tblWorkPackages[[#This Row],[Last labor date]]-tblWorkPackages[[#This Row],[First labor date]]</f>
        <v>1</v>
      </c>
      <c r="AF1056" s="65">
        <f>tblWorkPackages[[#This Row],[Completion date serial]]-tblWorkPackages[[#This Row],[Last labor date]]</f>
        <v>2</v>
      </c>
      <c r="AG1056" s="65">
        <f>tblWorkPackages[[#This Row],[Completion date serial]]-tblWorkPackages[[#This Row],[Request date serial]]</f>
        <v>4</v>
      </c>
      <c r="AH1056" s="65">
        <f>IFERROR(INDEX(tblParts[Delay days],MATCH(tblWorkPackages[[#This Row],[Work package ID]],tblParts[Work package ID],0)),0)</f>
        <v>0</v>
      </c>
      <c r="AI1056" s="51" t="str">
        <f>IFERROR(INDEX(tblDisruptions[Event type],MATCH(tblWorkPackages[[#This Row],[Work package ID]],tblDisruptions[Work package ID],0)),"None")</f>
        <v>None</v>
      </c>
      <c r="AJ1056" s="51" t="str">
        <f>TEXT(tblWorkPackages[[#This Row],[Due date serial]],"yyyy-mm")</f>
        <v>2024-01</v>
      </c>
    </row>
    <row r="1057" spans="1:36" ht="15" x14ac:dyDescent="0.25">
      <c r="A1057" s="53" t="s">
        <v>1954</v>
      </c>
      <c r="B1057" s="53" t="s">
        <v>287</v>
      </c>
      <c r="C1057" s="53" t="s">
        <v>621</v>
      </c>
      <c r="D1057" s="53" t="s">
        <v>1138</v>
      </c>
      <c r="E1057" s="53" t="s">
        <v>272</v>
      </c>
      <c r="F1057" s="53" t="s">
        <v>145</v>
      </c>
      <c r="G1057" s="53" t="s">
        <v>273</v>
      </c>
      <c r="H1057" s="53">
        <v>4</v>
      </c>
      <c r="I1057" s="53" t="s">
        <v>130</v>
      </c>
      <c r="J1057" s="53">
        <v>1</v>
      </c>
      <c r="K1057" s="53">
        <v>1</v>
      </c>
      <c r="L1057" s="53">
        <v>21.5</v>
      </c>
      <c r="M1057" s="53" t="s">
        <v>1293</v>
      </c>
      <c r="N1057" s="53">
        <v>36.799999999999997</v>
      </c>
      <c r="O1057" s="51" t="str">
        <f>TEXT(tblWorkPackages[[#This Row],[Request date serial]]-WEEKDAY(tblWorkPackages[[#This Row],[Request date serial]],3),"yyyy-mm-dd")</f>
        <v>2024-07-22</v>
      </c>
      <c r="P1057" s="51">
        <f>ABS(tblWorkPackages[[#This Row],[Actual labor hours]]-tblWorkPackages[[#This Row],[Estimated labor hours]])</f>
        <v>15.3</v>
      </c>
      <c r="Q1057" s="51">
        <f>IF(tblWorkPackages[[#This Row],[Actual labor hours]]&gt;tblWorkPackages[[#This Row],[Estimated labor hours]],1,0)</f>
        <v>1</v>
      </c>
      <c r="R1057" s="51">
        <f>tblWorkPackages[[#This Row],[Actual labor hours]]-tblWorkPackages[[#This Row],[Estimated labor hours]]</f>
        <v>15.3</v>
      </c>
      <c r="S1057" s="51" t="str">
        <f>IF(tblWorkPackages[[#This Row],[Request date serial]]&lt;ValidationStart,"Train 2024",IF(tblWorkPackages[[#This Row],[Request date serial]]&lt;HoldoutStart,"Validation H1","Holdout H2"))</f>
        <v>Train 2024</v>
      </c>
      <c r="T1057" s="51" t="str">
        <f>IF(tblWorkPackages[[#This Row],[Time split]]="Train 2024","",tblWorkPackages[[#This Row],[Estimated labor hours]]+VLOOKUP(tblWorkPackages[[#This Row],[Task type]],'Forecast validation'!$A$14:$E$25,IF(tblWorkPackages[[#This Row],[Time split]]="Validation H1",4,5),FALSE()))</f>
        <v/>
      </c>
      <c r="U1057" s="51" t="str">
        <f>IF(tblWorkPackages[[#This Row],[Calibrated forecast hours]]="","",ABS(tblWorkPackages[[#This Row],[Actual labor hours]]-tblWorkPackages[[#This Row],[Calibrated forecast hours]]))</f>
        <v/>
      </c>
      <c r="V1057" s="51">
        <f>IF(tblWorkPackages[[#This Row],[Time split]]="Train 2024",tblWorkPackages[[#This Row],[Estimated labor hours]],tblWorkPackages[[#This Row],[Calibrated forecast hours]])</f>
        <v>21.5</v>
      </c>
      <c r="W1057" s="64">
        <f>DATEVALUE(tblWorkPackages[[#This Row],[Request date]])</f>
        <v>45496.0</v>
      </c>
      <c r="X1057" s="64">
        <f>DATEVALUE(tblWorkPackages[[#This Row],[Due date]])</f>
        <v>45509.0</v>
      </c>
      <c r="Y1057" s="64">
        <f>DATEVALUE(tblWorkPackages[[#This Row],[Completion date]])</f>
        <v>45515.0</v>
      </c>
      <c r="Z1057" s="64">
        <f>_xlfn.MINIFS(tblLaborEntries[Work date serial],tblLaborEntries[Work package ID],tblWorkPackages[[#This Row],[Work package ID]])</f>
        <v>45511.0</v>
      </c>
      <c r="AA1057" s="64">
        <f>_xlfn.MAXIFS(tblLaborEntries[Work date serial],tblLaborEntries[Work package ID],tblWorkPackages[[#This Row],[Work package ID]])</f>
        <v>45512.0</v>
      </c>
      <c r="AB1057" s="65">
        <f>IF(tblWorkPackages[[#This Row],[Completion date serial]]&gt;tblWorkPackages[[#This Row],[Due date serial]],1,0)</f>
        <v>1</v>
      </c>
      <c r="AC1057" s="65">
        <f>MAX(0,tblWorkPackages[[#This Row],[Completion date serial]]-tblWorkPackages[[#This Row],[Due date serial]])</f>
        <v>6</v>
      </c>
      <c r="AD1057" s="65">
        <f>tblWorkPackages[[#This Row],[First labor date]]-tblWorkPackages[[#This Row],[Request date serial]]</f>
        <v>15</v>
      </c>
      <c r="AE1057" s="65">
        <f>tblWorkPackages[[#This Row],[Last labor date]]-tblWorkPackages[[#This Row],[First labor date]]</f>
        <v>1</v>
      </c>
      <c r="AF1057" s="65">
        <f>tblWorkPackages[[#This Row],[Completion date serial]]-tblWorkPackages[[#This Row],[Last labor date]]</f>
        <v>3</v>
      </c>
      <c r="AG1057" s="65">
        <f>tblWorkPackages[[#This Row],[Completion date serial]]-tblWorkPackages[[#This Row],[Request date serial]]</f>
        <v>19</v>
      </c>
      <c r="AH1057" s="65">
        <f>IFERROR(INDEX(tblParts[Delay days],MATCH(tblWorkPackages[[#This Row],[Work package ID]],tblParts[Work package ID],0)),0)</f>
        <v>6</v>
      </c>
      <c r="AI1057" s="51" t="str">
        <f>IFERROR(INDEX(tblDisruptions[Event type],MATCH(tblWorkPackages[[#This Row],[Work package ID]],tblDisruptions[Work package ID],0)),"None")</f>
        <v>Part delay</v>
      </c>
      <c r="AJ1057" s="51" t="str">
        <f>TEXT(tblWorkPackages[[#This Row],[Due date serial]],"yyyy-mm")</f>
        <v>2024-08</v>
      </c>
    </row>
    <row r="1058" spans="1:36" ht="15" x14ac:dyDescent="0.25">
      <c r="A1058" s="53" t="s">
        <v>1955</v>
      </c>
      <c r="B1058" s="53" t="s">
        <v>203</v>
      </c>
      <c r="C1058" s="53" t="s">
        <v>1361</v>
      </c>
      <c r="D1058" s="53" t="s">
        <v>415</v>
      </c>
      <c r="E1058" s="53" t="s">
        <v>144</v>
      </c>
      <c r="F1058" s="53" t="s">
        <v>145</v>
      </c>
      <c r="G1058" s="53" t="s">
        <v>146</v>
      </c>
      <c r="H1058" s="53">
        <v>4</v>
      </c>
      <c r="I1058" s="53" t="s">
        <v>130</v>
      </c>
      <c r="J1058" s="53">
        <v>0</v>
      </c>
      <c r="K1058" s="53">
        <v>1</v>
      </c>
      <c r="L1058" s="53">
        <v>16.8</v>
      </c>
      <c r="M1058" s="53" t="s">
        <v>313</v>
      </c>
      <c r="N1058" s="53">
        <v>21.5</v>
      </c>
      <c r="O1058" s="51" t="str">
        <f>TEXT(tblWorkPackages[[#This Row],[Request date serial]]-WEEKDAY(tblWorkPackages[[#This Row],[Request date serial]],3),"yyyy-mm-dd")</f>
        <v>2025-08-18</v>
      </c>
      <c r="P1058" s="51">
        <f>ABS(tblWorkPackages[[#This Row],[Actual labor hours]]-tblWorkPackages[[#This Row],[Estimated labor hours]])</f>
        <v>4.7</v>
      </c>
      <c r="Q1058" s="51">
        <f>IF(tblWorkPackages[[#This Row],[Actual labor hours]]&gt;tblWorkPackages[[#This Row],[Estimated labor hours]],1,0)</f>
        <v>1</v>
      </c>
      <c r="R1058" s="51">
        <f>tblWorkPackages[[#This Row],[Actual labor hours]]-tblWorkPackages[[#This Row],[Estimated labor hours]]</f>
        <v>4.7</v>
      </c>
      <c r="S1058" s="51" t="str">
        <f>IF(tblWorkPackages[[#This Row],[Request date serial]]&lt;ValidationStart,"Train 2024",IF(tblWorkPackages[[#This Row],[Request date serial]]&lt;HoldoutStart,"Validation H1","Holdout H2"))</f>
        <v>Holdout H2</v>
      </c>
      <c r="T1058" s="51">
        <f>IF(tblWorkPackages[[#This Row],[Time split]]="Train 2024","",tblWorkPackages[[#This Row],[Estimated labor hours]]+VLOOKUP(tblWorkPackages[[#This Row],[Task type]],'Forecast validation'!$A$14:$E$25,IF(tblWorkPackages[[#This Row],[Time split]]="Validation H1",4,5),FALSE()))</f>
        <v>17.7735483870968</v>
      </c>
      <c r="U1058" s="51">
        <f>IF(tblWorkPackages[[#This Row],[Calibrated forecast hours]]="","",ABS(tblWorkPackages[[#This Row],[Actual labor hours]]-tblWorkPackages[[#This Row],[Calibrated forecast hours]]))</f>
        <v>3.72645161290323</v>
      </c>
      <c r="V1058" s="51">
        <f>IF(tblWorkPackages[[#This Row],[Time split]]="Train 2024",tblWorkPackages[[#This Row],[Estimated labor hours]],tblWorkPackages[[#This Row],[Calibrated forecast hours]])</f>
        <v>17.7735483870968</v>
      </c>
      <c r="W1058" s="64">
        <f>DATEVALUE(tblWorkPackages[[#This Row],[Request date]])</f>
        <v>45889.0</v>
      </c>
      <c r="X1058" s="64">
        <f>DATEVALUE(tblWorkPackages[[#This Row],[Due date]])</f>
        <v>45902.0</v>
      </c>
      <c r="Y1058" s="64">
        <f>DATEVALUE(tblWorkPackages[[#This Row],[Completion date]])</f>
        <v>45899.0</v>
      </c>
      <c r="Z1058" s="64">
        <f>_xlfn.MINIFS(tblLaborEntries[Work date serial],tblLaborEntries[Work package ID],tblWorkPackages[[#This Row],[Work package ID]])</f>
        <v>45897.0</v>
      </c>
      <c r="AA1058" s="64">
        <f>_xlfn.MAXIFS(tblLaborEntries[Work date serial],tblLaborEntries[Work package ID],tblWorkPackages[[#This Row],[Work package ID]])</f>
        <v>45899.0</v>
      </c>
      <c r="AB1058" s="65">
        <f>IF(tblWorkPackages[[#This Row],[Completion date serial]]&gt;tblWorkPackages[[#This Row],[Due date serial]],1,0)</f>
        <v>0</v>
      </c>
      <c r="AC1058" s="65">
        <f>MAX(0,tblWorkPackages[[#This Row],[Completion date serial]]-tblWorkPackages[[#This Row],[Due date serial]])</f>
        <v>0</v>
      </c>
      <c r="AD1058" s="65">
        <f>tblWorkPackages[[#This Row],[First labor date]]-tblWorkPackages[[#This Row],[Request date serial]]</f>
        <v>8</v>
      </c>
      <c r="AE1058" s="65">
        <f>tblWorkPackages[[#This Row],[Last labor date]]-tblWorkPackages[[#This Row],[First labor date]]</f>
        <v>2</v>
      </c>
      <c r="AF1058" s="65">
        <f>tblWorkPackages[[#This Row],[Completion date serial]]-tblWorkPackages[[#This Row],[Last labor date]]</f>
        <v>0</v>
      </c>
      <c r="AG1058" s="65">
        <f>tblWorkPackages[[#This Row],[Completion date serial]]-tblWorkPackages[[#This Row],[Request date serial]]</f>
        <v>10</v>
      </c>
      <c r="AH1058" s="65">
        <f>IFERROR(INDEX(tblParts[Delay days],MATCH(tblWorkPackages[[#This Row],[Work package ID]],tblParts[Work package ID],0)),0)</f>
        <v>5</v>
      </c>
      <c r="AI1058" s="51" t="str">
        <f>IFERROR(INDEX(tblDisruptions[Event type],MATCH(tblWorkPackages[[#This Row],[Work package ID]],tblDisruptions[Work package ID],0)),"None")</f>
        <v>Part delay</v>
      </c>
      <c r="AJ1058" s="51" t="str">
        <f>TEXT(tblWorkPackages[[#This Row],[Due date serial]],"yyyy-mm")</f>
        <v>2025-09</v>
      </c>
    </row>
    <row r="1059" spans="1:36" ht="15" x14ac:dyDescent="0.25">
      <c r="A1059" s="53" t="s">
        <v>1956</v>
      </c>
      <c r="B1059" s="53" t="s">
        <v>163</v>
      </c>
      <c r="C1059" s="53" t="s">
        <v>984</v>
      </c>
      <c r="D1059" s="53" t="s">
        <v>1333</v>
      </c>
      <c r="E1059" s="53" t="s">
        <v>160</v>
      </c>
      <c r="F1059" s="53" t="s">
        <v>128</v>
      </c>
      <c r="G1059" s="53" t="s">
        <v>138</v>
      </c>
      <c r="H1059" s="53">
        <v>4</v>
      </c>
      <c r="I1059" s="53" t="s">
        <v>130</v>
      </c>
      <c r="J1059" s="53">
        <v>0</v>
      </c>
      <c r="K1059" s="53">
        <v>0</v>
      </c>
      <c r="L1059" s="53">
        <v>8</v>
      </c>
      <c r="M1059" s="53" t="s">
        <v>190</v>
      </c>
      <c r="N1059" s="53">
        <v>8.8000000000000007</v>
      </c>
      <c r="O1059" s="51" t="str">
        <f>TEXT(tblWorkPackages[[#This Row],[Request date serial]]-WEEKDAY(tblWorkPackages[[#This Row],[Request date serial]],3),"yyyy-mm-dd")</f>
        <v>2025-07-14</v>
      </c>
      <c r="P1059" s="51">
        <f>ABS(tblWorkPackages[[#This Row],[Actual labor hours]]-tblWorkPackages[[#This Row],[Estimated labor hours]])</f>
        <v>0.800000000000001</v>
      </c>
      <c r="Q1059" s="51">
        <f>IF(tblWorkPackages[[#This Row],[Actual labor hours]]&gt;tblWorkPackages[[#This Row],[Estimated labor hours]],1,0)</f>
        <v>1</v>
      </c>
      <c r="R1059" s="51">
        <f>tblWorkPackages[[#This Row],[Actual labor hours]]-tblWorkPackages[[#This Row],[Estimated labor hours]]</f>
        <v>0.800000000000001</v>
      </c>
      <c r="S1059" s="51" t="str">
        <f>IF(tblWorkPackages[[#This Row],[Request date serial]]&lt;ValidationStart,"Train 2024",IF(tblWorkPackages[[#This Row],[Request date serial]]&lt;HoldoutStart,"Validation H1","Holdout H2"))</f>
        <v>Holdout H2</v>
      </c>
      <c r="T1059" s="51">
        <f>IF(tblWorkPackages[[#This Row],[Time split]]="Train 2024","",tblWorkPackages[[#This Row],[Estimated labor hours]]+VLOOKUP(tblWorkPackages[[#This Row],[Task type]],'Forecast validation'!$A$14:$E$25,IF(tblWorkPackages[[#This Row],[Time split]]="Validation H1",4,5),FALSE()))</f>
        <v>8.43739837398374</v>
      </c>
      <c r="U1059" s="51">
        <f>IF(tblWorkPackages[[#This Row],[Calibrated forecast hours]]="","",ABS(tblWorkPackages[[#This Row],[Actual labor hours]]-tblWorkPackages[[#This Row],[Calibrated forecast hours]]))</f>
        <v>0.362601626016261</v>
      </c>
      <c r="V1059" s="51">
        <f>IF(tblWorkPackages[[#This Row],[Time split]]="Train 2024",tblWorkPackages[[#This Row],[Estimated labor hours]],tblWorkPackages[[#This Row],[Calibrated forecast hours]])</f>
        <v>8.43739837398374</v>
      </c>
      <c r="W1059" s="64">
        <f>DATEVALUE(tblWorkPackages[[#This Row],[Request date]])</f>
        <v>45855.0</v>
      </c>
      <c r="X1059" s="64">
        <f>DATEVALUE(tblWorkPackages[[#This Row],[Due date]])</f>
        <v>45868.0</v>
      </c>
      <c r="Y1059" s="64">
        <f>DATEVALUE(tblWorkPackages[[#This Row],[Completion date]])</f>
        <v>45883.0</v>
      </c>
      <c r="Z1059" s="64">
        <f>_xlfn.MINIFS(tblLaborEntries[Work date serial],tblLaborEntries[Work package ID],tblWorkPackages[[#This Row],[Work package ID]])</f>
        <v>45882.0</v>
      </c>
      <c r="AA1059" s="64">
        <f>_xlfn.MAXIFS(tblLaborEntries[Work date serial],tblLaborEntries[Work package ID],tblWorkPackages[[#This Row],[Work package ID]])</f>
        <v>45882.0</v>
      </c>
      <c r="AB1059" s="65">
        <f>IF(tblWorkPackages[[#This Row],[Completion date serial]]&gt;tblWorkPackages[[#This Row],[Due date serial]],1,0)</f>
        <v>1</v>
      </c>
      <c r="AC1059" s="65">
        <f>MAX(0,tblWorkPackages[[#This Row],[Completion date serial]]-tblWorkPackages[[#This Row],[Due date serial]])</f>
        <v>15</v>
      </c>
      <c r="AD1059" s="65">
        <f>tblWorkPackages[[#This Row],[First labor date]]-tblWorkPackages[[#This Row],[Request date serial]]</f>
        <v>27</v>
      </c>
      <c r="AE1059" s="65">
        <f>tblWorkPackages[[#This Row],[Last labor date]]-tblWorkPackages[[#This Row],[First labor date]]</f>
        <v>0</v>
      </c>
      <c r="AF1059" s="65">
        <f>tblWorkPackages[[#This Row],[Completion date serial]]-tblWorkPackages[[#This Row],[Last labor date]]</f>
        <v>1</v>
      </c>
      <c r="AG1059" s="65">
        <f>tblWorkPackages[[#This Row],[Completion date serial]]-tblWorkPackages[[#This Row],[Request date serial]]</f>
        <v>28</v>
      </c>
      <c r="AH1059" s="65">
        <f>IFERROR(INDEX(tblParts[Delay days],MATCH(tblWorkPackages[[#This Row],[Work package ID]],tblParts[Work package ID],0)),0)</f>
        <v>0</v>
      </c>
      <c r="AI1059" s="51" t="str">
        <f>IFERROR(INDEX(tblDisruptions[Event type],MATCH(tblWorkPackages[[#This Row],[Work package ID]],tblDisruptions[Work package ID],0)),"None")</f>
        <v>None</v>
      </c>
      <c r="AJ1059" s="51" t="str">
        <f>TEXT(tblWorkPackages[[#This Row],[Due date serial]],"yyyy-mm")</f>
        <v>2025-07</v>
      </c>
    </row>
    <row r="1060" spans="1:36" ht="15" x14ac:dyDescent="0.25">
      <c r="A1060" s="53" t="s">
        <v>1957</v>
      </c>
      <c r="B1060" s="53" t="s">
        <v>230</v>
      </c>
      <c r="C1060" s="53" t="s">
        <v>425</v>
      </c>
      <c r="D1060" s="53" t="s">
        <v>672</v>
      </c>
      <c r="E1060" s="53" t="s">
        <v>144</v>
      </c>
      <c r="F1060" s="53" t="s">
        <v>145</v>
      </c>
      <c r="G1060" s="53" t="s">
        <v>146</v>
      </c>
      <c r="H1060" s="53">
        <v>1</v>
      </c>
      <c r="I1060" s="53" t="s">
        <v>176</v>
      </c>
      <c r="J1060" s="53">
        <v>0</v>
      </c>
      <c r="K1060" s="53">
        <v>1</v>
      </c>
      <c r="L1060" s="53">
        <v>7.7</v>
      </c>
      <c r="M1060" s="53" t="s">
        <v>711</v>
      </c>
      <c r="N1060" s="53">
        <v>9.1999999999999993</v>
      </c>
      <c r="O1060" s="51" t="str">
        <f>TEXT(tblWorkPackages[[#This Row],[Request date serial]]-WEEKDAY(tblWorkPackages[[#This Row],[Request date serial]],3),"yyyy-mm-dd")</f>
        <v>2025-06-09</v>
      </c>
      <c r="P1060" s="51">
        <f>ABS(tblWorkPackages[[#This Row],[Actual labor hours]]-tblWorkPackages[[#This Row],[Estimated labor hours]])</f>
        <v>1.5</v>
      </c>
      <c r="Q1060" s="51">
        <f>IF(tblWorkPackages[[#This Row],[Actual labor hours]]&gt;tblWorkPackages[[#This Row],[Estimated labor hours]],1,0)</f>
        <v>1</v>
      </c>
      <c r="R1060" s="51">
        <f>tblWorkPackages[[#This Row],[Actual labor hours]]-tblWorkPackages[[#This Row],[Estimated labor hours]]</f>
        <v>1.5</v>
      </c>
      <c r="S1060" s="51" t="str">
        <f>IF(tblWorkPackages[[#This Row],[Request date serial]]&lt;ValidationStart,"Train 2024",IF(tblWorkPackages[[#This Row],[Request date serial]]&lt;HoldoutStart,"Validation H1","Holdout H2"))</f>
        <v>Validation H1</v>
      </c>
      <c r="T1060" s="51">
        <f>IF(tblWorkPackages[[#This Row],[Time split]]="Train 2024","",tblWorkPackages[[#This Row],[Estimated labor hours]]+VLOOKUP(tblWorkPackages[[#This Row],[Task type]],'Forecast validation'!$A$14:$E$25,IF(tblWorkPackages[[#This Row],[Time split]]="Validation H1",4,5),FALSE()))</f>
        <v>8.45473684210526</v>
      </c>
      <c r="U1060" s="51">
        <f>IF(tblWorkPackages[[#This Row],[Calibrated forecast hours]]="","",ABS(tblWorkPackages[[#This Row],[Actual labor hours]]-tblWorkPackages[[#This Row],[Calibrated forecast hours]]))</f>
        <v>0.745263157894737</v>
      </c>
      <c r="V1060" s="51">
        <f>IF(tblWorkPackages[[#This Row],[Time split]]="Train 2024",tblWorkPackages[[#This Row],[Estimated labor hours]],tblWorkPackages[[#This Row],[Calibrated forecast hours]])</f>
        <v>8.45473684210526</v>
      </c>
      <c r="W1060" s="64">
        <f>DATEVALUE(tblWorkPackages[[#This Row],[Request date]])</f>
        <v>45820.0</v>
      </c>
      <c r="X1060" s="64">
        <f>DATEVALUE(tblWorkPackages[[#This Row],[Due date]])</f>
        <v>45826.0</v>
      </c>
      <c r="Y1060" s="64">
        <f>DATEVALUE(tblWorkPackages[[#This Row],[Completion date]])</f>
        <v>45827.0</v>
      </c>
      <c r="Z1060" s="64">
        <f>_xlfn.MINIFS(tblLaborEntries[Work date serial],tblLaborEntries[Work package ID],tblWorkPackages[[#This Row],[Work package ID]])</f>
        <v>45824.0</v>
      </c>
      <c r="AA1060" s="64">
        <f>_xlfn.MAXIFS(tblLaborEntries[Work date serial],tblLaborEntries[Work package ID],tblWorkPackages[[#This Row],[Work package ID]])</f>
        <v>45825.0</v>
      </c>
      <c r="AB1060" s="65">
        <f>IF(tblWorkPackages[[#This Row],[Completion date serial]]&gt;tblWorkPackages[[#This Row],[Due date serial]],1,0)</f>
        <v>1</v>
      </c>
      <c r="AC1060" s="65">
        <f>MAX(0,tblWorkPackages[[#This Row],[Completion date serial]]-tblWorkPackages[[#This Row],[Due date serial]])</f>
        <v>1</v>
      </c>
      <c r="AD1060" s="65">
        <f>tblWorkPackages[[#This Row],[First labor date]]-tblWorkPackages[[#This Row],[Request date serial]]</f>
        <v>4</v>
      </c>
      <c r="AE1060" s="65">
        <f>tblWorkPackages[[#This Row],[Last labor date]]-tblWorkPackages[[#This Row],[First labor date]]</f>
        <v>1</v>
      </c>
      <c r="AF1060" s="65">
        <f>tblWorkPackages[[#This Row],[Completion date serial]]-tblWorkPackages[[#This Row],[Last labor date]]</f>
        <v>2</v>
      </c>
      <c r="AG1060" s="65">
        <f>tblWorkPackages[[#This Row],[Completion date serial]]-tblWorkPackages[[#This Row],[Request date serial]]</f>
        <v>7</v>
      </c>
      <c r="AH1060" s="65">
        <f>IFERROR(INDEX(tblParts[Delay days],MATCH(tblWorkPackages[[#This Row],[Work package ID]],tblParts[Work package ID],0)),0)</f>
        <v>0</v>
      </c>
      <c r="AI1060" s="51" t="str">
        <f>IFERROR(INDEX(tblDisruptions[Event type],MATCH(tblWorkPackages[[#This Row],[Work package ID]],tblDisruptions[Work package ID],0)),"None")</f>
        <v>None</v>
      </c>
      <c r="AJ1060" s="51" t="str">
        <f>TEXT(tblWorkPackages[[#This Row],[Due date serial]],"yyyy-mm")</f>
        <v>2025-06</v>
      </c>
    </row>
    <row r="1061" spans="1:36" ht="15" x14ac:dyDescent="0.25">
      <c r="A1061" s="53" t="s">
        <v>1958</v>
      </c>
      <c r="B1061" s="53" t="s">
        <v>173</v>
      </c>
      <c r="C1061" s="53" t="s">
        <v>929</v>
      </c>
      <c r="D1061" s="53" t="s">
        <v>1540</v>
      </c>
      <c r="E1061" s="53" t="s">
        <v>237</v>
      </c>
      <c r="F1061" s="53" t="s">
        <v>182</v>
      </c>
      <c r="G1061" s="53" t="s">
        <v>138</v>
      </c>
      <c r="H1061" s="53">
        <v>1</v>
      </c>
      <c r="I1061" s="53" t="s">
        <v>130</v>
      </c>
      <c r="J1061" s="53">
        <v>1</v>
      </c>
      <c r="K1061" s="53">
        <v>1</v>
      </c>
      <c r="L1061" s="53">
        <v>3.5</v>
      </c>
      <c r="M1061" s="53" t="s">
        <v>1540</v>
      </c>
      <c r="N1061" s="53">
        <v>4.9000000000000004</v>
      </c>
      <c r="O1061" s="51" t="str">
        <f>TEXT(tblWorkPackages[[#This Row],[Request date serial]]-WEEKDAY(tblWorkPackages[[#This Row],[Request date serial]],3),"yyyy-mm-dd")</f>
        <v>2024-06-24</v>
      </c>
      <c r="P1061" s="51">
        <f>ABS(tblWorkPackages[[#This Row],[Actual labor hours]]-tblWorkPackages[[#This Row],[Estimated labor hours]])</f>
        <v>1.4</v>
      </c>
      <c r="Q1061" s="51">
        <f>IF(tblWorkPackages[[#This Row],[Actual labor hours]]&gt;tblWorkPackages[[#This Row],[Estimated labor hours]],1,0)</f>
        <v>1</v>
      </c>
      <c r="R1061" s="51">
        <f>tblWorkPackages[[#This Row],[Actual labor hours]]-tblWorkPackages[[#This Row],[Estimated labor hours]]</f>
        <v>1.4</v>
      </c>
      <c r="S1061" s="51" t="str">
        <f>IF(tblWorkPackages[[#This Row],[Request date serial]]&lt;ValidationStart,"Train 2024",IF(tblWorkPackages[[#This Row],[Request date serial]]&lt;HoldoutStart,"Validation H1","Holdout H2"))</f>
        <v>Train 2024</v>
      </c>
      <c r="T1061" s="51" t="str">
        <f>IF(tblWorkPackages[[#This Row],[Time split]]="Train 2024","",tblWorkPackages[[#This Row],[Estimated labor hours]]+VLOOKUP(tblWorkPackages[[#This Row],[Task type]],'Forecast validation'!$A$14:$E$25,IF(tblWorkPackages[[#This Row],[Time split]]="Validation H1",4,5),FALSE()))</f>
        <v/>
      </c>
      <c r="U1061" s="51" t="str">
        <f>IF(tblWorkPackages[[#This Row],[Calibrated forecast hours]]="","",ABS(tblWorkPackages[[#This Row],[Actual labor hours]]-tblWorkPackages[[#This Row],[Calibrated forecast hours]]))</f>
        <v/>
      </c>
      <c r="V1061" s="51">
        <f>IF(tblWorkPackages[[#This Row],[Time split]]="Train 2024",tblWorkPackages[[#This Row],[Estimated labor hours]],tblWorkPackages[[#This Row],[Calibrated forecast hours]])</f>
        <v>3.5</v>
      </c>
      <c r="W1061" s="64">
        <f>DATEVALUE(tblWorkPackages[[#This Row],[Request date]])</f>
        <v>45473.0</v>
      </c>
      <c r="X1061" s="64">
        <f>DATEVALUE(tblWorkPackages[[#This Row],[Due date]])</f>
        <v>45486.0</v>
      </c>
      <c r="Y1061" s="64">
        <f>DATEVALUE(tblWorkPackages[[#This Row],[Completion date]])</f>
        <v>45486.0</v>
      </c>
      <c r="Z1061" s="64">
        <f>_xlfn.MINIFS(tblLaborEntries[Work date serial],tblLaborEntries[Work package ID],tblWorkPackages[[#This Row],[Work package ID]])</f>
        <v>45481.0</v>
      </c>
      <c r="AA1061" s="64">
        <f>_xlfn.MAXIFS(tblLaborEntries[Work date serial],tblLaborEntries[Work package ID],tblWorkPackages[[#This Row],[Work package ID]])</f>
        <v>45483.0</v>
      </c>
      <c r="AB1061" s="65">
        <f>IF(tblWorkPackages[[#This Row],[Completion date serial]]&gt;tblWorkPackages[[#This Row],[Due date serial]],1,0)</f>
        <v>0</v>
      </c>
      <c r="AC1061" s="65">
        <f>MAX(0,tblWorkPackages[[#This Row],[Completion date serial]]-tblWorkPackages[[#This Row],[Due date serial]])</f>
        <v>0</v>
      </c>
      <c r="AD1061" s="65">
        <f>tblWorkPackages[[#This Row],[First labor date]]-tblWorkPackages[[#This Row],[Request date serial]]</f>
        <v>8</v>
      </c>
      <c r="AE1061" s="65">
        <f>tblWorkPackages[[#This Row],[Last labor date]]-tblWorkPackages[[#This Row],[First labor date]]</f>
        <v>2</v>
      </c>
      <c r="AF1061" s="65">
        <f>tblWorkPackages[[#This Row],[Completion date serial]]-tblWorkPackages[[#This Row],[Last labor date]]</f>
        <v>3</v>
      </c>
      <c r="AG1061" s="65">
        <f>tblWorkPackages[[#This Row],[Completion date serial]]-tblWorkPackages[[#This Row],[Request date serial]]</f>
        <v>13</v>
      </c>
      <c r="AH1061" s="65">
        <f>IFERROR(INDEX(tblParts[Delay days],MATCH(tblWorkPackages[[#This Row],[Work package ID]],tblParts[Work package ID],0)),0)</f>
        <v>7</v>
      </c>
      <c r="AI1061" s="51" t="str">
        <f>IFERROR(INDEX(tblDisruptions[Event type],MATCH(tblWorkPackages[[#This Row],[Work package ID]],tblDisruptions[Work package ID],0)),"None")</f>
        <v>Part delay</v>
      </c>
      <c r="AJ1061" s="51" t="str">
        <f>TEXT(tblWorkPackages[[#This Row],[Due date serial]],"yyyy-mm")</f>
        <v>2024-07</v>
      </c>
    </row>
    <row r="1062" spans="1:36" ht="15" x14ac:dyDescent="0.25">
      <c r="A1062" s="53" t="s">
        <v>1959</v>
      </c>
      <c r="B1062" s="53" t="s">
        <v>203</v>
      </c>
      <c r="C1062" s="53" t="s">
        <v>255</v>
      </c>
      <c r="D1062" s="53" t="s">
        <v>257</v>
      </c>
      <c r="E1062" s="53" t="s">
        <v>160</v>
      </c>
      <c r="F1062" s="53" t="s">
        <v>128</v>
      </c>
      <c r="G1062" s="53" t="s">
        <v>138</v>
      </c>
      <c r="H1062" s="53">
        <v>2</v>
      </c>
      <c r="I1062" s="53" t="s">
        <v>176</v>
      </c>
      <c r="J1062" s="53">
        <v>0</v>
      </c>
      <c r="K1062" s="53">
        <v>1</v>
      </c>
      <c r="L1062" s="53">
        <v>4</v>
      </c>
      <c r="M1062" s="53" t="s">
        <v>233</v>
      </c>
      <c r="N1062" s="53">
        <v>4.4000000000000004</v>
      </c>
      <c r="O1062" s="51" t="str">
        <f>TEXT(tblWorkPackages[[#This Row],[Request date serial]]-WEEKDAY(tblWorkPackages[[#This Row],[Request date serial]],3),"yyyy-mm-dd")</f>
        <v>2024-12-02</v>
      </c>
      <c r="P1062" s="51">
        <f>ABS(tblWorkPackages[[#This Row],[Actual labor hours]]-tblWorkPackages[[#This Row],[Estimated labor hours]])</f>
        <v>0.4</v>
      </c>
      <c r="Q1062" s="51">
        <f>IF(tblWorkPackages[[#This Row],[Actual labor hours]]&gt;tblWorkPackages[[#This Row],[Estimated labor hours]],1,0)</f>
        <v>1</v>
      </c>
      <c r="R1062" s="51">
        <f>tblWorkPackages[[#This Row],[Actual labor hours]]-tblWorkPackages[[#This Row],[Estimated labor hours]]</f>
        <v>0.4</v>
      </c>
      <c r="S1062" s="51" t="str">
        <f>IF(tblWorkPackages[[#This Row],[Request date serial]]&lt;ValidationStart,"Train 2024",IF(tblWorkPackages[[#This Row],[Request date serial]]&lt;HoldoutStart,"Validation H1","Holdout H2"))</f>
        <v>Train 2024</v>
      </c>
      <c r="T1062" s="51" t="str">
        <f>IF(tblWorkPackages[[#This Row],[Time split]]="Train 2024","",tblWorkPackages[[#This Row],[Estimated labor hours]]+VLOOKUP(tblWorkPackages[[#This Row],[Task type]],'Forecast validation'!$A$14:$E$25,IF(tblWorkPackages[[#This Row],[Time split]]="Validation H1",4,5),FALSE()))</f>
        <v/>
      </c>
      <c r="U1062" s="51" t="str">
        <f>IF(tblWorkPackages[[#This Row],[Calibrated forecast hours]]="","",ABS(tblWorkPackages[[#This Row],[Actual labor hours]]-tblWorkPackages[[#This Row],[Calibrated forecast hours]]))</f>
        <v/>
      </c>
      <c r="V1062" s="51">
        <f>IF(tblWorkPackages[[#This Row],[Time split]]="Train 2024",tblWorkPackages[[#This Row],[Estimated labor hours]],tblWorkPackages[[#This Row],[Calibrated forecast hours]])</f>
        <v>4</v>
      </c>
      <c r="W1062" s="64">
        <f>DATEVALUE(tblWorkPackages[[#This Row],[Request date]])</f>
        <v>45632.0</v>
      </c>
      <c r="X1062" s="64">
        <f>DATEVALUE(tblWorkPackages[[#This Row],[Due date]])</f>
        <v>45638.0</v>
      </c>
      <c r="Y1062" s="64">
        <f>DATEVALUE(tblWorkPackages[[#This Row],[Completion date]])</f>
        <v>45661.0</v>
      </c>
      <c r="Z1062" s="64">
        <f>_xlfn.MINIFS(tblLaborEntries[Work date serial],tblLaborEntries[Work package ID],tblWorkPackages[[#This Row],[Work package ID]])</f>
        <v>45659.0</v>
      </c>
      <c r="AA1062" s="64">
        <f>_xlfn.MAXIFS(tblLaborEntries[Work date serial],tblLaborEntries[Work package ID],tblWorkPackages[[#This Row],[Work package ID]])</f>
        <v>45661.0</v>
      </c>
      <c r="AB1062" s="65">
        <f>IF(tblWorkPackages[[#This Row],[Completion date serial]]&gt;tblWorkPackages[[#This Row],[Due date serial]],1,0)</f>
        <v>1</v>
      </c>
      <c r="AC1062" s="65">
        <f>MAX(0,tblWorkPackages[[#This Row],[Completion date serial]]-tblWorkPackages[[#This Row],[Due date serial]])</f>
        <v>23</v>
      </c>
      <c r="AD1062" s="65">
        <f>tblWorkPackages[[#This Row],[First labor date]]-tblWorkPackages[[#This Row],[Request date serial]]</f>
        <v>27</v>
      </c>
      <c r="AE1062" s="65">
        <f>tblWorkPackages[[#This Row],[Last labor date]]-tblWorkPackages[[#This Row],[First labor date]]</f>
        <v>2</v>
      </c>
      <c r="AF1062" s="65">
        <f>tblWorkPackages[[#This Row],[Completion date serial]]-tblWorkPackages[[#This Row],[Last labor date]]</f>
        <v>0</v>
      </c>
      <c r="AG1062" s="65">
        <f>tblWorkPackages[[#This Row],[Completion date serial]]-tblWorkPackages[[#This Row],[Request date serial]]</f>
        <v>29</v>
      </c>
      <c r="AH1062" s="65">
        <f>IFERROR(INDEX(tblParts[Delay days],MATCH(tblWorkPackages[[#This Row],[Work package ID]],tblParts[Work package ID],0)),0)</f>
        <v>14</v>
      </c>
      <c r="AI1062" s="51" t="str">
        <f>IFERROR(INDEX(tblDisruptions[Event type],MATCH(tblWorkPackages[[#This Row],[Work package ID]],tblDisruptions[Work package ID],0)),"None")</f>
        <v>Part delay</v>
      </c>
      <c r="AJ1062" s="51" t="str">
        <f>TEXT(tblWorkPackages[[#This Row],[Due date serial]],"yyyy-mm")</f>
        <v>2024-12</v>
      </c>
    </row>
    <row r="1063" spans="1:36" ht="15" x14ac:dyDescent="0.25">
      <c r="A1063" s="53" t="s">
        <v>1960</v>
      </c>
      <c r="B1063" s="53" t="s">
        <v>163</v>
      </c>
      <c r="C1063" s="53" t="s">
        <v>753</v>
      </c>
      <c r="D1063" s="53" t="s">
        <v>645</v>
      </c>
      <c r="E1063" s="53" t="s">
        <v>209</v>
      </c>
      <c r="F1063" s="53" t="s">
        <v>145</v>
      </c>
      <c r="G1063" s="53" t="s">
        <v>210</v>
      </c>
      <c r="H1063" s="53">
        <v>2</v>
      </c>
      <c r="I1063" s="53" t="s">
        <v>130</v>
      </c>
      <c r="J1063" s="53">
        <v>0</v>
      </c>
      <c r="K1063" s="53">
        <v>1</v>
      </c>
      <c r="L1063" s="53">
        <v>18</v>
      </c>
      <c r="M1063" s="53" t="s">
        <v>499</v>
      </c>
      <c r="N1063" s="53">
        <v>17.399999999999999</v>
      </c>
      <c r="O1063" s="51" t="str">
        <f>TEXT(tblWorkPackages[[#This Row],[Request date serial]]-WEEKDAY(tblWorkPackages[[#This Row],[Request date serial]],3),"yyyy-mm-dd")</f>
        <v>2025-11-24</v>
      </c>
      <c r="P1063" s="51">
        <f>ABS(tblWorkPackages[[#This Row],[Actual labor hours]]-tblWorkPackages[[#This Row],[Estimated labor hours]])</f>
        <v>0.600000000000001</v>
      </c>
      <c r="Q1063" s="51">
        <f>IF(tblWorkPackages[[#This Row],[Actual labor hours]]&gt;tblWorkPackages[[#This Row],[Estimated labor hours]],1,0)</f>
        <v>0</v>
      </c>
      <c r="R1063" s="51">
        <f>tblWorkPackages[[#This Row],[Actual labor hours]]-tblWorkPackages[[#This Row],[Estimated labor hours]]</f>
        <v>-0.600000000000001</v>
      </c>
      <c r="S1063" s="51" t="str">
        <f>IF(tblWorkPackages[[#This Row],[Request date serial]]&lt;ValidationStart,"Train 2024",IF(tblWorkPackages[[#This Row],[Request date serial]]&lt;HoldoutStart,"Validation H1","Holdout H2"))</f>
        <v>Holdout H2</v>
      </c>
      <c r="T1063" s="51">
        <f>IF(tblWorkPackages[[#This Row],[Time split]]="Train 2024","",tblWorkPackages[[#This Row],[Estimated labor hours]]+VLOOKUP(tblWorkPackages[[#This Row],[Task type]],'Forecast validation'!$A$14:$E$25,IF(tblWorkPackages[[#This Row],[Time split]]="Validation H1",4,5),FALSE()))</f>
        <v>19.795652173913</v>
      </c>
      <c r="U1063" s="51">
        <f>IF(tblWorkPackages[[#This Row],[Calibrated forecast hours]]="","",ABS(tblWorkPackages[[#This Row],[Actual labor hours]]-tblWorkPackages[[#This Row],[Calibrated forecast hours]]))</f>
        <v>2.39565217391305</v>
      </c>
      <c r="V1063" s="51">
        <f>IF(tblWorkPackages[[#This Row],[Time split]]="Train 2024",tblWorkPackages[[#This Row],[Estimated labor hours]],tblWorkPackages[[#This Row],[Calibrated forecast hours]])</f>
        <v>19.795652173913</v>
      </c>
      <c r="W1063" s="64">
        <f>DATEVALUE(tblWorkPackages[[#This Row],[Request date]])</f>
        <v>45989.0</v>
      </c>
      <c r="X1063" s="64">
        <f>DATEVALUE(tblWorkPackages[[#This Row],[Due date]])</f>
        <v>46002.0</v>
      </c>
      <c r="Y1063" s="64">
        <f>DATEVALUE(tblWorkPackages[[#This Row],[Completion date]])</f>
        <v>45995.0</v>
      </c>
      <c r="Z1063" s="64">
        <f>_xlfn.MINIFS(tblLaborEntries[Work date serial],tblLaborEntries[Work package ID],tblWorkPackages[[#This Row],[Work package ID]])</f>
        <v>45992.0</v>
      </c>
      <c r="AA1063" s="64">
        <f>_xlfn.MAXIFS(tblLaborEntries[Work date serial],tblLaborEntries[Work package ID],tblWorkPackages[[#This Row],[Work package ID]])</f>
        <v>45994.0</v>
      </c>
      <c r="AB1063" s="65">
        <f>IF(tblWorkPackages[[#This Row],[Completion date serial]]&gt;tblWorkPackages[[#This Row],[Due date serial]],1,0)</f>
        <v>0</v>
      </c>
      <c r="AC1063" s="65">
        <f>MAX(0,tblWorkPackages[[#This Row],[Completion date serial]]-tblWorkPackages[[#This Row],[Due date serial]])</f>
        <v>0</v>
      </c>
      <c r="AD1063" s="65">
        <f>tblWorkPackages[[#This Row],[First labor date]]-tblWorkPackages[[#This Row],[Request date serial]]</f>
        <v>3</v>
      </c>
      <c r="AE1063" s="65">
        <f>tblWorkPackages[[#This Row],[Last labor date]]-tblWorkPackages[[#This Row],[First labor date]]</f>
        <v>2</v>
      </c>
      <c r="AF1063" s="65">
        <f>tblWorkPackages[[#This Row],[Completion date serial]]-tblWorkPackages[[#This Row],[Last labor date]]</f>
        <v>1</v>
      </c>
      <c r="AG1063" s="65">
        <f>tblWorkPackages[[#This Row],[Completion date serial]]-tblWorkPackages[[#This Row],[Request date serial]]</f>
        <v>6</v>
      </c>
      <c r="AH1063" s="65">
        <f>IFERROR(INDEX(tblParts[Delay days],MATCH(tblWorkPackages[[#This Row],[Work package ID]],tblParts[Work package ID],0)),0)</f>
        <v>0</v>
      </c>
      <c r="AI1063" s="51" t="str">
        <f>IFERROR(INDEX(tblDisruptions[Event type],MATCH(tblWorkPackages[[#This Row],[Work package ID]],tblDisruptions[Work package ID],0)),"None")</f>
        <v>None</v>
      </c>
      <c r="AJ1063" s="51" t="str">
        <f>TEXT(tblWorkPackages[[#This Row],[Due date serial]],"yyyy-mm")</f>
        <v>2025-12</v>
      </c>
    </row>
    <row r="1064" spans="1:36" ht="15" x14ac:dyDescent="0.25">
      <c r="A1064" s="53" t="s">
        <v>1961</v>
      </c>
      <c r="B1064" s="53" t="s">
        <v>235</v>
      </c>
      <c r="C1064" s="53" t="s">
        <v>832</v>
      </c>
      <c r="D1064" s="53" t="s">
        <v>1103</v>
      </c>
      <c r="E1064" s="53" t="s">
        <v>237</v>
      </c>
      <c r="F1064" s="53" t="s">
        <v>182</v>
      </c>
      <c r="G1064" s="53" t="s">
        <v>138</v>
      </c>
      <c r="H1064" s="53">
        <v>3</v>
      </c>
      <c r="I1064" s="53" t="s">
        <v>176</v>
      </c>
      <c r="J1064" s="53">
        <v>1</v>
      </c>
      <c r="K1064" s="53">
        <v>0</v>
      </c>
      <c r="L1064" s="53">
        <v>6.3</v>
      </c>
      <c r="M1064" s="53" t="s">
        <v>856</v>
      </c>
      <c r="N1064" s="53">
        <v>8.6</v>
      </c>
      <c r="O1064" s="51" t="str">
        <f>TEXT(tblWorkPackages[[#This Row],[Request date serial]]-WEEKDAY(tblWorkPackages[[#This Row],[Request date serial]],3),"yyyy-mm-dd")</f>
        <v>2025-10-27</v>
      </c>
      <c r="P1064" s="51">
        <f>ABS(tblWorkPackages[[#This Row],[Actual labor hours]]-tblWorkPackages[[#This Row],[Estimated labor hours]])</f>
        <v>2.3</v>
      </c>
      <c r="Q1064" s="51">
        <f>IF(tblWorkPackages[[#This Row],[Actual labor hours]]&gt;tblWorkPackages[[#This Row],[Estimated labor hours]],1,0)</f>
        <v>1</v>
      </c>
      <c r="R1064" s="51">
        <f>tblWorkPackages[[#This Row],[Actual labor hours]]-tblWorkPackages[[#This Row],[Estimated labor hours]]</f>
        <v>2.3</v>
      </c>
      <c r="S1064" s="51" t="str">
        <f>IF(tblWorkPackages[[#This Row],[Request date serial]]&lt;ValidationStart,"Train 2024",IF(tblWorkPackages[[#This Row],[Request date serial]]&lt;HoldoutStart,"Validation H1","Holdout H2"))</f>
        <v>Holdout H2</v>
      </c>
      <c r="T1064" s="51">
        <f>IF(tblWorkPackages[[#This Row],[Time split]]="Train 2024","",tblWorkPackages[[#This Row],[Estimated labor hours]]+VLOOKUP(tblWorkPackages[[#This Row],[Task type]],'Forecast validation'!$A$14:$E$25,IF(tblWorkPackages[[#This Row],[Time split]]="Validation H1",4,5),FALSE()))</f>
        <v>6.753125</v>
      </c>
      <c r="U1064" s="51">
        <f>IF(tblWorkPackages[[#This Row],[Calibrated forecast hours]]="","",ABS(tblWorkPackages[[#This Row],[Actual labor hours]]-tblWorkPackages[[#This Row],[Calibrated forecast hours]]))</f>
        <v>1.846875</v>
      </c>
      <c r="V1064" s="51">
        <f>IF(tblWorkPackages[[#This Row],[Time split]]="Train 2024",tblWorkPackages[[#This Row],[Estimated labor hours]],tblWorkPackages[[#This Row],[Calibrated forecast hours]])</f>
        <v>6.753125</v>
      </c>
      <c r="W1064" s="64">
        <f>DATEVALUE(tblWorkPackages[[#This Row],[Request date]])</f>
        <v>45963.0</v>
      </c>
      <c r="X1064" s="64">
        <f>DATEVALUE(tblWorkPackages[[#This Row],[Due date]])</f>
        <v>45969.0</v>
      </c>
      <c r="Y1064" s="64">
        <f>DATEVALUE(tblWorkPackages[[#This Row],[Completion date]])</f>
        <v>46014.0</v>
      </c>
      <c r="Z1064" s="64">
        <f>_xlfn.MINIFS(tblLaborEntries[Work date serial],tblLaborEntries[Work package ID],tblWorkPackages[[#This Row],[Work package ID]])</f>
        <v>46010.0</v>
      </c>
      <c r="AA1064" s="64">
        <f>_xlfn.MAXIFS(tblLaborEntries[Work date serial],tblLaborEntries[Work package ID],tblWorkPackages[[#This Row],[Work package ID]])</f>
        <v>46012.0</v>
      </c>
      <c r="AB1064" s="65">
        <f>IF(tblWorkPackages[[#This Row],[Completion date serial]]&gt;tblWorkPackages[[#This Row],[Due date serial]],1,0)</f>
        <v>1</v>
      </c>
      <c r="AC1064" s="65">
        <f>MAX(0,tblWorkPackages[[#This Row],[Completion date serial]]-tblWorkPackages[[#This Row],[Due date serial]])</f>
        <v>45</v>
      </c>
      <c r="AD1064" s="65">
        <f>tblWorkPackages[[#This Row],[First labor date]]-tblWorkPackages[[#This Row],[Request date serial]]</f>
        <v>47</v>
      </c>
      <c r="AE1064" s="65">
        <f>tblWorkPackages[[#This Row],[Last labor date]]-tblWorkPackages[[#This Row],[First labor date]]</f>
        <v>2</v>
      </c>
      <c r="AF1064" s="65">
        <f>tblWorkPackages[[#This Row],[Completion date serial]]-tblWorkPackages[[#This Row],[Last labor date]]</f>
        <v>2</v>
      </c>
      <c r="AG1064" s="65">
        <f>tblWorkPackages[[#This Row],[Completion date serial]]-tblWorkPackages[[#This Row],[Request date serial]]</f>
        <v>51</v>
      </c>
      <c r="AH1064" s="65">
        <f>IFERROR(INDEX(tblParts[Delay days],MATCH(tblWorkPackages[[#This Row],[Work package ID]],tblParts[Work package ID],0)),0)</f>
        <v>0</v>
      </c>
      <c r="AI1064" s="51" t="str">
        <f>IFERROR(INDEX(tblDisruptions[Event type],MATCH(tblWorkPackages[[#This Row],[Work package ID]],tblDisruptions[Work package ID],0)),"None")</f>
        <v>None</v>
      </c>
      <c r="AJ1064" s="51" t="str">
        <f>TEXT(tblWorkPackages[[#This Row],[Due date serial]],"yyyy-mm")</f>
        <v>2025-11</v>
      </c>
    </row>
    <row r="1065" spans="1:36" ht="15" x14ac:dyDescent="0.25">
      <c r="A1065" s="53" t="s">
        <v>1962</v>
      </c>
      <c r="B1065" s="53" t="s">
        <v>163</v>
      </c>
      <c r="C1065" s="53" t="s">
        <v>1320</v>
      </c>
      <c r="D1065" s="53" t="s">
        <v>1041</v>
      </c>
      <c r="E1065" s="53" t="s">
        <v>144</v>
      </c>
      <c r="F1065" s="53" t="s">
        <v>145</v>
      </c>
      <c r="G1065" s="53" t="s">
        <v>146</v>
      </c>
      <c r="H1065" s="53">
        <v>3</v>
      </c>
      <c r="I1065" s="53" t="s">
        <v>130</v>
      </c>
      <c r="J1065" s="53">
        <v>1</v>
      </c>
      <c r="K1065" s="53">
        <v>1</v>
      </c>
      <c r="L1065" s="53">
        <v>13.7</v>
      </c>
      <c r="M1065" s="53" t="s">
        <v>391</v>
      </c>
      <c r="N1065" s="53">
        <v>13.1</v>
      </c>
      <c r="O1065" s="51" t="str">
        <f>TEXT(tblWorkPackages[[#This Row],[Request date serial]]-WEEKDAY(tblWorkPackages[[#This Row],[Request date serial]],3),"yyyy-mm-dd")</f>
        <v>2024-07-22</v>
      </c>
      <c r="P1065" s="51">
        <f>ABS(tblWorkPackages[[#This Row],[Actual labor hours]]-tblWorkPackages[[#This Row],[Estimated labor hours]])</f>
        <v>0.6</v>
      </c>
      <c r="Q1065" s="51">
        <f>IF(tblWorkPackages[[#This Row],[Actual labor hours]]&gt;tblWorkPackages[[#This Row],[Estimated labor hours]],1,0)</f>
        <v>0</v>
      </c>
      <c r="R1065" s="51">
        <f>tblWorkPackages[[#This Row],[Actual labor hours]]-tblWorkPackages[[#This Row],[Estimated labor hours]]</f>
        <v>-0.6</v>
      </c>
      <c r="S1065" s="51" t="str">
        <f>IF(tblWorkPackages[[#This Row],[Request date serial]]&lt;ValidationStart,"Train 2024",IF(tblWorkPackages[[#This Row],[Request date serial]]&lt;HoldoutStart,"Validation H1","Holdout H2"))</f>
        <v>Train 2024</v>
      </c>
      <c r="T1065" s="51" t="str">
        <f>IF(tblWorkPackages[[#This Row],[Time split]]="Train 2024","",tblWorkPackages[[#This Row],[Estimated labor hours]]+VLOOKUP(tblWorkPackages[[#This Row],[Task type]],'Forecast validation'!$A$14:$E$25,IF(tblWorkPackages[[#This Row],[Time split]]="Validation H1",4,5),FALSE()))</f>
        <v/>
      </c>
      <c r="U1065" s="51" t="str">
        <f>IF(tblWorkPackages[[#This Row],[Calibrated forecast hours]]="","",ABS(tblWorkPackages[[#This Row],[Actual labor hours]]-tblWorkPackages[[#This Row],[Calibrated forecast hours]]))</f>
        <v/>
      </c>
      <c r="V1065" s="51">
        <f>IF(tblWorkPackages[[#This Row],[Time split]]="Train 2024",tblWorkPackages[[#This Row],[Estimated labor hours]],tblWorkPackages[[#This Row],[Calibrated forecast hours]])</f>
        <v>13.7</v>
      </c>
      <c r="W1065" s="64">
        <f>DATEVALUE(tblWorkPackages[[#This Row],[Request date]])</f>
        <v>45499.0</v>
      </c>
      <c r="X1065" s="64">
        <f>DATEVALUE(tblWorkPackages[[#This Row],[Due date]])</f>
        <v>45512.0</v>
      </c>
      <c r="Y1065" s="64">
        <f>DATEVALUE(tblWorkPackages[[#This Row],[Completion date]])</f>
        <v>45510.0</v>
      </c>
      <c r="Z1065" s="64">
        <f>_xlfn.MINIFS(tblLaborEntries[Work date serial],tblLaborEntries[Work package ID],tblWorkPackages[[#This Row],[Work package ID]])</f>
        <v>45507.0</v>
      </c>
      <c r="AA1065" s="64">
        <f>_xlfn.MAXIFS(tblLaborEntries[Work date serial],tblLaborEntries[Work package ID],tblWorkPackages[[#This Row],[Work package ID]])</f>
        <v>45507.0</v>
      </c>
      <c r="AB1065" s="65">
        <f>IF(tblWorkPackages[[#This Row],[Completion date serial]]&gt;tblWorkPackages[[#This Row],[Due date serial]],1,0)</f>
        <v>0</v>
      </c>
      <c r="AC1065" s="65">
        <f>MAX(0,tblWorkPackages[[#This Row],[Completion date serial]]-tblWorkPackages[[#This Row],[Due date serial]])</f>
        <v>0</v>
      </c>
      <c r="AD1065" s="65">
        <f>tblWorkPackages[[#This Row],[First labor date]]-tblWorkPackages[[#This Row],[Request date serial]]</f>
        <v>8</v>
      </c>
      <c r="AE1065" s="65">
        <f>tblWorkPackages[[#This Row],[Last labor date]]-tblWorkPackages[[#This Row],[First labor date]]</f>
        <v>0</v>
      </c>
      <c r="AF1065" s="65">
        <f>tblWorkPackages[[#This Row],[Completion date serial]]-tblWorkPackages[[#This Row],[Last labor date]]</f>
        <v>3</v>
      </c>
      <c r="AG1065" s="65">
        <f>tblWorkPackages[[#This Row],[Completion date serial]]-tblWorkPackages[[#This Row],[Request date serial]]</f>
        <v>11</v>
      </c>
      <c r="AH1065" s="65">
        <f>IFERROR(INDEX(tblParts[Delay days],MATCH(tblWorkPackages[[#This Row],[Work package ID]],tblParts[Work package ID],0)),0)</f>
        <v>0</v>
      </c>
      <c r="AI1065" s="51" t="str">
        <f>IFERROR(INDEX(tblDisruptions[Event type],MATCH(tblWorkPackages[[#This Row],[Work package ID]],tblDisruptions[Work package ID],0)),"None")</f>
        <v>None</v>
      </c>
      <c r="AJ1065" s="51" t="str">
        <f>TEXT(tblWorkPackages[[#This Row],[Due date serial]],"yyyy-mm")</f>
        <v>2024-08</v>
      </c>
    </row>
    <row r="1066" spans="1:36" ht="15" x14ac:dyDescent="0.25">
      <c r="A1066" s="53" t="s">
        <v>1963</v>
      </c>
      <c r="B1066" s="53" t="s">
        <v>150</v>
      </c>
      <c r="C1066" s="53" t="s">
        <v>1964</v>
      </c>
      <c r="D1066" s="53" t="s">
        <v>1965</v>
      </c>
      <c r="E1066" s="53" t="s">
        <v>272</v>
      </c>
      <c r="F1066" s="53" t="s">
        <v>145</v>
      </c>
      <c r="G1066" s="53" t="s">
        <v>273</v>
      </c>
      <c r="H1066" s="53">
        <v>2</v>
      </c>
      <c r="I1066" s="53" t="s">
        <v>176</v>
      </c>
      <c r="J1066" s="53">
        <v>1</v>
      </c>
      <c r="K1066" s="53">
        <v>0</v>
      </c>
      <c r="L1066" s="53">
        <v>12</v>
      </c>
      <c r="M1066" s="53" t="s">
        <v>1966</v>
      </c>
      <c r="N1066" s="53">
        <v>14.9</v>
      </c>
      <c r="O1066" s="51" t="str">
        <f>TEXT(tblWorkPackages[[#This Row],[Request date serial]]-WEEKDAY(tblWorkPackages[[#This Row],[Request date serial]],3),"yyyy-mm-dd")</f>
        <v>2024-01-01</v>
      </c>
      <c r="P1066" s="51">
        <f>ABS(tblWorkPackages[[#This Row],[Actual labor hours]]-tblWorkPackages[[#This Row],[Estimated labor hours]])</f>
        <v>2.9</v>
      </c>
      <c r="Q1066" s="51">
        <f>IF(tblWorkPackages[[#This Row],[Actual labor hours]]&gt;tblWorkPackages[[#This Row],[Estimated labor hours]],1,0)</f>
        <v>1</v>
      </c>
      <c r="R1066" s="51">
        <f>tblWorkPackages[[#This Row],[Actual labor hours]]-tblWorkPackages[[#This Row],[Estimated labor hours]]</f>
        <v>2.9</v>
      </c>
      <c r="S1066" s="51" t="str">
        <f>IF(tblWorkPackages[[#This Row],[Request date serial]]&lt;ValidationStart,"Train 2024",IF(tblWorkPackages[[#This Row],[Request date serial]]&lt;HoldoutStart,"Validation H1","Holdout H2"))</f>
        <v>Train 2024</v>
      </c>
      <c r="T1066" s="51" t="str">
        <f>IF(tblWorkPackages[[#This Row],[Time split]]="Train 2024","",tblWorkPackages[[#This Row],[Estimated labor hours]]+VLOOKUP(tblWorkPackages[[#This Row],[Task type]],'Forecast validation'!$A$14:$E$25,IF(tblWorkPackages[[#This Row],[Time split]]="Validation H1",4,5),FALSE()))</f>
        <v/>
      </c>
      <c r="U1066" s="51" t="str">
        <f>IF(tblWorkPackages[[#This Row],[Calibrated forecast hours]]="","",ABS(tblWorkPackages[[#This Row],[Actual labor hours]]-tblWorkPackages[[#This Row],[Calibrated forecast hours]]))</f>
        <v/>
      </c>
      <c r="V1066" s="51">
        <f>IF(tblWorkPackages[[#This Row],[Time split]]="Train 2024",tblWorkPackages[[#This Row],[Estimated labor hours]],tblWorkPackages[[#This Row],[Calibrated forecast hours]])</f>
        <v>12</v>
      </c>
      <c r="W1066" s="64">
        <f>DATEVALUE(tblWorkPackages[[#This Row],[Request date]])</f>
        <v>45298.0</v>
      </c>
      <c r="X1066" s="64">
        <f>DATEVALUE(tblWorkPackages[[#This Row],[Due date]])</f>
        <v>45304.0</v>
      </c>
      <c r="Y1066" s="64">
        <f>DATEVALUE(tblWorkPackages[[#This Row],[Completion date]])</f>
        <v>45300.0</v>
      </c>
      <c r="Z1066" s="64">
        <f>_xlfn.MINIFS(tblLaborEntries[Work date serial],tblLaborEntries[Work package ID],tblWorkPackages[[#This Row],[Work package ID]])</f>
        <v>45300.0</v>
      </c>
      <c r="AA1066" s="64">
        <f>_xlfn.MAXIFS(tblLaborEntries[Work date serial],tblLaborEntries[Work package ID],tblWorkPackages[[#This Row],[Work package ID]])</f>
        <v>45300.0</v>
      </c>
      <c r="AB1066" s="65">
        <f>IF(tblWorkPackages[[#This Row],[Completion date serial]]&gt;tblWorkPackages[[#This Row],[Due date serial]],1,0)</f>
        <v>0</v>
      </c>
      <c r="AC1066" s="65">
        <f>MAX(0,tblWorkPackages[[#This Row],[Completion date serial]]-tblWorkPackages[[#This Row],[Due date serial]])</f>
        <v>0</v>
      </c>
      <c r="AD1066" s="65">
        <f>tblWorkPackages[[#This Row],[First labor date]]-tblWorkPackages[[#This Row],[Request date serial]]</f>
        <v>2</v>
      </c>
      <c r="AE1066" s="65">
        <f>tblWorkPackages[[#This Row],[Last labor date]]-tblWorkPackages[[#This Row],[First labor date]]</f>
        <v>0</v>
      </c>
      <c r="AF1066" s="65">
        <f>tblWorkPackages[[#This Row],[Completion date serial]]-tblWorkPackages[[#This Row],[Last labor date]]</f>
        <v>0</v>
      </c>
      <c r="AG1066" s="65">
        <f>tblWorkPackages[[#This Row],[Completion date serial]]-tblWorkPackages[[#This Row],[Request date serial]]</f>
        <v>2</v>
      </c>
      <c r="AH1066" s="65">
        <f>IFERROR(INDEX(tblParts[Delay days],MATCH(tblWorkPackages[[#This Row],[Work package ID]],tblParts[Work package ID],0)),0)</f>
        <v>0</v>
      </c>
      <c r="AI1066" s="51" t="str">
        <f>IFERROR(INDEX(tblDisruptions[Event type],MATCH(tblWorkPackages[[#This Row],[Work package ID]],tblDisruptions[Work package ID],0)),"None")</f>
        <v>None</v>
      </c>
      <c r="AJ1066" s="51" t="str">
        <f>TEXT(tblWorkPackages[[#This Row],[Due date serial]],"yyyy-mm")</f>
        <v>2024-01</v>
      </c>
    </row>
    <row r="1067" spans="1:36" ht="15" x14ac:dyDescent="0.25">
      <c r="A1067" s="53" t="s">
        <v>1967</v>
      </c>
      <c r="B1067" s="53" t="s">
        <v>150</v>
      </c>
      <c r="C1067" s="53" t="s">
        <v>446</v>
      </c>
      <c r="D1067" s="53" t="s">
        <v>589</v>
      </c>
      <c r="E1067" s="53" t="s">
        <v>127</v>
      </c>
      <c r="F1067" s="53" t="s">
        <v>128</v>
      </c>
      <c r="G1067" s="53" t="s">
        <v>129</v>
      </c>
      <c r="H1067" s="53">
        <v>1</v>
      </c>
      <c r="I1067" s="53" t="s">
        <v>147</v>
      </c>
      <c r="J1067" s="53">
        <v>1</v>
      </c>
      <c r="K1067" s="53">
        <v>0</v>
      </c>
      <c r="L1067" s="53">
        <v>5.5</v>
      </c>
      <c r="M1067" s="53" t="s">
        <v>592</v>
      </c>
      <c r="N1067" s="53">
        <v>8.5</v>
      </c>
      <c r="O1067" s="51" t="str">
        <f>TEXT(tblWorkPackages[[#This Row],[Request date serial]]-WEEKDAY(tblWorkPackages[[#This Row],[Request date serial]],3),"yyyy-mm-dd")</f>
        <v>2025-03-17</v>
      </c>
      <c r="P1067" s="51">
        <f>ABS(tblWorkPackages[[#This Row],[Actual labor hours]]-tblWorkPackages[[#This Row],[Estimated labor hours]])</f>
        <v>3</v>
      </c>
      <c r="Q1067" s="51">
        <f>IF(tblWorkPackages[[#This Row],[Actual labor hours]]&gt;tblWorkPackages[[#This Row],[Estimated labor hours]],1,0)</f>
        <v>1</v>
      </c>
      <c r="R1067" s="51">
        <f>tblWorkPackages[[#This Row],[Actual labor hours]]-tblWorkPackages[[#This Row],[Estimated labor hours]]</f>
        <v>3</v>
      </c>
      <c r="S1067" s="51" t="str">
        <f>IF(tblWorkPackages[[#This Row],[Request date serial]]&lt;ValidationStart,"Train 2024",IF(tblWorkPackages[[#This Row],[Request date serial]]&lt;HoldoutStart,"Validation H1","Holdout H2"))</f>
        <v>Validation H1</v>
      </c>
      <c r="T1067" s="51">
        <f>IF(tblWorkPackages[[#This Row],[Time split]]="Train 2024","",tblWorkPackages[[#This Row],[Estimated labor hours]]+VLOOKUP(tblWorkPackages[[#This Row],[Task type]],'Forecast validation'!$A$14:$E$25,IF(tblWorkPackages[[#This Row],[Time split]]="Validation H1",4,5),FALSE()))</f>
        <v>5.97564102564103</v>
      </c>
      <c r="U1067" s="51">
        <f>IF(tblWorkPackages[[#This Row],[Calibrated forecast hours]]="","",ABS(tblWorkPackages[[#This Row],[Actual labor hours]]-tblWorkPackages[[#This Row],[Calibrated forecast hours]]))</f>
        <v>2.52435897435897</v>
      </c>
      <c r="V1067" s="51">
        <f>IF(tblWorkPackages[[#This Row],[Time split]]="Train 2024",tblWorkPackages[[#This Row],[Estimated labor hours]],tblWorkPackages[[#This Row],[Calibrated forecast hours]])</f>
        <v>5.97564102564103</v>
      </c>
      <c r="W1067" s="64">
        <f>DATEVALUE(tblWorkPackages[[#This Row],[Request date]])</f>
        <v>45737.0</v>
      </c>
      <c r="X1067" s="64">
        <f>DATEVALUE(tblWorkPackages[[#This Row],[Due date]])</f>
        <v>45739.0</v>
      </c>
      <c r="Y1067" s="64">
        <f>DATEVALUE(tblWorkPackages[[#This Row],[Completion date]])</f>
        <v>45757.0</v>
      </c>
      <c r="Z1067" s="64">
        <f>_xlfn.MINIFS(tblLaborEntries[Work date serial],tblLaborEntries[Work package ID],tblWorkPackages[[#This Row],[Work package ID]])</f>
        <v>45756.0</v>
      </c>
      <c r="AA1067" s="64">
        <f>_xlfn.MAXIFS(tblLaborEntries[Work date serial],tblLaborEntries[Work package ID],tblWorkPackages[[#This Row],[Work package ID]])</f>
        <v>45756.0</v>
      </c>
      <c r="AB1067" s="65">
        <f>IF(tblWorkPackages[[#This Row],[Completion date serial]]&gt;tblWorkPackages[[#This Row],[Due date serial]],1,0)</f>
        <v>1</v>
      </c>
      <c r="AC1067" s="65">
        <f>MAX(0,tblWorkPackages[[#This Row],[Completion date serial]]-tblWorkPackages[[#This Row],[Due date serial]])</f>
        <v>18</v>
      </c>
      <c r="AD1067" s="65">
        <f>tblWorkPackages[[#This Row],[First labor date]]-tblWorkPackages[[#This Row],[Request date serial]]</f>
        <v>19</v>
      </c>
      <c r="AE1067" s="65">
        <f>tblWorkPackages[[#This Row],[Last labor date]]-tblWorkPackages[[#This Row],[First labor date]]</f>
        <v>0</v>
      </c>
      <c r="AF1067" s="65">
        <f>tblWorkPackages[[#This Row],[Completion date serial]]-tblWorkPackages[[#This Row],[Last labor date]]</f>
        <v>1</v>
      </c>
      <c r="AG1067" s="65">
        <f>tblWorkPackages[[#This Row],[Completion date serial]]-tblWorkPackages[[#This Row],[Request date serial]]</f>
        <v>20</v>
      </c>
      <c r="AH1067" s="65">
        <f>IFERROR(INDEX(tblParts[Delay days],MATCH(tblWorkPackages[[#This Row],[Work package ID]],tblParts[Work package ID],0)),0)</f>
        <v>0</v>
      </c>
      <c r="AI1067" s="51" t="str">
        <f>IFERROR(INDEX(tblDisruptions[Event type],MATCH(tblWorkPackages[[#This Row],[Work package ID]],tblDisruptions[Work package ID],0)),"None")</f>
        <v>None</v>
      </c>
      <c r="AJ1067" s="51" t="str">
        <f>TEXT(tblWorkPackages[[#This Row],[Due date serial]],"yyyy-mm")</f>
        <v>2025-03</v>
      </c>
    </row>
    <row r="1068" spans="1:36" ht="15" x14ac:dyDescent="0.25">
      <c r="A1068" s="53" t="s">
        <v>1968</v>
      </c>
      <c r="B1068" s="53" t="s">
        <v>287</v>
      </c>
      <c r="C1068" s="53" t="s">
        <v>386</v>
      </c>
      <c r="D1068" s="53" t="s">
        <v>387</v>
      </c>
      <c r="E1068" s="53" t="s">
        <v>272</v>
      </c>
      <c r="F1068" s="53" t="s">
        <v>145</v>
      </c>
      <c r="G1068" s="53" t="s">
        <v>273</v>
      </c>
      <c r="H1068" s="53">
        <v>2</v>
      </c>
      <c r="I1068" s="53" t="s">
        <v>130</v>
      </c>
      <c r="J1068" s="53">
        <v>0</v>
      </c>
      <c r="K1068" s="53">
        <v>1</v>
      </c>
      <c r="L1068" s="53">
        <v>11</v>
      </c>
      <c r="M1068" s="53" t="s">
        <v>1439</v>
      </c>
      <c r="N1068" s="53">
        <v>11</v>
      </c>
      <c r="O1068" s="51" t="str">
        <f>TEXT(tblWorkPackages[[#This Row],[Request date serial]]-WEEKDAY(tblWorkPackages[[#This Row],[Request date serial]],3),"yyyy-mm-dd")</f>
        <v>2024-08-26</v>
      </c>
      <c r="P1068" s="51">
        <f>ABS(tblWorkPackages[[#This Row],[Actual labor hours]]-tblWorkPackages[[#This Row],[Estimated labor hours]])</f>
        <v>0</v>
      </c>
      <c r="Q1068" s="51">
        <f>IF(tblWorkPackages[[#This Row],[Actual labor hours]]&gt;tblWorkPackages[[#This Row],[Estimated labor hours]],1,0)</f>
        <v>0</v>
      </c>
      <c r="R1068" s="51">
        <f>tblWorkPackages[[#This Row],[Actual labor hours]]-tblWorkPackages[[#This Row],[Estimated labor hours]]</f>
        <v>0</v>
      </c>
      <c r="S1068" s="51" t="str">
        <f>IF(tblWorkPackages[[#This Row],[Request date serial]]&lt;ValidationStart,"Train 2024",IF(tblWorkPackages[[#This Row],[Request date serial]]&lt;HoldoutStart,"Validation H1","Holdout H2"))</f>
        <v>Train 2024</v>
      </c>
      <c r="T1068" s="51" t="str">
        <f>IF(tblWorkPackages[[#This Row],[Time split]]="Train 2024","",tblWorkPackages[[#This Row],[Estimated labor hours]]+VLOOKUP(tblWorkPackages[[#This Row],[Task type]],'Forecast validation'!$A$14:$E$25,IF(tblWorkPackages[[#This Row],[Time split]]="Validation H1",4,5),FALSE()))</f>
        <v/>
      </c>
      <c r="U1068" s="51" t="str">
        <f>IF(tblWorkPackages[[#This Row],[Calibrated forecast hours]]="","",ABS(tblWorkPackages[[#This Row],[Actual labor hours]]-tblWorkPackages[[#This Row],[Calibrated forecast hours]]))</f>
        <v/>
      </c>
      <c r="V1068" s="51">
        <f>IF(tblWorkPackages[[#This Row],[Time split]]="Train 2024",tblWorkPackages[[#This Row],[Estimated labor hours]],tblWorkPackages[[#This Row],[Calibrated forecast hours]])</f>
        <v>11</v>
      </c>
      <c r="W1068" s="64">
        <f>DATEVALUE(tblWorkPackages[[#This Row],[Request date]])</f>
        <v>45533.0</v>
      </c>
      <c r="X1068" s="64">
        <f>DATEVALUE(tblWorkPackages[[#This Row],[Due date]])</f>
        <v>45546.0</v>
      </c>
      <c r="Y1068" s="64">
        <f>DATEVALUE(tblWorkPackages[[#This Row],[Completion date]])</f>
        <v>45540.0</v>
      </c>
      <c r="Z1068" s="64">
        <f>_xlfn.MINIFS(tblLaborEntries[Work date serial],tblLaborEntries[Work package ID],tblWorkPackages[[#This Row],[Work package ID]])</f>
        <v>45537.0</v>
      </c>
      <c r="AA1068" s="64">
        <f>_xlfn.MAXIFS(tblLaborEntries[Work date serial],tblLaborEntries[Work package ID],tblWorkPackages[[#This Row],[Work package ID]])</f>
        <v>45538.0</v>
      </c>
      <c r="AB1068" s="65">
        <f>IF(tblWorkPackages[[#This Row],[Completion date serial]]&gt;tblWorkPackages[[#This Row],[Due date serial]],1,0)</f>
        <v>0</v>
      </c>
      <c r="AC1068" s="65">
        <f>MAX(0,tblWorkPackages[[#This Row],[Completion date serial]]-tblWorkPackages[[#This Row],[Due date serial]])</f>
        <v>0</v>
      </c>
      <c r="AD1068" s="65">
        <f>tblWorkPackages[[#This Row],[First labor date]]-tblWorkPackages[[#This Row],[Request date serial]]</f>
        <v>4</v>
      </c>
      <c r="AE1068" s="65">
        <f>tblWorkPackages[[#This Row],[Last labor date]]-tblWorkPackages[[#This Row],[First labor date]]</f>
        <v>1</v>
      </c>
      <c r="AF1068" s="65">
        <f>tblWorkPackages[[#This Row],[Completion date serial]]-tblWorkPackages[[#This Row],[Last labor date]]</f>
        <v>2</v>
      </c>
      <c r="AG1068" s="65">
        <f>tblWorkPackages[[#This Row],[Completion date serial]]-tblWorkPackages[[#This Row],[Request date serial]]</f>
        <v>7</v>
      </c>
      <c r="AH1068" s="65">
        <f>IFERROR(INDEX(tblParts[Delay days],MATCH(tblWorkPackages[[#This Row],[Work package ID]],tblParts[Work package ID],0)),0)</f>
        <v>0</v>
      </c>
      <c r="AI1068" s="51" t="str">
        <f>IFERROR(INDEX(tblDisruptions[Event type],MATCH(tblWorkPackages[[#This Row],[Work package ID]],tblDisruptions[Work package ID],0)),"None")</f>
        <v>None</v>
      </c>
      <c r="AJ1068" s="51" t="str">
        <f>TEXT(tblWorkPackages[[#This Row],[Due date serial]],"yyyy-mm")</f>
        <v>2024-09</v>
      </c>
    </row>
    <row r="1069" spans="1:36" ht="15" x14ac:dyDescent="0.25">
      <c r="A1069" s="53" t="s">
        <v>1969</v>
      </c>
      <c r="B1069" s="53" t="s">
        <v>185</v>
      </c>
      <c r="C1069" s="53" t="s">
        <v>1765</v>
      </c>
      <c r="D1069" s="53" t="s">
        <v>1346</v>
      </c>
      <c r="E1069" s="53" t="s">
        <v>272</v>
      </c>
      <c r="F1069" s="53" t="s">
        <v>145</v>
      </c>
      <c r="G1069" s="53" t="s">
        <v>273</v>
      </c>
      <c r="H1069" s="53">
        <v>4</v>
      </c>
      <c r="I1069" s="53" t="s">
        <v>130</v>
      </c>
      <c r="J1069" s="53">
        <v>0</v>
      </c>
      <c r="K1069" s="53">
        <v>0</v>
      </c>
      <c r="L1069" s="53">
        <v>20.8</v>
      </c>
      <c r="M1069" s="53" t="s">
        <v>297</v>
      </c>
      <c r="N1069" s="53">
        <v>26.6</v>
      </c>
      <c r="O1069" s="51" t="str">
        <f>TEXT(tblWorkPackages[[#This Row],[Request date serial]]-WEEKDAY(tblWorkPackages[[#This Row],[Request date serial]],3),"yyyy-mm-dd")</f>
        <v>2024-08-12</v>
      </c>
      <c r="P1069" s="51">
        <f>ABS(tblWorkPackages[[#This Row],[Actual labor hours]]-tblWorkPackages[[#This Row],[Estimated labor hours]])</f>
        <v>5.8</v>
      </c>
      <c r="Q1069" s="51">
        <f>IF(tblWorkPackages[[#This Row],[Actual labor hours]]&gt;tblWorkPackages[[#This Row],[Estimated labor hours]],1,0)</f>
        <v>1</v>
      </c>
      <c r="R1069" s="51">
        <f>tblWorkPackages[[#This Row],[Actual labor hours]]-tblWorkPackages[[#This Row],[Estimated labor hours]]</f>
        <v>5.8</v>
      </c>
      <c r="S1069" s="51" t="str">
        <f>IF(tblWorkPackages[[#This Row],[Request date serial]]&lt;ValidationStart,"Train 2024",IF(tblWorkPackages[[#This Row],[Request date serial]]&lt;HoldoutStart,"Validation H1","Holdout H2"))</f>
        <v>Train 2024</v>
      </c>
      <c r="T1069" s="51" t="str">
        <f>IF(tblWorkPackages[[#This Row],[Time split]]="Train 2024","",tblWorkPackages[[#This Row],[Estimated labor hours]]+VLOOKUP(tblWorkPackages[[#This Row],[Task type]],'Forecast validation'!$A$14:$E$25,IF(tblWorkPackages[[#This Row],[Time split]]="Validation H1",4,5),FALSE()))</f>
        <v/>
      </c>
      <c r="U1069" s="51" t="str">
        <f>IF(tblWorkPackages[[#This Row],[Calibrated forecast hours]]="","",ABS(tblWorkPackages[[#This Row],[Actual labor hours]]-tblWorkPackages[[#This Row],[Calibrated forecast hours]]))</f>
        <v/>
      </c>
      <c r="V1069" s="51">
        <f>IF(tblWorkPackages[[#This Row],[Time split]]="Train 2024",tblWorkPackages[[#This Row],[Estimated labor hours]],tblWorkPackages[[#This Row],[Calibrated forecast hours]])</f>
        <v>20.8</v>
      </c>
      <c r="W1069" s="64">
        <f>DATEVALUE(tblWorkPackages[[#This Row],[Request date]])</f>
        <v>45519.0</v>
      </c>
      <c r="X1069" s="64">
        <f>DATEVALUE(tblWorkPackages[[#This Row],[Due date]])</f>
        <v>45532.0</v>
      </c>
      <c r="Y1069" s="64">
        <f>DATEVALUE(tblWorkPackages[[#This Row],[Completion date]])</f>
        <v>45525.0</v>
      </c>
      <c r="Z1069" s="64">
        <f>_xlfn.MINIFS(tblLaborEntries[Work date serial],tblLaborEntries[Work package ID],tblWorkPackages[[#This Row],[Work package ID]])</f>
        <v>45520.0</v>
      </c>
      <c r="AA1069" s="64">
        <f>_xlfn.MAXIFS(tblLaborEntries[Work date serial],tblLaborEntries[Work package ID],tblWorkPackages[[#This Row],[Work package ID]])</f>
        <v>45522.0</v>
      </c>
      <c r="AB1069" s="65">
        <f>IF(tblWorkPackages[[#This Row],[Completion date serial]]&gt;tblWorkPackages[[#This Row],[Due date serial]],1,0)</f>
        <v>0</v>
      </c>
      <c r="AC1069" s="65">
        <f>MAX(0,tblWorkPackages[[#This Row],[Completion date serial]]-tblWorkPackages[[#This Row],[Due date serial]])</f>
        <v>0</v>
      </c>
      <c r="AD1069" s="65">
        <f>tblWorkPackages[[#This Row],[First labor date]]-tblWorkPackages[[#This Row],[Request date serial]]</f>
        <v>1</v>
      </c>
      <c r="AE1069" s="65">
        <f>tblWorkPackages[[#This Row],[Last labor date]]-tblWorkPackages[[#This Row],[First labor date]]</f>
        <v>2</v>
      </c>
      <c r="AF1069" s="65">
        <f>tblWorkPackages[[#This Row],[Completion date serial]]-tblWorkPackages[[#This Row],[Last labor date]]</f>
        <v>3</v>
      </c>
      <c r="AG1069" s="65">
        <f>tblWorkPackages[[#This Row],[Completion date serial]]-tblWorkPackages[[#This Row],[Request date serial]]</f>
        <v>6</v>
      </c>
      <c r="AH1069" s="65">
        <f>IFERROR(INDEX(tblParts[Delay days],MATCH(tblWorkPackages[[#This Row],[Work package ID]],tblParts[Work package ID],0)),0)</f>
        <v>0</v>
      </c>
      <c r="AI1069" s="51" t="str">
        <f>IFERROR(INDEX(tblDisruptions[Event type],MATCH(tblWorkPackages[[#This Row],[Work package ID]],tblDisruptions[Work package ID],0)),"None")</f>
        <v>None</v>
      </c>
      <c r="AJ1069" s="51" t="str">
        <f>TEXT(tblWorkPackages[[#This Row],[Due date serial]],"yyyy-mm")</f>
        <v>2024-08</v>
      </c>
    </row>
    <row r="1070" spans="1:36" ht="15" x14ac:dyDescent="0.25">
      <c r="A1070" s="53" t="s">
        <v>1970</v>
      </c>
      <c r="B1070" s="53" t="s">
        <v>168</v>
      </c>
      <c r="C1070" s="53" t="s">
        <v>241</v>
      </c>
      <c r="D1070" s="53" t="s">
        <v>1072</v>
      </c>
      <c r="E1070" s="53" t="s">
        <v>153</v>
      </c>
      <c r="F1070" s="53" t="s">
        <v>128</v>
      </c>
      <c r="G1070" s="53" t="s">
        <v>154</v>
      </c>
      <c r="H1070" s="53">
        <v>2</v>
      </c>
      <c r="I1070" s="53" t="s">
        <v>130</v>
      </c>
      <c r="J1070" s="53">
        <v>0</v>
      </c>
      <c r="K1070" s="53">
        <v>1</v>
      </c>
      <c r="L1070" s="53">
        <v>8.6999999999999993</v>
      </c>
      <c r="M1070" s="53" t="s">
        <v>1777</v>
      </c>
      <c r="N1070" s="53">
        <v>8.4</v>
      </c>
      <c r="O1070" s="51" t="str">
        <f>TEXT(tblWorkPackages[[#This Row],[Request date serial]]-WEEKDAY(tblWorkPackages[[#This Row],[Request date serial]],3),"yyyy-mm-dd")</f>
        <v>2024-11-18</v>
      </c>
      <c r="P1070" s="51">
        <f>ABS(tblWorkPackages[[#This Row],[Actual labor hours]]-tblWorkPackages[[#This Row],[Estimated labor hours]])</f>
        <v>0.299999999999999</v>
      </c>
      <c r="Q1070" s="51">
        <f>IF(tblWorkPackages[[#This Row],[Actual labor hours]]&gt;tblWorkPackages[[#This Row],[Estimated labor hours]],1,0)</f>
        <v>0</v>
      </c>
      <c r="R1070" s="51">
        <f>tblWorkPackages[[#This Row],[Actual labor hours]]-tblWorkPackages[[#This Row],[Estimated labor hours]]</f>
        <v>-0.299999999999999</v>
      </c>
      <c r="S1070" s="51" t="str">
        <f>IF(tblWorkPackages[[#This Row],[Request date serial]]&lt;ValidationStart,"Train 2024",IF(tblWorkPackages[[#This Row],[Request date serial]]&lt;HoldoutStart,"Validation H1","Holdout H2"))</f>
        <v>Train 2024</v>
      </c>
      <c r="T1070" s="51" t="str">
        <f>IF(tblWorkPackages[[#This Row],[Time split]]="Train 2024","",tblWorkPackages[[#This Row],[Estimated labor hours]]+VLOOKUP(tblWorkPackages[[#This Row],[Task type]],'Forecast validation'!$A$14:$E$25,IF(tblWorkPackages[[#This Row],[Time split]]="Validation H1",4,5),FALSE()))</f>
        <v/>
      </c>
      <c r="U1070" s="51" t="str">
        <f>IF(tblWorkPackages[[#This Row],[Calibrated forecast hours]]="","",ABS(tblWorkPackages[[#This Row],[Actual labor hours]]-tblWorkPackages[[#This Row],[Calibrated forecast hours]]))</f>
        <v/>
      </c>
      <c r="V1070" s="51">
        <f>IF(tblWorkPackages[[#This Row],[Time split]]="Train 2024",tblWorkPackages[[#This Row],[Estimated labor hours]],tblWorkPackages[[#This Row],[Calibrated forecast hours]])</f>
        <v>8.7</v>
      </c>
      <c r="W1070" s="64">
        <f>DATEVALUE(tblWorkPackages[[#This Row],[Request date]])</f>
        <v>45617.0</v>
      </c>
      <c r="X1070" s="64">
        <f>DATEVALUE(tblWorkPackages[[#This Row],[Due date]])</f>
        <v>45630.0</v>
      </c>
      <c r="Y1070" s="64">
        <f>DATEVALUE(tblWorkPackages[[#This Row],[Completion date]])</f>
        <v>45629.0</v>
      </c>
      <c r="Z1070" s="64">
        <f>_xlfn.MINIFS(tblLaborEntries[Work date serial],tblLaborEntries[Work package ID],tblWorkPackages[[#This Row],[Work package ID]])</f>
        <v>45628.0</v>
      </c>
      <c r="AA1070" s="64">
        <f>_xlfn.MAXIFS(tblLaborEntries[Work date serial],tblLaborEntries[Work package ID],tblWorkPackages[[#This Row],[Work package ID]])</f>
        <v>45629.0</v>
      </c>
      <c r="AB1070" s="65">
        <f>IF(tblWorkPackages[[#This Row],[Completion date serial]]&gt;tblWorkPackages[[#This Row],[Due date serial]],1,0)</f>
        <v>0</v>
      </c>
      <c r="AC1070" s="65">
        <f>MAX(0,tblWorkPackages[[#This Row],[Completion date serial]]-tblWorkPackages[[#This Row],[Due date serial]])</f>
        <v>0</v>
      </c>
      <c r="AD1070" s="65">
        <f>tblWorkPackages[[#This Row],[First labor date]]-tblWorkPackages[[#This Row],[Request date serial]]</f>
        <v>11</v>
      </c>
      <c r="AE1070" s="65">
        <f>tblWorkPackages[[#This Row],[Last labor date]]-tblWorkPackages[[#This Row],[First labor date]]</f>
        <v>1</v>
      </c>
      <c r="AF1070" s="65">
        <f>tblWorkPackages[[#This Row],[Completion date serial]]-tblWorkPackages[[#This Row],[Last labor date]]</f>
        <v>0</v>
      </c>
      <c r="AG1070" s="65">
        <f>tblWorkPackages[[#This Row],[Completion date serial]]-tblWorkPackages[[#This Row],[Request date serial]]</f>
        <v>12</v>
      </c>
      <c r="AH1070" s="65">
        <f>IFERROR(INDEX(tblParts[Delay days],MATCH(tblWorkPackages[[#This Row],[Work package ID]],tblParts[Work package ID],0)),0)</f>
        <v>0</v>
      </c>
      <c r="AI1070" s="51" t="str">
        <f>IFERROR(INDEX(tblDisruptions[Event type],MATCH(tblWorkPackages[[#This Row],[Work package ID]],tblDisruptions[Work package ID],0)),"None")</f>
        <v>None</v>
      </c>
      <c r="AJ1070" s="51" t="str">
        <f>TEXT(tblWorkPackages[[#This Row],[Due date serial]],"yyyy-mm")</f>
        <v>2024-12</v>
      </c>
    </row>
    <row r="1071" spans="1:36" ht="15" x14ac:dyDescent="0.25">
      <c r="A1071" s="53" t="s">
        <v>1971</v>
      </c>
      <c r="B1071" s="53" t="s">
        <v>287</v>
      </c>
      <c r="C1071" s="53" t="s">
        <v>320</v>
      </c>
      <c r="D1071" s="53" t="s">
        <v>663</v>
      </c>
      <c r="E1071" s="53" t="s">
        <v>181</v>
      </c>
      <c r="F1071" s="53" t="s">
        <v>182</v>
      </c>
      <c r="G1071" s="53" t="s">
        <v>138</v>
      </c>
      <c r="H1071" s="53">
        <v>4</v>
      </c>
      <c r="I1071" s="53" t="s">
        <v>176</v>
      </c>
      <c r="J1071" s="53">
        <v>0</v>
      </c>
      <c r="K1071" s="53">
        <v>0</v>
      </c>
      <c r="L1071" s="53">
        <v>15.8</v>
      </c>
      <c r="M1071" s="53" t="s">
        <v>663</v>
      </c>
      <c r="N1071" s="53">
        <v>16.8</v>
      </c>
      <c r="O1071" s="51" t="str">
        <f>TEXT(tblWorkPackages[[#This Row],[Request date serial]]-WEEKDAY(tblWorkPackages[[#This Row],[Request date serial]],3),"yyyy-mm-dd")</f>
        <v>2024-03-04</v>
      </c>
      <c r="P1071" s="51">
        <f>ABS(tblWorkPackages[[#This Row],[Actual labor hours]]-tblWorkPackages[[#This Row],[Estimated labor hours]])</f>
        <v>1</v>
      </c>
      <c r="Q1071" s="51">
        <f>IF(tblWorkPackages[[#This Row],[Actual labor hours]]&gt;tblWorkPackages[[#This Row],[Estimated labor hours]],1,0)</f>
        <v>1</v>
      </c>
      <c r="R1071" s="51">
        <f>tblWorkPackages[[#This Row],[Actual labor hours]]-tblWorkPackages[[#This Row],[Estimated labor hours]]</f>
        <v>1</v>
      </c>
      <c r="S1071" s="51" t="str">
        <f>IF(tblWorkPackages[[#This Row],[Request date serial]]&lt;ValidationStart,"Train 2024",IF(tblWorkPackages[[#This Row],[Request date serial]]&lt;HoldoutStart,"Validation H1","Holdout H2"))</f>
        <v>Train 2024</v>
      </c>
      <c r="T1071" s="51" t="str">
        <f>IF(tblWorkPackages[[#This Row],[Time split]]="Train 2024","",tblWorkPackages[[#This Row],[Estimated labor hours]]+VLOOKUP(tblWorkPackages[[#This Row],[Task type]],'Forecast validation'!$A$14:$E$25,IF(tblWorkPackages[[#This Row],[Time split]]="Validation H1",4,5),FALSE()))</f>
        <v/>
      </c>
      <c r="U1071" s="51" t="str">
        <f>IF(tblWorkPackages[[#This Row],[Calibrated forecast hours]]="","",ABS(tblWorkPackages[[#This Row],[Actual labor hours]]-tblWorkPackages[[#This Row],[Calibrated forecast hours]]))</f>
        <v/>
      </c>
      <c r="V1071" s="51">
        <f>IF(tblWorkPackages[[#This Row],[Time split]]="Train 2024",tblWorkPackages[[#This Row],[Estimated labor hours]],tblWorkPackages[[#This Row],[Calibrated forecast hours]])</f>
        <v>15.8</v>
      </c>
      <c r="W1071" s="64">
        <f>DATEVALUE(tblWorkPackages[[#This Row],[Request date]])</f>
        <v>45360.0</v>
      </c>
      <c r="X1071" s="64">
        <f>DATEVALUE(tblWorkPackages[[#This Row],[Due date]])</f>
        <v>45366.0</v>
      </c>
      <c r="Y1071" s="64">
        <f>DATEVALUE(tblWorkPackages[[#This Row],[Completion date]])</f>
        <v>45366.0</v>
      </c>
      <c r="Z1071" s="64">
        <f>_xlfn.MINIFS(tblLaborEntries[Work date serial],tblLaborEntries[Work package ID],tblWorkPackages[[#This Row],[Work package ID]])</f>
        <v>45363.0</v>
      </c>
      <c r="AA1071" s="64">
        <f>_xlfn.MAXIFS(tblLaborEntries[Work date serial],tblLaborEntries[Work package ID],tblWorkPackages[[#This Row],[Work package ID]])</f>
        <v>45365.0</v>
      </c>
      <c r="AB1071" s="65">
        <f>IF(tblWorkPackages[[#This Row],[Completion date serial]]&gt;tblWorkPackages[[#This Row],[Due date serial]],1,0)</f>
        <v>0</v>
      </c>
      <c r="AC1071" s="65">
        <f>MAX(0,tblWorkPackages[[#This Row],[Completion date serial]]-tblWorkPackages[[#This Row],[Due date serial]])</f>
        <v>0</v>
      </c>
      <c r="AD1071" s="65">
        <f>tblWorkPackages[[#This Row],[First labor date]]-tblWorkPackages[[#This Row],[Request date serial]]</f>
        <v>3</v>
      </c>
      <c r="AE1071" s="65">
        <f>tblWorkPackages[[#This Row],[Last labor date]]-tblWorkPackages[[#This Row],[First labor date]]</f>
        <v>2</v>
      </c>
      <c r="AF1071" s="65">
        <f>tblWorkPackages[[#This Row],[Completion date serial]]-tblWorkPackages[[#This Row],[Last labor date]]</f>
        <v>1</v>
      </c>
      <c r="AG1071" s="65">
        <f>tblWorkPackages[[#This Row],[Completion date serial]]-tblWorkPackages[[#This Row],[Request date serial]]</f>
        <v>6</v>
      </c>
      <c r="AH1071" s="65">
        <f>IFERROR(INDEX(tblParts[Delay days],MATCH(tblWorkPackages[[#This Row],[Work package ID]],tblParts[Work package ID],0)),0)</f>
        <v>0</v>
      </c>
      <c r="AI1071" s="51" t="str">
        <f>IFERROR(INDEX(tblDisruptions[Event type],MATCH(tblWorkPackages[[#This Row],[Work package ID]],tblDisruptions[Work package ID],0)),"None")</f>
        <v>None</v>
      </c>
      <c r="AJ1071" s="51" t="str">
        <f>TEXT(tblWorkPackages[[#This Row],[Due date serial]],"yyyy-mm")</f>
        <v>2024-03</v>
      </c>
    </row>
    <row r="1072" spans="1:36" ht="15" x14ac:dyDescent="0.25">
      <c r="A1072" s="53" t="s">
        <v>1972</v>
      </c>
      <c r="B1072" s="53" t="s">
        <v>185</v>
      </c>
      <c r="C1072" s="53" t="s">
        <v>522</v>
      </c>
      <c r="D1072" s="53" t="s">
        <v>283</v>
      </c>
      <c r="E1072" s="53" t="s">
        <v>160</v>
      </c>
      <c r="F1072" s="53" t="s">
        <v>128</v>
      </c>
      <c r="G1072" s="53" t="s">
        <v>138</v>
      </c>
      <c r="H1072" s="53">
        <v>1</v>
      </c>
      <c r="I1072" s="53" t="s">
        <v>147</v>
      </c>
      <c r="J1072" s="53">
        <v>0</v>
      </c>
      <c r="K1072" s="53">
        <v>0</v>
      </c>
      <c r="L1072" s="53">
        <v>3</v>
      </c>
      <c r="M1072" s="53" t="s">
        <v>463</v>
      </c>
      <c r="N1072" s="53">
        <v>3.1</v>
      </c>
      <c r="O1072" s="51" t="str">
        <f>TEXT(tblWorkPackages[[#This Row],[Request date serial]]-WEEKDAY(tblWorkPackages[[#This Row],[Request date serial]],3),"yyyy-mm-dd")</f>
        <v>2025-08-25</v>
      </c>
      <c r="P1072" s="51">
        <f>ABS(tblWorkPackages[[#This Row],[Actual labor hours]]-tblWorkPackages[[#This Row],[Estimated labor hours]])</f>
        <v>0.1</v>
      </c>
      <c r="Q1072" s="51">
        <f>IF(tblWorkPackages[[#This Row],[Actual labor hours]]&gt;tblWorkPackages[[#This Row],[Estimated labor hours]],1,0)</f>
        <v>1</v>
      </c>
      <c r="R1072" s="51">
        <f>tblWorkPackages[[#This Row],[Actual labor hours]]-tblWorkPackages[[#This Row],[Estimated labor hours]]</f>
        <v>0.1</v>
      </c>
      <c r="S1072" s="51" t="str">
        <f>IF(tblWorkPackages[[#This Row],[Request date serial]]&lt;ValidationStart,"Train 2024",IF(tblWorkPackages[[#This Row],[Request date serial]]&lt;HoldoutStart,"Validation H1","Holdout H2"))</f>
        <v>Holdout H2</v>
      </c>
      <c r="T1072" s="51">
        <f>IF(tblWorkPackages[[#This Row],[Time split]]="Train 2024","",tblWorkPackages[[#This Row],[Estimated labor hours]]+VLOOKUP(tblWorkPackages[[#This Row],[Task type]],'Forecast validation'!$A$14:$E$25,IF(tblWorkPackages[[#This Row],[Time split]]="Validation H1",4,5),FALSE()))</f>
        <v>3.43739837398374</v>
      </c>
      <c r="U1072" s="51">
        <f>IF(tblWorkPackages[[#This Row],[Calibrated forecast hours]]="","",ABS(tblWorkPackages[[#This Row],[Actual labor hours]]-tblWorkPackages[[#This Row],[Calibrated forecast hours]]))</f>
        <v>0.33739837398374</v>
      </c>
      <c r="V1072" s="51">
        <f>IF(tblWorkPackages[[#This Row],[Time split]]="Train 2024",tblWorkPackages[[#This Row],[Estimated labor hours]],tblWorkPackages[[#This Row],[Calibrated forecast hours]])</f>
        <v>3.43739837398374</v>
      </c>
      <c r="W1072" s="64">
        <f>DATEVALUE(tblWorkPackages[[#This Row],[Request date]])</f>
        <v>45895.0</v>
      </c>
      <c r="X1072" s="64">
        <f>DATEVALUE(tblWorkPackages[[#This Row],[Due date]])</f>
        <v>45897.0</v>
      </c>
      <c r="Y1072" s="64">
        <f>DATEVALUE(tblWorkPackages[[#This Row],[Completion date]])</f>
        <v>45931.0</v>
      </c>
      <c r="Z1072" s="64">
        <f>_xlfn.MINIFS(tblLaborEntries[Work date serial],tblLaborEntries[Work package ID],tblWorkPackages[[#This Row],[Work package ID]])</f>
        <v>45927.0</v>
      </c>
      <c r="AA1072" s="64">
        <f>_xlfn.MAXIFS(tblLaborEntries[Work date serial],tblLaborEntries[Work package ID],tblWorkPackages[[#This Row],[Work package ID]])</f>
        <v>45929.0</v>
      </c>
      <c r="AB1072" s="65">
        <f>IF(tblWorkPackages[[#This Row],[Completion date serial]]&gt;tblWorkPackages[[#This Row],[Due date serial]],1,0)</f>
        <v>1</v>
      </c>
      <c r="AC1072" s="65">
        <f>MAX(0,tblWorkPackages[[#This Row],[Completion date serial]]-tblWorkPackages[[#This Row],[Due date serial]])</f>
        <v>34</v>
      </c>
      <c r="AD1072" s="65">
        <f>tblWorkPackages[[#This Row],[First labor date]]-tblWorkPackages[[#This Row],[Request date serial]]</f>
        <v>32</v>
      </c>
      <c r="AE1072" s="65">
        <f>tblWorkPackages[[#This Row],[Last labor date]]-tblWorkPackages[[#This Row],[First labor date]]</f>
        <v>2</v>
      </c>
      <c r="AF1072" s="65">
        <f>tblWorkPackages[[#This Row],[Completion date serial]]-tblWorkPackages[[#This Row],[Last labor date]]</f>
        <v>2</v>
      </c>
      <c r="AG1072" s="65">
        <f>tblWorkPackages[[#This Row],[Completion date serial]]-tblWorkPackages[[#This Row],[Request date serial]]</f>
        <v>36</v>
      </c>
      <c r="AH1072" s="65">
        <f>IFERROR(INDEX(tblParts[Delay days],MATCH(tblWorkPackages[[#This Row],[Work package ID]],tblParts[Work package ID],0)),0)</f>
        <v>0</v>
      </c>
      <c r="AI1072" s="51" t="str">
        <f>IFERROR(INDEX(tblDisruptions[Event type],MATCH(tblWorkPackages[[#This Row],[Work package ID]],tblDisruptions[Work package ID],0)),"None")</f>
        <v>None</v>
      </c>
      <c r="AJ1072" s="51" t="str">
        <f>TEXT(tblWorkPackages[[#This Row],[Due date serial]],"yyyy-mm")</f>
        <v>2025-08</v>
      </c>
    </row>
    <row r="1073" spans="1:36" ht="15" x14ac:dyDescent="0.25">
      <c r="A1073" s="53" t="s">
        <v>1973</v>
      </c>
      <c r="B1073" s="53" t="s">
        <v>141</v>
      </c>
      <c r="C1073" s="53" t="s">
        <v>1974</v>
      </c>
      <c r="D1073" s="53" t="s">
        <v>213</v>
      </c>
      <c r="E1073" s="53" t="s">
        <v>237</v>
      </c>
      <c r="F1073" s="53" t="s">
        <v>182</v>
      </c>
      <c r="G1073" s="53" t="s">
        <v>138</v>
      </c>
      <c r="H1073" s="53">
        <v>4</v>
      </c>
      <c r="I1073" s="53" t="s">
        <v>130</v>
      </c>
      <c r="J1073" s="53">
        <v>0</v>
      </c>
      <c r="K1073" s="53">
        <v>0</v>
      </c>
      <c r="L1073" s="53">
        <v>9.5</v>
      </c>
      <c r="M1073" s="53" t="s">
        <v>1667</v>
      </c>
      <c r="N1073" s="53">
        <v>8.6999999999999993</v>
      </c>
      <c r="O1073" s="51" t="str">
        <f>TEXT(tblWorkPackages[[#This Row],[Request date serial]]-WEEKDAY(tblWorkPackages[[#This Row],[Request date serial]],3),"yyyy-mm-dd")</f>
        <v>2024-01-01</v>
      </c>
      <c r="P1073" s="51">
        <f>ABS(tblWorkPackages[[#This Row],[Actual labor hours]]-tblWorkPackages[[#This Row],[Estimated labor hours]])</f>
        <v>0.800000000000001</v>
      </c>
      <c r="Q1073" s="51">
        <f>IF(tblWorkPackages[[#This Row],[Actual labor hours]]&gt;tblWorkPackages[[#This Row],[Estimated labor hours]],1,0)</f>
        <v>0</v>
      </c>
      <c r="R1073" s="51">
        <f>tblWorkPackages[[#This Row],[Actual labor hours]]-tblWorkPackages[[#This Row],[Estimated labor hours]]</f>
        <v>-0.800000000000001</v>
      </c>
      <c r="S1073" s="51" t="str">
        <f>IF(tblWorkPackages[[#This Row],[Request date serial]]&lt;ValidationStart,"Train 2024",IF(tblWorkPackages[[#This Row],[Request date serial]]&lt;HoldoutStart,"Validation H1","Holdout H2"))</f>
        <v>Train 2024</v>
      </c>
      <c r="T1073" s="51" t="str">
        <f>IF(tblWorkPackages[[#This Row],[Time split]]="Train 2024","",tblWorkPackages[[#This Row],[Estimated labor hours]]+VLOOKUP(tblWorkPackages[[#This Row],[Task type]],'Forecast validation'!$A$14:$E$25,IF(tblWorkPackages[[#This Row],[Time split]]="Validation H1",4,5),FALSE()))</f>
        <v/>
      </c>
      <c r="U1073" s="51" t="str">
        <f>IF(tblWorkPackages[[#This Row],[Calibrated forecast hours]]="","",ABS(tblWorkPackages[[#This Row],[Actual labor hours]]-tblWorkPackages[[#This Row],[Calibrated forecast hours]]))</f>
        <v/>
      </c>
      <c r="V1073" s="51">
        <f>IF(tblWorkPackages[[#This Row],[Time split]]="Train 2024",tblWorkPackages[[#This Row],[Estimated labor hours]],tblWorkPackages[[#This Row],[Calibrated forecast hours]])</f>
        <v>9.5</v>
      </c>
      <c r="W1073" s="64">
        <f>DATEVALUE(tblWorkPackages[[#This Row],[Request date]])</f>
        <v>45292.0</v>
      </c>
      <c r="X1073" s="64">
        <f>DATEVALUE(tblWorkPackages[[#This Row],[Due date]])</f>
        <v>45305.0</v>
      </c>
      <c r="Y1073" s="64">
        <f>DATEVALUE(tblWorkPackages[[#This Row],[Completion date]])</f>
        <v>45301.0</v>
      </c>
      <c r="Z1073" s="64">
        <f>_xlfn.MINIFS(tblLaborEntries[Work date serial],tblLaborEntries[Work package ID],tblWorkPackages[[#This Row],[Work package ID]])</f>
        <v>45298.0</v>
      </c>
      <c r="AA1073" s="64">
        <f>_xlfn.MAXIFS(tblLaborEntries[Work date serial],tblLaborEntries[Work package ID],tblWorkPackages[[#This Row],[Work package ID]])</f>
        <v>45298.0</v>
      </c>
      <c r="AB1073" s="65">
        <f>IF(tblWorkPackages[[#This Row],[Completion date serial]]&gt;tblWorkPackages[[#This Row],[Due date serial]],1,0)</f>
        <v>0</v>
      </c>
      <c r="AC1073" s="65">
        <f>MAX(0,tblWorkPackages[[#This Row],[Completion date serial]]-tblWorkPackages[[#This Row],[Due date serial]])</f>
        <v>0</v>
      </c>
      <c r="AD1073" s="65">
        <f>tblWorkPackages[[#This Row],[First labor date]]-tblWorkPackages[[#This Row],[Request date serial]]</f>
        <v>6</v>
      </c>
      <c r="AE1073" s="65">
        <f>tblWorkPackages[[#This Row],[Last labor date]]-tblWorkPackages[[#This Row],[First labor date]]</f>
        <v>0</v>
      </c>
      <c r="AF1073" s="65">
        <f>tblWorkPackages[[#This Row],[Completion date serial]]-tblWorkPackages[[#This Row],[Last labor date]]</f>
        <v>3</v>
      </c>
      <c r="AG1073" s="65">
        <f>tblWorkPackages[[#This Row],[Completion date serial]]-tblWorkPackages[[#This Row],[Request date serial]]</f>
        <v>9</v>
      </c>
      <c r="AH1073" s="65">
        <f>IFERROR(INDEX(tblParts[Delay days],MATCH(tblWorkPackages[[#This Row],[Work package ID]],tblParts[Work package ID],0)),0)</f>
        <v>0</v>
      </c>
      <c r="AI1073" s="51" t="str">
        <f>IFERROR(INDEX(tblDisruptions[Event type],MATCH(tblWorkPackages[[#This Row],[Work package ID]],tblDisruptions[Work package ID],0)),"None")</f>
        <v>None</v>
      </c>
      <c r="AJ1073" s="51" t="str">
        <f>TEXT(tblWorkPackages[[#This Row],[Due date serial]],"yyyy-mm")</f>
        <v>2024-01</v>
      </c>
    </row>
    <row r="1074" spans="1:36" ht="15" x14ac:dyDescent="0.25">
      <c r="A1074" s="53" t="s">
        <v>1975</v>
      </c>
      <c r="B1074" s="53" t="s">
        <v>124</v>
      </c>
      <c r="C1074" s="53" t="s">
        <v>183</v>
      </c>
      <c r="D1074" s="53" t="s">
        <v>1285</v>
      </c>
      <c r="E1074" s="53" t="s">
        <v>209</v>
      </c>
      <c r="F1074" s="53" t="s">
        <v>145</v>
      </c>
      <c r="G1074" s="53" t="s">
        <v>210</v>
      </c>
      <c r="H1074" s="53">
        <v>4</v>
      </c>
      <c r="I1074" s="53" t="s">
        <v>130</v>
      </c>
      <c r="J1074" s="53">
        <v>0</v>
      </c>
      <c r="K1074" s="53">
        <v>1</v>
      </c>
      <c r="L1074" s="53">
        <v>43.5</v>
      </c>
      <c r="M1074" s="53" t="s">
        <v>597</v>
      </c>
      <c r="N1074" s="53">
        <v>42.4</v>
      </c>
      <c r="O1074" s="51" t="str">
        <f>TEXT(tblWorkPackages[[#This Row],[Request date serial]]-WEEKDAY(tblWorkPackages[[#This Row],[Request date serial]],3),"yyyy-mm-dd")</f>
        <v>2025-05-19</v>
      </c>
      <c r="P1074" s="51">
        <f>ABS(tblWorkPackages[[#This Row],[Actual labor hours]]-tblWorkPackages[[#This Row],[Estimated labor hours]])</f>
        <v>1.1</v>
      </c>
      <c r="Q1074" s="51">
        <f>IF(tblWorkPackages[[#This Row],[Actual labor hours]]&gt;tblWorkPackages[[#This Row],[Estimated labor hours]],1,0)</f>
        <v>0</v>
      </c>
      <c r="R1074" s="51">
        <f>tblWorkPackages[[#This Row],[Actual labor hours]]-tblWorkPackages[[#This Row],[Estimated labor hours]]</f>
        <v>-1.1</v>
      </c>
      <c r="S1074" s="51" t="str">
        <f>IF(tblWorkPackages[[#This Row],[Request date serial]]&lt;ValidationStart,"Train 2024",IF(tblWorkPackages[[#This Row],[Request date serial]]&lt;HoldoutStart,"Validation H1","Holdout H2"))</f>
        <v>Validation H1</v>
      </c>
      <c r="T1074" s="51">
        <f>IF(tblWorkPackages[[#This Row],[Time split]]="Train 2024","",tblWorkPackages[[#This Row],[Estimated labor hours]]+VLOOKUP(tblWorkPackages[[#This Row],[Task type]],'Forecast validation'!$A$14:$E$25,IF(tblWorkPackages[[#This Row],[Time split]]="Validation H1",4,5),FALSE()))</f>
        <v>44.6029850746269</v>
      </c>
      <c r="U1074" s="51">
        <f>IF(tblWorkPackages[[#This Row],[Calibrated forecast hours]]="","",ABS(tblWorkPackages[[#This Row],[Actual labor hours]]-tblWorkPackages[[#This Row],[Calibrated forecast hours]]))</f>
        <v>2.20298507462687</v>
      </c>
      <c r="V1074" s="51">
        <f>IF(tblWorkPackages[[#This Row],[Time split]]="Train 2024",tblWorkPackages[[#This Row],[Estimated labor hours]],tblWorkPackages[[#This Row],[Calibrated forecast hours]])</f>
        <v>44.6029850746269</v>
      </c>
      <c r="W1074" s="64">
        <f>DATEVALUE(tblWorkPackages[[#This Row],[Request date]])</f>
        <v>45799.0</v>
      </c>
      <c r="X1074" s="64">
        <f>DATEVALUE(tblWorkPackages[[#This Row],[Due date]])</f>
        <v>45812.0</v>
      </c>
      <c r="Y1074" s="64">
        <f>DATEVALUE(tblWorkPackages[[#This Row],[Completion date]])</f>
        <v>45803.0</v>
      </c>
      <c r="Z1074" s="64">
        <f>_xlfn.MINIFS(tblLaborEntries[Work date serial],tblLaborEntries[Work package ID],tblWorkPackages[[#This Row],[Work package ID]])</f>
        <v>45801.0</v>
      </c>
      <c r="AA1074" s="64">
        <f>_xlfn.MAXIFS(tblLaborEntries[Work date serial],tblLaborEntries[Work package ID],tblWorkPackages[[#This Row],[Work package ID]])</f>
        <v>45803.0</v>
      </c>
      <c r="AB1074" s="65">
        <f>IF(tblWorkPackages[[#This Row],[Completion date serial]]&gt;tblWorkPackages[[#This Row],[Due date serial]],1,0)</f>
        <v>0</v>
      </c>
      <c r="AC1074" s="65">
        <f>MAX(0,tblWorkPackages[[#This Row],[Completion date serial]]-tblWorkPackages[[#This Row],[Due date serial]])</f>
        <v>0</v>
      </c>
      <c r="AD1074" s="65">
        <f>tblWorkPackages[[#This Row],[First labor date]]-tblWorkPackages[[#This Row],[Request date serial]]</f>
        <v>2</v>
      </c>
      <c r="AE1074" s="65">
        <f>tblWorkPackages[[#This Row],[Last labor date]]-tblWorkPackages[[#This Row],[First labor date]]</f>
        <v>2</v>
      </c>
      <c r="AF1074" s="65">
        <f>tblWorkPackages[[#This Row],[Completion date serial]]-tblWorkPackages[[#This Row],[Last labor date]]</f>
        <v>0</v>
      </c>
      <c r="AG1074" s="65">
        <f>tblWorkPackages[[#This Row],[Completion date serial]]-tblWorkPackages[[#This Row],[Request date serial]]</f>
        <v>4</v>
      </c>
      <c r="AH1074" s="65">
        <f>IFERROR(INDEX(tblParts[Delay days],MATCH(tblWorkPackages[[#This Row],[Work package ID]],tblParts[Work package ID],0)),0)</f>
        <v>0</v>
      </c>
      <c r="AI1074" s="51" t="str">
        <f>IFERROR(INDEX(tblDisruptions[Event type],MATCH(tblWorkPackages[[#This Row],[Work package ID]],tblDisruptions[Work package ID],0)),"None")</f>
        <v>None</v>
      </c>
      <c r="AJ1074" s="51" t="str">
        <f>TEXT(tblWorkPackages[[#This Row],[Due date serial]],"yyyy-mm")</f>
        <v>2025-06</v>
      </c>
    </row>
    <row r="1075" spans="1:36" ht="15" x14ac:dyDescent="0.25">
      <c r="A1075" s="53" t="s">
        <v>1976</v>
      </c>
      <c r="B1075" s="53" t="s">
        <v>173</v>
      </c>
      <c r="C1075" s="53" t="s">
        <v>204</v>
      </c>
      <c r="D1075" s="53" t="s">
        <v>205</v>
      </c>
      <c r="E1075" s="53" t="s">
        <v>223</v>
      </c>
      <c r="F1075" s="53" t="s">
        <v>182</v>
      </c>
      <c r="G1075" s="53" t="s">
        <v>154</v>
      </c>
      <c r="H1075" s="53">
        <v>2</v>
      </c>
      <c r="I1075" s="53" t="s">
        <v>130</v>
      </c>
      <c r="J1075" s="53">
        <v>0</v>
      </c>
      <c r="K1075" s="53">
        <v>0</v>
      </c>
      <c r="L1075" s="53">
        <v>10.4</v>
      </c>
      <c r="M1075" s="53" t="s">
        <v>599</v>
      </c>
      <c r="N1075" s="53">
        <v>12.7</v>
      </c>
      <c r="O1075" s="51" t="str">
        <f>TEXT(tblWorkPackages[[#This Row],[Request date serial]]-WEEKDAY(tblWorkPackages[[#This Row],[Request date serial]],3),"yyyy-mm-dd")</f>
        <v>2024-10-28</v>
      </c>
      <c r="P1075" s="51">
        <f>ABS(tblWorkPackages[[#This Row],[Actual labor hours]]-tblWorkPackages[[#This Row],[Estimated labor hours]])</f>
        <v>2.3</v>
      </c>
      <c r="Q1075" s="51">
        <f>IF(tblWorkPackages[[#This Row],[Actual labor hours]]&gt;tblWorkPackages[[#This Row],[Estimated labor hours]],1,0)</f>
        <v>1</v>
      </c>
      <c r="R1075" s="51">
        <f>tblWorkPackages[[#This Row],[Actual labor hours]]-tblWorkPackages[[#This Row],[Estimated labor hours]]</f>
        <v>2.3</v>
      </c>
      <c r="S1075" s="51" t="str">
        <f>IF(tblWorkPackages[[#This Row],[Request date serial]]&lt;ValidationStart,"Train 2024",IF(tblWorkPackages[[#This Row],[Request date serial]]&lt;HoldoutStart,"Validation H1","Holdout H2"))</f>
        <v>Train 2024</v>
      </c>
      <c r="T1075" s="51" t="str">
        <f>IF(tblWorkPackages[[#This Row],[Time split]]="Train 2024","",tblWorkPackages[[#This Row],[Estimated labor hours]]+VLOOKUP(tblWorkPackages[[#This Row],[Task type]],'Forecast validation'!$A$14:$E$25,IF(tblWorkPackages[[#This Row],[Time split]]="Validation H1",4,5),FALSE()))</f>
        <v/>
      </c>
      <c r="U1075" s="51" t="str">
        <f>IF(tblWorkPackages[[#This Row],[Calibrated forecast hours]]="","",ABS(tblWorkPackages[[#This Row],[Actual labor hours]]-tblWorkPackages[[#This Row],[Calibrated forecast hours]]))</f>
        <v/>
      </c>
      <c r="V1075" s="51">
        <f>IF(tblWorkPackages[[#This Row],[Time split]]="Train 2024",tblWorkPackages[[#This Row],[Estimated labor hours]],tblWorkPackages[[#This Row],[Calibrated forecast hours]])</f>
        <v>10.4</v>
      </c>
      <c r="W1075" s="64">
        <f>DATEVALUE(tblWorkPackages[[#This Row],[Request date]])</f>
        <v>45596.0</v>
      </c>
      <c r="X1075" s="64">
        <f>DATEVALUE(tblWorkPackages[[#This Row],[Due date]])</f>
        <v>45609.0</v>
      </c>
      <c r="Y1075" s="64">
        <f>DATEVALUE(tblWorkPackages[[#This Row],[Completion date]])</f>
        <v>45612.0</v>
      </c>
      <c r="Z1075" s="64">
        <f>_xlfn.MINIFS(tblLaborEntries[Work date serial],tblLaborEntries[Work package ID],tblWorkPackages[[#This Row],[Work package ID]])</f>
        <v>45610.0</v>
      </c>
      <c r="AA1075" s="64">
        <f>_xlfn.MAXIFS(tblLaborEntries[Work date serial],tblLaborEntries[Work package ID],tblWorkPackages[[#This Row],[Work package ID]])</f>
        <v>45611.0</v>
      </c>
      <c r="AB1075" s="65">
        <f>IF(tblWorkPackages[[#This Row],[Completion date serial]]&gt;tblWorkPackages[[#This Row],[Due date serial]],1,0)</f>
        <v>1</v>
      </c>
      <c r="AC1075" s="65">
        <f>MAX(0,tblWorkPackages[[#This Row],[Completion date serial]]-tblWorkPackages[[#This Row],[Due date serial]])</f>
        <v>3</v>
      </c>
      <c r="AD1075" s="65">
        <f>tblWorkPackages[[#This Row],[First labor date]]-tblWorkPackages[[#This Row],[Request date serial]]</f>
        <v>14</v>
      </c>
      <c r="AE1075" s="65">
        <f>tblWorkPackages[[#This Row],[Last labor date]]-tblWorkPackages[[#This Row],[First labor date]]</f>
        <v>1</v>
      </c>
      <c r="AF1075" s="65">
        <f>tblWorkPackages[[#This Row],[Completion date serial]]-tblWorkPackages[[#This Row],[Last labor date]]</f>
        <v>1</v>
      </c>
      <c r="AG1075" s="65">
        <f>tblWorkPackages[[#This Row],[Completion date serial]]-tblWorkPackages[[#This Row],[Request date serial]]</f>
        <v>16</v>
      </c>
      <c r="AH1075" s="65">
        <f>IFERROR(INDEX(tblParts[Delay days],MATCH(tblWorkPackages[[#This Row],[Work package ID]],tblParts[Work package ID],0)),0)</f>
        <v>0</v>
      </c>
      <c r="AI1075" s="51" t="str">
        <f>IFERROR(INDEX(tblDisruptions[Event type],MATCH(tblWorkPackages[[#This Row],[Work package ID]],tblDisruptions[Work package ID],0)),"None")</f>
        <v>None</v>
      </c>
      <c r="AJ1075" s="51" t="str">
        <f>TEXT(tblWorkPackages[[#This Row],[Due date serial]],"yyyy-mm")</f>
        <v>2024-11</v>
      </c>
    </row>
    <row r="1076" spans="1:36" ht="15" x14ac:dyDescent="0.25">
      <c r="A1076" s="53" t="s">
        <v>1977</v>
      </c>
      <c r="B1076" s="53" t="s">
        <v>203</v>
      </c>
      <c r="C1076" s="53" t="s">
        <v>755</v>
      </c>
      <c r="D1076" s="53" t="s">
        <v>660</v>
      </c>
      <c r="E1076" s="53" t="s">
        <v>242</v>
      </c>
      <c r="F1076" s="53" t="s">
        <v>243</v>
      </c>
      <c r="G1076" s="53" t="s">
        <v>129</v>
      </c>
      <c r="H1076" s="53">
        <v>2</v>
      </c>
      <c r="I1076" s="53" t="s">
        <v>176</v>
      </c>
      <c r="J1076" s="53">
        <v>0</v>
      </c>
      <c r="K1076" s="53">
        <v>1</v>
      </c>
      <c r="L1076" s="53">
        <v>7.1</v>
      </c>
      <c r="M1076" s="53" t="s">
        <v>757</v>
      </c>
      <c r="N1076" s="53">
        <v>8.9</v>
      </c>
      <c r="O1076" s="51" t="str">
        <f>TEXT(tblWorkPackages[[#This Row],[Request date serial]]-WEEKDAY(tblWorkPackages[[#This Row],[Request date serial]],3),"yyyy-mm-dd")</f>
        <v>2024-09-09</v>
      </c>
      <c r="P1076" s="51">
        <f>ABS(tblWorkPackages[[#This Row],[Actual labor hours]]-tblWorkPackages[[#This Row],[Estimated labor hours]])</f>
        <v>1.8</v>
      </c>
      <c r="Q1076" s="51">
        <f>IF(tblWorkPackages[[#This Row],[Actual labor hours]]&gt;tblWorkPackages[[#This Row],[Estimated labor hours]],1,0)</f>
        <v>1</v>
      </c>
      <c r="R1076" s="51">
        <f>tblWorkPackages[[#This Row],[Actual labor hours]]-tblWorkPackages[[#This Row],[Estimated labor hours]]</f>
        <v>1.8</v>
      </c>
      <c r="S1076" s="51" t="str">
        <f>IF(tblWorkPackages[[#This Row],[Request date serial]]&lt;ValidationStart,"Train 2024",IF(tblWorkPackages[[#This Row],[Request date serial]]&lt;HoldoutStart,"Validation H1","Holdout H2"))</f>
        <v>Train 2024</v>
      </c>
      <c r="T1076" s="51" t="str">
        <f>IF(tblWorkPackages[[#This Row],[Time split]]="Train 2024","",tblWorkPackages[[#This Row],[Estimated labor hours]]+VLOOKUP(tblWorkPackages[[#This Row],[Task type]],'Forecast validation'!$A$14:$E$25,IF(tblWorkPackages[[#This Row],[Time split]]="Validation H1",4,5),FALSE()))</f>
        <v/>
      </c>
      <c r="U1076" s="51" t="str">
        <f>IF(tblWorkPackages[[#This Row],[Calibrated forecast hours]]="","",ABS(tblWorkPackages[[#This Row],[Actual labor hours]]-tblWorkPackages[[#This Row],[Calibrated forecast hours]]))</f>
        <v/>
      </c>
      <c r="V1076" s="51">
        <f>IF(tblWorkPackages[[#This Row],[Time split]]="Train 2024",tblWorkPackages[[#This Row],[Estimated labor hours]],tblWorkPackages[[#This Row],[Calibrated forecast hours]])</f>
        <v>7.1</v>
      </c>
      <c r="W1076" s="64">
        <f>DATEVALUE(tblWorkPackages[[#This Row],[Request date]])</f>
        <v>45550.0</v>
      </c>
      <c r="X1076" s="64">
        <f>DATEVALUE(tblWorkPackages[[#This Row],[Due date]])</f>
        <v>45556.0</v>
      </c>
      <c r="Y1076" s="64">
        <f>DATEVALUE(tblWorkPackages[[#This Row],[Completion date]])</f>
        <v>45557.0</v>
      </c>
      <c r="Z1076" s="64">
        <f>_xlfn.MINIFS(tblLaborEntries[Work date serial],tblLaborEntries[Work package ID],tblWorkPackages[[#This Row],[Work package ID]])</f>
        <v>45554.0</v>
      </c>
      <c r="AA1076" s="64">
        <f>_xlfn.MAXIFS(tblLaborEntries[Work date serial],tblLaborEntries[Work package ID],tblWorkPackages[[#This Row],[Work package ID]])</f>
        <v>45555.0</v>
      </c>
      <c r="AB1076" s="65">
        <f>IF(tblWorkPackages[[#This Row],[Completion date serial]]&gt;tblWorkPackages[[#This Row],[Due date serial]],1,0)</f>
        <v>1</v>
      </c>
      <c r="AC1076" s="65">
        <f>MAX(0,tblWorkPackages[[#This Row],[Completion date serial]]-tblWorkPackages[[#This Row],[Due date serial]])</f>
        <v>1</v>
      </c>
      <c r="AD1076" s="65">
        <f>tblWorkPackages[[#This Row],[First labor date]]-tblWorkPackages[[#This Row],[Request date serial]]</f>
        <v>4</v>
      </c>
      <c r="AE1076" s="65">
        <f>tblWorkPackages[[#This Row],[Last labor date]]-tblWorkPackages[[#This Row],[First labor date]]</f>
        <v>1</v>
      </c>
      <c r="AF1076" s="65">
        <f>tblWorkPackages[[#This Row],[Completion date serial]]-tblWorkPackages[[#This Row],[Last labor date]]</f>
        <v>2</v>
      </c>
      <c r="AG1076" s="65">
        <f>tblWorkPackages[[#This Row],[Completion date serial]]-tblWorkPackages[[#This Row],[Request date serial]]</f>
        <v>7</v>
      </c>
      <c r="AH1076" s="65">
        <f>IFERROR(INDEX(tblParts[Delay days],MATCH(tblWorkPackages[[#This Row],[Work package ID]],tblParts[Work package ID],0)),0)</f>
        <v>0</v>
      </c>
      <c r="AI1076" s="51" t="str">
        <f>IFERROR(INDEX(tblDisruptions[Event type],MATCH(tblWorkPackages[[#This Row],[Work package ID]],tblDisruptions[Work package ID],0)),"None")</f>
        <v>Scope change</v>
      </c>
      <c r="AJ1076" s="51" t="str">
        <f>TEXT(tblWorkPackages[[#This Row],[Due date serial]],"yyyy-mm")</f>
        <v>2024-09</v>
      </c>
    </row>
    <row r="1077" spans="1:36" ht="15" x14ac:dyDescent="0.25">
      <c r="A1077" s="53" t="s">
        <v>1978</v>
      </c>
      <c r="B1077" s="53" t="s">
        <v>250</v>
      </c>
      <c r="C1077" s="53" t="s">
        <v>1118</v>
      </c>
      <c r="D1077" s="53" t="s">
        <v>863</v>
      </c>
      <c r="E1077" s="53" t="s">
        <v>237</v>
      </c>
      <c r="F1077" s="53" t="s">
        <v>182</v>
      </c>
      <c r="G1077" s="53" t="s">
        <v>138</v>
      </c>
      <c r="H1077" s="53">
        <v>1</v>
      </c>
      <c r="I1077" s="53" t="s">
        <v>130</v>
      </c>
      <c r="J1077" s="53">
        <v>0</v>
      </c>
      <c r="K1077" s="53">
        <v>0</v>
      </c>
      <c r="L1077" s="53">
        <v>3.6</v>
      </c>
      <c r="M1077" s="53" t="s">
        <v>673</v>
      </c>
      <c r="N1077" s="53">
        <v>4.5</v>
      </c>
      <c r="O1077" s="51" t="str">
        <f>TEXT(tblWorkPackages[[#This Row],[Request date serial]]-WEEKDAY(tblWorkPackages[[#This Row],[Request date serial]],3),"yyyy-mm-dd")</f>
        <v>2025-06-16</v>
      </c>
      <c r="P1077" s="51">
        <f>ABS(tblWorkPackages[[#This Row],[Actual labor hours]]-tblWorkPackages[[#This Row],[Estimated labor hours]])</f>
        <v>0.9</v>
      </c>
      <c r="Q1077" s="51">
        <f>IF(tblWorkPackages[[#This Row],[Actual labor hours]]&gt;tblWorkPackages[[#This Row],[Estimated labor hours]],1,0)</f>
        <v>1</v>
      </c>
      <c r="R1077" s="51">
        <f>tblWorkPackages[[#This Row],[Actual labor hours]]-tblWorkPackages[[#This Row],[Estimated labor hours]]</f>
        <v>0.9</v>
      </c>
      <c r="S1077" s="51" t="str">
        <f>IF(tblWorkPackages[[#This Row],[Request date serial]]&lt;ValidationStart,"Train 2024",IF(tblWorkPackages[[#This Row],[Request date serial]]&lt;HoldoutStart,"Validation H1","Holdout H2"))</f>
        <v>Validation H1</v>
      </c>
      <c r="T1077" s="51">
        <f>IF(tblWorkPackages[[#This Row],[Time split]]="Train 2024","",tblWorkPackages[[#This Row],[Estimated labor hours]]+VLOOKUP(tblWorkPackages[[#This Row],[Task type]],'Forecast validation'!$A$14:$E$25,IF(tblWorkPackages[[#This Row],[Time split]]="Validation H1",4,5),FALSE()))</f>
        <v>4.1037037037037</v>
      </c>
      <c r="U1077" s="51">
        <f>IF(tblWorkPackages[[#This Row],[Calibrated forecast hours]]="","",ABS(tblWorkPackages[[#This Row],[Actual labor hours]]-tblWorkPackages[[#This Row],[Calibrated forecast hours]]))</f>
        <v>0.396296296296296</v>
      </c>
      <c r="V1077" s="51">
        <f>IF(tblWorkPackages[[#This Row],[Time split]]="Train 2024",tblWorkPackages[[#This Row],[Estimated labor hours]],tblWorkPackages[[#This Row],[Calibrated forecast hours]])</f>
        <v>4.1037037037037</v>
      </c>
      <c r="W1077" s="64">
        <f>DATEVALUE(tblWorkPackages[[#This Row],[Request date]])</f>
        <v>45824.0</v>
      </c>
      <c r="X1077" s="64">
        <f>DATEVALUE(tblWorkPackages[[#This Row],[Due date]])</f>
        <v>45837.0</v>
      </c>
      <c r="Y1077" s="64">
        <f>DATEVALUE(tblWorkPackages[[#This Row],[Completion date]])</f>
        <v>45830.0</v>
      </c>
      <c r="Z1077" s="64">
        <f>_xlfn.MINIFS(tblLaborEntries[Work date serial],tblLaborEntries[Work package ID],tblWorkPackages[[#This Row],[Work package ID]])</f>
        <v>45825.0</v>
      </c>
      <c r="AA1077" s="64">
        <f>_xlfn.MAXIFS(tblLaborEntries[Work date serial],tblLaborEntries[Work package ID],tblWorkPackages[[#This Row],[Work package ID]])</f>
        <v>45827.0</v>
      </c>
      <c r="AB1077" s="65">
        <f>IF(tblWorkPackages[[#This Row],[Completion date serial]]&gt;tblWorkPackages[[#This Row],[Due date serial]],1,0)</f>
        <v>0</v>
      </c>
      <c r="AC1077" s="65">
        <f>MAX(0,tblWorkPackages[[#This Row],[Completion date serial]]-tblWorkPackages[[#This Row],[Due date serial]])</f>
        <v>0</v>
      </c>
      <c r="AD1077" s="65">
        <f>tblWorkPackages[[#This Row],[First labor date]]-tblWorkPackages[[#This Row],[Request date serial]]</f>
        <v>1</v>
      </c>
      <c r="AE1077" s="65">
        <f>tblWorkPackages[[#This Row],[Last labor date]]-tblWorkPackages[[#This Row],[First labor date]]</f>
        <v>2</v>
      </c>
      <c r="AF1077" s="65">
        <f>tblWorkPackages[[#This Row],[Completion date serial]]-tblWorkPackages[[#This Row],[Last labor date]]</f>
        <v>3</v>
      </c>
      <c r="AG1077" s="65">
        <f>tblWorkPackages[[#This Row],[Completion date serial]]-tblWorkPackages[[#This Row],[Request date serial]]</f>
        <v>6</v>
      </c>
      <c r="AH1077" s="65">
        <f>IFERROR(INDEX(tblParts[Delay days],MATCH(tblWorkPackages[[#This Row],[Work package ID]],tblParts[Work package ID],0)),0)</f>
        <v>0</v>
      </c>
      <c r="AI1077" s="51" t="str">
        <f>IFERROR(INDEX(tblDisruptions[Event type],MATCH(tblWorkPackages[[#This Row],[Work package ID]],tblDisruptions[Work package ID],0)),"None")</f>
        <v>None</v>
      </c>
      <c r="AJ1077" s="51" t="str">
        <f>TEXT(tblWorkPackages[[#This Row],[Due date serial]],"yyyy-mm")</f>
        <v>2025-06</v>
      </c>
    </row>
    <row r="1078" spans="1:36" ht="15" x14ac:dyDescent="0.25">
      <c r="A1078" s="53" t="s">
        <v>1979</v>
      </c>
      <c r="B1078" s="53" t="s">
        <v>124</v>
      </c>
      <c r="C1078" s="53" t="s">
        <v>877</v>
      </c>
      <c r="D1078" s="53" t="s">
        <v>817</v>
      </c>
      <c r="E1078" s="53" t="s">
        <v>127</v>
      </c>
      <c r="F1078" s="53" t="s">
        <v>128</v>
      </c>
      <c r="G1078" s="53" t="s">
        <v>129</v>
      </c>
      <c r="H1078" s="53">
        <v>2</v>
      </c>
      <c r="I1078" s="53" t="s">
        <v>130</v>
      </c>
      <c r="J1078" s="53">
        <v>0</v>
      </c>
      <c r="K1078" s="53">
        <v>0</v>
      </c>
      <c r="L1078" s="53">
        <v>6.5</v>
      </c>
      <c r="M1078" s="53" t="s">
        <v>256</v>
      </c>
      <c r="N1078" s="53">
        <v>7.8</v>
      </c>
      <c r="O1078" s="51" t="str">
        <f>TEXT(tblWorkPackages[[#This Row],[Request date serial]]-WEEKDAY(tblWorkPackages[[#This Row],[Request date serial]],3),"yyyy-mm-dd")</f>
        <v>2024-11-25</v>
      </c>
      <c r="P1078" s="51">
        <f>ABS(tblWorkPackages[[#This Row],[Actual labor hours]]-tblWorkPackages[[#This Row],[Estimated labor hours]])</f>
        <v>1.3</v>
      </c>
      <c r="Q1078" s="51">
        <f>IF(tblWorkPackages[[#This Row],[Actual labor hours]]&gt;tblWorkPackages[[#This Row],[Estimated labor hours]],1,0)</f>
        <v>1</v>
      </c>
      <c r="R1078" s="51">
        <f>tblWorkPackages[[#This Row],[Actual labor hours]]-tblWorkPackages[[#This Row],[Estimated labor hours]]</f>
        <v>1.3</v>
      </c>
      <c r="S1078" s="51" t="str">
        <f>IF(tblWorkPackages[[#This Row],[Request date serial]]&lt;ValidationStart,"Train 2024",IF(tblWorkPackages[[#This Row],[Request date serial]]&lt;HoldoutStart,"Validation H1","Holdout H2"))</f>
        <v>Train 2024</v>
      </c>
      <c r="T1078" s="51" t="str">
        <f>IF(tblWorkPackages[[#This Row],[Time split]]="Train 2024","",tblWorkPackages[[#This Row],[Estimated labor hours]]+VLOOKUP(tblWorkPackages[[#This Row],[Task type]],'Forecast validation'!$A$14:$E$25,IF(tblWorkPackages[[#This Row],[Time split]]="Validation H1",4,5),FALSE()))</f>
        <v/>
      </c>
      <c r="U1078" s="51" t="str">
        <f>IF(tblWorkPackages[[#This Row],[Calibrated forecast hours]]="","",ABS(tblWorkPackages[[#This Row],[Actual labor hours]]-tblWorkPackages[[#This Row],[Calibrated forecast hours]]))</f>
        <v/>
      </c>
      <c r="V1078" s="51">
        <f>IF(tblWorkPackages[[#This Row],[Time split]]="Train 2024",tblWorkPackages[[#This Row],[Estimated labor hours]],tblWorkPackages[[#This Row],[Calibrated forecast hours]])</f>
        <v>6.5</v>
      </c>
      <c r="W1078" s="64">
        <f>DATEVALUE(tblWorkPackages[[#This Row],[Request date]])</f>
        <v>45624.0</v>
      </c>
      <c r="X1078" s="64">
        <f>DATEVALUE(tblWorkPackages[[#This Row],[Due date]])</f>
        <v>45637.0</v>
      </c>
      <c r="Y1078" s="64">
        <f>DATEVALUE(tblWorkPackages[[#This Row],[Completion date]])</f>
        <v>45634.0</v>
      </c>
      <c r="Z1078" s="64">
        <f>_xlfn.MINIFS(tblLaborEntries[Work date serial],tblLaborEntries[Work package ID],tblWorkPackages[[#This Row],[Work package ID]])</f>
        <v>45633.0</v>
      </c>
      <c r="AA1078" s="64">
        <f>_xlfn.MAXIFS(tblLaborEntries[Work date serial],tblLaborEntries[Work package ID],tblWorkPackages[[#This Row],[Work package ID]])</f>
        <v>45634.0</v>
      </c>
      <c r="AB1078" s="65">
        <f>IF(tblWorkPackages[[#This Row],[Completion date serial]]&gt;tblWorkPackages[[#This Row],[Due date serial]],1,0)</f>
        <v>0</v>
      </c>
      <c r="AC1078" s="65">
        <f>MAX(0,tblWorkPackages[[#This Row],[Completion date serial]]-tblWorkPackages[[#This Row],[Due date serial]])</f>
        <v>0</v>
      </c>
      <c r="AD1078" s="65">
        <f>tblWorkPackages[[#This Row],[First labor date]]-tblWorkPackages[[#This Row],[Request date serial]]</f>
        <v>9</v>
      </c>
      <c r="AE1078" s="65">
        <f>tblWorkPackages[[#This Row],[Last labor date]]-tblWorkPackages[[#This Row],[First labor date]]</f>
        <v>1</v>
      </c>
      <c r="AF1078" s="65">
        <f>tblWorkPackages[[#This Row],[Completion date serial]]-tblWorkPackages[[#This Row],[Last labor date]]</f>
        <v>0</v>
      </c>
      <c r="AG1078" s="65">
        <f>tblWorkPackages[[#This Row],[Completion date serial]]-tblWorkPackages[[#This Row],[Request date serial]]</f>
        <v>10</v>
      </c>
      <c r="AH1078" s="65">
        <f>IFERROR(INDEX(tblParts[Delay days],MATCH(tblWorkPackages[[#This Row],[Work package ID]],tblParts[Work package ID],0)),0)</f>
        <v>0</v>
      </c>
      <c r="AI1078" s="51" t="str">
        <f>IFERROR(INDEX(tblDisruptions[Event type],MATCH(tblWorkPackages[[#This Row],[Work package ID]],tblDisruptions[Work package ID],0)),"None")</f>
        <v>None</v>
      </c>
      <c r="AJ1078" s="51" t="str">
        <f>TEXT(tblWorkPackages[[#This Row],[Due date serial]],"yyyy-mm")</f>
        <v>2024-12</v>
      </c>
    </row>
    <row r="1079" spans="1:36" ht="15" x14ac:dyDescent="0.25">
      <c r="A1079" s="53" t="s">
        <v>1980</v>
      </c>
      <c r="B1079" s="53" t="s">
        <v>133</v>
      </c>
      <c r="C1079" s="53" t="s">
        <v>428</v>
      </c>
      <c r="D1079" s="53" t="s">
        <v>472</v>
      </c>
      <c r="E1079" s="53" t="s">
        <v>223</v>
      </c>
      <c r="F1079" s="53" t="s">
        <v>182</v>
      </c>
      <c r="G1079" s="53" t="s">
        <v>154</v>
      </c>
      <c r="H1079" s="53">
        <v>4</v>
      </c>
      <c r="I1079" s="53" t="s">
        <v>176</v>
      </c>
      <c r="J1079" s="53">
        <v>0</v>
      </c>
      <c r="K1079" s="53">
        <v>0</v>
      </c>
      <c r="L1079" s="53">
        <v>24.4</v>
      </c>
      <c r="M1079" s="53" t="s">
        <v>676</v>
      </c>
      <c r="N1079" s="53">
        <v>25.7</v>
      </c>
      <c r="O1079" s="51" t="str">
        <f>TEXT(tblWorkPackages[[#This Row],[Request date serial]]-WEEKDAY(tblWorkPackages[[#This Row],[Request date serial]],3),"yyyy-mm-dd")</f>
        <v>2024-04-15</v>
      </c>
      <c r="P1079" s="51">
        <f>ABS(tblWorkPackages[[#This Row],[Actual labor hours]]-tblWorkPackages[[#This Row],[Estimated labor hours]])</f>
        <v>1.3</v>
      </c>
      <c r="Q1079" s="51">
        <f>IF(tblWorkPackages[[#This Row],[Actual labor hours]]&gt;tblWorkPackages[[#This Row],[Estimated labor hours]],1,0)</f>
        <v>1</v>
      </c>
      <c r="R1079" s="51">
        <f>tblWorkPackages[[#This Row],[Actual labor hours]]-tblWorkPackages[[#This Row],[Estimated labor hours]]</f>
        <v>1.3</v>
      </c>
      <c r="S1079" s="51" t="str">
        <f>IF(tblWorkPackages[[#This Row],[Request date serial]]&lt;ValidationStart,"Train 2024",IF(tblWorkPackages[[#This Row],[Request date serial]]&lt;HoldoutStart,"Validation H1","Holdout H2"))</f>
        <v>Train 2024</v>
      </c>
      <c r="T1079" s="51" t="str">
        <f>IF(tblWorkPackages[[#This Row],[Time split]]="Train 2024","",tblWorkPackages[[#This Row],[Estimated labor hours]]+VLOOKUP(tblWorkPackages[[#This Row],[Task type]],'Forecast validation'!$A$14:$E$25,IF(tblWorkPackages[[#This Row],[Time split]]="Validation H1",4,5),FALSE()))</f>
        <v/>
      </c>
      <c r="U1079" s="51" t="str">
        <f>IF(tblWorkPackages[[#This Row],[Calibrated forecast hours]]="","",ABS(tblWorkPackages[[#This Row],[Actual labor hours]]-tblWorkPackages[[#This Row],[Calibrated forecast hours]]))</f>
        <v/>
      </c>
      <c r="V1079" s="51">
        <f>IF(tblWorkPackages[[#This Row],[Time split]]="Train 2024",tblWorkPackages[[#This Row],[Estimated labor hours]],tblWorkPackages[[#This Row],[Calibrated forecast hours]])</f>
        <v>24.4</v>
      </c>
      <c r="W1079" s="64">
        <f>DATEVALUE(tblWorkPackages[[#This Row],[Request date]])</f>
        <v>45402.0</v>
      </c>
      <c r="X1079" s="64">
        <f>DATEVALUE(tblWorkPackages[[#This Row],[Due date]])</f>
        <v>45408.0</v>
      </c>
      <c r="Y1079" s="64">
        <f>DATEVALUE(tblWorkPackages[[#This Row],[Completion date]])</f>
        <v>45405.0</v>
      </c>
      <c r="Z1079" s="64">
        <f>_xlfn.MINIFS(tblLaborEntries[Work date serial],tblLaborEntries[Work package ID],tblWorkPackages[[#This Row],[Work package ID]])</f>
        <v>45404.0</v>
      </c>
      <c r="AA1079" s="64">
        <f>_xlfn.MAXIFS(tblLaborEntries[Work date serial],tblLaborEntries[Work package ID],tblWorkPackages[[#This Row],[Work package ID]])</f>
        <v>45404.0</v>
      </c>
      <c r="AB1079" s="65">
        <f>IF(tblWorkPackages[[#This Row],[Completion date serial]]&gt;tblWorkPackages[[#This Row],[Due date serial]],1,0)</f>
        <v>0</v>
      </c>
      <c r="AC1079" s="65">
        <f>MAX(0,tblWorkPackages[[#This Row],[Completion date serial]]-tblWorkPackages[[#This Row],[Due date serial]])</f>
        <v>0</v>
      </c>
      <c r="AD1079" s="65">
        <f>tblWorkPackages[[#This Row],[First labor date]]-tblWorkPackages[[#This Row],[Request date serial]]</f>
        <v>2</v>
      </c>
      <c r="AE1079" s="65">
        <f>tblWorkPackages[[#This Row],[Last labor date]]-tblWorkPackages[[#This Row],[First labor date]]</f>
        <v>0</v>
      </c>
      <c r="AF1079" s="65">
        <f>tblWorkPackages[[#This Row],[Completion date serial]]-tblWorkPackages[[#This Row],[Last labor date]]</f>
        <v>1</v>
      </c>
      <c r="AG1079" s="65">
        <f>tblWorkPackages[[#This Row],[Completion date serial]]-tblWorkPackages[[#This Row],[Request date serial]]</f>
        <v>3</v>
      </c>
      <c r="AH1079" s="65">
        <f>IFERROR(INDEX(tblParts[Delay days],MATCH(tblWorkPackages[[#This Row],[Work package ID]],tblParts[Work package ID],0)),0)</f>
        <v>0</v>
      </c>
      <c r="AI1079" s="51" t="str">
        <f>IFERROR(INDEX(tblDisruptions[Event type],MATCH(tblWorkPackages[[#This Row],[Work package ID]],tblDisruptions[Work package ID],0)),"None")</f>
        <v>None</v>
      </c>
      <c r="AJ1079" s="51" t="str">
        <f>TEXT(tblWorkPackages[[#This Row],[Due date serial]],"yyyy-mm")</f>
        <v>2024-04</v>
      </c>
    </row>
    <row r="1080" spans="1:36" ht="15" x14ac:dyDescent="0.25">
      <c r="A1080" s="53" t="s">
        <v>1981</v>
      </c>
      <c r="B1080" s="53" t="s">
        <v>157</v>
      </c>
      <c r="C1080" s="53" t="s">
        <v>741</v>
      </c>
      <c r="D1080" s="53" t="s">
        <v>711</v>
      </c>
      <c r="E1080" s="53" t="s">
        <v>200</v>
      </c>
      <c r="F1080" s="53" t="s">
        <v>128</v>
      </c>
      <c r="G1080" s="53" t="s">
        <v>129</v>
      </c>
      <c r="H1080" s="53">
        <v>4</v>
      </c>
      <c r="I1080" s="53" t="s">
        <v>130</v>
      </c>
      <c r="J1080" s="53">
        <v>0</v>
      </c>
      <c r="K1080" s="53">
        <v>1</v>
      </c>
      <c r="L1080" s="53">
        <v>5.5</v>
      </c>
      <c r="M1080" s="53" t="s">
        <v>851</v>
      </c>
      <c r="N1080" s="53">
        <v>6.2</v>
      </c>
      <c r="O1080" s="51" t="str">
        <f>TEXT(tblWorkPackages[[#This Row],[Request date serial]]-WEEKDAY(tblWorkPackages[[#This Row],[Request date serial]],3),"yyyy-mm-dd")</f>
        <v>2025-06-02</v>
      </c>
      <c r="P1080" s="51">
        <f>ABS(tblWorkPackages[[#This Row],[Actual labor hours]]-tblWorkPackages[[#This Row],[Estimated labor hours]])</f>
        <v>0.7</v>
      </c>
      <c r="Q1080" s="51">
        <f>IF(tblWorkPackages[[#This Row],[Actual labor hours]]&gt;tblWorkPackages[[#This Row],[Estimated labor hours]],1,0)</f>
        <v>1</v>
      </c>
      <c r="R1080" s="51">
        <f>tblWorkPackages[[#This Row],[Actual labor hours]]-tblWorkPackages[[#This Row],[Estimated labor hours]]</f>
        <v>0.7</v>
      </c>
      <c r="S1080" s="51" t="str">
        <f>IF(tblWorkPackages[[#This Row],[Request date serial]]&lt;ValidationStart,"Train 2024",IF(tblWorkPackages[[#This Row],[Request date serial]]&lt;HoldoutStart,"Validation H1","Holdout H2"))</f>
        <v>Validation H1</v>
      </c>
      <c r="T1080" s="51">
        <f>IF(tblWorkPackages[[#This Row],[Time split]]="Train 2024","",tblWorkPackages[[#This Row],[Estimated labor hours]]+VLOOKUP(tblWorkPackages[[#This Row],[Task type]],'Forecast validation'!$A$14:$E$25,IF(tblWorkPackages[[#This Row],[Time split]]="Validation H1",4,5),FALSE()))</f>
        <v>5.83069306930693</v>
      </c>
      <c r="U1080" s="51">
        <f>IF(tblWorkPackages[[#This Row],[Calibrated forecast hours]]="","",ABS(tblWorkPackages[[#This Row],[Actual labor hours]]-tblWorkPackages[[#This Row],[Calibrated forecast hours]]))</f>
        <v>0.369306930693069</v>
      </c>
      <c r="V1080" s="51">
        <f>IF(tblWorkPackages[[#This Row],[Time split]]="Train 2024",tblWorkPackages[[#This Row],[Estimated labor hours]],tblWorkPackages[[#This Row],[Calibrated forecast hours]])</f>
        <v>5.83069306930693</v>
      </c>
      <c r="W1080" s="64">
        <f>DATEVALUE(tblWorkPackages[[#This Row],[Request date]])</f>
        <v>45814.0</v>
      </c>
      <c r="X1080" s="64">
        <f>DATEVALUE(tblWorkPackages[[#This Row],[Due date]])</f>
        <v>45827.0</v>
      </c>
      <c r="Y1080" s="64">
        <f>DATEVALUE(tblWorkPackages[[#This Row],[Completion date]])</f>
        <v>45841.0</v>
      </c>
      <c r="Z1080" s="64">
        <f>_xlfn.MINIFS(tblLaborEntries[Work date serial],tblLaborEntries[Work package ID],tblWorkPackages[[#This Row],[Work package ID]])</f>
        <v>45838.0</v>
      </c>
      <c r="AA1080" s="64">
        <f>_xlfn.MAXIFS(tblLaborEntries[Work date serial],tblLaborEntries[Work package ID],tblWorkPackages[[#This Row],[Work package ID]])</f>
        <v>45839.0</v>
      </c>
      <c r="AB1080" s="65">
        <f>IF(tblWorkPackages[[#This Row],[Completion date serial]]&gt;tblWorkPackages[[#This Row],[Due date serial]],1,0)</f>
        <v>1</v>
      </c>
      <c r="AC1080" s="65">
        <f>MAX(0,tblWorkPackages[[#This Row],[Completion date serial]]-tblWorkPackages[[#This Row],[Due date serial]])</f>
        <v>14</v>
      </c>
      <c r="AD1080" s="65">
        <f>tblWorkPackages[[#This Row],[First labor date]]-tblWorkPackages[[#This Row],[Request date serial]]</f>
        <v>24</v>
      </c>
      <c r="AE1080" s="65">
        <f>tblWorkPackages[[#This Row],[Last labor date]]-tblWorkPackages[[#This Row],[First labor date]]</f>
        <v>1</v>
      </c>
      <c r="AF1080" s="65">
        <f>tblWorkPackages[[#This Row],[Completion date serial]]-tblWorkPackages[[#This Row],[Last labor date]]</f>
        <v>2</v>
      </c>
      <c r="AG1080" s="65">
        <f>tblWorkPackages[[#This Row],[Completion date serial]]-tblWorkPackages[[#This Row],[Request date serial]]</f>
        <v>27</v>
      </c>
      <c r="AH1080" s="65">
        <f>IFERROR(INDEX(tblParts[Delay days],MATCH(tblWorkPackages[[#This Row],[Work package ID]],tblParts[Work package ID],0)),0)</f>
        <v>0</v>
      </c>
      <c r="AI1080" s="51" t="str">
        <f>IFERROR(INDEX(tblDisruptions[Event type],MATCH(tblWorkPackages[[#This Row],[Work package ID]],tblDisruptions[Work package ID],0)),"None")</f>
        <v>None</v>
      </c>
      <c r="AJ1080" s="51" t="str">
        <f>TEXT(tblWorkPackages[[#This Row],[Due date serial]],"yyyy-mm")</f>
        <v>2025-06</v>
      </c>
    </row>
    <row r="1081" spans="1:36" ht="15" x14ac:dyDescent="0.25">
      <c r="A1081" s="53" t="s">
        <v>1982</v>
      </c>
      <c r="B1081" s="53" t="s">
        <v>173</v>
      </c>
      <c r="C1081" s="53" t="s">
        <v>707</v>
      </c>
      <c r="D1081" s="53" t="s">
        <v>679</v>
      </c>
      <c r="E1081" s="53" t="s">
        <v>237</v>
      </c>
      <c r="F1081" s="53" t="s">
        <v>182</v>
      </c>
      <c r="G1081" s="53" t="s">
        <v>138</v>
      </c>
      <c r="H1081" s="53">
        <v>3</v>
      </c>
      <c r="I1081" s="53" t="s">
        <v>130</v>
      </c>
      <c r="J1081" s="53">
        <v>0</v>
      </c>
      <c r="K1081" s="53">
        <v>0</v>
      </c>
      <c r="L1081" s="53">
        <v>6.4</v>
      </c>
      <c r="M1081" s="53" t="s">
        <v>395</v>
      </c>
      <c r="N1081" s="53">
        <v>7.1</v>
      </c>
      <c r="O1081" s="51" t="str">
        <f>TEXT(tblWorkPackages[[#This Row],[Request date serial]]-WEEKDAY(tblWorkPackages[[#This Row],[Request date serial]],3),"yyyy-mm-dd")</f>
        <v>2024-12-23</v>
      </c>
      <c r="P1081" s="51">
        <f>ABS(tblWorkPackages[[#This Row],[Actual labor hours]]-tblWorkPackages[[#This Row],[Estimated labor hours]])</f>
        <v>0.699999999999999</v>
      </c>
      <c r="Q1081" s="51">
        <f>IF(tblWorkPackages[[#This Row],[Actual labor hours]]&gt;tblWorkPackages[[#This Row],[Estimated labor hours]],1,0)</f>
        <v>1</v>
      </c>
      <c r="R1081" s="51">
        <f>tblWorkPackages[[#This Row],[Actual labor hours]]-tblWorkPackages[[#This Row],[Estimated labor hours]]</f>
        <v>0.699999999999999</v>
      </c>
      <c r="S1081" s="51" t="str">
        <f>IF(tblWorkPackages[[#This Row],[Request date serial]]&lt;ValidationStart,"Train 2024",IF(tblWorkPackages[[#This Row],[Request date serial]]&lt;HoldoutStart,"Validation H1","Holdout H2"))</f>
        <v>Train 2024</v>
      </c>
      <c r="T1081" s="51" t="str">
        <f>IF(tblWorkPackages[[#This Row],[Time split]]="Train 2024","",tblWorkPackages[[#This Row],[Estimated labor hours]]+VLOOKUP(tblWorkPackages[[#This Row],[Task type]],'Forecast validation'!$A$14:$E$25,IF(tblWorkPackages[[#This Row],[Time split]]="Validation H1",4,5),FALSE()))</f>
        <v/>
      </c>
      <c r="U1081" s="51" t="str">
        <f>IF(tblWorkPackages[[#This Row],[Calibrated forecast hours]]="","",ABS(tblWorkPackages[[#This Row],[Actual labor hours]]-tblWorkPackages[[#This Row],[Calibrated forecast hours]]))</f>
        <v/>
      </c>
      <c r="V1081" s="51">
        <f>IF(tblWorkPackages[[#This Row],[Time split]]="Train 2024",tblWorkPackages[[#This Row],[Estimated labor hours]],tblWorkPackages[[#This Row],[Calibrated forecast hours]])</f>
        <v>6.4</v>
      </c>
      <c r="W1081" s="64">
        <f>DATEVALUE(tblWorkPackages[[#This Row],[Request date]])</f>
        <v>45650.0</v>
      </c>
      <c r="X1081" s="64">
        <f>DATEVALUE(tblWorkPackages[[#This Row],[Due date]])</f>
        <v>45663.0</v>
      </c>
      <c r="Y1081" s="64">
        <f>DATEVALUE(tblWorkPackages[[#This Row],[Completion date]])</f>
        <v>45659.0</v>
      </c>
      <c r="Z1081" s="64">
        <f>_xlfn.MINIFS(tblLaborEntries[Work date serial],tblLaborEntries[Work package ID],tblWorkPackages[[#This Row],[Work package ID]])</f>
        <v>45654.0</v>
      </c>
      <c r="AA1081" s="64">
        <f>_xlfn.MAXIFS(tblLaborEntries[Work date serial],tblLaborEntries[Work package ID],tblWorkPackages[[#This Row],[Work package ID]])</f>
        <v>45656.0</v>
      </c>
      <c r="AB1081" s="65">
        <f>IF(tblWorkPackages[[#This Row],[Completion date serial]]&gt;tblWorkPackages[[#This Row],[Due date serial]],1,0)</f>
        <v>0</v>
      </c>
      <c r="AC1081" s="65">
        <f>MAX(0,tblWorkPackages[[#This Row],[Completion date serial]]-tblWorkPackages[[#This Row],[Due date serial]])</f>
        <v>0</v>
      </c>
      <c r="AD1081" s="65">
        <f>tblWorkPackages[[#This Row],[First labor date]]-tblWorkPackages[[#This Row],[Request date serial]]</f>
        <v>4</v>
      </c>
      <c r="AE1081" s="65">
        <f>tblWorkPackages[[#This Row],[Last labor date]]-tblWorkPackages[[#This Row],[First labor date]]</f>
        <v>2</v>
      </c>
      <c r="AF1081" s="65">
        <f>tblWorkPackages[[#This Row],[Completion date serial]]-tblWorkPackages[[#This Row],[Last labor date]]</f>
        <v>3</v>
      </c>
      <c r="AG1081" s="65">
        <f>tblWorkPackages[[#This Row],[Completion date serial]]-tblWorkPackages[[#This Row],[Request date serial]]</f>
        <v>9</v>
      </c>
      <c r="AH1081" s="65">
        <f>IFERROR(INDEX(tblParts[Delay days],MATCH(tblWorkPackages[[#This Row],[Work package ID]],tblParts[Work package ID],0)),0)</f>
        <v>0</v>
      </c>
      <c r="AI1081" s="51" t="str">
        <f>IFERROR(INDEX(tblDisruptions[Event type],MATCH(tblWorkPackages[[#This Row],[Work package ID]],tblDisruptions[Work package ID],0)),"None")</f>
        <v>None</v>
      </c>
      <c r="AJ1081" s="51" t="str">
        <f>TEXT(tblWorkPackages[[#This Row],[Due date serial]],"yyyy-mm")</f>
        <v>2025-01</v>
      </c>
    </row>
    <row r="1082" spans="1:36" ht="15" x14ac:dyDescent="0.25">
      <c r="A1082" s="53" t="s">
        <v>1983</v>
      </c>
      <c r="B1082" s="53" t="s">
        <v>141</v>
      </c>
      <c r="C1082" s="53" t="s">
        <v>973</v>
      </c>
      <c r="D1082" s="53" t="s">
        <v>1281</v>
      </c>
      <c r="E1082" s="53" t="s">
        <v>242</v>
      </c>
      <c r="F1082" s="53" t="s">
        <v>243</v>
      </c>
      <c r="G1082" s="53" t="s">
        <v>129</v>
      </c>
      <c r="H1082" s="53">
        <v>2</v>
      </c>
      <c r="I1082" s="53" t="s">
        <v>176</v>
      </c>
      <c r="J1082" s="53">
        <v>0</v>
      </c>
      <c r="K1082" s="53">
        <v>0</v>
      </c>
      <c r="L1082" s="53">
        <v>7.6</v>
      </c>
      <c r="M1082" s="53" t="s">
        <v>1614</v>
      </c>
      <c r="N1082" s="53">
        <v>7</v>
      </c>
      <c r="O1082" s="51" t="str">
        <f>TEXT(tblWorkPackages[[#This Row],[Request date serial]]-WEEKDAY(tblWorkPackages[[#This Row],[Request date serial]],3),"yyyy-mm-dd")</f>
        <v>2025-11-24</v>
      </c>
      <c r="P1082" s="51">
        <f>ABS(tblWorkPackages[[#This Row],[Actual labor hours]]-tblWorkPackages[[#This Row],[Estimated labor hours]])</f>
        <v>0.6</v>
      </c>
      <c r="Q1082" s="51">
        <f>IF(tblWorkPackages[[#This Row],[Actual labor hours]]&gt;tblWorkPackages[[#This Row],[Estimated labor hours]],1,0)</f>
        <v>0</v>
      </c>
      <c r="R1082" s="51">
        <f>tblWorkPackages[[#This Row],[Actual labor hours]]-tblWorkPackages[[#This Row],[Estimated labor hours]]</f>
        <v>-0.6</v>
      </c>
      <c r="S1082" s="51" t="str">
        <f>IF(tblWorkPackages[[#This Row],[Request date serial]]&lt;ValidationStart,"Train 2024",IF(tblWorkPackages[[#This Row],[Request date serial]]&lt;HoldoutStart,"Validation H1","Holdout H2"))</f>
        <v>Holdout H2</v>
      </c>
      <c r="T1082" s="51">
        <f>IF(tblWorkPackages[[#This Row],[Time split]]="Train 2024","",tblWorkPackages[[#This Row],[Estimated labor hours]]+VLOOKUP(tblWorkPackages[[#This Row],[Task type]],'Forecast validation'!$A$14:$E$25,IF(tblWorkPackages[[#This Row],[Time split]]="Validation H1",4,5),FALSE()))</f>
        <v>8.42545454545455</v>
      </c>
      <c r="U1082" s="51">
        <f>IF(tblWorkPackages[[#This Row],[Calibrated forecast hours]]="","",ABS(tblWorkPackages[[#This Row],[Actual labor hours]]-tblWorkPackages[[#This Row],[Calibrated forecast hours]]))</f>
        <v>1.42545454545455</v>
      </c>
      <c r="V1082" s="51">
        <f>IF(tblWorkPackages[[#This Row],[Time split]]="Train 2024",tblWorkPackages[[#This Row],[Estimated labor hours]],tblWorkPackages[[#This Row],[Calibrated forecast hours]])</f>
        <v>8.42545454545455</v>
      </c>
      <c r="W1082" s="64">
        <f>DATEVALUE(tblWorkPackages[[#This Row],[Request date]])</f>
        <v>45985.0</v>
      </c>
      <c r="X1082" s="64">
        <f>DATEVALUE(tblWorkPackages[[#This Row],[Due date]])</f>
        <v>45991.0</v>
      </c>
      <c r="Y1082" s="64">
        <f>DATEVALUE(tblWorkPackages[[#This Row],[Completion date]])</f>
        <v>45988.0</v>
      </c>
      <c r="Z1082" s="64">
        <f>_xlfn.MINIFS(tblLaborEntries[Work date serial],tblLaborEntries[Work package ID],tblWorkPackages[[#This Row],[Work package ID]])</f>
        <v>45986.0</v>
      </c>
      <c r="AA1082" s="64">
        <f>_xlfn.MAXIFS(tblLaborEntries[Work date serial],tblLaborEntries[Work package ID],tblWorkPackages[[#This Row],[Work package ID]])</f>
        <v>45988.0</v>
      </c>
      <c r="AB1082" s="65">
        <f>IF(tblWorkPackages[[#This Row],[Completion date serial]]&gt;tblWorkPackages[[#This Row],[Due date serial]],1,0)</f>
        <v>0</v>
      </c>
      <c r="AC1082" s="65">
        <f>MAX(0,tblWorkPackages[[#This Row],[Completion date serial]]-tblWorkPackages[[#This Row],[Due date serial]])</f>
        <v>0</v>
      </c>
      <c r="AD1082" s="65">
        <f>tblWorkPackages[[#This Row],[First labor date]]-tblWorkPackages[[#This Row],[Request date serial]]</f>
        <v>1</v>
      </c>
      <c r="AE1082" s="65">
        <f>tblWorkPackages[[#This Row],[Last labor date]]-tblWorkPackages[[#This Row],[First labor date]]</f>
        <v>2</v>
      </c>
      <c r="AF1082" s="65">
        <f>tblWorkPackages[[#This Row],[Completion date serial]]-tblWorkPackages[[#This Row],[Last labor date]]</f>
        <v>0</v>
      </c>
      <c r="AG1082" s="65">
        <f>tblWorkPackages[[#This Row],[Completion date serial]]-tblWorkPackages[[#This Row],[Request date serial]]</f>
        <v>3</v>
      </c>
      <c r="AH1082" s="65">
        <f>IFERROR(INDEX(tblParts[Delay days],MATCH(tblWorkPackages[[#This Row],[Work package ID]],tblParts[Work package ID],0)),0)</f>
        <v>0</v>
      </c>
      <c r="AI1082" s="51" t="str">
        <f>IFERROR(INDEX(tblDisruptions[Event type],MATCH(tblWorkPackages[[#This Row],[Work package ID]],tblDisruptions[Work package ID],0)),"None")</f>
        <v>None</v>
      </c>
      <c r="AJ1082" s="51" t="str">
        <f>TEXT(tblWorkPackages[[#This Row],[Due date serial]],"yyyy-mm")</f>
        <v>2025-11</v>
      </c>
    </row>
    <row r="1083" spans="1:36" ht="15" x14ac:dyDescent="0.25">
      <c r="A1083" s="53" t="s">
        <v>1984</v>
      </c>
      <c r="B1083" s="53" t="s">
        <v>150</v>
      </c>
      <c r="C1083" s="53" t="s">
        <v>1170</v>
      </c>
      <c r="D1083" s="53" t="s">
        <v>524</v>
      </c>
      <c r="E1083" s="53" t="s">
        <v>237</v>
      </c>
      <c r="F1083" s="53" t="s">
        <v>182</v>
      </c>
      <c r="G1083" s="53" t="s">
        <v>138</v>
      </c>
      <c r="H1083" s="53">
        <v>4</v>
      </c>
      <c r="I1083" s="53" t="s">
        <v>176</v>
      </c>
      <c r="J1083" s="53">
        <v>1</v>
      </c>
      <c r="K1083" s="53">
        <v>0</v>
      </c>
      <c r="L1083" s="53">
        <v>10.199999999999999</v>
      </c>
      <c r="M1083" s="53" t="s">
        <v>1024</v>
      </c>
      <c r="N1083" s="53">
        <v>14.4</v>
      </c>
      <c r="O1083" s="51" t="str">
        <f>TEXT(tblWorkPackages[[#This Row],[Request date serial]]-WEEKDAY(tblWorkPackages[[#This Row],[Request date serial]],3),"yyyy-mm-dd")</f>
        <v>2024-07-01</v>
      </c>
      <c r="P1083" s="51">
        <f>ABS(tblWorkPackages[[#This Row],[Actual labor hours]]-tblWorkPackages[[#This Row],[Estimated labor hours]])</f>
        <v>4.2</v>
      </c>
      <c r="Q1083" s="51">
        <f>IF(tblWorkPackages[[#This Row],[Actual labor hours]]&gt;tblWorkPackages[[#This Row],[Estimated labor hours]],1,0)</f>
        <v>1</v>
      </c>
      <c r="R1083" s="51">
        <f>tblWorkPackages[[#This Row],[Actual labor hours]]-tblWorkPackages[[#This Row],[Estimated labor hours]]</f>
        <v>4.2</v>
      </c>
      <c r="S1083" s="51" t="str">
        <f>IF(tblWorkPackages[[#This Row],[Request date serial]]&lt;ValidationStart,"Train 2024",IF(tblWorkPackages[[#This Row],[Request date serial]]&lt;HoldoutStart,"Validation H1","Holdout H2"))</f>
        <v>Train 2024</v>
      </c>
      <c r="T1083" s="51" t="str">
        <f>IF(tblWorkPackages[[#This Row],[Time split]]="Train 2024","",tblWorkPackages[[#This Row],[Estimated labor hours]]+VLOOKUP(tblWorkPackages[[#This Row],[Task type]],'Forecast validation'!$A$14:$E$25,IF(tblWorkPackages[[#This Row],[Time split]]="Validation H1",4,5),FALSE()))</f>
        <v/>
      </c>
      <c r="U1083" s="51" t="str">
        <f>IF(tblWorkPackages[[#This Row],[Calibrated forecast hours]]="","",ABS(tblWorkPackages[[#This Row],[Actual labor hours]]-tblWorkPackages[[#This Row],[Calibrated forecast hours]]))</f>
        <v/>
      </c>
      <c r="V1083" s="51">
        <f>IF(tblWorkPackages[[#This Row],[Time split]]="Train 2024",tblWorkPackages[[#This Row],[Estimated labor hours]],tblWorkPackages[[#This Row],[Calibrated forecast hours]])</f>
        <v>10.2</v>
      </c>
      <c r="W1083" s="64">
        <f>DATEVALUE(tblWorkPackages[[#This Row],[Request date]])</f>
        <v>45477.0</v>
      </c>
      <c r="X1083" s="64">
        <f>DATEVALUE(tblWorkPackages[[#This Row],[Due date]])</f>
        <v>45483.0</v>
      </c>
      <c r="Y1083" s="64">
        <f>DATEVALUE(tblWorkPackages[[#This Row],[Completion date]])</f>
        <v>45491.0</v>
      </c>
      <c r="Z1083" s="64">
        <f>_xlfn.MINIFS(tblLaborEntries[Work date serial],tblLaborEntries[Work package ID],tblWorkPackages[[#This Row],[Work package ID]])</f>
        <v>45489.0</v>
      </c>
      <c r="AA1083" s="64">
        <f>_xlfn.MAXIFS(tblLaborEntries[Work date serial],tblLaborEntries[Work package ID],tblWorkPackages[[#This Row],[Work package ID]])</f>
        <v>45490.0</v>
      </c>
      <c r="AB1083" s="65">
        <f>IF(tblWorkPackages[[#This Row],[Completion date serial]]&gt;tblWorkPackages[[#This Row],[Due date serial]],1,0)</f>
        <v>1</v>
      </c>
      <c r="AC1083" s="65">
        <f>MAX(0,tblWorkPackages[[#This Row],[Completion date serial]]-tblWorkPackages[[#This Row],[Due date serial]])</f>
        <v>8</v>
      </c>
      <c r="AD1083" s="65">
        <f>tblWorkPackages[[#This Row],[First labor date]]-tblWorkPackages[[#This Row],[Request date serial]]</f>
        <v>12</v>
      </c>
      <c r="AE1083" s="65">
        <f>tblWorkPackages[[#This Row],[Last labor date]]-tblWorkPackages[[#This Row],[First labor date]]</f>
        <v>1</v>
      </c>
      <c r="AF1083" s="65">
        <f>tblWorkPackages[[#This Row],[Completion date serial]]-tblWorkPackages[[#This Row],[Last labor date]]</f>
        <v>1</v>
      </c>
      <c r="AG1083" s="65">
        <f>tblWorkPackages[[#This Row],[Completion date serial]]-tblWorkPackages[[#This Row],[Request date serial]]</f>
        <v>14</v>
      </c>
      <c r="AH1083" s="65">
        <f>IFERROR(INDEX(tblParts[Delay days],MATCH(tblWorkPackages[[#This Row],[Work package ID]],tblParts[Work package ID],0)),0)</f>
        <v>0</v>
      </c>
      <c r="AI1083" s="51" t="str">
        <f>IFERROR(INDEX(tblDisruptions[Event type],MATCH(tblWorkPackages[[#This Row],[Work package ID]],tblDisruptions[Work package ID],0)),"None")</f>
        <v>None</v>
      </c>
      <c r="AJ1083" s="51" t="str">
        <f>TEXT(tblWorkPackages[[#This Row],[Due date serial]],"yyyy-mm")</f>
        <v>2024-07</v>
      </c>
    </row>
    <row r="1084" spans="1:36" ht="15" x14ac:dyDescent="0.25">
      <c r="A1084" s="53" t="s">
        <v>1985</v>
      </c>
      <c r="B1084" s="53" t="s">
        <v>230</v>
      </c>
      <c r="C1084" s="53" t="s">
        <v>1624</v>
      </c>
      <c r="D1084" s="53" t="s">
        <v>1081</v>
      </c>
      <c r="E1084" s="53" t="s">
        <v>209</v>
      </c>
      <c r="F1084" s="53" t="s">
        <v>145</v>
      </c>
      <c r="G1084" s="53" t="s">
        <v>210</v>
      </c>
      <c r="H1084" s="53">
        <v>3</v>
      </c>
      <c r="I1084" s="53" t="s">
        <v>130</v>
      </c>
      <c r="J1084" s="53">
        <v>0</v>
      </c>
      <c r="K1084" s="53">
        <v>1</v>
      </c>
      <c r="L1084" s="53">
        <v>33.700000000000003</v>
      </c>
      <c r="M1084" s="53" t="s">
        <v>807</v>
      </c>
      <c r="N1084" s="53">
        <v>32.4</v>
      </c>
      <c r="O1084" s="51" t="str">
        <f>TEXT(tblWorkPackages[[#This Row],[Request date serial]]-WEEKDAY(tblWorkPackages[[#This Row],[Request date serial]],3),"yyyy-mm-dd")</f>
        <v>2025-04-07</v>
      </c>
      <c r="P1084" s="51">
        <f>ABS(tblWorkPackages[[#This Row],[Actual labor hours]]-tblWorkPackages[[#This Row],[Estimated labor hours]])</f>
        <v>1.3</v>
      </c>
      <c r="Q1084" s="51">
        <f>IF(tblWorkPackages[[#This Row],[Actual labor hours]]&gt;tblWorkPackages[[#This Row],[Estimated labor hours]],1,0)</f>
        <v>0</v>
      </c>
      <c r="R1084" s="51">
        <f>tblWorkPackages[[#This Row],[Actual labor hours]]-tblWorkPackages[[#This Row],[Estimated labor hours]]</f>
        <v>-1.3</v>
      </c>
      <c r="S1084" s="51" t="str">
        <f>IF(tblWorkPackages[[#This Row],[Request date serial]]&lt;ValidationStart,"Train 2024",IF(tblWorkPackages[[#This Row],[Request date serial]]&lt;HoldoutStart,"Validation H1","Holdout H2"))</f>
        <v>Validation H1</v>
      </c>
      <c r="T1084" s="51">
        <f>IF(tblWorkPackages[[#This Row],[Time split]]="Train 2024","",tblWorkPackages[[#This Row],[Estimated labor hours]]+VLOOKUP(tblWorkPackages[[#This Row],[Task type]],'Forecast validation'!$A$14:$E$25,IF(tblWorkPackages[[#This Row],[Time split]]="Validation H1",4,5),FALSE()))</f>
        <v>34.8029850746269</v>
      </c>
      <c r="U1084" s="51">
        <f>IF(tblWorkPackages[[#This Row],[Calibrated forecast hours]]="","",ABS(tblWorkPackages[[#This Row],[Actual labor hours]]-tblWorkPackages[[#This Row],[Calibrated forecast hours]]))</f>
        <v>2.40298507462687</v>
      </c>
      <c r="V1084" s="51">
        <f>IF(tblWorkPackages[[#This Row],[Time split]]="Train 2024",tblWorkPackages[[#This Row],[Estimated labor hours]],tblWorkPackages[[#This Row],[Calibrated forecast hours]])</f>
        <v>34.8029850746269</v>
      </c>
      <c r="W1084" s="64">
        <f>DATEVALUE(tblWorkPackages[[#This Row],[Request date]])</f>
        <v>45756.0</v>
      </c>
      <c r="X1084" s="64">
        <f>DATEVALUE(tblWorkPackages[[#This Row],[Due date]])</f>
        <v>45769.0</v>
      </c>
      <c r="Y1084" s="64">
        <f>DATEVALUE(tblWorkPackages[[#This Row],[Completion date]])</f>
        <v>45766.0</v>
      </c>
      <c r="Z1084" s="64">
        <f>_xlfn.MINIFS(tblLaborEntries[Work date serial],tblLaborEntries[Work package ID],tblWorkPackages[[#This Row],[Work package ID]])</f>
        <v>45762.0</v>
      </c>
      <c r="AA1084" s="64">
        <f>_xlfn.MAXIFS(tblLaborEntries[Work date serial],tblLaborEntries[Work package ID],tblWorkPackages[[#This Row],[Work package ID]])</f>
        <v>45764.0</v>
      </c>
      <c r="AB1084" s="65">
        <f>IF(tblWorkPackages[[#This Row],[Completion date serial]]&gt;tblWorkPackages[[#This Row],[Due date serial]],1,0)</f>
        <v>0</v>
      </c>
      <c r="AC1084" s="65">
        <f>MAX(0,tblWorkPackages[[#This Row],[Completion date serial]]-tblWorkPackages[[#This Row],[Due date serial]])</f>
        <v>0</v>
      </c>
      <c r="AD1084" s="65">
        <f>tblWorkPackages[[#This Row],[First labor date]]-tblWorkPackages[[#This Row],[Request date serial]]</f>
        <v>6</v>
      </c>
      <c r="AE1084" s="65">
        <f>tblWorkPackages[[#This Row],[Last labor date]]-tblWorkPackages[[#This Row],[First labor date]]</f>
        <v>2</v>
      </c>
      <c r="AF1084" s="65">
        <f>tblWorkPackages[[#This Row],[Completion date serial]]-tblWorkPackages[[#This Row],[Last labor date]]</f>
        <v>2</v>
      </c>
      <c r="AG1084" s="65">
        <f>tblWorkPackages[[#This Row],[Completion date serial]]-tblWorkPackages[[#This Row],[Request date serial]]</f>
        <v>10</v>
      </c>
      <c r="AH1084" s="65">
        <f>IFERROR(INDEX(tblParts[Delay days],MATCH(tblWorkPackages[[#This Row],[Work package ID]],tblParts[Work package ID],0)),0)</f>
        <v>3</v>
      </c>
      <c r="AI1084" s="51" t="str">
        <f>IFERROR(INDEX(tblDisruptions[Event type],MATCH(tblWorkPackages[[#This Row],[Work package ID]],tblDisruptions[Work package ID],0)),"None")</f>
        <v>Part delay</v>
      </c>
      <c r="AJ1084" s="51" t="str">
        <f>TEXT(tblWorkPackages[[#This Row],[Due date serial]],"yyyy-mm")</f>
        <v>2025-04</v>
      </c>
    </row>
    <row r="1085" spans="1:36" ht="15" x14ac:dyDescent="0.25">
      <c r="A1085" s="53" t="s">
        <v>1986</v>
      </c>
      <c r="B1085" s="53" t="s">
        <v>287</v>
      </c>
      <c r="C1085" s="53" t="s">
        <v>1056</v>
      </c>
      <c r="D1085" s="53" t="s">
        <v>670</v>
      </c>
      <c r="E1085" s="53" t="s">
        <v>200</v>
      </c>
      <c r="F1085" s="53" t="s">
        <v>128</v>
      </c>
      <c r="G1085" s="53" t="s">
        <v>129</v>
      </c>
      <c r="H1085" s="53">
        <v>2</v>
      </c>
      <c r="I1085" s="53" t="s">
        <v>130</v>
      </c>
      <c r="J1085" s="53">
        <v>0</v>
      </c>
      <c r="K1085" s="53">
        <v>0</v>
      </c>
      <c r="L1085" s="53">
        <v>2.8</v>
      </c>
      <c r="M1085" s="53" t="s">
        <v>1016</v>
      </c>
      <c r="N1085" s="53">
        <v>2.6</v>
      </c>
      <c r="O1085" s="51" t="str">
        <f>TEXT(tblWorkPackages[[#This Row],[Request date serial]]-WEEKDAY(tblWorkPackages[[#This Row],[Request date serial]],3),"yyyy-mm-dd")</f>
        <v>2025-09-08</v>
      </c>
      <c r="P1085" s="51">
        <f>ABS(tblWorkPackages[[#This Row],[Actual labor hours]]-tblWorkPackages[[#This Row],[Estimated labor hours]])</f>
        <v>0.2</v>
      </c>
      <c r="Q1085" s="51">
        <f>IF(tblWorkPackages[[#This Row],[Actual labor hours]]&gt;tblWorkPackages[[#This Row],[Estimated labor hours]],1,0)</f>
        <v>0</v>
      </c>
      <c r="R1085" s="51">
        <f>tblWorkPackages[[#This Row],[Actual labor hours]]-tblWorkPackages[[#This Row],[Estimated labor hours]]</f>
        <v>-0.2</v>
      </c>
      <c r="S1085" s="51" t="str">
        <f>IF(tblWorkPackages[[#This Row],[Request date serial]]&lt;ValidationStart,"Train 2024",IF(tblWorkPackages[[#This Row],[Request date serial]]&lt;HoldoutStart,"Validation H1","Holdout H2"))</f>
        <v>Holdout H2</v>
      </c>
      <c r="T1085" s="51">
        <f>IF(tblWorkPackages[[#This Row],[Time split]]="Train 2024","",tblWorkPackages[[#This Row],[Estimated labor hours]]+VLOOKUP(tblWorkPackages[[#This Row],[Task type]],'Forecast validation'!$A$14:$E$25,IF(tblWorkPackages[[#This Row],[Time split]]="Validation H1",4,5),FALSE()))</f>
        <v>3.12893081761006</v>
      </c>
      <c r="U1085" s="51">
        <f>IF(tblWorkPackages[[#This Row],[Calibrated forecast hours]]="","",ABS(tblWorkPackages[[#This Row],[Actual labor hours]]-tblWorkPackages[[#This Row],[Calibrated forecast hours]]))</f>
        <v>0.528930817610063</v>
      </c>
      <c r="V1085" s="51">
        <f>IF(tblWorkPackages[[#This Row],[Time split]]="Train 2024",tblWorkPackages[[#This Row],[Estimated labor hours]],tblWorkPackages[[#This Row],[Calibrated forecast hours]])</f>
        <v>3.12893081761006</v>
      </c>
      <c r="W1085" s="64">
        <f>DATEVALUE(tblWorkPackages[[#This Row],[Request date]])</f>
        <v>45913.0</v>
      </c>
      <c r="X1085" s="64">
        <f>DATEVALUE(tblWorkPackages[[#This Row],[Due date]])</f>
        <v>45926.0</v>
      </c>
      <c r="Y1085" s="64">
        <f>DATEVALUE(tblWorkPackages[[#This Row],[Completion date]])</f>
        <v>45952.0</v>
      </c>
      <c r="Z1085" s="64">
        <f>_xlfn.MINIFS(tblLaborEntries[Work date serial],tblLaborEntries[Work package ID],tblWorkPackages[[#This Row],[Work package ID]])</f>
        <v>45949.0</v>
      </c>
      <c r="AA1085" s="64">
        <f>_xlfn.MAXIFS(tblLaborEntries[Work date serial],tblLaborEntries[Work package ID],tblWorkPackages[[#This Row],[Work package ID]])</f>
        <v>45949.0</v>
      </c>
      <c r="AB1085" s="65">
        <f>IF(tblWorkPackages[[#This Row],[Completion date serial]]&gt;tblWorkPackages[[#This Row],[Due date serial]],1,0)</f>
        <v>1</v>
      </c>
      <c r="AC1085" s="65">
        <f>MAX(0,tblWorkPackages[[#This Row],[Completion date serial]]-tblWorkPackages[[#This Row],[Due date serial]])</f>
        <v>26</v>
      </c>
      <c r="AD1085" s="65">
        <f>tblWorkPackages[[#This Row],[First labor date]]-tblWorkPackages[[#This Row],[Request date serial]]</f>
        <v>36</v>
      </c>
      <c r="AE1085" s="65">
        <f>tblWorkPackages[[#This Row],[Last labor date]]-tblWorkPackages[[#This Row],[First labor date]]</f>
        <v>0</v>
      </c>
      <c r="AF1085" s="65">
        <f>tblWorkPackages[[#This Row],[Completion date serial]]-tblWorkPackages[[#This Row],[Last labor date]]</f>
        <v>3</v>
      </c>
      <c r="AG1085" s="65">
        <f>tblWorkPackages[[#This Row],[Completion date serial]]-tblWorkPackages[[#This Row],[Request date serial]]</f>
        <v>39</v>
      </c>
      <c r="AH1085" s="65">
        <f>IFERROR(INDEX(tblParts[Delay days],MATCH(tblWorkPackages[[#This Row],[Work package ID]],tblParts[Work package ID],0)),0)</f>
        <v>0</v>
      </c>
      <c r="AI1085" s="51" t="str">
        <f>IFERROR(INDEX(tblDisruptions[Event type],MATCH(tblWorkPackages[[#This Row],[Work package ID]],tblDisruptions[Work package ID],0)),"None")</f>
        <v>Scope change</v>
      </c>
      <c r="AJ1085" s="51" t="str">
        <f>TEXT(tblWorkPackages[[#This Row],[Due date serial]],"yyyy-mm")</f>
        <v>2025-09</v>
      </c>
    </row>
    <row r="1086" spans="1:36" ht="15" x14ac:dyDescent="0.25">
      <c r="A1086" s="53" t="s">
        <v>1987</v>
      </c>
      <c r="B1086" s="53" t="s">
        <v>141</v>
      </c>
      <c r="C1086" s="53" t="s">
        <v>289</v>
      </c>
      <c r="D1086" s="53" t="s">
        <v>670</v>
      </c>
      <c r="E1086" s="53" t="s">
        <v>144</v>
      </c>
      <c r="F1086" s="53" t="s">
        <v>145</v>
      </c>
      <c r="G1086" s="53" t="s">
        <v>146</v>
      </c>
      <c r="H1086" s="53">
        <v>3</v>
      </c>
      <c r="I1086" s="53" t="s">
        <v>176</v>
      </c>
      <c r="J1086" s="53">
        <v>0</v>
      </c>
      <c r="K1086" s="53">
        <v>1</v>
      </c>
      <c r="L1086" s="53">
        <v>12.7</v>
      </c>
      <c r="M1086" s="53" t="s">
        <v>288</v>
      </c>
      <c r="N1086" s="53">
        <v>15.9</v>
      </c>
      <c r="O1086" s="51" t="str">
        <f>TEXT(tblWorkPackages[[#This Row],[Request date serial]]-WEEKDAY(tblWorkPackages[[#This Row],[Request date serial]],3),"yyyy-mm-dd")</f>
        <v>2025-09-15</v>
      </c>
      <c r="P1086" s="51">
        <f>ABS(tblWorkPackages[[#This Row],[Actual labor hours]]-tblWorkPackages[[#This Row],[Estimated labor hours]])</f>
        <v>3.2</v>
      </c>
      <c r="Q1086" s="51">
        <f>IF(tblWorkPackages[[#This Row],[Actual labor hours]]&gt;tblWorkPackages[[#This Row],[Estimated labor hours]],1,0)</f>
        <v>1</v>
      </c>
      <c r="R1086" s="51">
        <f>tblWorkPackages[[#This Row],[Actual labor hours]]-tblWorkPackages[[#This Row],[Estimated labor hours]]</f>
        <v>3.2</v>
      </c>
      <c r="S1086" s="51" t="str">
        <f>IF(tblWorkPackages[[#This Row],[Request date serial]]&lt;ValidationStart,"Train 2024",IF(tblWorkPackages[[#This Row],[Request date serial]]&lt;HoldoutStart,"Validation H1","Holdout H2"))</f>
        <v>Holdout H2</v>
      </c>
      <c r="T1086" s="51">
        <f>IF(tblWorkPackages[[#This Row],[Time split]]="Train 2024","",tblWorkPackages[[#This Row],[Estimated labor hours]]+VLOOKUP(tblWorkPackages[[#This Row],[Task type]],'Forecast validation'!$A$14:$E$25,IF(tblWorkPackages[[#This Row],[Time split]]="Validation H1",4,5),FALSE()))</f>
        <v>13.6735483870968</v>
      </c>
      <c r="U1086" s="51">
        <f>IF(tblWorkPackages[[#This Row],[Calibrated forecast hours]]="","",ABS(tblWorkPackages[[#This Row],[Actual labor hours]]-tblWorkPackages[[#This Row],[Calibrated forecast hours]]))</f>
        <v>2.22645161290323</v>
      </c>
      <c r="V1086" s="51">
        <f>IF(tblWorkPackages[[#This Row],[Time split]]="Train 2024",tblWorkPackages[[#This Row],[Estimated labor hours]],tblWorkPackages[[#This Row],[Calibrated forecast hours]])</f>
        <v>13.6735483870968</v>
      </c>
      <c r="W1086" s="64">
        <f>DATEVALUE(tblWorkPackages[[#This Row],[Request date]])</f>
        <v>45920.0</v>
      </c>
      <c r="X1086" s="64">
        <f>DATEVALUE(tblWorkPackages[[#This Row],[Due date]])</f>
        <v>45926.0</v>
      </c>
      <c r="Y1086" s="64">
        <f>DATEVALUE(tblWorkPackages[[#This Row],[Completion date]])</f>
        <v>45928.0</v>
      </c>
      <c r="Z1086" s="64">
        <f>_xlfn.MINIFS(tblLaborEntries[Work date serial],tblLaborEntries[Work package ID],tblWorkPackages[[#This Row],[Work package ID]])</f>
        <v>45927.0</v>
      </c>
      <c r="AA1086" s="64">
        <f>_xlfn.MAXIFS(tblLaborEntries[Work date serial],tblLaborEntries[Work package ID],tblWorkPackages[[#This Row],[Work package ID]])</f>
        <v>45928.0</v>
      </c>
      <c r="AB1086" s="65">
        <f>IF(tblWorkPackages[[#This Row],[Completion date serial]]&gt;tblWorkPackages[[#This Row],[Due date serial]],1,0)</f>
        <v>1</v>
      </c>
      <c r="AC1086" s="65">
        <f>MAX(0,tblWorkPackages[[#This Row],[Completion date serial]]-tblWorkPackages[[#This Row],[Due date serial]])</f>
        <v>2</v>
      </c>
      <c r="AD1086" s="65">
        <f>tblWorkPackages[[#This Row],[First labor date]]-tblWorkPackages[[#This Row],[Request date serial]]</f>
        <v>7</v>
      </c>
      <c r="AE1086" s="65">
        <f>tblWorkPackages[[#This Row],[Last labor date]]-tblWorkPackages[[#This Row],[First labor date]]</f>
        <v>1</v>
      </c>
      <c r="AF1086" s="65">
        <f>tblWorkPackages[[#This Row],[Completion date serial]]-tblWorkPackages[[#This Row],[Last labor date]]</f>
        <v>0</v>
      </c>
      <c r="AG1086" s="65">
        <f>tblWorkPackages[[#This Row],[Completion date serial]]-tblWorkPackages[[#This Row],[Request date serial]]</f>
        <v>8</v>
      </c>
      <c r="AH1086" s="65">
        <f>IFERROR(INDEX(tblParts[Delay days],MATCH(tblWorkPackages[[#This Row],[Work package ID]],tblParts[Work package ID],0)),0)</f>
        <v>0</v>
      </c>
      <c r="AI1086" s="51" t="str">
        <f>IFERROR(INDEX(tblDisruptions[Event type],MATCH(tblWorkPackages[[#This Row],[Work package ID]],tblDisruptions[Work package ID],0)),"None")</f>
        <v>None</v>
      </c>
      <c r="AJ1086" s="51" t="str">
        <f>TEXT(tblWorkPackages[[#This Row],[Due date serial]],"yyyy-mm")</f>
        <v>2025-09</v>
      </c>
    </row>
    <row r="1087" spans="1:36" ht="15" x14ac:dyDescent="0.25">
      <c r="A1087" s="53" t="s">
        <v>1988</v>
      </c>
      <c r="B1087" s="53" t="s">
        <v>124</v>
      </c>
      <c r="C1087" s="53" t="s">
        <v>1234</v>
      </c>
      <c r="D1087" s="53" t="s">
        <v>228</v>
      </c>
      <c r="E1087" s="53" t="s">
        <v>200</v>
      </c>
      <c r="F1087" s="53" t="s">
        <v>128</v>
      </c>
      <c r="G1087" s="53" t="s">
        <v>129</v>
      </c>
      <c r="H1087" s="53">
        <v>4</v>
      </c>
      <c r="I1087" s="53" t="s">
        <v>130</v>
      </c>
      <c r="J1087" s="53">
        <v>0</v>
      </c>
      <c r="K1087" s="53">
        <v>1</v>
      </c>
      <c r="L1087" s="53">
        <v>5.7</v>
      </c>
      <c r="M1087" s="53" t="s">
        <v>1409</v>
      </c>
      <c r="N1087" s="53">
        <v>9.8000000000000007</v>
      </c>
      <c r="O1087" s="51" t="str">
        <f>TEXT(tblWorkPackages[[#This Row],[Request date serial]]-WEEKDAY(tblWorkPackages[[#This Row],[Request date serial]],3),"yyyy-mm-dd")</f>
        <v>2025-07-21</v>
      </c>
      <c r="P1087" s="51">
        <f>ABS(tblWorkPackages[[#This Row],[Actual labor hours]]-tblWorkPackages[[#This Row],[Estimated labor hours]])</f>
        <v>4.1</v>
      </c>
      <c r="Q1087" s="51">
        <f>IF(tblWorkPackages[[#This Row],[Actual labor hours]]&gt;tblWorkPackages[[#This Row],[Estimated labor hours]],1,0)</f>
        <v>1</v>
      </c>
      <c r="R1087" s="51">
        <f>tblWorkPackages[[#This Row],[Actual labor hours]]-tblWorkPackages[[#This Row],[Estimated labor hours]]</f>
        <v>4.1</v>
      </c>
      <c r="S1087" s="51" t="str">
        <f>IF(tblWorkPackages[[#This Row],[Request date serial]]&lt;ValidationStart,"Train 2024",IF(tblWorkPackages[[#This Row],[Request date serial]]&lt;HoldoutStart,"Validation H1","Holdout H2"))</f>
        <v>Holdout H2</v>
      </c>
      <c r="T1087" s="51">
        <f>IF(tblWorkPackages[[#This Row],[Time split]]="Train 2024","",tblWorkPackages[[#This Row],[Estimated labor hours]]+VLOOKUP(tblWorkPackages[[#This Row],[Task type]],'Forecast validation'!$A$14:$E$25,IF(tblWorkPackages[[#This Row],[Time split]]="Validation H1",4,5),FALSE()))</f>
        <v>6.02893081761006</v>
      </c>
      <c r="U1087" s="51">
        <f>IF(tblWorkPackages[[#This Row],[Calibrated forecast hours]]="","",ABS(tblWorkPackages[[#This Row],[Actual labor hours]]-tblWorkPackages[[#This Row],[Calibrated forecast hours]]))</f>
        <v>3.77106918238994</v>
      </c>
      <c r="V1087" s="51">
        <f>IF(tblWorkPackages[[#This Row],[Time split]]="Train 2024",tblWorkPackages[[#This Row],[Estimated labor hours]],tblWorkPackages[[#This Row],[Calibrated forecast hours]])</f>
        <v>6.02893081761006</v>
      </c>
      <c r="W1087" s="64">
        <f>DATEVALUE(tblWorkPackages[[#This Row],[Request date]])</f>
        <v>45859.0</v>
      </c>
      <c r="X1087" s="64">
        <f>DATEVALUE(tblWorkPackages[[#This Row],[Due date]])</f>
        <v>45872.0</v>
      </c>
      <c r="Y1087" s="64">
        <f>DATEVALUE(tblWorkPackages[[#This Row],[Completion date]])</f>
        <v>45875.0</v>
      </c>
      <c r="Z1087" s="64">
        <f>_xlfn.MINIFS(tblLaborEntries[Work date serial],tblLaborEntries[Work package ID],tblWorkPackages[[#This Row],[Work package ID]])</f>
        <v>45873.0</v>
      </c>
      <c r="AA1087" s="64">
        <f>_xlfn.MAXIFS(tblLaborEntries[Work date serial],tblLaborEntries[Work package ID],tblWorkPackages[[#This Row],[Work package ID]])</f>
        <v>45874.0</v>
      </c>
      <c r="AB1087" s="65">
        <f>IF(tblWorkPackages[[#This Row],[Completion date serial]]&gt;tblWorkPackages[[#This Row],[Due date serial]],1,0)</f>
        <v>1</v>
      </c>
      <c r="AC1087" s="65">
        <f>MAX(0,tblWorkPackages[[#This Row],[Completion date serial]]-tblWorkPackages[[#This Row],[Due date serial]])</f>
        <v>3</v>
      </c>
      <c r="AD1087" s="65">
        <f>tblWorkPackages[[#This Row],[First labor date]]-tblWorkPackages[[#This Row],[Request date serial]]</f>
        <v>14</v>
      </c>
      <c r="AE1087" s="65">
        <f>tblWorkPackages[[#This Row],[Last labor date]]-tblWorkPackages[[#This Row],[First labor date]]</f>
        <v>1</v>
      </c>
      <c r="AF1087" s="65">
        <f>tblWorkPackages[[#This Row],[Completion date serial]]-tblWorkPackages[[#This Row],[Last labor date]]</f>
        <v>1</v>
      </c>
      <c r="AG1087" s="65">
        <f>tblWorkPackages[[#This Row],[Completion date serial]]-tblWorkPackages[[#This Row],[Request date serial]]</f>
        <v>16</v>
      </c>
      <c r="AH1087" s="65">
        <f>IFERROR(INDEX(tblParts[Delay days],MATCH(tblWorkPackages[[#This Row],[Work package ID]],tblParts[Work package ID],0)),0)</f>
        <v>12</v>
      </c>
      <c r="AI1087" s="51" t="str">
        <f>IFERROR(INDEX(tblDisruptions[Event type],MATCH(tblWorkPackages[[#This Row],[Work package ID]],tblDisruptions[Work package ID],0)),"None")</f>
        <v>Part delay</v>
      </c>
      <c r="AJ1087" s="51" t="str">
        <f>TEXT(tblWorkPackages[[#This Row],[Due date serial]],"yyyy-mm")</f>
        <v>2025-08</v>
      </c>
    </row>
    <row r="1088" spans="1:36" ht="15" x14ac:dyDescent="0.25">
      <c r="A1088" s="53" t="s">
        <v>1989</v>
      </c>
      <c r="B1088" s="53" t="s">
        <v>157</v>
      </c>
      <c r="C1088" s="53" t="s">
        <v>365</v>
      </c>
      <c r="D1088" s="53" t="s">
        <v>1184</v>
      </c>
      <c r="E1088" s="53" t="s">
        <v>153</v>
      </c>
      <c r="F1088" s="53" t="s">
        <v>128</v>
      </c>
      <c r="G1088" s="53" t="s">
        <v>154</v>
      </c>
      <c r="H1088" s="53">
        <v>1</v>
      </c>
      <c r="I1088" s="53" t="s">
        <v>176</v>
      </c>
      <c r="J1088" s="53">
        <v>0</v>
      </c>
      <c r="K1088" s="53">
        <v>0</v>
      </c>
      <c r="L1088" s="53">
        <v>6.4</v>
      </c>
      <c r="M1088" s="53" t="s">
        <v>741</v>
      </c>
      <c r="N1088" s="53">
        <v>6.7</v>
      </c>
      <c r="O1088" s="51" t="str">
        <f>TEXT(tblWorkPackages[[#This Row],[Request date serial]]-WEEKDAY(tblWorkPackages[[#This Row],[Request date serial]],3),"yyyy-mm-dd")</f>
        <v>2025-05-19</v>
      </c>
      <c r="P1088" s="51">
        <f>ABS(tblWorkPackages[[#This Row],[Actual labor hours]]-tblWorkPackages[[#This Row],[Estimated labor hours]])</f>
        <v>0.3</v>
      </c>
      <c r="Q1088" s="51">
        <f>IF(tblWorkPackages[[#This Row],[Actual labor hours]]&gt;tblWorkPackages[[#This Row],[Estimated labor hours]],1,0)</f>
        <v>1</v>
      </c>
      <c r="R1088" s="51">
        <f>tblWorkPackages[[#This Row],[Actual labor hours]]-tblWorkPackages[[#This Row],[Estimated labor hours]]</f>
        <v>0.3</v>
      </c>
      <c r="S1088" s="51" t="str">
        <f>IF(tblWorkPackages[[#This Row],[Request date serial]]&lt;ValidationStart,"Train 2024",IF(tblWorkPackages[[#This Row],[Request date serial]]&lt;HoldoutStart,"Validation H1","Holdout H2"))</f>
        <v>Validation H1</v>
      </c>
      <c r="T1088" s="51">
        <f>IF(tblWorkPackages[[#This Row],[Time split]]="Train 2024","",tblWorkPackages[[#This Row],[Estimated labor hours]]+VLOOKUP(tblWorkPackages[[#This Row],[Task type]],'Forecast validation'!$A$14:$E$25,IF(tblWorkPackages[[#This Row],[Time split]]="Validation H1",4,5),FALSE()))</f>
        <v>6.94622641509434</v>
      </c>
      <c r="U1088" s="51">
        <f>IF(tblWorkPackages[[#This Row],[Calibrated forecast hours]]="","",ABS(tblWorkPackages[[#This Row],[Actual labor hours]]-tblWorkPackages[[#This Row],[Calibrated forecast hours]]))</f>
        <v>0.246226415094339</v>
      </c>
      <c r="V1088" s="51">
        <f>IF(tblWorkPackages[[#This Row],[Time split]]="Train 2024",tblWorkPackages[[#This Row],[Estimated labor hours]],tblWorkPackages[[#This Row],[Calibrated forecast hours]])</f>
        <v>6.94622641509434</v>
      </c>
      <c r="W1088" s="64">
        <f>DATEVALUE(tblWorkPackages[[#This Row],[Request date]])</f>
        <v>45796.0</v>
      </c>
      <c r="X1088" s="64">
        <f>DATEVALUE(tblWorkPackages[[#This Row],[Due date]])</f>
        <v>45802.0</v>
      </c>
      <c r="Y1088" s="64">
        <f>DATEVALUE(tblWorkPackages[[#This Row],[Completion date]])</f>
        <v>45814.0</v>
      </c>
      <c r="Z1088" s="64">
        <f>_xlfn.MINIFS(tblLaborEntries[Work date serial],tblLaborEntries[Work package ID],tblWorkPackages[[#This Row],[Work package ID]])</f>
        <v>45812.0</v>
      </c>
      <c r="AA1088" s="64">
        <f>_xlfn.MAXIFS(tblLaborEntries[Work date serial],tblLaborEntries[Work package ID],tblWorkPackages[[#This Row],[Work package ID]])</f>
        <v>45812.0</v>
      </c>
      <c r="AB1088" s="65">
        <f>IF(tblWorkPackages[[#This Row],[Completion date serial]]&gt;tblWorkPackages[[#This Row],[Due date serial]],1,0)</f>
        <v>1</v>
      </c>
      <c r="AC1088" s="65">
        <f>MAX(0,tblWorkPackages[[#This Row],[Completion date serial]]-tblWorkPackages[[#This Row],[Due date serial]])</f>
        <v>12</v>
      </c>
      <c r="AD1088" s="65">
        <f>tblWorkPackages[[#This Row],[First labor date]]-tblWorkPackages[[#This Row],[Request date serial]]</f>
        <v>16</v>
      </c>
      <c r="AE1088" s="65">
        <f>tblWorkPackages[[#This Row],[Last labor date]]-tblWorkPackages[[#This Row],[First labor date]]</f>
        <v>0</v>
      </c>
      <c r="AF1088" s="65">
        <f>tblWorkPackages[[#This Row],[Completion date serial]]-tblWorkPackages[[#This Row],[Last labor date]]</f>
        <v>2</v>
      </c>
      <c r="AG1088" s="65">
        <f>tblWorkPackages[[#This Row],[Completion date serial]]-tblWorkPackages[[#This Row],[Request date serial]]</f>
        <v>18</v>
      </c>
      <c r="AH1088" s="65">
        <f>IFERROR(INDEX(tblParts[Delay days],MATCH(tblWorkPackages[[#This Row],[Work package ID]],tblParts[Work package ID],0)),0)</f>
        <v>0</v>
      </c>
      <c r="AI1088" s="51" t="str">
        <f>IFERROR(INDEX(tblDisruptions[Event type],MATCH(tblWorkPackages[[#This Row],[Work package ID]],tblDisruptions[Work package ID],0)),"None")</f>
        <v>None</v>
      </c>
      <c r="AJ1088" s="51" t="str">
        <f>TEXT(tblWorkPackages[[#This Row],[Due date serial]],"yyyy-mm")</f>
        <v>2025-05</v>
      </c>
    </row>
    <row r="1089" spans="1:36" ht="15" x14ac:dyDescent="0.25">
      <c r="A1089" s="53" t="s">
        <v>1990</v>
      </c>
      <c r="B1089" s="53" t="s">
        <v>124</v>
      </c>
      <c r="C1089" s="53" t="s">
        <v>305</v>
      </c>
      <c r="D1089" s="53" t="s">
        <v>642</v>
      </c>
      <c r="E1089" s="53" t="s">
        <v>237</v>
      </c>
      <c r="F1089" s="53" t="s">
        <v>182</v>
      </c>
      <c r="G1089" s="53" t="s">
        <v>138</v>
      </c>
      <c r="H1089" s="53">
        <v>3</v>
      </c>
      <c r="I1089" s="53" t="s">
        <v>130</v>
      </c>
      <c r="J1089" s="53">
        <v>0</v>
      </c>
      <c r="K1089" s="53">
        <v>0</v>
      </c>
      <c r="L1089" s="53">
        <v>7.3</v>
      </c>
      <c r="M1089" s="53" t="s">
        <v>550</v>
      </c>
      <c r="N1089" s="53">
        <v>6.3</v>
      </c>
      <c r="O1089" s="51" t="str">
        <f>TEXT(tblWorkPackages[[#This Row],[Request date serial]]-WEEKDAY(tblWorkPackages[[#This Row],[Request date serial]],3),"yyyy-mm-dd")</f>
        <v>2024-07-01</v>
      </c>
      <c r="P1089" s="51">
        <f>ABS(tblWorkPackages[[#This Row],[Actual labor hours]]-tblWorkPackages[[#This Row],[Estimated labor hours]])</f>
        <v>1</v>
      </c>
      <c r="Q1089" s="51">
        <f>IF(tblWorkPackages[[#This Row],[Actual labor hours]]&gt;tblWorkPackages[[#This Row],[Estimated labor hours]],1,0)</f>
        <v>0</v>
      </c>
      <c r="R1089" s="51">
        <f>tblWorkPackages[[#This Row],[Actual labor hours]]-tblWorkPackages[[#This Row],[Estimated labor hours]]</f>
        <v>-1</v>
      </c>
      <c r="S1089" s="51" t="str">
        <f>IF(tblWorkPackages[[#This Row],[Request date serial]]&lt;ValidationStart,"Train 2024",IF(tblWorkPackages[[#This Row],[Request date serial]]&lt;HoldoutStart,"Validation H1","Holdout H2"))</f>
        <v>Train 2024</v>
      </c>
      <c r="T1089" s="51" t="str">
        <f>IF(tblWorkPackages[[#This Row],[Time split]]="Train 2024","",tblWorkPackages[[#This Row],[Estimated labor hours]]+VLOOKUP(tblWorkPackages[[#This Row],[Task type]],'Forecast validation'!$A$14:$E$25,IF(tblWorkPackages[[#This Row],[Time split]]="Validation H1",4,5),FALSE()))</f>
        <v/>
      </c>
      <c r="U1089" s="51" t="str">
        <f>IF(tblWorkPackages[[#This Row],[Calibrated forecast hours]]="","",ABS(tblWorkPackages[[#This Row],[Actual labor hours]]-tblWorkPackages[[#This Row],[Calibrated forecast hours]]))</f>
        <v/>
      </c>
      <c r="V1089" s="51">
        <f>IF(tblWorkPackages[[#This Row],[Time split]]="Train 2024",tblWorkPackages[[#This Row],[Estimated labor hours]],tblWorkPackages[[#This Row],[Calibrated forecast hours]])</f>
        <v>7.3</v>
      </c>
      <c r="W1089" s="64">
        <f>DATEVALUE(tblWorkPackages[[#This Row],[Request date]])</f>
        <v>45475.0</v>
      </c>
      <c r="X1089" s="64">
        <f>DATEVALUE(tblWorkPackages[[#This Row],[Due date]])</f>
        <v>45488.0</v>
      </c>
      <c r="Y1089" s="64">
        <f>DATEVALUE(tblWorkPackages[[#This Row],[Completion date]])</f>
        <v>45482.0</v>
      </c>
      <c r="Z1089" s="64">
        <f>_xlfn.MINIFS(tblLaborEntries[Work date serial],tblLaborEntries[Work package ID],tblWorkPackages[[#This Row],[Work package ID]])</f>
        <v>45479.0</v>
      </c>
      <c r="AA1089" s="64">
        <f>_xlfn.MAXIFS(tblLaborEntries[Work date serial],tblLaborEntries[Work package ID],tblWorkPackages[[#This Row],[Work package ID]])</f>
        <v>45479.0</v>
      </c>
      <c r="AB1089" s="65">
        <f>IF(tblWorkPackages[[#This Row],[Completion date serial]]&gt;tblWorkPackages[[#This Row],[Due date serial]],1,0)</f>
        <v>0</v>
      </c>
      <c r="AC1089" s="65">
        <f>MAX(0,tblWorkPackages[[#This Row],[Completion date serial]]-tblWorkPackages[[#This Row],[Due date serial]])</f>
        <v>0</v>
      </c>
      <c r="AD1089" s="65">
        <f>tblWorkPackages[[#This Row],[First labor date]]-tblWorkPackages[[#This Row],[Request date serial]]</f>
        <v>4</v>
      </c>
      <c r="AE1089" s="65">
        <f>tblWorkPackages[[#This Row],[Last labor date]]-tblWorkPackages[[#This Row],[First labor date]]</f>
        <v>0</v>
      </c>
      <c r="AF1089" s="65">
        <f>tblWorkPackages[[#This Row],[Completion date serial]]-tblWorkPackages[[#This Row],[Last labor date]]</f>
        <v>3</v>
      </c>
      <c r="AG1089" s="65">
        <f>tblWorkPackages[[#This Row],[Completion date serial]]-tblWorkPackages[[#This Row],[Request date serial]]</f>
        <v>7</v>
      </c>
      <c r="AH1089" s="65">
        <f>IFERROR(INDEX(tblParts[Delay days],MATCH(tblWorkPackages[[#This Row],[Work package ID]],tblParts[Work package ID],0)),0)</f>
        <v>0</v>
      </c>
      <c r="AI1089" s="51" t="str">
        <f>IFERROR(INDEX(tblDisruptions[Event type],MATCH(tblWorkPackages[[#This Row],[Work package ID]],tblDisruptions[Work package ID],0)),"None")</f>
        <v>None</v>
      </c>
      <c r="AJ1089" s="51" t="str">
        <f>TEXT(tblWorkPackages[[#This Row],[Due date serial]],"yyyy-mm")</f>
        <v>2024-07</v>
      </c>
    </row>
    <row r="1090" spans="1:36" ht="15" x14ac:dyDescent="0.25">
      <c r="A1090" s="53" t="s">
        <v>1991</v>
      </c>
      <c r="B1090" s="53" t="s">
        <v>235</v>
      </c>
      <c r="C1090" s="53" t="s">
        <v>524</v>
      </c>
      <c r="D1090" s="53" t="s">
        <v>166</v>
      </c>
      <c r="E1090" s="53" t="s">
        <v>200</v>
      </c>
      <c r="F1090" s="53" t="s">
        <v>128</v>
      </c>
      <c r="G1090" s="53" t="s">
        <v>129</v>
      </c>
      <c r="H1090" s="53">
        <v>3</v>
      </c>
      <c r="I1090" s="53" t="s">
        <v>147</v>
      </c>
      <c r="J1090" s="53">
        <v>1</v>
      </c>
      <c r="K1090" s="53">
        <v>0</v>
      </c>
      <c r="L1090" s="53">
        <v>4.0999999999999996</v>
      </c>
      <c r="M1090" s="53" t="s">
        <v>166</v>
      </c>
      <c r="N1090" s="53">
        <v>4.5999999999999996</v>
      </c>
      <c r="O1090" s="51" t="str">
        <f>TEXT(tblWorkPackages[[#This Row],[Request date serial]]-WEEKDAY(tblWorkPackages[[#This Row],[Request date serial]],3),"yyyy-mm-dd")</f>
        <v>2024-07-08</v>
      </c>
      <c r="P1090" s="51">
        <f>ABS(tblWorkPackages[[#This Row],[Actual labor hours]]-tblWorkPackages[[#This Row],[Estimated labor hours]])</f>
        <v>0.5</v>
      </c>
      <c r="Q1090" s="51">
        <f>IF(tblWorkPackages[[#This Row],[Actual labor hours]]&gt;tblWorkPackages[[#This Row],[Estimated labor hours]],1,0)</f>
        <v>1</v>
      </c>
      <c r="R1090" s="51">
        <f>tblWorkPackages[[#This Row],[Actual labor hours]]-tblWorkPackages[[#This Row],[Estimated labor hours]]</f>
        <v>0.5</v>
      </c>
      <c r="S1090" s="51" t="str">
        <f>IF(tblWorkPackages[[#This Row],[Request date serial]]&lt;ValidationStart,"Train 2024",IF(tblWorkPackages[[#This Row],[Request date serial]]&lt;HoldoutStart,"Validation H1","Holdout H2"))</f>
        <v>Train 2024</v>
      </c>
      <c r="T1090" s="51" t="str">
        <f>IF(tblWorkPackages[[#This Row],[Time split]]="Train 2024","",tblWorkPackages[[#This Row],[Estimated labor hours]]+VLOOKUP(tblWorkPackages[[#This Row],[Task type]],'Forecast validation'!$A$14:$E$25,IF(tblWorkPackages[[#This Row],[Time split]]="Validation H1",4,5),FALSE()))</f>
        <v/>
      </c>
      <c r="U1090" s="51" t="str">
        <f>IF(tblWorkPackages[[#This Row],[Calibrated forecast hours]]="","",ABS(tblWorkPackages[[#This Row],[Actual labor hours]]-tblWorkPackages[[#This Row],[Calibrated forecast hours]]))</f>
        <v/>
      </c>
      <c r="V1090" s="51">
        <f>IF(tblWorkPackages[[#This Row],[Time split]]="Train 2024",tblWorkPackages[[#This Row],[Estimated labor hours]],tblWorkPackages[[#This Row],[Calibrated forecast hours]])</f>
        <v>4.1</v>
      </c>
      <c r="W1090" s="64">
        <f>DATEVALUE(tblWorkPackages[[#This Row],[Request date]])</f>
        <v>45483.0</v>
      </c>
      <c r="X1090" s="64">
        <f>DATEVALUE(tblWorkPackages[[#This Row],[Due date]])</f>
        <v>45485.0</v>
      </c>
      <c r="Y1090" s="64">
        <f>DATEVALUE(tblWorkPackages[[#This Row],[Completion date]])</f>
        <v>45485.0</v>
      </c>
      <c r="Z1090" s="64">
        <f>_xlfn.MINIFS(tblLaborEntries[Work date serial],tblLaborEntries[Work package ID],tblWorkPackages[[#This Row],[Work package ID]])</f>
        <v>45484.0</v>
      </c>
      <c r="AA1090" s="64">
        <f>_xlfn.MAXIFS(tblLaborEntries[Work date serial],tblLaborEntries[Work package ID],tblWorkPackages[[#This Row],[Work package ID]])</f>
        <v>45485.0</v>
      </c>
      <c r="AB1090" s="65">
        <f>IF(tblWorkPackages[[#This Row],[Completion date serial]]&gt;tblWorkPackages[[#This Row],[Due date serial]],1,0)</f>
        <v>0</v>
      </c>
      <c r="AC1090" s="65">
        <f>MAX(0,tblWorkPackages[[#This Row],[Completion date serial]]-tblWorkPackages[[#This Row],[Due date serial]])</f>
        <v>0</v>
      </c>
      <c r="AD1090" s="65">
        <f>tblWorkPackages[[#This Row],[First labor date]]-tblWorkPackages[[#This Row],[Request date serial]]</f>
        <v>1</v>
      </c>
      <c r="AE1090" s="65">
        <f>tblWorkPackages[[#This Row],[Last labor date]]-tblWorkPackages[[#This Row],[First labor date]]</f>
        <v>1</v>
      </c>
      <c r="AF1090" s="65">
        <f>tblWorkPackages[[#This Row],[Completion date serial]]-tblWorkPackages[[#This Row],[Last labor date]]</f>
        <v>0</v>
      </c>
      <c r="AG1090" s="65">
        <f>tblWorkPackages[[#This Row],[Completion date serial]]-tblWorkPackages[[#This Row],[Request date serial]]</f>
        <v>2</v>
      </c>
      <c r="AH1090" s="65">
        <f>IFERROR(INDEX(tblParts[Delay days],MATCH(tblWorkPackages[[#This Row],[Work package ID]],tblParts[Work package ID],0)),0)</f>
        <v>0</v>
      </c>
      <c r="AI1090" s="51" t="str">
        <f>IFERROR(INDEX(tblDisruptions[Event type],MATCH(tblWorkPackages[[#This Row],[Work package ID]],tblDisruptions[Work package ID],0)),"None")</f>
        <v>None</v>
      </c>
      <c r="AJ1090" s="51" t="str">
        <f>TEXT(tblWorkPackages[[#This Row],[Due date serial]],"yyyy-mm")</f>
        <v>2024-07</v>
      </c>
    </row>
    <row r="1091" spans="1:36" ht="15" x14ac:dyDescent="0.25">
      <c r="A1091" s="53" t="s">
        <v>1992</v>
      </c>
      <c r="B1091" s="53" t="s">
        <v>150</v>
      </c>
      <c r="C1091" s="53" t="s">
        <v>787</v>
      </c>
      <c r="D1091" s="53" t="s">
        <v>294</v>
      </c>
      <c r="E1091" s="53" t="s">
        <v>237</v>
      </c>
      <c r="F1091" s="53" t="s">
        <v>182</v>
      </c>
      <c r="G1091" s="53" t="s">
        <v>138</v>
      </c>
      <c r="H1091" s="53">
        <v>1</v>
      </c>
      <c r="I1091" s="53" t="s">
        <v>147</v>
      </c>
      <c r="J1091" s="53">
        <v>0</v>
      </c>
      <c r="K1091" s="53">
        <v>1</v>
      </c>
      <c r="L1091" s="53">
        <v>3.3</v>
      </c>
      <c r="M1091" s="53" t="s">
        <v>895</v>
      </c>
      <c r="N1091" s="53">
        <v>2.9</v>
      </c>
      <c r="O1091" s="51" t="str">
        <f>TEXT(tblWorkPackages[[#This Row],[Request date serial]]-WEEKDAY(tblWorkPackages[[#This Row],[Request date serial]],3),"yyyy-mm-dd")</f>
        <v>2024-09-02</v>
      </c>
      <c r="P1091" s="51">
        <f>ABS(tblWorkPackages[[#This Row],[Actual labor hours]]-tblWorkPackages[[#This Row],[Estimated labor hours]])</f>
        <v>0.4</v>
      </c>
      <c r="Q1091" s="51">
        <f>IF(tblWorkPackages[[#This Row],[Actual labor hours]]&gt;tblWorkPackages[[#This Row],[Estimated labor hours]],1,0)</f>
        <v>0</v>
      </c>
      <c r="R1091" s="51">
        <f>tblWorkPackages[[#This Row],[Actual labor hours]]-tblWorkPackages[[#This Row],[Estimated labor hours]]</f>
        <v>-0.4</v>
      </c>
      <c r="S1091" s="51" t="str">
        <f>IF(tblWorkPackages[[#This Row],[Request date serial]]&lt;ValidationStart,"Train 2024",IF(tblWorkPackages[[#This Row],[Request date serial]]&lt;HoldoutStart,"Validation H1","Holdout H2"))</f>
        <v>Train 2024</v>
      </c>
      <c r="T1091" s="51" t="str">
        <f>IF(tblWorkPackages[[#This Row],[Time split]]="Train 2024","",tblWorkPackages[[#This Row],[Estimated labor hours]]+VLOOKUP(tblWorkPackages[[#This Row],[Task type]],'Forecast validation'!$A$14:$E$25,IF(tblWorkPackages[[#This Row],[Time split]]="Validation H1",4,5),FALSE()))</f>
        <v/>
      </c>
      <c r="U1091" s="51" t="str">
        <f>IF(tblWorkPackages[[#This Row],[Calibrated forecast hours]]="","",ABS(tblWorkPackages[[#This Row],[Actual labor hours]]-tblWorkPackages[[#This Row],[Calibrated forecast hours]]))</f>
        <v/>
      </c>
      <c r="V1091" s="51">
        <f>IF(tblWorkPackages[[#This Row],[Time split]]="Train 2024",tblWorkPackages[[#This Row],[Estimated labor hours]],tblWorkPackages[[#This Row],[Calibrated forecast hours]])</f>
        <v>3.3</v>
      </c>
      <c r="W1091" s="64">
        <f>DATEVALUE(tblWorkPackages[[#This Row],[Request date]])</f>
        <v>45541.0</v>
      </c>
      <c r="X1091" s="64">
        <f>DATEVALUE(tblWorkPackages[[#This Row],[Due date]])</f>
        <v>45543.0</v>
      </c>
      <c r="Y1091" s="64">
        <f>DATEVALUE(tblWorkPackages[[#This Row],[Completion date]])</f>
        <v>45553.0</v>
      </c>
      <c r="Z1091" s="64">
        <f>_xlfn.MINIFS(tblLaborEntries[Work date serial],tblLaborEntries[Work package ID],tblWorkPackages[[#This Row],[Work package ID]])</f>
        <v>45551.0</v>
      </c>
      <c r="AA1091" s="64">
        <f>_xlfn.MAXIFS(tblLaborEntries[Work date serial],tblLaborEntries[Work package ID],tblWorkPackages[[#This Row],[Work package ID]])</f>
        <v>45552.0</v>
      </c>
      <c r="AB1091" s="65">
        <f>IF(tblWorkPackages[[#This Row],[Completion date serial]]&gt;tblWorkPackages[[#This Row],[Due date serial]],1,0)</f>
        <v>1</v>
      </c>
      <c r="AC1091" s="65">
        <f>MAX(0,tblWorkPackages[[#This Row],[Completion date serial]]-tblWorkPackages[[#This Row],[Due date serial]])</f>
        <v>10</v>
      </c>
      <c r="AD1091" s="65">
        <f>tblWorkPackages[[#This Row],[First labor date]]-tblWorkPackages[[#This Row],[Request date serial]]</f>
        <v>10</v>
      </c>
      <c r="AE1091" s="65">
        <f>tblWorkPackages[[#This Row],[Last labor date]]-tblWorkPackages[[#This Row],[First labor date]]</f>
        <v>1</v>
      </c>
      <c r="AF1091" s="65">
        <f>tblWorkPackages[[#This Row],[Completion date serial]]-tblWorkPackages[[#This Row],[Last labor date]]</f>
        <v>1</v>
      </c>
      <c r="AG1091" s="65">
        <f>tblWorkPackages[[#This Row],[Completion date serial]]-tblWorkPackages[[#This Row],[Request date serial]]</f>
        <v>12</v>
      </c>
      <c r="AH1091" s="65">
        <f>IFERROR(INDEX(tblParts[Delay days],MATCH(tblWorkPackages[[#This Row],[Work package ID]],tblParts[Work package ID],0)),0)</f>
        <v>0</v>
      </c>
      <c r="AI1091" s="51" t="str">
        <f>IFERROR(INDEX(tblDisruptions[Event type],MATCH(tblWorkPackages[[#This Row],[Work package ID]],tblDisruptions[Work package ID],0)),"None")</f>
        <v>None</v>
      </c>
      <c r="AJ1091" s="51" t="str">
        <f>TEXT(tblWorkPackages[[#This Row],[Due date serial]],"yyyy-mm")</f>
        <v>2024-09</v>
      </c>
    </row>
    <row r="1092" spans="1:36" ht="15" x14ac:dyDescent="0.25">
      <c r="A1092" s="53" t="s">
        <v>1993</v>
      </c>
      <c r="B1092" s="53" t="s">
        <v>185</v>
      </c>
      <c r="C1092" s="53" t="s">
        <v>410</v>
      </c>
      <c r="D1092" s="53" t="s">
        <v>729</v>
      </c>
      <c r="E1092" s="53" t="s">
        <v>136</v>
      </c>
      <c r="F1092" s="53" t="s">
        <v>137</v>
      </c>
      <c r="G1092" s="53" t="s">
        <v>138</v>
      </c>
      <c r="H1092" s="53">
        <v>3</v>
      </c>
      <c r="I1092" s="53" t="s">
        <v>176</v>
      </c>
      <c r="J1092" s="53">
        <v>1</v>
      </c>
      <c r="K1092" s="53">
        <v>0</v>
      </c>
      <c r="L1092" s="53">
        <v>22.7</v>
      </c>
      <c r="M1092" s="53" t="s">
        <v>729</v>
      </c>
      <c r="N1092" s="53">
        <v>36.700000000000003</v>
      </c>
      <c r="O1092" s="51" t="str">
        <f>TEXT(tblWorkPackages[[#This Row],[Request date serial]]-WEEKDAY(tblWorkPackages[[#This Row],[Request date serial]],3),"yyyy-mm-dd")</f>
        <v>2025-04-28</v>
      </c>
      <c r="P1092" s="51">
        <f>ABS(tblWorkPackages[[#This Row],[Actual labor hours]]-tblWorkPackages[[#This Row],[Estimated labor hours]])</f>
        <v>14</v>
      </c>
      <c r="Q1092" s="51">
        <f>IF(tblWorkPackages[[#This Row],[Actual labor hours]]&gt;tblWorkPackages[[#This Row],[Estimated labor hours]],1,0)</f>
        <v>1</v>
      </c>
      <c r="R1092" s="51">
        <f>tblWorkPackages[[#This Row],[Actual labor hours]]-tblWorkPackages[[#This Row],[Estimated labor hours]]</f>
        <v>14</v>
      </c>
      <c r="S1092" s="51" t="str">
        <f>IF(tblWorkPackages[[#This Row],[Request date serial]]&lt;ValidationStart,"Train 2024",IF(tblWorkPackages[[#This Row],[Request date serial]]&lt;HoldoutStart,"Validation H1","Holdout H2"))</f>
        <v>Validation H1</v>
      </c>
      <c r="T1092" s="51">
        <f>IF(tblWorkPackages[[#This Row],[Time split]]="Train 2024","",tblWorkPackages[[#This Row],[Estimated labor hours]]+VLOOKUP(tblWorkPackages[[#This Row],[Task type]],'Forecast validation'!$A$14:$E$25,IF(tblWorkPackages[[#This Row],[Time split]]="Validation H1",4,5),FALSE()))</f>
        <v>23.5765306122449</v>
      </c>
      <c r="U1092" s="51">
        <f>IF(tblWorkPackages[[#This Row],[Calibrated forecast hours]]="","",ABS(tblWorkPackages[[#This Row],[Actual labor hours]]-tblWorkPackages[[#This Row],[Calibrated forecast hours]]))</f>
        <v>13.1234693877551</v>
      </c>
      <c r="V1092" s="51">
        <f>IF(tblWorkPackages[[#This Row],[Time split]]="Train 2024",tblWorkPackages[[#This Row],[Estimated labor hours]],tblWorkPackages[[#This Row],[Calibrated forecast hours]])</f>
        <v>23.5765306122449</v>
      </c>
      <c r="W1092" s="64">
        <f>DATEVALUE(tblWorkPackages[[#This Row],[Request date]])</f>
        <v>45778.0</v>
      </c>
      <c r="X1092" s="64">
        <f>DATEVALUE(tblWorkPackages[[#This Row],[Due date]])</f>
        <v>45784.0</v>
      </c>
      <c r="Y1092" s="64">
        <f>DATEVALUE(tblWorkPackages[[#This Row],[Completion date]])</f>
        <v>45784.0</v>
      </c>
      <c r="Z1092" s="64">
        <f>_xlfn.MINIFS(tblLaborEntries[Work date serial],tblLaborEntries[Work package ID],tblWorkPackages[[#This Row],[Work package ID]])</f>
        <v>45781.0</v>
      </c>
      <c r="AA1092" s="64">
        <f>_xlfn.MAXIFS(tblLaborEntries[Work date serial],tblLaborEntries[Work package ID],tblWorkPackages[[#This Row],[Work package ID]])</f>
        <v>45782.0</v>
      </c>
      <c r="AB1092" s="65">
        <f>IF(tblWorkPackages[[#This Row],[Completion date serial]]&gt;tblWorkPackages[[#This Row],[Due date serial]],1,0)</f>
        <v>0</v>
      </c>
      <c r="AC1092" s="65">
        <f>MAX(0,tblWorkPackages[[#This Row],[Completion date serial]]-tblWorkPackages[[#This Row],[Due date serial]])</f>
        <v>0</v>
      </c>
      <c r="AD1092" s="65">
        <f>tblWorkPackages[[#This Row],[First labor date]]-tblWorkPackages[[#This Row],[Request date serial]]</f>
        <v>3</v>
      </c>
      <c r="AE1092" s="65">
        <f>tblWorkPackages[[#This Row],[Last labor date]]-tblWorkPackages[[#This Row],[First labor date]]</f>
        <v>1</v>
      </c>
      <c r="AF1092" s="65">
        <f>tblWorkPackages[[#This Row],[Completion date serial]]-tblWorkPackages[[#This Row],[Last labor date]]</f>
        <v>2</v>
      </c>
      <c r="AG1092" s="65">
        <f>tblWorkPackages[[#This Row],[Completion date serial]]-tblWorkPackages[[#This Row],[Request date serial]]</f>
        <v>6</v>
      </c>
      <c r="AH1092" s="65">
        <f>IFERROR(INDEX(tblParts[Delay days],MATCH(tblWorkPackages[[#This Row],[Work package ID]],tblParts[Work package ID],0)),0)</f>
        <v>0</v>
      </c>
      <c r="AI1092" s="51" t="str">
        <f>IFERROR(INDEX(tblDisruptions[Event type],MATCH(tblWorkPackages[[#This Row],[Work package ID]],tblDisruptions[Work package ID],0)),"None")</f>
        <v>Equipment unavailable</v>
      </c>
      <c r="AJ1092" s="51" t="str">
        <f>TEXT(tblWorkPackages[[#This Row],[Due date serial]],"yyyy-mm")</f>
        <v>2025-05</v>
      </c>
    </row>
    <row r="1093" spans="1:36" ht="15" x14ac:dyDescent="0.25">
      <c r="A1093" s="53" t="s">
        <v>1994</v>
      </c>
      <c r="B1093" s="53" t="s">
        <v>124</v>
      </c>
      <c r="C1093" s="53" t="s">
        <v>1213</v>
      </c>
      <c r="D1093" s="53" t="s">
        <v>579</v>
      </c>
      <c r="E1093" s="53" t="s">
        <v>127</v>
      </c>
      <c r="F1093" s="53" t="s">
        <v>128</v>
      </c>
      <c r="G1093" s="53" t="s">
        <v>129</v>
      </c>
      <c r="H1093" s="53">
        <v>1</v>
      </c>
      <c r="I1093" s="53" t="s">
        <v>130</v>
      </c>
      <c r="J1093" s="53">
        <v>0</v>
      </c>
      <c r="K1093" s="53">
        <v>1</v>
      </c>
      <c r="L1093" s="53">
        <v>4.5</v>
      </c>
      <c r="M1093" s="53" t="s">
        <v>647</v>
      </c>
      <c r="N1093" s="53">
        <v>6.7</v>
      </c>
      <c r="O1093" s="51" t="str">
        <f>TEXT(tblWorkPackages[[#This Row],[Request date serial]]-WEEKDAY(tblWorkPackages[[#This Row],[Request date serial]],3),"yyyy-mm-dd")</f>
        <v>2025-12-15</v>
      </c>
      <c r="P1093" s="51">
        <f>ABS(tblWorkPackages[[#This Row],[Actual labor hours]]-tblWorkPackages[[#This Row],[Estimated labor hours]])</f>
        <v>2.2</v>
      </c>
      <c r="Q1093" s="51">
        <f>IF(tblWorkPackages[[#This Row],[Actual labor hours]]&gt;tblWorkPackages[[#This Row],[Estimated labor hours]],1,0)</f>
        <v>1</v>
      </c>
      <c r="R1093" s="51">
        <f>tblWorkPackages[[#This Row],[Actual labor hours]]-tblWorkPackages[[#This Row],[Estimated labor hours]]</f>
        <v>2.2</v>
      </c>
      <c r="S1093" s="51" t="str">
        <f>IF(tblWorkPackages[[#This Row],[Request date serial]]&lt;ValidationStart,"Train 2024",IF(tblWorkPackages[[#This Row],[Request date serial]]&lt;HoldoutStart,"Validation H1","Holdout H2"))</f>
        <v>Holdout H2</v>
      </c>
      <c r="T1093" s="51">
        <f>IF(tblWorkPackages[[#This Row],[Time split]]="Train 2024","",tblWorkPackages[[#This Row],[Estimated labor hours]]+VLOOKUP(tblWorkPackages[[#This Row],[Task type]],'Forecast validation'!$A$14:$E$25,IF(tblWorkPackages[[#This Row],[Time split]]="Validation H1",4,5),FALSE()))</f>
        <v>5.04341085271318</v>
      </c>
      <c r="U1093" s="51">
        <f>IF(tblWorkPackages[[#This Row],[Calibrated forecast hours]]="","",ABS(tblWorkPackages[[#This Row],[Actual labor hours]]-tblWorkPackages[[#This Row],[Calibrated forecast hours]]))</f>
        <v>1.65658914728682</v>
      </c>
      <c r="V1093" s="51">
        <f>IF(tblWorkPackages[[#This Row],[Time split]]="Train 2024",tblWorkPackages[[#This Row],[Estimated labor hours]],tblWorkPackages[[#This Row],[Calibrated forecast hours]])</f>
        <v>5.04341085271318</v>
      </c>
      <c r="W1093" s="64">
        <f>DATEVALUE(tblWorkPackages[[#This Row],[Request date]])</f>
        <v>46008.0</v>
      </c>
      <c r="X1093" s="64">
        <f>DATEVALUE(tblWorkPackages[[#This Row],[Due date]])</f>
        <v>46021.0</v>
      </c>
      <c r="Y1093" s="64">
        <f>DATEVALUE(tblWorkPackages[[#This Row],[Completion date]])</f>
        <v>46042.0</v>
      </c>
      <c r="Z1093" s="64">
        <f>_xlfn.MINIFS(tblLaborEntries[Work date serial],tblLaborEntries[Work package ID],tblWorkPackages[[#This Row],[Work package ID]])</f>
        <v>46037.0</v>
      </c>
      <c r="AA1093" s="64">
        <f>_xlfn.MAXIFS(tblLaborEntries[Work date serial],tblLaborEntries[Work package ID],tblWorkPackages[[#This Row],[Work package ID]])</f>
        <v>46039.0</v>
      </c>
      <c r="AB1093" s="65">
        <f>IF(tblWorkPackages[[#This Row],[Completion date serial]]&gt;tblWorkPackages[[#This Row],[Due date serial]],1,0)</f>
        <v>1</v>
      </c>
      <c r="AC1093" s="65">
        <f>MAX(0,tblWorkPackages[[#This Row],[Completion date serial]]-tblWorkPackages[[#This Row],[Due date serial]])</f>
        <v>21</v>
      </c>
      <c r="AD1093" s="65">
        <f>tblWorkPackages[[#This Row],[First labor date]]-tblWorkPackages[[#This Row],[Request date serial]]</f>
        <v>29</v>
      </c>
      <c r="AE1093" s="65">
        <f>tblWorkPackages[[#This Row],[Last labor date]]-tblWorkPackages[[#This Row],[First labor date]]</f>
        <v>2</v>
      </c>
      <c r="AF1093" s="65">
        <f>tblWorkPackages[[#This Row],[Completion date serial]]-tblWorkPackages[[#This Row],[Last labor date]]</f>
        <v>3</v>
      </c>
      <c r="AG1093" s="65">
        <f>tblWorkPackages[[#This Row],[Completion date serial]]-tblWorkPackages[[#This Row],[Request date serial]]</f>
        <v>34</v>
      </c>
      <c r="AH1093" s="65">
        <f>IFERROR(INDEX(tblParts[Delay days],MATCH(tblWorkPackages[[#This Row],[Work package ID]],tblParts[Work package ID],0)),0)</f>
        <v>0</v>
      </c>
      <c r="AI1093" s="51" t="str">
        <f>IFERROR(INDEX(tblDisruptions[Event type],MATCH(tblWorkPackages[[#This Row],[Work package ID]],tblDisruptions[Work package ID],0)),"None")</f>
        <v>Repeat inspection</v>
      </c>
      <c r="AJ1093" s="51" t="str">
        <f>TEXT(tblWorkPackages[[#This Row],[Due date serial]],"yyyy-mm")</f>
        <v>2025-12</v>
      </c>
    </row>
    <row r="1094" spans="1:36" ht="15" x14ac:dyDescent="0.25">
      <c r="A1094" s="53" t="s">
        <v>1995</v>
      </c>
      <c r="B1094" s="53" t="s">
        <v>150</v>
      </c>
      <c r="C1094" s="53" t="s">
        <v>550</v>
      </c>
      <c r="D1094" s="53" t="s">
        <v>642</v>
      </c>
      <c r="E1094" s="53" t="s">
        <v>153</v>
      </c>
      <c r="F1094" s="53" t="s">
        <v>128</v>
      </c>
      <c r="G1094" s="53" t="s">
        <v>154</v>
      </c>
      <c r="H1094" s="53">
        <v>2</v>
      </c>
      <c r="I1094" s="53" t="s">
        <v>176</v>
      </c>
      <c r="J1094" s="53">
        <v>0</v>
      </c>
      <c r="K1094" s="53">
        <v>0</v>
      </c>
      <c r="L1094" s="53">
        <v>10</v>
      </c>
      <c r="M1094" s="53" t="s">
        <v>360</v>
      </c>
      <c r="N1094" s="53">
        <v>12.8</v>
      </c>
      <c r="O1094" s="51" t="str">
        <f>TEXT(tblWorkPackages[[#This Row],[Request date serial]]-WEEKDAY(tblWorkPackages[[#This Row],[Request date serial]],3),"yyyy-mm-dd")</f>
        <v>2024-07-08</v>
      </c>
      <c r="P1094" s="51">
        <f>ABS(tblWorkPackages[[#This Row],[Actual labor hours]]-tblWorkPackages[[#This Row],[Estimated labor hours]])</f>
        <v>2.8</v>
      </c>
      <c r="Q1094" s="51">
        <f>IF(tblWorkPackages[[#This Row],[Actual labor hours]]&gt;tblWorkPackages[[#This Row],[Estimated labor hours]],1,0)</f>
        <v>1</v>
      </c>
      <c r="R1094" s="51">
        <f>tblWorkPackages[[#This Row],[Actual labor hours]]-tblWorkPackages[[#This Row],[Estimated labor hours]]</f>
        <v>2.8</v>
      </c>
      <c r="S1094" s="51" t="str">
        <f>IF(tblWorkPackages[[#This Row],[Request date serial]]&lt;ValidationStart,"Train 2024",IF(tblWorkPackages[[#This Row],[Request date serial]]&lt;HoldoutStart,"Validation H1","Holdout H2"))</f>
        <v>Train 2024</v>
      </c>
      <c r="T1094" s="51" t="str">
        <f>IF(tblWorkPackages[[#This Row],[Time split]]="Train 2024","",tblWorkPackages[[#This Row],[Estimated labor hours]]+VLOOKUP(tblWorkPackages[[#This Row],[Task type]],'Forecast validation'!$A$14:$E$25,IF(tblWorkPackages[[#This Row],[Time split]]="Validation H1",4,5),FALSE()))</f>
        <v/>
      </c>
      <c r="U1094" s="51" t="str">
        <f>IF(tblWorkPackages[[#This Row],[Calibrated forecast hours]]="","",ABS(tblWorkPackages[[#This Row],[Actual labor hours]]-tblWorkPackages[[#This Row],[Calibrated forecast hours]]))</f>
        <v/>
      </c>
      <c r="V1094" s="51">
        <f>IF(tblWorkPackages[[#This Row],[Time split]]="Train 2024",tblWorkPackages[[#This Row],[Estimated labor hours]],tblWorkPackages[[#This Row],[Calibrated forecast hours]])</f>
        <v>10</v>
      </c>
      <c r="W1094" s="64">
        <f>DATEVALUE(tblWorkPackages[[#This Row],[Request date]])</f>
        <v>45482.0</v>
      </c>
      <c r="X1094" s="64">
        <f>DATEVALUE(tblWorkPackages[[#This Row],[Due date]])</f>
        <v>45488.0</v>
      </c>
      <c r="Y1094" s="64">
        <f>DATEVALUE(tblWorkPackages[[#This Row],[Completion date]])</f>
        <v>45489.0</v>
      </c>
      <c r="Z1094" s="64">
        <f>_xlfn.MINIFS(tblLaborEntries[Work date serial],tblLaborEntries[Work package ID],tblWorkPackages[[#This Row],[Work package ID]])</f>
        <v>45487.0</v>
      </c>
      <c r="AA1094" s="64">
        <f>_xlfn.MAXIFS(tblLaborEntries[Work date serial],tblLaborEntries[Work package ID],tblWorkPackages[[#This Row],[Work package ID]])</f>
        <v>45489.0</v>
      </c>
      <c r="AB1094" s="65">
        <f>IF(tblWorkPackages[[#This Row],[Completion date serial]]&gt;tblWorkPackages[[#This Row],[Due date serial]],1,0)</f>
        <v>1</v>
      </c>
      <c r="AC1094" s="65">
        <f>MAX(0,tblWorkPackages[[#This Row],[Completion date serial]]-tblWorkPackages[[#This Row],[Due date serial]])</f>
        <v>1</v>
      </c>
      <c r="AD1094" s="65">
        <f>tblWorkPackages[[#This Row],[First labor date]]-tblWorkPackages[[#This Row],[Request date serial]]</f>
        <v>5</v>
      </c>
      <c r="AE1094" s="65">
        <f>tblWorkPackages[[#This Row],[Last labor date]]-tblWorkPackages[[#This Row],[First labor date]]</f>
        <v>2</v>
      </c>
      <c r="AF1094" s="65">
        <f>tblWorkPackages[[#This Row],[Completion date serial]]-tblWorkPackages[[#This Row],[Last labor date]]</f>
        <v>0</v>
      </c>
      <c r="AG1094" s="65">
        <f>tblWorkPackages[[#This Row],[Completion date serial]]-tblWorkPackages[[#This Row],[Request date serial]]</f>
        <v>7</v>
      </c>
      <c r="AH1094" s="65">
        <f>IFERROR(INDEX(tblParts[Delay days],MATCH(tblWorkPackages[[#This Row],[Work package ID]],tblParts[Work package ID],0)),0)</f>
        <v>0</v>
      </c>
      <c r="AI1094" s="51" t="str">
        <f>IFERROR(INDEX(tblDisruptions[Event type],MATCH(tblWorkPackages[[#This Row],[Work package ID]],tblDisruptions[Work package ID],0)),"None")</f>
        <v>None</v>
      </c>
      <c r="AJ1094" s="51" t="str">
        <f>TEXT(tblWorkPackages[[#This Row],[Due date serial]],"yyyy-mm")</f>
        <v>2024-07</v>
      </c>
    </row>
    <row r="1095" spans="1:36" ht="15" x14ac:dyDescent="0.25">
      <c r="A1095" s="53" t="s">
        <v>1996</v>
      </c>
      <c r="B1095" s="53" t="s">
        <v>168</v>
      </c>
      <c r="C1095" s="53" t="s">
        <v>606</v>
      </c>
      <c r="D1095" s="53" t="s">
        <v>607</v>
      </c>
      <c r="E1095" s="53" t="s">
        <v>160</v>
      </c>
      <c r="F1095" s="53" t="s">
        <v>128</v>
      </c>
      <c r="G1095" s="53" t="s">
        <v>138</v>
      </c>
      <c r="H1095" s="53">
        <v>1</v>
      </c>
      <c r="I1095" s="53" t="s">
        <v>130</v>
      </c>
      <c r="J1095" s="53">
        <v>0</v>
      </c>
      <c r="K1095" s="53">
        <v>0</v>
      </c>
      <c r="L1095" s="53">
        <v>3.4</v>
      </c>
      <c r="M1095" s="53" t="s">
        <v>1318</v>
      </c>
      <c r="N1095" s="53">
        <v>3.8</v>
      </c>
      <c r="O1095" s="51" t="str">
        <f>TEXT(tblWorkPackages[[#This Row],[Request date serial]]-WEEKDAY(tblWorkPackages[[#This Row],[Request date serial]],3),"yyyy-mm-dd")</f>
        <v>2025-03-03</v>
      </c>
      <c r="P1095" s="51">
        <f>ABS(tblWorkPackages[[#This Row],[Actual labor hours]]-tblWorkPackages[[#This Row],[Estimated labor hours]])</f>
        <v>0.4</v>
      </c>
      <c r="Q1095" s="51">
        <f>IF(tblWorkPackages[[#This Row],[Actual labor hours]]&gt;tblWorkPackages[[#This Row],[Estimated labor hours]],1,0)</f>
        <v>1</v>
      </c>
      <c r="R1095" s="51">
        <f>tblWorkPackages[[#This Row],[Actual labor hours]]-tblWorkPackages[[#This Row],[Estimated labor hours]]</f>
        <v>0.4</v>
      </c>
      <c r="S1095" s="51" t="str">
        <f>IF(tblWorkPackages[[#This Row],[Request date serial]]&lt;ValidationStart,"Train 2024",IF(tblWorkPackages[[#This Row],[Request date serial]]&lt;HoldoutStart,"Validation H1","Holdout H2"))</f>
        <v>Validation H1</v>
      </c>
      <c r="T1095" s="51">
        <f>IF(tblWorkPackages[[#This Row],[Time split]]="Train 2024","",tblWorkPackages[[#This Row],[Estimated labor hours]]+VLOOKUP(tblWorkPackages[[#This Row],[Task type]],'Forecast validation'!$A$14:$E$25,IF(tblWorkPackages[[#This Row],[Time split]]="Validation H1",4,5),FALSE()))</f>
        <v>3.84146341463415</v>
      </c>
      <c r="U1095" s="51">
        <f>IF(tblWorkPackages[[#This Row],[Calibrated forecast hours]]="","",ABS(tblWorkPackages[[#This Row],[Actual labor hours]]-tblWorkPackages[[#This Row],[Calibrated forecast hours]]))</f>
        <v>0.0414634146341464</v>
      </c>
      <c r="V1095" s="51">
        <f>IF(tblWorkPackages[[#This Row],[Time split]]="Train 2024",tblWorkPackages[[#This Row],[Estimated labor hours]],tblWorkPackages[[#This Row],[Calibrated forecast hours]])</f>
        <v>3.84146341463415</v>
      </c>
      <c r="W1095" s="64">
        <f>DATEVALUE(tblWorkPackages[[#This Row],[Request date]])</f>
        <v>45721.0</v>
      </c>
      <c r="X1095" s="64">
        <f>DATEVALUE(tblWorkPackages[[#This Row],[Due date]])</f>
        <v>45734.0</v>
      </c>
      <c r="Y1095" s="64">
        <f>DATEVALUE(tblWorkPackages[[#This Row],[Completion date]])</f>
        <v>45726.0</v>
      </c>
      <c r="Z1095" s="64">
        <f>_xlfn.MINIFS(tblLaborEntries[Work date serial],tblLaborEntries[Work package ID],tblWorkPackages[[#This Row],[Work package ID]])</f>
        <v>45723.0</v>
      </c>
      <c r="AA1095" s="64">
        <f>_xlfn.MAXIFS(tblLaborEntries[Work date serial],tblLaborEntries[Work package ID],tblWorkPackages[[#This Row],[Work package ID]])</f>
        <v>45725.0</v>
      </c>
      <c r="AB1095" s="65">
        <f>IF(tblWorkPackages[[#This Row],[Completion date serial]]&gt;tblWorkPackages[[#This Row],[Due date serial]],1,0)</f>
        <v>0</v>
      </c>
      <c r="AC1095" s="65">
        <f>MAX(0,tblWorkPackages[[#This Row],[Completion date serial]]-tblWorkPackages[[#This Row],[Due date serial]])</f>
        <v>0</v>
      </c>
      <c r="AD1095" s="65">
        <f>tblWorkPackages[[#This Row],[First labor date]]-tblWorkPackages[[#This Row],[Request date serial]]</f>
        <v>2</v>
      </c>
      <c r="AE1095" s="65">
        <f>tblWorkPackages[[#This Row],[Last labor date]]-tblWorkPackages[[#This Row],[First labor date]]</f>
        <v>2</v>
      </c>
      <c r="AF1095" s="65">
        <f>tblWorkPackages[[#This Row],[Completion date serial]]-tblWorkPackages[[#This Row],[Last labor date]]</f>
        <v>1</v>
      </c>
      <c r="AG1095" s="65">
        <f>tblWorkPackages[[#This Row],[Completion date serial]]-tblWorkPackages[[#This Row],[Request date serial]]</f>
        <v>5</v>
      </c>
      <c r="AH1095" s="65">
        <f>IFERROR(INDEX(tblParts[Delay days],MATCH(tblWorkPackages[[#This Row],[Work package ID]],tblParts[Work package ID],0)),0)</f>
        <v>0</v>
      </c>
      <c r="AI1095" s="51" t="str">
        <f>IFERROR(INDEX(tblDisruptions[Event type],MATCH(tblWorkPackages[[#This Row],[Work package ID]],tblDisruptions[Work package ID],0)),"None")</f>
        <v>None</v>
      </c>
      <c r="AJ1095" s="51" t="str">
        <f>TEXT(tblWorkPackages[[#This Row],[Due date serial]],"yyyy-mm")</f>
        <v>2025-03</v>
      </c>
    </row>
    <row r="1096" spans="1:36" ht="15" x14ac:dyDescent="0.25">
      <c r="A1096" s="53" t="s">
        <v>1997</v>
      </c>
      <c r="B1096" s="53" t="s">
        <v>250</v>
      </c>
      <c r="C1096" s="53" t="s">
        <v>1012</v>
      </c>
      <c r="D1096" s="53" t="s">
        <v>885</v>
      </c>
      <c r="E1096" s="53" t="s">
        <v>136</v>
      </c>
      <c r="F1096" s="53" t="s">
        <v>137</v>
      </c>
      <c r="G1096" s="53" t="s">
        <v>138</v>
      </c>
      <c r="H1096" s="53">
        <v>1</v>
      </c>
      <c r="I1096" s="53" t="s">
        <v>130</v>
      </c>
      <c r="J1096" s="53">
        <v>0</v>
      </c>
      <c r="K1096" s="53">
        <v>0</v>
      </c>
      <c r="L1096" s="53">
        <v>8.8000000000000007</v>
      </c>
      <c r="M1096" s="53" t="s">
        <v>527</v>
      </c>
      <c r="N1096" s="53">
        <v>10.9</v>
      </c>
      <c r="O1096" s="51" t="str">
        <f>TEXT(tblWorkPackages[[#This Row],[Request date serial]]-WEEKDAY(tblWorkPackages[[#This Row],[Request date serial]],3),"yyyy-mm-dd")</f>
        <v>2025-08-18</v>
      </c>
      <c r="P1096" s="51">
        <f>ABS(tblWorkPackages[[#This Row],[Actual labor hours]]-tblWorkPackages[[#This Row],[Estimated labor hours]])</f>
        <v>2.1</v>
      </c>
      <c r="Q1096" s="51">
        <f>IF(tblWorkPackages[[#This Row],[Actual labor hours]]&gt;tblWorkPackages[[#This Row],[Estimated labor hours]],1,0)</f>
        <v>1</v>
      </c>
      <c r="R1096" s="51">
        <f>tblWorkPackages[[#This Row],[Actual labor hours]]-tblWorkPackages[[#This Row],[Estimated labor hours]]</f>
        <v>2.1</v>
      </c>
      <c r="S1096" s="51" t="str">
        <f>IF(tblWorkPackages[[#This Row],[Request date serial]]&lt;ValidationStart,"Train 2024",IF(tblWorkPackages[[#This Row],[Request date serial]]&lt;HoldoutStart,"Validation H1","Holdout H2"))</f>
        <v>Holdout H2</v>
      </c>
      <c r="T1096" s="51">
        <f>IF(tblWorkPackages[[#This Row],[Time split]]="Train 2024","",tblWorkPackages[[#This Row],[Estimated labor hours]]+VLOOKUP(tblWorkPackages[[#This Row],[Task type]],'Forecast validation'!$A$14:$E$25,IF(tblWorkPackages[[#This Row],[Time split]]="Validation H1",4,5),FALSE()))</f>
        <v>9.72075471698113</v>
      </c>
      <c r="U1096" s="51">
        <f>IF(tblWorkPackages[[#This Row],[Calibrated forecast hours]]="","",ABS(tblWorkPackages[[#This Row],[Actual labor hours]]-tblWorkPackages[[#This Row],[Calibrated forecast hours]]))</f>
        <v>1.17924528301887</v>
      </c>
      <c r="V1096" s="51">
        <f>IF(tblWorkPackages[[#This Row],[Time split]]="Train 2024",tblWorkPackages[[#This Row],[Estimated labor hours]],tblWorkPackages[[#This Row],[Calibrated forecast hours]])</f>
        <v>9.72075471698113</v>
      </c>
      <c r="W1096" s="64">
        <f>DATEVALUE(tblWorkPackages[[#This Row],[Request date]])</f>
        <v>45888.0</v>
      </c>
      <c r="X1096" s="64">
        <f>DATEVALUE(tblWorkPackages[[#This Row],[Due date]])</f>
        <v>45901.0</v>
      </c>
      <c r="Y1096" s="64">
        <f>DATEVALUE(tblWorkPackages[[#This Row],[Completion date]])</f>
        <v>45906.0</v>
      </c>
      <c r="Z1096" s="64">
        <f>_xlfn.MINIFS(tblLaborEntries[Work date serial],tblLaborEntries[Work package ID],tblWorkPackages[[#This Row],[Work package ID]])</f>
        <v>45902.0</v>
      </c>
      <c r="AA1096" s="64">
        <f>_xlfn.MAXIFS(tblLaborEntries[Work date serial],tblLaborEntries[Work package ID],tblWorkPackages[[#This Row],[Work package ID]])</f>
        <v>45904.0</v>
      </c>
      <c r="AB1096" s="65">
        <f>IF(tblWorkPackages[[#This Row],[Completion date serial]]&gt;tblWorkPackages[[#This Row],[Due date serial]],1,0)</f>
        <v>1</v>
      </c>
      <c r="AC1096" s="65">
        <f>MAX(0,tblWorkPackages[[#This Row],[Completion date serial]]-tblWorkPackages[[#This Row],[Due date serial]])</f>
        <v>5</v>
      </c>
      <c r="AD1096" s="65">
        <f>tblWorkPackages[[#This Row],[First labor date]]-tblWorkPackages[[#This Row],[Request date serial]]</f>
        <v>14</v>
      </c>
      <c r="AE1096" s="65">
        <f>tblWorkPackages[[#This Row],[Last labor date]]-tblWorkPackages[[#This Row],[First labor date]]</f>
        <v>2</v>
      </c>
      <c r="AF1096" s="65">
        <f>tblWorkPackages[[#This Row],[Completion date serial]]-tblWorkPackages[[#This Row],[Last labor date]]</f>
        <v>2</v>
      </c>
      <c r="AG1096" s="65">
        <f>tblWorkPackages[[#This Row],[Completion date serial]]-tblWorkPackages[[#This Row],[Request date serial]]</f>
        <v>18</v>
      </c>
      <c r="AH1096" s="65">
        <f>IFERROR(INDEX(tblParts[Delay days],MATCH(tblWorkPackages[[#This Row],[Work package ID]],tblParts[Work package ID],0)),0)</f>
        <v>0</v>
      </c>
      <c r="AI1096" s="51" t="str">
        <f>IFERROR(INDEX(tblDisruptions[Event type],MATCH(tblWorkPackages[[#This Row],[Work package ID]],tblDisruptions[Work package ID],0)),"None")</f>
        <v>None</v>
      </c>
      <c r="AJ1096" s="51" t="str">
        <f>TEXT(tblWorkPackages[[#This Row],[Due date serial]],"yyyy-mm")</f>
        <v>2025-09</v>
      </c>
    </row>
    <row r="1097" spans="1:36" ht="15" x14ac:dyDescent="0.25">
      <c r="A1097" s="53" t="s">
        <v>1998</v>
      </c>
      <c r="B1097" s="53" t="s">
        <v>141</v>
      </c>
      <c r="C1097" s="53" t="s">
        <v>953</v>
      </c>
      <c r="D1097" s="53" t="s">
        <v>947</v>
      </c>
      <c r="E1097" s="53" t="s">
        <v>223</v>
      </c>
      <c r="F1097" s="53" t="s">
        <v>182</v>
      </c>
      <c r="G1097" s="53" t="s">
        <v>154</v>
      </c>
      <c r="H1097" s="53">
        <v>3</v>
      </c>
      <c r="I1097" s="53" t="s">
        <v>147</v>
      </c>
      <c r="J1097" s="53">
        <v>0</v>
      </c>
      <c r="K1097" s="53">
        <v>0</v>
      </c>
      <c r="L1097" s="53">
        <v>14.7</v>
      </c>
      <c r="M1097" s="53" t="s">
        <v>722</v>
      </c>
      <c r="N1097" s="53">
        <v>16.7</v>
      </c>
      <c r="O1097" s="51" t="str">
        <f>TEXT(tblWorkPackages[[#This Row],[Request date serial]]-WEEKDAY(tblWorkPackages[[#This Row],[Request date serial]],3),"yyyy-mm-dd")</f>
        <v>2024-09-30</v>
      </c>
      <c r="P1097" s="51">
        <f>ABS(tblWorkPackages[[#This Row],[Actual labor hours]]-tblWorkPackages[[#This Row],[Estimated labor hours]])</f>
        <v>2</v>
      </c>
      <c r="Q1097" s="51">
        <f>IF(tblWorkPackages[[#This Row],[Actual labor hours]]&gt;tblWorkPackages[[#This Row],[Estimated labor hours]],1,0)</f>
        <v>1</v>
      </c>
      <c r="R1097" s="51">
        <f>tblWorkPackages[[#This Row],[Actual labor hours]]-tblWorkPackages[[#This Row],[Estimated labor hours]]</f>
        <v>2</v>
      </c>
      <c r="S1097" s="51" t="str">
        <f>IF(tblWorkPackages[[#This Row],[Request date serial]]&lt;ValidationStart,"Train 2024",IF(tblWorkPackages[[#This Row],[Request date serial]]&lt;HoldoutStart,"Validation H1","Holdout H2"))</f>
        <v>Train 2024</v>
      </c>
      <c r="T1097" s="51" t="str">
        <f>IF(tblWorkPackages[[#This Row],[Time split]]="Train 2024","",tblWorkPackages[[#This Row],[Estimated labor hours]]+VLOOKUP(tblWorkPackages[[#This Row],[Task type]],'Forecast validation'!$A$14:$E$25,IF(tblWorkPackages[[#This Row],[Time split]]="Validation H1",4,5),FALSE()))</f>
        <v/>
      </c>
      <c r="U1097" s="51" t="str">
        <f>IF(tblWorkPackages[[#This Row],[Calibrated forecast hours]]="","",ABS(tblWorkPackages[[#This Row],[Actual labor hours]]-tblWorkPackages[[#This Row],[Calibrated forecast hours]]))</f>
        <v/>
      </c>
      <c r="V1097" s="51">
        <f>IF(tblWorkPackages[[#This Row],[Time split]]="Train 2024",tblWorkPackages[[#This Row],[Estimated labor hours]],tblWorkPackages[[#This Row],[Calibrated forecast hours]])</f>
        <v>14.7</v>
      </c>
      <c r="W1097" s="64">
        <f>DATEVALUE(tblWorkPackages[[#This Row],[Request date]])</f>
        <v>45568.0</v>
      </c>
      <c r="X1097" s="64">
        <f>DATEVALUE(tblWorkPackages[[#This Row],[Due date]])</f>
        <v>45570.0</v>
      </c>
      <c r="Y1097" s="64">
        <f>DATEVALUE(tblWorkPackages[[#This Row],[Completion date]])</f>
        <v>45576.0</v>
      </c>
      <c r="Z1097" s="64">
        <f>_xlfn.MINIFS(tblLaborEntries[Work date serial],tblLaborEntries[Work package ID],tblWorkPackages[[#This Row],[Work package ID]])</f>
        <v>45571.0</v>
      </c>
      <c r="AA1097" s="64">
        <f>_xlfn.MAXIFS(tblLaborEntries[Work date serial],tblLaborEntries[Work package ID],tblWorkPackages[[#This Row],[Work package ID]])</f>
        <v>45573.0</v>
      </c>
      <c r="AB1097" s="65">
        <f>IF(tblWorkPackages[[#This Row],[Completion date serial]]&gt;tblWorkPackages[[#This Row],[Due date serial]],1,0)</f>
        <v>1</v>
      </c>
      <c r="AC1097" s="65">
        <f>MAX(0,tblWorkPackages[[#This Row],[Completion date serial]]-tblWorkPackages[[#This Row],[Due date serial]])</f>
        <v>6</v>
      </c>
      <c r="AD1097" s="65">
        <f>tblWorkPackages[[#This Row],[First labor date]]-tblWorkPackages[[#This Row],[Request date serial]]</f>
        <v>3</v>
      </c>
      <c r="AE1097" s="65">
        <f>tblWorkPackages[[#This Row],[Last labor date]]-tblWorkPackages[[#This Row],[First labor date]]</f>
        <v>2</v>
      </c>
      <c r="AF1097" s="65">
        <f>tblWorkPackages[[#This Row],[Completion date serial]]-tblWorkPackages[[#This Row],[Last labor date]]</f>
        <v>3</v>
      </c>
      <c r="AG1097" s="65">
        <f>tblWorkPackages[[#This Row],[Completion date serial]]-tblWorkPackages[[#This Row],[Request date serial]]</f>
        <v>8</v>
      </c>
      <c r="AH1097" s="65">
        <f>IFERROR(INDEX(tblParts[Delay days],MATCH(tblWorkPackages[[#This Row],[Work package ID]],tblParts[Work package ID],0)),0)</f>
        <v>0</v>
      </c>
      <c r="AI1097" s="51" t="str">
        <f>IFERROR(INDEX(tblDisruptions[Event type],MATCH(tblWorkPackages[[#This Row],[Work package ID]],tblDisruptions[Work package ID],0)),"None")</f>
        <v>None</v>
      </c>
      <c r="AJ1097" s="51" t="str">
        <f>TEXT(tblWorkPackages[[#This Row],[Due date serial]],"yyyy-mm")</f>
        <v>2024-10</v>
      </c>
    </row>
    <row r="1098" spans="1:36" ht="15" x14ac:dyDescent="0.25">
      <c r="A1098" s="53" t="s">
        <v>1999</v>
      </c>
      <c r="B1098" s="53" t="s">
        <v>141</v>
      </c>
      <c r="C1098" s="53" t="s">
        <v>405</v>
      </c>
      <c r="D1098" s="53" t="s">
        <v>406</v>
      </c>
      <c r="E1098" s="53" t="s">
        <v>223</v>
      </c>
      <c r="F1098" s="53" t="s">
        <v>182</v>
      </c>
      <c r="G1098" s="53" t="s">
        <v>154</v>
      </c>
      <c r="H1098" s="53">
        <v>3</v>
      </c>
      <c r="I1098" s="53" t="s">
        <v>130</v>
      </c>
      <c r="J1098" s="53">
        <v>0</v>
      </c>
      <c r="K1098" s="53">
        <v>0</v>
      </c>
      <c r="L1098" s="53">
        <v>18.399999999999999</v>
      </c>
      <c r="M1098" s="53" t="s">
        <v>450</v>
      </c>
      <c r="N1098" s="53">
        <v>17.899999999999999</v>
      </c>
      <c r="O1098" s="51" t="str">
        <f>TEXT(tblWorkPackages[[#This Row],[Request date serial]]-WEEKDAY(tblWorkPackages[[#This Row],[Request date serial]],3),"yyyy-mm-dd")</f>
        <v>2024-05-20</v>
      </c>
      <c r="P1098" s="51">
        <f>ABS(tblWorkPackages[[#This Row],[Actual labor hours]]-tblWorkPackages[[#This Row],[Estimated labor hours]])</f>
        <v>0.5</v>
      </c>
      <c r="Q1098" s="51">
        <f>IF(tblWorkPackages[[#This Row],[Actual labor hours]]&gt;tblWorkPackages[[#This Row],[Estimated labor hours]],1,0)</f>
        <v>0</v>
      </c>
      <c r="R1098" s="51">
        <f>tblWorkPackages[[#This Row],[Actual labor hours]]-tblWorkPackages[[#This Row],[Estimated labor hours]]</f>
        <v>-0.5</v>
      </c>
      <c r="S1098" s="51" t="str">
        <f>IF(tblWorkPackages[[#This Row],[Request date serial]]&lt;ValidationStart,"Train 2024",IF(tblWorkPackages[[#This Row],[Request date serial]]&lt;HoldoutStart,"Validation H1","Holdout H2"))</f>
        <v>Train 2024</v>
      </c>
      <c r="T1098" s="51" t="str">
        <f>IF(tblWorkPackages[[#This Row],[Time split]]="Train 2024","",tblWorkPackages[[#This Row],[Estimated labor hours]]+VLOOKUP(tblWorkPackages[[#This Row],[Task type]],'Forecast validation'!$A$14:$E$25,IF(tblWorkPackages[[#This Row],[Time split]]="Validation H1",4,5),FALSE()))</f>
        <v/>
      </c>
      <c r="U1098" s="51" t="str">
        <f>IF(tblWorkPackages[[#This Row],[Calibrated forecast hours]]="","",ABS(tblWorkPackages[[#This Row],[Actual labor hours]]-tblWorkPackages[[#This Row],[Calibrated forecast hours]]))</f>
        <v/>
      </c>
      <c r="V1098" s="51">
        <f>IF(tblWorkPackages[[#This Row],[Time split]]="Train 2024",tblWorkPackages[[#This Row],[Estimated labor hours]],tblWorkPackages[[#This Row],[Calibrated forecast hours]])</f>
        <v>18.4</v>
      </c>
      <c r="W1098" s="64">
        <f>DATEVALUE(tblWorkPackages[[#This Row],[Request date]])</f>
        <v>45433.0</v>
      </c>
      <c r="X1098" s="64">
        <f>DATEVALUE(tblWorkPackages[[#This Row],[Due date]])</f>
        <v>45446.0</v>
      </c>
      <c r="Y1098" s="64">
        <f>DATEVALUE(tblWorkPackages[[#This Row],[Completion date]])</f>
        <v>45487.0</v>
      </c>
      <c r="Z1098" s="64">
        <f>_xlfn.MINIFS(tblLaborEntries[Work date serial],tblLaborEntries[Work package ID],tblWorkPackages[[#This Row],[Work package ID]])</f>
        <v>45486.0</v>
      </c>
      <c r="AA1098" s="64">
        <f>_xlfn.MAXIFS(tblLaborEntries[Work date serial],tblLaborEntries[Work package ID],tblWorkPackages[[#This Row],[Work package ID]])</f>
        <v>45487.0</v>
      </c>
      <c r="AB1098" s="65">
        <f>IF(tblWorkPackages[[#This Row],[Completion date serial]]&gt;tblWorkPackages[[#This Row],[Due date serial]],1,0)</f>
        <v>1</v>
      </c>
      <c r="AC1098" s="65">
        <f>MAX(0,tblWorkPackages[[#This Row],[Completion date serial]]-tblWorkPackages[[#This Row],[Due date serial]])</f>
        <v>41</v>
      </c>
      <c r="AD1098" s="65">
        <f>tblWorkPackages[[#This Row],[First labor date]]-tblWorkPackages[[#This Row],[Request date serial]]</f>
        <v>53</v>
      </c>
      <c r="AE1098" s="65">
        <f>tblWorkPackages[[#This Row],[Last labor date]]-tblWorkPackages[[#This Row],[First labor date]]</f>
        <v>1</v>
      </c>
      <c r="AF1098" s="65">
        <f>tblWorkPackages[[#This Row],[Completion date serial]]-tblWorkPackages[[#This Row],[Last labor date]]</f>
        <v>0</v>
      </c>
      <c r="AG1098" s="65">
        <f>tblWorkPackages[[#This Row],[Completion date serial]]-tblWorkPackages[[#This Row],[Request date serial]]</f>
        <v>54</v>
      </c>
      <c r="AH1098" s="65">
        <f>IFERROR(INDEX(tblParts[Delay days],MATCH(tblWorkPackages[[#This Row],[Work package ID]],tblParts[Work package ID],0)),0)</f>
        <v>0</v>
      </c>
      <c r="AI1098" s="51" t="str">
        <f>IFERROR(INDEX(tblDisruptions[Event type],MATCH(tblWorkPackages[[#This Row],[Work package ID]],tblDisruptions[Work package ID],0)),"None")</f>
        <v>None</v>
      </c>
      <c r="AJ1098" s="51" t="str">
        <f>TEXT(tblWorkPackages[[#This Row],[Due date serial]],"yyyy-mm")</f>
        <v>2024-06</v>
      </c>
    </row>
    <row r="1099" spans="1:36" ht="15" x14ac:dyDescent="0.25">
      <c r="A1099" s="53" t="s">
        <v>2000</v>
      </c>
      <c r="B1099" s="53" t="s">
        <v>168</v>
      </c>
      <c r="C1099" s="53" t="s">
        <v>268</v>
      </c>
      <c r="D1099" s="53" t="s">
        <v>396</v>
      </c>
      <c r="E1099" s="53" t="s">
        <v>160</v>
      </c>
      <c r="F1099" s="53" t="s">
        <v>128</v>
      </c>
      <c r="G1099" s="53" t="s">
        <v>138</v>
      </c>
      <c r="H1099" s="53">
        <v>3</v>
      </c>
      <c r="I1099" s="53" t="s">
        <v>130</v>
      </c>
      <c r="J1099" s="53">
        <v>0</v>
      </c>
      <c r="K1099" s="53">
        <v>0</v>
      </c>
      <c r="L1099" s="53">
        <v>6</v>
      </c>
      <c r="M1099" s="53" t="s">
        <v>231</v>
      </c>
      <c r="N1099" s="53">
        <v>5.6</v>
      </c>
      <c r="O1099" s="51" t="str">
        <f>TEXT(tblWorkPackages[[#This Row],[Request date serial]]-WEEKDAY(tblWorkPackages[[#This Row],[Request date serial]],3),"yyyy-mm-dd")</f>
        <v>2024-12-16</v>
      </c>
      <c r="P1099" s="51">
        <f>ABS(tblWorkPackages[[#This Row],[Actual labor hours]]-tblWorkPackages[[#This Row],[Estimated labor hours]])</f>
        <v>0.4</v>
      </c>
      <c r="Q1099" s="51">
        <f>IF(tblWorkPackages[[#This Row],[Actual labor hours]]&gt;tblWorkPackages[[#This Row],[Estimated labor hours]],1,0)</f>
        <v>0</v>
      </c>
      <c r="R1099" s="51">
        <f>tblWorkPackages[[#This Row],[Actual labor hours]]-tblWorkPackages[[#This Row],[Estimated labor hours]]</f>
        <v>-0.4</v>
      </c>
      <c r="S1099" s="51" t="str">
        <f>IF(tblWorkPackages[[#This Row],[Request date serial]]&lt;ValidationStart,"Train 2024",IF(tblWorkPackages[[#This Row],[Request date serial]]&lt;HoldoutStart,"Validation H1","Holdout H2"))</f>
        <v>Train 2024</v>
      </c>
      <c r="T1099" s="51" t="str">
        <f>IF(tblWorkPackages[[#This Row],[Time split]]="Train 2024","",tblWorkPackages[[#This Row],[Estimated labor hours]]+VLOOKUP(tblWorkPackages[[#This Row],[Task type]],'Forecast validation'!$A$14:$E$25,IF(tblWorkPackages[[#This Row],[Time split]]="Validation H1",4,5),FALSE()))</f>
        <v/>
      </c>
      <c r="U1099" s="51" t="str">
        <f>IF(tblWorkPackages[[#This Row],[Calibrated forecast hours]]="","",ABS(tblWorkPackages[[#This Row],[Actual labor hours]]-tblWorkPackages[[#This Row],[Calibrated forecast hours]]))</f>
        <v/>
      </c>
      <c r="V1099" s="51">
        <f>IF(tblWorkPackages[[#This Row],[Time split]]="Train 2024",tblWorkPackages[[#This Row],[Estimated labor hours]],tblWorkPackages[[#This Row],[Calibrated forecast hours]])</f>
        <v>6</v>
      </c>
      <c r="W1099" s="64">
        <f>DATEVALUE(tblWorkPackages[[#This Row],[Request date]])</f>
        <v>45644.0</v>
      </c>
      <c r="X1099" s="64">
        <f>DATEVALUE(tblWorkPackages[[#This Row],[Due date]])</f>
        <v>45657.0</v>
      </c>
      <c r="Y1099" s="64">
        <f>DATEVALUE(tblWorkPackages[[#This Row],[Completion date]])</f>
        <v>45655.0</v>
      </c>
      <c r="Z1099" s="64">
        <f>_xlfn.MINIFS(tblLaborEntries[Work date serial],tblLaborEntries[Work package ID],tblWorkPackages[[#This Row],[Work package ID]])</f>
        <v>45652.0</v>
      </c>
      <c r="AA1099" s="64">
        <f>_xlfn.MAXIFS(tblLaborEntries[Work date serial],tblLaborEntries[Work package ID],tblWorkPackages[[#This Row],[Work package ID]])</f>
        <v>45654.0</v>
      </c>
      <c r="AB1099" s="65">
        <f>IF(tblWorkPackages[[#This Row],[Completion date serial]]&gt;tblWorkPackages[[#This Row],[Due date serial]],1,0)</f>
        <v>0</v>
      </c>
      <c r="AC1099" s="65">
        <f>MAX(0,tblWorkPackages[[#This Row],[Completion date serial]]-tblWorkPackages[[#This Row],[Due date serial]])</f>
        <v>0</v>
      </c>
      <c r="AD1099" s="65">
        <f>tblWorkPackages[[#This Row],[First labor date]]-tblWorkPackages[[#This Row],[Request date serial]]</f>
        <v>8</v>
      </c>
      <c r="AE1099" s="65">
        <f>tblWorkPackages[[#This Row],[Last labor date]]-tblWorkPackages[[#This Row],[First labor date]]</f>
        <v>2</v>
      </c>
      <c r="AF1099" s="65">
        <f>tblWorkPackages[[#This Row],[Completion date serial]]-tblWorkPackages[[#This Row],[Last labor date]]</f>
        <v>1</v>
      </c>
      <c r="AG1099" s="65">
        <f>tblWorkPackages[[#This Row],[Completion date serial]]-tblWorkPackages[[#This Row],[Request date serial]]</f>
        <v>11</v>
      </c>
      <c r="AH1099" s="65">
        <f>IFERROR(INDEX(tblParts[Delay days],MATCH(tblWorkPackages[[#This Row],[Work package ID]],tblParts[Work package ID],0)),0)</f>
        <v>0</v>
      </c>
      <c r="AI1099" s="51" t="str">
        <f>IFERROR(INDEX(tblDisruptions[Event type],MATCH(tblWorkPackages[[#This Row],[Work package ID]],tblDisruptions[Work package ID],0)),"None")</f>
        <v>Equipment unavailable</v>
      </c>
      <c r="AJ1099" s="51" t="str">
        <f>TEXT(tblWorkPackages[[#This Row],[Due date serial]],"yyyy-mm")</f>
        <v>2024-12</v>
      </c>
    </row>
    <row r="1100" spans="1:36" ht="15" x14ac:dyDescent="0.25">
      <c r="A1100" s="53" t="s">
        <v>2001</v>
      </c>
      <c r="B1100" s="53" t="s">
        <v>230</v>
      </c>
      <c r="C1100" s="53" t="s">
        <v>729</v>
      </c>
      <c r="D1100" s="53" t="s">
        <v>1838</v>
      </c>
      <c r="E1100" s="53" t="s">
        <v>181</v>
      </c>
      <c r="F1100" s="53" t="s">
        <v>182</v>
      </c>
      <c r="G1100" s="53" t="s">
        <v>138</v>
      </c>
      <c r="H1100" s="53">
        <v>4</v>
      </c>
      <c r="I1100" s="53" t="s">
        <v>147</v>
      </c>
      <c r="J1100" s="53">
        <v>0</v>
      </c>
      <c r="K1100" s="53">
        <v>0</v>
      </c>
      <c r="L1100" s="53">
        <v>16.3</v>
      </c>
      <c r="M1100" s="53" t="s">
        <v>364</v>
      </c>
      <c r="N1100" s="53">
        <v>12.8</v>
      </c>
      <c r="O1100" s="51" t="str">
        <f>TEXT(tblWorkPackages[[#This Row],[Request date serial]]-WEEKDAY(tblWorkPackages[[#This Row],[Request date serial]],3),"yyyy-mm-dd")</f>
        <v>2025-05-05</v>
      </c>
      <c r="P1100" s="51">
        <f>ABS(tblWorkPackages[[#This Row],[Actual labor hours]]-tblWorkPackages[[#This Row],[Estimated labor hours]])</f>
        <v>3.5</v>
      </c>
      <c r="Q1100" s="51">
        <f>IF(tblWorkPackages[[#This Row],[Actual labor hours]]&gt;tblWorkPackages[[#This Row],[Estimated labor hours]],1,0)</f>
        <v>0</v>
      </c>
      <c r="R1100" s="51">
        <f>tblWorkPackages[[#This Row],[Actual labor hours]]-tblWorkPackages[[#This Row],[Estimated labor hours]]</f>
        <v>-3.5</v>
      </c>
      <c r="S1100" s="51" t="str">
        <f>IF(tblWorkPackages[[#This Row],[Request date serial]]&lt;ValidationStart,"Train 2024",IF(tblWorkPackages[[#This Row],[Request date serial]]&lt;HoldoutStart,"Validation H1","Holdout H2"))</f>
        <v>Validation H1</v>
      </c>
      <c r="T1100" s="51">
        <f>IF(tblWorkPackages[[#This Row],[Time split]]="Train 2024","",tblWorkPackages[[#This Row],[Estimated labor hours]]+VLOOKUP(tblWorkPackages[[#This Row],[Task type]],'Forecast validation'!$A$14:$E$25,IF(tblWorkPackages[[#This Row],[Time split]]="Validation H1",4,5),FALSE()))</f>
        <v>16.8840909090909</v>
      </c>
      <c r="U1100" s="51">
        <f>IF(tblWorkPackages[[#This Row],[Calibrated forecast hours]]="","",ABS(tblWorkPackages[[#This Row],[Actual labor hours]]-tblWorkPackages[[#This Row],[Calibrated forecast hours]]))</f>
        <v>4.08409090909091</v>
      </c>
      <c r="V1100" s="51">
        <f>IF(tblWorkPackages[[#This Row],[Time split]]="Train 2024",tblWorkPackages[[#This Row],[Estimated labor hours]],tblWorkPackages[[#This Row],[Calibrated forecast hours]])</f>
        <v>16.8840909090909</v>
      </c>
      <c r="W1100" s="64">
        <f>DATEVALUE(tblWorkPackages[[#This Row],[Request date]])</f>
        <v>45784.0</v>
      </c>
      <c r="X1100" s="64">
        <f>DATEVALUE(tblWorkPackages[[#This Row],[Due date]])</f>
        <v>45786.0</v>
      </c>
      <c r="Y1100" s="64">
        <f>DATEVALUE(tblWorkPackages[[#This Row],[Completion date]])</f>
        <v>45790.0</v>
      </c>
      <c r="Z1100" s="64">
        <f>_xlfn.MINIFS(tblLaborEntries[Work date serial],tblLaborEntries[Work package ID],tblWorkPackages[[#This Row],[Work package ID]])</f>
        <v>45786.0</v>
      </c>
      <c r="AA1100" s="64">
        <f>_xlfn.MAXIFS(tblLaborEntries[Work date serial],tblLaborEntries[Work package ID],tblWorkPackages[[#This Row],[Work package ID]])</f>
        <v>45788.0</v>
      </c>
      <c r="AB1100" s="65">
        <f>IF(tblWorkPackages[[#This Row],[Completion date serial]]&gt;tblWorkPackages[[#This Row],[Due date serial]],1,0)</f>
        <v>1</v>
      </c>
      <c r="AC1100" s="65">
        <f>MAX(0,tblWorkPackages[[#This Row],[Completion date serial]]-tblWorkPackages[[#This Row],[Due date serial]])</f>
        <v>4</v>
      </c>
      <c r="AD1100" s="65">
        <f>tblWorkPackages[[#This Row],[First labor date]]-tblWorkPackages[[#This Row],[Request date serial]]</f>
        <v>2</v>
      </c>
      <c r="AE1100" s="65">
        <f>tblWorkPackages[[#This Row],[Last labor date]]-tblWorkPackages[[#This Row],[First labor date]]</f>
        <v>2</v>
      </c>
      <c r="AF1100" s="65">
        <f>tblWorkPackages[[#This Row],[Completion date serial]]-tblWorkPackages[[#This Row],[Last labor date]]</f>
        <v>2</v>
      </c>
      <c r="AG1100" s="65">
        <f>tblWorkPackages[[#This Row],[Completion date serial]]-tblWorkPackages[[#This Row],[Request date serial]]</f>
        <v>6</v>
      </c>
      <c r="AH1100" s="65">
        <f>IFERROR(INDEX(tblParts[Delay days],MATCH(tblWorkPackages[[#This Row],[Work package ID]],tblParts[Work package ID],0)),0)</f>
        <v>0</v>
      </c>
      <c r="AI1100" s="51" t="str">
        <f>IFERROR(INDEX(tblDisruptions[Event type],MATCH(tblWorkPackages[[#This Row],[Work package ID]],tblDisruptions[Work package ID],0)),"None")</f>
        <v>None</v>
      </c>
      <c r="AJ1100" s="51" t="str">
        <f>TEXT(tblWorkPackages[[#This Row],[Due date serial]],"yyyy-mm")</f>
        <v>2025-05</v>
      </c>
    </row>
    <row r="1101" spans="1:36" ht="15" x14ac:dyDescent="0.25">
      <c r="A1101" s="53" t="s">
        <v>2002</v>
      </c>
      <c r="B1101" s="53" t="s">
        <v>235</v>
      </c>
      <c r="C1101" s="53" t="s">
        <v>713</v>
      </c>
      <c r="D1101" s="53" t="s">
        <v>174</v>
      </c>
      <c r="E1101" s="53" t="s">
        <v>237</v>
      </c>
      <c r="F1101" s="53" t="s">
        <v>182</v>
      </c>
      <c r="G1101" s="53" t="s">
        <v>138</v>
      </c>
      <c r="H1101" s="53">
        <v>4</v>
      </c>
      <c r="I1101" s="53" t="s">
        <v>130</v>
      </c>
      <c r="J1101" s="53">
        <v>0</v>
      </c>
      <c r="K1101" s="53">
        <v>0</v>
      </c>
      <c r="L1101" s="53">
        <v>10.1</v>
      </c>
      <c r="M1101" s="53" t="s">
        <v>501</v>
      </c>
      <c r="N1101" s="53">
        <v>7.7</v>
      </c>
      <c r="O1101" s="51" t="str">
        <f>TEXT(tblWorkPackages[[#This Row],[Request date serial]]-WEEKDAY(tblWorkPackages[[#This Row],[Request date serial]],3),"yyyy-mm-dd")</f>
        <v>2025-06-09</v>
      </c>
      <c r="P1101" s="51">
        <f>ABS(tblWorkPackages[[#This Row],[Actual labor hours]]-tblWorkPackages[[#This Row],[Estimated labor hours]])</f>
        <v>2.4</v>
      </c>
      <c r="Q1101" s="51">
        <f>IF(tblWorkPackages[[#This Row],[Actual labor hours]]&gt;tblWorkPackages[[#This Row],[Estimated labor hours]],1,0)</f>
        <v>0</v>
      </c>
      <c r="R1101" s="51">
        <f>tblWorkPackages[[#This Row],[Actual labor hours]]-tblWorkPackages[[#This Row],[Estimated labor hours]]</f>
        <v>-2.4</v>
      </c>
      <c r="S1101" s="51" t="str">
        <f>IF(tblWorkPackages[[#This Row],[Request date serial]]&lt;ValidationStart,"Train 2024",IF(tblWorkPackages[[#This Row],[Request date serial]]&lt;HoldoutStart,"Validation H1","Holdout H2"))</f>
        <v>Validation H1</v>
      </c>
      <c r="T1101" s="51">
        <f>IF(tblWorkPackages[[#This Row],[Time split]]="Train 2024","",tblWorkPackages[[#This Row],[Estimated labor hours]]+VLOOKUP(tblWorkPackages[[#This Row],[Task type]],'Forecast validation'!$A$14:$E$25,IF(tblWorkPackages[[#This Row],[Time split]]="Validation H1",4,5),FALSE()))</f>
        <v>10.6037037037037</v>
      </c>
      <c r="U1101" s="51">
        <f>IF(tblWorkPackages[[#This Row],[Calibrated forecast hours]]="","",ABS(tblWorkPackages[[#This Row],[Actual labor hours]]-tblWorkPackages[[#This Row],[Calibrated forecast hours]]))</f>
        <v>2.9037037037037</v>
      </c>
      <c r="V1101" s="51">
        <f>IF(tblWorkPackages[[#This Row],[Time split]]="Train 2024",tblWorkPackages[[#This Row],[Estimated labor hours]],tblWorkPackages[[#This Row],[Calibrated forecast hours]])</f>
        <v>10.6037037037037</v>
      </c>
      <c r="W1101" s="64">
        <f>DATEVALUE(tblWorkPackages[[#This Row],[Request date]])</f>
        <v>45823.0</v>
      </c>
      <c r="X1101" s="64">
        <f>DATEVALUE(tblWorkPackages[[#This Row],[Due date]])</f>
        <v>45836.0</v>
      </c>
      <c r="Y1101" s="64">
        <f>DATEVALUE(tblWorkPackages[[#This Row],[Completion date]])</f>
        <v>45848.0</v>
      </c>
      <c r="Z1101" s="64">
        <f>_xlfn.MINIFS(tblLaborEntries[Work date serial],tblLaborEntries[Work package ID],tblWorkPackages[[#This Row],[Work package ID]])</f>
        <v>45844.0</v>
      </c>
      <c r="AA1101" s="64">
        <f>_xlfn.MAXIFS(tblLaborEntries[Work date serial],tblLaborEntries[Work package ID],tblWorkPackages[[#This Row],[Work package ID]])</f>
        <v>45845.0</v>
      </c>
      <c r="AB1101" s="65">
        <f>IF(tblWorkPackages[[#This Row],[Completion date serial]]&gt;tblWorkPackages[[#This Row],[Due date serial]],1,0)</f>
        <v>1</v>
      </c>
      <c r="AC1101" s="65">
        <f>MAX(0,tblWorkPackages[[#This Row],[Completion date serial]]-tblWorkPackages[[#This Row],[Due date serial]])</f>
        <v>12</v>
      </c>
      <c r="AD1101" s="65">
        <f>tblWorkPackages[[#This Row],[First labor date]]-tblWorkPackages[[#This Row],[Request date serial]]</f>
        <v>21</v>
      </c>
      <c r="AE1101" s="65">
        <f>tblWorkPackages[[#This Row],[Last labor date]]-tblWorkPackages[[#This Row],[First labor date]]</f>
        <v>1</v>
      </c>
      <c r="AF1101" s="65">
        <f>tblWorkPackages[[#This Row],[Completion date serial]]-tblWorkPackages[[#This Row],[Last labor date]]</f>
        <v>3</v>
      </c>
      <c r="AG1101" s="65">
        <f>tblWorkPackages[[#This Row],[Completion date serial]]-tblWorkPackages[[#This Row],[Request date serial]]</f>
        <v>25</v>
      </c>
      <c r="AH1101" s="65">
        <f>IFERROR(INDEX(tblParts[Delay days],MATCH(tblWorkPackages[[#This Row],[Work package ID]],tblParts[Work package ID],0)),0)</f>
        <v>0</v>
      </c>
      <c r="AI1101" s="51" t="str">
        <f>IFERROR(INDEX(tblDisruptions[Event type],MATCH(tblWorkPackages[[#This Row],[Work package ID]],tblDisruptions[Work package ID],0)),"None")</f>
        <v>None</v>
      </c>
      <c r="AJ1101" s="51" t="str">
        <f>TEXT(tblWorkPackages[[#This Row],[Due date serial]],"yyyy-mm")</f>
        <v>2025-06</v>
      </c>
    </row>
    <row r="1102" spans="1:36" ht="15" x14ac:dyDescent="0.25">
      <c r="A1102" s="53" t="s">
        <v>2003</v>
      </c>
      <c r="B1102" s="53" t="s">
        <v>287</v>
      </c>
      <c r="C1102" s="53" t="s">
        <v>409</v>
      </c>
      <c r="D1102" s="53" t="s">
        <v>410</v>
      </c>
      <c r="E1102" s="53" t="s">
        <v>209</v>
      </c>
      <c r="F1102" s="53" t="s">
        <v>145</v>
      </c>
      <c r="G1102" s="53" t="s">
        <v>210</v>
      </c>
      <c r="H1102" s="53">
        <v>4</v>
      </c>
      <c r="I1102" s="53" t="s">
        <v>176</v>
      </c>
      <c r="J1102" s="53">
        <v>0</v>
      </c>
      <c r="K1102" s="53">
        <v>0</v>
      </c>
      <c r="L1102" s="53">
        <v>44.1</v>
      </c>
      <c r="M1102" s="53" t="s">
        <v>376</v>
      </c>
      <c r="N1102" s="53">
        <v>47.8</v>
      </c>
      <c r="O1102" s="51" t="str">
        <f>TEXT(tblWorkPackages[[#This Row],[Request date serial]]-WEEKDAY(tblWorkPackages[[#This Row],[Request date serial]],3),"yyyy-mm-dd")</f>
        <v>2025-04-21</v>
      </c>
      <c r="P1102" s="51">
        <f>ABS(tblWorkPackages[[#This Row],[Actual labor hours]]-tblWorkPackages[[#This Row],[Estimated labor hours]])</f>
        <v>3.7</v>
      </c>
      <c r="Q1102" s="51">
        <f>IF(tblWorkPackages[[#This Row],[Actual labor hours]]&gt;tblWorkPackages[[#This Row],[Estimated labor hours]],1,0)</f>
        <v>1</v>
      </c>
      <c r="R1102" s="51">
        <f>tblWorkPackages[[#This Row],[Actual labor hours]]-tblWorkPackages[[#This Row],[Estimated labor hours]]</f>
        <v>3.7</v>
      </c>
      <c r="S1102" s="51" t="str">
        <f>IF(tblWorkPackages[[#This Row],[Request date serial]]&lt;ValidationStart,"Train 2024",IF(tblWorkPackages[[#This Row],[Request date serial]]&lt;HoldoutStart,"Validation H1","Holdout H2"))</f>
        <v>Validation H1</v>
      </c>
      <c r="T1102" s="51">
        <f>IF(tblWorkPackages[[#This Row],[Time split]]="Train 2024","",tblWorkPackages[[#This Row],[Estimated labor hours]]+VLOOKUP(tblWorkPackages[[#This Row],[Task type]],'Forecast validation'!$A$14:$E$25,IF(tblWorkPackages[[#This Row],[Time split]]="Validation H1",4,5),FALSE()))</f>
        <v>45.2029850746269</v>
      </c>
      <c r="U1102" s="51">
        <f>IF(tblWorkPackages[[#This Row],[Calibrated forecast hours]]="","",ABS(tblWorkPackages[[#This Row],[Actual labor hours]]-tblWorkPackages[[#This Row],[Calibrated forecast hours]]))</f>
        <v>2.59701492537313</v>
      </c>
      <c r="V1102" s="51">
        <f>IF(tblWorkPackages[[#This Row],[Time split]]="Train 2024",tblWorkPackages[[#This Row],[Estimated labor hours]],tblWorkPackages[[#This Row],[Calibrated forecast hours]])</f>
        <v>45.2029850746269</v>
      </c>
      <c r="W1102" s="64">
        <f>DATEVALUE(tblWorkPackages[[#This Row],[Request date]])</f>
        <v>45772.0</v>
      </c>
      <c r="X1102" s="64">
        <f>DATEVALUE(tblWorkPackages[[#This Row],[Due date]])</f>
        <v>45778.0</v>
      </c>
      <c r="Y1102" s="64">
        <f>DATEVALUE(tblWorkPackages[[#This Row],[Completion date]])</f>
        <v>45776.0</v>
      </c>
      <c r="Z1102" s="64">
        <f>_xlfn.MINIFS(tblLaborEntries[Work date serial],tblLaborEntries[Work package ID],tblWorkPackages[[#This Row],[Work package ID]])</f>
        <v>45775.0</v>
      </c>
      <c r="AA1102" s="64">
        <f>_xlfn.MAXIFS(tblLaborEntries[Work date serial],tblLaborEntries[Work package ID],tblWorkPackages[[#This Row],[Work package ID]])</f>
        <v>45776.0</v>
      </c>
      <c r="AB1102" s="65">
        <f>IF(tblWorkPackages[[#This Row],[Completion date serial]]&gt;tblWorkPackages[[#This Row],[Due date serial]],1,0)</f>
        <v>0</v>
      </c>
      <c r="AC1102" s="65">
        <f>MAX(0,tblWorkPackages[[#This Row],[Completion date serial]]-tblWorkPackages[[#This Row],[Due date serial]])</f>
        <v>0</v>
      </c>
      <c r="AD1102" s="65">
        <f>tblWorkPackages[[#This Row],[First labor date]]-tblWorkPackages[[#This Row],[Request date serial]]</f>
        <v>3</v>
      </c>
      <c r="AE1102" s="65">
        <f>tblWorkPackages[[#This Row],[Last labor date]]-tblWorkPackages[[#This Row],[First labor date]]</f>
        <v>1</v>
      </c>
      <c r="AF1102" s="65">
        <f>tblWorkPackages[[#This Row],[Completion date serial]]-tblWorkPackages[[#This Row],[Last labor date]]</f>
        <v>0</v>
      </c>
      <c r="AG1102" s="65">
        <f>tblWorkPackages[[#This Row],[Completion date serial]]-tblWorkPackages[[#This Row],[Request date serial]]</f>
        <v>4</v>
      </c>
      <c r="AH1102" s="65">
        <f>IFERROR(INDEX(tblParts[Delay days],MATCH(tblWorkPackages[[#This Row],[Work package ID]],tblParts[Work package ID],0)),0)</f>
        <v>0</v>
      </c>
      <c r="AI1102" s="51" t="str">
        <f>IFERROR(INDEX(tblDisruptions[Event type],MATCH(tblWorkPackages[[#This Row],[Work package ID]],tblDisruptions[Work package ID],0)),"None")</f>
        <v>None</v>
      </c>
      <c r="AJ1102" s="51" t="str">
        <f>TEXT(tblWorkPackages[[#This Row],[Due date serial]],"yyyy-mm")</f>
        <v>2025-05</v>
      </c>
    </row>
    <row r="1103" spans="1:36" ht="15" x14ac:dyDescent="0.25">
      <c r="A1103" s="53" t="s">
        <v>2004</v>
      </c>
      <c r="B1103" s="53" t="s">
        <v>141</v>
      </c>
      <c r="C1103" s="53" t="s">
        <v>252</v>
      </c>
      <c r="D1103" s="53" t="s">
        <v>1417</v>
      </c>
      <c r="E1103" s="53" t="s">
        <v>237</v>
      </c>
      <c r="F1103" s="53" t="s">
        <v>182</v>
      </c>
      <c r="G1103" s="53" t="s">
        <v>138</v>
      </c>
      <c r="H1103" s="53">
        <v>1</v>
      </c>
      <c r="I1103" s="53" t="s">
        <v>147</v>
      </c>
      <c r="J1103" s="53">
        <v>0</v>
      </c>
      <c r="K1103" s="53">
        <v>0</v>
      </c>
      <c r="L1103" s="53">
        <v>3.2</v>
      </c>
      <c r="M1103" s="53" t="s">
        <v>586</v>
      </c>
      <c r="N1103" s="53">
        <v>2.9</v>
      </c>
      <c r="O1103" s="51" t="str">
        <f>TEXT(tblWorkPackages[[#This Row],[Request date serial]]-WEEKDAY(tblWorkPackages[[#This Row],[Request date serial]],3),"yyyy-mm-dd")</f>
        <v>2024-12-23</v>
      </c>
      <c r="P1103" s="51">
        <f>ABS(tblWorkPackages[[#This Row],[Actual labor hours]]-tblWorkPackages[[#This Row],[Estimated labor hours]])</f>
        <v>0.3</v>
      </c>
      <c r="Q1103" s="51">
        <f>IF(tblWorkPackages[[#This Row],[Actual labor hours]]&gt;tblWorkPackages[[#This Row],[Estimated labor hours]],1,0)</f>
        <v>0</v>
      </c>
      <c r="R1103" s="51">
        <f>tblWorkPackages[[#This Row],[Actual labor hours]]-tblWorkPackages[[#This Row],[Estimated labor hours]]</f>
        <v>-0.3</v>
      </c>
      <c r="S1103" s="51" t="str">
        <f>IF(tblWorkPackages[[#This Row],[Request date serial]]&lt;ValidationStart,"Train 2024",IF(tblWorkPackages[[#This Row],[Request date serial]]&lt;HoldoutStart,"Validation H1","Holdout H2"))</f>
        <v>Train 2024</v>
      </c>
      <c r="T1103" s="51" t="str">
        <f>IF(tblWorkPackages[[#This Row],[Time split]]="Train 2024","",tblWorkPackages[[#This Row],[Estimated labor hours]]+VLOOKUP(tblWorkPackages[[#This Row],[Task type]],'Forecast validation'!$A$14:$E$25,IF(tblWorkPackages[[#This Row],[Time split]]="Validation H1",4,5),FALSE()))</f>
        <v/>
      </c>
      <c r="U1103" s="51" t="str">
        <f>IF(tblWorkPackages[[#This Row],[Calibrated forecast hours]]="","",ABS(tblWorkPackages[[#This Row],[Actual labor hours]]-tblWorkPackages[[#This Row],[Calibrated forecast hours]]))</f>
        <v/>
      </c>
      <c r="V1103" s="51">
        <f>IF(tblWorkPackages[[#This Row],[Time split]]="Train 2024",tblWorkPackages[[#This Row],[Estimated labor hours]],tblWorkPackages[[#This Row],[Calibrated forecast hours]])</f>
        <v>3.2</v>
      </c>
      <c r="W1103" s="64">
        <f>DATEVALUE(tblWorkPackages[[#This Row],[Request date]])</f>
        <v>45654.0</v>
      </c>
      <c r="X1103" s="64">
        <f>DATEVALUE(tblWorkPackages[[#This Row],[Due date]])</f>
        <v>45656.0</v>
      </c>
      <c r="Y1103" s="64">
        <f>DATEVALUE(tblWorkPackages[[#This Row],[Completion date]])</f>
        <v>45658.0</v>
      </c>
      <c r="Z1103" s="64">
        <f>_xlfn.MINIFS(tblLaborEntries[Work date serial],tblLaborEntries[Work package ID],tblWorkPackages[[#This Row],[Work package ID]])</f>
        <v>45655.0</v>
      </c>
      <c r="AA1103" s="64">
        <f>_xlfn.MAXIFS(tblLaborEntries[Work date serial],tblLaborEntries[Work package ID],tblWorkPackages[[#This Row],[Work package ID]])</f>
        <v>45657.0</v>
      </c>
      <c r="AB1103" s="65">
        <f>IF(tblWorkPackages[[#This Row],[Completion date serial]]&gt;tblWorkPackages[[#This Row],[Due date serial]],1,0)</f>
        <v>1</v>
      </c>
      <c r="AC1103" s="65">
        <f>MAX(0,tblWorkPackages[[#This Row],[Completion date serial]]-tblWorkPackages[[#This Row],[Due date serial]])</f>
        <v>2</v>
      </c>
      <c r="AD1103" s="65">
        <f>tblWorkPackages[[#This Row],[First labor date]]-tblWorkPackages[[#This Row],[Request date serial]]</f>
        <v>1</v>
      </c>
      <c r="AE1103" s="65">
        <f>tblWorkPackages[[#This Row],[Last labor date]]-tblWorkPackages[[#This Row],[First labor date]]</f>
        <v>2</v>
      </c>
      <c r="AF1103" s="65">
        <f>tblWorkPackages[[#This Row],[Completion date serial]]-tblWorkPackages[[#This Row],[Last labor date]]</f>
        <v>1</v>
      </c>
      <c r="AG1103" s="65">
        <f>tblWorkPackages[[#This Row],[Completion date serial]]-tblWorkPackages[[#This Row],[Request date serial]]</f>
        <v>4</v>
      </c>
      <c r="AH1103" s="65">
        <f>IFERROR(INDEX(tblParts[Delay days],MATCH(tblWorkPackages[[#This Row],[Work package ID]],tblParts[Work package ID],0)),0)</f>
        <v>0</v>
      </c>
      <c r="AI1103" s="51" t="str">
        <f>IFERROR(INDEX(tblDisruptions[Event type],MATCH(tblWorkPackages[[#This Row],[Work package ID]],tblDisruptions[Work package ID],0)),"None")</f>
        <v>None</v>
      </c>
      <c r="AJ1103" s="51" t="str">
        <f>TEXT(tblWorkPackages[[#This Row],[Due date serial]],"yyyy-mm")</f>
        <v>2024-12</v>
      </c>
    </row>
    <row r="1104" spans="1:36" ht="15" x14ac:dyDescent="0.25">
      <c r="A1104" s="53" t="s">
        <v>2005</v>
      </c>
      <c r="B1104" s="53" t="s">
        <v>133</v>
      </c>
      <c r="C1104" s="53" t="s">
        <v>2006</v>
      </c>
      <c r="D1104" s="53" t="s">
        <v>774</v>
      </c>
      <c r="E1104" s="53" t="s">
        <v>144</v>
      </c>
      <c r="F1104" s="53" t="s">
        <v>145</v>
      </c>
      <c r="G1104" s="53" t="s">
        <v>146</v>
      </c>
      <c r="H1104" s="53">
        <v>1</v>
      </c>
      <c r="I1104" s="53" t="s">
        <v>176</v>
      </c>
      <c r="J1104" s="53">
        <v>0</v>
      </c>
      <c r="K1104" s="53">
        <v>1</v>
      </c>
      <c r="L1104" s="53">
        <v>7.3</v>
      </c>
      <c r="M1104" s="53" t="s">
        <v>691</v>
      </c>
      <c r="N1104" s="53">
        <v>5.8</v>
      </c>
      <c r="O1104" s="51" t="str">
        <f>TEXT(tblWorkPackages[[#This Row],[Request date serial]]-WEEKDAY(tblWorkPackages[[#This Row],[Request date serial]],3),"yyyy-mm-dd")</f>
        <v>2024-03-18</v>
      </c>
      <c r="P1104" s="51">
        <f>ABS(tblWorkPackages[[#This Row],[Actual labor hours]]-tblWorkPackages[[#This Row],[Estimated labor hours]])</f>
        <v>1.5</v>
      </c>
      <c r="Q1104" s="51">
        <f>IF(tblWorkPackages[[#This Row],[Actual labor hours]]&gt;tblWorkPackages[[#This Row],[Estimated labor hours]],1,0)</f>
        <v>0</v>
      </c>
      <c r="R1104" s="51">
        <f>tblWorkPackages[[#This Row],[Actual labor hours]]-tblWorkPackages[[#This Row],[Estimated labor hours]]</f>
        <v>-1.5</v>
      </c>
      <c r="S1104" s="51" t="str">
        <f>IF(tblWorkPackages[[#This Row],[Request date serial]]&lt;ValidationStart,"Train 2024",IF(tblWorkPackages[[#This Row],[Request date serial]]&lt;HoldoutStart,"Validation H1","Holdout H2"))</f>
        <v>Train 2024</v>
      </c>
      <c r="T1104" s="51" t="str">
        <f>IF(tblWorkPackages[[#This Row],[Time split]]="Train 2024","",tblWorkPackages[[#This Row],[Estimated labor hours]]+VLOOKUP(tblWorkPackages[[#This Row],[Task type]],'Forecast validation'!$A$14:$E$25,IF(tblWorkPackages[[#This Row],[Time split]]="Validation H1",4,5),FALSE()))</f>
        <v/>
      </c>
      <c r="U1104" s="51" t="str">
        <f>IF(tblWorkPackages[[#This Row],[Calibrated forecast hours]]="","",ABS(tblWorkPackages[[#This Row],[Actual labor hours]]-tblWorkPackages[[#This Row],[Calibrated forecast hours]]))</f>
        <v/>
      </c>
      <c r="V1104" s="51">
        <f>IF(tblWorkPackages[[#This Row],[Time split]]="Train 2024",tblWorkPackages[[#This Row],[Estimated labor hours]],tblWorkPackages[[#This Row],[Calibrated forecast hours]])</f>
        <v>7.3</v>
      </c>
      <c r="W1104" s="64">
        <f>DATEVALUE(tblWorkPackages[[#This Row],[Request date]])</f>
        <v>45375.0</v>
      </c>
      <c r="X1104" s="64">
        <f>DATEVALUE(tblWorkPackages[[#This Row],[Due date]])</f>
        <v>45381.0</v>
      </c>
      <c r="Y1104" s="64">
        <f>DATEVALUE(tblWorkPackages[[#This Row],[Completion date]])</f>
        <v>45389.0</v>
      </c>
      <c r="Z1104" s="64">
        <f>_xlfn.MINIFS(tblLaborEntries[Work date serial],tblLaborEntries[Work package ID],tblWorkPackages[[#This Row],[Work package ID]])</f>
        <v>45387.0</v>
      </c>
      <c r="AA1104" s="64">
        <f>_xlfn.MAXIFS(tblLaborEntries[Work date serial],tblLaborEntries[Work package ID],tblWorkPackages[[#This Row],[Work package ID]])</f>
        <v>45387.0</v>
      </c>
      <c r="AB1104" s="65">
        <f>IF(tblWorkPackages[[#This Row],[Completion date serial]]&gt;tblWorkPackages[[#This Row],[Due date serial]],1,0)</f>
        <v>1</v>
      </c>
      <c r="AC1104" s="65">
        <f>MAX(0,tblWorkPackages[[#This Row],[Completion date serial]]-tblWorkPackages[[#This Row],[Due date serial]])</f>
        <v>8</v>
      </c>
      <c r="AD1104" s="65">
        <f>tblWorkPackages[[#This Row],[First labor date]]-tblWorkPackages[[#This Row],[Request date serial]]</f>
        <v>12</v>
      </c>
      <c r="AE1104" s="65">
        <f>tblWorkPackages[[#This Row],[Last labor date]]-tblWorkPackages[[#This Row],[First labor date]]</f>
        <v>0</v>
      </c>
      <c r="AF1104" s="65">
        <f>tblWorkPackages[[#This Row],[Completion date serial]]-tblWorkPackages[[#This Row],[Last labor date]]</f>
        <v>2</v>
      </c>
      <c r="AG1104" s="65">
        <f>tblWorkPackages[[#This Row],[Completion date serial]]-tblWorkPackages[[#This Row],[Request date serial]]</f>
        <v>14</v>
      </c>
      <c r="AH1104" s="65">
        <f>IFERROR(INDEX(tblParts[Delay days],MATCH(tblWorkPackages[[#This Row],[Work package ID]],tblParts[Work package ID],0)),0)</f>
        <v>0</v>
      </c>
      <c r="AI1104" s="51" t="str">
        <f>IFERROR(INDEX(tblDisruptions[Event type],MATCH(tblWorkPackages[[#This Row],[Work package ID]],tblDisruptions[Work package ID],0)),"None")</f>
        <v>None</v>
      </c>
      <c r="AJ1104" s="51" t="str">
        <f>TEXT(tblWorkPackages[[#This Row],[Due date serial]],"yyyy-mm")</f>
        <v>2024-03</v>
      </c>
    </row>
    <row r="1105" spans="1:36" ht="15" x14ac:dyDescent="0.25">
      <c r="A1105" s="53" t="s">
        <v>2007</v>
      </c>
      <c r="B1105" s="53" t="s">
        <v>203</v>
      </c>
      <c r="C1105" s="53" t="s">
        <v>599</v>
      </c>
      <c r="D1105" s="53" t="s">
        <v>600</v>
      </c>
      <c r="E1105" s="53" t="s">
        <v>160</v>
      </c>
      <c r="F1105" s="53" t="s">
        <v>128</v>
      </c>
      <c r="G1105" s="53" t="s">
        <v>138</v>
      </c>
      <c r="H1105" s="53">
        <v>2</v>
      </c>
      <c r="I1105" s="53" t="s">
        <v>176</v>
      </c>
      <c r="J1105" s="53">
        <v>0</v>
      </c>
      <c r="K1105" s="53">
        <v>0</v>
      </c>
      <c r="L1105" s="53">
        <v>3.8</v>
      </c>
      <c r="M1105" s="53" t="s">
        <v>1200</v>
      </c>
      <c r="N1105" s="53">
        <v>3</v>
      </c>
      <c r="O1105" s="51" t="str">
        <f>TEXT(tblWorkPackages[[#This Row],[Request date serial]]-WEEKDAY(tblWorkPackages[[#This Row],[Request date serial]],3),"yyyy-mm-dd")</f>
        <v>2024-11-11</v>
      </c>
      <c r="P1105" s="51">
        <f>ABS(tblWorkPackages[[#This Row],[Actual labor hours]]-tblWorkPackages[[#This Row],[Estimated labor hours]])</f>
        <v>0.8</v>
      </c>
      <c r="Q1105" s="51">
        <f>IF(tblWorkPackages[[#This Row],[Actual labor hours]]&gt;tblWorkPackages[[#This Row],[Estimated labor hours]],1,0)</f>
        <v>0</v>
      </c>
      <c r="R1105" s="51">
        <f>tblWorkPackages[[#This Row],[Actual labor hours]]-tblWorkPackages[[#This Row],[Estimated labor hours]]</f>
        <v>-0.8</v>
      </c>
      <c r="S1105" s="51" t="str">
        <f>IF(tblWorkPackages[[#This Row],[Request date serial]]&lt;ValidationStart,"Train 2024",IF(tblWorkPackages[[#This Row],[Request date serial]]&lt;HoldoutStart,"Validation H1","Holdout H2"))</f>
        <v>Train 2024</v>
      </c>
      <c r="T1105" s="51" t="str">
        <f>IF(tblWorkPackages[[#This Row],[Time split]]="Train 2024","",tblWorkPackages[[#This Row],[Estimated labor hours]]+VLOOKUP(tblWorkPackages[[#This Row],[Task type]],'Forecast validation'!$A$14:$E$25,IF(tblWorkPackages[[#This Row],[Time split]]="Validation H1",4,5),FALSE()))</f>
        <v/>
      </c>
      <c r="U1105" s="51" t="str">
        <f>IF(tblWorkPackages[[#This Row],[Calibrated forecast hours]]="","",ABS(tblWorkPackages[[#This Row],[Actual labor hours]]-tblWorkPackages[[#This Row],[Calibrated forecast hours]]))</f>
        <v/>
      </c>
      <c r="V1105" s="51">
        <f>IF(tblWorkPackages[[#This Row],[Time split]]="Train 2024",tblWorkPackages[[#This Row],[Estimated labor hours]],tblWorkPackages[[#This Row],[Calibrated forecast hours]])</f>
        <v>3.8</v>
      </c>
      <c r="W1105" s="64">
        <f>DATEVALUE(tblWorkPackages[[#This Row],[Request date]])</f>
        <v>45612.0</v>
      </c>
      <c r="X1105" s="64">
        <f>DATEVALUE(tblWorkPackages[[#This Row],[Due date]])</f>
        <v>45618.0</v>
      </c>
      <c r="Y1105" s="64">
        <f>DATEVALUE(tblWorkPackages[[#This Row],[Completion date]])</f>
        <v>45619.0</v>
      </c>
      <c r="Z1105" s="64">
        <f>_xlfn.MINIFS(tblLaborEntries[Work date serial],tblLaborEntries[Work package ID],tblWorkPackages[[#This Row],[Work package ID]])</f>
        <v>45615.0</v>
      </c>
      <c r="AA1105" s="64">
        <f>_xlfn.MAXIFS(tblLaborEntries[Work date serial],tblLaborEntries[Work package ID],tblWorkPackages[[#This Row],[Work package ID]])</f>
        <v>45616.0</v>
      </c>
      <c r="AB1105" s="65">
        <f>IF(tblWorkPackages[[#This Row],[Completion date serial]]&gt;tblWorkPackages[[#This Row],[Due date serial]],1,0)</f>
        <v>1</v>
      </c>
      <c r="AC1105" s="65">
        <f>MAX(0,tblWorkPackages[[#This Row],[Completion date serial]]-tblWorkPackages[[#This Row],[Due date serial]])</f>
        <v>1</v>
      </c>
      <c r="AD1105" s="65">
        <f>tblWorkPackages[[#This Row],[First labor date]]-tblWorkPackages[[#This Row],[Request date serial]]</f>
        <v>3</v>
      </c>
      <c r="AE1105" s="65">
        <f>tblWorkPackages[[#This Row],[Last labor date]]-tblWorkPackages[[#This Row],[First labor date]]</f>
        <v>1</v>
      </c>
      <c r="AF1105" s="65">
        <f>tblWorkPackages[[#This Row],[Completion date serial]]-tblWorkPackages[[#This Row],[Last labor date]]</f>
        <v>3</v>
      </c>
      <c r="AG1105" s="65">
        <f>tblWorkPackages[[#This Row],[Completion date serial]]-tblWorkPackages[[#This Row],[Request date serial]]</f>
        <v>7</v>
      </c>
      <c r="AH1105" s="65">
        <f>IFERROR(INDEX(tblParts[Delay days],MATCH(tblWorkPackages[[#This Row],[Work package ID]],tblParts[Work package ID],0)),0)</f>
        <v>0</v>
      </c>
      <c r="AI1105" s="51" t="str">
        <f>IFERROR(INDEX(tblDisruptions[Event type],MATCH(tblWorkPackages[[#This Row],[Work package ID]],tblDisruptions[Work package ID],0)),"None")</f>
        <v>None</v>
      </c>
      <c r="AJ1105" s="51" t="str">
        <f>TEXT(tblWorkPackages[[#This Row],[Due date serial]],"yyyy-mm")</f>
        <v>2024-11</v>
      </c>
    </row>
    <row r="1106" spans="1:36" ht="15" x14ac:dyDescent="0.25">
      <c r="A1106" s="53" t="s">
        <v>2008</v>
      </c>
      <c r="B1106" s="53" t="s">
        <v>157</v>
      </c>
      <c r="C1106" s="53" t="s">
        <v>740</v>
      </c>
      <c r="D1106" s="53" t="s">
        <v>2009</v>
      </c>
      <c r="E1106" s="53" t="s">
        <v>272</v>
      </c>
      <c r="F1106" s="53" t="s">
        <v>145</v>
      </c>
      <c r="G1106" s="53" t="s">
        <v>273</v>
      </c>
      <c r="H1106" s="53">
        <v>4</v>
      </c>
      <c r="I1106" s="53" t="s">
        <v>130</v>
      </c>
      <c r="J1106" s="53">
        <v>0</v>
      </c>
      <c r="K1106" s="53">
        <v>1</v>
      </c>
      <c r="L1106" s="53">
        <v>21.5</v>
      </c>
      <c r="M1106" s="53" t="s">
        <v>198</v>
      </c>
      <c r="N1106" s="53">
        <v>20.2</v>
      </c>
      <c r="O1106" s="51" t="str">
        <f>TEXT(tblWorkPackages[[#This Row],[Request date serial]]-WEEKDAY(tblWorkPackages[[#This Row],[Request date serial]],3),"yyyy-mm-dd")</f>
        <v>2025-05-19</v>
      </c>
      <c r="P1106" s="51">
        <f>ABS(tblWorkPackages[[#This Row],[Actual labor hours]]-tblWorkPackages[[#This Row],[Estimated labor hours]])</f>
        <v>1.3</v>
      </c>
      <c r="Q1106" s="51">
        <f>IF(tblWorkPackages[[#This Row],[Actual labor hours]]&gt;tblWorkPackages[[#This Row],[Estimated labor hours]],1,0)</f>
        <v>0</v>
      </c>
      <c r="R1106" s="51">
        <f>tblWorkPackages[[#This Row],[Actual labor hours]]-tblWorkPackages[[#This Row],[Estimated labor hours]]</f>
        <v>-1.3</v>
      </c>
      <c r="S1106" s="51" t="str">
        <f>IF(tblWorkPackages[[#This Row],[Request date serial]]&lt;ValidationStart,"Train 2024",IF(tblWorkPackages[[#This Row],[Request date serial]]&lt;HoldoutStart,"Validation H1","Holdout H2"))</f>
        <v>Validation H1</v>
      </c>
      <c r="T1106" s="51">
        <f>IF(tblWorkPackages[[#This Row],[Time split]]="Train 2024","",tblWorkPackages[[#This Row],[Estimated labor hours]]+VLOOKUP(tblWorkPackages[[#This Row],[Task type]],'Forecast validation'!$A$14:$E$25,IF(tblWorkPackages[[#This Row],[Time split]]="Validation H1",4,5),FALSE()))</f>
        <v>22.5320512820513</v>
      </c>
      <c r="U1106" s="51">
        <f>IF(tblWorkPackages[[#This Row],[Calibrated forecast hours]]="","",ABS(tblWorkPackages[[#This Row],[Actual labor hours]]-tblWorkPackages[[#This Row],[Calibrated forecast hours]]))</f>
        <v>2.33205128205128</v>
      </c>
      <c r="V1106" s="51">
        <f>IF(tblWorkPackages[[#This Row],[Time split]]="Train 2024",tblWorkPackages[[#This Row],[Estimated labor hours]],tblWorkPackages[[#This Row],[Calibrated forecast hours]])</f>
        <v>22.5320512820513</v>
      </c>
      <c r="W1106" s="64">
        <f>DATEVALUE(tblWorkPackages[[#This Row],[Request date]])</f>
        <v>45797.0</v>
      </c>
      <c r="X1106" s="64">
        <f>DATEVALUE(tblWorkPackages[[#This Row],[Due date]])</f>
        <v>45810.0</v>
      </c>
      <c r="Y1106" s="64">
        <f>DATEVALUE(tblWorkPackages[[#This Row],[Completion date]])</f>
        <v>45832.0</v>
      </c>
      <c r="Z1106" s="64">
        <f>_xlfn.MINIFS(tblLaborEntries[Work date serial],tblLaborEntries[Work package ID],tblWorkPackages[[#This Row],[Work package ID]])</f>
        <v>45830.0</v>
      </c>
      <c r="AA1106" s="64">
        <f>_xlfn.MAXIFS(tblLaborEntries[Work date serial],tblLaborEntries[Work package ID],tblWorkPackages[[#This Row],[Work package ID]])</f>
        <v>45832.0</v>
      </c>
      <c r="AB1106" s="65">
        <f>IF(tblWorkPackages[[#This Row],[Completion date serial]]&gt;tblWorkPackages[[#This Row],[Due date serial]],1,0)</f>
        <v>1</v>
      </c>
      <c r="AC1106" s="65">
        <f>MAX(0,tblWorkPackages[[#This Row],[Completion date serial]]-tblWorkPackages[[#This Row],[Due date serial]])</f>
        <v>22</v>
      </c>
      <c r="AD1106" s="65">
        <f>tblWorkPackages[[#This Row],[First labor date]]-tblWorkPackages[[#This Row],[Request date serial]]</f>
        <v>33</v>
      </c>
      <c r="AE1106" s="65">
        <f>tblWorkPackages[[#This Row],[Last labor date]]-tblWorkPackages[[#This Row],[First labor date]]</f>
        <v>2</v>
      </c>
      <c r="AF1106" s="65">
        <f>tblWorkPackages[[#This Row],[Completion date serial]]-tblWorkPackages[[#This Row],[Last labor date]]</f>
        <v>0</v>
      </c>
      <c r="AG1106" s="65">
        <f>tblWorkPackages[[#This Row],[Completion date serial]]-tblWorkPackages[[#This Row],[Request date serial]]</f>
        <v>35</v>
      </c>
      <c r="AH1106" s="65">
        <f>IFERROR(INDEX(tblParts[Delay days],MATCH(tblWorkPackages[[#This Row],[Work package ID]],tblParts[Work package ID],0)),0)</f>
        <v>0</v>
      </c>
      <c r="AI1106" s="51" t="str">
        <f>IFERROR(INDEX(tblDisruptions[Event type],MATCH(tblWorkPackages[[#This Row],[Work package ID]],tblDisruptions[Work package ID],0)),"None")</f>
        <v>None</v>
      </c>
      <c r="AJ1106" s="51" t="str">
        <f>TEXT(tblWorkPackages[[#This Row],[Due date serial]],"yyyy-mm")</f>
        <v>2025-06</v>
      </c>
    </row>
    <row r="1107" spans="1:36" ht="15" x14ac:dyDescent="0.25">
      <c r="A1107" s="53" t="s">
        <v>2010</v>
      </c>
      <c r="B1107" s="53" t="s">
        <v>235</v>
      </c>
      <c r="C1107" s="53" t="s">
        <v>653</v>
      </c>
      <c r="D1107" s="53" t="s">
        <v>914</v>
      </c>
      <c r="E1107" s="53" t="s">
        <v>160</v>
      </c>
      <c r="F1107" s="53" t="s">
        <v>128</v>
      </c>
      <c r="G1107" s="53" t="s">
        <v>138</v>
      </c>
      <c r="H1107" s="53">
        <v>2</v>
      </c>
      <c r="I1107" s="53" t="s">
        <v>130</v>
      </c>
      <c r="J1107" s="53">
        <v>1</v>
      </c>
      <c r="K1107" s="53">
        <v>0</v>
      </c>
      <c r="L1107" s="53">
        <v>4.2</v>
      </c>
      <c r="M1107" s="53" t="s">
        <v>780</v>
      </c>
      <c r="N1107" s="53">
        <v>5.3</v>
      </c>
      <c r="O1107" s="51" t="str">
        <f>TEXT(tblWorkPackages[[#This Row],[Request date serial]]-WEEKDAY(tblWorkPackages[[#This Row],[Request date serial]],3),"yyyy-mm-dd")</f>
        <v>2025-12-08</v>
      </c>
      <c r="P1107" s="51">
        <f>ABS(tblWorkPackages[[#This Row],[Actual labor hours]]-tblWorkPackages[[#This Row],[Estimated labor hours]])</f>
        <v>1.1</v>
      </c>
      <c r="Q1107" s="51">
        <f>IF(tblWorkPackages[[#This Row],[Actual labor hours]]&gt;tblWorkPackages[[#This Row],[Estimated labor hours]],1,0)</f>
        <v>1</v>
      </c>
      <c r="R1107" s="51">
        <f>tblWorkPackages[[#This Row],[Actual labor hours]]-tblWorkPackages[[#This Row],[Estimated labor hours]]</f>
        <v>1.1</v>
      </c>
      <c r="S1107" s="51" t="str">
        <f>IF(tblWorkPackages[[#This Row],[Request date serial]]&lt;ValidationStart,"Train 2024",IF(tblWorkPackages[[#This Row],[Request date serial]]&lt;HoldoutStart,"Validation H1","Holdout H2"))</f>
        <v>Holdout H2</v>
      </c>
      <c r="T1107" s="51">
        <f>IF(tblWorkPackages[[#This Row],[Time split]]="Train 2024","",tblWorkPackages[[#This Row],[Estimated labor hours]]+VLOOKUP(tblWorkPackages[[#This Row],[Task type]],'Forecast validation'!$A$14:$E$25,IF(tblWorkPackages[[#This Row],[Time split]]="Validation H1",4,5),FALSE()))</f>
        <v>4.63739837398374</v>
      </c>
      <c r="U1107" s="51">
        <f>IF(tblWorkPackages[[#This Row],[Calibrated forecast hours]]="","",ABS(tblWorkPackages[[#This Row],[Actual labor hours]]-tblWorkPackages[[#This Row],[Calibrated forecast hours]]))</f>
        <v>0.66260162601626</v>
      </c>
      <c r="V1107" s="51">
        <f>IF(tblWorkPackages[[#This Row],[Time split]]="Train 2024",tblWorkPackages[[#This Row],[Estimated labor hours]],tblWorkPackages[[#This Row],[Calibrated forecast hours]])</f>
        <v>4.63739837398374</v>
      </c>
      <c r="W1107" s="64">
        <f>DATEVALUE(tblWorkPackages[[#This Row],[Request date]])</f>
        <v>46000.0</v>
      </c>
      <c r="X1107" s="64">
        <f>DATEVALUE(tblWorkPackages[[#This Row],[Due date]])</f>
        <v>46013.0</v>
      </c>
      <c r="Y1107" s="64">
        <f>DATEVALUE(tblWorkPackages[[#This Row],[Completion date]])</f>
        <v>46009.0</v>
      </c>
      <c r="Z1107" s="64">
        <f>_xlfn.MINIFS(tblLaborEntries[Work date serial],tblLaborEntries[Work package ID],tblWorkPackages[[#This Row],[Work package ID]])</f>
        <v>46006.0</v>
      </c>
      <c r="AA1107" s="64">
        <f>_xlfn.MAXIFS(tblLaborEntries[Work date serial],tblLaborEntries[Work package ID],tblWorkPackages[[#This Row],[Work package ID]])</f>
        <v>46008.0</v>
      </c>
      <c r="AB1107" s="65">
        <f>IF(tblWorkPackages[[#This Row],[Completion date serial]]&gt;tblWorkPackages[[#This Row],[Due date serial]],1,0)</f>
        <v>0</v>
      </c>
      <c r="AC1107" s="65">
        <f>MAX(0,tblWorkPackages[[#This Row],[Completion date serial]]-tblWorkPackages[[#This Row],[Due date serial]])</f>
        <v>0</v>
      </c>
      <c r="AD1107" s="65">
        <f>tblWorkPackages[[#This Row],[First labor date]]-tblWorkPackages[[#This Row],[Request date serial]]</f>
        <v>6</v>
      </c>
      <c r="AE1107" s="65">
        <f>tblWorkPackages[[#This Row],[Last labor date]]-tblWorkPackages[[#This Row],[First labor date]]</f>
        <v>2</v>
      </c>
      <c r="AF1107" s="65">
        <f>tblWorkPackages[[#This Row],[Completion date serial]]-tblWorkPackages[[#This Row],[Last labor date]]</f>
        <v>1</v>
      </c>
      <c r="AG1107" s="65">
        <f>tblWorkPackages[[#This Row],[Completion date serial]]-tblWorkPackages[[#This Row],[Request date serial]]</f>
        <v>9</v>
      </c>
      <c r="AH1107" s="65">
        <f>IFERROR(INDEX(tblParts[Delay days],MATCH(tblWorkPackages[[#This Row],[Work package ID]],tblParts[Work package ID],0)),0)</f>
        <v>0</v>
      </c>
      <c r="AI1107" s="51" t="str">
        <f>IFERROR(INDEX(tblDisruptions[Event type],MATCH(tblWorkPackages[[#This Row],[Work package ID]],tblDisruptions[Work package ID],0)),"None")</f>
        <v>None</v>
      </c>
      <c r="AJ1107" s="51" t="str">
        <f>TEXT(tblWorkPackages[[#This Row],[Due date serial]],"yyyy-mm")</f>
        <v>2025-12</v>
      </c>
    </row>
    <row r="1108" spans="1:36" ht="15" x14ac:dyDescent="0.25">
      <c r="A1108" s="53" t="s">
        <v>2011</v>
      </c>
      <c r="B1108" s="53" t="s">
        <v>163</v>
      </c>
      <c r="C1108" s="53" t="s">
        <v>248</v>
      </c>
      <c r="D1108" s="53" t="s">
        <v>2012</v>
      </c>
      <c r="E1108" s="53" t="s">
        <v>127</v>
      </c>
      <c r="F1108" s="53" t="s">
        <v>128</v>
      </c>
      <c r="G1108" s="53" t="s">
        <v>129</v>
      </c>
      <c r="H1108" s="53">
        <v>4</v>
      </c>
      <c r="I1108" s="53" t="s">
        <v>176</v>
      </c>
      <c r="J1108" s="53">
        <v>0</v>
      </c>
      <c r="K1108" s="53">
        <v>0</v>
      </c>
      <c r="L1108" s="53">
        <v>13.9</v>
      </c>
      <c r="M1108" s="53" t="s">
        <v>667</v>
      </c>
      <c r="N1108" s="53">
        <v>17.3</v>
      </c>
      <c r="O1108" s="51" t="str">
        <f>TEXT(tblWorkPackages[[#This Row],[Request date serial]]-WEEKDAY(tblWorkPackages[[#This Row],[Request date serial]],3),"yyyy-mm-dd")</f>
        <v>2024-03-11</v>
      </c>
      <c r="P1108" s="51">
        <f>ABS(tblWorkPackages[[#This Row],[Actual labor hours]]-tblWorkPackages[[#This Row],[Estimated labor hours]])</f>
        <v>3.4</v>
      </c>
      <c r="Q1108" s="51">
        <f>IF(tblWorkPackages[[#This Row],[Actual labor hours]]&gt;tblWorkPackages[[#This Row],[Estimated labor hours]],1,0)</f>
        <v>1</v>
      </c>
      <c r="R1108" s="51">
        <f>tblWorkPackages[[#This Row],[Actual labor hours]]-tblWorkPackages[[#This Row],[Estimated labor hours]]</f>
        <v>3.4</v>
      </c>
      <c r="S1108" s="51" t="str">
        <f>IF(tblWorkPackages[[#This Row],[Request date serial]]&lt;ValidationStart,"Train 2024",IF(tblWorkPackages[[#This Row],[Request date serial]]&lt;HoldoutStart,"Validation H1","Holdout H2"))</f>
        <v>Train 2024</v>
      </c>
      <c r="T1108" s="51" t="str">
        <f>IF(tblWorkPackages[[#This Row],[Time split]]="Train 2024","",tblWorkPackages[[#This Row],[Estimated labor hours]]+VLOOKUP(tblWorkPackages[[#This Row],[Task type]],'Forecast validation'!$A$14:$E$25,IF(tblWorkPackages[[#This Row],[Time split]]="Validation H1",4,5),FALSE()))</f>
        <v/>
      </c>
      <c r="U1108" s="51" t="str">
        <f>IF(tblWorkPackages[[#This Row],[Calibrated forecast hours]]="","",ABS(tblWorkPackages[[#This Row],[Actual labor hours]]-tblWorkPackages[[#This Row],[Calibrated forecast hours]]))</f>
        <v/>
      </c>
      <c r="V1108" s="51">
        <f>IF(tblWorkPackages[[#This Row],[Time split]]="Train 2024",tblWorkPackages[[#This Row],[Estimated labor hours]],tblWorkPackages[[#This Row],[Calibrated forecast hours]])</f>
        <v>13.9</v>
      </c>
      <c r="W1108" s="64">
        <f>DATEVALUE(tblWorkPackages[[#This Row],[Request date]])</f>
        <v>45368.0</v>
      </c>
      <c r="X1108" s="64">
        <f>DATEVALUE(tblWorkPackages[[#This Row],[Due date]])</f>
        <v>45374.0</v>
      </c>
      <c r="Y1108" s="64">
        <f>DATEVALUE(tblWorkPackages[[#This Row],[Completion date]])</f>
        <v>45373.0</v>
      </c>
      <c r="Z1108" s="64">
        <f>_xlfn.MINIFS(tblLaborEntries[Work date serial],tblLaborEntries[Work package ID],tblWorkPackages[[#This Row],[Work package ID]])</f>
        <v>45370.0</v>
      </c>
      <c r="AA1108" s="64">
        <f>_xlfn.MAXIFS(tblLaborEntries[Work date serial],tblLaborEntries[Work package ID],tblWorkPackages[[#This Row],[Work package ID]])</f>
        <v>45371.0</v>
      </c>
      <c r="AB1108" s="65">
        <f>IF(tblWorkPackages[[#This Row],[Completion date serial]]&gt;tblWorkPackages[[#This Row],[Due date serial]],1,0)</f>
        <v>0</v>
      </c>
      <c r="AC1108" s="65">
        <f>MAX(0,tblWorkPackages[[#This Row],[Completion date serial]]-tblWorkPackages[[#This Row],[Due date serial]])</f>
        <v>0</v>
      </c>
      <c r="AD1108" s="65">
        <f>tblWorkPackages[[#This Row],[First labor date]]-tblWorkPackages[[#This Row],[Request date serial]]</f>
        <v>2</v>
      </c>
      <c r="AE1108" s="65">
        <f>tblWorkPackages[[#This Row],[Last labor date]]-tblWorkPackages[[#This Row],[First labor date]]</f>
        <v>1</v>
      </c>
      <c r="AF1108" s="65">
        <f>tblWorkPackages[[#This Row],[Completion date serial]]-tblWorkPackages[[#This Row],[Last labor date]]</f>
        <v>2</v>
      </c>
      <c r="AG1108" s="65">
        <f>tblWorkPackages[[#This Row],[Completion date serial]]-tblWorkPackages[[#This Row],[Request date serial]]</f>
        <v>5</v>
      </c>
      <c r="AH1108" s="65">
        <f>IFERROR(INDEX(tblParts[Delay days],MATCH(tblWorkPackages[[#This Row],[Work package ID]],tblParts[Work package ID],0)),0)</f>
        <v>0</v>
      </c>
      <c r="AI1108" s="51" t="str">
        <f>IFERROR(INDEX(tblDisruptions[Event type],MATCH(tblWorkPackages[[#This Row],[Work package ID]],tblDisruptions[Work package ID],0)),"None")</f>
        <v>None</v>
      </c>
      <c r="AJ1108" s="51" t="str">
        <f>TEXT(tblWorkPackages[[#This Row],[Due date serial]],"yyyy-mm")</f>
        <v>2024-03</v>
      </c>
    </row>
    <row r="1109" spans="1:36" ht="15" x14ac:dyDescent="0.25">
      <c r="A1109" s="53" t="s">
        <v>2013</v>
      </c>
      <c r="B1109" s="53" t="s">
        <v>185</v>
      </c>
      <c r="C1109" s="53" t="s">
        <v>640</v>
      </c>
      <c r="D1109" s="53" t="s">
        <v>603</v>
      </c>
      <c r="E1109" s="53" t="s">
        <v>242</v>
      </c>
      <c r="F1109" s="53" t="s">
        <v>243</v>
      </c>
      <c r="G1109" s="53" t="s">
        <v>129</v>
      </c>
      <c r="H1109" s="53">
        <v>3</v>
      </c>
      <c r="I1109" s="53" t="s">
        <v>176</v>
      </c>
      <c r="J1109" s="53">
        <v>0</v>
      </c>
      <c r="K1109" s="53">
        <v>0</v>
      </c>
      <c r="L1109" s="53">
        <v>13.1</v>
      </c>
      <c r="M1109" s="53" t="s">
        <v>1156</v>
      </c>
      <c r="N1109" s="53">
        <v>13.1</v>
      </c>
      <c r="O1109" s="51" t="str">
        <f>TEXT(tblWorkPackages[[#This Row],[Request date serial]]-WEEKDAY(tblWorkPackages[[#This Row],[Request date serial]],3),"yyyy-mm-dd")</f>
        <v>2025-06-16</v>
      </c>
      <c r="P1109" s="51">
        <f>ABS(tblWorkPackages[[#This Row],[Actual labor hours]]-tblWorkPackages[[#This Row],[Estimated labor hours]])</f>
        <v>0</v>
      </c>
      <c r="Q1109" s="51">
        <f>IF(tblWorkPackages[[#This Row],[Actual labor hours]]&gt;tblWorkPackages[[#This Row],[Estimated labor hours]],1,0)</f>
        <v>0</v>
      </c>
      <c r="R1109" s="51">
        <f>tblWorkPackages[[#This Row],[Actual labor hours]]-tblWorkPackages[[#This Row],[Estimated labor hours]]</f>
        <v>0</v>
      </c>
      <c r="S1109" s="51" t="str">
        <f>IF(tblWorkPackages[[#This Row],[Request date serial]]&lt;ValidationStart,"Train 2024",IF(tblWorkPackages[[#This Row],[Request date serial]]&lt;HoldoutStart,"Validation H1","Holdout H2"))</f>
        <v>Validation H1</v>
      </c>
      <c r="T1109" s="51">
        <f>IF(tblWorkPackages[[#This Row],[Time split]]="Train 2024","",tblWorkPackages[[#This Row],[Estimated labor hours]]+VLOOKUP(tblWorkPackages[[#This Row],[Task type]],'Forecast validation'!$A$14:$E$25,IF(tblWorkPackages[[#This Row],[Time split]]="Validation H1",4,5),FALSE()))</f>
        <v>13.6561224489796</v>
      </c>
      <c r="U1109" s="51">
        <f>IF(tblWorkPackages[[#This Row],[Calibrated forecast hours]]="","",ABS(tblWorkPackages[[#This Row],[Actual labor hours]]-tblWorkPackages[[#This Row],[Calibrated forecast hours]]))</f>
        <v>0.556122448979592</v>
      </c>
      <c r="V1109" s="51">
        <f>IF(tblWorkPackages[[#This Row],[Time split]]="Train 2024",tblWorkPackages[[#This Row],[Estimated labor hours]],tblWorkPackages[[#This Row],[Calibrated forecast hours]])</f>
        <v>13.6561224489796</v>
      </c>
      <c r="W1109" s="64">
        <f>DATEVALUE(tblWorkPackages[[#This Row],[Request date]])</f>
        <v>45828.0</v>
      </c>
      <c r="X1109" s="64">
        <f>DATEVALUE(tblWorkPackages[[#This Row],[Due date]])</f>
        <v>45834.0</v>
      </c>
      <c r="Y1109" s="64">
        <f>DATEVALUE(tblWorkPackages[[#This Row],[Completion date]])</f>
        <v>45847.0</v>
      </c>
      <c r="Z1109" s="64">
        <f>_xlfn.MINIFS(tblLaborEntries[Work date serial],tblLaborEntries[Work package ID],tblWorkPackages[[#This Row],[Work package ID]])</f>
        <v>45843.0</v>
      </c>
      <c r="AA1109" s="64">
        <f>_xlfn.MAXIFS(tblLaborEntries[Work date serial],tblLaborEntries[Work package ID],tblWorkPackages[[#This Row],[Work package ID]])</f>
        <v>45844.0</v>
      </c>
      <c r="AB1109" s="65">
        <f>IF(tblWorkPackages[[#This Row],[Completion date serial]]&gt;tblWorkPackages[[#This Row],[Due date serial]],1,0)</f>
        <v>1</v>
      </c>
      <c r="AC1109" s="65">
        <f>MAX(0,tblWorkPackages[[#This Row],[Completion date serial]]-tblWorkPackages[[#This Row],[Due date serial]])</f>
        <v>13</v>
      </c>
      <c r="AD1109" s="65">
        <f>tblWorkPackages[[#This Row],[First labor date]]-tblWorkPackages[[#This Row],[Request date serial]]</f>
        <v>15</v>
      </c>
      <c r="AE1109" s="65">
        <f>tblWorkPackages[[#This Row],[Last labor date]]-tblWorkPackages[[#This Row],[First labor date]]</f>
        <v>1</v>
      </c>
      <c r="AF1109" s="65">
        <f>tblWorkPackages[[#This Row],[Completion date serial]]-tblWorkPackages[[#This Row],[Last labor date]]</f>
        <v>3</v>
      </c>
      <c r="AG1109" s="65">
        <f>tblWorkPackages[[#This Row],[Completion date serial]]-tblWorkPackages[[#This Row],[Request date serial]]</f>
        <v>19</v>
      </c>
      <c r="AH1109" s="65">
        <f>IFERROR(INDEX(tblParts[Delay days],MATCH(tblWorkPackages[[#This Row],[Work package ID]],tblParts[Work package ID],0)),0)</f>
        <v>0</v>
      </c>
      <c r="AI1109" s="51" t="str">
        <f>IFERROR(INDEX(tblDisruptions[Event type],MATCH(tblWorkPackages[[#This Row],[Work package ID]],tblDisruptions[Work package ID],0)),"None")</f>
        <v>None</v>
      </c>
      <c r="AJ1109" s="51" t="str">
        <f>TEXT(tblWorkPackages[[#This Row],[Due date serial]],"yyyy-mm")</f>
        <v>2025-06</v>
      </c>
    </row>
    <row r="1110" spans="1:36" ht="15" x14ac:dyDescent="0.25">
      <c r="A1110" s="53" t="s">
        <v>2014</v>
      </c>
      <c r="B1110" s="53" t="s">
        <v>141</v>
      </c>
      <c r="C1110" s="53" t="s">
        <v>470</v>
      </c>
      <c r="D1110" s="53" t="s">
        <v>677</v>
      </c>
      <c r="E1110" s="53" t="s">
        <v>209</v>
      </c>
      <c r="F1110" s="53" t="s">
        <v>145</v>
      </c>
      <c r="G1110" s="53" t="s">
        <v>210</v>
      </c>
      <c r="H1110" s="53">
        <v>1</v>
      </c>
      <c r="I1110" s="53" t="s">
        <v>176</v>
      </c>
      <c r="J1110" s="53">
        <v>0</v>
      </c>
      <c r="K1110" s="53">
        <v>0</v>
      </c>
      <c r="L1110" s="53">
        <v>15.3</v>
      </c>
      <c r="M1110" s="53" t="s">
        <v>677</v>
      </c>
      <c r="N1110" s="53">
        <v>13.7</v>
      </c>
      <c r="O1110" s="51" t="str">
        <f>TEXT(tblWorkPackages[[#This Row],[Request date serial]]-WEEKDAY(tblWorkPackages[[#This Row],[Request date serial]],3),"yyyy-mm-dd")</f>
        <v>2024-04-15</v>
      </c>
      <c r="P1110" s="51">
        <f>ABS(tblWorkPackages[[#This Row],[Actual labor hours]]-tblWorkPackages[[#This Row],[Estimated labor hours]])</f>
        <v>1.6</v>
      </c>
      <c r="Q1110" s="51">
        <f>IF(tblWorkPackages[[#This Row],[Actual labor hours]]&gt;tblWorkPackages[[#This Row],[Estimated labor hours]],1,0)</f>
        <v>0</v>
      </c>
      <c r="R1110" s="51">
        <f>tblWorkPackages[[#This Row],[Actual labor hours]]-tblWorkPackages[[#This Row],[Estimated labor hours]]</f>
        <v>-1.6</v>
      </c>
      <c r="S1110" s="51" t="str">
        <f>IF(tblWorkPackages[[#This Row],[Request date serial]]&lt;ValidationStart,"Train 2024",IF(tblWorkPackages[[#This Row],[Request date serial]]&lt;HoldoutStart,"Validation H1","Holdout H2"))</f>
        <v>Train 2024</v>
      </c>
      <c r="T1110" s="51" t="str">
        <f>IF(tblWorkPackages[[#This Row],[Time split]]="Train 2024","",tblWorkPackages[[#This Row],[Estimated labor hours]]+VLOOKUP(tblWorkPackages[[#This Row],[Task type]],'Forecast validation'!$A$14:$E$25,IF(tblWorkPackages[[#This Row],[Time split]]="Validation H1",4,5),FALSE()))</f>
        <v/>
      </c>
      <c r="U1110" s="51" t="str">
        <f>IF(tblWorkPackages[[#This Row],[Calibrated forecast hours]]="","",ABS(tblWorkPackages[[#This Row],[Actual labor hours]]-tblWorkPackages[[#This Row],[Calibrated forecast hours]]))</f>
        <v/>
      </c>
      <c r="V1110" s="51">
        <f>IF(tblWorkPackages[[#This Row],[Time split]]="Train 2024",tblWorkPackages[[#This Row],[Estimated labor hours]],tblWorkPackages[[#This Row],[Calibrated forecast hours]])</f>
        <v>15.3</v>
      </c>
      <c r="W1110" s="64">
        <f>DATEVALUE(tblWorkPackages[[#This Row],[Request date]])</f>
        <v>45400.0</v>
      </c>
      <c r="X1110" s="64">
        <f>DATEVALUE(tblWorkPackages[[#This Row],[Due date]])</f>
        <v>45406.0</v>
      </c>
      <c r="Y1110" s="64">
        <f>DATEVALUE(tblWorkPackages[[#This Row],[Completion date]])</f>
        <v>45406.0</v>
      </c>
      <c r="Z1110" s="64">
        <f>_xlfn.MINIFS(tblLaborEntries[Work date serial],tblLaborEntries[Work package ID],tblWorkPackages[[#This Row],[Work package ID]])</f>
        <v>45404.0</v>
      </c>
      <c r="AA1110" s="64">
        <f>_xlfn.MAXIFS(tblLaborEntries[Work date serial],tblLaborEntries[Work package ID],tblWorkPackages[[#This Row],[Work package ID]])</f>
        <v>45406.0</v>
      </c>
      <c r="AB1110" s="65">
        <f>IF(tblWorkPackages[[#This Row],[Completion date serial]]&gt;tblWorkPackages[[#This Row],[Due date serial]],1,0)</f>
        <v>0</v>
      </c>
      <c r="AC1110" s="65">
        <f>MAX(0,tblWorkPackages[[#This Row],[Completion date serial]]-tblWorkPackages[[#This Row],[Due date serial]])</f>
        <v>0</v>
      </c>
      <c r="AD1110" s="65">
        <f>tblWorkPackages[[#This Row],[First labor date]]-tblWorkPackages[[#This Row],[Request date serial]]</f>
        <v>4</v>
      </c>
      <c r="AE1110" s="65">
        <f>tblWorkPackages[[#This Row],[Last labor date]]-tblWorkPackages[[#This Row],[First labor date]]</f>
        <v>2</v>
      </c>
      <c r="AF1110" s="65">
        <f>tblWorkPackages[[#This Row],[Completion date serial]]-tblWorkPackages[[#This Row],[Last labor date]]</f>
        <v>0</v>
      </c>
      <c r="AG1110" s="65">
        <f>tblWorkPackages[[#This Row],[Completion date serial]]-tblWorkPackages[[#This Row],[Request date serial]]</f>
        <v>6</v>
      </c>
      <c r="AH1110" s="65">
        <f>IFERROR(INDEX(tblParts[Delay days],MATCH(tblWorkPackages[[#This Row],[Work package ID]],tblParts[Work package ID],0)),0)</f>
        <v>0</v>
      </c>
      <c r="AI1110" s="51" t="str">
        <f>IFERROR(INDEX(tblDisruptions[Event type],MATCH(tblWorkPackages[[#This Row],[Work package ID]],tblDisruptions[Work package ID],0)),"None")</f>
        <v>None</v>
      </c>
      <c r="AJ1110" s="51" t="str">
        <f>TEXT(tblWorkPackages[[#This Row],[Due date serial]],"yyyy-mm")</f>
        <v>2024-04</v>
      </c>
    </row>
    <row r="1111" spans="1:36" ht="15" x14ac:dyDescent="0.25">
      <c r="A1111" s="53" t="s">
        <v>2015</v>
      </c>
      <c r="B1111" s="53" t="s">
        <v>173</v>
      </c>
      <c r="C1111" s="53" t="s">
        <v>343</v>
      </c>
      <c r="D1111" s="53" t="s">
        <v>1409</v>
      </c>
      <c r="E1111" s="53" t="s">
        <v>200</v>
      </c>
      <c r="F1111" s="53" t="s">
        <v>128</v>
      </c>
      <c r="G1111" s="53" t="s">
        <v>129</v>
      </c>
      <c r="H1111" s="53">
        <v>2</v>
      </c>
      <c r="I1111" s="53" t="s">
        <v>130</v>
      </c>
      <c r="J1111" s="53">
        <v>0</v>
      </c>
      <c r="K1111" s="53">
        <v>0</v>
      </c>
      <c r="L1111" s="53">
        <v>2.9</v>
      </c>
      <c r="M1111" s="53" t="s">
        <v>1154</v>
      </c>
      <c r="N1111" s="53">
        <v>2.9</v>
      </c>
      <c r="O1111" s="51" t="str">
        <f>TEXT(tblWorkPackages[[#This Row],[Request date serial]]-WEEKDAY(tblWorkPackages[[#This Row],[Request date serial]],3),"yyyy-mm-dd")</f>
        <v>2025-07-21</v>
      </c>
      <c r="P1111" s="51">
        <f>ABS(tblWorkPackages[[#This Row],[Actual labor hours]]-tblWorkPackages[[#This Row],[Estimated labor hours]])</f>
        <v>0</v>
      </c>
      <c r="Q1111" s="51">
        <f>IF(tblWorkPackages[[#This Row],[Actual labor hours]]&gt;tblWorkPackages[[#This Row],[Estimated labor hours]],1,0)</f>
        <v>0</v>
      </c>
      <c r="R1111" s="51">
        <f>tblWorkPackages[[#This Row],[Actual labor hours]]-tblWorkPackages[[#This Row],[Estimated labor hours]]</f>
        <v>0</v>
      </c>
      <c r="S1111" s="51" t="str">
        <f>IF(tblWorkPackages[[#This Row],[Request date serial]]&lt;ValidationStart,"Train 2024",IF(tblWorkPackages[[#This Row],[Request date serial]]&lt;HoldoutStart,"Validation H1","Holdout H2"))</f>
        <v>Holdout H2</v>
      </c>
      <c r="T1111" s="51">
        <f>IF(tblWorkPackages[[#This Row],[Time split]]="Train 2024","",tblWorkPackages[[#This Row],[Estimated labor hours]]+VLOOKUP(tblWorkPackages[[#This Row],[Task type]],'Forecast validation'!$A$14:$E$25,IF(tblWorkPackages[[#This Row],[Time split]]="Validation H1",4,5),FALSE()))</f>
        <v>3.22893081761006</v>
      </c>
      <c r="U1111" s="51">
        <f>IF(tblWorkPackages[[#This Row],[Calibrated forecast hours]]="","",ABS(tblWorkPackages[[#This Row],[Actual labor hours]]-tblWorkPackages[[#This Row],[Calibrated forecast hours]]))</f>
        <v>0.328930817610063</v>
      </c>
      <c r="V1111" s="51">
        <f>IF(tblWorkPackages[[#This Row],[Time split]]="Train 2024",tblWorkPackages[[#This Row],[Estimated labor hours]],tblWorkPackages[[#This Row],[Calibrated forecast hours]])</f>
        <v>3.22893081761006</v>
      </c>
      <c r="W1111" s="64">
        <f>DATEVALUE(tblWorkPackages[[#This Row],[Request date]])</f>
        <v>45862.0</v>
      </c>
      <c r="X1111" s="64">
        <f>DATEVALUE(tblWorkPackages[[#This Row],[Due date]])</f>
        <v>45875.0</v>
      </c>
      <c r="Y1111" s="64">
        <f>DATEVALUE(tblWorkPackages[[#This Row],[Completion date]])</f>
        <v>45864.0</v>
      </c>
      <c r="Z1111" s="64">
        <f>_xlfn.MINIFS(tblLaborEntries[Work date serial],tblLaborEntries[Work package ID],tblWorkPackages[[#This Row],[Work package ID]])</f>
        <v>45863.0</v>
      </c>
      <c r="AA1111" s="64">
        <f>_xlfn.MAXIFS(tblLaborEntries[Work date serial],tblLaborEntries[Work package ID],tblWorkPackages[[#This Row],[Work package ID]])</f>
        <v>45863.0</v>
      </c>
      <c r="AB1111" s="65">
        <f>IF(tblWorkPackages[[#This Row],[Completion date serial]]&gt;tblWorkPackages[[#This Row],[Due date serial]],1,0)</f>
        <v>0</v>
      </c>
      <c r="AC1111" s="65">
        <f>MAX(0,tblWorkPackages[[#This Row],[Completion date serial]]-tblWorkPackages[[#This Row],[Due date serial]])</f>
        <v>0</v>
      </c>
      <c r="AD1111" s="65">
        <f>tblWorkPackages[[#This Row],[First labor date]]-tblWorkPackages[[#This Row],[Request date serial]]</f>
        <v>1</v>
      </c>
      <c r="AE1111" s="65">
        <f>tblWorkPackages[[#This Row],[Last labor date]]-tblWorkPackages[[#This Row],[First labor date]]</f>
        <v>0</v>
      </c>
      <c r="AF1111" s="65">
        <f>tblWorkPackages[[#This Row],[Completion date serial]]-tblWorkPackages[[#This Row],[Last labor date]]</f>
        <v>1</v>
      </c>
      <c r="AG1111" s="65">
        <f>tblWorkPackages[[#This Row],[Completion date serial]]-tblWorkPackages[[#This Row],[Request date serial]]</f>
        <v>2</v>
      </c>
      <c r="AH1111" s="65">
        <f>IFERROR(INDEX(tblParts[Delay days],MATCH(tblWorkPackages[[#This Row],[Work package ID]],tblParts[Work package ID],0)),0)</f>
        <v>0</v>
      </c>
      <c r="AI1111" s="51" t="str">
        <f>IFERROR(INDEX(tblDisruptions[Event type],MATCH(tblWorkPackages[[#This Row],[Work package ID]],tblDisruptions[Work package ID],0)),"None")</f>
        <v>None</v>
      </c>
      <c r="AJ1111" s="51" t="str">
        <f>TEXT(tblWorkPackages[[#This Row],[Due date serial]],"yyyy-mm")</f>
        <v>2025-08</v>
      </c>
    </row>
    <row r="1112" spans="1:36" ht="15" x14ac:dyDescent="0.25">
      <c r="A1112" s="53" t="s">
        <v>2016</v>
      </c>
      <c r="B1112" s="53" t="s">
        <v>287</v>
      </c>
      <c r="C1112" s="53" t="s">
        <v>796</v>
      </c>
      <c r="D1112" s="53" t="s">
        <v>744</v>
      </c>
      <c r="E1112" s="53" t="s">
        <v>223</v>
      </c>
      <c r="F1112" s="53" t="s">
        <v>182</v>
      </c>
      <c r="G1112" s="53" t="s">
        <v>154</v>
      </c>
      <c r="H1112" s="53">
        <v>3</v>
      </c>
      <c r="I1112" s="53" t="s">
        <v>130</v>
      </c>
      <c r="J1112" s="53">
        <v>0</v>
      </c>
      <c r="K1112" s="53">
        <v>1</v>
      </c>
      <c r="L1112" s="53">
        <v>17.2</v>
      </c>
      <c r="M1112" s="53" t="s">
        <v>744</v>
      </c>
      <c r="N1112" s="53">
        <v>20.9</v>
      </c>
      <c r="O1112" s="51" t="str">
        <f>TEXT(tblWorkPackages[[#This Row],[Request date serial]]-WEEKDAY(tblWorkPackages[[#This Row],[Request date serial]],3),"yyyy-mm-dd")</f>
        <v>2025-07-07</v>
      </c>
      <c r="P1112" s="51">
        <f>ABS(tblWorkPackages[[#This Row],[Actual labor hours]]-tblWorkPackages[[#This Row],[Estimated labor hours]])</f>
        <v>3.7</v>
      </c>
      <c r="Q1112" s="51">
        <f>IF(tblWorkPackages[[#This Row],[Actual labor hours]]&gt;tblWorkPackages[[#This Row],[Estimated labor hours]],1,0)</f>
        <v>1</v>
      </c>
      <c r="R1112" s="51">
        <f>tblWorkPackages[[#This Row],[Actual labor hours]]-tblWorkPackages[[#This Row],[Estimated labor hours]]</f>
        <v>3.7</v>
      </c>
      <c r="S1112" s="51" t="str">
        <f>IF(tblWorkPackages[[#This Row],[Request date serial]]&lt;ValidationStart,"Train 2024",IF(tblWorkPackages[[#This Row],[Request date serial]]&lt;HoldoutStart,"Validation H1","Holdout H2"))</f>
        <v>Holdout H2</v>
      </c>
      <c r="T1112" s="51">
        <f>IF(tblWorkPackages[[#This Row],[Time split]]="Train 2024","",tblWorkPackages[[#This Row],[Estimated labor hours]]+VLOOKUP(tblWorkPackages[[#This Row],[Task type]],'Forecast validation'!$A$14:$E$25,IF(tblWorkPackages[[#This Row],[Time split]]="Validation H1",4,5),FALSE()))</f>
        <v>18.1246575342466</v>
      </c>
      <c r="U1112" s="51">
        <f>IF(tblWorkPackages[[#This Row],[Calibrated forecast hours]]="","",ABS(tblWorkPackages[[#This Row],[Actual labor hours]]-tblWorkPackages[[#This Row],[Calibrated forecast hours]]))</f>
        <v>2.77534246575343</v>
      </c>
      <c r="V1112" s="51">
        <f>IF(tblWorkPackages[[#This Row],[Time split]]="Train 2024",tblWorkPackages[[#This Row],[Estimated labor hours]],tblWorkPackages[[#This Row],[Calibrated forecast hours]])</f>
        <v>18.1246575342466</v>
      </c>
      <c r="W1112" s="64">
        <f>DATEVALUE(tblWorkPackages[[#This Row],[Request date]])</f>
        <v>45850.0</v>
      </c>
      <c r="X1112" s="64">
        <f>DATEVALUE(tblWorkPackages[[#This Row],[Due date]])</f>
        <v>45863.0</v>
      </c>
      <c r="Y1112" s="64">
        <f>DATEVALUE(tblWorkPackages[[#This Row],[Completion date]])</f>
        <v>45863.0</v>
      </c>
      <c r="Z1112" s="64">
        <f>_xlfn.MINIFS(tblLaborEntries[Work date serial],tblLaborEntries[Work package ID],tblWorkPackages[[#This Row],[Work package ID]])</f>
        <v>45859.0</v>
      </c>
      <c r="AA1112" s="64">
        <f>_xlfn.MAXIFS(tblLaborEntries[Work date serial],tblLaborEntries[Work package ID],tblWorkPackages[[#This Row],[Work package ID]])</f>
        <v>45861.0</v>
      </c>
      <c r="AB1112" s="65">
        <f>IF(tblWorkPackages[[#This Row],[Completion date serial]]&gt;tblWorkPackages[[#This Row],[Due date serial]],1,0)</f>
        <v>0</v>
      </c>
      <c r="AC1112" s="65">
        <f>MAX(0,tblWorkPackages[[#This Row],[Completion date serial]]-tblWorkPackages[[#This Row],[Due date serial]])</f>
        <v>0</v>
      </c>
      <c r="AD1112" s="65">
        <f>tblWorkPackages[[#This Row],[First labor date]]-tblWorkPackages[[#This Row],[Request date serial]]</f>
        <v>9</v>
      </c>
      <c r="AE1112" s="65">
        <f>tblWorkPackages[[#This Row],[Last labor date]]-tblWorkPackages[[#This Row],[First labor date]]</f>
        <v>2</v>
      </c>
      <c r="AF1112" s="65">
        <f>tblWorkPackages[[#This Row],[Completion date serial]]-tblWorkPackages[[#This Row],[Last labor date]]</f>
        <v>2</v>
      </c>
      <c r="AG1112" s="65">
        <f>tblWorkPackages[[#This Row],[Completion date serial]]-tblWorkPackages[[#This Row],[Request date serial]]</f>
        <v>13</v>
      </c>
      <c r="AH1112" s="65">
        <f>IFERROR(INDEX(tblParts[Delay days],MATCH(tblWorkPackages[[#This Row],[Work package ID]],tblParts[Work package ID],0)),0)</f>
        <v>0</v>
      </c>
      <c r="AI1112" s="51" t="str">
        <f>IFERROR(INDEX(tblDisruptions[Event type],MATCH(tblWorkPackages[[#This Row],[Work package ID]],tblDisruptions[Work package ID],0)),"None")</f>
        <v>None</v>
      </c>
      <c r="AJ1112" s="51" t="str">
        <f>TEXT(tblWorkPackages[[#This Row],[Due date serial]],"yyyy-mm")</f>
        <v>2025-07</v>
      </c>
    </row>
    <row r="1113" spans="1:36" ht="15" x14ac:dyDescent="0.25">
      <c r="A1113" s="53" t="s">
        <v>2017</v>
      </c>
      <c r="B1113" s="53" t="s">
        <v>235</v>
      </c>
      <c r="C1113" s="53" t="s">
        <v>424</v>
      </c>
      <c r="D1113" s="53" t="s">
        <v>198</v>
      </c>
      <c r="E1113" s="53" t="s">
        <v>237</v>
      </c>
      <c r="F1113" s="53" t="s">
        <v>182</v>
      </c>
      <c r="G1113" s="53" t="s">
        <v>138</v>
      </c>
      <c r="H1113" s="53">
        <v>3</v>
      </c>
      <c r="I1113" s="53" t="s">
        <v>130</v>
      </c>
      <c r="J1113" s="53">
        <v>0</v>
      </c>
      <c r="K1113" s="53">
        <v>0</v>
      </c>
      <c r="L1113" s="53">
        <v>7.5</v>
      </c>
      <c r="M1113" s="53" t="s">
        <v>711</v>
      </c>
      <c r="N1113" s="53">
        <v>9.9</v>
      </c>
      <c r="O1113" s="51" t="str">
        <f>TEXT(tblWorkPackages[[#This Row],[Request date serial]]-WEEKDAY(tblWorkPackages[[#This Row],[Request date serial]],3),"yyyy-mm-dd")</f>
        <v>2025-06-09</v>
      </c>
      <c r="P1113" s="51">
        <f>ABS(tblWorkPackages[[#This Row],[Actual labor hours]]-tblWorkPackages[[#This Row],[Estimated labor hours]])</f>
        <v>2.4</v>
      </c>
      <c r="Q1113" s="51">
        <f>IF(tblWorkPackages[[#This Row],[Actual labor hours]]&gt;tblWorkPackages[[#This Row],[Estimated labor hours]],1,0)</f>
        <v>1</v>
      </c>
      <c r="R1113" s="51">
        <f>tblWorkPackages[[#This Row],[Actual labor hours]]-tblWorkPackages[[#This Row],[Estimated labor hours]]</f>
        <v>2.4</v>
      </c>
      <c r="S1113" s="51" t="str">
        <f>IF(tblWorkPackages[[#This Row],[Request date serial]]&lt;ValidationStart,"Train 2024",IF(tblWorkPackages[[#This Row],[Request date serial]]&lt;HoldoutStart,"Validation H1","Holdout H2"))</f>
        <v>Validation H1</v>
      </c>
      <c r="T1113" s="51">
        <f>IF(tblWorkPackages[[#This Row],[Time split]]="Train 2024","",tblWorkPackages[[#This Row],[Estimated labor hours]]+VLOOKUP(tblWorkPackages[[#This Row],[Task type]],'Forecast validation'!$A$14:$E$25,IF(tblWorkPackages[[#This Row],[Time split]]="Validation H1",4,5),FALSE()))</f>
        <v>8.0037037037037</v>
      </c>
      <c r="U1113" s="51">
        <f>IF(tblWorkPackages[[#This Row],[Calibrated forecast hours]]="","",ABS(tblWorkPackages[[#This Row],[Actual labor hours]]-tblWorkPackages[[#This Row],[Calibrated forecast hours]]))</f>
        <v>1.8962962962963</v>
      </c>
      <c r="V1113" s="51">
        <f>IF(tblWorkPackages[[#This Row],[Time split]]="Train 2024",tblWorkPackages[[#This Row],[Estimated labor hours]],tblWorkPackages[[#This Row],[Calibrated forecast hours]])</f>
        <v>8.0037037037037</v>
      </c>
      <c r="W1113" s="64">
        <f>DATEVALUE(tblWorkPackages[[#This Row],[Request date]])</f>
        <v>45819.0</v>
      </c>
      <c r="X1113" s="64">
        <f>DATEVALUE(tblWorkPackages[[#This Row],[Due date]])</f>
        <v>45832.0</v>
      </c>
      <c r="Y1113" s="64">
        <f>DATEVALUE(tblWorkPackages[[#This Row],[Completion date]])</f>
        <v>45827.0</v>
      </c>
      <c r="Z1113" s="64">
        <f>_xlfn.MINIFS(tblLaborEntries[Work date serial],tblLaborEntries[Work package ID],tblWorkPackages[[#This Row],[Work package ID]])</f>
        <v>45822.0</v>
      </c>
      <c r="AA1113" s="64">
        <f>_xlfn.MAXIFS(tblLaborEntries[Work date serial],tblLaborEntries[Work package ID],tblWorkPackages[[#This Row],[Work package ID]])</f>
        <v>45824.0</v>
      </c>
      <c r="AB1113" s="65">
        <f>IF(tblWorkPackages[[#This Row],[Completion date serial]]&gt;tblWorkPackages[[#This Row],[Due date serial]],1,0)</f>
        <v>0</v>
      </c>
      <c r="AC1113" s="65">
        <f>MAX(0,tblWorkPackages[[#This Row],[Completion date serial]]-tblWorkPackages[[#This Row],[Due date serial]])</f>
        <v>0</v>
      </c>
      <c r="AD1113" s="65">
        <f>tblWorkPackages[[#This Row],[First labor date]]-tblWorkPackages[[#This Row],[Request date serial]]</f>
        <v>3</v>
      </c>
      <c r="AE1113" s="65">
        <f>tblWorkPackages[[#This Row],[Last labor date]]-tblWorkPackages[[#This Row],[First labor date]]</f>
        <v>2</v>
      </c>
      <c r="AF1113" s="65">
        <f>tblWorkPackages[[#This Row],[Completion date serial]]-tblWorkPackages[[#This Row],[Last labor date]]</f>
        <v>3</v>
      </c>
      <c r="AG1113" s="65">
        <f>tblWorkPackages[[#This Row],[Completion date serial]]-tblWorkPackages[[#This Row],[Request date serial]]</f>
        <v>8</v>
      </c>
      <c r="AH1113" s="65">
        <f>IFERROR(INDEX(tblParts[Delay days],MATCH(tblWorkPackages[[#This Row],[Work package ID]],tblParts[Work package ID],0)),0)</f>
        <v>0</v>
      </c>
      <c r="AI1113" s="51" t="str">
        <f>IFERROR(INDEX(tblDisruptions[Event type],MATCH(tblWorkPackages[[#This Row],[Work package ID]],tblDisruptions[Work package ID],0)),"None")</f>
        <v>Technician absence</v>
      </c>
      <c r="AJ1113" s="51" t="str">
        <f>TEXT(tblWorkPackages[[#This Row],[Due date serial]],"yyyy-mm")</f>
        <v>2025-06</v>
      </c>
    </row>
    <row r="1114" spans="1:36" ht="15" x14ac:dyDescent="0.25">
      <c r="A1114" s="53" t="s">
        <v>2018</v>
      </c>
      <c r="B1114" s="53" t="s">
        <v>287</v>
      </c>
      <c r="C1114" s="53" t="s">
        <v>191</v>
      </c>
      <c r="D1114" s="53" t="s">
        <v>1330</v>
      </c>
      <c r="E1114" s="53" t="s">
        <v>160</v>
      </c>
      <c r="F1114" s="53" t="s">
        <v>128</v>
      </c>
      <c r="G1114" s="53" t="s">
        <v>138</v>
      </c>
      <c r="H1114" s="53">
        <v>2</v>
      </c>
      <c r="I1114" s="53" t="s">
        <v>130</v>
      </c>
      <c r="J1114" s="53">
        <v>0</v>
      </c>
      <c r="K1114" s="53">
        <v>0</v>
      </c>
      <c r="L1114" s="53">
        <v>4.4000000000000004</v>
      </c>
      <c r="M1114" s="53" t="s">
        <v>791</v>
      </c>
      <c r="N1114" s="53">
        <v>3.7</v>
      </c>
      <c r="O1114" s="51" t="str">
        <f>TEXT(tblWorkPackages[[#This Row],[Request date serial]]-WEEKDAY(tblWorkPackages[[#This Row],[Request date serial]],3),"yyyy-mm-dd")</f>
        <v>2025-08-25</v>
      </c>
      <c r="P1114" s="51">
        <f>ABS(tblWorkPackages[[#This Row],[Actual labor hours]]-tblWorkPackages[[#This Row],[Estimated labor hours]])</f>
        <v>0.7</v>
      </c>
      <c r="Q1114" s="51">
        <f>IF(tblWorkPackages[[#This Row],[Actual labor hours]]&gt;tblWorkPackages[[#This Row],[Estimated labor hours]],1,0)</f>
        <v>0</v>
      </c>
      <c r="R1114" s="51">
        <f>tblWorkPackages[[#This Row],[Actual labor hours]]-tblWorkPackages[[#This Row],[Estimated labor hours]]</f>
        <v>-0.7</v>
      </c>
      <c r="S1114" s="51" t="str">
        <f>IF(tblWorkPackages[[#This Row],[Request date serial]]&lt;ValidationStart,"Train 2024",IF(tblWorkPackages[[#This Row],[Request date serial]]&lt;HoldoutStart,"Validation H1","Holdout H2"))</f>
        <v>Holdout H2</v>
      </c>
      <c r="T1114" s="51">
        <f>IF(tblWorkPackages[[#This Row],[Time split]]="Train 2024","",tblWorkPackages[[#This Row],[Estimated labor hours]]+VLOOKUP(tblWorkPackages[[#This Row],[Task type]],'Forecast validation'!$A$14:$E$25,IF(tblWorkPackages[[#This Row],[Time split]]="Validation H1",4,5),FALSE()))</f>
        <v>4.83739837398374</v>
      </c>
      <c r="U1114" s="51">
        <f>IF(tblWorkPackages[[#This Row],[Calibrated forecast hours]]="","",ABS(tblWorkPackages[[#This Row],[Actual labor hours]]-tblWorkPackages[[#This Row],[Calibrated forecast hours]]))</f>
        <v>1.13739837398374</v>
      </c>
      <c r="V1114" s="51">
        <f>IF(tblWorkPackages[[#This Row],[Time split]]="Train 2024",tblWorkPackages[[#This Row],[Estimated labor hours]],tblWorkPackages[[#This Row],[Calibrated forecast hours]])</f>
        <v>4.83739837398374</v>
      </c>
      <c r="W1114" s="64">
        <f>DATEVALUE(tblWorkPackages[[#This Row],[Request date]])</f>
        <v>45896.0</v>
      </c>
      <c r="X1114" s="64">
        <f>DATEVALUE(tblWorkPackages[[#This Row],[Due date]])</f>
        <v>45909.0</v>
      </c>
      <c r="Y1114" s="64">
        <f>DATEVALUE(tblWorkPackages[[#This Row],[Completion date]])</f>
        <v>45922.0</v>
      </c>
      <c r="Z1114" s="64">
        <f>_xlfn.MINIFS(tblLaborEntries[Work date serial],tblLaborEntries[Work package ID],tblWorkPackages[[#This Row],[Work package ID]])</f>
        <v>45922.0</v>
      </c>
      <c r="AA1114" s="64">
        <f>_xlfn.MAXIFS(tblLaborEntries[Work date serial],tblLaborEntries[Work package ID],tblWorkPackages[[#This Row],[Work package ID]])</f>
        <v>45922.0</v>
      </c>
      <c r="AB1114" s="65">
        <f>IF(tblWorkPackages[[#This Row],[Completion date serial]]&gt;tblWorkPackages[[#This Row],[Due date serial]],1,0)</f>
        <v>1</v>
      </c>
      <c r="AC1114" s="65">
        <f>MAX(0,tblWorkPackages[[#This Row],[Completion date serial]]-tblWorkPackages[[#This Row],[Due date serial]])</f>
        <v>13</v>
      </c>
      <c r="AD1114" s="65">
        <f>tblWorkPackages[[#This Row],[First labor date]]-tblWorkPackages[[#This Row],[Request date serial]]</f>
        <v>26</v>
      </c>
      <c r="AE1114" s="65">
        <f>tblWorkPackages[[#This Row],[Last labor date]]-tblWorkPackages[[#This Row],[First labor date]]</f>
        <v>0</v>
      </c>
      <c r="AF1114" s="65">
        <f>tblWorkPackages[[#This Row],[Completion date serial]]-tblWorkPackages[[#This Row],[Last labor date]]</f>
        <v>0</v>
      </c>
      <c r="AG1114" s="65">
        <f>tblWorkPackages[[#This Row],[Completion date serial]]-tblWorkPackages[[#This Row],[Request date serial]]</f>
        <v>26</v>
      </c>
      <c r="AH1114" s="65">
        <f>IFERROR(INDEX(tblParts[Delay days],MATCH(tblWorkPackages[[#This Row],[Work package ID]],tblParts[Work package ID],0)),0)</f>
        <v>0</v>
      </c>
      <c r="AI1114" s="51" t="str">
        <f>IFERROR(INDEX(tblDisruptions[Event type],MATCH(tblWorkPackages[[#This Row],[Work package ID]],tblDisruptions[Work package ID],0)),"None")</f>
        <v>None</v>
      </c>
      <c r="AJ1114" s="51" t="str">
        <f>TEXT(tblWorkPackages[[#This Row],[Due date serial]],"yyyy-mm")</f>
        <v>2025-09</v>
      </c>
    </row>
    <row r="1115" spans="1:36" ht="15" x14ac:dyDescent="0.25">
      <c r="A1115" s="53" t="s">
        <v>2019</v>
      </c>
      <c r="B1115" s="53" t="s">
        <v>141</v>
      </c>
      <c r="C1115" s="53" t="s">
        <v>1038</v>
      </c>
      <c r="D1115" s="53" t="s">
        <v>776</v>
      </c>
      <c r="E1115" s="53" t="s">
        <v>223</v>
      </c>
      <c r="F1115" s="53" t="s">
        <v>182</v>
      </c>
      <c r="G1115" s="53" t="s">
        <v>154</v>
      </c>
      <c r="H1115" s="53">
        <v>4</v>
      </c>
      <c r="I1115" s="53" t="s">
        <v>130</v>
      </c>
      <c r="J1115" s="53">
        <v>0</v>
      </c>
      <c r="K1115" s="53">
        <v>0</v>
      </c>
      <c r="L1115" s="53">
        <v>20.2</v>
      </c>
      <c r="M1115" s="53" t="s">
        <v>1072</v>
      </c>
      <c r="N1115" s="53">
        <v>21.6</v>
      </c>
      <c r="O1115" s="51" t="str">
        <f>TEXT(tblWorkPackages[[#This Row],[Request date serial]]-WEEKDAY(tblWorkPackages[[#This Row],[Request date serial]],3),"yyyy-mm-dd")</f>
        <v>2024-11-25</v>
      </c>
      <c r="P1115" s="51">
        <f>ABS(tblWorkPackages[[#This Row],[Actual labor hours]]-tblWorkPackages[[#This Row],[Estimated labor hours]])</f>
        <v>1.4</v>
      </c>
      <c r="Q1115" s="51">
        <f>IF(tblWorkPackages[[#This Row],[Actual labor hours]]&gt;tblWorkPackages[[#This Row],[Estimated labor hours]],1,0)</f>
        <v>1</v>
      </c>
      <c r="R1115" s="51">
        <f>tblWorkPackages[[#This Row],[Actual labor hours]]-tblWorkPackages[[#This Row],[Estimated labor hours]]</f>
        <v>1.4</v>
      </c>
      <c r="S1115" s="51" t="str">
        <f>IF(tblWorkPackages[[#This Row],[Request date serial]]&lt;ValidationStart,"Train 2024",IF(tblWorkPackages[[#This Row],[Request date serial]]&lt;HoldoutStart,"Validation H1","Holdout H2"))</f>
        <v>Train 2024</v>
      </c>
      <c r="T1115" s="51" t="str">
        <f>IF(tblWorkPackages[[#This Row],[Time split]]="Train 2024","",tblWorkPackages[[#This Row],[Estimated labor hours]]+VLOOKUP(tblWorkPackages[[#This Row],[Task type]],'Forecast validation'!$A$14:$E$25,IF(tblWorkPackages[[#This Row],[Time split]]="Validation H1",4,5),FALSE()))</f>
        <v/>
      </c>
      <c r="U1115" s="51" t="str">
        <f>IF(tblWorkPackages[[#This Row],[Calibrated forecast hours]]="","",ABS(tblWorkPackages[[#This Row],[Actual labor hours]]-tblWorkPackages[[#This Row],[Calibrated forecast hours]]))</f>
        <v/>
      </c>
      <c r="V1115" s="51">
        <f>IF(tblWorkPackages[[#This Row],[Time split]]="Train 2024",tblWorkPackages[[#This Row],[Estimated labor hours]],tblWorkPackages[[#This Row],[Calibrated forecast hours]])</f>
        <v>20.2</v>
      </c>
      <c r="W1115" s="64">
        <f>DATEVALUE(tblWorkPackages[[#This Row],[Request date]])</f>
        <v>45623.0</v>
      </c>
      <c r="X1115" s="64">
        <f>DATEVALUE(tblWorkPackages[[#This Row],[Due date]])</f>
        <v>45636.0</v>
      </c>
      <c r="Y1115" s="64">
        <f>DATEVALUE(tblWorkPackages[[#This Row],[Completion date]])</f>
        <v>45630.0</v>
      </c>
      <c r="Z1115" s="64">
        <f>_xlfn.MINIFS(tblLaborEntries[Work date serial],tblLaborEntries[Work package ID],tblWorkPackages[[#This Row],[Work package ID]])</f>
        <v>45627.0</v>
      </c>
      <c r="AA1115" s="64">
        <f>_xlfn.MAXIFS(tblLaborEntries[Work date serial],tblLaborEntries[Work package ID],tblWorkPackages[[#This Row],[Work package ID]])</f>
        <v>45629.0</v>
      </c>
      <c r="AB1115" s="65">
        <f>IF(tblWorkPackages[[#This Row],[Completion date serial]]&gt;tblWorkPackages[[#This Row],[Due date serial]],1,0)</f>
        <v>0</v>
      </c>
      <c r="AC1115" s="65">
        <f>MAX(0,tblWorkPackages[[#This Row],[Completion date serial]]-tblWorkPackages[[#This Row],[Due date serial]])</f>
        <v>0</v>
      </c>
      <c r="AD1115" s="65">
        <f>tblWorkPackages[[#This Row],[First labor date]]-tblWorkPackages[[#This Row],[Request date serial]]</f>
        <v>4</v>
      </c>
      <c r="AE1115" s="65">
        <f>tblWorkPackages[[#This Row],[Last labor date]]-tblWorkPackages[[#This Row],[First labor date]]</f>
        <v>2</v>
      </c>
      <c r="AF1115" s="65">
        <f>tblWorkPackages[[#This Row],[Completion date serial]]-tblWorkPackages[[#This Row],[Last labor date]]</f>
        <v>1</v>
      </c>
      <c r="AG1115" s="65">
        <f>tblWorkPackages[[#This Row],[Completion date serial]]-tblWorkPackages[[#This Row],[Request date serial]]</f>
        <v>7</v>
      </c>
      <c r="AH1115" s="65">
        <f>IFERROR(INDEX(tblParts[Delay days],MATCH(tblWorkPackages[[#This Row],[Work package ID]],tblParts[Work package ID],0)),0)</f>
        <v>0</v>
      </c>
      <c r="AI1115" s="51" t="str">
        <f>IFERROR(INDEX(tblDisruptions[Event type],MATCH(tblWorkPackages[[#This Row],[Work package ID]],tblDisruptions[Work package ID],0)),"None")</f>
        <v>Repeat inspection</v>
      </c>
      <c r="AJ1115" s="51" t="str">
        <f>TEXT(tblWorkPackages[[#This Row],[Due date serial]],"yyyy-mm")</f>
        <v>2024-12</v>
      </c>
    </row>
    <row r="1116" spans="1:36" ht="15" x14ac:dyDescent="0.25">
      <c r="A1116" s="53" t="s">
        <v>2020</v>
      </c>
      <c r="B1116" s="53" t="s">
        <v>133</v>
      </c>
      <c r="C1116" s="53" t="s">
        <v>642</v>
      </c>
      <c r="D1116" s="53" t="s">
        <v>362</v>
      </c>
      <c r="E1116" s="53" t="s">
        <v>272</v>
      </c>
      <c r="F1116" s="53" t="s">
        <v>145</v>
      </c>
      <c r="G1116" s="53" t="s">
        <v>273</v>
      </c>
      <c r="H1116" s="53">
        <v>1</v>
      </c>
      <c r="I1116" s="53" t="s">
        <v>176</v>
      </c>
      <c r="J1116" s="53">
        <v>0</v>
      </c>
      <c r="K1116" s="53">
        <v>1</v>
      </c>
      <c r="L1116" s="53">
        <v>7.2</v>
      </c>
      <c r="M1116" s="53" t="s">
        <v>854</v>
      </c>
      <c r="N1116" s="53">
        <v>10.6</v>
      </c>
      <c r="O1116" s="51" t="str">
        <f>TEXT(tblWorkPackages[[#This Row],[Request date serial]]-WEEKDAY(tblWorkPackages[[#This Row],[Request date serial]],3),"yyyy-mm-dd")</f>
        <v>2024-07-15</v>
      </c>
      <c r="P1116" s="51">
        <f>ABS(tblWorkPackages[[#This Row],[Actual labor hours]]-tblWorkPackages[[#This Row],[Estimated labor hours]])</f>
        <v>3.4</v>
      </c>
      <c r="Q1116" s="51">
        <f>IF(tblWorkPackages[[#This Row],[Actual labor hours]]&gt;tblWorkPackages[[#This Row],[Estimated labor hours]],1,0)</f>
        <v>1</v>
      </c>
      <c r="R1116" s="51">
        <f>tblWorkPackages[[#This Row],[Actual labor hours]]-tblWorkPackages[[#This Row],[Estimated labor hours]]</f>
        <v>3.4</v>
      </c>
      <c r="S1116" s="51" t="str">
        <f>IF(tblWorkPackages[[#This Row],[Request date serial]]&lt;ValidationStart,"Train 2024",IF(tblWorkPackages[[#This Row],[Request date serial]]&lt;HoldoutStart,"Validation H1","Holdout H2"))</f>
        <v>Train 2024</v>
      </c>
      <c r="T1116" s="51" t="str">
        <f>IF(tblWorkPackages[[#This Row],[Time split]]="Train 2024","",tblWorkPackages[[#This Row],[Estimated labor hours]]+VLOOKUP(tblWorkPackages[[#This Row],[Task type]],'Forecast validation'!$A$14:$E$25,IF(tblWorkPackages[[#This Row],[Time split]]="Validation H1",4,5),FALSE()))</f>
        <v/>
      </c>
      <c r="U1116" s="51" t="str">
        <f>IF(tblWorkPackages[[#This Row],[Calibrated forecast hours]]="","",ABS(tblWorkPackages[[#This Row],[Actual labor hours]]-tblWorkPackages[[#This Row],[Calibrated forecast hours]]))</f>
        <v/>
      </c>
      <c r="V1116" s="51">
        <f>IF(tblWorkPackages[[#This Row],[Time split]]="Train 2024",tblWorkPackages[[#This Row],[Estimated labor hours]],tblWorkPackages[[#This Row],[Calibrated forecast hours]])</f>
        <v>7.2</v>
      </c>
      <c r="W1116" s="64">
        <f>DATEVALUE(tblWorkPackages[[#This Row],[Request date]])</f>
        <v>45488.0</v>
      </c>
      <c r="X1116" s="64">
        <f>DATEVALUE(tblWorkPackages[[#This Row],[Due date]])</f>
        <v>45494.0</v>
      </c>
      <c r="Y1116" s="64">
        <f>DATEVALUE(tblWorkPackages[[#This Row],[Completion date]])</f>
        <v>45492.0</v>
      </c>
      <c r="Z1116" s="64">
        <f>_xlfn.MINIFS(tblLaborEntries[Work date serial],tblLaborEntries[Work package ID],tblWorkPackages[[#This Row],[Work package ID]])</f>
        <v>45489.0</v>
      </c>
      <c r="AA1116" s="64">
        <f>_xlfn.MAXIFS(tblLaborEntries[Work date serial],tblLaborEntries[Work package ID],tblWorkPackages[[#This Row],[Work package ID]])</f>
        <v>45490.0</v>
      </c>
      <c r="AB1116" s="65">
        <f>IF(tblWorkPackages[[#This Row],[Completion date serial]]&gt;tblWorkPackages[[#This Row],[Due date serial]],1,0)</f>
        <v>0</v>
      </c>
      <c r="AC1116" s="65">
        <f>MAX(0,tblWorkPackages[[#This Row],[Completion date serial]]-tblWorkPackages[[#This Row],[Due date serial]])</f>
        <v>0</v>
      </c>
      <c r="AD1116" s="65">
        <f>tblWorkPackages[[#This Row],[First labor date]]-tblWorkPackages[[#This Row],[Request date serial]]</f>
        <v>1</v>
      </c>
      <c r="AE1116" s="65">
        <f>tblWorkPackages[[#This Row],[Last labor date]]-tblWorkPackages[[#This Row],[First labor date]]</f>
        <v>1</v>
      </c>
      <c r="AF1116" s="65">
        <f>tblWorkPackages[[#This Row],[Completion date serial]]-tblWorkPackages[[#This Row],[Last labor date]]</f>
        <v>2</v>
      </c>
      <c r="AG1116" s="65">
        <f>tblWorkPackages[[#This Row],[Completion date serial]]-tblWorkPackages[[#This Row],[Request date serial]]</f>
        <v>4</v>
      </c>
      <c r="AH1116" s="65">
        <f>IFERROR(INDEX(tblParts[Delay days],MATCH(tblWorkPackages[[#This Row],[Work package ID]],tblParts[Work package ID],0)),0)</f>
        <v>0</v>
      </c>
      <c r="AI1116" s="51" t="str">
        <f>IFERROR(INDEX(tblDisruptions[Event type],MATCH(tblWorkPackages[[#This Row],[Work package ID]],tblDisruptions[Work package ID],0)),"None")</f>
        <v>Technician absence</v>
      </c>
      <c r="AJ1116" s="51" t="str">
        <f>TEXT(tblWorkPackages[[#This Row],[Due date serial]],"yyyy-mm")</f>
        <v>2024-07</v>
      </c>
    </row>
    <row r="1117" spans="1:36" ht="15" x14ac:dyDescent="0.25">
      <c r="A1117" s="53" t="s">
        <v>2021</v>
      </c>
      <c r="B1117" s="53" t="s">
        <v>163</v>
      </c>
      <c r="C1117" s="53" t="s">
        <v>356</v>
      </c>
      <c r="D1117" s="53" t="s">
        <v>357</v>
      </c>
      <c r="E1117" s="53" t="s">
        <v>272</v>
      </c>
      <c r="F1117" s="53" t="s">
        <v>145</v>
      </c>
      <c r="G1117" s="53" t="s">
        <v>273</v>
      </c>
      <c r="H1117" s="53">
        <v>2</v>
      </c>
      <c r="I1117" s="53" t="s">
        <v>130</v>
      </c>
      <c r="J1117" s="53">
        <v>0</v>
      </c>
      <c r="K1117" s="53">
        <v>1</v>
      </c>
      <c r="L1117" s="53">
        <v>10.3</v>
      </c>
      <c r="M1117" s="53" t="s">
        <v>1526</v>
      </c>
      <c r="N1117" s="53">
        <v>8.6</v>
      </c>
      <c r="O1117" s="51" t="str">
        <f>TEXT(tblWorkPackages[[#This Row],[Request date serial]]-WEEKDAY(tblWorkPackages[[#This Row],[Request date serial]],3),"yyyy-mm-dd")</f>
        <v>2025-12-15</v>
      </c>
      <c r="P1117" s="51">
        <f>ABS(tblWorkPackages[[#This Row],[Actual labor hours]]-tblWorkPackages[[#This Row],[Estimated labor hours]])</f>
        <v>1.7</v>
      </c>
      <c r="Q1117" s="51">
        <f>IF(tblWorkPackages[[#This Row],[Actual labor hours]]&gt;tblWorkPackages[[#This Row],[Estimated labor hours]],1,0)</f>
        <v>0</v>
      </c>
      <c r="R1117" s="51">
        <f>tblWorkPackages[[#This Row],[Actual labor hours]]-tblWorkPackages[[#This Row],[Estimated labor hours]]</f>
        <v>-1.7</v>
      </c>
      <c r="S1117" s="51" t="str">
        <f>IF(tblWorkPackages[[#This Row],[Request date serial]]&lt;ValidationStart,"Train 2024",IF(tblWorkPackages[[#This Row],[Request date serial]]&lt;HoldoutStart,"Validation H1","Holdout H2"))</f>
        <v>Holdout H2</v>
      </c>
      <c r="T1117" s="51">
        <f>IF(tblWorkPackages[[#This Row],[Time split]]="Train 2024","",tblWorkPackages[[#This Row],[Estimated labor hours]]+VLOOKUP(tblWorkPackages[[#This Row],[Task type]],'Forecast validation'!$A$14:$E$25,IF(tblWorkPackages[[#This Row],[Time split]]="Validation H1",4,5),FALSE()))</f>
        <v>11.28515625</v>
      </c>
      <c r="U1117" s="51">
        <f>IF(tblWorkPackages[[#This Row],[Calibrated forecast hours]]="","",ABS(tblWorkPackages[[#This Row],[Actual labor hours]]-tblWorkPackages[[#This Row],[Calibrated forecast hours]]))</f>
        <v>2.68515625</v>
      </c>
      <c r="V1117" s="51">
        <f>IF(tblWorkPackages[[#This Row],[Time split]]="Train 2024",tblWorkPackages[[#This Row],[Estimated labor hours]],tblWorkPackages[[#This Row],[Calibrated forecast hours]])</f>
        <v>11.28515625</v>
      </c>
      <c r="W1117" s="64">
        <f>DATEVALUE(tblWorkPackages[[#This Row],[Request date]])</f>
        <v>46012.0</v>
      </c>
      <c r="X1117" s="64">
        <f>DATEVALUE(tblWorkPackages[[#This Row],[Due date]])</f>
        <v>46025.0</v>
      </c>
      <c r="Y1117" s="64">
        <f>DATEVALUE(tblWorkPackages[[#This Row],[Completion date]])</f>
        <v>46029.0</v>
      </c>
      <c r="Z1117" s="64">
        <f>_xlfn.MINIFS(tblLaborEntries[Work date serial],tblLaborEntries[Work package ID],tblWorkPackages[[#This Row],[Work package ID]])</f>
        <v>46025.0</v>
      </c>
      <c r="AA1117" s="64">
        <f>_xlfn.MAXIFS(tblLaborEntries[Work date serial],tblLaborEntries[Work package ID],tblWorkPackages[[#This Row],[Work package ID]])</f>
        <v>46026.0</v>
      </c>
      <c r="AB1117" s="65">
        <f>IF(tblWorkPackages[[#This Row],[Completion date serial]]&gt;tblWorkPackages[[#This Row],[Due date serial]],1,0)</f>
        <v>1</v>
      </c>
      <c r="AC1117" s="65">
        <f>MAX(0,tblWorkPackages[[#This Row],[Completion date serial]]-tblWorkPackages[[#This Row],[Due date serial]])</f>
        <v>4</v>
      </c>
      <c r="AD1117" s="65">
        <f>tblWorkPackages[[#This Row],[First labor date]]-tblWorkPackages[[#This Row],[Request date serial]]</f>
        <v>13</v>
      </c>
      <c r="AE1117" s="65">
        <f>tblWorkPackages[[#This Row],[Last labor date]]-tblWorkPackages[[#This Row],[First labor date]]</f>
        <v>1</v>
      </c>
      <c r="AF1117" s="65">
        <f>tblWorkPackages[[#This Row],[Completion date serial]]-tblWorkPackages[[#This Row],[Last labor date]]</f>
        <v>3</v>
      </c>
      <c r="AG1117" s="65">
        <f>tblWorkPackages[[#This Row],[Completion date serial]]-tblWorkPackages[[#This Row],[Request date serial]]</f>
        <v>17</v>
      </c>
      <c r="AH1117" s="65">
        <f>IFERROR(INDEX(tblParts[Delay days],MATCH(tblWorkPackages[[#This Row],[Work package ID]],tblParts[Work package ID],0)),0)</f>
        <v>0</v>
      </c>
      <c r="AI1117" s="51" t="str">
        <f>IFERROR(INDEX(tblDisruptions[Event type],MATCH(tblWorkPackages[[#This Row],[Work package ID]],tblDisruptions[Work package ID],0)),"None")</f>
        <v>None</v>
      </c>
      <c r="AJ1117" s="51" t="str">
        <f>TEXT(tblWorkPackages[[#This Row],[Due date serial]],"yyyy-mm")</f>
        <v>2026-01</v>
      </c>
    </row>
    <row r="1118" spans="1:36" ht="15" x14ac:dyDescent="0.25">
      <c r="A1118" s="53" t="s">
        <v>2022</v>
      </c>
      <c r="B1118" s="53" t="s">
        <v>287</v>
      </c>
      <c r="C1118" s="53" t="s">
        <v>296</v>
      </c>
      <c r="D1118" s="53" t="s">
        <v>265</v>
      </c>
      <c r="E1118" s="53" t="s">
        <v>144</v>
      </c>
      <c r="F1118" s="53" t="s">
        <v>145</v>
      </c>
      <c r="G1118" s="53" t="s">
        <v>146</v>
      </c>
      <c r="H1118" s="53">
        <v>4</v>
      </c>
      <c r="I1118" s="53" t="s">
        <v>130</v>
      </c>
      <c r="J1118" s="53">
        <v>0</v>
      </c>
      <c r="K1118" s="53">
        <v>1</v>
      </c>
      <c r="L1118" s="53">
        <v>18.5</v>
      </c>
      <c r="M1118" s="53" t="s">
        <v>151</v>
      </c>
      <c r="N1118" s="53">
        <v>20</v>
      </c>
      <c r="O1118" s="51" t="str">
        <f>TEXT(tblWorkPackages[[#This Row],[Request date serial]]-WEEKDAY(tblWorkPackages[[#This Row],[Request date serial]],3),"yyyy-mm-dd")</f>
        <v>2024-08-19</v>
      </c>
      <c r="P1118" s="51">
        <f>ABS(tblWorkPackages[[#This Row],[Actual labor hours]]-tblWorkPackages[[#This Row],[Estimated labor hours]])</f>
        <v>1.5</v>
      </c>
      <c r="Q1118" s="51">
        <f>IF(tblWorkPackages[[#This Row],[Actual labor hours]]&gt;tblWorkPackages[[#This Row],[Estimated labor hours]],1,0)</f>
        <v>1</v>
      </c>
      <c r="R1118" s="51">
        <f>tblWorkPackages[[#This Row],[Actual labor hours]]-tblWorkPackages[[#This Row],[Estimated labor hours]]</f>
        <v>1.5</v>
      </c>
      <c r="S1118" s="51" t="str">
        <f>IF(tblWorkPackages[[#This Row],[Request date serial]]&lt;ValidationStart,"Train 2024",IF(tblWorkPackages[[#This Row],[Request date serial]]&lt;HoldoutStart,"Validation H1","Holdout H2"))</f>
        <v>Train 2024</v>
      </c>
      <c r="T1118" s="51" t="str">
        <f>IF(tblWorkPackages[[#This Row],[Time split]]="Train 2024","",tblWorkPackages[[#This Row],[Estimated labor hours]]+VLOOKUP(tblWorkPackages[[#This Row],[Task type]],'Forecast validation'!$A$14:$E$25,IF(tblWorkPackages[[#This Row],[Time split]]="Validation H1",4,5),FALSE()))</f>
        <v/>
      </c>
      <c r="U1118" s="51" t="str">
        <f>IF(tblWorkPackages[[#This Row],[Calibrated forecast hours]]="","",ABS(tblWorkPackages[[#This Row],[Actual labor hours]]-tblWorkPackages[[#This Row],[Calibrated forecast hours]]))</f>
        <v/>
      </c>
      <c r="V1118" s="51">
        <f>IF(tblWorkPackages[[#This Row],[Time split]]="Train 2024",tblWorkPackages[[#This Row],[Estimated labor hours]],tblWorkPackages[[#This Row],[Calibrated forecast hours]])</f>
        <v>18.5</v>
      </c>
      <c r="W1118" s="64">
        <f>DATEVALUE(tblWorkPackages[[#This Row],[Request date]])</f>
        <v>45523.0</v>
      </c>
      <c r="X1118" s="64">
        <f>DATEVALUE(tblWorkPackages[[#This Row],[Due date]])</f>
        <v>45536.0</v>
      </c>
      <c r="Y1118" s="64">
        <f>DATEVALUE(tblWorkPackages[[#This Row],[Completion date]])</f>
        <v>45527.0</v>
      </c>
      <c r="Z1118" s="64">
        <f>_xlfn.MINIFS(tblLaborEntries[Work date serial],tblLaborEntries[Work package ID],tblWorkPackages[[#This Row],[Work package ID]])</f>
        <v>45526.0</v>
      </c>
      <c r="AA1118" s="64">
        <f>_xlfn.MAXIFS(tblLaborEntries[Work date serial],tblLaborEntries[Work package ID],tblWorkPackages[[#This Row],[Work package ID]])</f>
        <v>45527.0</v>
      </c>
      <c r="AB1118" s="65">
        <f>IF(tblWorkPackages[[#This Row],[Completion date serial]]&gt;tblWorkPackages[[#This Row],[Due date serial]],1,0)</f>
        <v>0</v>
      </c>
      <c r="AC1118" s="65">
        <f>MAX(0,tblWorkPackages[[#This Row],[Completion date serial]]-tblWorkPackages[[#This Row],[Due date serial]])</f>
        <v>0</v>
      </c>
      <c r="AD1118" s="65">
        <f>tblWorkPackages[[#This Row],[First labor date]]-tblWorkPackages[[#This Row],[Request date serial]]</f>
        <v>3</v>
      </c>
      <c r="AE1118" s="65">
        <f>tblWorkPackages[[#This Row],[Last labor date]]-tblWorkPackages[[#This Row],[First labor date]]</f>
        <v>1</v>
      </c>
      <c r="AF1118" s="65">
        <f>tblWorkPackages[[#This Row],[Completion date serial]]-tblWorkPackages[[#This Row],[Last labor date]]</f>
        <v>0</v>
      </c>
      <c r="AG1118" s="65">
        <f>tblWorkPackages[[#This Row],[Completion date serial]]-tblWorkPackages[[#This Row],[Request date serial]]</f>
        <v>4</v>
      </c>
      <c r="AH1118" s="65">
        <f>IFERROR(INDEX(tblParts[Delay days],MATCH(tblWorkPackages[[#This Row],[Work package ID]],tblParts[Work package ID],0)),0)</f>
        <v>0</v>
      </c>
      <c r="AI1118" s="51" t="str">
        <f>IFERROR(INDEX(tblDisruptions[Event type],MATCH(tblWorkPackages[[#This Row],[Work package ID]],tblDisruptions[Work package ID],0)),"None")</f>
        <v>None</v>
      </c>
      <c r="AJ1118" s="51" t="str">
        <f>TEXT(tblWorkPackages[[#This Row],[Due date serial]],"yyyy-mm")</f>
        <v>2024-09</v>
      </c>
    </row>
    <row r="1119" spans="1:36" ht="15" x14ac:dyDescent="0.25">
      <c r="A1119" s="53" t="s">
        <v>2023</v>
      </c>
      <c r="B1119" s="53" t="s">
        <v>133</v>
      </c>
      <c r="C1119" s="53" t="s">
        <v>966</v>
      </c>
      <c r="D1119" s="53" t="s">
        <v>589</v>
      </c>
      <c r="E1119" s="53" t="s">
        <v>209</v>
      </c>
      <c r="F1119" s="53" t="s">
        <v>145</v>
      </c>
      <c r="G1119" s="53" t="s">
        <v>210</v>
      </c>
      <c r="H1119" s="53">
        <v>2</v>
      </c>
      <c r="I1119" s="53" t="s">
        <v>176</v>
      </c>
      <c r="J1119" s="53">
        <v>0</v>
      </c>
      <c r="K1119" s="53">
        <v>0</v>
      </c>
      <c r="L1119" s="53">
        <v>22.1</v>
      </c>
      <c r="M1119" s="53" t="s">
        <v>376</v>
      </c>
      <c r="N1119" s="53">
        <v>23.7</v>
      </c>
      <c r="O1119" s="51" t="str">
        <f>TEXT(tblWorkPackages[[#This Row],[Request date serial]]-WEEKDAY(tblWorkPackages[[#This Row],[Request date serial]],3),"yyyy-mm-dd")</f>
        <v>2025-03-17</v>
      </c>
      <c r="P1119" s="51">
        <f>ABS(tblWorkPackages[[#This Row],[Actual labor hours]]-tblWorkPackages[[#This Row],[Estimated labor hours]])</f>
        <v>1.6</v>
      </c>
      <c r="Q1119" s="51">
        <f>IF(tblWorkPackages[[#This Row],[Actual labor hours]]&gt;tblWorkPackages[[#This Row],[Estimated labor hours]],1,0)</f>
        <v>1</v>
      </c>
      <c r="R1119" s="51">
        <f>tblWorkPackages[[#This Row],[Actual labor hours]]-tblWorkPackages[[#This Row],[Estimated labor hours]]</f>
        <v>1.6</v>
      </c>
      <c r="S1119" s="51" t="str">
        <f>IF(tblWorkPackages[[#This Row],[Request date serial]]&lt;ValidationStart,"Train 2024",IF(tblWorkPackages[[#This Row],[Request date serial]]&lt;HoldoutStart,"Validation H1","Holdout H2"))</f>
        <v>Validation H1</v>
      </c>
      <c r="T1119" s="51">
        <f>IF(tblWorkPackages[[#This Row],[Time split]]="Train 2024","",tblWorkPackages[[#This Row],[Estimated labor hours]]+VLOOKUP(tblWorkPackages[[#This Row],[Task type]],'Forecast validation'!$A$14:$E$25,IF(tblWorkPackages[[#This Row],[Time split]]="Validation H1",4,5),FALSE()))</f>
        <v>23.2029850746269</v>
      </c>
      <c r="U1119" s="51">
        <f>IF(tblWorkPackages[[#This Row],[Calibrated forecast hours]]="","",ABS(tblWorkPackages[[#This Row],[Actual labor hours]]-tblWorkPackages[[#This Row],[Calibrated forecast hours]]))</f>
        <v>0.497014925373133</v>
      </c>
      <c r="V1119" s="51">
        <f>IF(tblWorkPackages[[#This Row],[Time split]]="Train 2024",tblWorkPackages[[#This Row],[Estimated labor hours]],tblWorkPackages[[#This Row],[Calibrated forecast hours]])</f>
        <v>23.2029850746269</v>
      </c>
      <c r="W1119" s="64">
        <f>DATEVALUE(tblWorkPackages[[#This Row],[Request date]])</f>
        <v>45733.0</v>
      </c>
      <c r="X1119" s="64">
        <f>DATEVALUE(tblWorkPackages[[#This Row],[Due date]])</f>
        <v>45739.0</v>
      </c>
      <c r="Y1119" s="64">
        <f>DATEVALUE(tblWorkPackages[[#This Row],[Completion date]])</f>
        <v>45776.0</v>
      </c>
      <c r="Z1119" s="64">
        <f>_xlfn.MINIFS(tblLaborEntries[Work date serial],tblLaborEntries[Work package ID],tblWorkPackages[[#This Row],[Work package ID]])</f>
        <v>45775.0</v>
      </c>
      <c r="AA1119" s="64">
        <f>_xlfn.MAXIFS(tblLaborEntries[Work date serial],tblLaborEntries[Work package ID],tblWorkPackages[[#This Row],[Work package ID]])</f>
        <v>45775.0</v>
      </c>
      <c r="AB1119" s="65">
        <f>IF(tblWorkPackages[[#This Row],[Completion date serial]]&gt;tblWorkPackages[[#This Row],[Due date serial]],1,0)</f>
        <v>1</v>
      </c>
      <c r="AC1119" s="65">
        <f>MAX(0,tblWorkPackages[[#This Row],[Completion date serial]]-tblWorkPackages[[#This Row],[Due date serial]])</f>
        <v>37</v>
      </c>
      <c r="AD1119" s="65">
        <f>tblWorkPackages[[#This Row],[First labor date]]-tblWorkPackages[[#This Row],[Request date serial]]</f>
        <v>42</v>
      </c>
      <c r="AE1119" s="65">
        <f>tblWorkPackages[[#This Row],[Last labor date]]-tblWorkPackages[[#This Row],[First labor date]]</f>
        <v>0</v>
      </c>
      <c r="AF1119" s="65">
        <f>tblWorkPackages[[#This Row],[Completion date serial]]-tblWorkPackages[[#This Row],[Last labor date]]</f>
        <v>1</v>
      </c>
      <c r="AG1119" s="65">
        <f>tblWorkPackages[[#This Row],[Completion date serial]]-tblWorkPackages[[#This Row],[Request date serial]]</f>
        <v>43</v>
      </c>
      <c r="AH1119" s="65">
        <f>IFERROR(INDEX(tblParts[Delay days],MATCH(tblWorkPackages[[#This Row],[Work package ID]],tblParts[Work package ID],0)),0)</f>
        <v>0</v>
      </c>
      <c r="AI1119" s="51" t="str">
        <f>IFERROR(INDEX(tblDisruptions[Event type],MATCH(tblWorkPackages[[#This Row],[Work package ID]],tblDisruptions[Work package ID],0)),"None")</f>
        <v>None</v>
      </c>
      <c r="AJ1119" s="51" t="str">
        <f>TEXT(tblWorkPackages[[#This Row],[Due date serial]],"yyyy-mm")</f>
        <v>2025-03</v>
      </c>
    </row>
    <row r="1120" spans="1:36" ht="15" x14ac:dyDescent="0.25">
      <c r="A1120" s="53" t="s">
        <v>2024</v>
      </c>
      <c r="B1120" s="53" t="s">
        <v>185</v>
      </c>
      <c r="C1120" s="53" t="s">
        <v>502</v>
      </c>
      <c r="D1120" s="53" t="s">
        <v>1233</v>
      </c>
      <c r="E1120" s="53" t="s">
        <v>237</v>
      </c>
      <c r="F1120" s="53" t="s">
        <v>182</v>
      </c>
      <c r="G1120" s="53" t="s">
        <v>138</v>
      </c>
      <c r="H1120" s="53">
        <v>2</v>
      </c>
      <c r="I1120" s="53" t="s">
        <v>130</v>
      </c>
      <c r="J1120" s="53">
        <v>0</v>
      </c>
      <c r="K1120" s="53">
        <v>0</v>
      </c>
      <c r="L1120" s="53">
        <v>5.5</v>
      </c>
      <c r="M1120" s="53" t="s">
        <v>628</v>
      </c>
      <c r="N1120" s="53">
        <v>6.8</v>
      </c>
      <c r="O1120" s="51" t="str">
        <f>TEXT(tblWorkPackages[[#This Row],[Request date serial]]-WEEKDAY(tblWorkPackages[[#This Row],[Request date serial]],3),"yyyy-mm-dd")</f>
        <v>2025-06-30</v>
      </c>
      <c r="P1120" s="51">
        <f>ABS(tblWorkPackages[[#This Row],[Actual labor hours]]-tblWorkPackages[[#This Row],[Estimated labor hours]])</f>
        <v>1.3</v>
      </c>
      <c r="Q1120" s="51">
        <f>IF(tblWorkPackages[[#This Row],[Actual labor hours]]&gt;tblWorkPackages[[#This Row],[Estimated labor hours]],1,0)</f>
        <v>1</v>
      </c>
      <c r="R1120" s="51">
        <f>tblWorkPackages[[#This Row],[Actual labor hours]]-tblWorkPackages[[#This Row],[Estimated labor hours]]</f>
        <v>1.3</v>
      </c>
      <c r="S1120" s="51" t="str">
        <f>IF(tblWorkPackages[[#This Row],[Request date serial]]&lt;ValidationStart,"Train 2024",IF(tblWorkPackages[[#This Row],[Request date serial]]&lt;HoldoutStart,"Validation H1","Holdout H2"))</f>
        <v>Holdout H2</v>
      </c>
      <c r="T1120" s="51">
        <f>IF(tblWorkPackages[[#This Row],[Time split]]="Train 2024","",tblWorkPackages[[#This Row],[Estimated labor hours]]+VLOOKUP(tblWorkPackages[[#This Row],[Task type]],'Forecast validation'!$A$14:$E$25,IF(tblWorkPackages[[#This Row],[Time split]]="Validation H1",4,5),FALSE()))</f>
        <v>5.953125</v>
      </c>
      <c r="U1120" s="51">
        <f>IF(tblWorkPackages[[#This Row],[Calibrated forecast hours]]="","",ABS(tblWorkPackages[[#This Row],[Actual labor hours]]-tblWorkPackages[[#This Row],[Calibrated forecast hours]]))</f>
        <v>0.846875</v>
      </c>
      <c r="V1120" s="51">
        <f>IF(tblWorkPackages[[#This Row],[Time split]]="Train 2024",tblWorkPackages[[#This Row],[Estimated labor hours]],tblWorkPackages[[#This Row],[Calibrated forecast hours]])</f>
        <v>5.953125</v>
      </c>
      <c r="W1120" s="64">
        <f>DATEVALUE(tblWorkPackages[[#This Row],[Request date]])</f>
        <v>45840.0</v>
      </c>
      <c r="X1120" s="64">
        <f>DATEVALUE(tblWorkPackages[[#This Row],[Due date]])</f>
        <v>45853.0</v>
      </c>
      <c r="Y1120" s="64">
        <f>DATEVALUE(tblWorkPackages[[#This Row],[Completion date]])</f>
        <v>45849.0</v>
      </c>
      <c r="Z1120" s="64">
        <f>_xlfn.MINIFS(tblLaborEntries[Work date serial],tblLaborEntries[Work package ID],tblWorkPackages[[#This Row],[Work package ID]])</f>
        <v>45847.0</v>
      </c>
      <c r="AA1120" s="64">
        <f>_xlfn.MAXIFS(tblLaborEntries[Work date serial],tblLaborEntries[Work package ID],tblWorkPackages[[#This Row],[Work package ID]])</f>
        <v>45847.0</v>
      </c>
      <c r="AB1120" s="65">
        <f>IF(tblWorkPackages[[#This Row],[Completion date serial]]&gt;tblWorkPackages[[#This Row],[Due date serial]],1,0)</f>
        <v>0</v>
      </c>
      <c r="AC1120" s="65">
        <f>MAX(0,tblWorkPackages[[#This Row],[Completion date serial]]-tblWorkPackages[[#This Row],[Due date serial]])</f>
        <v>0</v>
      </c>
      <c r="AD1120" s="65">
        <f>tblWorkPackages[[#This Row],[First labor date]]-tblWorkPackages[[#This Row],[Request date serial]]</f>
        <v>7</v>
      </c>
      <c r="AE1120" s="65">
        <f>tblWorkPackages[[#This Row],[Last labor date]]-tblWorkPackages[[#This Row],[First labor date]]</f>
        <v>0</v>
      </c>
      <c r="AF1120" s="65">
        <f>tblWorkPackages[[#This Row],[Completion date serial]]-tblWorkPackages[[#This Row],[Last labor date]]</f>
        <v>2</v>
      </c>
      <c r="AG1120" s="65">
        <f>tblWorkPackages[[#This Row],[Completion date serial]]-tblWorkPackages[[#This Row],[Request date serial]]</f>
        <v>9</v>
      </c>
      <c r="AH1120" s="65">
        <f>IFERROR(INDEX(tblParts[Delay days],MATCH(tblWorkPackages[[#This Row],[Work package ID]],tblParts[Work package ID],0)),0)</f>
        <v>0</v>
      </c>
      <c r="AI1120" s="51" t="str">
        <f>IFERROR(INDEX(tblDisruptions[Event type],MATCH(tblWorkPackages[[#This Row],[Work package ID]],tblDisruptions[Work package ID],0)),"None")</f>
        <v>None</v>
      </c>
      <c r="AJ1120" s="51" t="str">
        <f>TEXT(tblWorkPackages[[#This Row],[Due date serial]],"yyyy-mm")</f>
        <v>2025-07</v>
      </c>
    </row>
    <row r="1121" spans="1:36" ht="15" x14ac:dyDescent="0.25">
      <c r="A1121" s="53" t="s">
        <v>2025</v>
      </c>
      <c r="B1121" s="53" t="s">
        <v>157</v>
      </c>
      <c r="C1121" s="53" t="s">
        <v>963</v>
      </c>
      <c r="D1121" s="53" t="s">
        <v>187</v>
      </c>
      <c r="E1121" s="53" t="s">
        <v>242</v>
      </c>
      <c r="F1121" s="53" t="s">
        <v>243</v>
      </c>
      <c r="G1121" s="53" t="s">
        <v>129</v>
      </c>
      <c r="H1121" s="53">
        <v>3</v>
      </c>
      <c r="I1121" s="53" t="s">
        <v>130</v>
      </c>
      <c r="J1121" s="53">
        <v>0</v>
      </c>
      <c r="K1121" s="53">
        <v>0</v>
      </c>
      <c r="L1121" s="53">
        <v>11.4</v>
      </c>
      <c r="M1121" s="53" t="s">
        <v>1100</v>
      </c>
      <c r="N1121" s="53">
        <v>14.6</v>
      </c>
      <c r="O1121" s="51" t="str">
        <f>TEXT(tblWorkPackages[[#This Row],[Request date serial]]-WEEKDAY(tblWorkPackages[[#This Row],[Request date serial]],3),"yyyy-mm-dd")</f>
        <v>2025-02-10</v>
      </c>
      <c r="P1121" s="51">
        <f>ABS(tblWorkPackages[[#This Row],[Actual labor hours]]-tblWorkPackages[[#This Row],[Estimated labor hours]])</f>
        <v>3.2</v>
      </c>
      <c r="Q1121" s="51">
        <f>IF(tblWorkPackages[[#This Row],[Actual labor hours]]&gt;tblWorkPackages[[#This Row],[Estimated labor hours]],1,0)</f>
        <v>1</v>
      </c>
      <c r="R1121" s="51">
        <f>tblWorkPackages[[#This Row],[Actual labor hours]]-tblWorkPackages[[#This Row],[Estimated labor hours]]</f>
        <v>3.2</v>
      </c>
      <c r="S1121" s="51" t="str">
        <f>IF(tblWorkPackages[[#This Row],[Request date serial]]&lt;ValidationStart,"Train 2024",IF(tblWorkPackages[[#This Row],[Request date serial]]&lt;HoldoutStart,"Validation H1","Holdout H2"))</f>
        <v>Validation H1</v>
      </c>
      <c r="T1121" s="51">
        <f>IF(tblWorkPackages[[#This Row],[Time split]]="Train 2024","",tblWorkPackages[[#This Row],[Estimated labor hours]]+VLOOKUP(tblWorkPackages[[#This Row],[Task type]],'Forecast validation'!$A$14:$E$25,IF(tblWorkPackages[[#This Row],[Time split]]="Validation H1",4,5),FALSE()))</f>
        <v>11.9561224489796</v>
      </c>
      <c r="U1121" s="51">
        <f>IF(tblWorkPackages[[#This Row],[Calibrated forecast hours]]="","",ABS(tblWorkPackages[[#This Row],[Actual labor hours]]-tblWorkPackages[[#This Row],[Calibrated forecast hours]]))</f>
        <v>2.64387755102041</v>
      </c>
      <c r="V1121" s="51">
        <f>IF(tblWorkPackages[[#This Row],[Time split]]="Train 2024",tblWorkPackages[[#This Row],[Estimated labor hours]],tblWorkPackages[[#This Row],[Calibrated forecast hours]])</f>
        <v>11.9561224489796</v>
      </c>
      <c r="W1121" s="64">
        <f>DATEVALUE(tblWorkPackages[[#This Row],[Request date]])</f>
        <v>45700.0</v>
      </c>
      <c r="X1121" s="64">
        <f>DATEVALUE(tblWorkPackages[[#This Row],[Due date]])</f>
        <v>45713.0</v>
      </c>
      <c r="Y1121" s="64">
        <f>DATEVALUE(tblWorkPackages[[#This Row],[Completion date]])</f>
        <v>45705.0</v>
      </c>
      <c r="Z1121" s="64">
        <f>_xlfn.MINIFS(tblLaborEntries[Work date serial],tblLaborEntries[Work package ID],tblWorkPackages[[#This Row],[Work package ID]])</f>
        <v>45702.0</v>
      </c>
      <c r="AA1121" s="64">
        <f>_xlfn.MAXIFS(tblLaborEntries[Work date serial],tblLaborEntries[Work package ID],tblWorkPackages[[#This Row],[Work package ID]])</f>
        <v>45702.0</v>
      </c>
      <c r="AB1121" s="65">
        <f>IF(tblWorkPackages[[#This Row],[Completion date serial]]&gt;tblWorkPackages[[#This Row],[Due date serial]],1,0)</f>
        <v>0</v>
      </c>
      <c r="AC1121" s="65">
        <f>MAX(0,tblWorkPackages[[#This Row],[Completion date serial]]-tblWorkPackages[[#This Row],[Due date serial]])</f>
        <v>0</v>
      </c>
      <c r="AD1121" s="65">
        <f>tblWorkPackages[[#This Row],[First labor date]]-tblWorkPackages[[#This Row],[Request date serial]]</f>
        <v>2</v>
      </c>
      <c r="AE1121" s="65">
        <f>tblWorkPackages[[#This Row],[Last labor date]]-tblWorkPackages[[#This Row],[First labor date]]</f>
        <v>0</v>
      </c>
      <c r="AF1121" s="65">
        <f>tblWorkPackages[[#This Row],[Completion date serial]]-tblWorkPackages[[#This Row],[Last labor date]]</f>
        <v>3</v>
      </c>
      <c r="AG1121" s="65">
        <f>tblWorkPackages[[#This Row],[Completion date serial]]-tblWorkPackages[[#This Row],[Request date serial]]</f>
        <v>5</v>
      </c>
      <c r="AH1121" s="65">
        <f>IFERROR(INDEX(tblParts[Delay days],MATCH(tblWorkPackages[[#This Row],[Work package ID]],tblParts[Work package ID],0)),0)</f>
        <v>0</v>
      </c>
      <c r="AI1121" s="51" t="str">
        <f>IFERROR(INDEX(tblDisruptions[Event type],MATCH(tblWorkPackages[[#This Row],[Work package ID]],tblDisruptions[Work package ID],0)),"None")</f>
        <v>None</v>
      </c>
      <c r="AJ1121" s="51" t="str">
        <f>TEXT(tblWorkPackages[[#This Row],[Due date serial]],"yyyy-mm")</f>
        <v>2025-02</v>
      </c>
    </row>
    <row r="1122" spans="1:36" ht="15" x14ac:dyDescent="0.25">
      <c r="A1122" s="53" t="s">
        <v>2026</v>
      </c>
      <c r="B1122" s="53" t="s">
        <v>150</v>
      </c>
      <c r="C1122" s="53" t="s">
        <v>606</v>
      </c>
      <c r="D1122" s="53" t="s">
        <v>1063</v>
      </c>
      <c r="E1122" s="53" t="s">
        <v>153</v>
      </c>
      <c r="F1122" s="53" t="s">
        <v>128</v>
      </c>
      <c r="G1122" s="53" t="s">
        <v>154</v>
      </c>
      <c r="H1122" s="53">
        <v>2</v>
      </c>
      <c r="I1122" s="53" t="s">
        <v>176</v>
      </c>
      <c r="J1122" s="53">
        <v>0</v>
      </c>
      <c r="K1122" s="53">
        <v>0</v>
      </c>
      <c r="L1122" s="53">
        <v>11.1</v>
      </c>
      <c r="M1122" s="53" t="s">
        <v>1191</v>
      </c>
      <c r="N1122" s="53">
        <v>13.6</v>
      </c>
      <c r="O1122" s="51" t="str">
        <f>TEXT(tblWorkPackages[[#This Row],[Request date serial]]-WEEKDAY(tblWorkPackages[[#This Row],[Request date serial]],3),"yyyy-mm-dd")</f>
        <v>2025-03-03</v>
      </c>
      <c r="P1122" s="51">
        <f>ABS(tblWorkPackages[[#This Row],[Actual labor hours]]-tblWorkPackages[[#This Row],[Estimated labor hours]])</f>
        <v>2.5</v>
      </c>
      <c r="Q1122" s="51">
        <f>IF(tblWorkPackages[[#This Row],[Actual labor hours]]&gt;tblWorkPackages[[#This Row],[Estimated labor hours]],1,0)</f>
        <v>1</v>
      </c>
      <c r="R1122" s="51">
        <f>tblWorkPackages[[#This Row],[Actual labor hours]]-tblWorkPackages[[#This Row],[Estimated labor hours]]</f>
        <v>2.5</v>
      </c>
      <c r="S1122" s="51" t="str">
        <f>IF(tblWorkPackages[[#This Row],[Request date serial]]&lt;ValidationStart,"Train 2024",IF(tblWorkPackages[[#This Row],[Request date serial]]&lt;HoldoutStart,"Validation H1","Holdout H2"))</f>
        <v>Validation H1</v>
      </c>
      <c r="T1122" s="51">
        <f>IF(tblWorkPackages[[#This Row],[Time split]]="Train 2024","",tblWorkPackages[[#This Row],[Estimated labor hours]]+VLOOKUP(tblWorkPackages[[#This Row],[Task type]],'Forecast validation'!$A$14:$E$25,IF(tblWorkPackages[[#This Row],[Time split]]="Validation H1",4,5),FALSE()))</f>
        <v>11.6462264150943</v>
      </c>
      <c r="U1122" s="51">
        <f>IF(tblWorkPackages[[#This Row],[Calibrated forecast hours]]="","",ABS(tblWorkPackages[[#This Row],[Actual labor hours]]-tblWorkPackages[[#This Row],[Calibrated forecast hours]]))</f>
        <v>1.95377358490566</v>
      </c>
      <c r="V1122" s="51">
        <f>IF(tblWorkPackages[[#This Row],[Time split]]="Train 2024",tblWorkPackages[[#This Row],[Estimated labor hours]],tblWorkPackages[[#This Row],[Calibrated forecast hours]])</f>
        <v>11.6462264150943</v>
      </c>
      <c r="W1122" s="64">
        <f>DATEVALUE(tblWorkPackages[[#This Row],[Request date]])</f>
        <v>45721.0</v>
      </c>
      <c r="X1122" s="64">
        <f>DATEVALUE(tblWorkPackages[[#This Row],[Due date]])</f>
        <v>45727.0</v>
      </c>
      <c r="Y1122" s="64">
        <f>DATEVALUE(tblWorkPackages[[#This Row],[Completion date]])</f>
        <v>45740.0</v>
      </c>
      <c r="Z1122" s="64">
        <f>_xlfn.MINIFS(tblLaborEntries[Work date serial],tblLaborEntries[Work package ID],tblWorkPackages[[#This Row],[Work package ID]])</f>
        <v>45739.0</v>
      </c>
      <c r="AA1122" s="64">
        <f>_xlfn.MAXIFS(tblLaborEntries[Work date serial],tblLaborEntries[Work package ID],tblWorkPackages[[#This Row],[Work package ID]])</f>
        <v>45740.0</v>
      </c>
      <c r="AB1122" s="65">
        <f>IF(tblWorkPackages[[#This Row],[Completion date serial]]&gt;tblWorkPackages[[#This Row],[Due date serial]],1,0)</f>
        <v>1</v>
      </c>
      <c r="AC1122" s="65">
        <f>MAX(0,tblWorkPackages[[#This Row],[Completion date serial]]-tblWorkPackages[[#This Row],[Due date serial]])</f>
        <v>13</v>
      </c>
      <c r="AD1122" s="65">
        <f>tblWorkPackages[[#This Row],[First labor date]]-tblWorkPackages[[#This Row],[Request date serial]]</f>
        <v>18</v>
      </c>
      <c r="AE1122" s="65">
        <f>tblWorkPackages[[#This Row],[Last labor date]]-tblWorkPackages[[#This Row],[First labor date]]</f>
        <v>1</v>
      </c>
      <c r="AF1122" s="65">
        <f>tblWorkPackages[[#This Row],[Completion date serial]]-tblWorkPackages[[#This Row],[Last labor date]]</f>
        <v>0</v>
      </c>
      <c r="AG1122" s="65">
        <f>tblWorkPackages[[#This Row],[Completion date serial]]-tblWorkPackages[[#This Row],[Request date serial]]</f>
        <v>19</v>
      </c>
      <c r="AH1122" s="65">
        <f>IFERROR(INDEX(tblParts[Delay days],MATCH(tblWorkPackages[[#This Row],[Work package ID]],tblParts[Work package ID],0)),0)</f>
        <v>0</v>
      </c>
      <c r="AI1122" s="51" t="str">
        <f>IFERROR(INDEX(tblDisruptions[Event type],MATCH(tblWorkPackages[[#This Row],[Work package ID]],tblDisruptions[Work package ID],0)),"None")</f>
        <v>None</v>
      </c>
      <c r="AJ1122" s="51" t="str">
        <f>TEXT(tblWorkPackages[[#This Row],[Due date serial]],"yyyy-mm")</f>
        <v>2025-03</v>
      </c>
    </row>
    <row r="1123" spans="1:36" ht="15" x14ac:dyDescent="0.25">
      <c r="A1123" s="53" t="s">
        <v>2027</v>
      </c>
      <c r="B1123" s="53" t="s">
        <v>203</v>
      </c>
      <c r="C1123" s="53" t="s">
        <v>971</v>
      </c>
      <c r="D1123" s="53" t="s">
        <v>1108</v>
      </c>
      <c r="E1123" s="53" t="s">
        <v>223</v>
      </c>
      <c r="F1123" s="53" t="s">
        <v>182</v>
      </c>
      <c r="G1123" s="53" t="s">
        <v>154</v>
      </c>
      <c r="H1123" s="53">
        <v>1</v>
      </c>
      <c r="I1123" s="53" t="s">
        <v>130</v>
      </c>
      <c r="J1123" s="53">
        <v>0</v>
      </c>
      <c r="K1123" s="53">
        <v>0</v>
      </c>
      <c r="L1123" s="53">
        <v>8.3000000000000007</v>
      </c>
      <c r="M1123" s="53" t="s">
        <v>418</v>
      </c>
      <c r="N1123" s="53">
        <v>9.6999999999999993</v>
      </c>
      <c r="O1123" s="51" t="str">
        <f>TEXT(tblWorkPackages[[#This Row],[Request date serial]]-WEEKDAY(tblWorkPackages[[#This Row],[Request date serial]],3),"yyyy-mm-dd")</f>
        <v>2024-05-06</v>
      </c>
      <c r="P1123" s="51">
        <f>ABS(tblWorkPackages[[#This Row],[Actual labor hours]]-tblWorkPackages[[#This Row],[Estimated labor hours]])</f>
        <v>1.4</v>
      </c>
      <c r="Q1123" s="51">
        <f>IF(tblWorkPackages[[#This Row],[Actual labor hours]]&gt;tblWorkPackages[[#This Row],[Estimated labor hours]],1,0)</f>
        <v>1</v>
      </c>
      <c r="R1123" s="51">
        <f>tblWorkPackages[[#This Row],[Actual labor hours]]-tblWorkPackages[[#This Row],[Estimated labor hours]]</f>
        <v>1.4</v>
      </c>
      <c r="S1123" s="51" t="str">
        <f>IF(tblWorkPackages[[#This Row],[Request date serial]]&lt;ValidationStart,"Train 2024",IF(tblWorkPackages[[#This Row],[Request date serial]]&lt;HoldoutStart,"Validation H1","Holdout H2"))</f>
        <v>Train 2024</v>
      </c>
      <c r="T1123" s="51" t="str">
        <f>IF(tblWorkPackages[[#This Row],[Time split]]="Train 2024","",tblWorkPackages[[#This Row],[Estimated labor hours]]+VLOOKUP(tblWorkPackages[[#This Row],[Task type]],'Forecast validation'!$A$14:$E$25,IF(tblWorkPackages[[#This Row],[Time split]]="Validation H1",4,5),FALSE()))</f>
        <v/>
      </c>
      <c r="U1123" s="51" t="str">
        <f>IF(tblWorkPackages[[#This Row],[Calibrated forecast hours]]="","",ABS(tblWorkPackages[[#This Row],[Actual labor hours]]-tblWorkPackages[[#This Row],[Calibrated forecast hours]]))</f>
        <v/>
      </c>
      <c r="V1123" s="51">
        <f>IF(tblWorkPackages[[#This Row],[Time split]]="Train 2024",tblWorkPackages[[#This Row],[Estimated labor hours]],tblWorkPackages[[#This Row],[Calibrated forecast hours]])</f>
        <v>8.3</v>
      </c>
      <c r="W1123" s="64">
        <f>DATEVALUE(tblWorkPackages[[#This Row],[Request date]])</f>
        <v>45424.0</v>
      </c>
      <c r="X1123" s="64">
        <f>DATEVALUE(tblWorkPackages[[#This Row],[Due date]])</f>
        <v>45437.0</v>
      </c>
      <c r="Y1123" s="64">
        <f>DATEVALUE(tblWorkPackages[[#This Row],[Completion date]])</f>
        <v>45429.0</v>
      </c>
      <c r="Z1123" s="64">
        <f>_xlfn.MINIFS(tblLaborEntries[Work date serial],tblLaborEntries[Work package ID],tblWorkPackages[[#This Row],[Work package ID]])</f>
        <v>45428.0</v>
      </c>
      <c r="AA1123" s="64">
        <f>_xlfn.MAXIFS(tblLaborEntries[Work date serial],tblLaborEntries[Work package ID],tblWorkPackages[[#This Row],[Work package ID]])</f>
        <v>45428.0</v>
      </c>
      <c r="AB1123" s="65">
        <f>IF(tblWorkPackages[[#This Row],[Completion date serial]]&gt;tblWorkPackages[[#This Row],[Due date serial]],1,0)</f>
        <v>0</v>
      </c>
      <c r="AC1123" s="65">
        <f>MAX(0,tblWorkPackages[[#This Row],[Completion date serial]]-tblWorkPackages[[#This Row],[Due date serial]])</f>
        <v>0</v>
      </c>
      <c r="AD1123" s="65">
        <f>tblWorkPackages[[#This Row],[First labor date]]-tblWorkPackages[[#This Row],[Request date serial]]</f>
        <v>4</v>
      </c>
      <c r="AE1123" s="65">
        <f>tblWorkPackages[[#This Row],[Last labor date]]-tblWorkPackages[[#This Row],[First labor date]]</f>
        <v>0</v>
      </c>
      <c r="AF1123" s="65">
        <f>tblWorkPackages[[#This Row],[Completion date serial]]-tblWorkPackages[[#This Row],[Last labor date]]</f>
        <v>1</v>
      </c>
      <c r="AG1123" s="65">
        <f>tblWorkPackages[[#This Row],[Completion date serial]]-tblWorkPackages[[#This Row],[Request date serial]]</f>
        <v>5</v>
      </c>
      <c r="AH1123" s="65">
        <f>IFERROR(INDEX(tblParts[Delay days],MATCH(tblWorkPackages[[#This Row],[Work package ID]],tblParts[Work package ID],0)),0)</f>
        <v>0</v>
      </c>
      <c r="AI1123" s="51" t="str">
        <f>IFERROR(INDEX(tblDisruptions[Event type],MATCH(tblWorkPackages[[#This Row],[Work package ID]],tblDisruptions[Work package ID],0)),"None")</f>
        <v>None</v>
      </c>
      <c r="AJ1123" s="51" t="str">
        <f>TEXT(tblWorkPackages[[#This Row],[Due date serial]],"yyyy-mm")</f>
        <v>2024-05</v>
      </c>
    </row>
    <row r="1124" spans="1:36" ht="15" x14ac:dyDescent="0.25">
      <c r="A1124" s="53" t="s">
        <v>2028</v>
      </c>
      <c r="B1124" s="53" t="s">
        <v>141</v>
      </c>
      <c r="C1124" s="53" t="s">
        <v>991</v>
      </c>
      <c r="D1124" s="53" t="s">
        <v>2029</v>
      </c>
      <c r="E1124" s="53" t="s">
        <v>242</v>
      </c>
      <c r="F1124" s="53" t="s">
        <v>243</v>
      </c>
      <c r="G1124" s="53" t="s">
        <v>129</v>
      </c>
      <c r="H1124" s="53">
        <v>2</v>
      </c>
      <c r="I1124" s="53" t="s">
        <v>130</v>
      </c>
      <c r="J1124" s="53">
        <v>0</v>
      </c>
      <c r="K1124" s="53">
        <v>0</v>
      </c>
      <c r="L1124" s="53">
        <v>7.5</v>
      </c>
      <c r="M1124" s="53" t="s">
        <v>542</v>
      </c>
      <c r="N1124" s="53">
        <v>6</v>
      </c>
      <c r="O1124" s="51" t="str">
        <f>TEXT(tblWorkPackages[[#This Row],[Request date serial]]-WEEKDAY(tblWorkPackages[[#This Row],[Request date serial]],3),"yyyy-mm-dd")</f>
        <v>2025-10-13</v>
      </c>
      <c r="P1124" s="51">
        <f>ABS(tblWorkPackages[[#This Row],[Actual labor hours]]-tblWorkPackages[[#This Row],[Estimated labor hours]])</f>
        <v>1.5</v>
      </c>
      <c r="Q1124" s="51">
        <f>IF(tblWorkPackages[[#This Row],[Actual labor hours]]&gt;tblWorkPackages[[#This Row],[Estimated labor hours]],1,0)</f>
        <v>0</v>
      </c>
      <c r="R1124" s="51">
        <f>tblWorkPackages[[#This Row],[Actual labor hours]]-tblWorkPackages[[#This Row],[Estimated labor hours]]</f>
        <v>-1.5</v>
      </c>
      <c r="S1124" s="51" t="str">
        <f>IF(tblWorkPackages[[#This Row],[Request date serial]]&lt;ValidationStart,"Train 2024",IF(tblWorkPackages[[#This Row],[Request date serial]]&lt;HoldoutStart,"Validation H1","Holdout H2"))</f>
        <v>Holdout H2</v>
      </c>
      <c r="T1124" s="51">
        <f>IF(tblWorkPackages[[#This Row],[Time split]]="Train 2024","",tblWorkPackages[[#This Row],[Estimated labor hours]]+VLOOKUP(tblWorkPackages[[#This Row],[Task type]],'Forecast validation'!$A$14:$E$25,IF(tblWorkPackages[[#This Row],[Time split]]="Validation H1",4,5),FALSE()))</f>
        <v>8.32545454545455</v>
      </c>
      <c r="U1124" s="51">
        <f>IF(tblWorkPackages[[#This Row],[Calibrated forecast hours]]="","",ABS(tblWorkPackages[[#This Row],[Actual labor hours]]-tblWorkPackages[[#This Row],[Calibrated forecast hours]]))</f>
        <v>2.32545454545455</v>
      </c>
      <c r="V1124" s="51">
        <f>IF(tblWorkPackages[[#This Row],[Time split]]="Train 2024",tblWorkPackages[[#This Row],[Estimated labor hours]],tblWorkPackages[[#This Row],[Calibrated forecast hours]])</f>
        <v>8.32545454545455</v>
      </c>
      <c r="W1124" s="64">
        <f>DATEVALUE(tblWorkPackages[[#This Row],[Request date]])</f>
        <v>45945.0</v>
      </c>
      <c r="X1124" s="64">
        <f>DATEVALUE(tblWorkPackages[[#This Row],[Due date]])</f>
        <v>45958.0</v>
      </c>
      <c r="Y1124" s="64">
        <f>DATEVALUE(tblWorkPackages[[#This Row],[Completion date]])</f>
        <v>45948.0</v>
      </c>
      <c r="Z1124" s="64">
        <f>_xlfn.MINIFS(tblLaborEntries[Work date serial],tblLaborEntries[Work package ID],tblWorkPackages[[#This Row],[Work package ID]])</f>
        <v>45946.0</v>
      </c>
      <c r="AA1124" s="64">
        <f>_xlfn.MAXIFS(tblLaborEntries[Work date serial],tblLaborEntries[Work package ID],tblWorkPackages[[#This Row],[Work package ID]])</f>
        <v>45946.0</v>
      </c>
      <c r="AB1124" s="65">
        <f>IF(tblWorkPackages[[#This Row],[Completion date serial]]&gt;tblWorkPackages[[#This Row],[Due date serial]],1,0)</f>
        <v>0</v>
      </c>
      <c r="AC1124" s="65">
        <f>MAX(0,tblWorkPackages[[#This Row],[Completion date serial]]-tblWorkPackages[[#This Row],[Due date serial]])</f>
        <v>0</v>
      </c>
      <c r="AD1124" s="65">
        <f>tblWorkPackages[[#This Row],[First labor date]]-tblWorkPackages[[#This Row],[Request date serial]]</f>
        <v>1</v>
      </c>
      <c r="AE1124" s="65">
        <f>tblWorkPackages[[#This Row],[Last labor date]]-tblWorkPackages[[#This Row],[First labor date]]</f>
        <v>0</v>
      </c>
      <c r="AF1124" s="65">
        <f>tblWorkPackages[[#This Row],[Completion date serial]]-tblWorkPackages[[#This Row],[Last labor date]]</f>
        <v>2</v>
      </c>
      <c r="AG1124" s="65">
        <f>tblWorkPackages[[#This Row],[Completion date serial]]-tblWorkPackages[[#This Row],[Request date serial]]</f>
        <v>3</v>
      </c>
      <c r="AH1124" s="65">
        <f>IFERROR(INDEX(tblParts[Delay days],MATCH(tblWorkPackages[[#This Row],[Work package ID]],tblParts[Work package ID],0)),0)</f>
        <v>0</v>
      </c>
      <c r="AI1124" s="51" t="str">
        <f>IFERROR(INDEX(tblDisruptions[Event type],MATCH(tblWorkPackages[[#This Row],[Work package ID]],tblDisruptions[Work package ID],0)),"None")</f>
        <v>None</v>
      </c>
      <c r="AJ1124" s="51" t="str">
        <f>TEXT(tblWorkPackages[[#This Row],[Due date serial]],"yyyy-mm")</f>
        <v>2025-10</v>
      </c>
    </row>
    <row r="1125" spans="1:36" ht="15" x14ac:dyDescent="0.25">
      <c r="A1125" s="53" t="s">
        <v>2030</v>
      </c>
      <c r="B1125" s="53" t="s">
        <v>141</v>
      </c>
      <c r="C1125" s="53" t="s">
        <v>658</v>
      </c>
      <c r="D1125" s="53" t="s">
        <v>177</v>
      </c>
      <c r="E1125" s="53" t="s">
        <v>237</v>
      </c>
      <c r="F1125" s="53" t="s">
        <v>182</v>
      </c>
      <c r="G1125" s="53" t="s">
        <v>138</v>
      </c>
      <c r="H1125" s="53">
        <v>4</v>
      </c>
      <c r="I1125" s="53" t="s">
        <v>130</v>
      </c>
      <c r="J1125" s="53">
        <v>0</v>
      </c>
      <c r="K1125" s="53">
        <v>0</v>
      </c>
      <c r="L1125" s="53">
        <v>9</v>
      </c>
      <c r="M1125" s="53" t="s">
        <v>312</v>
      </c>
      <c r="N1125" s="53">
        <v>8.4</v>
      </c>
      <c r="O1125" s="51" t="str">
        <f>TEXT(tblWorkPackages[[#This Row],[Request date serial]]-WEEKDAY(tblWorkPackages[[#This Row],[Request date serial]],3),"yyyy-mm-dd")</f>
        <v>2025-08-04</v>
      </c>
      <c r="P1125" s="51">
        <f>ABS(tblWorkPackages[[#This Row],[Actual labor hours]]-tblWorkPackages[[#This Row],[Estimated labor hours]])</f>
        <v>0.6</v>
      </c>
      <c r="Q1125" s="51">
        <f>IF(tblWorkPackages[[#This Row],[Actual labor hours]]&gt;tblWorkPackages[[#This Row],[Estimated labor hours]],1,0)</f>
        <v>0</v>
      </c>
      <c r="R1125" s="51">
        <f>tblWorkPackages[[#This Row],[Actual labor hours]]-tblWorkPackages[[#This Row],[Estimated labor hours]]</f>
        <v>-0.6</v>
      </c>
      <c r="S1125" s="51" t="str">
        <f>IF(tblWorkPackages[[#This Row],[Request date serial]]&lt;ValidationStart,"Train 2024",IF(tblWorkPackages[[#This Row],[Request date serial]]&lt;HoldoutStart,"Validation H1","Holdout H2"))</f>
        <v>Holdout H2</v>
      </c>
      <c r="T1125" s="51">
        <f>IF(tblWorkPackages[[#This Row],[Time split]]="Train 2024","",tblWorkPackages[[#This Row],[Estimated labor hours]]+VLOOKUP(tblWorkPackages[[#This Row],[Task type]],'Forecast validation'!$A$14:$E$25,IF(tblWorkPackages[[#This Row],[Time split]]="Validation H1",4,5),FALSE()))</f>
        <v>9.453125</v>
      </c>
      <c r="U1125" s="51">
        <f>IF(tblWorkPackages[[#This Row],[Calibrated forecast hours]]="","",ABS(tblWorkPackages[[#This Row],[Actual labor hours]]-tblWorkPackages[[#This Row],[Calibrated forecast hours]]))</f>
        <v>1.053125</v>
      </c>
      <c r="V1125" s="51">
        <f>IF(tblWorkPackages[[#This Row],[Time split]]="Train 2024",tblWorkPackages[[#This Row],[Estimated labor hours]],tblWorkPackages[[#This Row],[Calibrated forecast hours]])</f>
        <v>9.453125</v>
      </c>
      <c r="W1125" s="64">
        <f>DATEVALUE(tblWorkPackages[[#This Row],[Request date]])</f>
        <v>45873.0</v>
      </c>
      <c r="X1125" s="64">
        <f>DATEVALUE(tblWorkPackages[[#This Row],[Due date]])</f>
        <v>45886.0</v>
      </c>
      <c r="Y1125" s="64">
        <f>DATEVALUE(tblWorkPackages[[#This Row],[Completion date]])</f>
        <v>45887.0</v>
      </c>
      <c r="Z1125" s="64">
        <f>_xlfn.MINIFS(tblLaborEntries[Work date serial],tblLaborEntries[Work package ID],tblWorkPackages[[#This Row],[Work package ID]])</f>
        <v>45884.0</v>
      </c>
      <c r="AA1125" s="64">
        <f>_xlfn.MAXIFS(tblLaborEntries[Work date serial],tblLaborEntries[Work package ID],tblWorkPackages[[#This Row],[Work package ID]])</f>
        <v>45884.0</v>
      </c>
      <c r="AB1125" s="65">
        <f>IF(tblWorkPackages[[#This Row],[Completion date serial]]&gt;tblWorkPackages[[#This Row],[Due date serial]],1,0)</f>
        <v>1</v>
      </c>
      <c r="AC1125" s="65">
        <f>MAX(0,tblWorkPackages[[#This Row],[Completion date serial]]-tblWorkPackages[[#This Row],[Due date serial]])</f>
        <v>1</v>
      </c>
      <c r="AD1125" s="65">
        <f>tblWorkPackages[[#This Row],[First labor date]]-tblWorkPackages[[#This Row],[Request date serial]]</f>
        <v>11</v>
      </c>
      <c r="AE1125" s="65">
        <f>tblWorkPackages[[#This Row],[Last labor date]]-tblWorkPackages[[#This Row],[First labor date]]</f>
        <v>0</v>
      </c>
      <c r="AF1125" s="65">
        <f>tblWorkPackages[[#This Row],[Completion date serial]]-tblWorkPackages[[#This Row],[Last labor date]]</f>
        <v>3</v>
      </c>
      <c r="AG1125" s="65">
        <f>tblWorkPackages[[#This Row],[Completion date serial]]-tblWorkPackages[[#This Row],[Request date serial]]</f>
        <v>14</v>
      </c>
      <c r="AH1125" s="65">
        <f>IFERROR(INDEX(tblParts[Delay days],MATCH(tblWorkPackages[[#This Row],[Work package ID]],tblParts[Work package ID],0)),0)</f>
        <v>0</v>
      </c>
      <c r="AI1125" s="51" t="str">
        <f>IFERROR(INDEX(tblDisruptions[Event type],MATCH(tblWorkPackages[[#This Row],[Work package ID]],tblDisruptions[Work package ID],0)),"None")</f>
        <v>None</v>
      </c>
      <c r="AJ1125" s="51" t="str">
        <f>TEXT(tblWorkPackages[[#This Row],[Due date serial]],"yyyy-mm")</f>
        <v>2025-08</v>
      </c>
    </row>
    <row r="1126" spans="1:36" ht="15" x14ac:dyDescent="0.25">
      <c r="A1126" s="53" t="s">
        <v>2031</v>
      </c>
      <c r="B1126" s="53" t="s">
        <v>168</v>
      </c>
      <c r="C1126" s="53" t="s">
        <v>392</v>
      </c>
      <c r="D1126" s="53" t="s">
        <v>1439</v>
      </c>
      <c r="E1126" s="53" t="s">
        <v>160</v>
      </c>
      <c r="F1126" s="53" t="s">
        <v>128</v>
      </c>
      <c r="G1126" s="53" t="s">
        <v>138</v>
      </c>
      <c r="H1126" s="53">
        <v>2</v>
      </c>
      <c r="I1126" s="53" t="s">
        <v>176</v>
      </c>
      <c r="J1126" s="53">
        <v>0</v>
      </c>
      <c r="K1126" s="53">
        <v>0</v>
      </c>
      <c r="L1126" s="53">
        <v>4.4000000000000004</v>
      </c>
      <c r="M1126" s="53" t="s">
        <v>433</v>
      </c>
      <c r="N1126" s="53">
        <v>5</v>
      </c>
      <c r="O1126" s="51" t="str">
        <f>TEXT(tblWorkPackages[[#This Row],[Request date serial]]-WEEKDAY(tblWorkPackages[[#This Row],[Request date serial]],3),"yyyy-mm-dd")</f>
        <v>2024-08-26</v>
      </c>
      <c r="P1126" s="51">
        <f>ABS(tblWorkPackages[[#This Row],[Actual labor hours]]-tblWorkPackages[[#This Row],[Estimated labor hours]])</f>
        <v>0.6</v>
      </c>
      <c r="Q1126" s="51">
        <f>IF(tblWorkPackages[[#This Row],[Actual labor hours]]&gt;tblWorkPackages[[#This Row],[Estimated labor hours]],1,0)</f>
        <v>1</v>
      </c>
      <c r="R1126" s="51">
        <f>tblWorkPackages[[#This Row],[Actual labor hours]]-tblWorkPackages[[#This Row],[Estimated labor hours]]</f>
        <v>0.6</v>
      </c>
      <c r="S1126" s="51" t="str">
        <f>IF(tblWorkPackages[[#This Row],[Request date serial]]&lt;ValidationStart,"Train 2024",IF(tblWorkPackages[[#This Row],[Request date serial]]&lt;HoldoutStart,"Validation H1","Holdout H2"))</f>
        <v>Train 2024</v>
      </c>
      <c r="T1126" s="51" t="str">
        <f>IF(tblWorkPackages[[#This Row],[Time split]]="Train 2024","",tblWorkPackages[[#This Row],[Estimated labor hours]]+VLOOKUP(tblWorkPackages[[#This Row],[Task type]],'Forecast validation'!$A$14:$E$25,IF(tblWorkPackages[[#This Row],[Time split]]="Validation H1",4,5),FALSE()))</f>
        <v/>
      </c>
      <c r="U1126" s="51" t="str">
        <f>IF(tblWorkPackages[[#This Row],[Calibrated forecast hours]]="","",ABS(tblWorkPackages[[#This Row],[Actual labor hours]]-tblWorkPackages[[#This Row],[Calibrated forecast hours]]))</f>
        <v/>
      </c>
      <c r="V1126" s="51">
        <f>IF(tblWorkPackages[[#This Row],[Time split]]="Train 2024",tblWorkPackages[[#This Row],[Estimated labor hours]],tblWorkPackages[[#This Row],[Calibrated forecast hours]])</f>
        <v>4.4</v>
      </c>
      <c r="W1126" s="64">
        <f>DATEVALUE(tblWorkPackages[[#This Row],[Request date]])</f>
        <v>45534.0</v>
      </c>
      <c r="X1126" s="64">
        <f>DATEVALUE(tblWorkPackages[[#This Row],[Due date]])</f>
        <v>45540.0</v>
      </c>
      <c r="Y1126" s="64">
        <f>DATEVALUE(tblWorkPackages[[#This Row],[Completion date]])</f>
        <v>45539.0</v>
      </c>
      <c r="Z1126" s="64">
        <f>_xlfn.MINIFS(tblLaborEntries[Work date serial],tblLaborEntries[Work package ID],tblWorkPackages[[#This Row],[Work package ID]])</f>
        <v>45537.0</v>
      </c>
      <c r="AA1126" s="64">
        <f>_xlfn.MAXIFS(tblLaborEntries[Work date serial],tblLaborEntries[Work package ID],tblWorkPackages[[#This Row],[Work package ID]])</f>
        <v>45539.0</v>
      </c>
      <c r="AB1126" s="65">
        <f>IF(tblWorkPackages[[#This Row],[Completion date serial]]&gt;tblWorkPackages[[#This Row],[Due date serial]],1,0)</f>
        <v>0</v>
      </c>
      <c r="AC1126" s="65">
        <f>MAX(0,tblWorkPackages[[#This Row],[Completion date serial]]-tblWorkPackages[[#This Row],[Due date serial]])</f>
        <v>0</v>
      </c>
      <c r="AD1126" s="65">
        <f>tblWorkPackages[[#This Row],[First labor date]]-tblWorkPackages[[#This Row],[Request date serial]]</f>
        <v>3</v>
      </c>
      <c r="AE1126" s="65">
        <f>tblWorkPackages[[#This Row],[Last labor date]]-tblWorkPackages[[#This Row],[First labor date]]</f>
        <v>2</v>
      </c>
      <c r="AF1126" s="65">
        <f>tblWorkPackages[[#This Row],[Completion date serial]]-tblWorkPackages[[#This Row],[Last labor date]]</f>
        <v>0</v>
      </c>
      <c r="AG1126" s="65">
        <f>tblWorkPackages[[#This Row],[Completion date serial]]-tblWorkPackages[[#This Row],[Request date serial]]</f>
        <v>5</v>
      </c>
      <c r="AH1126" s="65">
        <f>IFERROR(INDEX(tblParts[Delay days],MATCH(tblWorkPackages[[#This Row],[Work package ID]],tblParts[Work package ID],0)),0)</f>
        <v>0</v>
      </c>
      <c r="AI1126" s="51" t="str">
        <f>IFERROR(INDEX(tblDisruptions[Event type],MATCH(tblWorkPackages[[#This Row],[Work package ID]],tblDisruptions[Work package ID],0)),"None")</f>
        <v>None</v>
      </c>
      <c r="AJ1126" s="51" t="str">
        <f>TEXT(tblWorkPackages[[#This Row],[Due date serial]],"yyyy-mm")</f>
        <v>2024-09</v>
      </c>
    </row>
    <row r="1127" spans="1:36" ht="15" x14ac:dyDescent="0.25">
      <c r="A1127" s="53" t="s">
        <v>2032</v>
      </c>
      <c r="B1127" s="53" t="s">
        <v>124</v>
      </c>
      <c r="C1127" s="53" t="s">
        <v>894</v>
      </c>
      <c r="D1127" s="53" t="s">
        <v>895</v>
      </c>
      <c r="E1127" s="53" t="s">
        <v>153</v>
      </c>
      <c r="F1127" s="53" t="s">
        <v>128</v>
      </c>
      <c r="G1127" s="53" t="s">
        <v>154</v>
      </c>
      <c r="H1127" s="53">
        <v>1</v>
      </c>
      <c r="I1127" s="53" t="s">
        <v>176</v>
      </c>
      <c r="J1127" s="53">
        <v>0</v>
      </c>
      <c r="K1127" s="53">
        <v>0</v>
      </c>
      <c r="L1127" s="53">
        <v>5.7</v>
      </c>
      <c r="M1127" s="53" t="s">
        <v>1730</v>
      </c>
      <c r="N1127" s="53">
        <v>4.9000000000000004</v>
      </c>
      <c r="O1127" s="51" t="str">
        <f>TEXT(tblWorkPackages[[#This Row],[Request date serial]]-WEEKDAY(tblWorkPackages[[#This Row],[Request date serial]],3),"yyyy-mm-dd")</f>
        <v>2024-09-09</v>
      </c>
      <c r="P1127" s="51">
        <f>ABS(tblWorkPackages[[#This Row],[Actual labor hours]]-tblWorkPackages[[#This Row],[Estimated labor hours]])</f>
        <v>0.8</v>
      </c>
      <c r="Q1127" s="51">
        <f>IF(tblWorkPackages[[#This Row],[Actual labor hours]]&gt;tblWorkPackages[[#This Row],[Estimated labor hours]],1,0)</f>
        <v>0</v>
      </c>
      <c r="R1127" s="51">
        <f>tblWorkPackages[[#This Row],[Actual labor hours]]-tblWorkPackages[[#This Row],[Estimated labor hours]]</f>
        <v>-0.8</v>
      </c>
      <c r="S1127" s="51" t="str">
        <f>IF(tblWorkPackages[[#This Row],[Request date serial]]&lt;ValidationStart,"Train 2024",IF(tblWorkPackages[[#This Row],[Request date serial]]&lt;HoldoutStart,"Validation H1","Holdout H2"))</f>
        <v>Train 2024</v>
      </c>
      <c r="T1127" s="51" t="str">
        <f>IF(tblWorkPackages[[#This Row],[Time split]]="Train 2024","",tblWorkPackages[[#This Row],[Estimated labor hours]]+VLOOKUP(tblWorkPackages[[#This Row],[Task type]],'Forecast validation'!$A$14:$E$25,IF(tblWorkPackages[[#This Row],[Time split]]="Validation H1",4,5),FALSE()))</f>
        <v/>
      </c>
      <c r="U1127" s="51" t="str">
        <f>IF(tblWorkPackages[[#This Row],[Calibrated forecast hours]]="","",ABS(tblWorkPackages[[#This Row],[Actual labor hours]]-tblWorkPackages[[#This Row],[Calibrated forecast hours]]))</f>
        <v/>
      </c>
      <c r="V1127" s="51">
        <f>IF(tblWorkPackages[[#This Row],[Time split]]="Train 2024",tblWorkPackages[[#This Row],[Estimated labor hours]],tblWorkPackages[[#This Row],[Calibrated forecast hours]])</f>
        <v>5.7</v>
      </c>
      <c r="W1127" s="64">
        <f>DATEVALUE(tblWorkPackages[[#This Row],[Request date]])</f>
        <v>45547.0</v>
      </c>
      <c r="X1127" s="64">
        <f>DATEVALUE(tblWorkPackages[[#This Row],[Due date]])</f>
        <v>45553.0</v>
      </c>
      <c r="Y1127" s="64">
        <f>DATEVALUE(tblWorkPackages[[#This Row],[Completion date]])</f>
        <v>45579.0</v>
      </c>
      <c r="Z1127" s="64">
        <f>_xlfn.MINIFS(tblLaborEntries[Work date serial],tblLaborEntries[Work package ID],tblWorkPackages[[#This Row],[Work package ID]])</f>
        <v>45577.0</v>
      </c>
      <c r="AA1127" s="64">
        <f>_xlfn.MAXIFS(tblLaborEntries[Work date serial],tblLaborEntries[Work package ID],tblWorkPackages[[#This Row],[Work package ID]])</f>
        <v>45578.0</v>
      </c>
      <c r="AB1127" s="65">
        <f>IF(tblWorkPackages[[#This Row],[Completion date serial]]&gt;tblWorkPackages[[#This Row],[Due date serial]],1,0)</f>
        <v>1</v>
      </c>
      <c r="AC1127" s="65">
        <f>MAX(0,tblWorkPackages[[#This Row],[Completion date serial]]-tblWorkPackages[[#This Row],[Due date serial]])</f>
        <v>26</v>
      </c>
      <c r="AD1127" s="65">
        <f>tblWorkPackages[[#This Row],[First labor date]]-tblWorkPackages[[#This Row],[Request date serial]]</f>
        <v>30</v>
      </c>
      <c r="AE1127" s="65">
        <f>tblWorkPackages[[#This Row],[Last labor date]]-tblWorkPackages[[#This Row],[First labor date]]</f>
        <v>1</v>
      </c>
      <c r="AF1127" s="65">
        <f>tblWorkPackages[[#This Row],[Completion date serial]]-tblWorkPackages[[#This Row],[Last labor date]]</f>
        <v>1</v>
      </c>
      <c r="AG1127" s="65">
        <f>tblWorkPackages[[#This Row],[Completion date serial]]-tblWorkPackages[[#This Row],[Request date serial]]</f>
        <v>32</v>
      </c>
      <c r="AH1127" s="65">
        <f>IFERROR(INDEX(tblParts[Delay days],MATCH(tblWorkPackages[[#This Row],[Work package ID]],tblParts[Work package ID],0)),0)</f>
        <v>0</v>
      </c>
      <c r="AI1127" s="51" t="str">
        <f>IFERROR(INDEX(tblDisruptions[Event type],MATCH(tblWorkPackages[[#This Row],[Work package ID]],tblDisruptions[Work package ID],0)),"None")</f>
        <v>None</v>
      </c>
      <c r="AJ1127" s="51" t="str">
        <f>TEXT(tblWorkPackages[[#This Row],[Due date serial]],"yyyy-mm")</f>
        <v>2024-09</v>
      </c>
    </row>
    <row r="1128" spans="1:36" ht="15" x14ac:dyDescent="0.25">
      <c r="A1128" s="53" t="s">
        <v>2033</v>
      </c>
      <c r="B1128" s="53" t="s">
        <v>185</v>
      </c>
      <c r="C1128" s="53" t="s">
        <v>924</v>
      </c>
      <c r="D1128" s="53" t="s">
        <v>1184</v>
      </c>
      <c r="E1128" s="53" t="s">
        <v>223</v>
      </c>
      <c r="F1128" s="53" t="s">
        <v>182</v>
      </c>
      <c r="G1128" s="53" t="s">
        <v>154</v>
      </c>
      <c r="H1128" s="53">
        <v>2</v>
      </c>
      <c r="I1128" s="53" t="s">
        <v>130</v>
      </c>
      <c r="J1128" s="53">
        <v>0</v>
      </c>
      <c r="K1128" s="53">
        <v>0</v>
      </c>
      <c r="L1128" s="53">
        <v>14.4</v>
      </c>
      <c r="M1128" s="53" t="s">
        <v>365</v>
      </c>
      <c r="N1128" s="53">
        <v>18.2</v>
      </c>
      <c r="O1128" s="51" t="str">
        <f>TEXT(tblWorkPackages[[#This Row],[Request date serial]]-WEEKDAY(tblWorkPackages[[#This Row],[Request date serial]],3),"yyyy-mm-dd")</f>
        <v>2025-05-12</v>
      </c>
      <c r="P1128" s="51">
        <f>ABS(tblWorkPackages[[#This Row],[Actual labor hours]]-tblWorkPackages[[#This Row],[Estimated labor hours]])</f>
        <v>3.8</v>
      </c>
      <c r="Q1128" s="51">
        <f>IF(tblWorkPackages[[#This Row],[Actual labor hours]]&gt;tblWorkPackages[[#This Row],[Estimated labor hours]],1,0)</f>
        <v>1</v>
      </c>
      <c r="R1128" s="51">
        <f>tblWorkPackages[[#This Row],[Actual labor hours]]-tblWorkPackages[[#This Row],[Estimated labor hours]]</f>
        <v>3.8</v>
      </c>
      <c r="S1128" s="51" t="str">
        <f>IF(tblWorkPackages[[#This Row],[Request date serial]]&lt;ValidationStart,"Train 2024",IF(tblWorkPackages[[#This Row],[Request date serial]]&lt;HoldoutStart,"Validation H1","Holdout H2"))</f>
        <v>Validation H1</v>
      </c>
      <c r="T1128" s="51">
        <f>IF(tblWorkPackages[[#This Row],[Time split]]="Train 2024","",tblWorkPackages[[#This Row],[Estimated labor hours]]+VLOOKUP(tblWorkPackages[[#This Row],[Task type]],'Forecast validation'!$A$14:$E$25,IF(tblWorkPackages[[#This Row],[Time split]]="Validation H1",4,5),FALSE()))</f>
        <v>15.2824175824176</v>
      </c>
      <c r="U1128" s="51">
        <f>IF(tblWorkPackages[[#This Row],[Calibrated forecast hours]]="","",ABS(tblWorkPackages[[#This Row],[Actual labor hours]]-tblWorkPackages[[#This Row],[Calibrated forecast hours]]))</f>
        <v>2.91758241758242</v>
      </c>
      <c r="V1128" s="51">
        <f>IF(tblWorkPackages[[#This Row],[Time split]]="Train 2024",tblWorkPackages[[#This Row],[Estimated labor hours]],tblWorkPackages[[#This Row],[Calibrated forecast hours]])</f>
        <v>15.2824175824176</v>
      </c>
      <c r="W1128" s="64">
        <f>DATEVALUE(tblWorkPackages[[#This Row],[Request date]])</f>
        <v>45789.0</v>
      </c>
      <c r="X1128" s="64">
        <f>DATEVALUE(tblWorkPackages[[#This Row],[Due date]])</f>
        <v>45802.0</v>
      </c>
      <c r="Y1128" s="64">
        <f>DATEVALUE(tblWorkPackages[[#This Row],[Completion date]])</f>
        <v>45796.0</v>
      </c>
      <c r="Z1128" s="64">
        <f>_xlfn.MINIFS(tblLaborEntries[Work date serial],tblLaborEntries[Work package ID],tblWorkPackages[[#This Row],[Work package ID]])</f>
        <v>45794.0</v>
      </c>
      <c r="AA1128" s="64">
        <f>_xlfn.MAXIFS(tblLaborEntries[Work date serial],tblLaborEntries[Work package ID],tblWorkPackages[[#This Row],[Work package ID]])</f>
        <v>45794.0</v>
      </c>
      <c r="AB1128" s="65">
        <f>IF(tblWorkPackages[[#This Row],[Completion date serial]]&gt;tblWorkPackages[[#This Row],[Due date serial]],1,0)</f>
        <v>0</v>
      </c>
      <c r="AC1128" s="65">
        <f>MAX(0,tblWorkPackages[[#This Row],[Completion date serial]]-tblWorkPackages[[#This Row],[Due date serial]])</f>
        <v>0</v>
      </c>
      <c r="AD1128" s="65">
        <f>tblWorkPackages[[#This Row],[First labor date]]-tblWorkPackages[[#This Row],[Request date serial]]</f>
        <v>5</v>
      </c>
      <c r="AE1128" s="65">
        <f>tblWorkPackages[[#This Row],[Last labor date]]-tblWorkPackages[[#This Row],[First labor date]]</f>
        <v>0</v>
      </c>
      <c r="AF1128" s="65">
        <f>tblWorkPackages[[#This Row],[Completion date serial]]-tblWorkPackages[[#This Row],[Last labor date]]</f>
        <v>2</v>
      </c>
      <c r="AG1128" s="65">
        <f>tblWorkPackages[[#This Row],[Completion date serial]]-tblWorkPackages[[#This Row],[Request date serial]]</f>
        <v>7</v>
      </c>
      <c r="AH1128" s="65">
        <f>IFERROR(INDEX(tblParts[Delay days],MATCH(tblWorkPackages[[#This Row],[Work package ID]],tblParts[Work package ID],0)),0)</f>
        <v>0</v>
      </c>
      <c r="AI1128" s="51" t="str">
        <f>IFERROR(INDEX(tblDisruptions[Event type],MATCH(tblWorkPackages[[#This Row],[Work package ID]],tblDisruptions[Work package ID],0)),"None")</f>
        <v>None</v>
      </c>
      <c r="AJ1128" s="51" t="str">
        <f>TEXT(tblWorkPackages[[#This Row],[Due date serial]],"yyyy-mm")</f>
        <v>2025-05</v>
      </c>
    </row>
    <row r="1129" spans="1:36" ht="15" x14ac:dyDescent="0.25">
      <c r="A1129" s="53" t="s">
        <v>2034</v>
      </c>
      <c r="B1129" s="53" t="s">
        <v>141</v>
      </c>
      <c r="C1129" s="53" t="s">
        <v>673</v>
      </c>
      <c r="D1129" s="53" t="s">
        <v>198</v>
      </c>
      <c r="E1129" s="53" t="s">
        <v>242</v>
      </c>
      <c r="F1129" s="53" t="s">
        <v>243</v>
      </c>
      <c r="G1129" s="53" t="s">
        <v>129</v>
      </c>
      <c r="H1129" s="53">
        <v>2</v>
      </c>
      <c r="I1129" s="53" t="s">
        <v>147</v>
      </c>
      <c r="J1129" s="53">
        <v>0</v>
      </c>
      <c r="K1129" s="53">
        <v>0</v>
      </c>
      <c r="L1129" s="53">
        <v>9</v>
      </c>
      <c r="M1129" s="53" t="s">
        <v>174</v>
      </c>
      <c r="N1129" s="53">
        <v>7.4</v>
      </c>
      <c r="O1129" s="51" t="str">
        <f>TEXT(tblWorkPackages[[#This Row],[Request date serial]]-WEEKDAY(tblWorkPackages[[#This Row],[Request date serial]],3),"yyyy-mm-dd")</f>
        <v>2025-06-16</v>
      </c>
      <c r="P1129" s="51">
        <f>ABS(tblWorkPackages[[#This Row],[Actual labor hours]]-tblWorkPackages[[#This Row],[Estimated labor hours]])</f>
        <v>1.6</v>
      </c>
      <c r="Q1129" s="51">
        <f>IF(tblWorkPackages[[#This Row],[Actual labor hours]]&gt;tblWorkPackages[[#This Row],[Estimated labor hours]],1,0)</f>
        <v>0</v>
      </c>
      <c r="R1129" s="51">
        <f>tblWorkPackages[[#This Row],[Actual labor hours]]-tblWorkPackages[[#This Row],[Estimated labor hours]]</f>
        <v>-1.6</v>
      </c>
      <c r="S1129" s="51" t="str">
        <f>IF(tblWorkPackages[[#This Row],[Request date serial]]&lt;ValidationStart,"Train 2024",IF(tblWorkPackages[[#This Row],[Request date serial]]&lt;HoldoutStart,"Validation H1","Holdout H2"))</f>
        <v>Validation H1</v>
      </c>
      <c r="T1129" s="51">
        <f>IF(tblWorkPackages[[#This Row],[Time split]]="Train 2024","",tblWorkPackages[[#This Row],[Estimated labor hours]]+VLOOKUP(tblWorkPackages[[#This Row],[Task type]],'Forecast validation'!$A$14:$E$25,IF(tblWorkPackages[[#This Row],[Time split]]="Validation H1",4,5),FALSE()))</f>
        <v>9.55612244897959</v>
      </c>
      <c r="U1129" s="51">
        <f>IF(tblWorkPackages[[#This Row],[Calibrated forecast hours]]="","",ABS(tblWorkPackages[[#This Row],[Actual labor hours]]-tblWorkPackages[[#This Row],[Calibrated forecast hours]]))</f>
        <v>2.15612244897959</v>
      </c>
      <c r="V1129" s="51">
        <f>IF(tblWorkPackages[[#This Row],[Time split]]="Train 2024",tblWorkPackages[[#This Row],[Estimated labor hours]],tblWorkPackages[[#This Row],[Calibrated forecast hours]])</f>
        <v>9.55612244897959</v>
      </c>
      <c r="W1129" s="64">
        <f>DATEVALUE(tblWorkPackages[[#This Row],[Request date]])</f>
        <v>45830.0</v>
      </c>
      <c r="X1129" s="64">
        <f>DATEVALUE(tblWorkPackages[[#This Row],[Due date]])</f>
        <v>45832.0</v>
      </c>
      <c r="Y1129" s="64">
        <f>DATEVALUE(tblWorkPackages[[#This Row],[Completion date]])</f>
        <v>45836.0</v>
      </c>
      <c r="Z1129" s="64">
        <f>_xlfn.MINIFS(tblLaborEntries[Work date serial],tblLaborEntries[Work package ID],tblWorkPackages[[#This Row],[Work package ID]])</f>
        <v>45832.0</v>
      </c>
      <c r="AA1129" s="64">
        <f>_xlfn.MAXIFS(tblLaborEntries[Work date serial],tblLaborEntries[Work package ID],tblWorkPackages[[#This Row],[Work package ID]])</f>
        <v>45833.0</v>
      </c>
      <c r="AB1129" s="65">
        <f>IF(tblWorkPackages[[#This Row],[Completion date serial]]&gt;tblWorkPackages[[#This Row],[Due date serial]],1,0)</f>
        <v>1</v>
      </c>
      <c r="AC1129" s="65">
        <f>MAX(0,tblWorkPackages[[#This Row],[Completion date serial]]-tblWorkPackages[[#This Row],[Due date serial]])</f>
        <v>4</v>
      </c>
      <c r="AD1129" s="65">
        <f>tblWorkPackages[[#This Row],[First labor date]]-tblWorkPackages[[#This Row],[Request date serial]]</f>
        <v>2</v>
      </c>
      <c r="AE1129" s="65">
        <f>tblWorkPackages[[#This Row],[Last labor date]]-tblWorkPackages[[#This Row],[First labor date]]</f>
        <v>1</v>
      </c>
      <c r="AF1129" s="65">
        <f>tblWorkPackages[[#This Row],[Completion date serial]]-tblWorkPackages[[#This Row],[Last labor date]]</f>
        <v>3</v>
      </c>
      <c r="AG1129" s="65">
        <f>tblWorkPackages[[#This Row],[Completion date serial]]-tblWorkPackages[[#This Row],[Request date serial]]</f>
        <v>6</v>
      </c>
      <c r="AH1129" s="65">
        <f>IFERROR(INDEX(tblParts[Delay days],MATCH(tblWorkPackages[[#This Row],[Work package ID]],tblParts[Work package ID],0)),0)</f>
        <v>0</v>
      </c>
      <c r="AI1129" s="51" t="str">
        <f>IFERROR(INDEX(tblDisruptions[Event type],MATCH(tblWorkPackages[[#This Row],[Work package ID]],tblDisruptions[Work package ID],0)),"None")</f>
        <v>None</v>
      </c>
      <c r="AJ1129" s="51" t="str">
        <f>TEXT(tblWorkPackages[[#This Row],[Due date serial]],"yyyy-mm")</f>
        <v>2025-06</v>
      </c>
    </row>
    <row r="1130" spans="1:36" ht="15" x14ac:dyDescent="0.25">
      <c r="A1130" s="53" t="s">
        <v>2035</v>
      </c>
      <c r="B1130" s="53" t="s">
        <v>173</v>
      </c>
      <c r="C1130" s="53" t="s">
        <v>484</v>
      </c>
      <c r="D1130" s="53" t="s">
        <v>485</v>
      </c>
      <c r="E1130" s="53" t="s">
        <v>153</v>
      </c>
      <c r="F1130" s="53" t="s">
        <v>128</v>
      </c>
      <c r="G1130" s="53" t="s">
        <v>154</v>
      </c>
      <c r="H1130" s="53">
        <v>1</v>
      </c>
      <c r="I1130" s="53" t="s">
        <v>130</v>
      </c>
      <c r="J1130" s="53">
        <v>0</v>
      </c>
      <c r="K1130" s="53">
        <v>1</v>
      </c>
      <c r="L1130" s="53">
        <v>6</v>
      </c>
      <c r="M1130" s="53" t="s">
        <v>261</v>
      </c>
      <c r="N1130" s="53">
        <v>7.5</v>
      </c>
      <c r="O1130" s="51" t="str">
        <f>TEXT(tblWorkPackages[[#This Row],[Request date serial]]-WEEKDAY(tblWorkPackages[[#This Row],[Request date serial]],3),"yyyy-mm-dd")</f>
        <v>2024-12-30</v>
      </c>
      <c r="P1130" s="51">
        <f>ABS(tblWorkPackages[[#This Row],[Actual labor hours]]-tblWorkPackages[[#This Row],[Estimated labor hours]])</f>
        <v>1.5</v>
      </c>
      <c r="Q1130" s="51">
        <f>IF(tblWorkPackages[[#This Row],[Actual labor hours]]&gt;tblWorkPackages[[#This Row],[Estimated labor hours]],1,0)</f>
        <v>1</v>
      </c>
      <c r="R1130" s="51">
        <f>tblWorkPackages[[#This Row],[Actual labor hours]]-tblWorkPackages[[#This Row],[Estimated labor hours]]</f>
        <v>1.5</v>
      </c>
      <c r="S1130" s="51" t="str">
        <f>IF(tblWorkPackages[[#This Row],[Request date serial]]&lt;ValidationStart,"Train 2024",IF(tblWorkPackages[[#This Row],[Request date serial]]&lt;HoldoutStart,"Validation H1","Holdout H2"))</f>
        <v>Validation H1</v>
      </c>
      <c r="T1130" s="51">
        <f>IF(tblWorkPackages[[#This Row],[Time split]]="Train 2024","",tblWorkPackages[[#This Row],[Estimated labor hours]]+VLOOKUP(tblWorkPackages[[#This Row],[Task type]],'Forecast validation'!$A$14:$E$25,IF(tblWorkPackages[[#This Row],[Time split]]="Validation H1",4,5),FALSE()))</f>
        <v>6.54622641509434</v>
      </c>
      <c r="U1130" s="51">
        <f>IF(tblWorkPackages[[#This Row],[Calibrated forecast hours]]="","",ABS(tblWorkPackages[[#This Row],[Actual labor hours]]-tblWorkPackages[[#This Row],[Calibrated forecast hours]]))</f>
        <v>0.953773584905661</v>
      </c>
      <c r="V1130" s="51">
        <f>IF(tblWorkPackages[[#This Row],[Time split]]="Train 2024",tblWorkPackages[[#This Row],[Estimated labor hours]],tblWorkPackages[[#This Row],[Calibrated forecast hours]])</f>
        <v>6.54622641509434</v>
      </c>
      <c r="W1130" s="64">
        <f>DATEVALUE(tblWorkPackages[[#This Row],[Request date]])</f>
        <v>45662.0</v>
      </c>
      <c r="X1130" s="64">
        <f>DATEVALUE(tblWorkPackages[[#This Row],[Due date]])</f>
        <v>45675.0</v>
      </c>
      <c r="Y1130" s="64">
        <f>DATEVALUE(tblWorkPackages[[#This Row],[Completion date]])</f>
        <v>45676.0</v>
      </c>
      <c r="Z1130" s="64">
        <f>_xlfn.MINIFS(tblLaborEntries[Work date serial],tblLaborEntries[Work package ID],tblWorkPackages[[#This Row],[Work package ID]])</f>
        <v>45676.0</v>
      </c>
      <c r="AA1130" s="64">
        <f>_xlfn.MAXIFS(tblLaborEntries[Work date serial],tblLaborEntries[Work package ID],tblWorkPackages[[#This Row],[Work package ID]])</f>
        <v>45676.0</v>
      </c>
      <c r="AB1130" s="65">
        <f>IF(tblWorkPackages[[#This Row],[Completion date serial]]&gt;tblWorkPackages[[#This Row],[Due date serial]],1,0)</f>
        <v>1</v>
      </c>
      <c r="AC1130" s="65">
        <f>MAX(0,tblWorkPackages[[#This Row],[Completion date serial]]-tblWorkPackages[[#This Row],[Due date serial]])</f>
        <v>1</v>
      </c>
      <c r="AD1130" s="65">
        <f>tblWorkPackages[[#This Row],[First labor date]]-tblWorkPackages[[#This Row],[Request date serial]]</f>
        <v>14</v>
      </c>
      <c r="AE1130" s="65">
        <f>tblWorkPackages[[#This Row],[Last labor date]]-tblWorkPackages[[#This Row],[First labor date]]</f>
        <v>0</v>
      </c>
      <c r="AF1130" s="65">
        <f>tblWorkPackages[[#This Row],[Completion date serial]]-tblWorkPackages[[#This Row],[Last labor date]]</f>
        <v>0</v>
      </c>
      <c r="AG1130" s="65">
        <f>tblWorkPackages[[#This Row],[Completion date serial]]-tblWorkPackages[[#This Row],[Request date serial]]</f>
        <v>14</v>
      </c>
      <c r="AH1130" s="65">
        <f>IFERROR(INDEX(tblParts[Delay days],MATCH(tblWorkPackages[[#This Row],[Work package ID]],tblParts[Work package ID],0)),0)</f>
        <v>0</v>
      </c>
      <c r="AI1130" s="51" t="str">
        <f>IFERROR(INDEX(tblDisruptions[Event type],MATCH(tblWorkPackages[[#This Row],[Work package ID]],tblDisruptions[Work package ID],0)),"None")</f>
        <v>None</v>
      </c>
      <c r="AJ1130" s="51" t="str">
        <f>TEXT(tblWorkPackages[[#This Row],[Due date serial]],"yyyy-mm")</f>
        <v>2025-01</v>
      </c>
    </row>
    <row r="1131" spans="1:36" ht="15" x14ac:dyDescent="0.25">
      <c r="A1131" s="53" t="s">
        <v>2036</v>
      </c>
      <c r="B1131" s="53" t="s">
        <v>168</v>
      </c>
      <c r="C1131" s="53" t="s">
        <v>1283</v>
      </c>
      <c r="D1131" s="53" t="s">
        <v>906</v>
      </c>
      <c r="E1131" s="53" t="s">
        <v>223</v>
      </c>
      <c r="F1131" s="53" t="s">
        <v>182</v>
      </c>
      <c r="G1131" s="53" t="s">
        <v>154</v>
      </c>
      <c r="H1131" s="53">
        <v>2</v>
      </c>
      <c r="I1131" s="53" t="s">
        <v>130</v>
      </c>
      <c r="J1131" s="53">
        <v>0</v>
      </c>
      <c r="K1131" s="53">
        <v>1</v>
      </c>
      <c r="L1131" s="53">
        <v>14.2</v>
      </c>
      <c r="M1131" s="53" t="s">
        <v>1221</v>
      </c>
      <c r="N1131" s="53">
        <v>10.9</v>
      </c>
      <c r="O1131" s="51" t="str">
        <f>TEXT(tblWorkPackages[[#This Row],[Request date serial]]-WEEKDAY(tblWorkPackages[[#This Row],[Request date serial]],3),"yyyy-mm-dd")</f>
        <v>2025-04-21</v>
      </c>
      <c r="P1131" s="51">
        <f>ABS(tblWorkPackages[[#This Row],[Actual labor hours]]-tblWorkPackages[[#This Row],[Estimated labor hours]])</f>
        <v>3.3</v>
      </c>
      <c r="Q1131" s="51">
        <f>IF(tblWorkPackages[[#This Row],[Actual labor hours]]&gt;tblWorkPackages[[#This Row],[Estimated labor hours]],1,0)</f>
        <v>0</v>
      </c>
      <c r="R1131" s="51">
        <f>tblWorkPackages[[#This Row],[Actual labor hours]]-tblWorkPackages[[#This Row],[Estimated labor hours]]</f>
        <v>-3.3</v>
      </c>
      <c r="S1131" s="51" t="str">
        <f>IF(tblWorkPackages[[#This Row],[Request date serial]]&lt;ValidationStart,"Train 2024",IF(tblWorkPackages[[#This Row],[Request date serial]]&lt;HoldoutStart,"Validation H1","Holdout H2"))</f>
        <v>Validation H1</v>
      </c>
      <c r="T1131" s="51">
        <f>IF(tblWorkPackages[[#This Row],[Time split]]="Train 2024","",tblWorkPackages[[#This Row],[Estimated labor hours]]+VLOOKUP(tblWorkPackages[[#This Row],[Task type]],'Forecast validation'!$A$14:$E$25,IF(tblWorkPackages[[#This Row],[Time split]]="Validation H1",4,5),FALSE()))</f>
        <v>15.0824175824176</v>
      </c>
      <c r="U1131" s="51">
        <f>IF(tblWorkPackages[[#This Row],[Calibrated forecast hours]]="","",ABS(tblWorkPackages[[#This Row],[Actual labor hours]]-tblWorkPackages[[#This Row],[Calibrated forecast hours]]))</f>
        <v>4.18241758241758</v>
      </c>
      <c r="V1131" s="51">
        <f>IF(tblWorkPackages[[#This Row],[Time split]]="Train 2024",tblWorkPackages[[#This Row],[Estimated labor hours]],tblWorkPackages[[#This Row],[Calibrated forecast hours]])</f>
        <v>15.0824175824176</v>
      </c>
      <c r="W1131" s="64">
        <f>DATEVALUE(tblWorkPackages[[#This Row],[Request date]])</f>
        <v>45768.0</v>
      </c>
      <c r="X1131" s="64">
        <f>DATEVALUE(tblWorkPackages[[#This Row],[Due date]])</f>
        <v>45781.0</v>
      </c>
      <c r="Y1131" s="64">
        <f>DATEVALUE(tblWorkPackages[[#This Row],[Completion date]])</f>
        <v>45774.0</v>
      </c>
      <c r="Z1131" s="64">
        <f>_xlfn.MINIFS(tblLaborEntries[Work date serial],tblLaborEntries[Work package ID],tblWorkPackages[[#This Row],[Work package ID]])</f>
        <v>45772.0</v>
      </c>
      <c r="AA1131" s="64">
        <f>_xlfn.MAXIFS(tblLaborEntries[Work date serial],tblLaborEntries[Work package ID],tblWorkPackages[[#This Row],[Work package ID]])</f>
        <v>45773.0</v>
      </c>
      <c r="AB1131" s="65">
        <f>IF(tblWorkPackages[[#This Row],[Completion date serial]]&gt;tblWorkPackages[[#This Row],[Due date serial]],1,0)</f>
        <v>0</v>
      </c>
      <c r="AC1131" s="65">
        <f>MAX(0,tblWorkPackages[[#This Row],[Completion date serial]]-tblWorkPackages[[#This Row],[Due date serial]])</f>
        <v>0</v>
      </c>
      <c r="AD1131" s="65">
        <f>tblWorkPackages[[#This Row],[First labor date]]-tblWorkPackages[[#This Row],[Request date serial]]</f>
        <v>4</v>
      </c>
      <c r="AE1131" s="65">
        <f>tblWorkPackages[[#This Row],[Last labor date]]-tblWorkPackages[[#This Row],[First labor date]]</f>
        <v>1</v>
      </c>
      <c r="AF1131" s="65">
        <f>tblWorkPackages[[#This Row],[Completion date serial]]-tblWorkPackages[[#This Row],[Last labor date]]</f>
        <v>1</v>
      </c>
      <c r="AG1131" s="65">
        <f>tblWorkPackages[[#This Row],[Completion date serial]]-tblWorkPackages[[#This Row],[Request date serial]]</f>
        <v>6</v>
      </c>
      <c r="AH1131" s="65">
        <f>IFERROR(INDEX(tblParts[Delay days],MATCH(tblWorkPackages[[#This Row],[Work package ID]],tblParts[Work package ID],0)),0)</f>
        <v>0</v>
      </c>
      <c r="AI1131" s="51" t="str">
        <f>IFERROR(INDEX(tblDisruptions[Event type],MATCH(tblWorkPackages[[#This Row],[Work package ID]],tblDisruptions[Work package ID],0)),"None")</f>
        <v>None</v>
      </c>
      <c r="AJ1131" s="51" t="str">
        <f>TEXT(tblWorkPackages[[#This Row],[Due date serial]],"yyyy-mm")</f>
        <v>2025-05</v>
      </c>
    </row>
    <row r="1132" spans="1:36" ht="15" x14ac:dyDescent="0.25">
      <c r="A1132" s="53" t="s">
        <v>2037</v>
      </c>
      <c r="B1132" s="53" t="s">
        <v>133</v>
      </c>
      <c r="C1132" s="53" t="s">
        <v>365</v>
      </c>
      <c r="D1132" s="53" t="s">
        <v>1802</v>
      </c>
      <c r="E1132" s="53" t="s">
        <v>160</v>
      </c>
      <c r="F1132" s="53" t="s">
        <v>128</v>
      </c>
      <c r="G1132" s="53" t="s">
        <v>138</v>
      </c>
      <c r="H1132" s="53">
        <v>4</v>
      </c>
      <c r="I1132" s="53" t="s">
        <v>130</v>
      </c>
      <c r="J1132" s="53">
        <v>0</v>
      </c>
      <c r="K1132" s="53">
        <v>0</v>
      </c>
      <c r="L1132" s="53">
        <v>8.9</v>
      </c>
      <c r="M1132" s="53" t="s">
        <v>1234</v>
      </c>
      <c r="N1132" s="53">
        <v>8</v>
      </c>
      <c r="O1132" s="51" t="str">
        <f>TEXT(tblWorkPackages[[#This Row],[Request date serial]]-WEEKDAY(tblWorkPackages[[#This Row],[Request date serial]],3),"yyyy-mm-dd")</f>
        <v>2025-05-19</v>
      </c>
      <c r="P1132" s="51">
        <f>ABS(tblWorkPackages[[#This Row],[Actual labor hours]]-tblWorkPackages[[#This Row],[Estimated labor hours]])</f>
        <v>0.9</v>
      </c>
      <c r="Q1132" s="51">
        <f>IF(tblWorkPackages[[#This Row],[Actual labor hours]]&gt;tblWorkPackages[[#This Row],[Estimated labor hours]],1,0)</f>
        <v>0</v>
      </c>
      <c r="R1132" s="51">
        <f>tblWorkPackages[[#This Row],[Actual labor hours]]-tblWorkPackages[[#This Row],[Estimated labor hours]]</f>
        <v>-0.9</v>
      </c>
      <c r="S1132" s="51" t="str">
        <f>IF(tblWorkPackages[[#This Row],[Request date serial]]&lt;ValidationStart,"Train 2024",IF(tblWorkPackages[[#This Row],[Request date serial]]&lt;HoldoutStart,"Validation H1","Holdout H2"))</f>
        <v>Validation H1</v>
      </c>
      <c r="T1132" s="51">
        <f>IF(tblWorkPackages[[#This Row],[Time split]]="Train 2024","",tblWorkPackages[[#This Row],[Estimated labor hours]]+VLOOKUP(tblWorkPackages[[#This Row],[Task type]],'Forecast validation'!$A$14:$E$25,IF(tblWorkPackages[[#This Row],[Time split]]="Validation H1",4,5),FALSE()))</f>
        <v>9.34146341463415</v>
      </c>
      <c r="U1132" s="51">
        <f>IF(tblWorkPackages[[#This Row],[Calibrated forecast hours]]="","",ABS(tblWorkPackages[[#This Row],[Actual labor hours]]-tblWorkPackages[[#This Row],[Calibrated forecast hours]]))</f>
        <v>1.34146341463415</v>
      </c>
      <c r="V1132" s="51">
        <f>IF(tblWorkPackages[[#This Row],[Time split]]="Train 2024",tblWorkPackages[[#This Row],[Estimated labor hours]],tblWorkPackages[[#This Row],[Calibrated forecast hours]])</f>
        <v>9.34146341463415</v>
      </c>
      <c r="W1132" s="64">
        <f>DATEVALUE(tblWorkPackages[[#This Row],[Request date]])</f>
        <v>45796.0</v>
      </c>
      <c r="X1132" s="64">
        <f>DATEVALUE(tblWorkPackages[[#This Row],[Due date]])</f>
        <v>45809.0</v>
      </c>
      <c r="Y1132" s="64">
        <f>DATEVALUE(tblWorkPackages[[#This Row],[Completion date]])</f>
        <v>45859.0</v>
      </c>
      <c r="Z1132" s="64">
        <f>_xlfn.MINIFS(tblLaborEntries[Work date serial],tblLaborEntries[Work package ID],tblWorkPackages[[#This Row],[Work package ID]])</f>
        <v>45856.0</v>
      </c>
      <c r="AA1132" s="64">
        <f>_xlfn.MAXIFS(tblLaborEntries[Work date serial],tblLaborEntries[Work package ID],tblWorkPackages[[#This Row],[Work package ID]])</f>
        <v>45857.0</v>
      </c>
      <c r="AB1132" s="65">
        <f>IF(tblWorkPackages[[#This Row],[Completion date serial]]&gt;tblWorkPackages[[#This Row],[Due date serial]],1,0)</f>
        <v>1</v>
      </c>
      <c r="AC1132" s="65">
        <f>MAX(0,tblWorkPackages[[#This Row],[Completion date serial]]-tblWorkPackages[[#This Row],[Due date serial]])</f>
        <v>50</v>
      </c>
      <c r="AD1132" s="65">
        <f>tblWorkPackages[[#This Row],[First labor date]]-tblWorkPackages[[#This Row],[Request date serial]]</f>
        <v>60</v>
      </c>
      <c r="AE1132" s="65">
        <f>tblWorkPackages[[#This Row],[Last labor date]]-tblWorkPackages[[#This Row],[First labor date]]</f>
        <v>1</v>
      </c>
      <c r="AF1132" s="65">
        <f>tblWorkPackages[[#This Row],[Completion date serial]]-tblWorkPackages[[#This Row],[Last labor date]]</f>
        <v>2</v>
      </c>
      <c r="AG1132" s="65">
        <f>tblWorkPackages[[#This Row],[Completion date serial]]-tblWorkPackages[[#This Row],[Request date serial]]</f>
        <v>63</v>
      </c>
      <c r="AH1132" s="65">
        <f>IFERROR(INDEX(tblParts[Delay days],MATCH(tblWorkPackages[[#This Row],[Work package ID]],tblParts[Work package ID],0)),0)</f>
        <v>0</v>
      </c>
      <c r="AI1132" s="51" t="str">
        <f>IFERROR(INDEX(tblDisruptions[Event type],MATCH(tblWorkPackages[[#This Row],[Work package ID]],tblDisruptions[Work package ID],0)),"None")</f>
        <v>None</v>
      </c>
      <c r="AJ1132" s="51" t="str">
        <f>TEXT(tblWorkPackages[[#This Row],[Due date serial]],"yyyy-mm")</f>
        <v>2025-06</v>
      </c>
    </row>
    <row r="1133" spans="1:36" ht="15" x14ac:dyDescent="0.25">
      <c r="A1133" s="53" t="s">
        <v>2038</v>
      </c>
      <c r="B1133" s="53" t="s">
        <v>133</v>
      </c>
      <c r="C1133" s="53" t="s">
        <v>375</v>
      </c>
      <c r="D1133" s="53" t="s">
        <v>274</v>
      </c>
      <c r="E1133" s="53" t="s">
        <v>153</v>
      </c>
      <c r="F1133" s="53" t="s">
        <v>128</v>
      </c>
      <c r="G1133" s="53" t="s">
        <v>154</v>
      </c>
      <c r="H1133" s="53">
        <v>4</v>
      </c>
      <c r="I1133" s="53" t="s">
        <v>130</v>
      </c>
      <c r="J1133" s="53">
        <v>0</v>
      </c>
      <c r="K1133" s="53">
        <v>1</v>
      </c>
      <c r="L1133" s="53">
        <v>18.8</v>
      </c>
      <c r="M1133" s="53" t="s">
        <v>274</v>
      </c>
      <c r="N1133" s="53">
        <v>16.8</v>
      </c>
      <c r="O1133" s="51" t="str">
        <f>TEXT(tblWorkPackages[[#This Row],[Request date serial]]-WEEKDAY(tblWorkPackages[[#This Row],[Request date serial]],3),"yyyy-mm-dd")</f>
        <v>2025-04-21</v>
      </c>
      <c r="P1133" s="51">
        <f>ABS(tblWorkPackages[[#This Row],[Actual labor hours]]-tblWorkPackages[[#This Row],[Estimated labor hours]])</f>
        <v>2</v>
      </c>
      <c r="Q1133" s="51">
        <f>IF(tblWorkPackages[[#This Row],[Actual labor hours]]&gt;tblWorkPackages[[#This Row],[Estimated labor hours]],1,0)</f>
        <v>0</v>
      </c>
      <c r="R1133" s="51">
        <f>tblWorkPackages[[#This Row],[Actual labor hours]]-tblWorkPackages[[#This Row],[Estimated labor hours]]</f>
        <v>-2</v>
      </c>
      <c r="S1133" s="51" t="str">
        <f>IF(tblWorkPackages[[#This Row],[Request date serial]]&lt;ValidationStart,"Train 2024",IF(tblWorkPackages[[#This Row],[Request date serial]]&lt;HoldoutStart,"Validation H1","Holdout H2"))</f>
        <v>Validation H1</v>
      </c>
      <c r="T1133" s="51">
        <f>IF(tblWorkPackages[[#This Row],[Time split]]="Train 2024","",tblWorkPackages[[#This Row],[Estimated labor hours]]+VLOOKUP(tblWorkPackages[[#This Row],[Task type]],'Forecast validation'!$A$14:$E$25,IF(tblWorkPackages[[#This Row],[Time split]]="Validation H1",4,5),FALSE()))</f>
        <v>19.3462264150943</v>
      </c>
      <c r="U1133" s="51">
        <f>IF(tblWorkPackages[[#This Row],[Calibrated forecast hours]]="","",ABS(tblWorkPackages[[#This Row],[Actual labor hours]]-tblWorkPackages[[#This Row],[Calibrated forecast hours]]))</f>
        <v>2.54622641509434</v>
      </c>
      <c r="V1133" s="51">
        <f>IF(tblWorkPackages[[#This Row],[Time split]]="Train 2024",tblWorkPackages[[#This Row],[Estimated labor hours]],tblWorkPackages[[#This Row],[Calibrated forecast hours]])</f>
        <v>19.3462264150943</v>
      </c>
      <c r="W1133" s="64">
        <f>DATEVALUE(tblWorkPackages[[#This Row],[Request date]])</f>
        <v>45770.0</v>
      </c>
      <c r="X1133" s="64">
        <f>DATEVALUE(tblWorkPackages[[#This Row],[Due date]])</f>
        <v>45783.0</v>
      </c>
      <c r="Y1133" s="64">
        <f>DATEVALUE(tblWorkPackages[[#This Row],[Completion date]])</f>
        <v>45783.0</v>
      </c>
      <c r="Z1133" s="64">
        <f>_xlfn.MINIFS(tblLaborEntries[Work date serial],tblLaborEntries[Work package ID],tblWorkPackages[[#This Row],[Work package ID]])</f>
        <v>45779.0</v>
      </c>
      <c r="AA1133" s="64">
        <f>_xlfn.MAXIFS(tblLaborEntries[Work date serial],tblLaborEntries[Work package ID],tblWorkPackages[[#This Row],[Work package ID]])</f>
        <v>45780.0</v>
      </c>
      <c r="AB1133" s="65">
        <f>IF(tblWorkPackages[[#This Row],[Completion date serial]]&gt;tblWorkPackages[[#This Row],[Due date serial]],1,0)</f>
        <v>0</v>
      </c>
      <c r="AC1133" s="65">
        <f>MAX(0,tblWorkPackages[[#This Row],[Completion date serial]]-tblWorkPackages[[#This Row],[Due date serial]])</f>
        <v>0</v>
      </c>
      <c r="AD1133" s="65">
        <f>tblWorkPackages[[#This Row],[First labor date]]-tblWorkPackages[[#This Row],[Request date serial]]</f>
        <v>9</v>
      </c>
      <c r="AE1133" s="65">
        <f>tblWorkPackages[[#This Row],[Last labor date]]-tblWorkPackages[[#This Row],[First labor date]]</f>
        <v>1</v>
      </c>
      <c r="AF1133" s="65">
        <f>tblWorkPackages[[#This Row],[Completion date serial]]-tblWorkPackages[[#This Row],[Last labor date]]</f>
        <v>3</v>
      </c>
      <c r="AG1133" s="65">
        <f>tblWorkPackages[[#This Row],[Completion date serial]]-tblWorkPackages[[#This Row],[Request date serial]]</f>
        <v>13</v>
      </c>
      <c r="AH1133" s="65">
        <f>IFERROR(INDEX(tblParts[Delay days],MATCH(tblWorkPackages[[#This Row],[Work package ID]],tblParts[Work package ID],0)),0)</f>
        <v>0</v>
      </c>
      <c r="AI1133" s="51" t="str">
        <f>IFERROR(INDEX(tblDisruptions[Event type],MATCH(tblWorkPackages[[#This Row],[Work package ID]],tblDisruptions[Work package ID],0)),"None")</f>
        <v>None</v>
      </c>
      <c r="AJ1133" s="51" t="str">
        <f>TEXT(tblWorkPackages[[#This Row],[Due date serial]],"yyyy-mm")</f>
        <v>2025-05</v>
      </c>
    </row>
    <row r="1134" spans="1:36" ht="15" x14ac:dyDescent="0.25">
      <c r="A1134" s="53" t="s">
        <v>2039</v>
      </c>
      <c r="B1134" s="53" t="s">
        <v>235</v>
      </c>
      <c r="C1134" s="53" t="s">
        <v>362</v>
      </c>
      <c r="D1134" s="53" t="s">
        <v>1370</v>
      </c>
      <c r="E1134" s="53" t="s">
        <v>127</v>
      </c>
      <c r="F1134" s="53" t="s">
        <v>128</v>
      </c>
      <c r="G1134" s="53" t="s">
        <v>129</v>
      </c>
      <c r="H1134" s="53">
        <v>4</v>
      </c>
      <c r="I1134" s="53" t="s">
        <v>130</v>
      </c>
      <c r="J1134" s="53">
        <v>0</v>
      </c>
      <c r="K1134" s="53">
        <v>0</v>
      </c>
      <c r="L1134" s="53">
        <v>13</v>
      </c>
      <c r="M1134" s="53" t="s">
        <v>390</v>
      </c>
      <c r="N1134" s="53">
        <v>9.9</v>
      </c>
      <c r="O1134" s="51" t="str">
        <f>TEXT(tblWorkPackages[[#This Row],[Request date serial]]-WEEKDAY(tblWorkPackages[[#This Row],[Request date serial]],3),"yyyy-mm-dd")</f>
        <v>2024-07-15</v>
      </c>
      <c r="P1134" s="51">
        <f>ABS(tblWorkPackages[[#This Row],[Actual labor hours]]-tblWorkPackages[[#This Row],[Estimated labor hours]])</f>
        <v>3.1</v>
      </c>
      <c r="Q1134" s="51">
        <f>IF(tblWorkPackages[[#This Row],[Actual labor hours]]&gt;tblWorkPackages[[#This Row],[Estimated labor hours]],1,0)</f>
        <v>0</v>
      </c>
      <c r="R1134" s="51">
        <f>tblWorkPackages[[#This Row],[Actual labor hours]]-tblWorkPackages[[#This Row],[Estimated labor hours]]</f>
        <v>-3.1</v>
      </c>
      <c r="S1134" s="51" t="str">
        <f>IF(tblWorkPackages[[#This Row],[Request date serial]]&lt;ValidationStart,"Train 2024",IF(tblWorkPackages[[#This Row],[Request date serial]]&lt;HoldoutStart,"Validation H1","Holdout H2"))</f>
        <v>Train 2024</v>
      </c>
      <c r="T1134" s="51" t="str">
        <f>IF(tblWorkPackages[[#This Row],[Time split]]="Train 2024","",tblWorkPackages[[#This Row],[Estimated labor hours]]+VLOOKUP(tblWorkPackages[[#This Row],[Task type]],'Forecast validation'!$A$14:$E$25,IF(tblWorkPackages[[#This Row],[Time split]]="Validation H1",4,5),FALSE()))</f>
        <v/>
      </c>
      <c r="U1134" s="51" t="str">
        <f>IF(tblWorkPackages[[#This Row],[Calibrated forecast hours]]="","",ABS(tblWorkPackages[[#This Row],[Actual labor hours]]-tblWorkPackages[[#This Row],[Calibrated forecast hours]]))</f>
        <v/>
      </c>
      <c r="V1134" s="51">
        <f>IF(tblWorkPackages[[#This Row],[Time split]]="Train 2024",tblWorkPackages[[#This Row],[Estimated labor hours]],tblWorkPackages[[#This Row],[Calibrated forecast hours]])</f>
        <v>13</v>
      </c>
      <c r="W1134" s="64">
        <f>DATEVALUE(tblWorkPackages[[#This Row],[Request date]])</f>
        <v>45494.0</v>
      </c>
      <c r="X1134" s="64">
        <f>DATEVALUE(tblWorkPackages[[#This Row],[Due date]])</f>
        <v>45507.0</v>
      </c>
      <c r="Y1134" s="64">
        <f>DATEVALUE(tblWorkPackages[[#This Row],[Completion date]])</f>
        <v>45497.0</v>
      </c>
      <c r="Z1134" s="64">
        <f>_xlfn.MINIFS(tblLaborEntries[Work date serial],tblLaborEntries[Work package ID],tblWorkPackages[[#This Row],[Work package ID]])</f>
        <v>45496.0</v>
      </c>
      <c r="AA1134" s="64">
        <f>_xlfn.MAXIFS(tblLaborEntries[Work date serial],tblLaborEntries[Work package ID],tblWorkPackages[[#This Row],[Work package ID]])</f>
        <v>45497.0</v>
      </c>
      <c r="AB1134" s="65">
        <f>IF(tblWorkPackages[[#This Row],[Completion date serial]]&gt;tblWorkPackages[[#This Row],[Due date serial]],1,0)</f>
        <v>0</v>
      </c>
      <c r="AC1134" s="65">
        <f>MAX(0,tblWorkPackages[[#This Row],[Completion date serial]]-tblWorkPackages[[#This Row],[Due date serial]])</f>
        <v>0</v>
      </c>
      <c r="AD1134" s="65">
        <f>tblWorkPackages[[#This Row],[First labor date]]-tblWorkPackages[[#This Row],[Request date serial]]</f>
        <v>2</v>
      </c>
      <c r="AE1134" s="65">
        <f>tblWorkPackages[[#This Row],[Last labor date]]-tblWorkPackages[[#This Row],[First labor date]]</f>
        <v>1</v>
      </c>
      <c r="AF1134" s="65">
        <f>tblWorkPackages[[#This Row],[Completion date serial]]-tblWorkPackages[[#This Row],[Last labor date]]</f>
        <v>0</v>
      </c>
      <c r="AG1134" s="65">
        <f>tblWorkPackages[[#This Row],[Completion date serial]]-tblWorkPackages[[#This Row],[Request date serial]]</f>
        <v>3</v>
      </c>
      <c r="AH1134" s="65">
        <f>IFERROR(INDEX(tblParts[Delay days],MATCH(tblWorkPackages[[#This Row],[Work package ID]],tblParts[Work package ID],0)),0)</f>
        <v>0</v>
      </c>
      <c r="AI1134" s="51" t="str">
        <f>IFERROR(INDEX(tblDisruptions[Event type],MATCH(tblWorkPackages[[#This Row],[Work package ID]],tblDisruptions[Work package ID],0)),"None")</f>
        <v>None</v>
      </c>
      <c r="AJ1134" s="51" t="str">
        <f>TEXT(tblWorkPackages[[#This Row],[Due date serial]],"yyyy-mm")</f>
        <v>2024-08</v>
      </c>
    </row>
    <row r="1135" spans="1:36" ht="15" x14ac:dyDescent="0.25">
      <c r="A1135" s="53" t="s">
        <v>2040</v>
      </c>
      <c r="B1135" s="53" t="s">
        <v>150</v>
      </c>
      <c r="C1135" s="53" t="s">
        <v>640</v>
      </c>
      <c r="D1135" s="53" t="s">
        <v>603</v>
      </c>
      <c r="E1135" s="53" t="s">
        <v>200</v>
      </c>
      <c r="F1135" s="53" t="s">
        <v>128</v>
      </c>
      <c r="G1135" s="53" t="s">
        <v>129</v>
      </c>
      <c r="H1135" s="53">
        <v>4</v>
      </c>
      <c r="I1135" s="53" t="s">
        <v>176</v>
      </c>
      <c r="J1135" s="53">
        <v>0</v>
      </c>
      <c r="K1135" s="53">
        <v>0</v>
      </c>
      <c r="L1135" s="53">
        <v>6.3</v>
      </c>
      <c r="M1135" s="53" t="s">
        <v>531</v>
      </c>
      <c r="N1135" s="53">
        <v>5.6</v>
      </c>
      <c r="O1135" s="51" t="str">
        <f>TEXT(tblWorkPackages[[#This Row],[Request date serial]]-WEEKDAY(tblWorkPackages[[#This Row],[Request date serial]],3),"yyyy-mm-dd")</f>
        <v>2025-06-16</v>
      </c>
      <c r="P1135" s="51">
        <f>ABS(tblWorkPackages[[#This Row],[Actual labor hours]]-tblWorkPackages[[#This Row],[Estimated labor hours]])</f>
        <v>0.7</v>
      </c>
      <c r="Q1135" s="51">
        <f>IF(tblWorkPackages[[#This Row],[Actual labor hours]]&gt;tblWorkPackages[[#This Row],[Estimated labor hours]],1,0)</f>
        <v>0</v>
      </c>
      <c r="R1135" s="51">
        <f>tblWorkPackages[[#This Row],[Actual labor hours]]-tblWorkPackages[[#This Row],[Estimated labor hours]]</f>
        <v>-0.7</v>
      </c>
      <c r="S1135" s="51" t="str">
        <f>IF(tblWorkPackages[[#This Row],[Request date serial]]&lt;ValidationStart,"Train 2024",IF(tblWorkPackages[[#This Row],[Request date serial]]&lt;HoldoutStart,"Validation H1","Holdout H2"))</f>
        <v>Validation H1</v>
      </c>
      <c r="T1135" s="51">
        <f>IF(tblWorkPackages[[#This Row],[Time split]]="Train 2024","",tblWorkPackages[[#This Row],[Estimated labor hours]]+VLOOKUP(tblWorkPackages[[#This Row],[Task type]],'Forecast validation'!$A$14:$E$25,IF(tblWorkPackages[[#This Row],[Time split]]="Validation H1",4,5),FALSE()))</f>
        <v>6.63069306930693</v>
      </c>
      <c r="U1135" s="51">
        <f>IF(tblWorkPackages[[#This Row],[Calibrated forecast hours]]="","",ABS(tblWorkPackages[[#This Row],[Actual labor hours]]-tblWorkPackages[[#This Row],[Calibrated forecast hours]]))</f>
        <v>1.03069306930693</v>
      </c>
      <c r="V1135" s="51">
        <f>IF(tblWorkPackages[[#This Row],[Time split]]="Train 2024",tblWorkPackages[[#This Row],[Estimated labor hours]],tblWorkPackages[[#This Row],[Calibrated forecast hours]])</f>
        <v>6.63069306930693</v>
      </c>
      <c r="W1135" s="64">
        <f>DATEVALUE(tblWorkPackages[[#This Row],[Request date]])</f>
        <v>45828.0</v>
      </c>
      <c r="X1135" s="64">
        <f>DATEVALUE(tblWorkPackages[[#This Row],[Due date]])</f>
        <v>45834.0</v>
      </c>
      <c r="Y1135" s="64">
        <f>DATEVALUE(tblWorkPackages[[#This Row],[Completion date]])</f>
        <v>45854.0</v>
      </c>
      <c r="Z1135" s="64">
        <f>_xlfn.MINIFS(tblLaborEntries[Work date serial],tblLaborEntries[Work package ID],tblWorkPackages[[#This Row],[Work package ID]])</f>
        <v>45851.0</v>
      </c>
      <c r="AA1135" s="64">
        <f>_xlfn.MAXIFS(tblLaborEntries[Work date serial],tblLaborEntries[Work package ID],tblWorkPackages[[#This Row],[Work package ID]])</f>
        <v>45853.0</v>
      </c>
      <c r="AB1135" s="65">
        <f>IF(tblWorkPackages[[#This Row],[Completion date serial]]&gt;tblWorkPackages[[#This Row],[Due date serial]],1,0)</f>
        <v>1</v>
      </c>
      <c r="AC1135" s="65">
        <f>MAX(0,tblWorkPackages[[#This Row],[Completion date serial]]-tblWorkPackages[[#This Row],[Due date serial]])</f>
        <v>20</v>
      </c>
      <c r="AD1135" s="65">
        <f>tblWorkPackages[[#This Row],[First labor date]]-tblWorkPackages[[#This Row],[Request date serial]]</f>
        <v>23</v>
      </c>
      <c r="AE1135" s="65">
        <f>tblWorkPackages[[#This Row],[Last labor date]]-tblWorkPackages[[#This Row],[First labor date]]</f>
        <v>2</v>
      </c>
      <c r="AF1135" s="65">
        <f>tblWorkPackages[[#This Row],[Completion date serial]]-tblWorkPackages[[#This Row],[Last labor date]]</f>
        <v>1</v>
      </c>
      <c r="AG1135" s="65">
        <f>tblWorkPackages[[#This Row],[Completion date serial]]-tblWorkPackages[[#This Row],[Request date serial]]</f>
        <v>26</v>
      </c>
      <c r="AH1135" s="65">
        <f>IFERROR(INDEX(tblParts[Delay days],MATCH(tblWorkPackages[[#This Row],[Work package ID]],tblParts[Work package ID],0)),0)</f>
        <v>0</v>
      </c>
      <c r="AI1135" s="51" t="str">
        <f>IFERROR(INDEX(tblDisruptions[Event type],MATCH(tblWorkPackages[[#This Row],[Work package ID]],tblDisruptions[Work package ID],0)),"None")</f>
        <v>None</v>
      </c>
      <c r="AJ1135" s="51" t="str">
        <f>TEXT(tblWorkPackages[[#This Row],[Due date serial]],"yyyy-mm")</f>
        <v>2025-06</v>
      </c>
    </row>
    <row r="1136" spans="1:36" ht="15" x14ac:dyDescent="0.25">
      <c r="A1136" s="53" t="s">
        <v>2041</v>
      </c>
      <c r="B1136" s="53" t="s">
        <v>287</v>
      </c>
      <c r="C1136" s="53" t="s">
        <v>978</v>
      </c>
      <c r="D1136" s="53" t="s">
        <v>558</v>
      </c>
      <c r="E1136" s="53" t="s">
        <v>237</v>
      </c>
      <c r="F1136" s="53" t="s">
        <v>182</v>
      </c>
      <c r="G1136" s="53" t="s">
        <v>138</v>
      </c>
      <c r="H1136" s="53">
        <v>2</v>
      </c>
      <c r="I1136" s="53" t="s">
        <v>147</v>
      </c>
      <c r="J1136" s="53">
        <v>0</v>
      </c>
      <c r="K1136" s="53">
        <v>0</v>
      </c>
      <c r="L1136" s="53">
        <v>4.7</v>
      </c>
      <c r="M1136" s="53" t="s">
        <v>979</v>
      </c>
      <c r="N1136" s="53">
        <v>4.4000000000000004</v>
      </c>
      <c r="O1136" s="51" t="str">
        <f>TEXT(tblWorkPackages[[#This Row],[Request date serial]]-WEEKDAY(tblWorkPackages[[#This Row],[Request date serial]],3),"yyyy-mm-dd")</f>
        <v>2025-10-27</v>
      </c>
      <c r="P1136" s="51">
        <f>ABS(tblWorkPackages[[#This Row],[Actual labor hours]]-tblWorkPackages[[#This Row],[Estimated labor hours]])</f>
        <v>0.3</v>
      </c>
      <c r="Q1136" s="51">
        <f>IF(tblWorkPackages[[#This Row],[Actual labor hours]]&gt;tblWorkPackages[[#This Row],[Estimated labor hours]],1,0)</f>
        <v>0</v>
      </c>
      <c r="R1136" s="51">
        <f>tblWorkPackages[[#This Row],[Actual labor hours]]-tblWorkPackages[[#This Row],[Estimated labor hours]]</f>
        <v>-0.3</v>
      </c>
      <c r="S1136" s="51" t="str">
        <f>IF(tblWorkPackages[[#This Row],[Request date serial]]&lt;ValidationStart,"Train 2024",IF(tblWorkPackages[[#This Row],[Request date serial]]&lt;HoldoutStart,"Validation H1","Holdout H2"))</f>
        <v>Holdout H2</v>
      </c>
      <c r="T1136" s="51">
        <f>IF(tblWorkPackages[[#This Row],[Time split]]="Train 2024","",tblWorkPackages[[#This Row],[Estimated labor hours]]+VLOOKUP(tblWorkPackages[[#This Row],[Task type]],'Forecast validation'!$A$14:$E$25,IF(tblWorkPackages[[#This Row],[Time split]]="Validation H1",4,5),FALSE()))</f>
        <v>5.153125</v>
      </c>
      <c r="U1136" s="51">
        <f>IF(tblWorkPackages[[#This Row],[Calibrated forecast hours]]="","",ABS(tblWorkPackages[[#This Row],[Actual labor hours]]-tblWorkPackages[[#This Row],[Calibrated forecast hours]]))</f>
        <v>0.753125</v>
      </c>
      <c r="V1136" s="51">
        <f>IF(tblWorkPackages[[#This Row],[Time split]]="Train 2024",tblWorkPackages[[#This Row],[Estimated labor hours]],tblWorkPackages[[#This Row],[Calibrated forecast hours]])</f>
        <v>5.153125</v>
      </c>
      <c r="W1136" s="64">
        <f>DATEVALUE(tblWorkPackages[[#This Row],[Request date]])</f>
        <v>45959.0</v>
      </c>
      <c r="X1136" s="64">
        <f>DATEVALUE(tblWorkPackages[[#This Row],[Due date]])</f>
        <v>45961.0</v>
      </c>
      <c r="Y1136" s="64">
        <f>DATEVALUE(tblWorkPackages[[#This Row],[Completion date]])</f>
        <v>45965.0</v>
      </c>
      <c r="Z1136" s="64">
        <f>_xlfn.MINIFS(tblLaborEntries[Work date serial],tblLaborEntries[Work package ID],tblWorkPackages[[#This Row],[Work package ID]])</f>
        <v>45963.0</v>
      </c>
      <c r="AA1136" s="64">
        <f>_xlfn.MAXIFS(tblLaborEntries[Work date serial],tblLaborEntries[Work package ID],tblWorkPackages[[#This Row],[Work package ID]])</f>
        <v>45963.0</v>
      </c>
      <c r="AB1136" s="65">
        <f>IF(tblWorkPackages[[#This Row],[Completion date serial]]&gt;tblWorkPackages[[#This Row],[Due date serial]],1,0)</f>
        <v>1</v>
      </c>
      <c r="AC1136" s="65">
        <f>MAX(0,tblWorkPackages[[#This Row],[Completion date serial]]-tblWorkPackages[[#This Row],[Due date serial]])</f>
        <v>4</v>
      </c>
      <c r="AD1136" s="65">
        <f>tblWorkPackages[[#This Row],[First labor date]]-tblWorkPackages[[#This Row],[Request date serial]]</f>
        <v>4</v>
      </c>
      <c r="AE1136" s="65">
        <f>tblWorkPackages[[#This Row],[Last labor date]]-tblWorkPackages[[#This Row],[First labor date]]</f>
        <v>0</v>
      </c>
      <c r="AF1136" s="65">
        <f>tblWorkPackages[[#This Row],[Completion date serial]]-tblWorkPackages[[#This Row],[Last labor date]]</f>
        <v>2</v>
      </c>
      <c r="AG1136" s="65">
        <f>tblWorkPackages[[#This Row],[Completion date serial]]-tblWorkPackages[[#This Row],[Request date serial]]</f>
        <v>6</v>
      </c>
      <c r="AH1136" s="65">
        <f>IFERROR(INDEX(tblParts[Delay days],MATCH(tblWorkPackages[[#This Row],[Work package ID]],tblParts[Work package ID],0)),0)</f>
        <v>0</v>
      </c>
      <c r="AI1136" s="51" t="str">
        <f>IFERROR(INDEX(tblDisruptions[Event type],MATCH(tblWorkPackages[[#This Row],[Work package ID]],tblDisruptions[Work package ID],0)),"None")</f>
        <v>None</v>
      </c>
      <c r="AJ1136" s="51" t="str">
        <f>TEXT(tblWorkPackages[[#This Row],[Due date serial]],"yyyy-mm")</f>
        <v>2025-10</v>
      </c>
    </row>
    <row r="1137" spans="1:36" ht="15" x14ac:dyDescent="0.25">
      <c r="A1137" s="53" t="s">
        <v>2042</v>
      </c>
      <c r="B1137" s="53" t="s">
        <v>141</v>
      </c>
      <c r="C1137" s="53" t="s">
        <v>179</v>
      </c>
      <c r="D1137" s="53" t="s">
        <v>180</v>
      </c>
      <c r="E1137" s="53" t="s">
        <v>223</v>
      </c>
      <c r="F1137" s="53" t="s">
        <v>182</v>
      </c>
      <c r="G1137" s="53" t="s">
        <v>154</v>
      </c>
      <c r="H1137" s="53">
        <v>2</v>
      </c>
      <c r="I1137" s="53" t="s">
        <v>130</v>
      </c>
      <c r="J1137" s="53">
        <v>0</v>
      </c>
      <c r="K1137" s="53">
        <v>0</v>
      </c>
      <c r="L1137" s="53">
        <v>13.5</v>
      </c>
      <c r="M1137" s="53" t="s">
        <v>1183</v>
      </c>
      <c r="N1137" s="53">
        <v>11.4</v>
      </c>
      <c r="O1137" s="51" t="str">
        <f>TEXT(tblWorkPackages[[#This Row],[Request date serial]]-WEEKDAY(tblWorkPackages[[#This Row],[Request date serial]],3),"yyyy-mm-dd")</f>
        <v>2025-05-12</v>
      </c>
      <c r="P1137" s="51">
        <f>ABS(tblWorkPackages[[#This Row],[Actual labor hours]]-tblWorkPackages[[#This Row],[Estimated labor hours]])</f>
        <v>2.1</v>
      </c>
      <c r="Q1137" s="51">
        <f>IF(tblWorkPackages[[#This Row],[Actual labor hours]]&gt;tblWorkPackages[[#This Row],[Estimated labor hours]],1,0)</f>
        <v>0</v>
      </c>
      <c r="R1137" s="51">
        <f>tblWorkPackages[[#This Row],[Actual labor hours]]-tblWorkPackages[[#This Row],[Estimated labor hours]]</f>
        <v>-2.1</v>
      </c>
      <c r="S1137" s="51" t="str">
        <f>IF(tblWorkPackages[[#This Row],[Request date serial]]&lt;ValidationStart,"Train 2024",IF(tblWorkPackages[[#This Row],[Request date serial]]&lt;HoldoutStart,"Validation H1","Holdout H2"))</f>
        <v>Validation H1</v>
      </c>
      <c r="T1137" s="51">
        <f>IF(tblWorkPackages[[#This Row],[Time split]]="Train 2024","",tblWorkPackages[[#This Row],[Estimated labor hours]]+VLOOKUP(tblWorkPackages[[#This Row],[Task type]],'Forecast validation'!$A$14:$E$25,IF(tblWorkPackages[[#This Row],[Time split]]="Validation H1",4,5),FALSE()))</f>
        <v>14.3824175824176</v>
      </c>
      <c r="U1137" s="51">
        <f>IF(tblWorkPackages[[#This Row],[Calibrated forecast hours]]="","",ABS(tblWorkPackages[[#This Row],[Actual labor hours]]-tblWorkPackages[[#This Row],[Calibrated forecast hours]]))</f>
        <v>2.98241758241758</v>
      </c>
      <c r="V1137" s="51">
        <f>IF(tblWorkPackages[[#This Row],[Time split]]="Train 2024",tblWorkPackages[[#This Row],[Estimated labor hours]],tblWorkPackages[[#This Row],[Calibrated forecast hours]])</f>
        <v>14.3824175824176</v>
      </c>
      <c r="W1137" s="64">
        <f>DATEVALUE(tblWorkPackages[[#This Row],[Request date]])</f>
        <v>45792.0</v>
      </c>
      <c r="X1137" s="64">
        <f>DATEVALUE(tblWorkPackages[[#This Row],[Due date]])</f>
        <v>45805.0</v>
      </c>
      <c r="Y1137" s="64">
        <f>DATEVALUE(tblWorkPackages[[#This Row],[Completion date]])</f>
        <v>45798.0</v>
      </c>
      <c r="Z1137" s="64">
        <f>_xlfn.MINIFS(tblLaborEntries[Work date serial],tblLaborEntries[Work package ID],tblWorkPackages[[#This Row],[Work package ID]])</f>
        <v>45793.0</v>
      </c>
      <c r="AA1137" s="64">
        <f>_xlfn.MAXIFS(tblLaborEntries[Work date serial],tblLaborEntries[Work package ID],tblWorkPackages[[#This Row],[Work package ID]])</f>
        <v>45795.0</v>
      </c>
      <c r="AB1137" s="65">
        <f>IF(tblWorkPackages[[#This Row],[Completion date serial]]&gt;tblWorkPackages[[#This Row],[Due date serial]],1,0)</f>
        <v>0</v>
      </c>
      <c r="AC1137" s="65">
        <f>MAX(0,tblWorkPackages[[#This Row],[Completion date serial]]-tblWorkPackages[[#This Row],[Due date serial]])</f>
        <v>0</v>
      </c>
      <c r="AD1137" s="65">
        <f>tblWorkPackages[[#This Row],[First labor date]]-tblWorkPackages[[#This Row],[Request date serial]]</f>
        <v>1</v>
      </c>
      <c r="AE1137" s="65">
        <f>tblWorkPackages[[#This Row],[Last labor date]]-tblWorkPackages[[#This Row],[First labor date]]</f>
        <v>2</v>
      </c>
      <c r="AF1137" s="65">
        <f>tblWorkPackages[[#This Row],[Completion date serial]]-tblWorkPackages[[#This Row],[Last labor date]]</f>
        <v>3</v>
      </c>
      <c r="AG1137" s="65">
        <f>tblWorkPackages[[#This Row],[Completion date serial]]-tblWorkPackages[[#This Row],[Request date serial]]</f>
        <v>6</v>
      </c>
      <c r="AH1137" s="65">
        <f>IFERROR(INDEX(tblParts[Delay days],MATCH(tblWorkPackages[[#This Row],[Work package ID]],tblParts[Work package ID],0)),0)</f>
        <v>0</v>
      </c>
      <c r="AI1137" s="51" t="str">
        <f>IFERROR(INDEX(tblDisruptions[Event type],MATCH(tblWorkPackages[[#This Row],[Work package ID]],tblDisruptions[Work package ID],0)),"None")</f>
        <v>None</v>
      </c>
      <c r="AJ1137" s="51" t="str">
        <f>TEXT(tblWorkPackages[[#This Row],[Due date serial]],"yyyy-mm")</f>
        <v>2025-05</v>
      </c>
    </row>
    <row r="1138" spans="1:36" ht="15" x14ac:dyDescent="0.25">
      <c r="A1138" s="53" t="s">
        <v>2043</v>
      </c>
      <c r="B1138" s="53" t="s">
        <v>230</v>
      </c>
      <c r="C1138" s="53" t="s">
        <v>143</v>
      </c>
      <c r="D1138" s="53" t="s">
        <v>1262</v>
      </c>
      <c r="E1138" s="53" t="s">
        <v>200</v>
      </c>
      <c r="F1138" s="53" t="s">
        <v>128</v>
      </c>
      <c r="G1138" s="53" t="s">
        <v>129</v>
      </c>
      <c r="H1138" s="53">
        <v>4</v>
      </c>
      <c r="I1138" s="53" t="s">
        <v>130</v>
      </c>
      <c r="J1138" s="53">
        <v>0</v>
      </c>
      <c r="K1138" s="53">
        <v>0</v>
      </c>
      <c r="L1138" s="53">
        <v>6.3</v>
      </c>
      <c r="M1138" s="53" t="s">
        <v>215</v>
      </c>
      <c r="N1138" s="53">
        <v>4.9000000000000004</v>
      </c>
      <c r="O1138" s="51" t="str">
        <f>TEXT(tblWorkPackages[[#This Row],[Request date serial]]-WEEKDAY(tblWorkPackages[[#This Row],[Request date serial]],3),"yyyy-mm-dd")</f>
        <v>2024-01-29</v>
      </c>
      <c r="P1138" s="51">
        <f>ABS(tblWorkPackages[[#This Row],[Actual labor hours]]-tblWorkPackages[[#This Row],[Estimated labor hours]])</f>
        <v>1.4</v>
      </c>
      <c r="Q1138" s="51">
        <f>IF(tblWorkPackages[[#This Row],[Actual labor hours]]&gt;tblWorkPackages[[#This Row],[Estimated labor hours]],1,0)</f>
        <v>0</v>
      </c>
      <c r="R1138" s="51">
        <f>tblWorkPackages[[#This Row],[Actual labor hours]]-tblWorkPackages[[#This Row],[Estimated labor hours]]</f>
        <v>-1.4</v>
      </c>
      <c r="S1138" s="51" t="str">
        <f>IF(tblWorkPackages[[#This Row],[Request date serial]]&lt;ValidationStart,"Train 2024",IF(tblWorkPackages[[#This Row],[Request date serial]]&lt;HoldoutStart,"Validation H1","Holdout H2"))</f>
        <v>Train 2024</v>
      </c>
      <c r="T1138" s="51" t="str">
        <f>IF(tblWorkPackages[[#This Row],[Time split]]="Train 2024","",tblWorkPackages[[#This Row],[Estimated labor hours]]+VLOOKUP(tblWorkPackages[[#This Row],[Task type]],'Forecast validation'!$A$14:$E$25,IF(tblWorkPackages[[#This Row],[Time split]]="Validation H1",4,5),FALSE()))</f>
        <v/>
      </c>
      <c r="U1138" s="51" t="str">
        <f>IF(tblWorkPackages[[#This Row],[Calibrated forecast hours]]="","",ABS(tblWorkPackages[[#This Row],[Actual labor hours]]-tblWorkPackages[[#This Row],[Calibrated forecast hours]]))</f>
        <v/>
      </c>
      <c r="V1138" s="51">
        <f>IF(tblWorkPackages[[#This Row],[Time split]]="Train 2024",tblWorkPackages[[#This Row],[Estimated labor hours]],tblWorkPackages[[#This Row],[Calibrated forecast hours]])</f>
        <v>6.3</v>
      </c>
      <c r="W1138" s="64">
        <f>DATEVALUE(tblWorkPackages[[#This Row],[Request date]])</f>
        <v>45324.0</v>
      </c>
      <c r="X1138" s="64">
        <f>DATEVALUE(tblWorkPackages[[#This Row],[Due date]])</f>
        <v>45337.0</v>
      </c>
      <c r="Y1138" s="64">
        <f>DATEVALUE(tblWorkPackages[[#This Row],[Completion date]])</f>
        <v>45336.0</v>
      </c>
      <c r="Z1138" s="64">
        <f>_xlfn.MINIFS(tblLaborEntries[Work date serial],tblLaborEntries[Work package ID],tblWorkPackages[[#This Row],[Work package ID]])</f>
        <v>45336.0</v>
      </c>
      <c r="AA1138" s="64">
        <f>_xlfn.MAXIFS(tblLaborEntries[Work date serial],tblLaborEntries[Work package ID],tblWorkPackages[[#This Row],[Work package ID]])</f>
        <v>45336.0</v>
      </c>
      <c r="AB1138" s="65">
        <f>IF(tblWorkPackages[[#This Row],[Completion date serial]]&gt;tblWorkPackages[[#This Row],[Due date serial]],1,0)</f>
        <v>0</v>
      </c>
      <c r="AC1138" s="65">
        <f>MAX(0,tblWorkPackages[[#This Row],[Completion date serial]]-tblWorkPackages[[#This Row],[Due date serial]])</f>
        <v>0</v>
      </c>
      <c r="AD1138" s="65">
        <f>tblWorkPackages[[#This Row],[First labor date]]-tblWorkPackages[[#This Row],[Request date serial]]</f>
        <v>12</v>
      </c>
      <c r="AE1138" s="65">
        <f>tblWorkPackages[[#This Row],[Last labor date]]-tblWorkPackages[[#This Row],[First labor date]]</f>
        <v>0</v>
      </c>
      <c r="AF1138" s="65">
        <f>tblWorkPackages[[#This Row],[Completion date serial]]-tblWorkPackages[[#This Row],[Last labor date]]</f>
        <v>0</v>
      </c>
      <c r="AG1138" s="65">
        <f>tblWorkPackages[[#This Row],[Completion date serial]]-tblWorkPackages[[#This Row],[Request date serial]]</f>
        <v>12</v>
      </c>
      <c r="AH1138" s="65">
        <f>IFERROR(INDEX(tblParts[Delay days],MATCH(tblWorkPackages[[#This Row],[Work package ID]],tblParts[Work package ID],0)),0)</f>
        <v>0</v>
      </c>
      <c r="AI1138" s="51" t="str">
        <f>IFERROR(INDEX(tblDisruptions[Event type],MATCH(tblWorkPackages[[#This Row],[Work package ID]],tblDisruptions[Work package ID],0)),"None")</f>
        <v>None</v>
      </c>
      <c r="AJ1138" s="51" t="str">
        <f>TEXT(tblWorkPackages[[#This Row],[Due date serial]],"yyyy-mm")</f>
        <v>2024-02</v>
      </c>
    </row>
    <row r="1139" spans="1:36" ht="15" x14ac:dyDescent="0.25">
      <c r="A1139" s="53" t="s">
        <v>2044</v>
      </c>
      <c r="B1139" s="53" t="s">
        <v>173</v>
      </c>
      <c r="C1139" s="53" t="s">
        <v>1017</v>
      </c>
      <c r="D1139" s="53" t="s">
        <v>973</v>
      </c>
      <c r="E1139" s="53" t="s">
        <v>136</v>
      </c>
      <c r="F1139" s="53" t="s">
        <v>137</v>
      </c>
      <c r="G1139" s="53" t="s">
        <v>138</v>
      </c>
      <c r="H1139" s="53">
        <v>1</v>
      </c>
      <c r="I1139" s="53" t="s">
        <v>130</v>
      </c>
      <c r="J1139" s="53">
        <v>0</v>
      </c>
      <c r="K1139" s="53">
        <v>0</v>
      </c>
      <c r="L1139" s="53">
        <v>8.1</v>
      </c>
      <c r="M1139" s="53" t="s">
        <v>308</v>
      </c>
      <c r="N1139" s="53">
        <v>8.4</v>
      </c>
      <c r="O1139" s="51" t="str">
        <f>TEXT(tblWorkPackages[[#This Row],[Request date serial]]-WEEKDAY(tblWorkPackages[[#This Row],[Request date serial]],3),"yyyy-mm-dd")</f>
        <v>2025-11-10</v>
      </c>
      <c r="P1139" s="51">
        <f>ABS(tblWorkPackages[[#This Row],[Actual labor hours]]-tblWorkPackages[[#This Row],[Estimated labor hours]])</f>
        <v>0.300000000000001</v>
      </c>
      <c r="Q1139" s="51">
        <f>IF(tblWorkPackages[[#This Row],[Actual labor hours]]&gt;tblWorkPackages[[#This Row],[Estimated labor hours]],1,0)</f>
        <v>1</v>
      </c>
      <c r="R1139" s="51">
        <f>tblWorkPackages[[#This Row],[Actual labor hours]]-tblWorkPackages[[#This Row],[Estimated labor hours]]</f>
        <v>0.300000000000001</v>
      </c>
      <c r="S1139" s="51" t="str">
        <f>IF(tblWorkPackages[[#This Row],[Request date serial]]&lt;ValidationStart,"Train 2024",IF(tblWorkPackages[[#This Row],[Request date serial]]&lt;HoldoutStart,"Validation H1","Holdout H2"))</f>
        <v>Holdout H2</v>
      </c>
      <c r="T1139" s="51">
        <f>IF(tblWorkPackages[[#This Row],[Time split]]="Train 2024","",tblWorkPackages[[#This Row],[Estimated labor hours]]+VLOOKUP(tblWorkPackages[[#This Row],[Task type]],'Forecast validation'!$A$14:$E$25,IF(tblWorkPackages[[#This Row],[Time split]]="Validation H1",4,5),FALSE()))</f>
        <v>9.02075471698113</v>
      </c>
      <c r="U1139" s="51">
        <f>IF(tblWorkPackages[[#This Row],[Calibrated forecast hours]]="","",ABS(tblWorkPackages[[#This Row],[Actual labor hours]]-tblWorkPackages[[#This Row],[Calibrated forecast hours]]))</f>
        <v>0.62075471698113</v>
      </c>
      <c r="V1139" s="51">
        <f>IF(tblWorkPackages[[#This Row],[Time split]]="Train 2024",tblWorkPackages[[#This Row],[Estimated labor hours]],tblWorkPackages[[#This Row],[Calibrated forecast hours]])</f>
        <v>9.02075471698113</v>
      </c>
      <c r="W1139" s="64">
        <f>DATEVALUE(tblWorkPackages[[#This Row],[Request date]])</f>
        <v>45972.0</v>
      </c>
      <c r="X1139" s="64">
        <f>DATEVALUE(tblWorkPackages[[#This Row],[Due date]])</f>
        <v>45985.0</v>
      </c>
      <c r="Y1139" s="64">
        <f>DATEVALUE(tblWorkPackages[[#This Row],[Completion date]])</f>
        <v>45977.0</v>
      </c>
      <c r="Z1139" s="64">
        <f>_xlfn.MINIFS(tblLaborEntries[Work date serial],tblLaborEntries[Work package ID],tblWorkPackages[[#This Row],[Work package ID]])</f>
        <v>45975.0</v>
      </c>
      <c r="AA1139" s="64">
        <f>_xlfn.MAXIFS(tblLaborEntries[Work date serial],tblLaborEntries[Work package ID],tblWorkPackages[[#This Row],[Work package ID]])</f>
        <v>45976.0</v>
      </c>
      <c r="AB1139" s="65">
        <f>IF(tblWorkPackages[[#This Row],[Completion date serial]]&gt;tblWorkPackages[[#This Row],[Due date serial]],1,0)</f>
        <v>0</v>
      </c>
      <c r="AC1139" s="65">
        <f>MAX(0,tblWorkPackages[[#This Row],[Completion date serial]]-tblWorkPackages[[#This Row],[Due date serial]])</f>
        <v>0</v>
      </c>
      <c r="AD1139" s="65">
        <f>tblWorkPackages[[#This Row],[First labor date]]-tblWorkPackages[[#This Row],[Request date serial]]</f>
        <v>3</v>
      </c>
      <c r="AE1139" s="65">
        <f>tblWorkPackages[[#This Row],[Last labor date]]-tblWorkPackages[[#This Row],[First labor date]]</f>
        <v>1</v>
      </c>
      <c r="AF1139" s="65">
        <f>tblWorkPackages[[#This Row],[Completion date serial]]-tblWorkPackages[[#This Row],[Last labor date]]</f>
        <v>1</v>
      </c>
      <c r="AG1139" s="65">
        <f>tblWorkPackages[[#This Row],[Completion date serial]]-tblWorkPackages[[#This Row],[Request date serial]]</f>
        <v>5</v>
      </c>
      <c r="AH1139" s="65">
        <f>IFERROR(INDEX(tblParts[Delay days],MATCH(tblWorkPackages[[#This Row],[Work package ID]],tblParts[Work package ID],0)),0)</f>
        <v>0</v>
      </c>
      <c r="AI1139" s="51" t="str">
        <f>IFERROR(INDEX(tblDisruptions[Event type],MATCH(tblWorkPackages[[#This Row],[Work package ID]],tblDisruptions[Work package ID],0)),"None")</f>
        <v>None</v>
      </c>
      <c r="AJ1139" s="51" t="str">
        <f>TEXT(tblWorkPackages[[#This Row],[Due date serial]],"yyyy-mm")</f>
        <v>2025-11</v>
      </c>
    </row>
    <row r="1140" spans="1:36" ht="15" x14ac:dyDescent="0.25">
      <c r="A1140" s="53" t="s">
        <v>2045</v>
      </c>
      <c r="B1140" s="53" t="s">
        <v>185</v>
      </c>
      <c r="C1140" s="53" t="s">
        <v>198</v>
      </c>
      <c r="D1140" s="53" t="s">
        <v>323</v>
      </c>
      <c r="E1140" s="53" t="s">
        <v>160</v>
      </c>
      <c r="F1140" s="53" t="s">
        <v>128</v>
      </c>
      <c r="G1140" s="53" t="s">
        <v>138</v>
      </c>
      <c r="H1140" s="53">
        <v>1</v>
      </c>
      <c r="I1140" s="53" t="s">
        <v>130</v>
      </c>
      <c r="J1140" s="53">
        <v>0</v>
      </c>
      <c r="K1140" s="53">
        <v>1</v>
      </c>
      <c r="L1140" s="53">
        <v>3.4</v>
      </c>
      <c r="M1140" s="53" t="s">
        <v>227</v>
      </c>
      <c r="N1140" s="53">
        <v>3.9</v>
      </c>
      <c r="O1140" s="51" t="str">
        <f>TEXT(tblWorkPackages[[#This Row],[Request date serial]]-WEEKDAY(tblWorkPackages[[#This Row],[Request date serial]],3),"yyyy-mm-dd")</f>
        <v>2025-06-23</v>
      </c>
      <c r="P1140" s="51">
        <f>ABS(tblWorkPackages[[#This Row],[Actual labor hours]]-tblWorkPackages[[#This Row],[Estimated labor hours]])</f>
        <v>0.5</v>
      </c>
      <c r="Q1140" s="51">
        <f>IF(tblWorkPackages[[#This Row],[Actual labor hours]]&gt;tblWorkPackages[[#This Row],[Estimated labor hours]],1,0)</f>
        <v>1</v>
      </c>
      <c r="R1140" s="51">
        <f>tblWorkPackages[[#This Row],[Actual labor hours]]-tblWorkPackages[[#This Row],[Estimated labor hours]]</f>
        <v>0.5</v>
      </c>
      <c r="S1140" s="51" t="str">
        <f>IF(tblWorkPackages[[#This Row],[Request date serial]]&lt;ValidationStart,"Train 2024",IF(tblWorkPackages[[#This Row],[Request date serial]]&lt;HoldoutStart,"Validation H1","Holdout H2"))</f>
        <v>Validation H1</v>
      </c>
      <c r="T1140" s="51">
        <f>IF(tblWorkPackages[[#This Row],[Time split]]="Train 2024","",tblWorkPackages[[#This Row],[Estimated labor hours]]+VLOOKUP(tblWorkPackages[[#This Row],[Task type]],'Forecast validation'!$A$14:$E$25,IF(tblWorkPackages[[#This Row],[Time split]]="Validation H1",4,5),FALSE()))</f>
        <v>3.84146341463415</v>
      </c>
      <c r="U1140" s="51">
        <f>IF(tblWorkPackages[[#This Row],[Calibrated forecast hours]]="","",ABS(tblWorkPackages[[#This Row],[Actual labor hours]]-tblWorkPackages[[#This Row],[Calibrated forecast hours]]))</f>
        <v>0.0585365853658537</v>
      </c>
      <c r="V1140" s="51">
        <f>IF(tblWorkPackages[[#This Row],[Time split]]="Train 2024",tblWorkPackages[[#This Row],[Estimated labor hours]],tblWorkPackages[[#This Row],[Calibrated forecast hours]])</f>
        <v>3.84146341463415</v>
      </c>
      <c r="W1140" s="64">
        <f>DATEVALUE(tblWorkPackages[[#This Row],[Request date]])</f>
        <v>45832.0</v>
      </c>
      <c r="X1140" s="64">
        <f>DATEVALUE(tblWorkPackages[[#This Row],[Due date]])</f>
        <v>45845.0</v>
      </c>
      <c r="Y1140" s="64">
        <f>DATEVALUE(tblWorkPackages[[#This Row],[Completion date]])</f>
        <v>45870.0</v>
      </c>
      <c r="Z1140" s="64">
        <f>_xlfn.MINIFS(tblLaborEntries[Work date serial],tblLaborEntries[Work package ID],tblWorkPackages[[#This Row],[Work package ID]])</f>
        <v>45867.0</v>
      </c>
      <c r="AA1140" s="64">
        <f>_xlfn.MAXIFS(tblLaborEntries[Work date serial],tblLaborEntries[Work package ID],tblWorkPackages[[#This Row],[Work package ID]])</f>
        <v>45868.0</v>
      </c>
      <c r="AB1140" s="65">
        <f>IF(tblWorkPackages[[#This Row],[Completion date serial]]&gt;tblWorkPackages[[#This Row],[Due date serial]],1,0)</f>
        <v>1</v>
      </c>
      <c r="AC1140" s="65">
        <f>MAX(0,tblWorkPackages[[#This Row],[Completion date serial]]-tblWorkPackages[[#This Row],[Due date serial]])</f>
        <v>25</v>
      </c>
      <c r="AD1140" s="65">
        <f>tblWorkPackages[[#This Row],[First labor date]]-tblWorkPackages[[#This Row],[Request date serial]]</f>
        <v>35</v>
      </c>
      <c r="AE1140" s="65">
        <f>tblWorkPackages[[#This Row],[Last labor date]]-tblWorkPackages[[#This Row],[First labor date]]</f>
        <v>1</v>
      </c>
      <c r="AF1140" s="65">
        <f>tblWorkPackages[[#This Row],[Completion date serial]]-tblWorkPackages[[#This Row],[Last labor date]]</f>
        <v>2</v>
      </c>
      <c r="AG1140" s="65">
        <f>tblWorkPackages[[#This Row],[Completion date serial]]-tblWorkPackages[[#This Row],[Request date serial]]</f>
        <v>38</v>
      </c>
      <c r="AH1140" s="65">
        <f>IFERROR(INDEX(tblParts[Delay days],MATCH(tblWorkPackages[[#This Row],[Work package ID]],tblParts[Work package ID],0)),0)</f>
        <v>0</v>
      </c>
      <c r="AI1140" s="51" t="str">
        <f>IFERROR(INDEX(tblDisruptions[Event type],MATCH(tblWorkPackages[[#This Row],[Work package ID]],tblDisruptions[Work package ID],0)),"None")</f>
        <v>None</v>
      </c>
      <c r="AJ1140" s="51" t="str">
        <f>TEXT(tblWorkPackages[[#This Row],[Due date serial]],"yyyy-mm")</f>
        <v>2025-07</v>
      </c>
    </row>
    <row r="1141" spans="1:36" ht="15" x14ac:dyDescent="0.25">
      <c r="A1141" s="53" t="s">
        <v>2046</v>
      </c>
      <c r="B1141" s="53" t="s">
        <v>157</v>
      </c>
      <c r="C1141" s="53" t="s">
        <v>849</v>
      </c>
      <c r="D1141" s="53" t="s">
        <v>357</v>
      </c>
      <c r="E1141" s="53" t="s">
        <v>272</v>
      </c>
      <c r="F1141" s="53" t="s">
        <v>145</v>
      </c>
      <c r="G1141" s="53" t="s">
        <v>273</v>
      </c>
      <c r="H1141" s="53">
        <v>2</v>
      </c>
      <c r="I1141" s="53" t="s">
        <v>176</v>
      </c>
      <c r="J1141" s="53">
        <v>0</v>
      </c>
      <c r="K1141" s="53">
        <v>1</v>
      </c>
      <c r="L1141" s="53">
        <v>9.9</v>
      </c>
      <c r="M1141" s="53" t="s">
        <v>1526</v>
      </c>
      <c r="N1141" s="53">
        <v>11.1</v>
      </c>
      <c r="O1141" s="51" t="str">
        <f>TEXT(tblWorkPackages[[#This Row],[Request date serial]]-WEEKDAY(tblWorkPackages[[#This Row],[Request date serial]],3),"yyyy-mm-dd")</f>
        <v>2025-12-22</v>
      </c>
      <c r="P1141" s="51">
        <f>ABS(tblWorkPackages[[#This Row],[Actual labor hours]]-tblWorkPackages[[#This Row],[Estimated labor hours]])</f>
        <v>1.2</v>
      </c>
      <c r="Q1141" s="51">
        <f>IF(tblWorkPackages[[#This Row],[Actual labor hours]]&gt;tblWorkPackages[[#This Row],[Estimated labor hours]],1,0)</f>
        <v>1</v>
      </c>
      <c r="R1141" s="51">
        <f>tblWorkPackages[[#This Row],[Actual labor hours]]-tblWorkPackages[[#This Row],[Estimated labor hours]]</f>
        <v>1.2</v>
      </c>
      <c r="S1141" s="51" t="str">
        <f>IF(tblWorkPackages[[#This Row],[Request date serial]]&lt;ValidationStart,"Train 2024",IF(tblWorkPackages[[#This Row],[Request date serial]]&lt;HoldoutStart,"Validation H1","Holdout H2"))</f>
        <v>Holdout H2</v>
      </c>
      <c r="T1141" s="51">
        <f>IF(tblWorkPackages[[#This Row],[Time split]]="Train 2024","",tblWorkPackages[[#This Row],[Estimated labor hours]]+VLOOKUP(tblWorkPackages[[#This Row],[Task type]],'Forecast validation'!$A$14:$E$25,IF(tblWorkPackages[[#This Row],[Time split]]="Validation H1",4,5),FALSE()))</f>
        <v>10.88515625</v>
      </c>
      <c r="U1141" s="51">
        <f>IF(tblWorkPackages[[#This Row],[Calibrated forecast hours]]="","",ABS(tblWorkPackages[[#This Row],[Actual labor hours]]-tblWorkPackages[[#This Row],[Calibrated forecast hours]]))</f>
        <v>0.21484375</v>
      </c>
      <c r="V1141" s="51">
        <f>IF(tblWorkPackages[[#This Row],[Time split]]="Train 2024",tblWorkPackages[[#This Row],[Estimated labor hours]],tblWorkPackages[[#This Row],[Calibrated forecast hours]])</f>
        <v>10.88515625</v>
      </c>
      <c r="W1141" s="64">
        <f>DATEVALUE(tblWorkPackages[[#This Row],[Request date]])</f>
        <v>46019.0</v>
      </c>
      <c r="X1141" s="64">
        <f>DATEVALUE(tblWorkPackages[[#This Row],[Due date]])</f>
        <v>46025.0</v>
      </c>
      <c r="Y1141" s="64">
        <f>DATEVALUE(tblWorkPackages[[#This Row],[Completion date]])</f>
        <v>46029.0</v>
      </c>
      <c r="Z1141" s="64">
        <f>_xlfn.MINIFS(tblLaborEntries[Work date serial],tblLaborEntries[Work package ID],tblWorkPackages[[#This Row],[Work package ID]])</f>
        <v>46026.0</v>
      </c>
      <c r="AA1141" s="64">
        <f>_xlfn.MAXIFS(tblLaborEntries[Work date serial],tblLaborEntries[Work package ID],tblWorkPackages[[#This Row],[Work package ID]])</f>
        <v>46026.0</v>
      </c>
      <c r="AB1141" s="65">
        <f>IF(tblWorkPackages[[#This Row],[Completion date serial]]&gt;tblWorkPackages[[#This Row],[Due date serial]],1,0)</f>
        <v>1</v>
      </c>
      <c r="AC1141" s="65">
        <f>MAX(0,tblWorkPackages[[#This Row],[Completion date serial]]-tblWorkPackages[[#This Row],[Due date serial]])</f>
        <v>4</v>
      </c>
      <c r="AD1141" s="65">
        <f>tblWorkPackages[[#This Row],[First labor date]]-tblWorkPackages[[#This Row],[Request date serial]]</f>
        <v>7</v>
      </c>
      <c r="AE1141" s="65">
        <f>tblWorkPackages[[#This Row],[Last labor date]]-tblWorkPackages[[#This Row],[First labor date]]</f>
        <v>0</v>
      </c>
      <c r="AF1141" s="65">
        <f>tblWorkPackages[[#This Row],[Completion date serial]]-tblWorkPackages[[#This Row],[Last labor date]]</f>
        <v>3</v>
      </c>
      <c r="AG1141" s="65">
        <f>tblWorkPackages[[#This Row],[Completion date serial]]-tblWorkPackages[[#This Row],[Request date serial]]</f>
        <v>10</v>
      </c>
      <c r="AH1141" s="65">
        <f>IFERROR(INDEX(tblParts[Delay days],MATCH(tblWorkPackages[[#This Row],[Work package ID]],tblParts[Work package ID],0)),0)</f>
        <v>0</v>
      </c>
      <c r="AI1141" s="51" t="str">
        <f>IFERROR(INDEX(tblDisruptions[Event type],MATCH(tblWorkPackages[[#This Row],[Work package ID]],tblDisruptions[Work package ID],0)),"None")</f>
        <v>None</v>
      </c>
      <c r="AJ1141" s="51" t="str">
        <f>TEXT(tblWorkPackages[[#This Row],[Due date serial]],"yyyy-mm")</f>
        <v>2026-01</v>
      </c>
    </row>
    <row r="1142" spans="1:36" ht="15" x14ac:dyDescent="0.25">
      <c r="A1142" s="53" t="s">
        <v>2047</v>
      </c>
      <c r="B1142" s="53" t="s">
        <v>133</v>
      </c>
      <c r="C1142" s="53" t="s">
        <v>545</v>
      </c>
      <c r="D1142" s="53" t="s">
        <v>546</v>
      </c>
      <c r="E1142" s="53" t="s">
        <v>223</v>
      </c>
      <c r="F1142" s="53" t="s">
        <v>182</v>
      </c>
      <c r="G1142" s="53" t="s">
        <v>154</v>
      </c>
      <c r="H1142" s="53">
        <v>2</v>
      </c>
      <c r="I1142" s="53" t="s">
        <v>130</v>
      </c>
      <c r="J1142" s="53">
        <v>0</v>
      </c>
      <c r="K1142" s="53">
        <v>0</v>
      </c>
      <c r="L1142" s="53">
        <v>11.8</v>
      </c>
      <c r="M1142" s="53" t="s">
        <v>2048</v>
      </c>
      <c r="N1142" s="53">
        <v>13.9</v>
      </c>
      <c r="O1142" s="51" t="str">
        <f>TEXT(tblWorkPackages[[#This Row],[Request date serial]]-WEEKDAY(tblWorkPackages[[#This Row],[Request date serial]],3),"yyyy-mm-dd")</f>
        <v>2024-01-01</v>
      </c>
      <c r="P1142" s="51">
        <f>ABS(tblWorkPackages[[#This Row],[Actual labor hours]]-tblWorkPackages[[#This Row],[Estimated labor hours]])</f>
        <v>2.1</v>
      </c>
      <c r="Q1142" s="51">
        <f>IF(tblWorkPackages[[#This Row],[Actual labor hours]]&gt;tblWorkPackages[[#This Row],[Estimated labor hours]],1,0)</f>
        <v>1</v>
      </c>
      <c r="R1142" s="51">
        <f>tblWorkPackages[[#This Row],[Actual labor hours]]-tblWorkPackages[[#This Row],[Estimated labor hours]]</f>
        <v>2.1</v>
      </c>
      <c r="S1142" s="51" t="str">
        <f>IF(tblWorkPackages[[#This Row],[Request date serial]]&lt;ValidationStart,"Train 2024",IF(tblWorkPackages[[#This Row],[Request date serial]]&lt;HoldoutStart,"Validation H1","Holdout H2"))</f>
        <v>Train 2024</v>
      </c>
      <c r="T1142" s="51" t="str">
        <f>IF(tblWorkPackages[[#This Row],[Time split]]="Train 2024","",tblWorkPackages[[#This Row],[Estimated labor hours]]+VLOOKUP(tblWorkPackages[[#This Row],[Task type]],'Forecast validation'!$A$14:$E$25,IF(tblWorkPackages[[#This Row],[Time split]]="Validation H1",4,5),FALSE()))</f>
        <v/>
      </c>
      <c r="U1142" s="51" t="str">
        <f>IF(tblWorkPackages[[#This Row],[Calibrated forecast hours]]="","",ABS(tblWorkPackages[[#This Row],[Actual labor hours]]-tblWorkPackages[[#This Row],[Calibrated forecast hours]]))</f>
        <v/>
      </c>
      <c r="V1142" s="51">
        <f>IF(tblWorkPackages[[#This Row],[Time split]]="Train 2024",tblWorkPackages[[#This Row],[Estimated labor hours]],tblWorkPackages[[#This Row],[Calibrated forecast hours]])</f>
        <v>11.8</v>
      </c>
      <c r="W1142" s="64">
        <f>DATEVALUE(tblWorkPackages[[#This Row],[Request date]])</f>
        <v>45293.0</v>
      </c>
      <c r="X1142" s="64">
        <f>DATEVALUE(tblWorkPackages[[#This Row],[Due date]])</f>
        <v>45306.0</v>
      </c>
      <c r="Y1142" s="64">
        <f>DATEVALUE(tblWorkPackages[[#This Row],[Completion date]])</f>
        <v>45297.0</v>
      </c>
      <c r="Z1142" s="64">
        <f>_xlfn.MINIFS(tblLaborEntries[Work date serial],tblLaborEntries[Work package ID],tblWorkPackages[[#This Row],[Work package ID]])</f>
        <v>45295.0</v>
      </c>
      <c r="AA1142" s="64">
        <f>_xlfn.MAXIFS(tblLaborEntries[Work date serial],tblLaborEntries[Work package ID],tblWorkPackages[[#This Row],[Work package ID]])</f>
        <v>45297.0</v>
      </c>
      <c r="AB1142" s="65">
        <f>IF(tblWorkPackages[[#This Row],[Completion date serial]]&gt;tblWorkPackages[[#This Row],[Due date serial]],1,0)</f>
        <v>0</v>
      </c>
      <c r="AC1142" s="65">
        <f>MAX(0,tblWorkPackages[[#This Row],[Completion date serial]]-tblWorkPackages[[#This Row],[Due date serial]])</f>
        <v>0</v>
      </c>
      <c r="AD1142" s="65">
        <f>tblWorkPackages[[#This Row],[First labor date]]-tblWorkPackages[[#This Row],[Request date serial]]</f>
        <v>2</v>
      </c>
      <c r="AE1142" s="65">
        <f>tblWorkPackages[[#This Row],[Last labor date]]-tblWorkPackages[[#This Row],[First labor date]]</f>
        <v>2</v>
      </c>
      <c r="AF1142" s="65">
        <f>tblWorkPackages[[#This Row],[Completion date serial]]-tblWorkPackages[[#This Row],[Last labor date]]</f>
        <v>0</v>
      </c>
      <c r="AG1142" s="65">
        <f>tblWorkPackages[[#This Row],[Completion date serial]]-tblWorkPackages[[#This Row],[Request date serial]]</f>
        <v>4</v>
      </c>
      <c r="AH1142" s="65">
        <f>IFERROR(INDEX(tblParts[Delay days],MATCH(tblWorkPackages[[#This Row],[Work package ID]],tblParts[Work package ID],0)),0)</f>
        <v>0</v>
      </c>
      <c r="AI1142" s="51" t="str">
        <f>IFERROR(INDEX(tblDisruptions[Event type],MATCH(tblWorkPackages[[#This Row],[Work package ID]],tblDisruptions[Work package ID],0)),"None")</f>
        <v>None</v>
      </c>
      <c r="AJ1142" s="51" t="str">
        <f>TEXT(tblWorkPackages[[#This Row],[Due date serial]],"yyyy-mm")</f>
        <v>2024-01</v>
      </c>
    </row>
    <row r="1143" spans="1:36" ht="15" x14ac:dyDescent="0.25">
      <c r="A1143" s="53" t="s">
        <v>2049</v>
      </c>
      <c r="B1143" s="53" t="s">
        <v>173</v>
      </c>
      <c r="C1143" s="53" t="s">
        <v>1289</v>
      </c>
      <c r="D1143" s="53" t="s">
        <v>445</v>
      </c>
      <c r="E1143" s="53" t="s">
        <v>160</v>
      </c>
      <c r="F1143" s="53" t="s">
        <v>128</v>
      </c>
      <c r="G1143" s="53" t="s">
        <v>138</v>
      </c>
      <c r="H1143" s="53">
        <v>3</v>
      </c>
      <c r="I1143" s="53" t="s">
        <v>130</v>
      </c>
      <c r="J1143" s="53">
        <v>0</v>
      </c>
      <c r="K1143" s="53">
        <v>1</v>
      </c>
      <c r="L1143" s="53">
        <v>6.6</v>
      </c>
      <c r="M1143" s="53" t="s">
        <v>1191</v>
      </c>
      <c r="N1143" s="53">
        <v>7.1</v>
      </c>
      <c r="O1143" s="51" t="str">
        <f>TEXT(tblWorkPackages[[#This Row],[Request date serial]]-WEEKDAY(tblWorkPackages[[#This Row],[Request date serial]],3),"yyyy-mm-dd")</f>
        <v>2025-03-03</v>
      </c>
      <c r="P1143" s="51">
        <f>ABS(tblWorkPackages[[#This Row],[Actual labor hours]]-tblWorkPackages[[#This Row],[Estimated labor hours]])</f>
        <v>0.5</v>
      </c>
      <c r="Q1143" s="51">
        <f>IF(tblWorkPackages[[#This Row],[Actual labor hours]]&gt;tblWorkPackages[[#This Row],[Estimated labor hours]],1,0)</f>
        <v>1</v>
      </c>
      <c r="R1143" s="51">
        <f>tblWorkPackages[[#This Row],[Actual labor hours]]-tblWorkPackages[[#This Row],[Estimated labor hours]]</f>
        <v>0.5</v>
      </c>
      <c r="S1143" s="51" t="str">
        <f>IF(tblWorkPackages[[#This Row],[Request date serial]]&lt;ValidationStart,"Train 2024",IF(tblWorkPackages[[#This Row],[Request date serial]]&lt;HoldoutStart,"Validation H1","Holdout H2"))</f>
        <v>Validation H1</v>
      </c>
      <c r="T1143" s="51">
        <f>IF(tblWorkPackages[[#This Row],[Time split]]="Train 2024","",tblWorkPackages[[#This Row],[Estimated labor hours]]+VLOOKUP(tblWorkPackages[[#This Row],[Task type]],'Forecast validation'!$A$14:$E$25,IF(tblWorkPackages[[#This Row],[Time split]]="Validation H1",4,5),FALSE()))</f>
        <v>7.04146341463415</v>
      </c>
      <c r="U1143" s="51">
        <f>IF(tblWorkPackages[[#This Row],[Calibrated forecast hours]]="","",ABS(tblWorkPackages[[#This Row],[Actual labor hours]]-tblWorkPackages[[#This Row],[Calibrated forecast hours]]))</f>
        <v>0.0585365853658537</v>
      </c>
      <c r="V1143" s="51">
        <f>IF(tblWorkPackages[[#This Row],[Time split]]="Train 2024",tblWorkPackages[[#This Row],[Estimated labor hours]],tblWorkPackages[[#This Row],[Calibrated forecast hours]])</f>
        <v>7.04146341463415</v>
      </c>
      <c r="W1143" s="64">
        <f>DATEVALUE(tblWorkPackages[[#This Row],[Request date]])</f>
        <v>45722.0</v>
      </c>
      <c r="X1143" s="64">
        <f>DATEVALUE(tblWorkPackages[[#This Row],[Due date]])</f>
        <v>45735.0</v>
      </c>
      <c r="Y1143" s="64">
        <f>DATEVALUE(tblWorkPackages[[#This Row],[Completion date]])</f>
        <v>45740.0</v>
      </c>
      <c r="Z1143" s="64">
        <f>_xlfn.MINIFS(tblLaborEntries[Work date serial],tblLaborEntries[Work package ID],tblWorkPackages[[#This Row],[Work package ID]])</f>
        <v>45737.0</v>
      </c>
      <c r="AA1143" s="64">
        <f>_xlfn.MAXIFS(tblLaborEntries[Work date serial],tblLaborEntries[Work package ID],tblWorkPackages[[#This Row],[Work package ID]])</f>
        <v>45739.0</v>
      </c>
      <c r="AB1143" s="65">
        <f>IF(tblWorkPackages[[#This Row],[Completion date serial]]&gt;tblWorkPackages[[#This Row],[Due date serial]],1,0)</f>
        <v>1</v>
      </c>
      <c r="AC1143" s="65">
        <f>MAX(0,tblWorkPackages[[#This Row],[Completion date serial]]-tblWorkPackages[[#This Row],[Due date serial]])</f>
        <v>5</v>
      </c>
      <c r="AD1143" s="65">
        <f>tblWorkPackages[[#This Row],[First labor date]]-tblWorkPackages[[#This Row],[Request date serial]]</f>
        <v>15</v>
      </c>
      <c r="AE1143" s="65">
        <f>tblWorkPackages[[#This Row],[Last labor date]]-tblWorkPackages[[#This Row],[First labor date]]</f>
        <v>2</v>
      </c>
      <c r="AF1143" s="65">
        <f>tblWorkPackages[[#This Row],[Completion date serial]]-tblWorkPackages[[#This Row],[Last labor date]]</f>
        <v>1</v>
      </c>
      <c r="AG1143" s="65">
        <f>tblWorkPackages[[#This Row],[Completion date serial]]-tblWorkPackages[[#This Row],[Request date serial]]</f>
        <v>18</v>
      </c>
      <c r="AH1143" s="65">
        <f>IFERROR(INDEX(tblParts[Delay days],MATCH(tblWorkPackages[[#This Row],[Work package ID]],tblParts[Work package ID],0)),0)</f>
        <v>0</v>
      </c>
      <c r="AI1143" s="51" t="str">
        <f>IFERROR(INDEX(tblDisruptions[Event type],MATCH(tblWorkPackages[[#This Row],[Work package ID]],tblDisruptions[Work package ID],0)),"None")</f>
        <v>None</v>
      </c>
      <c r="AJ1143" s="51" t="str">
        <f>TEXT(tblWorkPackages[[#This Row],[Due date serial]],"yyyy-mm")</f>
        <v>2025-03</v>
      </c>
    </row>
    <row r="1144" spans="1:36" ht="15" x14ac:dyDescent="0.25">
      <c r="A1144" s="53" t="s">
        <v>2050</v>
      </c>
      <c r="B1144" s="53" t="s">
        <v>124</v>
      </c>
      <c r="C1144" s="53" t="s">
        <v>1534</v>
      </c>
      <c r="D1144" s="53" t="s">
        <v>307</v>
      </c>
      <c r="E1144" s="53" t="s">
        <v>237</v>
      </c>
      <c r="F1144" s="53" t="s">
        <v>182</v>
      </c>
      <c r="G1144" s="53" t="s">
        <v>138</v>
      </c>
      <c r="H1144" s="53">
        <v>3</v>
      </c>
      <c r="I1144" s="53" t="s">
        <v>130</v>
      </c>
      <c r="J1144" s="53">
        <v>0</v>
      </c>
      <c r="K1144" s="53">
        <v>0</v>
      </c>
      <c r="L1144" s="53">
        <v>6.4</v>
      </c>
      <c r="M1144" s="53" t="s">
        <v>1133</v>
      </c>
      <c r="N1144" s="53">
        <v>6.4</v>
      </c>
      <c r="O1144" s="51" t="str">
        <f>TEXT(tblWorkPackages[[#This Row],[Request date serial]]-WEEKDAY(tblWorkPackages[[#This Row],[Request date serial]],3),"yyyy-mm-dd")</f>
        <v>2025-10-20</v>
      </c>
      <c r="P1144" s="51">
        <f>ABS(tblWorkPackages[[#This Row],[Actual labor hours]]-tblWorkPackages[[#This Row],[Estimated labor hours]])</f>
        <v>0</v>
      </c>
      <c r="Q1144" s="51">
        <f>IF(tblWorkPackages[[#This Row],[Actual labor hours]]&gt;tblWorkPackages[[#This Row],[Estimated labor hours]],1,0)</f>
        <v>0</v>
      </c>
      <c r="R1144" s="51">
        <f>tblWorkPackages[[#This Row],[Actual labor hours]]-tblWorkPackages[[#This Row],[Estimated labor hours]]</f>
        <v>0</v>
      </c>
      <c r="S1144" s="51" t="str">
        <f>IF(tblWorkPackages[[#This Row],[Request date serial]]&lt;ValidationStart,"Train 2024",IF(tblWorkPackages[[#This Row],[Request date serial]]&lt;HoldoutStart,"Validation H1","Holdout H2"))</f>
        <v>Holdout H2</v>
      </c>
      <c r="T1144" s="51">
        <f>IF(tblWorkPackages[[#This Row],[Time split]]="Train 2024","",tblWorkPackages[[#This Row],[Estimated labor hours]]+VLOOKUP(tblWorkPackages[[#This Row],[Task type]],'Forecast validation'!$A$14:$E$25,IF(tblWorkPackages[[#This Row],[Time split]]="Validation H1",4,5),FALSE()))</f>
        <v>6.853125</v>
      </c>
      <c r="U1144" s="51">
        <f>IF(tblWorkPackages[[#This Row],[Calibrated forecast hours]]="","",ABS(tblWorkPackages[[#This Row],[Actual labor hours]]-tblWorkPackages[[#This Row],[Calibrated forecast hours]]))</f>
        <v>0.453125</v>
      </c>
      <c r="V1144" s="51">
        <f>IF(tblWorkPackages[[#This Row],[Time split]]="Train 2024",tblWorkPackages[[#This Row],[Estimated labor hours]],tblWorkPackages[[#This Row],[Calibrated forecast hours]])</f>
        <v>6.853125</v>
      </c>
      <c r="W1144" s="64">
        <f>DATEVALUE(tblWorkPackages[[#This Row],[Request date]])</f>
        <v>45951.0</v>
      </c>
      <c r="X1144" s="64">
        <f>DATEVALUE(tblWorkPackages[[#This Row],[Due date]])</f>
        <v>45964.0</v>
      </c>
      <c r="Y1144" s="64">
        <f>DATEVALUE(tblWorkPackages[[#This Row],[Completion date]])</f>
        <v>45957.0</v>
      </c>
      <c r="Z1144" s="64">
        <f>_xlfn.MINIFS(tblLaborEntries[Work date serial],tblLaborEntries[Work package ID],tblWorkPackages[[#This Row],[Work package ID]])</f>
        <v>45955.0</v>
      </c>
      <c r="AA1144" s="64">
        <f>_xlfn.MAXIFS(tblLaborEntries[Work date serial],tblLaborEntries[Work package ID],tblWorkPackages[[#This Row],[Work package ID]])</f>
        <v>45955.0</v>
      </c>
      <c r="AB1144" s="65">
        <f>IF(tblWorkPackages[[#This Row],[Completion date serial]]&gt;tblWorkPackages[[#This Row],[Due date serial]],1,0)</f>
        <v>0</v>
      </c>
      <c r="AC1144" s="65">
        <f>MAX(0,tblWorkPackages[[#This Row],[Completion date serial]]-tblWorkPackages[[#This Row],[Due date serial]])</f>
        <v>0</v>
      </c>
      <c r="AD1144" s="65">
        <f>tblWorkPackages[[#This Row],[First labor date]]-tblWorkPackages[[#This Row],[Request date serial]]</f>
        <v>4</v>
      </c>
      <c r="AE1144" s="65">
        <f>tblWorkPackages[[#This Row],[Last labor date]]-tblWorkPackages[[#This Row],[First labor date]]</f>
        <v>0</v>
      </c>
      <c r="AF1144" s="65">
        <f>tblWorkPackages[[#This Row],[Completion date serial]]-tblWorkPackages[[#This Row],[Last labor date]]</f>
        <v>2</v>
      </c>
      <c r="AG1144" s="65">
        <f>tblWorkPackages[[#This Row],[Completion date serial]]-tblWorkPackages[[#This Row],[Request date serial]]</f>
        <v>6</v>
      </c>
      <c r="AH1144" s="65">
        <f>IFERROR(INDEX(tblParts[Delay days],MATCH(tblWorkPackages[[#This Row],[Work package ID]],tblParts[Work package ID],0)),0)</f>
        <v>0</v>
      </c>
      <c r="AI1144" s="51" t="str">
        <f>IFERROR(INDEX(tblDisruptions[Event type],MATCH(tblWorkPackages[[#This Row],[Work package ID]],tblDisruptions[Work package ID],0)),"None")</f>
        <v>None</v>
      </c>
      <c r="AJ1144" s="51" t="str">
        <f>TEXT(tblWorkPackages[[#This Row],[Due date serial]],"yyyy-mm")</f>
        <v>2025-11</v>
      </c>
    </row>
    <row r="1145" spans="1:36" ht="15" x14ac:dyDescent="0.25">
      <c r="A1145" s="53" t="s">
        <v>2051</v>
      </c>
      <c r="B1145" s="53" t="s">
        <v>250</v>
      </c>
      <c r="C1145" s="53" t="s">
        <v>188</v>
      </c>
      <c r="D1145" s="53" t="s">
        <v>826</v>
      </c>
      <c r="E1145" s="53" t="s">
        <v>200</v>
      </c>
      <c r="F1145" s="53" t="s">
        <v>128</v>
      </c>
      <c r="G1145" s="53" t="s">
        <v>129</v>
      </c>
      <c r="H1145" s="53">
        <v>1</v>
      </c>
      <c r="I1145" s="53" t="s">
        <v>130</v>
      </c>
      <c r="J1145" s="53">
        <v>0</v>
      </c>
      <c r="K1145" s="53">
        <v>0</v>
      </c>
      <c r="L1145" s="53">
        <v>2.1</v>
      </c>
      <c r="M1145" s="53" t="s">
        <v>413</v>
      </c>
      <c r="N1145" s="53">
        <v>2.1</v>
      </c>
      <c r="O1145" s="51" t="str">
        <f>TEXT(tblWorkPackages[[#This Row],[Request date serial]]-WEEKDAY(tblWorkPackages[[#This Row],[Request date serial]],3),"yyyy-mm-dd")</f>
        <v>2025-02-17</v>
      </c>
      <c r="P1145" s="51">
        <f>ABS(tblWorkPackages[[#This Row],[Actual labor hours]]-tblWorkPackages[[#This Row],[Estimated labor hours]])</f>
        <v>0</v>
      </c>
      <c r="Q1145" s="51">
        <f>IF(tblWorkPackages[[#This Row],[Actual labor hours]]&gt;tblWorkPackages[[#This Row],[Estimated labor hours]],1,0)</f>
        <v>0</v>
      </c>
      <c r="R1145" s="51">
        <f>tblWorkPackages[[#This Row],[Actual labor hours]]-tblWorkPackages[[#This Row],[Estimated labor hours]]</f>
        <v>0</v>
      </c>
      <c r="S1145" s="51" t="str">
        <f>IF(tblWorkPackages[[#This Row],[Request date serial]]&lt;ValidationStart,"Train 2024",IF(tblWorkPackages[[#This Row],[Request date serial]]&lt;HoldoutStart,"Validation H1","Holdout H2"))</f>
        <v>Validation H1</v>
      </c>
      <c r="T1145" s="51">
        <f>IF(tblWorkPackages[[#This Row],[Time split]]="Train 2024","",tblWorkPackages[[#This Row],[Estimated labor hours]]+VLOOKUP(tblWorkPackages[[#This Row],[Task type]],'Forecast validation'!$A$14:$E$25,IF(tblWorkPackages[[#This Row],[Time split]]="Validation H1",4,5),FALSE()))</f>
        <v>2.43069306930693</v>
      </c>
      <c r="U1145" s="51">
        <f>IF(tblWorkPackages[[#This Row],[Calibrated forecast hours]]="","",ABS(tblWorkPackages[[#This Row],[Actual labor hours]]-tblWorkPackages[[#This Row],[Calibrated forecast hours]]))</f>
        <v>0.330693069306931</v>
      </c>
      <c r="V1145" s="51">
        <f>IF(tblWorkPackages[[#This Row],[Time split]]="Train 2024",tblWorkPackages[[#This Row],[Estimated labor hours]],tblWorkPackages[[#This Row],[Calibrated forecast hours]])</f>
        <v>2.43069306930693</v>
      </c>
      <c r="W1145" s="64">
        <f>DATEVALUE(tblWorkPackages[[#This Row],[Request date]])</f>
        <v>45711.0</v>
      </c>
      <c r="X1145" s="64">
        <f>DATEVALUE(tblWorkPackages[[#This Row],[Due date]])</f>
        <v>45724.0</v>
      </c>
      <c r="Y1145" s="64">
        <f>DATEVALUE(tblWorkPackages[[#This Row],[Completion date]])</f>
        <v>45717.0</v>
      </c>
      <c r="Z1145" s="64">
        <f>_xlfn.MINIFS(tblLaborEntries[Work date serial],tblLaborEntries[Work package ID],tblWorkPackages[[#This Row],[Work package ID]])</f>
        <v>45712.0</v>
      </c>
      <c r="AA1145" s="64">
        <f>_xlfn.MAXIFS(tblLaborEntries[Work date serial],tblLaborEntries[Work package ID],tblWorkPackages[[#This Row],[Work package ID]])</f>
        <v>45714.0</v>
      </c>
      <c r="AB1145" s="65">
        <f>IF(tblWorkPackages[[#This Row],[Completion date serial]]&gt;tblWorkPackages[[#This Row],[Due date serial]],1,0)</f>
        <v>0</v>
      </c>
      <c r="AC1145" s="65">
        <f>MAX(0,tblWorkPackages[[#This Row],[Completion date serial]]-tblWorkPackages[[#This Row],[Due date serial]])</f>
        <v>0</v>
      </c>
      <c r="AD1145" s="65">
        <f>tblWorkPackages[[#This Row],[First labor date]]-tblWorkPackages[[#This Row],[Request date serial]]</f>
        <v>1</v>
      </c>
      <c r="AE1145" s="65">
        <f>tblWorkPackages[[#This Row],[Last labor date]]-tblWorkPackages[[#This Row],[First labor date]]</f>
        <v>2</v>
      </c>
      <c r="AF1145" s="65">
        <f>tblWorkPackages[[#This Row],[Completion date serial]]-tblWorkPackages[[#This Row],[Last labor date]]</f>
        <v>3</v>
      </c>
      <c r="AG1145" s="65">
        <f>tblWorkPackages[[#This Row],[Completion date serial]]-tblWorkPackages[[#This Row],[Request date serial]]</f>
        <v>6</v>
      </c>
      <c r="AH1145" s="65">
        <f>IFERROR(INDEX(tblParts[Delay days],MATCH(tblWorkPackages[[#This Row],[Work package ID]],tblParts[Work package ID],0)),0)</f>
        <v>0</v>
      </c>
      <c r="AI1145" s="51" t="str">
        <f>IFERROR(INDEX(tblDisruptions[Event type],MATCH(tblWorkPackages[[#This Row],[Work package ID]],tblDisruptions[Work package ID],0)),"None")</f>
        <v>None</v>
      </c>
      <c r="AJ1145" s="51" t="str">
        <f>TEXT(tblWorkPackages[[#This Row],[Due date serial]],"yyyy-mm")</f>
        <v>2025-03</v>
      </c>
    </row>
    <row r="1146" spans="1:36" ht="15" x14ac:dyDescent="0.25">
      <c r="A1146" s="53" t="s">
        <v>2052</v>
      </c>
      <c r="B1146" s="53" t="s">
        <v>250</v>
      </c>
      <c r="C1146" s="53" t="s">
        <v>289</v>
      </c>
      <c r="D1146" s="53" t="s">
        <v>941</v>
      </c>
      <c r="E1146" s="53" t="s">
        <v>200</v>
      </c>
      <c r="F1146" s="53" t="s">
        <v>128</v>
      </c>
      <c r="G1146" s="53" t="s">
        <v>129</v>
      </c>
      <c r="H1146" s="53">
        <v>2</v>
      </c>
      <c r="I1146" s="53" t="s">
        <v>130</v>
      </c>
      <c r="J1146" s="53">
        <v>0</v>
      </c>
      <c r="K1146" s="53">
        <v>1</v>
      </c>
      <c r="L1146" s="53">
        <v>2.7</v>
      </c>
      <c r="M1146" s="53" t="s">
        <v>943</v>
      </c>
      <c r="N1146" s="53">
        <v>3.1</v>
      </c>
      <c r="O1146" s="51" t="str">
        <f>TEXT(tblWorkPackages[[#This Row],[Request date serial]]-WEEKDAY(tblWorkPackages[[#This Row],[Request date serial]],3),"yyyy-mm-dd")</f>
        <v>2025-09-15</v>
      </c>
      <c r="P1146" s="51">
        <f>ABS(tblWorkPackages[[#This Row],[Actual labor hours]]-tblWorkPackages[[#This Row],[Estimated labor hours]])</f>
        <v>0.4</v>
      </c>
      <c r="Q1146" s="51">
        <f>IF(tblWorkPackages[[#This Row],[Actual labor hours]]&gt;tblWorkPackages[[#This Row],[Estimated labor hours]],1,0)</f>
        <v>1</v>
      </c>
      <c r="R1146" s="51">
        <f>tblWorkPackages[[#This Row],[Actual labor hours]]-tblWorkPackages[[#This Row],[Estimated labor hours]]</f>
        <v>0.4</v>
      </c>
      <c r="S1146" s="51" t="str">
        <f>IF(tblWorkPackages[[#This Row],[Request date serial]]&lt;ValidationStart,"Train 2024",IF(tblWorkPackages[[#This Row],[Request date serial]]&lt;HoldoutStart,"Validation H1","Holdout H2"))</f>
        <v>Holdout H2</v>
      </c>
      <c r="T1146" s="51">
        <f>IF(tblWorkPackages[[#This Row],[Time split]]="Train 2024","",tblWorkPackages[[#This Row],[Estimated labor hours]]+VLOOKUP(tblWorkPackages[[#This Row],[Task type]],'Forecast validation'!$A$14:$E$25,IF(tblWorkPackages[[#This Row],[Time split]]="Validation H1",4,5),FALSE()))</f>
        <v>3.02893081761006</v>
      </c>
      <c r="U1146" s="51">
        <f>IF(tblWorkPackages[[#This Row],[Calibrated forecast hours]]="","",ABS(tblWorkPackages[[#This Row],[Actual labor hours]]-tblWorkPackages[[#This Row],[Calibrated forecast hours]]))</f>
        <v>0.071069182389937</v>
      </c>
      <c r="V1146" s="51">
        <f>IF(tblWorkPackages[[#This Row],[Time split]]="Train 2024",tblWorkPackages[[#This Row],[Estimated labor hours]],tblWorkPackages[[#This Row],[Calibrated forecast hours]])</f>
        <v>3.02893081761006</v>
      </c>
      <c r="W1146" s="64">
        <f>DATEVALUE(tblWorkPackages[[#This Row],[Request date]])</f>
        <v>45920.0</v>
      </c>
      <c r="X1146" s="64">
        <f>DATEVALUE(tblWorkPackages[[#This Row],[Due date]])</f>
        <v>45933.0</v>
      </c>
      <c r="Y1146" s="64">
        <f>DATEVALUE(tblWorkPackages[[#This Row],[Completion date]])</f>
        <v>45944.0</v>
      </c>
      <c r="Z1146" s="64">
        <f>_xlfn.MINIFS(tblLaborEntries[Work date serial],tblLaborEntries[Work package ID],tblWorkPackages[[#This Row],[Work package ID]])</f>
        <v>45943.0</v>
      </c>
      <c r="AA1146" s="64">
        <f>_xlfn.MAXIFS(tblLaborEntries[Work date serial],tblLaborEntries[Work package ID],tblWorkPackages[[#This Row],[Work package ID]])</f>
        <v>45944.0</v>
      </c>
      <c r="AB1146" s="65">
        <f>IF(tblWorkPackages[[#This Row],[Completion date serial]]&gt;tblWorkPackages[[#This Row],[Due date serial]],1,0)</f>
        <v>1</v>
      </c>
      <c r="AC1146" s="65">
        <f>MAX(0,tblWorkPackages[[#This Row],[Completion date serial]]-tblWorkPackages[[#This Row],[Due date serial]])</f>
        <v>11</v>
      </c>
      <c r="AD1146" s="65">
        <f>tblWorkPackages[[#This Row],[First labor date]]-tblWorkPackages[[#This Row],[Request date serial]]</f>
        <v>23</v>
      </c>
      <c r="AE1146" s="65">
        <f>tblWorkPackages[[#This Row],[Last labor date]]-tblWorkPackages[[#This Row],[First labor date]]</f>
        <v>1</v>
      </c>
      <c r="AF1146" s="65">
        <f>tblWorkPackages[[#This Row],[Completion date serial]]-tblWorkPackages[[#This Row],[Last labor date]]</f>
        <v>0</v>
      </c>
      <c r="AG1146" s="65">
        <f>tblWorkPackages[[#This Row],[Completion date serial]]-tblWorkPackages[[#This Row],[Request date serial]]</f>
        <v>24</v>
      </c>
      <c r="AH1146" s="65">
        <f>IFERROR(INDEX(tblParts[Delay days],MATCH(tblWorkPackages[[#This Row],[Work package ID]],tblParts[Work package ID],0)),0)</f>
        <v>13</v>
      </c>
      <c r="AI1146" s="51" t="str">
        <f>IFERROR(INDEX(tblDisruptions[Event type],MATCH(tblWorkPackages[[#This Row],[Work package ID]],tblDisruptions[Work package ID],0)),"None")</f>
        <v>Part delay</v>
      </c>
      <c r="AJ1146" s="51" t="str">
        <f>TEXT(tblWorkPackages[[#This Row],[Due date serial]],"yyyy-mm")</f>
        <v>2025-10</v>
      </c>
    </row>
    <row r="1147" spans="1:36" ht="15" x14ac:dyDescent="0.25">
      <c r="A1147" s="53" t="s">
        <v>2053</v>
      </c>
      <c r="B1147" s="53" t="s">
        <v>185</v>
      </c>
      <c r="C1147" s="53" t="s">
        <v>670</v>
      </c>
      <c r="D1147" s="53" t="s">
        <v>683</v>
      </c>
      <c r="E1147" s="53" t="s">
        <v>136</v>
      </c>
      <c r="F1147" s="53" t="s">
        <v>137</v>
      </c>
      <c r="G1147" s="53" t="s">
        <v>138</v>
      </c>
      <c r="H1147" s="53">
        <v>3</v>
      </c>
      <c r="I1147" s="53" t="s">
        <v>176</v>
      </c>
      <c r="J1147" s="53">
        <v>0</v>
      </c>
      <c r="K1147" s="53">
        <v>0</v>
      </c>
      <c r="L1147" s="53">
        <v>18.399999999999999</v>
      </c>
      <c r="M1147" s="53" t="s">
        <v>463</v>
      </c>
      <c r="N1147" s="53">
        <v>14.2</v>
      </c>
      <c r="O1147" s="51" t="str">
        <f>TEXT(tblWorkPackages[[#This Row],[Request date serial]]-WEEKDAY(tblWorkPackages[[#This Row],[Request date serial]],3),"yyyy-mm-dd")</f>
        <v>2025-09-22</v>
      </c>
      <c r="P1147" s="51">
        <f>ABS(tblWorkPackages[[#This Row],[Actual labor hours]]-tblWorkPackages[[#This Row],[Estimated labor hours]])</f>
        <v>4.2</v>
      </c>
      <c r="Q1147" s="51">
        <f>IF(tblWorkPackages[[#This Row],[Actual labor hours]]&gt;tblWorkPackages[[#This Row],[Estimated labor hours]],1,0)</f>
        <v>0</v>
      </c>
      <c r="R1147" s="51">
        <f>tblWorkPackages[[#This Row],[Actual labor hours]]-tblWorkPackages[[#This Row],[Estimated labor hours]]</f>
        <v>-4.2</v>
      </c>
      <c r="S1147" s="51" t="str">
        <f>IF(tblWorkPackages[[#This Row],[Request date serial]]&lt;ValidationStart,"Train 2024",IF(tblWorkPackages[[#This Row],[Request date serial]]&lt;HoldoutStart,"Validation H1","Holdout H2"))</f>
        <v>Holdout H2</v>
      </c>
      <c r="T1147" s="51">
        <f>IF(tblWorkPackages[[#This Row],[Time split]]="Train 2024","",tblWorkPackages[[#This Row],[Estimated labor hours]]+VLOOKUP(tblWorkPackages[[#This Row],[Task type]],'Forecast validation'!$A$14:$E$25,IF(tblWorkPackages[[#This Row],[Time split]]="Validation H1",4,5),FALSE()))</f>
        <v>19.3207547169811</v>
      </c>
      <c r="U1147" s="51">
        <f>IF(tblWorkPackages[[#This Row],[Calibrated forecast hours]]="","",ABS(tblWorkPackages[[#This Row],[Actual labor hours]]-tblWorkPackages[[#This Row],[Calibrated forecast hours]]))</f>
        <v>5.12075471698113</v>
      </c>
      <c r="V1147" s="51">
        <f>IF(tblWorkPackages[[#This Row],[Time split]]="Train 2024",tblWorkPackages[[#This Row],[Estimated labor hours]],tblWorkPackages[[#This Row],[Calibrated forecast hours]])</f>
        <v>19.3207547169811</v>
      </c>
      <c r="W1147" s="64">
        <f>DATEVALUE(tblWorkPackages[[#This Row],[Request date]])</f>
        <v>45926.0</v>
      </c>
      <c r="X1147" s="64">
        <f>DATEVALUE(tblWorkPackages[[#This Row],[Due date]])</f>
        <v>45932.0</v>
      </c>
      <c r="Y1147" s="64">
        <f>DATEVALUE(tblWorkPackages[[#This Row],[Completion date]])</f>
        <v>45931.0</v>
      </c>
      <c r="Z1147" s="64">
        <f>_xlfn.MINIFS(tblLaborEntries[Work date serial],tblLaborEntries[Work package ID],tblWorkPackages[[#This Row],[Work package ID]])</f>
        <v>45929.0</v>
      </c>
      <c r="AA1147" s="64">
        <f>_xlfn.MAXIFS(tblLaborEntries[Work date serial],tblLaborEntries[Work package ID],tblWorkPackages[[#This Row],[Work package ID]])</f>
        <v>45930.0</v>
      </c>
      <c r="AB1147" s="65">
        <f>IF(tblWorkPackages[[#This Row],[Completion date serial]]&gt;tblWorkPackages[[#This Row],[Due date serial]],1,0)</f>
        <v>0</v>
      </c>
      <c r="AC1147" s="65">
        <f>MAX(0,tblWorkPackages[[#This Row],[Completion date serial]]-tblWorkPackages[[#This Row],[Due date serial]])</f>
        <v>0</v>
      </c>
      <c r="AD1147" s="65">
        <f>tblWorkPackages[[#This Row],[First labor date]]-tblWorkPackages[[#This Row],[Request date serial]]</f>
        <v>3</v>
      </c>
      <c r="AE1147" s="65">
        <f>tblWorkPackages[[#This Row],[Last labor date]]-tblWorkPackages[[#This Row],[First labor date]]</f>
        <v>1</v>
      </c>
      <c r="AF1147" s="65">
        <f>tblWorkPackages[[#This Row],[Completion date serial]]-tblWorkPackages[[#This Row],[Last labor date]]</f>
        <v>1</v>
      </c>
      <c r="AG1147" s="65">
        <f>tblWorkPackages[[#This Row],[Completion date serial]]-tblWorkPackages[[#This Row],[Request date serial]]</f>
        <v>5</v>
      </c>
      <c r="AH1147" s="65">
        <f>IFERROR(INDEX(tblParts[Delay days],MATCH(tblWorkPackages[[#This Row],[Work package ID]],tblParts[Work package ID],0)),0)</f>
        <v>0</v>
      </c>
      <c r="AI1147" s="51" t="str">
        <f>IFERROR(INDEX(tblDisruptions[Event type],MATCH(tblWorkPackages[[#This Row],[Work package ID]],tblDisruptions[Work package ID],0)),"None")</f>
        <v>None</v>
      </c>
      <c r="AJ1147" s="51" t="str">
        <f>TEXT(tblWorkPackages[[#This Row],[Due date serial]],"yyyy-mm")</f>
        <v>2025-10</v>
      </c>
    </row>
    <row r="1148" spans="1:36" ht="15" x14ac:dyDescent="0.25">
      <c r="A1148" s="53" t="s">
        <v>2054</v>
      </c>
      <c r="B1148" s="53" t="s">
        <v>124</v>
      </c>
      <c r="C1148" s="53" t="s">
        <v>1042</v>
      </c>
      <c r="D1148" s="53" t="s">
        <v>1640</v>
      </c>
      <c r="E1148" s="53" t="s">
        <v>153</v>
      </c>
      <c r="F1148" s="53" t="s">
        <v>128</v>
      </c>
      <c r="G1148" s="53" t="s">
        <v>154</v>
      </c>
      <c r="H1148" s="53">
        <v>4</v>
      </c>
      <c r="I1148" s="53" t="s">
        <v>130</v>
      </c>
      <c r="J1148" s="53">
        <v>0</v>
      </c>
      <c r="K1148" s="53">
        <v>0</v>
      </c>
      <c r="L1148" s="53">
        <v>16.8</v>
      </c>
      <c r="M1148" s="53" t="s">
        <v>894</v>
      </c>
      <c r="N1148" s="53">
        <v>15.7</v>
      </c>
      <c r="O1148" s="51" t="str">
        <f>TEXT(tblWorkPackages[[#This Row],[Request date serial]]-WEEKDAY(tblWorkPackages[[#This Row],[Request date serial]],3),"yyyy-mm-dd")</f>
        <v>2024-08-12</v>
      </c>
      <c r="P1148" s="51">
        <f>ABS(tblWorkPackages[[#This Row],[Actual labor hours]]-tblWorkPackages[[#This Row],[Estimated labor hours]])</f>
        <v>1.1</v>
      </c>
      <c r="Q1148" s="51">
        <f>IF(tblWorkPackages[[#This Row],[Actual labor hours]]&gt;tblWorkPackages[[#This Row],[Estimated labor hours]],1,0)</f>
        <v>0</v>
      </c>
      <c r="R1148" s="51">
        <f>tblWorkPackages[[#This Row],[Actual labor hours]]-tblWorkPackages[[#This Row],[Estimated labor hours]]</f>
        <v>-1.1</v>
      </c>
      <c r="S1148" s="51" t="str">
        <f>IF(tblWorkPackages[[#This Row],[Request date serial]]&lt;ValidationStart,"Train 2024",IF(tblWorkPackages[[#This Row],[Request date serial]]&lt;HoldoutStart,"Validation H1","Holdout H2"))</f>
        <v>Train 2024</v>
      </c>
      <c r="T1148" s="51" t="str">
        <f>IF(tblWorkPackages[[#This Row],[Time split]]="Train 2024","",tblWorkPackages[[#This Row],[Estimated labor hours]]+VLOOKUP(tblWorkPackages[[#This Row],[Task type]],'Forecast validation'!$A$14:$E$25,IF(tblWorkPackages[[#This Row],[Time split]]="Validation H1",4,5),FALSE()))</f>
        <v/>
      </c>
      <c r="U1148" s="51" t="str">
        <f>IF(tblWorkPackages[[#This Row],[Calibrated forecast hours]]="","",ABS(tblWorkPackages[[#This Row],[Actual labor hours]]-tblWorkPackages[[#This Row],[Calibrated forecast hours]]))</f>
        <v/>
      </c>
      <c r="V1148" s="51">
        <f>IF(tblWorkPackages[[#This Row],[Time split]]="Train 2024",tblWorkPackages[[#This Row],[Estimated labor hours]],tblWorkPackages[[#This Row],[Calibrated forecast hours]])</f>
        <v>16.8</v>
      </c>
      <c r="W1148" s="64">
        <f>DATEVALUE(tblWorkPackages[[#This Row],[Request date]])</f>
        <v>45518.0</v>
      </c>
      <c r="X1148" s="64">
        <f>DATEVALUE(tblWorkPackages[[#This Row],[Due date]])</f>
        <v>45531.0</v>
      </c>
      <c r="Y1148" s="64">
        <f>DATEVALUE(tblWorkPackages[[#This Row],[Completion date]])</f>
        <v>45547.0</v>
      </c>
      <c r="Z1148" s="64">
        <f>_xlfn.MINIFS(tblLaborEntries[Work date serial],tblLaborEntries[Work package ID],tblWorkPackages[[#This Row],[Work package ID]])</f>
        <v>45545.0</v>
      </c>
      <c r="AA1148" s="64">
        <f>_xlfn.MAXIFS(tblLaborEntries[Work date serial],tblLaborEntries[Work package ID],tblWorkPackages[[#This Row],[Work package ID]])</f>
        <v>45545.0</v>
      </c>
      <c r="AB1148" s="65">
        <f>IF(tblWorkPackages[[#This Row],[Completion date serial]]&gt;tblWorkPackages[[#This Row],[Due date serial]],1,0)</f>
        <v>1</v>
      </c>
      <c r="AC1148" s="65">
        <f>MAX(0,tblWorkPackages[[#This Row],[Completion date serial]]-tblWorkPackages[[#This Row],[Due date serial]])</f>
        <v>16</v>
      </c>
      <c r="AD1148" s="65">
        <f>tblWorkPackages[[#This Row],[First labor date]]-tblWorkPackages[[#This Row],[Request date serial]]</f>
        <v>27</v>
      </c>
      <c r="AE1148" s="65">
        <f>tblWorkPackages[[#This Row],[Last labor date]]-tblWorkPackages[[#This Row],[First labor date]]</f>
        <v>0</v>
      </c>
      <c r="AF1148" s="65">
        <f>tblWorkPackages[[#This Row],[Completion date serial]]-tblWorkPackages[[#This Row],[Last labor date]]</f>
        <v>2</v>
      </c>
      <c r="AG1148" s="65">
        <f>tblWorkPackages[[#This Row],[Completion date serial]]-tblWorkPackages[[#This Row],[Request date serial]]</f>
        <v>29</v>
      </c>
      <c r="AH1148" s="65">
        <f>IFERROR(INDEX(tblParts[Delay days],MATCH(tblWorkPackages[[#This Row],[Work package ID]],tblParts[Work package ID],0)),0)</f>
        <v>0</v>
      </c>
      <c r="AI1148" s="51" t="str">
        <f>IFERROR(INDEX(tblDisruptions[Event type],MATCH(tblWorkPackages[[#This Row],[Work package ID]],tblDisruptions[Work package ID],0)),"None")</f>
        <v>None</v>
      </c>
      <c r="AJ1148" s="51" t="str">
        <f>TEXT(tblWorkPackages[[#This Row],[Due date serial]],"yyyy-mm")</f>
        <v>2024-08</v>
      </c>
    </row>
    <row r="1149" spans="1:36" ht="15" x14ac:dyDescent="0.25">
      <c r="A1149" s="53" t="s">
        <v>2055</v>
      </c>
      <c r="B1149" s="53" t="s">
        <v>157</v>
      </c>
      <c r="C1149" s="53" t="s">
        <v>1152</v>
      </c>
      <c r="D1149" s="53" t="s">
        <v>527</v>
      </c>
      <c r="E1149" s="53" t="s">
        <v>181</v>
      </c>
      <c r="F1149" s="53" t="s">
        <v>182</v>
      </c>
      <c r="G1149" s="53" t="s">
        <v>138</v>
      </c>
      <c r="H1149" s="53">
        <v>2</v>
      </c>
      <c r="I1149" s="53" t="s">
        <v>130</v>
      </c>
      <c r="J1149" s="53">
        <v>0</v>
      </c>
      <c r="K1149" s="53">
        <v>1</v>
      </c>
      <c r="L1149" s="53">
        <v>6.6</v>
      </c>
      <c r="M1149" s="53" t="s">
        <v>1330</v>
      </c>
      <c r="N1149" s="53">
        <v>7</v>
      </c>
      <c r="O1149" s="51" t="str">
        <f>TEXT(tblWorkPackages[[#This Row],[Request date serial]]-WEEKDAY(tblWorkPackages[[#This Row],[Request date serial]],3),"yyyy-mm-dd")</f>
        <v>2025-08-18</v>
      </c>
      <c r="P1149" s="51">
        <f>ABS(tblWorkPackages[[#This Row],[Actual labor hours]]-tblWorkPackages[[#This Row],[Estimated labor hours]])</f>
        <v>0.4</v>
      </c>
      <c r="Q1149" s="51">
        <f>IF(tblWorkPackages[[#This Row],[Actual labor hours]]&gt;tblWorkPackages[[#This Row],[Estimated labor hours]],1,0)</f>
        <v>1</v>
      </c>
      <c r="R1149" s="51">
        <f>tblWorkPackages[[#This Row],[Actual labor hours]]-tblWorkPackages[[#This Row],[Estimated labor hours]]</f>
        <v>0.4</v>
      </c>
      <c r="S1149" s="51" t="str">
        <f>IF(tblWorkPackages[[#This Row],[Request date serial]]&lt;ValidationStart,"Train 2024",IF(tblWorkPackages[[#This Row],[Request date serial]]&lt;HoldoutStart,"Validation H1","Holdout H2"))</f>
        <v>Holdout H2</v>
      </c>
      <c r="T1149" s="51">
        <f>IF(tblWorkPackages[[#This Row],[Time split]]="Train 2024","",tblWorkPackages[[#This Row],[Estimated labor hours]]+VLOOKUP(tblWorkPackages[[#This Row],[Task type]],'Forecast validation'!$A$14:$E$25,IF(tblWorkPackages[[#This Row],[Time split]]="Validation H1",4,5),FALSE()))</f>
        <v>7.19160839160839</v>
      </c>
      <c r="U1149" s="51">
        <f>IF(tblWorkPackages[[#This Row],[Calibrated forecast hours]]="","",ABS(tblWorkPackages[[#This Row],[Actual labor hours]]-tblWorkPackages[[#This Row],[Calibrated forecast hours]]))</f>
        <v>0.191608391608392</v>
      </c>
      <c r="V1149" s="51">
        <f>IF(tblWorkPackages[[#This Row],[Time split]]="Train 2024",tblWorkPackages[[#This Row],[Estimated labor hours]],tblWorkPackages[[#This Row],[Calibrated forecast hours]])</f>
        <v>7.19160839160839</v>
      </c>
      <c r="W1149" s="64">
        <f>DATEVALUE(tblWorkPackages[[#This Row],[Request date]])</f>
        <v>45893.0</v>
      </c>
      <c r="X1149" s="64">
        <f>DATEVALUE(tblWorkPackages[[#This Row],[Due date]])</f>
        <v>45906.0</v>
      </c>
      <c r="Y1149" s="64">
        <f>DATEVALUE(tblWorkPackages[[#This Row],[Completion date]])</f>
        <v>45909.0</v>
      </c>
      <c r="Z1149" s="64">
        <f>_xlfn.MINIFS(tblLaborEntries[Work date serial],tblLaborEntries[Work package ID],tblWorkPackages[[#This Row],[Work package ID]])</f>
        <v>45905.0</v>
      </c>
      <c r="AA1149" s="64">
        <f>_xlfn.MAXIFS(tblLaborEntries[Work date serial],tblLaborEntries[Work package ID],tblWorkPackages[[#This Row],[Work package ID]])</f>
        <v>45906.0</v>
      </c>
      <c r="AB1149" s="65">
        <f>IF(tblWorkPackages[[#This Row],[Completion date serial]]&gt;tblWorkPackages[[#This Row],[Due date serial]],1,0)</f>
        <v>1</v>
      </c>
      <c r="AC1149" s="65">
        <f>MAX(0,tblWorkPackages[[#This Row],[Completion date serial]]-tblWorkPackages[[#This Row],[Due date serial]])</f>
        <v>3</v>
      </c>
      <c r="AD1149" s="65">
        <f>tblWorkPackages[[#This Row],[First labor date]]-tblWorkPackages[[#This Row],[Request date serial]]</f>
        <v>12</v>
      </c>
      <c r="AE1149" s="65">
        <f>tblWorkPackages[[#This Row],[Last labor date]]-tblWorkPackages[[#This Row],[First labor date]]</f>
        <v>1</v>
      </c>
      <c r="AF1149" s="65">
        <f>tblWorkPackages[[#This Row],[Completion date serial]]-tblWorkPackages[[#This Row],[Last labor date]]</f>
        <v>3</v>
      </c>
      <c r="AG1149" s="65">
        <f>tblWorkPackages[[#This Row],[Completion date serial]]-tblWorkPackages[[#This Row],[Request date serial]]</f>
        <v>16</v>
      </c>
      <c r="AH1149" s="65">
        <f>IFERROR(INDEX(tblParts[Delay days],MATCH(tblWorkPackages[[#This Row],[Work package ID]],tblParts[Work package ID],0)),0)</f>
        <v>7</v>
      </c>
      <c r="AI1149" s="51" t="str">
        <f>IFERROR(INDEX(tblDisruptions[Event type],MATCH(tblWorkPackages[[#This Row],[Work package ID]],tblDisruptions[Work package ID],0)),"None")</f>
        <v>Part delay</v>
      </c>
      <c r="AJ1149" s="51" t="str">
        <f>TEXT(tblWorkPackages[[#This Row],[Due date serial]],"yyyy-mm")</f>
        <v>2025-09</v>
      </c>
    </row>
    <row r="1150" spans="1:36" ht="15" x14ac:dyDescent="0.25">
      <c r="A1150" s="53" t="s">
        <v>2056</v>
      </c>
      <c r="B1150" s="53" t="s">
        <v>230</v>
      </c>
      <c r="C1150" s="53" t="s">
        <v>978</v>
      </c>
      <c r="D1150" s="53" t="s">
        <v>1017</v>
      </c>
      <c r="E1150" s="53" t="s">
        <v>136</v>
      </c>
      <c r="F1150" s="53" t="s">
        <v>137</v>
      </c>
      <c r="G1150" s="53" t="s">
        <v>138</v>
      </c>
      <c r="H1150" s="53">
        <v>4</v>
      </c>
      <c r="I1150" s="53" t="s">
        <v>130</v>
      </c>
      <c r="J1150" s="53">
        <v>0</v>
      </c>
      <c r="K1150" s="53">
        <v>0</v>
      </c>
      <c r="L1150" s="53">
        <v>24.4</v>
      </c>
      <c r="M1150" s="53" t="s">
        <v>325</v>
      </c>
      <c r="N1150" s="53">
        <v>19.8</v>
      </c>
      <c r="O1150" s="51" t="str">
        <f>TEXT(tblWorkPackages[[#This Row],[Request date serial]]-WEEKDAY(tblWorkPackages[[#This Row],[Request date serial]],3),"yyyy-mm-dd")</f>
        <v>2025-10-27</v>
      </c>
      <c r="P1150" s="51">
        <f>ABS(tblWorkPackages[[#This Row],[Actual labor hours]]-tblWorkPackages[[#This Row],[Estimated labor hours]])</f>
        <v>4.6</v>
      </c>
      <c r="Q1150" s="51">
        <f>IF(tblWorkPackages[[#This Row],[Actual labor hours]]&gt;tblWorkPackages[[#This Row],[Estimated labor hours]],1,0)</f>
        <v>0</v>
      </c>
      <c r="R1150" s="51">
        <f>tblWorkPackages[[#This Row],[Actual labor hours]]-tblWorkPackages[[#This Row],[Estimated labor hours]]</f>
        <v>-4.6</v>
      </c>
      <c r="S1150" s="51" t="str">
        <f>IF(tblWorkPackages[[#This Row],[Request date serial]]&lt;ValidationStart,"Train 2024",IF(tblWorkPackages[[#This Row],[Request date serial]]&lt;HoldoutStart,"Validation H1","Holdout H2"))</f>
        <v>Holdout H2</v>
      </c>
      <c r="T1150" s="51">
        <f>IF(tblWorkPackages[[#This Row],[Time split]]="Train 2024","",tblWorkPackages[[#This Row],[Estimated labor hours]]+VLOOKUP(tblWorkPackages[[#This Row],[Task type]],'Forecast validation'!$A$14:$E$25,IF(tblWorkPackages[[#This Row],[Time split]]="Validation H1",4,5),FALSE()))</f>
        <v>25.3207547169811</v>
      </c>
      <c r="U1150" s="51">
        <f>IF(tblWorkPackages[[#This Row],[Calibrated forecast hours]]="","",ABS(tblWorkPackages[[#This Row],[Actual labor hours]]-tblWorkPackages[[#This Row],[Calibrated forecast hours]]))</f>
        <v>5.52075471698113</v>
      </c>
      <c r="V1150" s="51">
        <f>IF(tblWorkPackages[[#This Row],[Time split]]="Train 2024",tblWorkPackages[[#This Row],[Estimated labor hours]],tblWorkPackages[[#This Row],[Calibrated forecast hours]])</f>
        <v>25.3207547169811</v>
      </c>
      <c r="W1150" s="64">
        <f>DATEVALUE(tblWorkPackages[[#This Row],[Request date]])</f>
        <v>45959.0</v>
      </c>
      <c r="X1150" s="64">
        <f>DATEVALUE(tblWorkPackages[[#This Row],[Due date]])</f>
        <v>45972.0</v>
      </c>
      <c r="Y1150" s="64">
        <f>DATEVALUE(tblWorkPackages[[#This Row],[Completion date]])</f>
        <v>45962.0</v>
      </c>
      <c r="Z1150" s="64">
        <f>_xlfn.MINIFS(tblLaborEntries[Work date serial],tblLaborEntries[Work package ID],tblWorkPackages[[#This Row],[Work package ID]])</f>
        <v>45960.0</v>
      </c>
      <c r="AA1150" s="64">
        <f>_xlfn.MAXIFS(tblLaborEntries[Work date serial],tblLaborEntries[Work package ID],tblWorkPackages[[#This Row],[Work package ID]])</f>
        <v>45962.0</v>
      </c>
      <c r="AB1150" s="65">
        <f>IF(tblWorkPackages[[#This Row],[Completion date serial]]&gt;tblWorkPackages[[#This Row],[Due date serial]],1,0)</f>
        <v>0</v>
      </c>
      <c r="AC1150" s="65">
        <f>MAX(0,tblWorkPackages[[#This Row],[Completion date serial]]-tblWorkPackages[[#This Row],[Due date serial]])</f>
        <v>0</v>
      </c>
      <c r="AD1150" s="65">
        <f>tblWorkPackages[[#This Row],[First labor date]]-tblWorkPackages[[#This Row],[Request date serial]]</f>
        <v>1</v>
      </c>
      <c r="AE1150" s="65">
        <f>tblWorkPackages[[#This Row],[Last labor date]]-tblWorkPackages[[#This Row],[First labor date]]</f>
        <v>2</v>
      </c>
      <c r="AF1150" s="65">
        <f>tblWorkPackages[[#This Row],[Completion date serial]]-tblWorkPackages[[#This Row],[Last labor date]]</f>
        <v>0</v>
      </c>
      <c r="AG1150" s="65">
        <f>tblWorkPackages[[#This Row],[Completion date serial]]-tblWorkPackages[[#This Row],[Request date serial]]</f>
        <v>3</v>
      </c>
      <c r="AH1150" s="65">
        <f>IFERROR(INDEX(tblParts[Delay days],MATCH(tblWorkPackages[[#This Row],[Work package ID]],tblParts[Work package ID],0)),0)</f>
        <v>0</v>
      </c>
      <c r="AI1150" s="51" t="str">
        <f>IFERROR(INDEX(tblDisruptions[Event type],MATCH(tblWorkPackages[[#This Row],[Work package ID]],tblDisruptions[Work package ID],0)),"None")</f>
        <v>None</v>
      </c>
      <c r="AJ1150" s="51" t="str">
        <f>TEXT(tblWorkPackages[[#This Row],[Due date serial]],"yyyy-mm")</f>
        <v>2025-11</v>
      </c>
    </row>
    <row r="1151" spans="1:36" ht="15" x14ac:dyDescent="0.25">
      <c r="A1151" s="53" t="s">
        <v>2057</v>
      </c>
      <c r="B1151" s="53" t="s">
        <v>203</v>
      </c>
      <c r="C1151" s="53" t="s">
        <v>2012</v>
      </c>
      <c r="D1151" s="53" t="s">
        <v>1685</v>
      </c>
      <c r="E1151" s="53" t="s">
        <v>181</v>
      </c>
      <c r="F1151" s="53" t="s">
        <v>182</v>
      </c>
      <c r="G1151" s="53" t="s">
        <v>138</v>
      </c>
      <c r="H1151" s="53">
        <v>2</v>
      </c>
      <c r="I1151" s="53" t="s">
        <v>130</v>
      </c>
      <c r="J1151" s="53">
        <v>0</v>
      </c>
      <c r="K1151" s="53">
        <v>0</v>
      </c>
      <c r="L1151" s="53">
        <v>7.8</v>
      </c>
      <c r="M1151" s="53" t="s">
        <v>321</v>
      </c>
      <c r="N1151" s="53">
        <v>9.4</v>
      </c>
      <c r="O1151" s="51" t="str">
        <f>TEXT(tblWorkPackages[[#This Row],[Request date serial]]-WEEKDAY(tblWorkPackages[[#This Row],[Request date serial]],3),"yyyy-mm-dd")</f>
        <v>2024-03-18</v>
      </c>
      <c r="P1151" s="51">
        <f>ABS(tblWorkPackages[[#This Row],[Actual labor hours]]-tblWorkPackages[[#This Row],[Estimated labor hours]])</f>
        <v>1.6</v>
      </c>
      <c r="Q1151" s="51">
        <f>IF(tblWorkPackages[[#This Row],[Actual labor hours]]&gt;tblWorkPackages[[#This Row],[Estimated labor hours]],1,0)</f>
        <v>1</v>
      </c>
      <c r="R1151" s="51">
        <f>tblWorkPackages[[#This Row],[Actual labor hours]]-tblWorkPackages[[#This Row],[Estimated labor hours]]</f>
        <v>1.6</v>
      </c>
      <c r="S1151" s="51" t="str">
        <f>IF(tblWorkPackages[[#This Row],[Request date serial]]&lt;ValidationStart,"Train 2024",IF(tblWorkPackages[[#This Row],[Request date serial]]&lt;HoldoutStart,"Validation H1","Holdout H2"))</f>
        <v>Train 2024</v>
      </c>
      <c r="T1151" s="51" t="str">
        <f>IF(tblWorkPackages[[#This Row],[Time split]]="Train 2024","",tblWorkPackages[[#This Row],[Estimated labor hours]]+VLOOKUP(tblWorkPackages[[#This Row],[Task type]],'Forecast validation'!$A$14:$E$25,IF(tblWorkPackages[[#This Row],[Time split]]="Validation H1",4,5),FALSE()))</f>
        <v/>
      </c>
      <c r="U1151" s="51" t="str">
        <f>IF(tblWorkPackages[[#This Row],[Calibrated forecast hours]]="","",ABS(tblWorkPackages[[#This Row],[Actual labor hours]]-tblWorkPackages[[#This Row],[Calibrated forecast hours]]))</f>
        <v/>
      </c>
      <c r="V1151" s="51">
        <f>IF(tblWorkPackages[[#This Row],[Time split]]="Train 2024",tblWorkPackages[[#This Row],[Estimated labor hours]],tblWorkPackages[[#This Row],[Calibrated forecast hours]])</f>
        <v>7.8</v>
      </c>
      <c r="W1151" s="64">
        <f>DATEVALUE(tblWorkPackages[[#This Row],[Request date]])</f>
        <v>45374.0</v>
      </c>
      <c r="X1151" s="64">
        <f>DATEVALUE(tblWorkPackages[[#This Row],[Due date]])</f>
        <v>45387.0</v>
      </c>
      <c r="Y1151" s="64">
        <f>DATEVALUE(tblWorkPackages[[#This Row],[Completion date]])</f>
        <v>45388.0</v>
      </c>
      <c r="Z1151" s="64">
        <f>_xlfn.MINIFS(tblLaborEntries[Work date serial],tblLaborEntries[Work package ID],tblWorkPackages[[#This Row],[Work package ID]])</f>
        <v>45387.0</v>
      </c>
      <c r="AA1151" s="64">
        <f>_xlfn.MAXIFS(tblLaborEntries[Work date serial],tblLaborEntries[Work package ID],tblWorkPackages[[#This Row],[Work package ID]])</f>
        <v>45387.0</v>
      </c>
      <c r="AB1151" s="65">
        <f>IF(tblWorkPackages[[#This Row],[Completion date serial]]&gt;tblWorkPackages[[#This Row],[Due date serial]],1,0)</f>
        <v>1</v>
      </c>
      <c r="AC1151" s="65">
        <f>MAX(0,tblWorkPackages[[#This Row],[Completion date serial]]-tblWorkPackages[[#This Row],[Due date serial]])</f>
        <v>1</v>
      </c>
      <c r="AD1151" s="65">
        <f>tblWorkPackages[[#This Row],[First labor date]]-tblWorkPackages[[#This Row],[Request date serial]]</f>
        <v>13</v>
      </c>
      <c r="AE1151" s="65">
        <f>tblWorkPackages[[#This Row],[Last labor date]]-tblWorkPackages[[#This Row],[First labor date]]</f>
        <v>0</v>
      </c>
      <c r="AF1151" s="65">
        <f>tblWorkPackages[[#This Row],[Completion date serial]]-tblWorkPackages[[#This Row],[Last labor date]]</f>
        <v>1</v>
      </c>
      <c r="AG1151" s="65">
        <f>tblWorkPackages[[#This Row],[Completion date serial]]-tblWorkPackages[[#This Row],[Request date serial]]</f>
        <v>14</v>
      </c>
      <c r="AH1151" s="65">
        <f>IFERROR(INDEX(tblParts[Delay days],MATCH(tblWorkPackages[[#This Row],[Work package ID]],tblParts[Work package ID],0)),0)</f>
        <v>0</v>
      </c>
      <c r="AI1151" s="51" t="str">
        <f>IFERROR(INDEX(tblDisruptions[Event type],MATCH(tblWorkPackages[[#This Row],[Work package ID]],tblDisruptions[Work package ID],0)),"None")</f>
        <v>None</v>
      </c>
      <c r="AJ1151" s="51" t="str">
        <f>TEXT(tblWorkPackages[[#This Row],[Due date serial]],"yyyy-mm")</f>
        <v>2024-04</v>
      </c>
    </row>
    <row r="1152" spans="1:36" ht="15" x14ac:dyDescent="0.25">
      <c r="A1152" s="53" t="s">
        <v>2058</v>
      </c>
      <c r="B1152" s="53" t="s">
        <v>157</v>
      </c>
      <c r="C1152" s="53" t="s">
        <v>466</v>
      </c>
      <c r="D1152" s="53" t="s">
        <v>467</v>
      </c>
      <c r="E1152" s="53" t="s">
        <v>153</v>
      </c>
      <c r="F1152" s="53" t="s">
        <v>128</v>
      </c>
      <c r="G1152" s="53" t="s">
        <v>154</v>
      </c>
      <c r="H1152" s="53">
        <v>4</v>
      </c>
      <c r="I1152" s="53" t="s">
        <v>176</v>
      </c>
      <c r="J1152" s="53">
        <v>0</v>
      </c>
      <c r="K1152" s="53">
        <v>0</v>
      </c>
      <c r="L1152" s="53">
        <v>17.899999999999999</v>
      </c>
      <c r="M1152" s="53" t="s">
        <v>467</v>
      </c>
      <c r="N1152" s="53">
        <v>15</v>
      </c>
      <c r="O1152" s="51" t="str">
        <f>TEXT(tblWorkPackages[[#This Row],[Request date serial]]-WEEKDAY(tblWorkPackages[[#This Row],[Request date serial]],3),"yyyy-mm-dd")</f>
        <v>2025-03-24</v>
      </c>
      <c r="P1152" s="51">
        <f>ABS(tblWorkPackages[[#This Row],[Actual labor hours]]-tblWorkPackages[[#This Row],[Estimated labor hours]])</f>
        <v>2.9</v>
      </c>
      <c r="Q1152" s="51">
        <f>IF(tblWorkPackages[[#This Row],[Actual labor hours]]&gt;tblWorkPackages[[#This Row],[Estimated labor hours]],1,0)</f>
        <v>0</v>
      </c>
      <c r="R1152" s="51">
        <f>tblWorkPackages[[#This Row],[Actual labor hours]]-tblWorkPackages[[#This Row],[Estimated labor hours]]</f>
        <v>-2.9</v>
      </c>
      <c r="S1152" s="51" t="str">
        <f>IF(tblWorkPackages[[#This Row],[Request date serial]]&lt;ValidationStart,"Train 2024",IF(tblWorkPackages[[#This Row],[Request date serial]]&lt;HoldoutStart,"Validation H1","Holdout H2"))</f>
        <v>Validation H1</v>
      </c>
      <c r="T1152" s="51">
        <f>IF(tblWorkPackages[[#This Row],[Time split]]="Train 2024","",tblWorkPackages[[#This Row],[Estimated labor hours]]+VLOOKUP(tblWorkPackages[[#This Row],[Task type]],'Forecast validation'!$A$14:$E$25,IF(tblWorkPackages[[#This Row],[Time split]]="Validation H1",4,5),FALSE()))</f>
        <v>18.4462264150943</v>
      </c>
      <c r="U1152" s="51">
        <f>IF(tblWorkPackages[[#This Row],[Calibrated forecast hours]]="","",ABS(tblWorkPackages[[#This Row],[Actual labor hours]]-tblWorkPackages[[#This Row],[Calibrated forecast hours]]))</f>
        <v>3.44622641509434</v>
      </c>
      <c r="V1152" s="51">
        <f>IF(tblWorkPackages[[#This Row],[Time split]]="Train 2024",tblWorkPackages[[#This Row],[Estimated labor hours]],tblWorkPackages[[#This Row],[Calibrated forecast hours]])</f>
        <v>18.4462264150943</v>
      </c>
      <c r="W1152" s="64">
        <f>DATEVALUE(tblWorkPackages[[#This Row],[Request date]])</f>
        <v>45746.0</v>
      </c>
      <c r="X1152" s="64">
        <f>DATEVALUE(tblWorkPackages[[#This Row],[Due date]])</f>
        <v>45752.0</v>
      </c>
      <c r="Y1152" s="64">
        <f>DATEVALUE(tblWorkPackages[[#This Row],[Completion date]])</f>
        <v>45752.0</v>
      </c>
      <c r="Z1152" s="64">
        <f>_xlfn.MINIFS(tblLaborEntries[Work date serial],tblLaborEntries[Work package ID],tblWorkPackages[[#This Row],[Work package ID]])</f>
        <v>45749.0</v>
      </c>
      <c r="AA1152" s="64">
        <f>_xlfn.MAXIFS(tblLaborEntries[Work date serial],tblLaborEntries[Work package ID],tblWorkPackages[[#This Row],[Work package ID]])</f>
        <v>45750.0</v>
      </c>
      <c r="AB1152" s="65">
        <f>IF(tblWorkPackages[[#This Row],[Completion date serial]]&gt;tblWorkPackages[[#This Row],[Due date serial]],1,0)</f>
        <v>0</v>
      </c>
      <c r="AC1152" s="65">
        <f>MAX(0,tblWorkPackages[[#This Row],[Completion date serial]]-tblWorkPackages[[#This Row],[Due date serial]])</f>
        <v>0</v>
      </c>
      <c r="AD1152" s="65">
        <f>tblWorkPackages[[#This Row],[First labor date]]-tblWorkPackages[[#This Row],[Request date serial]]</f>
        <v>3</v>
      </c>
      <c r="AE1152" s="65">
        <f>tblWorkPackages[[#This Row],[Last labor date]]-tblWorkPackages[[#This Row],[First labor date]]</f>
        <v>1</v>
      </c>
      <c r="AF1152" s="65">
        <f>tblWorkPackages[[#This Row],[Completion date serial]]-tblWorkPackages[[#This Row],[Last labor date]]</f>
        <v>2</v>
      </c>
      <c r="AG1152" s="65">
        <f>tblWorkPackages[[#This Row],[Completion date serial]]-tblWorkPackages[[#This Row],[Request date serial]]</f>
        <v>6</v>
      </c>
      <c r="AH1152" s="65">
        <f>IFERROR(INDEX(tblParts[Delay days],MATCH(tblWorkPackages[[#This Row],[Work package ID]],tblParts[Work package ID],0)),0)</f>
        <v>0</v>
      </c>
      <c r="AI1152" s="51" t="str">
        <f>IFERROR(INDEX(tblDisruptions[Event type],MATCH(tblWorkPackages[[#This Row],[Work package ID]],tblDisruptions[Work package ID],0)),"None")</f>
        <v>None</v>
      </c>
      <c r="AJ1152" s="51" t="str">
        <f>TEXT(tblWorkPackages[[#This Row],[Due date serial]],"yyyy-mm")</f>
        <v>2025-04</v>
      </c>
    </row>
    <row r="1153" spans="1:36" ht="15" x14ac:dyDescent="0.25">
      <c r="A1153" s="53" t="s">
        <v>2059</v>
      </c>
      <c r="B1153" s="53" t="s">
        <v>163</v>
      </c>
      <c r="C1153" s="53" t="s">
        <v>1184</v>
      </c>
      <c r="D1153" s="53" t="s">
        <v>639</v>
      </c>
      <c r="E1153" s="53" t="s">
        <v>200</v>
      </c>
      <c r="F1153" s="53" t="s">
        <v>128</v>
      </c>
      <c r="G1153" s="53" t="s">
        <v>129</v>
      </c>
      <c r="H1153" s="53">
        <v>4</v>
      </c>
      <c r="I1153" s="53" t="s">
        <v>130</v>
      </c>
      <c r="J1153" s="53">
        <v>0</v>
      </c>
      <c r="K1153" s="53">
        <v>0</v>
      </c>
      <c r="L1153" s="53">
        <v>5.9</v>
      </c>
      <c r="M1153" s="53" t="s">
        <v>984</v>
      </c>
      <c r="N1153" s="53">
        <v>6.3</v>
      </c>
      <c r="O1153" s="51" t="str">
        <f>TEXT(tblWorkPackages[[#This Row],[Request date serial]]-WEEKDAY(tblWorkPackages[[#This Row],[Request date serial]],3),"yyyy-mm-dd")</f>
        <v>2025-05-19</v>
      </c>
      <c r="P1153" s="51">
        <f>ABS(tblWorkPackages[[#This Row],[Actual labor hours]]-tblWorkPackages[[#This Row],[Estimated labor hours]])</f>
        <v>0.399999999999999</v>
      </c>
      <c r="Q1153" s="51">
        <f>IF(tblWorkPackages[[#This Row],[Actual labor hours]]&gt;tblWorkPackages[[#This Row],[Estimated labor hours]],1,0)</f>
        <v>1</v>
      </c>
      <c r="R1153" s="51">
        <f>tblWorkPackages[[#This Row],[Actual labor hours]]-tblWorkPackages[[#This Row],[Estimated labor hours]]</f>
        <v>0.399999999999999</v>
      </c>
      <c r="S1153" s="51" t="str">
        <f>IF(tblWorkPackages[[#This Row],[Request date serial]]&lt;ValidationStart,"Train 2024",IF(tblWorkPackages[[#This Row],[Request date serial]]&lt;HoldoutStart,"Validation H1","Holdout H2"))</f>
        <v>Validation H1</v>
      </c>
      <c r="T1153" s="51">
        <f>IF(tblWorkPackages[[#This Row],[Time split]]="Train 2024","",tblWorkPackages[[#This Row],[Estimated labor hours]]+VLOOKUP(tblWorkPackages[[#This Row],[Task type]],'Forecast validation'!$A$14:$E$25,IF(tblWorkPackages[[#This Row],[Time split]]="Validation H1",4,5),FALSE()))</f>
        <v>6.23069306930693</v>
      </c>
      <c r="U1153" s="51">
        <f>IF(tblWorkPackages[[#This Row],[Calibrated forecast hours]]="","",ABS(tblWorkPackages[[#This Row],[Actual labor hours]]-tblWorkPackages[[#This Row],[Calibrated forecast hours]]))</f>
        <v>0.0693069306930685</v>
      </c>
      <c r="V1153" s="51">
        <f>IF(tblWorkPackages[[#This Row],[Time split]]="Train 2024",tblWorkPackages[[#This Row],[Estimated labor hours]],tblWorkPackages[[#This Row],[Calibrated forecast hours]])</f>
        <v>6.23069306930693</v>
      </c>
      <c r="W1153" s="64">
        <f>DATEVALUE(tblWorkPackages[[#This Row],[Request date]])</f>
        <v>45802.0</v>
      </c>
      <c r="X1153" s="64">
        <f>DATEVALUE(tblWorkPackages[[#This Row],[Due date]])</f>
        <v>45815.0</v>
      </c>
      <c r="Y1153" s="64">
        <f>DATEVALUE(tblWorkPackages[[#This Row],[Completion date]])</f>
        <v>45855.0</v>
      </c>
      <c r="Z1153" s="64">
        <f>_xlfn.MINIFS(tblLaborEntries[Work date serial],tblLaborEntries[Work package ID],tblWorkPackages[[#This Row],[Work package ID]])</f>
        <v>45851.0</v>
      </c>
      <c r="AA1153" s="64">
        <f>_xlfn.MAXIFS(tblLaborEntries[Work date serial],tblLaborEntries[Work package ID],tblWorkPackages[[#This Row],[Work package ID]])</f>
        <v>45852.0</v>
      </c>
      <c r="AB1153" s="65">
        <f>IF(tblWorkPackages[[#This Row],[Completion date serial]]&gt;tblWorkPackages[[#This Row],[Due date serial]],1,0)</f>
        <v>1</v>
      </c>
      <c r="AC1153" s="65">
        <f>MAX(0,tblWorkPackages[[#This Row],[Completion date serial]]-tblWorkPackages[[#This Row],[Due date serial]])</f>
        <v>40</v>
      </c>
      <c r="AD1153" s="65">
        <f>tblWorkPackages[[#This Row],[First labor date]]-tblWorkPackages[[#This Row],[Request date serial]]</f>
        <v>49</v>
      </c>
      <c r="AE1153" s="65">
        <f>tblWorkPackages[[#This Row],[Last labor date]]-tblWorkPackages[[#This Row],[First labor date]]</f>
        <v>1</v>
      </c>
      <c r="AF1153" s="65">
        <f>tblWorkPackages[[#This Row],[Completion date serial]]-tblWorkPackages[[#This Row],[Last labor date]]</f>
        <v>3</v>
      </c>
      <c r="AG1153" s="65">
        <f>tblWorkPackages[[#This Row],[Completion date serial]]-tblWorkPackages[[#This Row],[Request date serial]]</f>
        <v>53</v>
      </c>
      <c r="AH1153" s="65">
        <f>IFERROR(INDEX(tblParts[Delay days],MATCH(tblWorkPackages[[#This Row],[Work package ID]],tblParts[Work package ID],0)),0)</f>
        <v>0</v>
      </c>
      <c r="AI1153" s="51" t="str">
        <f>IFERROR(INDEX(tblDisruptions[Event type],MATCH(tblWorkPackages[[#This Row],[Work package ID]],tblDisruptions[Work package ID],0)),"None")</f>
        <v>None</v>
      </c>
      <c r="AJ1153" s="51" t="str">
        <f>TEXT(tblWorkPackages[[#This Row],[Due date serial]],"yyyy-mm")</f>
        <v>2025-06</v>
      </c>
    </row>
    <row r="1154" spans="1:36" ht="15" x14ac:dyDescent="0.25">
      <c r="A1154" s="53" t="s">
        <v>2060</v>
      </c>
      <c r="B1154" s="53" t="s">
        <v>133</v>
      </c>
      <c r="C1154" s="53" t="s">
        <v>431</v>
      </c>
      <c r="D1154" s="53" t="s">
        <v>842</v>
      </c>
      <c r="E1154" s="53" t="s">
        <v>127</v>
      </c>
      <c r="F1154" s="53" t="s">
        <v>128</v>
      </c>
      <c r="G1154" s="53" t="s">
        <v>129</v>
      </c>
      <c r="H1154" s="53">
        <v>1</v>
      </c>
      <c r="I1154" s="53" t="s">
        <v>130</v>
      </c>
      <c r="J1154" s="53">
        <v>0</v>
      </c>
      <c r="K1154" s="53">
        <v>1</v>
      </c>
      <c r="L1154" s="53">
        <v>4.5</v>
      </c>
      <c r="M1154" s="53" t="s">
        <v>1504</v>
      </c>
      <c r="N1154" s="53">
        <v>5.3</v>
      </c>
      <c r="O1154" s="51" t="str">
        <f>TEXT(tblWorkPackages[[#This Row],[Request date serial]]-WEEKDAY(tblWorkPackages[[#This Row],[Request date serial]],3),"yyyy-mm-dd")</f>
        <v>2025-07-14</v>
      </c>
      <c r="P1154" s="51">
        <f>ABS(tblWorkPackages[[#This Row],[Actual labor hours]]-tblWorkPackages[[#This Row],[Estimated labor hours]])</f>
        <v>0.8</v>
      </c>
      <c r="Q1154" s="51">
        <f>IF(tblWorkPackages[[#This Row],[Actual labor hours]]&gt;tblWorkPackages[[#This Row],[Estimated labor hours]],1,0)</f>
        <v>1</v>
      </c>
      <c r="R1154" s="51">
        <f>tblWorkPackages[[#This Row],[Actual labor hours]]-tblWorkPackages[[#This Row],[Estimated labor hours]]</f>
        <v>0.8</v>
      </c>
      <c r="S1154" s="51" t="str">
        <f>IF(tblWorkPackages[[#This Row],[Request date serial]]&lt;ValidationStart,"Train 2024",IF(tblWorkPackages[[#This Row],[Request date serial]]&lt;HoldoutStart,"Validation H1","Holdout H2"))</f>
        <v>Holdout H2</v>
      </c>
      <c r="T1154" s="51">
        <f>IF(tblWorkPackages[[#This Row],[Time split]]="Train 2024","",tblWorkPackages[[#This Row],[Estimated labor hours]]+VLOOKUP(tblWorkPackages[[#This Row],[Task type]],'Forecast validation'!$A$14:$E$25,IF(tblWorkPackages[[#This Row],[Time split]]="Validation H1",4,5),FALSE()))</f>
        <v>5.04341085271318</v>
      </c>
      <c r="U1154" s="51">
        <f>IF(tblWorkPackages[[#This Row],[Calibrated forecast hours]]="","",ABS(tblWorkPackages[[#This Row],[Actual labor hours]]-tblWorkPackages[[#This Row],[Calibrated forecast hours]]))</f>
        <v>0.256589147286822</v>
      </c>
      <c r="V1154" s="51">
        <f>IF(tblWorkPackages[[#This Row],[Time split]]="Train 2024",tblWorkPackages[[#This Row],[Estimated labor hours]],tblWorkPackages[[#This Row],[Calibrated forecast hours]])</f>
        <v>5.04341085271318</v>
      </c>
      <c r="W1154" s="64">
        <f>DATEVALUE(tblWorkPackages[[#This Row],[Request date]])</f>
        <v>45852.0</v>
      </c>
      <c r="X1154" s="64">
        <f>DATEVALUE(tblWorkPackages[[#This Row],[Due date]])</f>
        <v>45865.0</v>
      </c>
      <c r="Y1154" s="64">
        <f>DATEVALUE(tblWorkPackages[[#This Row],[Completion date]])</f>
        <v>45861.0</v>
      </c>
      <c r="Z1154" s="64">
        <f>_xlfn.MINIFS(tblLaborEntries[Work date serial],tblLaborEntries[Work package ID],tblWorkPackages[[#This Row],[Work package ID]])</f>
        <v>45860.0</v>
      </c>
      <c r="AA1154" s="64">
        <f>_xlfn.MAXIFS(tblLaborEntries[Work date serial],tblLaborEntries[Work package ID],tblWorkPackages[[#This Row],[Work package ID]])</f>
        <v>45861.0</v>
      </c>
      <c r="AB1154" s="65">
        <f>IF(tblWorkPackages[[#This Row],[Completion date serial]]&gt;tblWorkPackages[[#This Row],[Due date serial]],1,0)</f>
        <v>0</v>
      </c>
      <c r="AC1154" s="65">
        <f>MAX(0,tblWorkPackages[[#This Row],[Completion date serial]]-tblWorkPackages[[#This Row],[Due date serial]])</f>
        <v>0</v>
      </c>
      <c r="AD1154" s="65">
        <f>tblWorkPackages[[#This Row],[First labor date]]-tblWorkPackages[[#This Row],[Request date serial]]</f>
        <v>8</v>
      </c>
      <c r="AE1154" s="65">
        <f>tblWorkPackages[[#This Row],[Last labor date]]-tblWorkPackages[[#This Row],[First labor date]]</f>
        <v>1</v>
      </c>
      <c r="AF1154" s="65">
        <f>tblWorkPackages[[#This Row],[Completion date serial]]-tblWorkPackages[[#This Row],[Last labor date]]</f>
        <v>0</v>
      </c>
      <c r="AG1154" s="65">
        <f>tblWorkPackages[[#This Row],[Completion date serial]]-tblWorkPackages[[#This Row],[Request date serial]]</f>
        <v>9</v>
      </c>
      <c r="AH1154" s="65">
        <f>IFERROR(INDEX(tblParts[Delay days],MATCH(tblWorkPackages[[#This Row],[Work package ID]],tblParts[Work package ID],0)),0)</f>
        <v>0</v>
      </c>
      <c r="AI1154" s="51" t="str">
        <f>IFERROR(INDEX(tblDisruptions[Event type],MATCH(tblWorkPackages[[#This Row],[Work package ID]],tblDisruptions[Work package ID],0)),"None")</f>
        <v>None</v>
      </c>
      <c r="AJ1154" s="51" t="str">
        <f>TEXT(tblWorkPackages[[#This Row],[Due date serial]],"yyyy-mm")</f>
        <v>2025-07</v>
      </c>
    </row>
    <row r="1155" spans="1:36" ht="15" x14ac:dyDescent="0.25">
      <c r="A1155" s="53" t="s">
        <v>2061</v>
      </c>
      <c r="B1155" s="53" t="s">
        <v>168</v>
      </c>
      <c r="C1155" s="53" t="s">
        <v>451</v>
      </c>
      <c r="D1155" s="53" t="s">
        <v>620</v>
      </c>
      <c r="E1155" s="53" t="s">
        <v>237</v>
      </c>
      <c r="F1155" s="53" t="s">
        <v>182</v>
      </c>
      <c r="G1155" s="53" t="s">
        <v>138</v>
      </c>
      <c r="H1155" s="53">
        <v>3</v>
      </c>
      <c r="I1155" s="53" t="s">
        <v>176</v>
      </c>
      <c r="J1155" s="53">
        <v>0</v>
      </c>
      <c r="K1155" s="53">
        <v>1</v>
      </c>
      <c r="L1155" s="53">
        <v>7.3</v>
      </c>
      <c r="M1155" s="53" t="s">
        <v>360</v>
      </c>
      <c r="N1155" s="53">
        <v>9.6999999999999993</v>
      </c>
      <c r="O1155" s="51" t="str">
        <f>TEXT(tblWorkPackages[[#This Row],[Request date serial]]-WEEKDAY(tblWorkPackages[[#This Row],[Request date serial]],3),"yyyy-mm-dd")</f>
        <v>2024-07-08</v>
      </c>
      <c r="P1155" s="51">
        <f>ABS(tblWorkPackages[[#This Row],[Actual labor hours]]-tblWorkPackages[[#This Row],[Estimated labor hours]])</f>
        <v>2.4</v>
      </c>
      <c r="Q1155" s="51">
        <f>IF(tblWorkPackages[[#This Row],[Actual labor hours]]&gt;tblWorkPackages[[#This Row],[Estimated labor hours]],1,0)</f>
        <v>1</v>
      </c>
      <c r="R1155" s="51">
        <f>tblWorkPackages[[#This Row],[Actual labor hours]]-tblWorkPackages[[#This Row],[Estimated labor hours]]</f>
        <v>2.4</v>
      </c>
      <c r="S1155" s="51" t="str">
        <f>IF(tblWorkPackages[[#This Row],[Request date serial]]&lt;ValidationStart,"Train 2024",IF(tblWorkPackages[[#This Row],[Request date serial]]&lt;HoldoutStart,"Validation H1","Holdout H2"))</f>
        <v>Train 2024</v>
      </c>
      <c r="T1155" s="51" t="str">
        <f>IF(tblWorkPackages[[#This Row],[Time split]]="Train 2024","",tblWorkPackages[[#This Row],[Estimated labor hours]]+VLOOKUP(tblWorkPackages[[#This Row],[Task type]],'Forecast validation'!$A$14:$E$25,IF(tblWorkPackages[[#This Row],[Time split]]="Validation H1",4,5),FALSE()))</f>
        <v/>
      </c>
      <c r="U1155" s="51" t="str">
        <f>IF(tblWorkPackages[[#This Row],[Calibrated forecast hours]]="","",ABS(tblWorkPackages[[#This Row],[Actual labor hours]]-tblWorkPackages[[#This Row],[Calibrated forecast hours]]))</f>
        <v/>
      </c>
      <c r="V1155" s="51">
        <f>IF(tblWorkPackages[[#This Row],[Time split]]="Train 2024",tblWorkPackages[[#This Row],[Estimated labor hours]],tblWorkPackages[[#This Row],[Calibrated forecast hours]])</f>
        <v>7.3</v>
      </c>
      <c r="W1155" s="64">
        <f>DATEVALUE(tblWorkPackages[[#This Row],[Request date]])</f>
        <v>45484.0</v>
      </c>
      <c r="X1155" s="64">
        <f>DATEVALUE(tblWorkPackages[[#This Row],[Due date]])</f>
        <v>45490.0</v>
      </c>
      <c r="Y1155" s="64">
        <f>DATEVALUE(tblWorkPackages[[#This Row],[Completion date]])</f>
        <v>45489.0</v>
      </c>
      <c r="Z1155" s="64">
        <f>_xlfn.MINIFS(tblLaborEntries[Work date serial],tblLaborEntries[Work package ID],tblWorkPackages[[#This Row],[Work package ID]])</f>
        <v>45486.0</v>
      </c>
      <c r="AA1155" s="64">
        <f>_xlfn.MAXIFS(tblLaborEntries[Work date serial],tblLaborEntries[Work package ID],tblWorkPackages[[#This Row],[Work package ID]])</f>
        <v>45488.0</v>
      </c>
      <c r="AB1155" s="65">
        <f>IF(tblWorkPackages[[#This Row],[Completion date serial]]&gt;tblWorkPackages[[#This Row],[Due date serial]],1,0)</f>
        <v>0</v>
      </c>
      <c r="AC1155" s="65">
        <f>MAX(0,tblWorkPackages[[#This Row],[Completion date serial]]-tblWorkPackages[[#This Row],[Due date serial]])</f>
        <v>0</v>
      </c>
      <c r="AD1155" s="65">
        <f>tblWorkPackages[[#This Row],[First labor date]]-tblWorkPackages[[#This Row],[Request date serial]]</f>
        <v>2</v>
      </c>
      <c r="AE1155" s="65">
        <f>tblWorkPackages[[#This Row],[Last labor date]]-tblWorkPackages[[#This Row],[First labor date]]</f>
        <v>2</v>
      </c>
      <c r="AF1155" s="65">
        <f>tblWorkPackages[[#This Row],[Completion date serial]]-tblWorkPackages[[#This Row],[Last labor date]]</f>
        <v>1</v>
      </c>
      <c r="AG1155" s="65">
        <f>tblWorkPackages[[#This Row],[Completion date serial]]-tblWorkPackages[[#This Row],[Request date serial]]</f>
        <v>5</v>
      </c>
      <c r="AH1155" s="65">
        <f>IFERROR(INDEX(tblParts[Delay days],MATCH(tblWorkPackages[[#This Row],[Work package ID]],tblParts[Work package ID],0)),0)</f>
        <v>0</v>
      </c>
      <c r="AI1155" s="51" t="str">
        <f>IFERROR(INDEX(tblDisruptions[Event type],MATCH(tblWorkPackages[[#This Row],[Work package ID]],tblDisruptions[Work package ID],0)),"None")</f>
        <v>Technician absence</v>
      </c>
      <c r="AJ1155" s="51" t="str">
        <f>TEXT(tblWorkPackages[[#This Row],[Due date serial]],"yyyy-mm")</f>
        <v>2024-07</v>
      </c>
    </row>
    <row r="1156" spans="1:36" ht="15" x14ac:dyDescent="0.25">
      <c r="A1156" s="53" t="s">
        <v>2062</v>
      </c>
      <c r="B1156" s="53" t="s">
        <v>173</v>
      </c>
      <c r="C1156" s="53" t="s">
        <v>261</v>
      </c>
      <c r="D1156" s="53" t="s">
        <v>504</v>
      </c>
      <c r="E1156" s="53" t="s">
        <v>209</v>
      </c>
      <c r="F1156" s="53" t="s">
        <v>145</v>
      </c>
      <c r="G1156" s="53" t="s">
        <v>210</v>
      </c>
      <c r="H1156" s="53">
        <v>1</v>
      </c>
      <c r="I1156" s="53" t="s">
        <v>130</v>
      </c>
      <c r="J1156" s="53">
        <v>0</v>
      </c>
      <c r="K1156" s="53">
        <v>1</v>
      </c>
      <c r="L1156" s="53">
        <v>13.2</v>
      </c>
      <c r="M1156" s="53" t="s">
        <v>963</v>
      </c>
      <c r="N1156" s="53">
        <v>12.1</v>
      </c>
      <c r="O1156" s="51" t="str">
        <f>TEXT(tblWorkPackages[[#This Row],[Request date serial]]-WEEKDAY(tblWorkPackages[[#This Row],[Request date serial]],3),"yyyy-mm-dd")</f>
        <v>2025-01-13</v>
      </c>
      <c r="P1156" s="51">
        <f>ABS(tblWorkPackages[[#This Row],[Actual labor hours]]-tblWorkPackages[[#This Row],[Estimated labor hours]])</f>
        <v>1.1</v>
      </c>
      <c r="Q1156" s="51">
        <f>IF(tblWorkPackages[[#This Row],[Actual labor hours]]&gt;tblWorkPackages[[#This Row],[Estimated labor hours]],1,0)</f>
        <v>0</v>
      </c>
      <c r="R1156" s="51">
        <f>tblWorkPackages[[#This Row],[Actual labor hours]]-tblWorkPackages[[#This Row],[Estimated labor hours]]</f>
        <v>-1.1</v>
      </c>
      <c r="S1156" s="51" t="str">
        <f>IF(tblWorkPackages[[#This Row],[Request date serial]]&lt;ValidationStart,"Train 2024",IF(tblWorkPackages[[#This Row],[Request date serial]]&lt;HoldoutStart,"Validation H1","Holdout H2"))</f>
        <v>Validation H1</v>
      </c>
      <c r="T1156" s="51">
        <f>IF(tblWorkPackages[[#This Row],[Time split]]="Train 2024","",tblWorkPackages[[#This Row],[Estimated labor hours]]+VLOOKUP(tblWorkPackages[[#This Row],[Task type]],'Forecast validation'!$A$14:$E$25,IF(tblWorkPackages[[#This Row],[Time split]]="Validation H1",4,5),FALSE()))</f>
        <v>14.3029850746269</v>
      </c>
      <c r="U1156" s="51">
        <f>IF(tblWorkPackages[[#This Row],[Calibrated forecast hours]]="","",ABS(tblWorkPackages[[#This Row],[Actual labor hours]]-tblWorkPackages[[#This Row],[Calibrated forecast hours]]))</f>
        <v>2.20298507462686</v>
      </c>
      <c r="V1156" s="51">
        <f>IF(tblWorkPackages[[#This Row],[Time split]]="Train 2024",tblWorkPackages[[#This Row],[Estimated labor hours]],tblWorkPackages[[#This Row],[Calibrated forecast hours]])</f>
        <v>14.3029850746269</v>
      </c>
      <c r="W1156" s="64">
        <f>DATEVALUE(tblWorkPackages[[#This Row],[Request date]])</f>
        <v>45676.0</v>
      </c>
      <c r="X1156" s="64">
        <f>DATEVALUE(tblWorkPackages[[#This Row],[Due date]])</f>
        <v>45689.0</v>
      </c>
      <c r="Y1156" s="64">
        <f>DATEVALUE(tblWorkPackages[[#This Row],[Completion date]])</f>
        <v>45700.0</v>
      </c>
      <c r="Z1156" s="64">
        <f>_xlfn.MINIFS(tblLaborEntries[Work date serial],tblLaborEntries[Work package ID],tblWorkPackages[[#This Row],[Work package ID]])</f>
        <v>45696.0</v>
      </c>
      <c r="AA1156" s="64">
        <f>_xlfn.MAXIFS(tblLaborEntries[Work date serial],tblLaborEntries[Work package ID],tblWorkPackages[[#This Row],[Work package ID]])</f>
        <v>45698.0</v>
      </c>
      <c r="AB1156" s="65">
        <f>IF(tblWorkPackages[[#This Row],[Completion date serial]]&gt;tblWorkPackages[[#This Row],[Due date serial]],1,0)</f>
        <v>1</v>
      </c>
      <c r="AC1156" s="65">
        <f>MAX(0,tblWorkPackages[[#This Row],[Completion date serial]]-tblWorkPackages[[#This Row],[Due date serial]])</f>
        <v>11</v>
      </c>
      <c r="AD1156" s="65">
        <f>tblWorkPackages[[#This Row],[First labor date]]-tblWorkPackages[[#This Row],[Request date serial]]</f>
        <v>20</v>
      </c>
      <c r="AE1156" s="65">
        <f>tblWorkPackages[[#This Row],[Last labor date]]-tblWorkPackages[[#This Row],[First labor date]]</f>
        <v>2</v>
      </c>
      <c r="AF1156" s="65">
        <f>tblWorkPackages[[#This Row],[Completion date serial]]-tblWorkPackages[[#This Row],[Last labor date]]</f>
        <v>2</v>
      </c>
      <c r="AG1156" s="65">
        <f>tblWorkPackages[[#This Row],[Completion date serial]]-tblWorkPackages[[#This Row],[Request date serial]]</f>
        <v>24</v>
      </c>
      <c r="AH1156" s="65">
        <f>IFERROR(INDEX(tblParts[Delay days],MATCH(tblWorkPackages[[#This Row],[Work package ID]],tblParts[Work package ID],0)),0)</f>
        <v>0</v>
      </c>
      <c r="AI1156" s="51" t="str">
        <f>IFERROR(INDEX(tblDisruptions[Event type],MATCH(tblWorkPackages[[#This Row],[Work package ID]],tblDisruptions[Work package ID],0)),"None")</f>
        <v>None</v>
      </c>
      <c r="AJ1156" s="51" t="str">
        <f>TEXT(tblWorkPackages[[#This Row],[Due date serial]],"yyyy-mm")</f>
        <v>2025-02</v>
      </c>
    </row>
    <row r="1157" spans="1:36" ht="15" x14ac:dyDescent="0.25">
      <c r="A1157" s="53" t="s">
        <v>2063</v>
      </c>
      <c r="B1157" s="53" t="s">
        <v>168</v>
      </c>
      <c r="C1157" s="53" t="s">
        <v>1063</v>
      </c>
      <c r="D1157" s="53" t="s">
        <v>1191</v>
      </c>
      <c r="E1157" s="53" t="s">
        <v>136</v>
      </c>
      <c r="F1157" s="53" t="s">
        <v>137</v>
      </c>
      <c r="G1157" s="53" t="s">
        <v>138</v>
      </c>
      <c r="H1157" s="53">
        <v>3</v>
      </c>
      <c r="I1157" s="53" t="s">
        <v>130</v>
      </c>
      <c r="J1157" s="53">
        <v>0</v>
      </c>
      <c r="K1157" s="53">
        <v>1</v>
      </c>
      <c r="L1157" s="53">
        <v>22</v>
      </c>
      <c r="M1157" s="53" t="s">
        <v>445</v>
      </c>
      <c r="N1157" s="53">
        <v>17.7</v>
      </c>
      <c r="O1157" s="51" t="str">
        <f>TEXT(tblWorkPackages[[#This Row],[Request date serial]]-WEEKDAY(tblWorkPackages[[#This Row],[Request date serial]],3),"yyyy-mm-dd")</f>
        <v>2025-03-10</v>
      </c>
      <c r="P1157" s="51">
        <f>ABS(tblWorkPackages[[#This Row],[Actual labor hours]]-tblWorkPackages[[#This Row],[Estimated labor hours]])</f>
        <v>4.3</v>
      </c>
      <c r="Q1157" s="51">
        <f>IF(tblWorkPackages[[#This Row],[Actual labor hours]]&gt;tblWorkPackages[[#This Row],[Estimated labor hours]],1,0)</f>
        <v>0</v>
      </c>
      <c r="R1157" s="51">
        <f>tblWorkPackages[[#This Row],[Actual labor hours]]-tblWorkPackages[[#This Row],[Estimated labor hours]]</f>
        <v>-4.3</v>
      </c>
      <c r="S1157" s="51" t="str">
        <f>IF(tblWorkPackages[[#This Row],[Request date serial]]&lt;ValidationStart,"Train 2024",IF(tblWorkPackages[[#This Row],[Request date serial]]&lt;HoldoutStart,"Validation H1","Holdout H2"))</f>
        <v>Validation H1</v>
      </c>
      <c r="T1157" s="51">
        <f>IF(tblWorkPackages[[#This Row],[Time split]]="Train 2024","",tblWorkPackages[[#This Row],[Estimated labor hours]]+VLOOKUP(tblWorkPackages[[#This Row],[Task type]],'Forecast validation'!$A$14:$E$25,IF(tblWorkPackages[[#This Row],[Time split]]="Validation H1",4,5),FALSE()))</f>
        <v>22.8765306122449</v>
      </c>
      <c r="U1157" s="51">
        <f>IF(tblWorkPackages[[#This Row],[Calibrated forecast hours]]="","",ABS(tblWorkPackages[[#This Row],[Actual labor hours]]-tblWorkPackages[[#This Row],[Calibrated forecast hours]]))</f>
        <v>5.1765306122449</v>
      </c>
      <c r="V1157" s="51">
        <f>IF(tblWorkPackages[[#This Row],[Time split]]="Train 2024",tblWorkPackages[[#This Row],[Estimated labor hours]],tblWorkPackages[[#This Row],[Calibrated forecast hours]])</f>
        <v>22.8765306122449</v>
      </c>
      <c r="W1157" s="64">
        <f>DATEVALUE(tblWorkPackages[[#This Row],[Request date]])</f>
        <v>45727.0</v>
      </c>
      <c r="X1157" s="64">
        <f>DATEVALUE(tblWorkPackages[[#This Row],[Due date]])</f>
        <v>45740.0</v>
      </c>
      <c r="Y1157" s="64">
        <f>DATEVALUE(tblWorkPackages[[#This Row],[Completion date]])</f>
        <v>45735.0</v>
      </c>
      <c r="Z1157" s="64">
        <f>_xlfn.MINIFS(tblLaborEntries[Work date serial],tblLaborEntries[Work package ID],tblWorkPackages[[#This Row],[Work package ID]])</f>
        <v>45731.0</v>
      </c>
      <c r="AA1157" s="64">
        <f>_xlfn.MAXIFS(tblLaborEntries[Work date serial],tblLaborEntries[Work package ID],tblWorkPackages[[#This Row],[Work package ID]])</f>
        <v>45732.0</v>
      </c>
      <c r="AB1157" s="65">
        <f>IF(tblWorkPackages[[#This Row],[Completion date serial]]&gt;tblWorkPackages[[#This Row],[Due date serial]],1,0)</f>
        <v>0</v>
      </c>
      <c r="AC1157" s="65">
        <f>MAX(0,tblWorkPackages[[#This Row],[Completion date serial]]-tblWorkPackages[[#This Row],[Due date serial]])</f>
        <v>0</v>
      </c>
      <c r="AD1157" s="65">
        <f>tblWorkPackages[[#This Row],[First labor date]]-tblWorkPackages[[#This Row],[Request date serial]]</f>
        <v>4</v>
      </c>
      <c r="AE1157" s="65">
        <f>tblWorkPackages[[#This Row],[Last labor date]]-tblWorkPackages[[#This Row],[First labor date]]</f>
        <v>1</v>
      </c>
      <c r="AF1157" s="65">
        <f>tblWorkPackages[[#This Row],[Completion date serial]]-tblWorkPackages[[#This Row],[Last labor date]]</f>
        <v>3</v>
      </c>
      <c r="AG1157" s="65">
        <f>tblWorkPackages[[#This Row],[Completion date serial]]-tblWorkPackages[[#This Row],[Request date serial]]</f>
        <v>8</v>
      </c>
      <c r="AH1157" s="65">
        <f>IFERROR(INDEX(tblParts[Delay days],MATCH(tblWorkPackages[[#This Row],[Work package ID]],tblParts[Work package ID],0)),0)</f>
        <v>0</v>
      </c>
      <c r="AI1157" s="51" t="str">
        <f>IFERROR(INDEX(tblDisruptions[Event type],MATCH(tblWorkPackages[[#This Row],[Work package ID]],tblDisruptions[Work package ID],0)),"None")</f>
        <v>None</v>
      </c>
      <c r="AJ1157" s="51" t="str">
        <f>TEXT(tblWorkPackages[[#This Row],[Due date serial]],"yyyy-mm")</f>
        <v>2025-03</v>
      </c>
    </row>
    <row r="1158" spans="1:36" ht="15" x14ac:dyDescent="0.25">
      <c r="A1158" s="53" t="s">
        <v>2064</v>
      </c>
      <c r="B1158" s="53" t="s">
        <v>230</v>
      </c>
      <c r="C1158" s="53" t="s">
        <v>372</v>
      </c>
      <c r="D1158" s="53" t="s">
        <v>277</v>
      </c>
      <c r="E1158" s="53" t="s">
        <v>144</v>
      </c>
      <c r="F1158" s="53" t="s">
        <v>145</v>
      </c>
      <c r="G1158" s="53" t="s">
        <v>146</v>
      </c>
      <c r="H1158" s="53">
        <v>2</v>
      </c>
      <c r="I1158" s="53" t="s">
        <v>176</v>
      </c>
      <c r="J1158" s="53">
        <v>1</v>
      </c>
      <c r="K1158" s="53">
        <v>1</v>
      </c>
      <c r="L1158" s="53">
        <v>9.6999999999999993</v>
      </c>
      <c r="M1158" s="53" t="s">
        <v>381</v>
      </c>
      <c r="N1158" s="53">
        <v>9.6999999999999993</v>
      </c>
      <c r="O1158" s="51" t="str">
        <f>TEXT(tblWorkPackages[[#This Row],[Request date serial]]-WEEKDAY(tblWorkPackages[[#This Row],[Request date serial]],3),"yyyy-mm-dd")</f>
        <v>2024-10-21</v>
      </c>
      <c r="P1158" s="51">
        <f>ABS(tblWorkPackages[[#This Row],[Actual labor hours]]-tblWorkPackages[[#This Row],[Estimated labor hours]])</f>
        <v>0</v>
      </c>
      <c r="Q1158" s="51">
        <f>IF(tblWorkPackages[[#This Row],[Actual labor hours]]&gt;tblWorkPackages[[#This Row],[Estimated labor hours]],1,0)</f>
        <v>0</v>
      </c>
      <c r="R1158" s="51">
        <f>tblWorkPackages[[#This Row],[Actual labor hours]]-tblWorkPackages[[#This Row],[Estimated labor hours]]</f>
        <v>0</v>
      </c>
      <c r="S1158" s="51" t="str">
        <f>IF(tblWorkPackages[[#This Row],[Request date serial]]&lt;ValidationStart,"Train 2024",IF(tblWorkPackages[[#This Row],[Request date serial]]&lt;HoldoutStart,"Validation H1","Holdout H2"))</f>
        <v>Train 2024</v>
      </c>
      <c r="T1158" s="51" t="str">
        <f>IF(tblWorkPackages[[#This Row],[Time split]]="Train 2024","",tblWorkPackages[[#This Row],[Estimated labor hours]]+VLOOKUP(tblWorkPackages[[#This Row],[Task type]],'Forecast validation'!$A$14:$E$25,IF(tblWorkPackages[[#This Row],[Time split]]="Validation H1",4,5),FALSE()))</f>
        <v/>
      </c>
      <c r="U1158" s="51" t="str">
        <f>IF(tblWorkPackages[[#This Row],[Calibrated forecast hours]]="","",ABS(tblWorkPackages[[#This Row],[Actual labor hours]]-tblWorkPackages[[#This Row],[Calibrated forecast hours]]))</f>
        <v/>
      </c>
      <c r="V1158" s="51">
        <f>IF(tblWorkPackages[[#This Row],[Time split]]="Train 2024",tblWorkPackages[[#This Row],[Estimated labor hours]],tblWorkPackages[[#This Row],[Calibrated forecast hours]])</f>
        <v>9.7</v>
      </c>
      <c r="W1158" s="64">
        <f>DATEVALUE(tblWorkPackages[[#This Row],[Request date]])</f>
        <v>45586.0</v>
      </c>
      <c r="X1158" s="64">
        <f>DATEVALUE(tblWorkPackages[[#This Row],[Due date]])</f>
        <v>45592.0</v>
      </c>
      <c r="Y1158" s="64">
        <f>DATEVALUE(tblWorkPackages[[#This Row],[Completion date]])</f>
        <v>45588.0</v>
      </c>
      <c r="Z1158" s="64">
        <f>_xlfn.MINIFS(tblLaborEntries[Work date serial],tblLaborEntries[Work package ID],tblWorkPackages[[#This Row],[Work package ID]])</f>
        <v>45587.0</v>
      </c>
      <c r="AA1158" s="64">
        <f>_xlfn.MAXIFS(tblLaborEntries[Work date serial],tblLaborEntries[Work package ID],tblWorkPackages[[#This Row],[Work package ID]])</f>
        <v>45588.0</v>
      </c>
      <c r="AB1158" s="65">
        <f>IF(tblWorkPackages[[#This Row],[Completion date serial]]&gt;tblWorkPackages[[#This Row],[Due date serial]],1,0)</f>
        <v>0</v>
      </c>
      <c r="AC1158" s="65">
        <f>MAX(0,tblWorkPackages[[#This Row],[Completion date serial]]-tblWorkPackages[[#This Row],[Due date serial]])</f>
        <v>0</v>
      </c>
      <c r="AD1158" s="65">
        <f>tblWorkPackages[[#This Row],[First labor date]]-tblWorkPackages[[#This Row],[Request date serial]]</f>
        <v>1</v>
      </c>
      <c r="AE1158" s="65">
        <f>tblWorkPackages[[#This Row],[Last labor date]]-tblWorkPackages[[#This Row],[First labor date]]</f>
        <v>1</v>
      </c>
      <c r="AF1158" s="65">
        <f>tblWorkPackages[[#This Row],[Completion date serial]]-tblWorkPackages[[#This Row],[Last labor date]]</f>
        <v>0</v>
      </c>
      <c r="AG1158" s="65">
        <f>tblWorkPackages[[#This Row],[Completion date serial]]-tblWorkPackages[[#This Row],[Request date serial]]</f>
        <v>2</v>
      </c>
      <c r="AH1158" s="65">
        <f>IFERROR(INDEX(tblParts[Delay days],MATCH(tblWorkPackages[[#This Row],[Work package ID]],tblParts[Work package ID],0)),0)</f>
        <v>0</v>
      </c>
      <c r="AI1158" s="51" t="str">
        <f>IFERROR(INDEX(tblDisruptions[Event type],MATCH(tblWorkPackages[[#This Row],[Work package ID]],tblDisruptions[Work package ID],0)),"None")</f>
        <v>None</v>
      </c>
      <c r="AJ1158" s="51" t="str">
        <f>TEXT(tblWorkPackages[[#This Row],[Due date serial]],"yyyy-mm")</f>
        <v>2024-10</v>
      </c>
    </row>
    <row r="1159" spans="1:36" ht="15" x14ac:dyDescent="0.25">
      <c r="A1159" s="53" t="s">
        <v>2065</v>
      </c>
      <c r="B1159" s="53" t="s">
        <v>141</v>
      </c>
      <c r="C1159" s="53" t="s">
        <v>639</v>
      </c>
      <c r="D1159" s="53" t="s">
        <v>710</v>
      </c>
      <c r="E1159" s="53" t="s">
        <v>144</v>
      </c>
      <c r="F1159" s="53" t="s">
        <v>145</v>
      </c>
      <c r="G1159" s="53" t="s">
        <v>146</v>
      </c>
      <c r="H1159" s="53">
        <v>2</v>
      </c>
      <c r="I1159" s="53" t="s">
        <v>176</v>
      </c>
      <c r="J1159" s="53">
        <v>0</v>
      </c>
      <c r="K1159" s="53">
        <v>1</v>
      </c>
      <c r="L1159" s="53">
        <v>11</v>
      </c>
      <c r="M1159" s="53" t="s">
        <v>640</v>
      </c>
      <c r="N1159" s="53">
        <v>9.4</v>
      </c>
      <c r="O1159" s="51" t="str">
        <f>TEXT(tblWorkPackages[[#This Row],[Request date serial]]-WEEKDAY(tblWorkPackages[[#This Row],[Request date serial]],3),"yyyy-mm-dd")</f>
        <v>2025-06-02</v>
      </c>
      <c r="P1159" s="51">
        <f>ABS(tblWorkPackages[[#This Row],[Actual labor hours]]-tblWorkPackages[[#This Row],[Estimated labor hours]])</f>
        <v>1.6</v>
      </c>
      <c r="Q1159" s="51">
        <f>IF(tblWorkPackages[[#This Row],[Actual labor hours]]&gt;tblWorkPackages[[#This Row],[Estimated labor hours]],1,0)</f>
        <v>0</v>
      </c>
      <c r="R1159" s="51">
        <f>tblWorkPackages[[#This Row],[Actual labor hours]]-tblWorkPackages[[#This Row],[Estimated labor hours]]</f>
        <v>-1.6</v>
      </c>
      <c r="S1159" s="51" t="str">
        <f>IF(tblWorkPackages[[#This Row],[Request date serial]]&lt;ValidationStart,"Train 2024",IF(tblWorkPackages[[#This Row],[Request date serial]]&lt;HoldoutStart,"Validation H1","Holdout H2"))</f>
        <v>Validation H1</v>
      </c>
      <c r="T1159" s="51">
        <f>IF(tblWorkPackages[[#This Row],[Time split]]="Train 2024","",tblWorkPackages[[#This Row],[Estimated labor hours]]+VLOOKUP(tblWorkPackages[[#This Row],[Task type]],'Forecast validation'!$A$14:$E$25,IF(tblWorkPackages[[#This Row],[Time split]]="Validation H1",4,5),FALSE()))</f>
        <v>11.7547368421053</v>
      </c>
      <c r="U1159" s="51">
        <f>IF(tblWorkPackages[[#This Row],[Calibrated forecast hours]]="","",ABS(tblWorkPackages[[#This Row],[Actual labor hours]]-tblWorkPackages[[#This Row],[Calibrated forecast hours]]))</f>
        <v>2.35473684210526</v>
      </c>
      <c r="V1159" s="51">
        <f>IF(tblWorkPackages[[#This Row],[Time split]]="Train 2024",tblWorkPackages[[#This Row],[Estimated labor hours]],tblWorkPackages[[#This Row],[Calibrated forecast hours]])</f>
        <v>11.7547368421053</v>
      </c>
      <c r="W1159" s="64">
        <f>DATEVALUE(tblWorkPackages[[#This Row],[Request date]])</f>
        <v>45815.0</v>
      </c>
      <c r="X1159" s="64">
        <f>DATEVALUE(tblWorkPackages[[#This Row],[Due date]])</f>
        <v>45821.0</v>
      </c>
      <c r="Y1159" s="64">
        <f>DATEVALUE(tblWorkPackages[[#This Row],[Completion date]])</f>
        <v>45828.0</v>
      </c>
      <c r="Z1159" s="64">
        <f>_xlfn.MINIFS(tblLaborEntries[Work date serial],tblLaborEntries[Work package ID],tblWorkPackages[[#This Row],[Work package ID]])</f>
        <v>45826.0</v>
      </c>
      <c r="AA1159" s="64">
        <f>_xlfn.MAXIFS(tblLaborEntries[Work date serial],tblLaborEntries[Work package ID],tblWorkPackages[[#This Row],[Work package ID]])</f>
        <v>45827.0</v>
      </c>
      <c r="AB1159" s="65">
        <f>IF(tblWorkPackages[[#This Row],[Completion date serial]]&gt;tblWorkPackages[[#This Row],[Due date serial]],1,0)</f>
        <v>1</v>
      </c>
      <c r="AC1159" s="65">
        <f>MAX(0,tblWorkPackages[[#This Row],[Completion date serial]]-tblWorkPackages[[#This Row],[Due date serial]])</f>
        <v>7</v>
      </c>
      <c r="AD1159" s="65">
        <f>tblWorkPackages[[#This Row],[First labor date]]-tblWorkPackages[[#This Row],[Request date serial]]</f>
        <v>11</v>
      </c>
      <c r="AE1159" s="65">
        <f>tblWorkPackages[[#This Row],[Last labor date]]-tblWorkPackages[[#This Row],[First labor date]]</f>
        <v>1</v>
      </c>
      <c r="AF1159" s="65">
        <f>tblWorkPackages[[#This Row],[Completion date serial]]-tblWorkPackages[[#This Row],[Last labor date]]</f>
        <v>1</v>
      </c>
      <c r="AG1159" s="65">
        <f>tblWorkPackages[[#This Row],[Completion date serial]]-tblWorkPackages[[#This Row],[Request date serial]]</f>
        <v>13</v>
      </c>
      <c r="AH1159" s="65">
        <f>IFERROR(INDEX(tblParts[Delay days],MATCH(tblWorkPackages[[#This Row],[Work package ID]],tblParts[Work package ID],0)),0)</f>
        <v>0</v>
      </c>
      <c r="AI1159" s="51" t="str">
        <f>IFERROR(INDEX(tblDisruptions[Event type],MATCH(tblWorkPackages[[#This Row],[Work package ID]],tblDisruptions[Work package ID],0)),"None")</f>
        <v>None</v>
      </c>
      <c r="AJ1159" s="51" t="str">
        <f>TEXT(tblWorkPackages[[#This Row],[Due date serial]],"yyyy-mm")</f>
        <v>2025-06</v>
      </c>
    </row>
    <row r="1160" spans="1:36" ht="15" x14ac:dyDescent="0.25">
      <c r="A1160" s="53" t="s">
        <v>2066</v>
      </c>
      <c r="B1160" s="53" t="s">
        <v>133</v>
      </c>
      <c r="C1160" s="53" t="s">
        <v>1167</v>
      </c>
      <c r="D1160" s="53" t="s">
        <v>935</v>
      </c>
      <c r="E1160" s="53" t="s">
        <v>127</v>
      </c>
      <c r="F1160" s="53" t="s">
        <v>128</v>
      </c>
      <c r="G1160" s="53" t="s">
        <v>129</v>
      </c>
      <c r="H1160" s="53">
        <v>3</v>
      </c>
      <c r="I1160" s="53" t="s">
        <v>176</v>
      </c>
      <c r="J1160" s="53">
        <v>0</v>
      </c>
      <c r="K1160" s="53">
        <v>1</v>
      </c>
      <c r="L1160" s="53">
        <v>9.9</v>
      </c>
      <c r="M1160" s="53" t="s">
        <v>477</v>
      </c>
      <c r="N1160" s="53">
        <v>11.3</v>
      </c>
      <c r="O1160" s="51" t="str">
        <f>TEXT(tblWorkPackages[[#This Row],[Request date serial]]-WEEKDAY(tblWorkPackages[[#This Row],[Request date serial]],3),"yyyy-mm-dd")</f>
        <v>2025-02-03</v>
      </c>
      <c r="P1160" s="51">
        <f>ABS(tblWorkPackages[[#This Row],[Actual labor hours]]-tblWorkPackages[[#This Row],[Estimated labor hours]])</f>
        <v>1.4</v>
      </c>
      <c r="Q1160" s="51">
        <f>IF(tblWorkPackages[[#This Row],[Actual labor hours]]&gt;tblWorkPackages[[#This Row],[Estimated labor hours]],1,0)</f>
        <v>1</v>
      </c>
      <c r="R1160" s="51">
        <f>tblWorkPackages[[#This Row],[Actual labor hours]]-tblWorkPackages[[#This Row],[Estimated labor hours]]</f>
        <v>1.4</v>
      </c>
      <c r="S1160" s="51" t="str">
        <f>IF(tblWorkPackages[[#This Row],[Request date serial]]&lt;ValidationStart,"Train 2024",IF(tblWorkPackages[[#This Row],[Request date serial]]&lt;HoldoutStart,"Validation H1","Holdout H2"))</f>
        <v>Validation H1</v>
      </c>
      <c r="T1160" s="51">
        <f>IF(tblWorkPackages[[#This Row],[Time split]]="Train 2024","",tblWorkPackages[[#This Row],[Estimated labor hours]]+VLOOKUP(tblWorkPackages[[#This Row],[Task type]],'Forecast validation'!$A$14:$E$25,IF(tblWorkPackages[[#This Row],[Time split]]="Validation H1",4,5),FALSE()))</f>
        <v>10.375641025641</v>
      </c>
      <c r="U1160" s="51">
        <f>IF(tblWorkPackages[[#This Row],[Calibrated forecast hours]]="","",ABS(tblWorkPackages[[#This Row],[Actual labor hours]]-tblWorkPackages[[#This Row],[Calibrated forecast hours]]))</f>
        <v>0.924358974358976</v>
      </c>
      <c r="V1160" s="51">
        <f>IF(tblWorkPackages[[#This Row],[Time split]]="Train 2024",tblWorkPackages[[#This Row],[Estimated labor hours]],tblWorkPackages[[#This Row],[Calibrated forecast hours]])</f>
        <v>10.375641025641</v>
      </c>
      <c r="W1160" s="64">
        <f>DATEVALUE(tblWorkPackages[[#This Row],[Request date]])</f>
        <v>45692.0</v>
      </c>
      <c r="X1160" s="64">
        <f>DATEVALUE(tblWorkPackages[[#This Row],[Due date]])</f>
        <v>45698.0</v>
      </c>
      <c r="Y1160" s="64">
        <f>DATEVALUE(tblWorkPackages[[#This Row],[Completion date]])</f>
        <v>45699.0</v>
      </c>
      <c r="Z1160" s="64">
        <f>_xlfn.MINIFS(tblLaborEntries[Work date serial],tblLaborEntries[Work package ID],tblWorkPackages[[#This Row],[Work package ID]])</f>
        <v>45695.0</v>
      </c>
      <c r="AA1160" s="64">
        <f>_xlfn.MAXIFS(tblLaborEntries[Work date serial],tblLaborEntries[Work package ID],tblWorkPackages[[#This Row],[Work package ID]])</f>
        <v>45697.0</v>
      </c>
      <c r="AB1160" s="65">
        <f>IF(tblWorkPackages[[#This Row],[Completion date serial]]&gt;tblWorkPackages[[#This Row],[Due date serial]],1,0)</f>
        <v>1</v>
      </c>
      <c r="AC1160" s="65">
        <f>MAX(0,tblWorkPackages[[#This Row],[Completion date serial]]-tblWorkPackages[[#This Row],[Due date serial]])</f>
        <v>1</v>
      </c>
      <c r="AD1160" s="65">
        <f>tblWorkPackages[[#This Row],[First labor date]]-tblWorkPackages[[#This Row],[Request date serial]]</f>
        <v>3</v>
      </c>
      <c r="AE1160" s="65">
        <f>tblWorkPackages[[#This Row],[Last labor date]]-tblWorkPackages[[#This Row],[First labor date]]</f>
        <v>2</v>
      </c>
      <c r="AF1160" s="65">
        <f>tblWorkPackages[[#This Row],[Completion date serial]]-tblWorkPackages[[#This Row],[Last labor date]]</f>
        <v>2</v>
      </c>
      <c r="AG1160" s="65">
        <f>tblWorkPackages[[#This Row],[Completion date serial]]-tblWorkPackages[[#This Row],[Request date serial]]</f>
        <v>7</v>
      </c>
      <c r="AH1160" s="65">
        <f>IFERROR(INDEX(tblParts[Delay days],MATCH(tblWorkPackages[[#This Row],[Work package ID]],tblParts[Work package ID],0)),0)</f>
        <v>0</v>
      </c>
      <c r="AI1160" s="51" t="str">
        <f>IFERROR(INDEX(tblDisruptions[Event type],MATCH(tblWorkPackages[[#This Row],[Work package ID]],tblDisruptions[Work package ID],0)),"None")</f>
        <v>None</v>
      </c>
      <c r="AJ1160" s="51" t="str">
        <f>TEXT(tblWorkPackages[[#This Row],[Due date serial]],"yyyy-mm")</f>
        <v>2025-02</v>
      </c>
    </row>
    <row r="1161" spans="1:36" ht="15" x14ac:dyDescent="0.25">
      <c r="A1161" s="53" t="s">
        <v>2067</v>
      </c>
      <c r="B1161" s="53" t="s">
        <v>141</v>
      </c>
      <c r="C1161" s="53" t="s">
        <v>865</v>
      </c>
      <c r="D1161" s="53" t="s">
        <v>564</v>
      </c>
      <c r="E1161" s="53" t="s">
        <v>237</v>
      </c>
      <c r="F1161" s="53" t="s">
        <v>182</v>
      </c>
      <c r="G1161" s="53" t="s">
        <v>138</v>
      </c>
      <c r="H1161" s="53">
        <v>1</v>
      </c>
      <c r="I1161" s="53" t="s">
        <v>147</v>
      </c>
      <c r="J1161" s="53">
        <v>0</v>
      </c>
      <c r="K1161" s="53">
        <v>0</v>
      </c>
      <c r="L1161" s="53">
        <v>3.6</v>
      </c>
      <c r="M1161" s="53" t="s">
        <v>450</v>
      </c>
      <c r="N1161" s="53">
        <v>3</v>
      </c>
      <c r="O1161" s="51" t="str">
        <f>TEXT(tblWorkPackages[[#This Row],[Request date serial]]-WEEKDAY(tblWorkPackages[[#This Row],[Request date serial]],3),"yyyy-mm-dd")</f>
        <v>2024-06-03</v>
      </c>
      <c r="P1161" s="51">
        <f>ABS(tblWorkPackages[[#This Row],[Actual labor hours]]-tblWorkPackages[[#This Row],[Estimated labor hours]])</f>
        <v>0.6</v>
      </c>
      <c r="Q1161" s="51">
        <f>IF(tblWorkPackages[[#This Row],[Actual labor hours]]&gt;tblWorkPackages[[#This Row],[Estimated labor hours]],1,0)</f>
        <v>0</v>
      </c>
      <c r="R1161" s="51">
        <f>tblWorkPackages[[#This Row],[Actual labor hours]]-tblWorkPackages[[#This Row],[Estimated labor hours]]</f>
        <v>-0.6</v>
      </c>
      <c r="S1161" s="51" t="str">
        <f>IF(tblWorkPackages[[#This Row],[Request date serial]]&lt;ValidationStart,"Train 2024",IF(tblWorkPackages[[#This Row],[Request date serial]]&lt;HoldoutStart,"Validation H1","Holdout H2"))</f>
        <v>Train 2024</v>
      </c>
      <c r="T1161" s="51" t="str">
        <f>IF(tblWorkPackages[[#This Row],[Time split]]="Train 2024","",tblWorkPackages[[#This Row],[Estimated labor hours]]+VLOOKUP(tblWorkPackages[[#This Row],[Task type]],'Forecast validation'!$A$14:$E$25,IF(tblWorkPackages[[#This Row],[Time split]]="Validation H1",4,5),FALSE()))</f>
        <v/>
      </c>
      <c r="U1161" s="51" t="str">
        <f>IF(tblWorkPackages[[#This Row],[Calibrated forecast hours]]="","",ABS(tblWorkPackages[[#This Row],[Actual labor hours]]-tblWorkPackages[[#This Row],[Calibrated forecast hours]]))</f>
        <v/>
      </c>
      <c r="V1161" s="51">
        <f>IF(tblWorkPackages[[#This Row],[Time split]]="Train 2024",tblWorkPackages[[#This Row],[Estimated labor hours]],tblWorkPackages[[#This Row],[Calibrated forecast hours]])</f>
        <v>3.6</v>
      </c>
      <c r="W1161" s="64">
        <f>DATEVALUE(tblWorkPackages[[#This Row],[Request date]])</f>
        <v>45451.0</v>
      </c>
      <c r="X1161" s="64">
        <f>DATEVALUE(tblWorkPackages[[#This Row],[Due date]])</f>
        <v>45453.0</v>
      </c>
      <c r="Y1161" s="64">
        <f>DATEVALUE(tblWorkPackages[[#This Row],[Completion date]])</f>
        <v>45487.0</v>
      </c>
      <c r="Z1161" s="64">
        <f>_xlfn.MINIFS(tblLaborEntries[Work date serial],tblLaborEntries[Work package ID],tblWorkPackages[[#This Row],[Work package ID]])</f>
        <v>45483.0</v>
      </c>
      <c r="AA1161" s="64">
        <f>_xlfn.MAXIFS(tblLaborEntries[Work date serial],tblLaborEntries[Work package ID],tblWorkPackages[[#This Row],[Work package ID]])</f>
        <v>45484.0</v>
      </c>
      <c r="AB1161" s="65">
        <f>IF(tblWorkPackages[[#This Row],[Completion date serial]]&gt;tblWorkPackages[[#This Row],[Due date serial]],1,0)</f>
        <v>1</v>
      </c>
      <c r="AC1161" s="65">
        <f>MAX(0,tblWorkPackages[[#This Row],[Completion date serial]]-tblWorkPackages[[#This Row],[Due date serial]])</f>
        <v>34</v>
      </c>
      <c r="AD1161" s="65">
        <f>tblWorkPackages[[#This Row],[First labor date]]-tblWorkPackages[[#This Row],[Request date serial]]</f>
        <v>32</v>
      </c>
      <c r="AE1161" s="65">
        <f>tblWorkPackages[[#This Row],[Last labor date]]-tblWorkPackages[[#This Row],[First labor date]]</f>
        <v>1</v>
      </c>
      <c r="AF1161" s="65">
        <f>tblWorkPackages[[#This Row],[Completion date serial]]-tblWorkPackages[[#This Row],[Last labor date]]</f>
        <v>3</v>
      </c>
      <c r="AG1161" s="65">
        <f>tblWorkPackages[[#This Row],[Completion date serial]]-tblWorkPackages[[#This Row],[Request date serial]]</f>
        <v>36</v>
      </c>
      <c r="AH1161" s="65">
        <f>IFERROR(INDEX(tblParts[Delay days],MATCH(tblWorkPackages[[#This Row],[Work package ID]],tblParts[Work package ID],0)),0)</f>
        <v>0</v>
      </c>
      <c r="AI1161" s="51" t="str">
        <f>IFERROR(INDEX(tblDisruptions[Event type],MATCH(tblWorkPackages[[#This Row],[Work package ID]],tblDisruptions[Work package ID],0)),"None")</f>
        <v>None</v>
      </c>
      <c r="AJ1161" s="51" t="str">
        <f>TEXT(tblWorkPackages[[#This Row],[Due date serial]],"yyyy-mm")</f>
        <v>2024-06</v>
      </c>
    </row>
    <row r="1162" spans="1:36" ht="15" x14ac:dyDescent="0.25">
      <c r="A1162" s="53" t="s">
        <v>2068</v>
      </c>
      <c r="B1162" s="53" t="s">
        <v>287</v>
      </c>
      <c r="C1162" s="53" t="s">
        <v>515</v>
      </c>
      <c r="D1162" s="53" t="s">
        <v>256</v>
      </c>
      <c r="E1162" s="53" t="s">
        <v>127</v>
      </c>
      <c r="F1162" s="53" t="s">
        <v>128</v>
      </c>
      <c r="G1162" s="53" t="s">
        <v>129</v>
      </c>
      <c r="H1162" s="53">
        <v>2</v>
      </c>
      <c r="I1162" s="53" t="s">
        <v>130</v>
      </c>
      <c r="J1162" s="53">
        <v>1</v>
      </c>
      <c r="K1162" s="53">
        <v>0</v>
      </c>
      <c r="L1162" s="53">
        <v>6.5</v>
      </c>
      <c r="M1162" s="53" t="s">
        <v>161</v>
      </c>
      <c r="N1162" s="53">
        <v>7.4</v>
      </c>
      <c r="O1162" s="51" t="str">
        <f>TEXT(tblWorkPackages[[#This Row],[Request date serial]]-WEEKDAY(tblWorkPackages[[#This Row],[Request date serial]],3),"yyyy-mm-dd")</f>
        <v>2024-11-25</v>
      </c>
      <c r="P1162" s="51">
        <f>ABS(tblWorkPackages[[#This Row],[Actual labor hours]]-tblWorkPackages[[#This Row],[Estimated labor hours]])</f>
        <v>0.9</v>
      </c>
      <c r="Q1162" s="51">
        <f>IF(tblWorkPackages[[#This Row],[Actual labor hours]]&gt;tblWorkPackages[[#This Row],[Estimated labor hours]],1,0)</f>
        <v>1</v>
      </c>
      <c r="R1162" s="51">
        <f>tblWorkPackages[[#This Row],[Actual labor hours]]-tblWorkPackages[[#This Row],[Estimated labor hours]]</f>
        <v>0.9</v>
      </c>
      <c r="S1162" s="51" t="str">
        <f>IF(tblWorkPackages[[#This Row],[Request date serial]]&lt;ValidationStart,"Train 2024",IF(tblWorkPackages[[#This Row],[Request date serial]]&lt;HoldoutStart,"Validation H1","Holdout H2"))</f>
        <v>Train 2024</v>
      </c>
      <c r="T1162" s="51" t="str">
        <f>IF(tblWorkPackages[[#This Row],[Time split]]="Train 2024","",tblWorkPackages[[#This Row],[Estimated labor hours]]+VLOOKUP(tblWorkPackages[[#This Row],[Task type]],'Forecast validation'!$A$14:$E$25,IF(tblWorkPackages[[#This Row],[Time split]]="Validation H1",4,5),FALSE()))</f>
        <v/>
      </c>
      <c r="U1162" s="51" t="str">
        <f>IF(tblWorkPackages[[#This Row],[Calibrated forecast hours]]="","",ABS(tblWorkPackages[[#This Row],[Actual labor hours]]-tblWorkPackages[[#This Row],[Calibrated forecast hours]]))</f>
        <v/>
      </c>
      <c r="V1162" s="51">
        <f>IF(tblWorkPackages[[#This Row],[Time split]]="Train 2024",tblWorkPackages[[#This Row],[Estimated labor hours]],tblWorkPackages[[#This Row],[Calibrated forecast hours]])</f>
        <v>6.5</v>
      </c>
      <c r="W1162" s="64">
        <f>DATEVALUE(tblWorkPackages[[#This Row],[Request date]])</f>
        <v>45621.0</v>
      </c>
      <c r="X1162" s="64">
        <f>DATEVALUE(tblWorkPackages[[#This Row],[Due date]])</f>
        <v>45634.0</v>
      </c>
      <c r="Y1162" s="64">
        <f>DATEVALUE(tblWorkPackages[[#This Row],[Completion date]])</f>
        <v>45628.0</v>
      </c>
      <c r="Z1162" s="64">
        <f>_xlfn.MINIFS(tblLaborEntries[Work date serial],tblLaborEntries[Work package ID],tblWorkPackages[[#This Row],[Work package ID]])</f>
        <v>45627.0</v>
      </c>
      <c r="AA1162" s="64">
        <f>_xlfn.MAXIFS(tblLaborEntries[Work date serial],tblLaborEntries[Work package ID],tblWorkPackages[[#This Row],[Work package ID]])</f>
        <v>45628.0</v>
      </c>
      <c r="AB1162" s="65">
        <f>IF(tblWorkPackages[[#This Row],[Completion date serial]]&gt;tblWorkPackages[[#This Row],[Due date serial]],1,0)</f>
        <v>0</v>
      </c>
      <c r="AC1162" s="65">
        <f>MAX(0,tblWorkPackages[[#This Row],[Completion date serial]]-tblWorkPackages[[#This Row],[Due date serial]])</f>
        <v>0</v>
      </c>
      <c r="AD1162" s="65">
        <f>tblWorkPackages[[#This Row],[First labor date]]-tblWorkPackages[[#This Row],[Request date serial]]</f>
        <v>6</v>
      </c>
      <c r="AE1162" s="65">
        <f>tblWorkPackages[[#This Row],[Last labor date]]-tblWorkPackages[[#This Row],[First labor date]]</f>
        <v>1</v>
      </c>
      <c r="AF1162" s="65">
        <f>tblWorkPackages[[#This Row],[Completion date serial]]-tblWorkPackages[[#This Row],[Last labor date]]</f>
        <v>0</v>
      </c>
      <c r="AG1162" s="65">
        <f>tblWorkPackages[[#This Row],[Completion date serial]]-tblWorkPackages[[#This Row],[Request date serial]]</f>
        <v>7</v>
      </c>
      <c r="AH1162" s="65">
        <f>IFERROR(INDEX(tblParts[Delay days],MATCH(tblWorkPackages[[#This Row],[Work package ID]],tblParts[Work package ID],0)),0)</f>
        <v>0</v>
      </c>
      <c r="AI1162" s="51" t="str">
        <f>IFERROR(INDEX(tblDisruptions[Event type],MATCH(tblWorkPackages[[#This Row],[Work package ID]],tblDisruptions[Work package ID],0)),"None")</f>
        <v>None</v>
      </c>
      <c r="AJ1162" s="51" t="str">
        <f>TEXT(tblWorkPackages[[#This Row],[Due date serial]],"yyyy-mm")</f>
        <v>2024-12</v>
      </c>
    </row>
    <row r="1163" spans="1:36" ht="15" x14ac:dyDescent="0.25">
      <c r="A1163" s="53" t="s">
        <v>2069</v>
      </c>
      <c r="B1163" s="53" t="s">
        <v>163</v>
      </c>
      <c r="C1163" s="53" t="s">
        <v>320</v>
      </c>
      <c r="D1163" s="53" t="s">
        <v>663</v>
      </c>
      <c r="E1163" s="53" t="s">
        <v>272</v>
      </c>
      <c r="F1163" s="53" t="s">
        <v>145</v>
      </c>
      <c r="G1163" s="53" t="s">
        <v>273</v>
      </c>
      <c r="H1163" s="53">
        <v>4</v>
      </c>
      <c r="I1163" s="53" t="s">
        <v>176</v>
      </c>
      <c r="J1163" s="53">
        <v>0</v>
      </c>
      <c r="K1163" s="53">
        <v>0</v>
      </c>
      <c r="L1163" s="53">
        <v>22.2</v>
      </c>
      <c r="M1163" s="53" t="s">
        <v>246</v>
      </c>
      <c r="N1163" s="53">
        <v>24</v>
      </c>
      <c r="O1163" s="51" t="str">
        <f>TEXT(tblWorkPackages[[#This Row],[Request date serial]]-WEEKDAY(tblWorkPackages[[#This Row],[Request date serial]],3),"yyyy-mm-dd")</f>
        <v>2024-03-04</v>
      </c>
      <c r="P1163" s="51">
        <f>ABS(tblWorkPackages[[#This Row],[Actual labor hours]]-tblWorkPackages[[#This Row],[Estimated labor hours]])</f>
        <v>1.8</v>
      </c>
      <c r="Q1163" s="51">
        <f>IF(tblWorkPackages[[#This Row],[Actual labor hours]]&gt;tblWorkPackages[[#This Row],[Estimated labor hours]],1,0)</f>
        <v>1</v>
      </c>
      <c r="R1163" s="51">
        <f>tblWorkPackages[[#This Row],[Actual labor hours]]-tblWorkPackages[[#This Row],[Estimated labor hours]]</f>
        <v>1.8</v>
      </c>
      <c r="S1163" s="51" t="str">
        <f>IF(tblWorkPackages[[#This Row],[Request date serial]]&lt;ValidationStart,"Train 2024",IF(tblWorkPackages[[#This Row],[Request date serial]]&lt;HoldoutStart,"Validation H1","Holdout H2"))</f>
        <v>Train 2024</v>
      </c>
      <c r="T1163" s="51" t="str">
        <f>IF(tblWorkPackages[[#This Row],[Time split]]="Train 2024","",tblWorkPackages[[#This Row],[Estimated labor hours]]+VLOOKUP(tblWorkPackages[[#This Row],[Task type]],'Forecast validation'!$A$14:$E$25,IF(tblWorkPackages[[#This Row],[Time split]]="Validation H1",4,5),FALSE()))</f>
        <v/>
      </c>
      <c r="U1163" s="51" t="str">
        <f>IF(tblWorkPackages[[#This Row],[Calibrated forecast hours]]="","",ABS(tblWorkPackages[[#This Row],[Actual labor hours]]-tblWorkPackages[[#This Row],[Calibrated forecast hours]]))</f>
        <v/>
      </c>
      <c r="V1163" s="51">
        <f>IF(tblWorkPackages[[#This Row],[Time split]]="Train 2024",tblWorkPackages[[#This Row],[Estimated labor hours]],tblWorkPackages[[#This Row],[Calibrated forecast hours]])</f>
        <v>22.2</v>
      </c>
      <c r="W1163" s="64">
        <f>DATEVALUE(tblWorkPackages[[#This Row],[Request date]])</f>
        <v>45360.0</v>
      </c>
      <c r="X1163" s="64">
        <f>DATEVALUE(tblWorkPackages[[#This Row],[Due date]])</f>
        <v>45366.0</v>
      </c>
      <c r="Y1163" s="64">
        <f>DATEVALUE(tblWorkPackages[[#This Row],[Completion date]])</f>
        <v>45364.0</v>
      </c>
      <c r="Z1163" s="64">
        <f>_xlfn.MINIFS(tblLaborEntries[Work date serial],tblLaborEntries[Work package ID],tblWorkPackages[[#This Row],[Work package ID]])</f>
        <v>45362.0</v>
      </c>
      <c r="AA1163" s="64">
        <f>_xlfn.MAXIFS(tblLaborEntries[Work date serial],tblLaborEntries[Work package ID],tblWorkPackages[[#This Row],[Work package ID]])</f>
        <v>45363.0</v>
      </c>
      <c r="AB1163" s="65">
        <f>IF(tblWorkPackages[[#This Row],[Completion date serial]]&gt;tblWorkPackages[[#This Row],[Due date serial]],1,0)</f>
        <v>0</v>
      </c>
      <c r="AC1163" s="65">
        <f>MAX(0,tblWorkPackages[[#This Row],[Completion date serial]]-tblWorkPackages[[#This Row],[Due date serial]])</f>
        <v>0</v>
      </c>
      <c r="AD1163" s="65">
        <f>tblWorkPackages[[#This Row],[First labor date]]-tblWorkPackages[[#This Row],[Request date serial]]</f>
        <v>2</v>
      </c>
      <c r="AE1163" s="65">
        <f>tblWorkPackages[[#This Row],[Last labor date]]-tblWorkPackages[[#This Row],[First labor date]]</f>
        <v>1</v>
      </c>
      <c r="AF1163" s="65">
        <f>tblWorkPackages[[#This Row],[Completion date serial]]-tblWorkPackages[[#This Row],[Last labor date]]</f>
        <v>1</v>
      </c>
      <c r="AG1163" s="65">
        <f>tblWorkPackages[[#This Row],[Completion date serial]]-tblWorkPackages[[#This Row],[Request date serial]]</f>
        <v>4</v>
      </c>
      <c r="AH1163" s="65">
        <f>IFERROR(INDEX(tblParts[Delay days],MATCH(tblWorkPackages[[#This Row],[Work package ID]],tblParts[Work package ID],0)),0)</f>
        <v>0</v>
      </c>
      <c r="AI1163" s="51" t="str">
        <f>IFERROR(INDEX(tblDisruptions[Event type],MATCH(tblWorkPackages[[#This Row],[Work package ID]],tblDisruptions[Work package ID],0)),"None")</f>
        <v>None</v>
      </c>
      <c r="AJ1163" s="51" t="str">
        <f>TEXT(tblWorkPackages[[#This Row],[Due date serial]],"yyyy-mm")</f>
        <v>2024-03</v>
      </c>
    </row>
    <row r="1164" spans="1:36" ht="15" x14ac:dyDescent="0.25">
      <c r="A1164" s="53" t="s">
        <v>2070</v>
      </c>
      <c r="B1164" s="53" t="s">
        <v>124</v>
      </c>
      <c r="C1164" s="53" t="s">
        <v>1042</v>
      </c>
      <c r="D1164" s="53" t="s">
        <v>1640</v>
      </c>
      <c r="E1164" s="53" t="s">
        <v>223</v>
      </c>
      <c r="F1164" s="53" t="s">
        <v>182</v>
      </c>
      <c r="G1164" s="53" t="s">
        <v>154</v>
      </c>
      <c r="H1164" s="53">
        <v>3</v>
      </c>
      <c r="I1164" s="53" t="s">
        <v>130</v>
      </c>
      <c r="J1164" s="53">
        <v>0</v>
      </c>
      <c r="K1164" s="53">
        <v>1</v>
      </c>
      <c r="L1164" s="53">
        <v>16.2</v>
      </c>
      <c r="M1164" s="53" t="s">
        <v>155</v>
      </c>
      <c r="N1164" s="53">
        <v>18.3</v>
      </c>
      <c r="O1164" s="51" t="str">
        <f>TEXT(tblWorkPackages[[#This Row],[Request date serial]]-WEEKDAY(tblWorkPackages[[#This Row],[Request date serial]],3),"yyyy-mm-dd")</f>
        <v>2024-08-12</v>
      </c>
      <c r="P1164" s="51">
        <f>ABS(tblWorkPackages[[#This Row],[Actual labor hours]]-tblWorkPackages[[#This Row],[Estimated labor hours]])</f>
        <v>2.1</v>
      </c>
      <c r="Q1164" s="51">
        <f>IF(tblWorkPackages[[#This Row],[Actual labor hours]]&gt;tblWorkPackages[[#This Row],[Estimated labor hours]],1,0)</f>
        <v>1</v>
      </c>
      <c r="R1164" s="51">
        <f>tblWorkPackages[[#This Row],[Actual labor hours]]-tblWorkPackages[[#This Row],[Estimated labor hours]]</f>
        <v>2.1</v>
      </c>
      <c r="S1164" s="51" t="str">
        <f>IF(tblWorkPackages[[#This Row],[Request date serial]]&lt;ValidationStart,"Train 2024",IF(tblWorkPackages[[#This Row],[Request date serial]]&lt;HoldoutStart,"Validation H1","Holdout H2"))</f>
        <v>Train 2024</v>
      </c>
      <c r="T1164" s="51" t="str">
        <f>IF(tblWorkPackages[[#This Row],[Time split]]="Train 2024","",tblWorkPackages[[#This Row],[Estimated labor hours]]+VLOOKUP(tblWorkPackages[[#This Row],[Task type]],'Forecast validation'!$A$14:$E$25,IF(tblWorkPackages[[#This Row],[Time split]]="Validation H1",4,5),FALSE()))</f>
        <v/>
      </c>
      <c r="U1164" s="51" t="str">
        <f>IF(tblWorkPackages[[#This Row],[Calibrated forecast hours]]="","",ABS(tblWorkPackages[[#This Row],[Actual labor hours]]-tblWorkPackages[[#This Row],[Calibrated forecast hours]]))</f>
        <v/>
      </c>
      <c r="V1164" s="51">
        <f>IF(tblWorkPackages[[#This Row],[Time split]]="Train 2024",tblWorkPackages[[#This Row],[Estimated labor hours]],tblWorkPackages[[#This Row],[Calibrated forecast hours]])</f>
        <v>16.2</v>
      </c>
      <c r="W1164" s="64">
        <f>DATEVALUE(tblWorkPackages[[#This Row],[Request date]])</f>
        <v>45518.0</v>
      </c>
      <c r="X1164" s="64">
        <f>DATEVALUE(tblWorkPackages[[#This Row],[Due date]])</f>
        <v>45531.0</v>
      </c>
      <c r="Y1164" s="64">
        <f>DATEVALUE(tblWorkPackages[[#This Row],[Completion date]])</f>
        <v>45535.0</v>
      </c>
      <c r="Z1164" s="64">
        <f>_xlfn.MINIFS(tblLaborEntries[Work date serial],tblLaborEntries[Work package ID],tblWorkPackages[[#This Row],[Work package ID]])</f>
        <v>45533.0</v>
      </c>
      <c r="AA1164" s="64">
        <f>_xlfn.MAXIFS(tblLaborEntries[Work date serial],tblLaborEntries[Work package ID],tblWorkPackages[[#This Row],[Work package ID]])</f>
        <v>45533.0</v>
      </c>
      <c r="AB1164" s="65">
        <f>IF(tblWorkPackages[[#This Row],[Completion date serial]]&gt;tblWorkPackages[[#This Row],[Due date serial]],1,0)</f>
        <v>1</v>
      </c>
      <c r="AC1164" s="65">
        <f>MAX(0,tblWorkPackages[[#This Row],[Completion date serial]]-tblWorkPackages[[#This Row],[Due date serial]])</f>
        <v>4</v>
      </c>
      <c r="AD1164" s="65">
        <f>tblWorkPackages[[#This Row],[First labor date]]-tblWorkPackages[[#This Row],[Request date serial]]</f>
        <v>15</v>
      </c>
      <c r="AE1164" s="65">
        <f>tblWorkPackages[[#This Row],[Last labor date]]-tblWorkPackages[[#This Row],[First labor date]]</f>
        <v>0</v>
      </c>
      <c r="AF1164" s="65">
        <f>tblWorkPackages[[#This Row],[Completion date serial]]-tblWorkPackages[[#This Row],[Last labor date]]</f>
        <v>2</v>
      </c>
      <c r="AG1164" s="65">
        <f>tblWorkPackages[[#This Row],[Completion date serial]]-tblWorkPackages[[#This Row],[Request date serial]]</f>
        <v>17</v>
      </c>
      <c r="AH1164" s="65">
        <f>IFERROR(INDEX(tblParts[Delay days],MATCH(tblWorkPackages[[#This Row],[Work package ID]],tblParts[Work package ID],0)),0)</f>
        <v>0</v>
      </c>
      <c r="AI1164" s="51" t="str">
        <f>IFERROR(INDEX(tblDisruptions[Event type],MATCH(tblWorkPackages[[#This Row],[Work package ID]],tblDisruptions[Work package ID],0)),"None")</f>
        <v>None</v>
      </c>
      <c r="AJ1164" s="51" t="str">
        <f>TEXT(tblWorkPackages[[#This Row],[Due date serial]],"yyyy-mm")</f>
        <v>2024-08</v>
      </c>
    </row>
    <row r="1165" spans="1:36" ht="15" x14ac:dyDescent="0.25">
      <c r="A1165" s="53" t="s">
        <v>2071</v>
      </c>
      <c r="B1165" s="53" t="s">
        <v>150</v>
      </c>
      <c r="C1165" s="53" t="s">
        <v>1204</v>
      </c>
      <c r="D1165" s="53" t="s">
        <v>1138</v>
      </c>
      <c r="E1165" s="53" t="s">
        <v>136</v>
      </c>
      <c r="F1165" s="53" t="s">
        <v>137</v>
      </c>
      <c r="G1165" s="53" t="s">
        <v>138</v>
      </c>
      <c r="H1165" s="53">
        <v>1</v>
      </c>
      <c r="I1165" s="53" t="s">
        <v>176</v>
      </c>
      <c r="J1165" s="53">
        <v>1</v>
      </c>
      <c r="K1165" s="53">
        <v>0</v>
      </c>
      <c r="L1165" s="53">
        <v>9.9</v>
      </c>
      <c r="M1165" s="53" t="s">
        <v>553</v>
      </c>
      <c r="N1165" s="53">
        <v>14.3</v>
      </c>
      <c r="O1165" s="51" t="str">
        <f>TEXT(tblWorkPackages[[#This Row],[Request date serial]]-WEEKDAY(tblWorkPackages[[#This Row],[Request date serial]],3),"yyyy-mm-dd")</f>
        <v>2024-07-29</v>
      </c>
      <c r="P1165" s="51">
        <f>ABS(tblWorkPackages[[#This Row],[Actual labor hours]]-tblWorkPackages[[#This Row],[Estimated labor hours]])</f>
        <v>4.4</v>
      </c>
      <c r="Q1165" s="51">
        <f>IF(tblWorkPackages[[#This Row],[Actual labor hours]]&gt;tblWorkPackages[[#This Row],[Estimated labor hours]],1,0)</f>
        <v>1</v>
      </c>
      <c r="R1165" s="51">
        <f>tblWorkPackages[[#This Row],[Actual labor hours]]-tblWorkPackages[[#This Row],[Estimated labor hours]]</f>
        <v>4.4</v>
      </c>
      <c r="S1165" s="51" t="str">
        <f>IF(tblWorkPackages[[#This Row],[Request date serial]]&lt;ValidationStart,"Train 2024",IF(tblWorkPackages[[#This Row],[Request date serial]]&lt;HoldoutStart,"Validation H1","Holdout H2"))</f>
        <v>Train 2024</v>
      </c>
      <c r="T1165" s="51" t="str">
        <f>IF(tblWorkPackages[[#This Row],[Time split]]="Train 2024","",tblWorkPackages[[#This Row],[Estimated labor hours]]+VLOOKUP(tblWorkPackages[[#This Row],[Task type]],'Forecast validation'!$A$14:$E$25,IF(tblWorkPackages[[#This Row],[Time split]]="Validation H1",4,5),FALSE()))</f>
        <v/>
      </c>
      <c r="U1165" s="51" t="str">
        <f>IF(tblWorkPackages[[#This Row],[Calibrated forecast hours]]="","",ABS(tblWorkPackages[[#This Row],[Actual labor hours]]-tblWorkPackages[[#This Row],[Calibrated forecast hours]]))</f>
        <v/>
      </c>
      <c r="V1165" s="51">
        <f>IF(tblWorkPackages[[#This Row],[Time split]]="Train 2024",tblWorkPackages[[#This Row],[Estimated labor hours]],tblWorkPackages[[#This Row],[Calibrated forecast hours]])</f>
        <v>9.9</v>
      </c>
      <c r="W1165" s="64">
        <f>DATEVALUE(tblWorkPackages[[#This Row],[Request date]])</f>
        <v>45503.0</v>
      </c>
      <c r="X1165" s="64">
        <f>DATEVALUE(tblWorkPackages[[#This Row],[Due date]])</f>
        <v>45509.0</v>
      </c>
      <c r="Y1165" s="64">
        <f>DATEVALUE(tblWorkPackages[[#This Row],[Completion date]])</f>
        <v>45511.0</v>
      </c>
      <c r="Z1165" s="64">
        <f>_xlfn.MINIFS(tblLaborEntries[Work date serial],tblLaborEntries[Work package ID],tblWorkPackages[[#This Row],[Work package ID]])</f>
        <v>45507.0</v>
      </c>
      <c r="AA1165" s="64">
        <f>_xlfn.MAXIFS(tblLaborEntries[Work date serial],tblLaborEntries[Work package ID],tblWorkPackages[[#This Row],[Work package ID]])</f>
        <v>45508.0</v>
      </c>
      <c r="AB1165" s="65">
        <f>IF(tblWorkPackages[[#This Row],[Completion date serial]]&gt;tblWorkPackages[[#This Row],[Due date serial]],1,0)</f>
        <v>1</v>
      </c>
      <c r="AC1165" s="65">
        <f>MAX(0,tblWorkPackages[[#This Row],[Completion date serial]]-tblWorkPackages[[#This Row],[Due date serial]])</f>
        <v>2</v>
      </c>
      <c r="AD1165" s="65">
        <f>tblWorkPackages[[#This Row],[First labor date]]-tblWorkPackages[[#This Row],[Request date serial]]</f>
        <v>4</v>
      </c>
      <c r="AE1165" s="65">
        <f>tblWorkPackages[[#This Row],[Last labor date]]-tblWorkPackages[[#This Row],[First labor date]]</f>
        <v>1</v>
      </c>
      <c r="AF1165" s="65">
        <f>tblWorkPackages[[#This Row],[Completion date serial]]-tblWorkPackages[[#This Row],[Last labor date]]</f>
        <v>3</v>
      </c>
      <c r="AG1165" s="65">
        <f>tblWorkPackages[[#This Row],[Completion date serial]]-tblWorkPackages[[#This Row],[Request date serial]]</f>
        <v>8</v>
      </c>
      <c r="AH1165" s="65">
        <f>IFERROR(INDEX(tblParts[Delay days],MATCH(tblWorkPackages[[#This Row],[Work package ID]],tblParts[Work package ID],0)),0)</f>
        <v>0</v>
      </c>
      <c r="AI1165" s="51" t="str">
        <f>IFERROR(INDEX(tblDisruptions[Event type],MATCH(tblWorkPackages[[#This Row],[Work package ID]],tblDisruptions[Work package ID],0)),"None")</f>
        <v>None</v>
      </c>
      <c r="AJ1165" s="51" t="str">
        <f>TEXT(tblWorkPackages[[#This Row],[Due date serial]],"yyyy-mm")</f>
        <v>2024-08</v>
      </c>
    </row>
    <row r="1166" spans="1:36" ht="15" x14ac:dyDescent="0.25">
      <c r="A1166" s="53" t="s">
        <v>2072</v>
      </c>
      <c r="B1166" s="53" t="s">
        <v>287</v>
      </c>
      <c r="C1166" s="53" t="s">
        <v>467</v>
      </c>
      <c r="D1166" s="53" t="s">
        <v>967</v>
      </c>
      <c r="E1166" s="53" t="s">
        <v>237</v>
      </c>
      <c r="F1166" s="53" t="s">
        <v>182</v>
      </c>
      <c r="G1166" s="53" t="s">
        <v>138</v>
      </c>
      <c r="H1166" s="53">
        <v>4</v>
      </c>
      <c r="I1166" s="53" t="s">
        <v>176</v>
      </c>
      <c r="J1166" s="53">
        <v>0</v>
      </c>
      <c r="K1166" s="53">
        <v>1</v>
      </c>
      <c r="L1166" s="53">
        <v>11</v>
      </c>
      <c r="M1166" s="53" t="s">
        <v>1895</v>
      </c>
      <c r="N1166" s="53">
        <v>13.9</v>
      </c>
      <c r="O1166" s="51" t="str">
        <f>TEXT(tblWorkPackages[[#This Row],[Request date serial]]-WEEKDAY(tblWorkPackages[[#This Row],[Request date serial]],3),"yyyy-mm-dd")</f>
        <v>2025-03-31</v>
      </c>
      <c r="P1166" s="51">
        <f>ABS(tblWorkPackages[[#This Row],[Actual labor hours]]-tblWorkPackages[[#This Row],[Estimated labor hours]])</f>
        <v>2.9</v>
      </c>
      <c r="Q1166" s="51">
        <f>IF(tblWorkPackages[[#This Row],[Actual labor hours]]&gt;tblWorkPackages[[#This Row],[Estimated labor hours]],1,0)</f>
        <v>1</v>
      </c>
      <c r="R1166" s="51">
        <f>tblWorkPackages[[#This Row],[Actual labor hours]]-tblWorkPackages[[#This Row],[Estimated labor hours]]</f>
        <v>2.9</v>
      </c>
      <c r="S1166" s="51" t="str">
        <f>IF(tblWorkPackages[[#This Row],[Request date serial]]&lt;ValidationStart,"Train 2024",IF(tblWorkPackages[[#This Row],[Request date serial]]&lt;HoldoutStart,"Validation H1","Holdout H2"))</f>
        <v>Validation H1</v>
      </c>
      <c r="T1166" s="51">
        <f>IF(tblWorkPackages[[#This Row],[Time split]]="Train 2024","",tblWorkPackages[[#This Row],[Estimated labor hours]]+VLOOKUP(tblWorkPackages[[#This Row],[Task type]],'Forecast validation'!$A$14:$E$25,IF(tblWorkPackages[[#This Row],[Time split]]="Validation H1",4,5),FALSE()))</f>
        <v>11.5037037037037</v>
      </c>
      <c r="U1166" s="51">
        <f>IF(tblWorkPackages[[#This Row],[Calibrated forecast hours]]="","",ABS(tblWorkPackages[[#This Row],[Actual labor hours]]-tblWorkPackages[[#This Row],[Calibrated forecast hours]]))</f>
        <v>2.3962962962963</v>
      </c>
      <c r="V1166" s="51">
        <f>IF(tblWorkPackages[[#This Row],[Time split]]="Train 2024",tblWorkPackages[[#This Row],[Estimated labor hours]],tblWorkPackages[[#This Row],[Calibrated forecast hours]])</f>
        <v>11.5037037037037</v>
      </c>
      <c r="W1166" s="64">
        <f>DATEVALUE(tblWorkPackages[[#This Row],[Request date]])</f>
        <v>45752.0</v>
      </c>
      <c r="X1166" s="64">
        <f>DATEVALUE(tblWorkPackages[[#This Row],[Due date]])</f>
        <v>45758.0</v>
      </c>
      <c r="Y1166" s="64">
        <f>DATEVALUE(tblWorkPackages[[#This Row],[Completion date]])</f>
        <v>45755.0</v>
      </c>
      <c r="Z1166" s="64">
        <f>_xlfn.MINIFS(tblLaborEntries[Work date serial],tblLaborEntries[Work package ID],tblWorkPackages[[#This Row],[Work package ID]])</f>
        <v>45753.0</v>
      </c>
      <c r="AA1166" s="64">
        <f>_xlfn.MAXIFS(tblLaborEntries[Work date serial],tblLaborEntries[Work package ID],tblWorkPackages[[#This Row],[Work package ID]])</f>
        <v>45755.0</v>
      </c>
      <c r="AB1166" s="65">
        <f>IF(tblWorkPackages[[#This Row],[Completion date serial]]&gt;tblWorkPackages[[#This Row],[Due date serial]],1,0)</f>
        <v>0</v>
      </c>
      <c r="AC1166" s="65">
        <f>MAX(0,tblWorkPackages[[#This Row],[Completion date serial]]-tblWorkPackages[[#This Row],[Due date serial]])</f>
        <v>0</v>
      </c>
      <c r="AD1166" s="65">
        <f>tblWorkPackages[[#This Row],[First labor date]]-tblWorkPackages[[#This Row],[Request date serial]]</f>
        <v>1</v>
      </c>
      <c r="AE1166" s="65">
        <f>tblWorkPackages[[#This Row],[Last labor date]]-tblWorkPackages[[#This Row],[First labor date]]</f>
        <v>2</v>
      </c>
      <c r="AF1166" s="65">
        <f>tblWorkPackages[[#This Row],[Completion date serial]]-tblWorkPackages[[#This Row],[Last labor date]]</f>
        <v>0</v>
      </c>
      <c r="AG1166" s="65">
        <f>tblWorkPackages[[#This Row],[Completion date serial]]-tblWorkPackages[[#This Row],[Request date serial]]</f>
        <v>3</v>
      </c>
      <c r="AH1166" s="65">
        <f>IFERROR(INDEX(tblParts[Delay days],MATCH(tblWorkPackages[[#This Row],[Work package ID]],tblParts[Work package ID],0)),0)</f>
        <v>0</v>
      </c>
      <c r="AI1166" s="51" t="str">
        <f>IFERROR(INDEX(tblDisruptions[Event type],MATCH(tblWorkPackages[[#This Row],[Work package ID]],tblDisruptions[Work package ID],0)),"None")</f>
        <v>None</v>
      </c>
      <c r="AJ1166" s="51" t="str">
        <f>TEXT(tblWorkPackages[[#This Row],[Due date serial]],"yyyy-mm")</f>
        <v>2025-04</v>
      </c>
    </row>
    <row r="1167" spans="1:36" ht="15" x14ac:dyDescent="0.25">
      <c r="A1167" s="53" t="s">
        <v>2073</v>
      </c>
      <c r="B1167" s="53" t="s">
        <v>141</v>
      </c>
      <c r="C1167" s="53" t="s">
        <v>643</v>
      </c>
      <c r="D1167" s="53" t="s">
        <v>1392</v>
      </c>
      <c r="E1167" s="53" t="s">
        <v>242</v>
      </c>
      <c r="F1167" s="53" t="s">
        <v>243</v>
      </c>
      <c r="G1167" s="53" t="s">
        <v>129</v>
      </c>
      <c r="H1167" s="53">
        <v>1</v>
      </c>
      <c r="I1167" s="53" t="s">
        <v>130</v>
      </c>
      <c r="J1167" s="53">
        <v>0</v>
      </c>
      <c r="K1167" s="53">
        <v>0</v>
      </c>
      <c r="L1167" s="53">
        <v>5.6</v>
      </c>
      <c r="M1167" s="53" t="s">
        <v>1370</v>
      </c>
      <c r="N1167" s="53">
        <v>5.4</v>
      </c>
      <c r="O1167" s="51" t="str">
        <f>TEXT(tblWorkPackages[[#This Row],[Request date serial]]-WEEKDAY(tblWorkPackages[[#This Row],[Request date serial]],3),"yyyy-mm-dd")</f>
        <v>2024-07-22</v>
      </c>
      <c r="P1167" s="51">
        <f>ABS(tblWorkPackages[[#This Row],[Actual labor hours]]-tblWorkPackages[[#This Row],[Estimated labor hours]])</f>
        <v>0.199999999999999</v>
      </c>
      <c r="Q1167" s="51">
        <f>IF(tblWorkPackages[[#This Row],[Actual labor hours]]&gt;tblWorkPackages[[#This Row],[Estimated labor hours]],1,0)</f>
        <v>0</v>
      </c>
      <c r="R1167" s="51">
        <f>tblWorkPackages[[#This Row],[Actual labor hours]]-tblWorkPackages[[#This Row],[Estimated labor hours]]</f>
        <v>-0.199999999999999</v>
      </c>
      <c r="S1167" s="51" t="str">
        <f>IF(tblWorkPackages[[#This Row],[Request date serial]]&lt;ValidationStart,"Train 2024",IF(tblWorkPackages[[#This Row],[Request date serial]]&lt;HoldoutStart,"Validation H1","Holdout H2"))</f>
        <v>Train 2024</v>
      </c>
      <c r="T1167" s="51" t="str">
        <f>IF(tblWorkPackages[[#This Row],[Time split]]="Train 2024","",tblWorkPackages[[#This Row],[Estimated labor hours]]+VLOOKUP(tblWorkPackages[[#This Row],[Task type]],'Forecast validation'!$A$14:$E$25,IF(tblWorkPackages[[#This Row],[Time split]]="Validation H1",4,5),FALSE()))</f>
        <v/>
      </c>
      <c r="U1167" s="51" t="str">
        <f>IF(tblWorkPackages[[#This Row],[Calibrated forecast hours]]="","",ABS(tblWorkPackages[[#This Row],[Actual labor hours]]-tblWorkPackages[[#This Row],[Calibrated forecast hours]]))</f>
        <v/>
      </c>
      <c r="V1167" s="51">
        <f>IF(tblWorkPackages[[#This Row],[Time split]]="Train 2024",tblWorkPackages[[#This Row],[Estimated labor hours]],tblWorkPackages[[#This Row],[Calibrated forecast hours]])</f>
        <v>5.6</v>
      </c>
      <c r="W1167" s="64">
        <f>DATEVALUE(tblWorkPackages[[#This Row],[Request date]])</f>
        <v>45495.0</v>
      </c>
      <c r="X1167" s="64">
        <f>DATEVALUE(tblWorkPackages[[#This Row],[Due date]])</f>
        <v>45508.0</v>
      </c>
      <c r="Y1167" s="64">
        <f>DATEVALUE(tblWorkPackages[[#This Row],[Completion date]])</f>
        <v>45507.0</v>
      </c>
      <c r="Z1167" s="64">
        <f>_xlfn.MINIFS(tblLaborEntries[Work date serial],tblLaborEntries[Work package ID],tblWorkPackages[[#This Row],[Work package ID]])</f>
        <v>45504.0</v>
      </c>
      <c r="AA1167" s="64">
        <f>_xlfn.MAXIFS(tblLaborEntries[Work date serial],tblLaborEntries[Work package ID],tblWorkPackages[[#This Row],[Work package ID]])</f>
        <v>45506.0</v>
      </c>
      <c r="AB1167" s="65">
        <f>IF(tblWorkPackages[[#This Row],[Completion date serial]]&gt;tblWorkPackages[[#This Row],[Due date serial]],1,0)</f>
        <v>0</v>
      </c>
      <c r="AC1167" s="65">
        <f>MAX(0,tblWorkPackages[[#This Row],[Completion date serial]]-tblWorkPackages[[#This Row],[Due date serial]])</f>
        <v>0</v>
      </c>
      <c r="AD1167" s="65">
        <f>tblWorkPackages[[#This Row],[First labor date]]-tblWorkPackages[[#This Row],[Request date serial]]</f>
        <v>9</v>
      </c>
      <c r="AE1167" s="65">
        <f>tblWorkPackages[[#This Row],[Last labor date]]-tblWorkPackages[[#This Row],[First labor date]]</f>
        <v>2</v>
      </c>
      <c r="AF1167" s="65">
        <f>tblWorkPackages[[#This Row],[Completion date serial]]-tblWorkPackages[[#This Row],[Last labor date]]</f>
        <v>1</v>
      </c>
      <c r="AG1167" s="65">
        <f>tblWorkPackages[[#This Row],[Completion date serial]]-tblWorkPackages[[#This Row],[Request date serial]]</f>
        <v>12</v>
      </c>
      <c r="AH1167" s="65">
        <f>IFERROR(INDEX(tblParts[Delay days],MATCH(tblWorkPackages[[#This Row],[Work package ID]],tblParts[Work package ID],0)),0)</f>
        <v>0</v>
      </c>
      <c r="AI1167" s="51" t="str">
        <f>IFERROR(INDEX(tblDisruptions[Event type],MATCH(tblWorkPackages[[#This Row],[Work package ID]],tblDisruptions[Work package ID],0)),"None")</f>
        <v>None</v>
      </c>
      <c r="AJ1167" s="51" t="str">
        <f>TEXT(tblWorkPackages[[#This Row],[Due date serial]],"yyyy-mm")</f>
        <v>2024-08</v>
      </c>
    </row>
    <row r="1168" spans="1:36" ht="15" x14ac:dyDescent="0.25">
      <c r="A1168" s="53" t="s">
        <v>2074</v>
      </c>
      <c r="B1168" s="53" t="s">
        <v>157</v>
      </c>
      <c r="C1168" s="53" t="s">
        <v>957</v>
      </c>
      <c r="D1168" s="53" t="s">
        <v>304</v>
      </c>
      <c r="E1168" s="53" t="s">
        <v>242</v>
      </c>
      <c r="F1168" s="53" t="s">
        <v>243</v>
      </c>
      <c r="G1168" s="53" t="s">
        <v>129</v>
      </c>
      <c r="H1168" s="53">
        <v>3</v>
      </c>
      <c r="I1168" s="53" t="s">
        <v>176</v>
      </c>
      <c r="J1168" s="53">
        <v>0</v>
      </c>
      <c r="K1168" s="53">
        <v>0</v>
      </c>
      <c r="L1168" s="53">
        <v>11.4</v>
      </c>
      <c r="M1168" s="53" t="s">
        <v>303</v>
      </c>
      <c r="N1168" s="53">
        <v>14.2</v>
      </c>
      <c r="O1168" s="51" t="str">
        <f>TEXT(tblWorkPackages[[#This Row],[Request date serial]]-WEEKDAY(tblWorkPackages[[#This Row],[Request date serial]],3),"yyyy-mm-dd")</f>
        <v>2024-06-17</v>
      </c>
      <c r="P1168" s="51">
        <f>ABS(tblWorkPackages[[#This Row],[Actual labor hours]]-tblWorkPackages[[#This Row],[Estimated labor hours]])</f>
        <v>2.8</v>
      </c>
      <c r="Q1168" s="51">
        <f>IF(tblWorkPackages[[#This Row],[Actual labor hours]]&gt;tblWorkPackages[[#This Row],[Estimated labor hours]],1,0)</f>
        <v>1</v>
      </c>
      <c r="R1168" s="51">
        <f>tblWorkPackages[[#This Row],[Actual labor hours]]-tblWorkPackages[[#This Row],[Estimated labor hours]]</f>
        <v>2.8</v>
      </c>
      <c r="S1168" s="51" t="str">
        <f>IF(tblWorkPackages[[#This Row],[Request date serial]]&lt;ValidationStart,"Train 2024",IF(tblWorkPackages[[#This Row],[Request date serial]]&lt;HoldoutStart,"Validation H1","Holdout H2"))</f>
        <v>Train 2024</v>
      </c>
      <c r="T1168" s="51" t="str">
        <f>IF(tblWorkPackages[[#This Row],[Time split]]="Train 2024","",tblWorkPackages[[#This Row],[Estimated labor hours]]+VLOOKUP(tblWorkPackages[[#This Row],[Task type]],'Forecast validation'!$A$14:$E$25,IF(tblWorkPackages[[#This Row],[Time split]]="Validation H1",4,5),FALSE()))</f>
        <v/>
      </c>
      <c r="U1168" s="51" t="str">
        <f>IF(tblWorkPackages[[#This Row],[Calibrated forecast hours]]="","",ABS(tblWorkPackages[[#This Row],[Actual labor hours]]-tblWorkPackages[[#This Row],[Calibrated forecast hours]]))</f>
        <v/>
      </c>
      <c r="V1168" s="51">
        <f>IF(tblWorkPackages[[#This Row],[Time split]]="Train 2024",tblWorkPackages[[#This Row],[Estimated labor hours]],tblWorkPackages[[#This Row],[Calibrated forecast hours]])</f>
        <v>11.4</v>
      </c>
      <c r="W1168" s="64">
        <f>DATEVALUE(tblWorkPackages[[#This Row],[Request date]])</f>
        <v>45464.0</v>
      </c>
      <c r="X1168" s="64">
        <f>DATEVALUE(tblWorkPackages[[#This Row],[Due date]])</f>
        <v>45470.0</v>
      </c>
      <c r="Y1168" s="64">
        <f>DATEVALUE(tblWorkPackages[[#This Row],[Completion date]])</f>
        <v>45468.0</v>
      </c>
      <c r="Z1168" s="64">
        <f>_xlfn.MINIFS(tblLaborEntries[Work date serial],tblLaborEntries[Work package ID],tblWorkPackages[[#This Row],[Work package ID]])</f>
        <v>45466.0</v>
      </c>
      <c r="AA1168" s="64">
        <f>_xlfn.MAXIFS(tblLaborEntries[Work date serial],tblLaborEntries[Work package ID],tblWorkPackages[[#This Row],[Work package ID]])</f>
        <v>45466.0</v>
      </c>
      <c r="AB1168" s="65">
        <f>IF(tblWorkPackages[[#This Row],[Completion date serial]]&gt;tblWorkPackages[[#This Row],[Due date serial]],1,0)</f>
        <v>0</v>
      </c>
      <c r="AC1168" s="65">
        <f>MAX(0,tblWorkPackages[[#This Row],[Completion date serial]]-tblWorkPackages[[#This Row],[Due date serial]])</f>
        <v>0</v>
      </c>
      <c r="AD1168" s="65">
        <f>tblWorkPackages[[#This Row],[First labor date]]-tblWorkPackages[[#This Row],[Request date serial]]</f>
        <v>2</v>
      </c>
      <c r="AE1168" s="65">
        <f>tblWorkPackages[[#This Row],[Last labor date]]-tblWorkPackages[[#This Row],[First labor date]]</f>
        <v>0</v>
      </c>
      <c r="AF1168" s="65">
        <f>tblWorkPackages[[#This Row],[Completion date serial]]-tblWorkPackages[[#This Row],[Last labor date]]</f>
        <v>2</v>
      </c>
      <c r="AG1168" s="65">
        <f>tblWorkPackages[[#This Row],[Completion date serial]]-tblWorkPackages[[#This Row],[Request date serial]]</f>
        <v>4</v>
      </c>
      <c r="AH1168" s="65">
        <f>IFERROR(INDEX(tblParts[Delay days],MATCH(tblWorkPackages[[#This Row],[Work package ID]],tblParts[Work package ID],0)),0)</f>
        <v>0</v>
      </c>
      <c r="AI1168" s="51" t="str">
        <f>IFERROR(INDEX(tblDisruptions[Event type],MATCH(tblWorkPackages[[#This Row],[Work package ID]],tblDisruptions[Work package ID],0)),"None")</f>
        <v>None</v>
      </c>
      <c r="AJ1168" s="51" t="str">
        <f>TEXT(tblWorkPackages[[#This Row],[Due date serial]],"yyyy-mm")</f>
        <v>2024-06</v>
      </c>
    </row>
    <row r="1169" spans="1:36" ht="15" x14ac:dyDescent="0.25">
      <c r="A1169" s="53" t="s">
        <v>2075</v>
      </c>
      <c r="B1169" s="53" t="s">
        <v>230</v>
      </c>
      <c r="C1169" s="53" t="s">
        <v>211</v>
      </c>
      <c r="D1169" s="53" t="s">
        <v>522</v>
      </c>
      <c r="E1169" s="53" t="s">
        <v>242</v>
      </c>
      <c r="F1169" s="53" t="s">
        <v>243</v>
      </c>
      <c r="G1169" s="53" t="s">
        <v>129</v>
      </c>
      <c r="H1169" s="53">
        <v>3</v>
      </c>
      <c r="I1169" s="53" t="s">
        <v>130</v>
      </c>
      <c r="J1169" s="53">
        <v>0</v>
      </c>
      <c r="K1169" s="53">
        <v>0</v>
      </c>
      <c r="L1169" s="53">
        <v>11.6</v>
      </c>
      <c r="M1169" s="53" t="s">
        <v>1330</v>
      </c>
      <c r="N1169" s="53">
        <v>14.7</v>
      </c>
      <c r="O1169" s="51" t="str">
        <f>TEXT(tblWorkPackages[[#This Row],[Request date serial]]-WEEKDAY(tblWorkPackages[[#This Row],[Request date serial]],3),"yyyy-mm-dd")</f>
        <v>2025-08-11</v>
      </c>
      <c r="P1169" s="51">
        <f>ABS(tblWorkPackages[[#This Row],[Actual labor hours]]-tblWorkPackages[[#This Row],[Estimated labor hours]])</f>
        <v>3.1</v>
      </c>
      <c r="Q1169" s="51">
        <f>IF(tblWorkPackages[[#This Row],[Actual labor hours]]&gt;tblWorkPackages[[#This Row],[Estimated labor hours]],1,0)</f>
        <v>1</v>
      </c>
      <c r="R1169" s="51">
        <f>tblWorkPackages[[#This Row],[Actual labor hours]]-tblWorkPackages[[#This Row],[Estimated labor hours]]</f>
        <v>3.1</v>
      </c>
      <c r="S1169" s="51" t="str">
        <f>IF(tblWorkPackages[[#This Row],[Request date serial]]&lt;ValidationStart,"Train 2024",IF(tblWorkPackages[[#This Row],[Request date serial]]&lt;HoldoutStart,"Validation H1","Holdout H2"))</f>
        <v>Holdout H2</v>
      </c>
      <c r="T1169" s="51">
        <f>IF(tblWorkPackages[[#This Row],[Time split]]="Train 2024","",tblWorkPackages[[#This Row],[Estimated labor hours]]+VLOOKUP(tblWorkPackages[[#This Row],[Task type]],'Forecast validation'!$A$14:$E$25,IF(tblWorkPackages[[#This Row],[Time split]]="Validation H1",4,5),FALSE()))</f>
        <v>12.4254545454545</v>
      </c>
      <c r="U1169" s="51">
        <f>IF(tblWorkPackages[[#This Row],[Calibrated forecast hours]]="","",ABS(tblWorkPackages[[#This Row],[Actual labor hours]]-tblWorkPackages[[#This Row],[Calibrated forecast hours]]))</f>
        <v>2.27454545454545</v>
      </c>
      <c r="V1169" s="51">
        <f>IF(tblWorkPackages[[#This Row],[Time split]]="Train 2024",tblWorkPackages[[#This Row],[Estimated labor hours]],tblWorkPackages[[#This Row],[Calibrated forecast hours]])</f>
        <v>12.4254545454545</v>
      </c>
      <c r="W1169" s="64">
        <f>DATEVALUE(tblWorkPackages[[#This Row],[Request date]])</f>
        <v>45882.0</v>
      </c>
      <c r="X1169" s="64">
        <f>DATEVALUE(tblWorkPackages[[#This Row],[Due date]])</f>
        <v>45895.0</v>
      </c>
      <c r="Y1169" s="64">
        <f>DATEVALUE(tblWorkPackages[[#This Row],[Completion date]])</f>
        <v>45909.0</v>
      </c>
      <c r="Z1169" s="64">
        <f>_xlfn.MINIFS(tblLaborEntries[Work date serial],tblLaborEntries[Work package ID],tblWorkPackages[[#This Row],[Work package ID]])</f>
        <v>45906.0</v>
      </c>
      <c r="AA1169" s="64">
        <f>_xlfn.MAXIFS(tblLaborEntries[Work date serial],tblLaborEntries[Work package ID],tblWorkPackages[[#This Row],[Work package ID]])</f>
        <v>45906.0</v>
      </c>
      <c r="AB1169" s="65">
        <f>IF(tblWorkPackages[[#This Row],[Completion date serial]]&gt;tblWorkPackages[[#This Row],[Due date serial]],1,0)</f>
        <v>1</v>
      </c>
      <c r="AC1169" s="65">
        <f>MAX(0,tblWorkPackages[[#This Row],[Completion date serial]]-tblWorkPackages[[#This Row],[Due date serial]])</f>
        <v>14</v>
      </c>
      <c r="AD1169" s="65">
        <f>tblWorkPackages[[#This Row],[First labor date]]-tblWorkPackages[[#This Row],[Request date serial]]</f>
        <v>24</v>
      </c>
      <c r="AE1169" s="65">
        <f>tblWorkPackages[[#This Row],[Last labor date]]-tblWorkPackages[[#This Row],[First labor date]]</f>
        <v>0</v>
      </c>
      <c r="AF1169" s="65">
        <f>tblWorkPackages[[#This Row],[Completion date serial]]-tblWorkPackages[[#This Row],[Last labor date]]</f>
        <v>3</v>
      </c>
      <c r="AG1169" s="65">
        <f>tblWorkPackages[[#This Row],[Completion date serial]]-tblWorkPackages[[#This Row],[Request date serial]]</f>
        <v>27</v>
      </c>
      <c r="AH1169" s="65">
        <f>IFERROR(INDEX(tblParts[Delay days],MATCH(tblWorkPackages[[#This Row],[Work package ID]],tblParts[Work package ID],0)),0)</f>
        <v>0</v>
      </c>
      <c r="AI1169" s="51" t="str">
        <f>IFERROR(INDEX(tblDisruptions[Event type],MATCH(tblWorkPackages[[#This Row],[Work package ID]],tblDisruptions[Work package ID],0)),"None")</f>
        <v>None</v>
      </c>
      <c r="AJ1169" s="51" t="str">
        <f>TEXT(tblWorkPackages[[#This Row],[Due date serial]],"yyyy-mm")</f>
        <v>2025-08</v>
      </c>
    </row>
    <row r="1170" spans="1:36" ht="15" x14ac:dyDescent="0.25">
      <c r="A1170" s="53" t="s">
        <v>2076</v>
      </c>
      <c r="B1170" s="53" t="s">
        <v>287</v>
      </c>
      <c r="C1170" s="53" t="s">
        <v>627</v>
      </c>
      <c r="D1170" s="53" t="s">
        <v>743</v>
      </c>
      <c r="E1170" s="53" t="s">
        <v>127</v>
      </c>
      <c r="F1170" s="53" t="s">
        <v>128</v>
      </c>
      <c r="G1170" s="53" t="s">
        <v>129</v>
      </c>
      <c r="H1170" s="53">
        <v>3</v>
      </c>
      <c r="I1170" s="53" t="s">
        <v>130</v>
      </c>
      <c r="J1170" s="53">
        <v>0</v>
      </c>
      <c r="K1170" s="53">
        <v>1</v>
      </c>
      <c r="L1170" s="53">
        <v>9.9</v>
      </c>
      <c r="M1170" s="53" t="s">
        <v>1156</v>
      </c>
      <c r="N1170" s="53">
        <v>11.6</v>
      </c>
      <c r="O1170" s="51" t="str">
        <f>TEXT(tblWorkPackages[[#This Row],[Request date serial]]-WEEKDAY(tblWorkPackages[[#This Row],[Request date serial]],3),"yyyy-mm-dd")</f>
        <v>2025-06-30</v>
      </c>
      <c r="P1170" s="51">
        <f>ABS(tblWorkPackages[[#This Row],[Actual labor hours]]-tblWorkPackages[[#This Row],[Estimated labor hours]])</f>
        <v>1.7</v>
      </c>
      <c r="Q1170" s="51">
        <f>IF(tblWorkPackages[[#This Row],[Actual labor hours]]&gt;tblWorkPackages[[#This Row],[Estimated labor hours]],1,0)</f>
        <v>1</v>
      </c>
      <c r="R1170" s="51">
        <f>tblWorkPackages[[#This Row],[Actual labor hours]]-tblWorkPackages[[#This Row],[Estimated labor hours]]</f>
        <v>1.7</v>
      </c>
      <c r="S1170" s="51" t="str">
        <f>IF(tblWorkPackages[[#This Row],[Request date serial]]&lt;ValidationStart,"Train 2024",IF(tblWorkPackages[[#This Row],[Request date serial]]&lt;HoldoutStart,"Validation H1","Holdout H2"))</f>
        <v>Holdout H2</v>
      </c>
      <c r="T1170" s="51">
        <f>IF(tblWorkPackages[[#This Row],[Time split]]="Train 2024","",tblWorkPackages[[#This Row],[Estimated labor hours]]+VLOOKUP(tblWorkPackages[[#This Row],[Task type]],'Forecast validation'!$A$14:$E$25,IF(tblWorkPackages[[#This Row],[Time split]]="Validation H1",4,5),FALSE()))</f>
        <v>10.4434108527132</v>
      </c>
      <c r="U1170" s="51">
        <f>IF(tblWorkPackages[[#This Row],[Calibrated forecast hours]]="","",ABS(tblWorkPackages[[#This Row],[Actual labor hours]]-tblWorkPackages[[#This Row],[Calibrated forecast hours]]))</f>
        <v>1.15658914728682</v>
      </c>
      <c r="V1170" s="51">
        <f>IF(tblWorkPackages[[#This Row],[Time split]]="Train 2024",tblWorkPackages[[#This Row],[Estimated labor hours]],tblWorkPackages[[#This Row],[Calibrated forecast hours]])</f>
        <v>10.4434108527132</v>
      </c>
      <c r="W1170" s="64">
        <f>DATEVALUE(tblWorkPackages[[#This Row],[Request date]])</f>
        <v>45843.0</v>
      </c>
      <c r="X1170" s="64">
        <f>DATEVALUE(tblWorkPackages[[#This Row],[Due date]])</f>
        <v>45856.0</v>
      </c>
      <c r="Y1170" s="64">
        <f>DATEVALUE(tblWorkPackages[[#This Row],[Completion date]])</f>
        <v>45847.0</v>
      </c>
      <c r="Z1170" s="64">
        <f>_xlfn.MINIFS(tblLaborEntries[Work date serial],tblLaborEntries[Work package ID],tblWorkPackages[[#This Row],[Work package ID]])</f>
        <v>45847.0</v>
      </c>
      <c r="AA1170" s="64">
        <f>_xlfn.MAXIFS(tblLaborEntries[Work date serial],tblLaborEntries[Work package ID],tblWorkPackages[[#This Row],[Work package ID]])</f>
        <v>45847.0</v>
      </c>
      <c r="AB1170" s="65">
        <f>IF(tblWorkPackages[[#This Row],[Completion date serial]]&gt;tblWorkPackages[[#This Row],[Due date serial]],1,0)</f>
        <v>0</v>
      </c>
      <c r="AC1170" s="65">
        <f>MAX(0,tblWorkPackages[[#This Row],[Completion date serial]]-tblWorkPackages[[#This Row],[Due date serial]])</f>
        <v>0</v>
      </c>
      <c r="AD1170" s="65">
        <f>tblWorkPackages[[#This Row],[First labor date]]-tblWorkPackages[[#This Row],[Request date serial]]</f>
        <v>4</v>
      </c>
      <c r="AE1170" s="65">
        <f>tblWorkPackages[[#This Row],[Last labor date]]-tblWorkPackages[[#This Row],[First labor date]]</f>
        <v>0</v>
      </c>
      <c r="AF1170" s="65">
        <f>tblWorkPackages[[#This Row],[Completion date serial]]-tblWorkPackages[[#This Row],[Last labor date]]</f>
        <v>0</v>
      </c>
      <c r="AG1170" s="65">
        <f>tblWorkPackages[[#This Row],[Completion date serial]]-tblWorkPackages[[#This Row],[Request date serial]]</f>
        <v>4</v>
      </c>
      <c r="AH1170" s="65">
        <f>IFERROR(INDEX(tblParts[Delay days],MATCH(tblWorkPackages[[#This Row],[Work package ID]],tblParts[Work package ID],0)),0)</f>
        <v>0</v>
      </c>
      <c r="AI1170" s="51" t="str">
        <f>IFERROR(INDEX(tblDisruptions[Event type],MATCH(tblWorkPackages[[#This Row],[Work package ID]],tblDisruptions[Work package ID],0)),"None")</f>
        <v>None</v>
      </c>
      <c r="AJ1170" s="51" t="str">
        <f>TEXT(tblWorkPackages[[#This Row],[Due date serial]],"yyyy-mm")</f>
        <v>2025-07</v>
      </c>
    </row>
    <row r="1171" spans="1:36" ht="15" x14ac:dyDescent="0.25">
      <c r="A1171" s="53" t="s">
        <v>2077</v>
      </c>
      <c r="B1171" s="53" t="s">
        <v>133</v>
      </c>
      <c r="C1171" s="53" t="s">
        <v>942</v>
      </c>
      <c r="D1171" s="53" t="s">
        <v>978</v>
      </c>
      <c r="E1171" s="53" t="s">
        <v>200</v>
      </c>
      <c r="F1171" s="53" t="s">
        <v>128</v>
      </c>
      <c r="G1171" s="53" t="s">
        <v>129</v>
      </c>
      <c r="H1171" s="53">
        <v>4</v>
      </c>
      <c r="I1171" s="53" t="s">
        <v>130</v>
      </c>
      <c r="J1171" s="53">
        <v>1</v>
      </c>
      <c r="K1171" s="53">
        <v>0</v>
      </c>
      <c r="L1171" s="53">
        <v>4.7</v>
      </c>
      <c r="M1171" s="53" t="s">
        <v>331</v>
      </c>
      <c r="N1171" s="53">
        <v>5.5</v>
      </c>
      <c r="O1171" s="51" t="str">
        <f>TEXT(tblWorkPackages[[#This Row],[Request date serial]]-WEEKDAY(tblWorkPackages[[#This Row],[Request date serial]],3),"yyyy-mm-dd")</f>
        <v>2025-10-13</v>
      </c>
      <c r="P1171" s="51">
        <f>ABS(tblWorkPackages[[#This Row],[Actual labor hours]]-tblWorkPackages[[#This Row],[Estimated labor hours]])</f>
        <v>0.8</v>
      </c>
      <c r="Q1171" s="51">
        <f>IF(tblWorkPackages[[#This Row],[Actual labor hours]]&gt;tblWorkPackages[[#This Row],[Estimated labor hours]],1,0)</f>
        <v>1</v>
      </c>
      <c r="R1171" s="51">
        <f>tblWorkPackages[[#This Row],[Actual labor hours]]-tblWorkPackages[[#This Row],[Estimated labor hours]]</f>
        <v>0.8</v>
      </c>
      <c r="S1171" s="51" t="str">
        <f>IF(tblWorkPackages[[#This Row],[Request date serial]]&lt;ValidationStart,"Train 2024",IF(tblWorkPackages[[#This Row],[Request date serial]]&lt;HoldoutStart,"Validation H1","Holdout H2"))</f>
        <v>Holdout H2</v>
      </c>
      <c r="T1171" s="51">
        <f>IF(tblWorkPackages[[#This Row],[Time split]]="Train 2024","",tblWorkPackages[[#This Row],[Estimated labor hours]]+VLOOKUP(tblWorkPackages[[#This Row],[Task type]],'Forecast validation'!$A$14:$E$25,IF(tblWorkPackages[[#This Row],[Time split]]="Validation H1",4,5),FALSE()))</f>
        <v>5.02893081761006</v>
      </c>
      <c r="U1171" s="51">
        <f>IF(tblWorkPackages[[#This Row],[Calibrated forecast hours]]="","",ABS(tblWorkPackages[[#This Row],[Actual labor hours]]-tblWorkPackages[[#This Row],[Calibrated forecast hours]]))</f>
        <v>0.471069182389937</v>
      </c>
      <c r="V1171" s="51">
        <f>IF(tblWorkPackages[[#This Row],[Time split]]="Train 2024",tblWorkPackages[[#This Row],[Estimated labor hours]],tblWorkPackages[[#This Row],[Calibrated forecast hours]])</f>
        <v>5.02893081761006</v>
      </c>
      <c r="W1171" s="64">
        <f>DATEVALUE(tblWorkPackages[[#This Row],[Request date]])</f>
        <v>45946.0</v>
      </c>
      <c r="X1171" s="64">
        <f>DATEVALUE(tblWorkPackages[[#This Row],[Due date]])</f>
        <v>45959.0</v>
      </c>
      <c r="Y1171" s="64">
        <f>DATEVALUE(tblWorkPackages[[#This Row],[Completion date]])</f>
        <v>45949.0</v>
      </c>
      <c r="Z1171" s="64">
        <f>_xlfn.MINIFS(tblLaborEntries[Work date serial],tblLaborEntries[Work package ID],tblWorkPackages[[#This Row],[Work package ID]])</f>
        <v>45947.0</v>
      </c>
      <c r="AA1171" s="64">
        <f>_xlfn.MAXIFS(tblLaborEntries[Work date serial],tblLaborEntries[Work package ID],tblWorkPackages[[#This Row],[Work package ID]])</f>
        <v>45948.0</v>
      </c>
      <c r="AB1171" s="65">
        <f>IF(tblWorkPackages[[#This Row],[Completion date serial]]&gt;tblWorkPackages[[#This Row],[Due date serial]],1,0)</f>
        <v>0</v>
      </c>
      <c r="AC1171" s="65">
        <f>MAX(0,tblWorkPackages[[#This Row],[Completion date serial]]-tblWorkPackages[[#This Row],[Due date serial]])</f>
        <v>0</v>
      </c>
      <c r="AD1171" s="65">
        <f>tblWorkPackages[[#This Row],[First labor date]]-tblWorkPackages[[#This Row],[Request date serial]]</f>
        <v>1</v>
      </c>
      <c r="AE1171" s="65">
        <f>tblWorkPackages[[#This Row],[Last labor date]]-tblWorkPackages[[#This Row],[First labor date]]</f>
        <v>1</v>
      </c>
      <c r="AF1171" s="65">
        <f>tblWorkPackages[[#This Row],[Completion date serial]]-tblWorkPackages[[#This Row],[Last labor date]]</f>
        <v>1</v>
      </c>
      <c r="AG1171" s="65">
        <f>tblWorkPackages[[#This Row],[Completion date serial]]-tblWorkPackages[[#This Row],[Request date serial]]</f>
        <v>3</v>
      </c>
      <c r="AH1171" s="65">
        <f>IFERROR(INDEX(tblParts[Delay days],MATCH(tblWorkPackages[[#This Row],[Work package ID]],tblParts[Work package ID],0)),0)</f>
        <v>0</v>
      </c>
      <c r="AI1171" s="51" t="str">
        <f>IFERROR(INDEX(tblDisruptions[Event type],MATCH(tblWorkPackages[[#This Row],[Work package ID]],tblDisruptions[Work package ID],0)),"None")</f>
        <v>None</v>
      </c>
      <c r="AJ1171" s="51" t="str">
        <f>TEXT(tblWorkPackages[[#This Row],[Due date serial]],"yyyy-mm")</f>
        <v>2025-10</v>
      </c>
    </row>
    <row r="1172" spans="1:36" ht="15" x14ac:dyDescent="0.25">
      <c r="A1172" s="53" t="s">
        <v>2078</v>
      </c>
      <c r="B1172" s="53" t="s">
        <v>173</v>
      </c>
      <c r="C1172" s="53" t="s">
        <v>518</v>
      </c>
      <c r="D1172" s="53" t="s">
        <v>567</v>
      </c>
      <c r="E1172" s="53" t="s">
        <v>136</v>
      </c>
      <c r="F1172" s="53" t="s">
        <v>137</v>
      </c>
      <c r="G1172" s="53" t="s">
        <v>138</v>
      </c>
      <c r="H1172" s="53">
        <v>4</v>
      </c>
      <c r="I1172" s="53" t="s">
        <v>176</v>
      </c>
      <c r="J1172" s="53">
        <v>0</v>
      </c>
      <c r="K1172" s="53">
        <v>0</v>
      </c>
      <c r="L1172" s="53">
        <v>27.8</v>
      </c>
      <c r="M1172" s="53" t="s">
        <v>1802</v>
      </c>
      <c r="N1172" s="53">
        <v>31.6</v>
      </c>
      <c r="O1172" s="51" t="str">
        <f>TEXT(tblWorkPackages[[#This Row],[Request date serial]]-WEEKDAY(tblWorkPackages[[#This Row],[Request date serial]],3),"yyyy-mm-dd")</f>
        <v>2025-05-12</v>
      </c>
      <c r="P1172" s="51">
        <f>ABS(tblWorkPackages[[#This Row],[Actual labor hours]]-tblWorkPackages[[#This Row],[Estimated labor hours]])</f>
        <v>3.8</v>
      </c>
      <c r="Q1172" s="51">
        <f>IF(tblWorkPackages[[#This Row],[Actual labor hours]]&gt;tblWorkPackages[[#This Row],[Estimated labor hours]],1,0)</f>
        <v>1</v>
      </c>
      <c r="R1172" s="51">
        <f>tblWorkPackages[[#This Row],[Actual labor hours]]-tblWorkPackages[[#This Row],[Estimated labor hours]]</f>
        <v>3.8</v>
      </c>
      <c r="S1172" s="51" t="str">
        <f>IF(tblWorkPackages[[#This Row],[Request date serial]]&lt;ValidationStart,"Train 2024",IF(tblWorkPackages[[#This Row],[Request date serial]]&lt;HoldoutStart,"Validation H1","Holdout H2"))</f>
        <v>Validation H1</v>
      </c>
      <c r="T1172" s="51">
        <f>IF(tblWorkPackages[[#This Row],[Time split]]="Train 2024","",tblWorkPackages[[#This Row],[Estimated labor hours]]+VLOOKUP(tblWorkPackages[[#This Row],[Task type]],'Forecast validation'!$A$14:$E$25,IF(tblWorkPackages[[#This Row],[Time split]]="Validation H1",4,5),FALSE()))</f>
        <v>28.6765306122449</v>
      </c>
      <c r="U1172" s="51">
        <f>IF(tblWorkPackages[[#This Row],[Calibrated forecast hours]]="","",ABS(tblWorkPackages[[#This Row],[Actual labor hours]]-tblWorkPackages[[#This Row],[Calibrated forecast hours]]))</f>
        <v>2.9234693877551</v>
      </c>
      <c r="V1172" s="51">
        <f>IF(tblWorkPackages[[#This Row],[Time split]]="Train 2024",tblWorkPackages[[#This Row],[Estimated labor hours]],tblWorkPackages[[#This Row],[Calibrated forecast hours]])</f>
        <v>28.6765306122449</v>
      </c>
      <c r="W1172" s="64">
        <f>DATEVALUE(tblWorkPackages[[#This Row],[Request date]])</f>
        <v>45794.0</v>
      </c>
      <c r="X1172" s="64">
        <f>DATEVALUE(tblWorkPackages[[#This Row],[Due date]])</f>
        <v>45800.0</v>
      </c>
      <c r="Y1172" s="64">
        <f>DATEVALUE(tblWorkPackages[[#This Row],[Completion date]])</f>
        <v>45809.0</v>
      </c>
      <c r="Z1172" s="64">
        <f>_xlfn.MINIFS(tblLaborEntries[Work date serial],tblLaborEntries[Work package ID],tblWorkPackages[[#This Row],[Work package ID]])</f>
        <v>45806.0</v>
      </c>
      <c r="AA1172" s="64">
        <f>_xlfn.MAXIFS(tblLaborEntries[Work date serial],tblLaborEntries[Work package ID],tblWorkPackages[[#This Row],[Work package ID]])</f>
        <v>45807.0</v>
      </c>
      <c r="AB1172" s="65">
        <f>IF(tblWorkPackages[[#This Row],[Completion date serial]]&gt;tblWorkPackages[[#This Row],[Due date serial]],1,0)</f>
        <v>1</v>
      </c>
      <c r="AC1172" s="65">
        <f>MAX(0,tblWorkPackages[[#This Row],[Completion date serial]]-tblWorkPackages[[#This Row],[Due date serial]])</f>
        <v>9</v>
      </c>
      <c r="AD1172" s="65">
        <f>tblWorkPackages[[#This Row],[First labor date]]-tblWorkPackages[[#This Row],[Request date serial]]</f>
        <v>12</v>
      </c>
      <c r="AE1172" s="65">
        <f>tblWorkPackages[[#This Row],[Last labor date]]-tblWorkPackages[[#This Row],[First labor date]]</f>
        <v>1</v>
      </c>
      <c r="AF1172" s="65">
        <f>tblWorkPackages[[#This Row],[Completion date serial]]-tblWorkPackages[[#This Row],[Last labor date]]</f>
        <v>2</v>
      </c>
      <c r="AG1172" s="65">
        <f>tblWorkPackages[[#This Row],[Completion date serial]]-tblWorkPackages[[#This Row],[Request date serial]]</f>
        <v>15</v>
      </c>
      <c r="AH1172" s="65">
        <f>IFERROR(INDEX(tblParts[Delay days],MATCH(tblWorkPackages[[#This Row],[Work package ID]],tblParts[Work package ID],0)),0)</f>
        <v>0</v>
      </c>
      <c r="AI1172" s="51" t="str">
        <f>IFERROR(INDEX(tblDisruptions[Event type],MATCH(tblWorkPackages[[#This Row],[Work package ID]],tblDisruptions[Work package ID],0)),"None")</f>
        <v>None</v>
      </c>
      <c r="AJ1172" s="51" t="str">
        <f>TEXT(tblWorkPackages[[#This Row],[Due date serial]],"yyyy-mm")</f>
        <v>2025-05</v>
      </c>
    </row>
    <row r="1173" spans="1:36" ht="15" x14ac:dyDescent="0.25">
      <c r="A1173" s="53" t="s">
        <v>2079</v>
      </c>
      <c r="B1173" s="53" t="s">
        <v>287</v>
      </c>
      <c r="C1173" s="53" t="s">
        <v>909</v>
      </c>
      <c r="D1173" s="53" t="s">
        <v>778</v>
      </c>
      <c r="E1173" s="53" t="s">
        <v>160</v>
      </c>
      <c r="F1173" s="53" t="s">
        <v>128</v>
      </c>
      <c r="G1173" s="53" t="s">
        <v>138</v>
      </c>
      <c r="H1173" s="53">
        <v>4</v>
      </c>
      <c r="I1173" s="53" t="s">
        <v>176</v>
      </c>
      <c r="J1173" s="53">
        <v>0</v>
      </c>
      <c r="K1173" s="53">
        <v>0</v>
      </c>
      <c r="L1173" s="53">
        <v>8.1</v>
      </c>
      <c r="M1173" s="53" t="s">
        <v>764</v>
      </c>
      <c r="N1173" s="53">
        <v>10.199999999999999</v>
      </c>
      <c r="O1173" s="51" t="str">
        <f>TEXT(tblWorkPackages[[#This Row],[Request date serial]]-WEEKDAY(tblWorkPackages[[#This Row],[Request date serial]],3),"yyyy-mm-dd")</f>
        <v>2025-12-08</v>
      </c>
      <c r="P1173" s="51">
        <f>ABS(tblWorkPackages[[#This Row],[Actual labor hours]]-tblWorkPackages[[#This Row],[Estimated labor hours]])</f>
        <v>2.1</v>
      </c>
      <c r="Q1173" s="51">
        <f>IF(tblWorkPackages[[#This Row],[Actual labor hours]]&gt;tblWorkPackages[[#This Row],[Estimated labor hours]],1,0)</f>
        <v>1</v>
      </c>
      <c r="R1173" s="51">
        <f>tblWorkPackages[[#This Row],[Actual labor hours]]-tblWorkPackages[[#This Row],[Estimated labor hours]]</f>
        <v>2.1</v>
      </c>
      <c r="S1173" s="51" t="str">
        <f>IF(tblWorkPackages[[#This Row],[Request date serial]]&lt;ValidationStart,"Train 2024",IF(tblWorkPackages[[#This Row],[Request date serial]]&lt;HoldoutStart,"Validation H1","Holdout H2"))</f>
        <v>Holdout H2</v>
      </c>
      <c r="T1173" s="51">
        <f>IF(tblWorkPackages[[#This Row],[Time split]]="Train 2024","",tblWorkPackages[[#This Row],[Estimated labor hours]]+VLOOKUP(tblWorkPackages[[#This Row],[Task type]],'Forecast validation'!$A$14:$E$25,IF(tblWorkPackages[[#This Row],[Time split]]="Validation H1",4,5),FALSE()))</f>
        <v>8.53739837398374</v>
      </c>
      <c r="U1173" s="51">
        <f>IF(tblWorkPackages[[#This Row],[Calibrated forecast hours]]="","",ABS(tblWorkPackages[[#This Row],[Actual labor hours]]-tblWorkPackages[[#This Row],[Calibrated forecast hours]]))</f>
        <v>1.66260162601626</v>
      </c>
      <c r="V1173" s="51">
        <f>IF(tblWorkPackages[[#This Row],[Time split]]="Train 2024",tblWorkPackages[[#This Row],[Estimated labor hours]],tblWorkPackages[[#This Row],[Calibrated forecast hours]])</f>
        <v>8.53739837398374</v>
      </c>
      <c r="W1173" s="64">
        <f>DATEVALUE(tblWorkPackages[[#This Row],[Request date]])</f>
        <v>45999.0</v>
      </c>
      <c r="X1173" s="64">
        <f>DATEVALUE(tblWorkPackages[[#This Row],[Due date]])</f>
        <v>46005.0</v>
      </c>
      <c r="Y1173" s="64">
        <f>DATEVALUE(tblWorkPackages[[#This Row],[Completion date]])</f>
        <v>46007.0</v>
      </c>
      <c r="Z1173" s="64">
        <f>_xlfn.MINIFS(tblLaborEntries[Work date serial],tblLaborEntries[Work package ID],tblWorkPackages[[#This Row],[Work package ID]])</f>
        <v>46002.0</v>
      </c>
      <c r="AA1173" s="64">
        <f>_xlfn.MAXIFS(tblLaborEntries[Work date serial],tblLaborEntries[Work package ID],tblWorkPackages[[#This Row],[Work package ID]])</f>
        <v>46004.0</v>
      </c>
      <c r="AB1173" s="65">
        <f>IF(tblWorkPackages[[#This Row],[Completion date serial]]&gt;tblWorkPackages[[#This Row],[Due date serial]],1,0)</f>
        <v>1</v>
      </c>
      <c r="AC1173" s="65">
        <f>MAX(0,tblWorkPackages[[#This Row],[Completion date serial]]-tblWorkPackages[[#This Row],[Due date serial]])</f>
        <v>2</v>
      </c>
      <c r="AD1173" s="65">
        <f>tblWorkPackages[[#This Row],[First labor date]]-tblWorkPackages[[#This Row],[Request date serial]]</f>
        <v>3</v>
      </c>
      <c r="AE1173" s="65">
        <f>tblWorkPackages[[#This Row],[Last labor date]]-tblWorkPackages[[#This Row],[First labor date]]</f>
        <v>2</v>
      </c>
      <c r="AF1173" s="65">
        <f>tblWorkPackages[[#This Row],[Completion date serial]]-tblWorkPackages[[#This Row],[Last labor date]]</f>
        <v>3</v>
      </c>
      <c r="AG1173" s="65">
        <f>tblWorkPackages[[#This Row],[Completion date serial]]-tblWorkPackages[[#This Row],[Request date serial]]</f>
        <v>8</v>
      </c>
      <c r="AH1173" s="65">
        <f>IFERROR(INDEX(tblParts[Delay days],MATCH(tblWorkPackages[[#This Row],[Work package ID]],tblParts[Work package ID],0)),0)</f>
        <v>0</v>
      </c>
      <c r="AI1173" s="51" t="str">
        <f>IFERROR(INDEX(tblDisruptions[Event type],MATCH(tblWorkPackages[[#This Row],[Work package ID]],tblDisruptions[Work package ID],0)),"None")</f>
        <v>None</v>
      </c>
      <c r="AJ1173" s="51" t="str">
        <f>TEXT(tblWorkPackages[[#This Row],[Due date serial]],"yyyy-mm")</f>
        <v>2025-12</v>
      </c>
    </row>
    <row r="1174" spans="1:36" ht="15" x14ac:dyDescent="0.25">
      <c r="A1174" s="53" t="s">
        <v>2080</v>
      </c>
      <c r="B1174" s="53" t="s">
        <v>203</v>
      </c>
      <c r="C1174" s="53" t="s">
        <v>1765</v>
      </c>
      <c r="D1174" s="53" t="s">
        <v>1346</v>
      </c>
      <c r="E1174" s="53" t="s">
        <v>153</v>
      </c>
      <c r="F1174" s="53" t="s">
        <v>128</v>
      </c>
      <c r="G1174" s="53" t="s">
        <v>154</v>
      </c>
      <c r="H1174" s="53">
        <v>4</v>
      </c>
      <c r="I1174" s="53" t="s">
        <v>130</v>
      </c>
      <c r="J1174" s="53">
        <v>0</v>
      </c>
      <c r="K1174" s="53">
        <v>0</v>
      </c>
      <c r="L1174" s="53">
        <v>15.2</v>
      </c>
      <c r="M1174" s="53" t="s">
        <v>757</v>
      </c>
      <c r="N1174" s="53">
        <v>18.2</v>
      </c>
      <c r="O1174" s="51" t="str">
        <f>TEXT(tblWorkPackages[[#This Row],[Request date serial]]-WEEKDAY(tblWorkPackages[[#This Row],[Request date serial]],3),"yyyy-mm-dd")</f>
        <v>2024-08-12</v>
      </c>
      <c r="P1174" s="51">
        <f>ABS(tblWorkPackages[[#This Row],[Actual labor hours]]-tblWorkPackages[[#This Row],[Estimated labor hours]])</f>
        <v>3</v>
      </c>
      <c r="Q1174" s="51">
        <f>IF(tblWorkPackages[[#This Row],[Actual labor hours]]&gt;tblWorkPackages[[#This Row],[Estimated labor hours]],1,0)</f>
        <v>1</v>
      </c>
      <c r="R1174" s="51">
        <f>tblWorkPackages[[#This Row],[Actual labor hours]]-tblWorkPackages[[#This Row],[Estimated labor hours]]</f>
        <v>3</v>
      </c>
      <c r="S1174" s="51" t="str">
        <f>IF(tblWorkPackages[[#This Row],[Request date serial]]&lt;ValidationStart,"Train 2024",IF(tblWorkPackages[[#This Row],[Request date serial]]&lt;HoldoutStart,"Validation H1","Holdout H2"))</f>
        <v>Train 2024</v>
      </c>
      <c r="T1174" s="51" t="str">
        <f>IF(tblWorkPackages[[#This Row],[Time split]]="Train 2024","",tblWorkPackages[[#This Row],[Estimated labor hours]]+VLOOKUP(tblWorkPackages[[#This Row],[Task type]],'Forecast validation'!$A$14:$E$25,IF(tblWorkPackages[[#This Row],[Time split]]="Validation H1",4,5),FALSE()))</f>
        <v/>
      </c>
      <c r="U1174" s="51" t="str">
        <f>IF(tblWorkPackages[[#This Row],[Calibrated forecast hours]]="","",ABS(tblWorkPackages[[#This Row],[Actual labor hours]]-tblWorkPackages[[#This Row],[Calibrated forecast hours]]))</f>
        <v/>
      </c>
      <c r="V1174" s="51">
        <f>IF(tblWorkPackages[[#This Row],[Time split]]="Train 2024",tblWorkPackages[[#This Row],[Estimated labor hours]],tblWorkPackages[[#This Row],[Calibrated forecast hours]])</f>
        <v>15.2</v>
      </c>
      <c r="W1174" s="64">
        <f>DATEVALUE(tblWorkPackages[[#This Row],[Request date]])</f>
        <v>45519.0</v>
      </c>
      <c r="X1174" s="64">
        <f>DATEVALUE(tblWorkPackages[[#This Row],[Due date]])</f>
        <v>45532.0</v>
      </c>
      <c r="Y1174" s="64">
        <f>DATEVALUE(tblWorkPackages[[#This Row],[Completion date]])</f>
        <v>45557.0</v>
      </c>
      <c r="Z1174" s="64">
        <f>_xlfn.MINIFS(tblLaborEntries[Work date serial],tblLaborEntries[Work package ID],tblWorkPackages[[#This Row],[Work package ID]])</f>
        <v>45557.0</v>
      </c>
      <c r="AA1174" s="64">
        <f>_xlfn.MAXIFS(tblLaborEntries[Work date serial],tblLaborEntries[Work package ID],tblWorkPackages[[#This Row],[Work package ID]])</f>
        <v>45557.0</v>
      </c>
      <c r="AB1174" s="65">
        <f>IF(tblWorkPackages[[#This Row],[Completion date serial]]&gt;tblWorkPackages[[#This Row],[Due date serial]],1,0)</f>
        <v>1</v>
      </c>
      <c r="AC1174" s="65">
        <f>MAX(0,tblWorkPackages[[#This Row],[Completion date serial]]-tblWorkPackages[[#This Row],[Due date serial]])</f>
        <v>25</v>
      </c>
      <c r="AD1174" s="65">
        <f>tblWorkPackages[[#This Row],[First labor date]]-tblWorkPackages[[#This Row],[Request date serial]]</f>
        <v>38</v>
      </c>
      <c r="AE1174" s="65">
        <f>tblWorkPackages[[#This Row],[Last labor date]]-tblWorkPackages[[#This Row],[First labor date]]</f>
        <v>0</v>
      </c>
      <c r="AF1174" s="65">
        <f>tblWorkPackages[[#This Row],[Completion date serial]]-tblWorkPackages[[#This Row],[Last labor date]]</f>
        <v>0</v>
      </c>
      <c r="AG1174" s="65">
        <f>tblWorkPackages[[#This Row],[Completion date serial]]-tblWorkPackages[[#This Row],[Request date serial]]</f>
        <v>38</v>
      </c>
      <c r="AH1174" s="65">
        <f>IFERROR(INDEX(tblParts[Delay days],MATCH(tblWorkPackages[[#This Row],[Work package ID]],tblParts[Work package ID],0)),0)</f>
        <v>0</v>
      </c>
      <c r="AI1174" s="51" t="str">
        <f>IFERROR(INDEX(tblDisruptions[Event type],MATCH(tblWorkPackages[[#This Row],[Work package ID]],tblDisruptions[Work package ID],0)),"None")</f>
        <v>None</v>
      </c>
      <c r="AJ1174" s="51" t="str">
        <f>TEXT(tblWorkPackages[[#This Row],[Due date serial]],"yyyy-mm")</f>
        <v>2024-08</v>
      </c>
    </row>
    <row r="1175" spans="1:36" ht="15" x14ac:dyDescent="0.25">
      <c r="A1175" s="53" t="s">
        <v>2081</v>
      </c>
      <c r="B1175" s="53" t="s">
        <v>168</v>
      </c>
      <c r="C1175" s="53" t="s">
        <v>2012</v>
      </c>
      <c r="D1175" s="53" t="s">
        <v>613</v>
      </c>
      <c r="E1175" s="53" t="s">
        <v>144</v>
      </c>
      <c r="F1175" s="53" t="s">
        <v>145</v>
      </c>
      <c r="G1175" s="53" t="s">
        <v>146</v>
      </c>
      <c r="H1175" s="53">
        <v>3</v>
      </c>
      <c r="I1175" s="53" t="s">
        <v>176</v>
      </c>
      <c r="J1175" s="53">
        <v>0</v>
      </c>
      <c r="K1175" s="53">
        <v>1</v>
      </c>
      <c r="L1175" s="53">
        <v>16.100000000000001</v>
      </c>
      <c r="M1175" s="53" t="s">
        <v>609</v>
      </c>
      <c r="N1175" s="53">
        <v>16.600000000000001</v>
      </c>
      <c r="O1175" s="51" t="str">
        <f>TEXT(tblWorkPackages[[#This Row],[Request date serial]]-WEEKDAY(tblWorkPackages[[#This Row],[Request date serial]],3),"yyyy-mm-dd")</f>
        <v>2024-03-18</v>
      </c>
      <c r="P1175" s="51">
        <f>ABS(tblWorkPackages[[#This Row],[Actual labor hours]]-tblWorkPackages[[#This Row],[Estimated labor hours]])</f>
        <v>0.5</v>
      </c>
      <c r="Q1175" s="51">
        <f>IF(tblWorkPackages[[#This Row],[Actual labor hours]]&gt;tblWorkPackages[[#This Row],[Estimated labor hours]],1,0)</f>
        <v>1</v>
      </c>
      <c r="R1175" s="51">
        <f>tblWorkPackages[[#This Row],[Actual labor hours]]-tblWorkPackages[[#This Row],[Estimated labor hours]]</f>
        <v>0.5</v>
      </c>
      <c r="S1175" s="51" t="str">
        <f>IF(tblWorkPackages[[#This Row],[Request date serial]]&lt;ValidationStart,"Train 2024",IF(tblWorkPackages[[#This Row],[Request date serial]]&lt;HoldoutStart,"Validation H1","Holdout H2"))</f>
        <v>Train 2024</v>
      </c>
      <c r="T1175" s="51" t="str">
        <f>IF(tblWorkPackages[[#This Row],[Time split]]="Train 2024","",tblWorkPackages[[#This Row],[Estimated labor hours]]+VLOOKUP(tblWorkPackages[[#This Row],[Task type]],'Forecast validation'!$A$14:$E$25,IF(tblWorkPackages[[#This Row],[Time split]]="Validation H1",4,5),FALSE()))</f>
        <v/>
      </c>
      <c r="U1175" s="51" t="str">
        <f>IF(tblWorkPackages[[#This Row],[Calibrated forecast hours]]="","",ABS(tblWorkPackages[[#This Row],[Actual labor hours]]-tblWorkPackages[[#This Row],[Calibrated forecast hours]]))</f>
        <v/>
      </c>
      <c r="V1175" s="51">
        <f>IF(tblWorkPackages[[#This Row],[Time split]]="Train 2024",tblWorkPackages[[#This Row],[Estimated labor hours]],tblWorkPackages[[#This Row],[Calibrated forecast hours]])</f>
        <v>16.1</v>
      </c>
      <c r="W1175" s="64">
        <f>DATEVALUE(tblWorkPackages[[#This Row],[Request date]])</f>
        <v>45374.0</v>
      </c>
      <c r="X1175" s="64">
        <f>DATEVALUE(tblWorkPackages[[#This Row],[Due date]])</f>
        <v>45380.0</v>
      </c>
      <c r="Y1175" s="64">
        <f>DATEVALUE(tblWorkPackages[[#This Row],[Completion date]])</f>
        <v>45384.0</v>
      </c>
      <c r="Z1175" s="64">
        <f>_xlfn.MINIFS(tblLaborEntries[Work date serial],tblLaborEntries[Work package ID],tblWorkPackages[[#This Row],[Work package ID]])</f>
        <v>45381.0</v>
      </c>
      <c r="AA1175" s="64">
        <f>_xlfn.MAXIFS(tblLaborEntries[Work date serial],tblLaborEntries[Work package ID],tblWorkPackages[[#This Row],[Work package ID]])</f>
        <v>45383.0</v>
      </c>
      <c r="AB1175" s="65">
        <f>IF(tblWorkPackages[[#This Row],[Completion date serial]]&gt;tblWorkPackages[[#This Row],[Due date serial]],1,0)</f>
        <v>1</v>
      </c>
      <c r="AC1175" s="65">
        <f>MAX(0,tblWorkPackages[[#This Row],[Completion date serial]]-tblWorkPackages[[#This Row],[Due date serial]])</f>
        <v>4</v>
      </c>
      <c r="AD1175" s="65">
        <f>tblWorkPackages[[#This Row],[First labor date]]-tblWorkPackages[[#This Row],[Request date serial]]</f>
        <v>7</v>
      </c>
      <c r="AE1175" s="65">
        <f>tblWorkPackages[[#This Row],[Last labor date]]-tblWorkPackages[[#This Row],[First labor date]]</f>
        <v>2</v>
      </c>
      <c r="AF1175" s="65">
        <f>tblWorkPackages[[#This Row],[Completion date serial]]-tblWorkPackages[[#This Row],[Last labor date]]</f>
        <v>1</v>
      </c>
      <c r="AG1175" s="65">
        <f>tblWorkPackages[[#This Row],[Completion date serial]]-tblWorkPackages[[#This Row],[Request date serial]]</f>
        <v>10</v>
      </c>
      <c r="AH1175" s="65">
        <f>IFERROR(INDEX(tblParts[Delay days],MATCH(tblWorkPackages[[#This Row],[Work package ID]],tblParts[Work package ID],0)),0)</f>
        <v>0</v>
      </c>
      <c r="AI1175" s="51" t="str">
        <f>IFERROR(INDEX(tblDisruptions[Event type],MATCH(tblWorkPackages[[#This Row],[Work package ID]],tblDisruptions[Work package ID],0)),"None")</f>
        <v>None</v>
      </c>
      <c r="AJ1175" s="51" t="str">
        <f>TEXT(tblWorkPackages[[#This Row],[Due date serial]],"yyyy-mm")</f>
        <v>2024-03</v>
      </c>
    </row>
    <row r="1176" spans="1:36" ht="15" x14ac:dyDescent="0.25">
      <c r="A1176" s="53" t="s">
        <v>2082</v>
      </c>
      <c r="B1176" s="53" t="s">
        <v>157</v>
      </c>
      <c r="C1176" s="53" t="s">
        <v>1260</v>
      </c>
      <c r="D1176" s="53" t="s">
        <v>328</v>
      </c>
      <c r="E1176" s="53" t="s">
        <v>181</v>
      </c>
      <c r="F1176" s="53" t="s">
        <v>182</v>
      </c>
      <c r="G1176" s="53" t="s">
        <v>138</v>
      </c>
      <c r="H1176" s="53">
        <v>2</v>
      </c>
      <c r="I1176" s="53" t="s">
        <v>176</v>
      </c>
      <c r="J1176" s="53">
        <v>0</v>
      </c>
      <c r="K1176" s="53">
        <v>0</v>
      </c>
      <c r="L1176" s="53">
        <v>7.8</v>
      </c>
      <c r="M1176" s="53" t="s">
        <v>328</v>
      </c>
      <c r="N1176" s="53">
        <v>8</v>
      </c>
      <c r="O1176" s="51" t="str">
        <f>TEXT(tblWorkPackages[[#This Row],[Request date serial]]-WEEKDAY(tblWorkPackages[[#This Row],[Request date serial]],3),"yyyy-mm-dd")</f>
        <v>2024-03-04</v>
      </c>
      <c r="P1176" s="51">
        <f>ABS(tblWorkPackages[[#This Row],[Actual labor hours]]-tblWorkPackages[[#This Row],[Estimated labor hours]])</f>
        <v>0.2</v>
      </c>
      <c r="Q1176" s="51">
        <f>IF(tblWorkPackages[[#This Row],[Actual labor hours]]&gt;tblWorkPackages[[#This Row],[Estimated labor hours]],1,0)</f>
        <v>1</v>
      </c>
      <c r="R1176" s="51">
        <f>tblWorkPackages[[#This Row],[Actual labor hours]]-tblWorkPackages[[#This Row],[Estimated labor hours]]</f>
        <v>0.2</v>
      </c>
      <c r="S1176" s="51" t="str">
        <f>IF(tblWorkPackages[[#This Row],[Request date serial]]&lt;ValidationStart,"Train 2024",IF(tblWorkPackages[[#This Row],[Request date serial]]&lt;HoldoutStart,"Validation H1","Holdout H2"))</f>
        <v>Train 2024</v>
      </c>
      <c r="T1176" s="51" t="str">
        <f>IF(tblWorkPackages[[#This Row],[Time split]]="Train 2024","",tblWorkPackages[[#This Row],[Estimated labor hours]]+VLOOKUP(tblWorkPackages[[#This Row],[Task type]],'Forecast validation'!$A$14:$E$25,IF(tblWorkPackages[[#This Row],[Time split]]="Validation H1",4,5),FALSE()))</f>
        <v/>
      </c>
      <c r="U1176" s="51" t="str">
        <f>IF(tblWorkPackages[[#This Row],[Calibrated forecast hours]]="","",ABS(tblWorkPackages[[#This Row],[Actual labor hours]]-tblWorkPackages[[#This Row],[Calibrated forecast hours]]))</f>
        <v/>
      </c>
      <c r="V1176" s="51">
        <f>IF(tblWorkPackages[[#This Row],[Time split]]="Train 2024",tblWorkPackages[[#This Row],[Estimated labor hours]],tblWorkPackages[[#This Row],[Calibrated forecast hours]])</f>
        <v>7.8</v>
      </c>
      <c r="W1176" s="64">
        <f>DATEVALUE(tblWorkPackages[[#This Row],[Request date]])</f>
        <v>45355.0</v>
      </c>
      <c r="X1176" s="64">
        <f>DATEVALUE(tblWorkPackages[[#This Row],[Due date]])</f>
        <v>45361.0</v>
      </c>
      <c r="Y1176" s="64">
        <f>DATEVALUE(tblWorkPackages[[#This Row],[Completion date]])</f>
        <v>45361.0</v>
      </c>
      <c r="Z1176" s="64">
        <f>_xlfn.MINIFS(tblLaborEntries[Work date serial],tblLaborEntries[Work package ID],tblWorkPackages[[#This Row],[Work package ID]])</f>
        <v>45357.0</v>
      </c>
      <c r="AA1176" s="64">
        <f>_xlfn.MAXIFS(tblLaborEntries[Work date serial],tblLaborEntries[Work package ID],tblWorkPackages[[#This Row],[Work package ID]])</f>
        <v>45359.0</v>
      </c>
      <c r="AB1176" s="65">
        <f>IF(tblWorkPackages[[#This Row],[Completion date serial]]&gt;tblWorkPackages[[#This Row],[Due date serial]],1,0)</f>
        <v>0</v>
      </c>
      <c r="AC1176" s="65">
        <f>MAX(0,tblWorkPackages[[#This Row],[Completion date serial]]-tblWorkPackages[[#This Row],[Due date serial]])</f>
        <v>0</v>
      </c>
      <c r="AD1176" s="65">
        <f>tblWorkPackages[[#This Row],[First labor date]]-tblWorkPackages[[#This Row],[Request date serial]]</f>
        <v>2</v>
      </c>
      <c r="AE1176" s="65">
        <f>tblWorkPackages[[#This Row],[Last labor date]]-tblWorkPackages[[#This Row],[First labor date]]</f>
        <v>2</v>
      </c>
      <c r="AF1176" s="65">
        <f>tblWorkPackages[[#This Row],[Completion date serial]]-tblWorkPackages[[#This Row],[Last labor date]]</f>
        <v>2</v>
      </c>
      <c r="AG1176" s="65">
        <f>tblWorkPackages[[#This Row],[Completion date serial]]-tblWorkPackages[[#This Row],[Request date serial]]</f>
        <v>6</v>
      </c>
      <c r="AH1176" s="65">
        <f>IFERROR(INDEX(tblParts[Delay days],MATCH(tblWorkPackages[[#This Row],[Work package ID]],tblParts[Work package ID],0)),0)</f>
        <v>0</v>
      </c>
      <c r="AI1176" s="51" t="str">
        <f>IFERROR(INDEX(tblDisruptions[Event type],MATCH(tblWorkPackages[[#This Row],[Work package ID]],tblDisruptions[Work package ID],0)),"None")</f>
        <v>None</v>
      </c>
      <c r="AJ1176" s="51" t="str">
        <f>TEXT(tblWorkPackages[[#This Row],[Due date serial]],"yyyy-mm")</f>
        <v>2024-03</v>
      </c>
    </row>
    <row r="1177" spans="1:36" ht="15" x14ac:dyDescent="0.25">
      <c r="A1177" s="53" t="s">
        <v>2083</v>
      </c>
      <c r="B1177" s="53" t="s">
        <v>287</v>
      </c>
      <c r="C1177" s="53" t="s">
        <v>592</v>
      </c>
      <c r="D1177" s="53" t="s">
        <v>375</v>
      </c>
      <c r="E1177" s="53" t="s">
        <v>144</v>
      </c>
      <c r="F1177" s="53" t="s">
        <v>145</v>
      </c>
      <c r="G1177" s="53" t="s">
        <v>146</v>
      </c>
      <c r="H1177" s="53">
        <v>3</v>
      </c>
      <c r="I1177" s="53" t="s">
        <v>130</v>
      </c>
      <c r="J1177" s="53">
        <v>0</v>
      </c>
      <c r="K1177" s="53">
        <v>1</v>
      </c>
      <c r="L1177" s="53">
        <v>16.3</v>
      </c>
      <c r="M1177" s="53" t="s">
        <v>364</v>
      </c>
      <c r="N1177" s="53">
        <v>20.7</v>
      </c>
      <c r="O1177" s="51" t="str">
        <f>TEXT(tblWorkPackages[[#This Row],[Request date serial]]-WEEKDAY(tblWorkPackages[[#This Row],[Request date serial]],3),"yyyy-mm-dd")</f>
        <v>2025-04-07</v>
      </c>
      <c r="P1177" s="51">
        <f>ABS(tblWorkPackages[[#This Row],[Actual labor hours]]-tblWorkPackages[[#This Row],[Estimated labor hours]])</f>
        <v>4.4</v>
      </c>
      <c r="Q1177" s="51">
        <f>IF(tblWorkPackages[[#This Row],[Actual labor hours]]&gt;tblWorkPackages[[#This Row],[Estimated labor hours]],1,0)</f>
        <v>1</v>
      </c>
      <c r="R1177" s="51">
        <f>tblWorkPackages[[#This Row],[Actual labor hours]]-tblWorkPackages[[#This Row],[Estimated labor hours]]</f>
        <v>4.4</v>
      </c>
      <c r="S1177" s="51" t="str">
        <f>IF(tblWorkPackages[[#This Row],[Request date serial]]&lt;ValidationStart,"Train 2024",IF(tblWorkPackages[[#This Row],[Request date serial]]&lt;HoldoutStart,"Validation H1","Holdout H2"))</f>
        <v>Validation H1</v>
      </c>
      <c r="T1177" s="51">
        <f>IF(tblWorkPackages[[#This Row],[Time split]]="Train 2024","",tblWorkPackages[[#This Row],[Estimated labor hours]]+VLOOKUP(tblWorkPackages[[#This Row],[Task type]],'Forecast validation'!$A$14:$E$25,IF(tblWorkPackages[[#This Row],[Time split]]="Validation H1",4,5),FALSE()))</f>
        <v>17.0547368421053</v>
      </c>
      <c r="U1177" s="51">
        <f>IF(tblWorkPackages[[#This Row],[Calibrated forecast hours]]="","",ABS(tblWorkPackages[[#This Row],[Actual labor hours]]-tblWorkPackages[[#This Row],[Calibrated forecast hours]]))</f>
        <v>3.64526315789474</v>
      </c>
      <c r="V1177" s="51">
        <f>IF(tblWorkPackages[[#This Row],[Time split]]="Train 2024",tblWorkPackages[[#This Row],[Estimated labor hours]],tblWorkPackages[[#This Row],[Calibrated forecast hours]])</f>
        <v>17.0547368421053</v>
      </c>
      <c r="W1177" s="64">
        <f>DATEVALUE(tblWorkPackages[[#This Row],[Request date]])</f>
        <v>45757.0</v>
      </c>
      <c r="X1177" s="64">
        <f>DATEVALUE(tblWorkPackages[[#This Row],[Due date]])</f>
        <v>45770.0</v>
      </c>
      <c r="Y1177" s="64">
        <f>DATEVALUE(tblWorkPackages[[#This Row],[Completion date]])</f>
        <v>45790.0</v>
      </c>
      <c r="Z1177" s="64">
        <f>_xlfn.MINIFS(tblLaborEntries[Work date serial],tblLaborEntries[Work package ID],tblWorkPackages[[#This Row],[Work package ID]])</f>
        <v>45786.0</v>
      </c>
      <c r="AA1177" s="64">
        <f>_xlfn.MAXIFS(tblLaborEntries[Work date serial],tblLaborEntries[Work package ID],tblWorkPackages[[#This Row],[Work package ID]])</f>
        <v>45787.0</v>
      </c>
      <c r="AB1177" s="65">
        <f>IF(tblWorkPackages[[#This Row],[Completion date serial]]&gt;tblWorkPackages[[#This Row],[Due date serial]],1,0)</f>
        <v>1</v>
      </c>
      <c r="AC1177" s="65">
        <f>MAX(0,tblWorkPackages[[#This Row],[Completion date serial]]-tblWorkPackages[[#This Row],[Due date serial]])</f>
        <v>20</v>
      </c>
      <c r="AD1177" s="65">
        <f>tblWorkPackages[[#This Row],[First labor date]]-tblWorkPackages[[#This Row],[Request date serial]]</f>
        <v>29</v>
      </c>
      <c r="AE1177" s="65">
        <f>tblWorkPackages[[#This Row],[Last labor date]]-tblWorkPackages[[#This Row],[First labor date]]</f>
        <v>1</v>
      </c>
      <c r="AF1177" s="65">
        <f>tblWorkPackages[[#This Row],[Completion date serial]]-tblWorkPackages[[#This Row],[Last labor date]]</f>
        <v>3</v>
      </c>
      <c r="AG1177" s="65">
        <f>tblWorkPackages[[#This Row],[Completion date serial]]-tblWorkPackages[[#This Row],[Request date serial]]</f>
        <v>33</v>
      </c>
      <c r="AH1177" s="65">
        <f>IFERROR(INDEX(tblParts[Delay days],MATCH(tblWorkPackages[[#This Row],[Work package ID]],tblParts[Work package ID],0)),0)</f>
        <v>12</v>
      </c>
      <c r="AI1177" s="51" t="str">
        <f>IFERROR(INDEX(tblDisruptions[Event type],MATCH(tblWorkPackages[[#This Row],[Work package ID]],tblDisruptions[Work package ID],0)),"None")</f>
        <v>Part delay</v>
      </c>
      <c r="AJ1177" s="51" t="str">
        <f>TEXT(tblWorkPackages[[#This Row],[Due date serial]],"yyyy-mm")</f>
        <v>2025-04</v>
      </c>
    </row>
    <row r="1178" spans="1:36" ht="15" x14ac:dyDescent="0.25">
      <c r="A1178" s="53" t="s">
        <v>2084</v>
      </c>
      <c r="B1178" s="53" t="s">
        <v>185</v>
      </c>
      <c r="C1178" s="53" t="s">
        <v>1667</v>
      </c>
      <c r="D1178" s="53" t="s">
        <v>1668</v>
      </c>
      <c r="E1178" s="53" t="s">
        <v>160</v>
      </c>
      <c r="F1178" s="53" t="s">
        <v>128</v>
      </c>
      <c r="G1178" s="53" t="s">
        <v>138</v>
      </c>
      <c r="H1178" s="53">
        <v>1</v>
      </c>
      <c r="I1178" s="53" t="s">
        <v>130</v>
      </c>
      <c r="J1178" s="53">
        <v>0</v>
      </c>
      <c r="K1178" s="53">
        <v>0</v>
      </c>
      <c r="L1178" s="53">
        <v>3.2</v>
      </c>
      <c r="M1178" s="53" t="s">
        <v>546</v>
      </c>
      <c r="N1178" s="53">
        <v>2.7</v>
      </c>
      <c r="O1178" s="51" t="str">
        <f>TEXT(tblWorkPackages[[#This Row],[Request date serial]]-WEEKDAY(tblWorkPackages[[#This Row],[Request date serial]],3),"yyyy-mm-dd")</f>
        <v>2024-01-08</v>
      </c>
      <c r="P1178" s="51">
        <f>ABS(tblWorkPackages[[#This Row],[Actual labor hours]]-tblWorkPackages[[#This Row],[Estimated labor hours]])</f>
        <v>0.5</v>
      </c>
      <c r="Q1178" s="51">
        <f>IF(tblWorkPackages[[#This Row],[Actual labor hours]]&gt;tblWorkPackages[[#This Row],[Estimated labor hours]],1,0)</f>
        <v>0</v>
      </c>
      <c r="R1178" s="51">
        <f>tblWorkPackages[[#This Row],[Actual labor hours]]-tblWorkPackages[[#This Row],[Estimated labor hours]]</f>
        <v>-0.5</v>
      </c>
      <c r="S1178" s="51" t="str">
        <f>IF(tblWorkPackages[[#This Row],[Request date serial]]&lt;ValidationStart,"Train 2024",IF(tblWorkPackages[[#This Row],[Request date serial]]&lt;HoldoutStart,"Validation H1","Holdout H2"))</f>
        <v>Train 2024</v>
      </c>
      <c r="T1178" s="51" t="str">
        <f>IF(tblWorkPackages[[#This Row],[Time split]]="Train 2024","",tblWorkPackages[[#This Row],[Estimated labor hours]]+VLOOKUP(tblWorkPackages[[#This Row],[Task type]],'Forecast validation'!$A$14:$E$25,IF(tblWorkPackages[[#This Row],[Time split]]="Validation H1",4,5),FALSE()))</f>
        <v/>
      </c>
      <c r="U1178" s="51" t="str">
        <f>IF(tblWorkPackages[[#This Row],[Calibrated forecast hours]]="","",ABS(tblWorkPackages[[#This Row],[Actual labor hours]]-tblWorkPackages[[#This Row],[Calibrated forecast hours]]))</f>
        <v/>
      </c>
      <c r="V1178" s="51">
        <f>IF(tblWorkPackages[[#This Row],[Time split]]="Train 2024",tblWorkPackages[[#This Row],[Estimated labor hours]],tblWorkPackages[[#This Row],[Calibrated forecast hours]])</f>
        <v>3.2</v>
      </c>
      <c r="W1178" s="64">
        <f>DATEVALUE(tblWorkPackages[[#This Row],[Request date]])</f>
        <v>45301.0</v>
      </c>
      <c r="X1178" s="64">
        <f>DATEVALUE(tblWorkPackages[[#This Row],[Due date]])</f>
        <v>45314.0</v>
      </c>
      <c r="Y1178" s="64">
        <f>DATEVALUE(tblWorkPackages[[#This Row],[Completion date]])</f>
        <v>45306.0</v>
      </c>
      <c r="Z1178" s="64">
        <f>_xlfn.MINIFS(tblLaborEntries[Work date serial],tblLaborEntries[Work package ID],tblWorkPackages[[#This Row],[Work package ID]])</f>
        <v>45305.0</v>
      </c>
      <c r="AA1178" s="64">
        <f>_xlfn.MAXIFS(tblLaborEntries[Work date serial],tblLaborEntries[Work package ID],tblWorkPackages[[#This Row],[Work package ID]])</f>
        <v>45306.0</v>
      </c>
      <c r="AB1178" s="65">
        <f>IF(tblWorkPackages[[#This Row],[Completion date serial]]&gt;tblWorkPackages[[#This Row],[Due date serial]],1,0)</f>
        <v>0</v>
      </c>
      <c r="AC1178" s="65">
        <f>MAX(0,tblWorkPackages[[#This Row],[Completion date serial]]-tblWorkPackages[[#This Row],[Due date serial]])</f>
        <v>0</v>
      </c>
      <c r="AD1178" s="65">
        <f>tblWorkPackages[[#This Row],[First labor date]]-tblWorkPackages[[#This Row],[Request date serial]]</f>
        <v>4</v>
      </c>
      <c r="AE1178" s="65">
        <f>tblWorkPackages[[#This Row],[Last labor date]]-tblWorkPackages[[#This Row],[First labor date]]</f>
        <v>1</v>
      </c>
      <c r="AF1178" s="65">
        <f>tblWorkPackages[[#This Row],[Completion date serial]]-tblWorkPackages[[#This Row],[Last labor date]]</f>
        <v>0</v>
      </c>
      <c r="AG1178" s="65">
        <f>tblWorkPackages[[#This Row],[Completion date serial]]-tblWorkPackages[[#This Row],[Request date serial]]</f>
        <v>5</v>
      </c>
      <c r="AH1178" s="65">
        <f>IFERROR(INDEX(tblParts[Delay days],MATCH(tblWorkPackages[[#This Row],[Work package ID]],tblParts[Work package ID],0)),0)</f>
        <v>0</v>
      </c>
      <c r="AI1178" s="51" t="str">
        <f>IFERROR(INDEX(tblDisruptions[Event type],MATCH(tblWorkPackages[[#This Row],[Work package ID]],tblDisruptions[Work package ID],0)),"None")</f>
        <v>None</v>
      </c>
      <c r="AJ1178" s="51" t="str">
        <f>TEXT(tblWorkPackages[[#This Row],[Due date serial]],"yyyy-mm")</f>
        <v>2024-01</v>
      </c>
    </row>
    <row r="1179" spans="1:36" ht="15" x14ac:dyDescent="0.25">
      <c r="A1179" s="53" t="s">
        <v>2085</v>
      </c>
      <c r="B1179" s="53" t="s">
        <v>133</v>
      </c>
      <c r="C1179" s="53" t="s">
        <v>252</v>
      </c>
      <c r="D1179" s="53" t="s">
        <v>486</v>
      </c>
      <c r="E1179" s="53" t="s">
        <v>153</v>
      </c>
      <c r="F1179" s="53" t="s">
        <v>128</v>
      </c>
      <c r="G1179" s="53" t="s">
        <v>154</v>
      </c>
      <c r="H1179" s="53">
        <v>2</v>
      </c>
      <c r="I1179" s="53" t="s">
        <v>130</v>
      </c>
      <c r="J1179" s="53">
        <v>0</v>
      </c>
      <c r="K1179" s="53">
        <v>0</v>
      </c>
      <c r="L1179" s="53">
        <v>8.6</v>
      </c>
      <c r="M1179" s="53" t="s">
        <v>1417</v>
      </c>
      <c r="N1179" s="53">
        <v>6.6</v>
      </c>
      <c r="O1179" s="51" t="str">
        <f>TEXT(tblWorkPackages[[#This Row],[Request date serial]]-WEEKDAY(tblWorkPackages[[#This Row],[Request date serial]],3),"yyyy-mm-dd")</f>
        <v>2024-12-23</v>
      </c>
      <c r="P1179" s="51">
        <f>ABS(tblWorkPackages[[#This Row],[Actual labor hours]]-tblWorkPackages[[#This Row],[Estimated labor hours]])</f>
        <v>2</v>
      </c>
      <c r="Q1179" s="51">
        <f>IF(tblWorkPackages[[#This Row],[Actual labor hours]]&gt;tblWorkPackages[[#This Row],[Estimated labor hours]],1,0)</f>
        <v>0</v>
      </c>
      <c r="R1179" s="51">
        <f>tblWorkPackages[[#This Row],[Actual labor hours]]-tblWorkPackages[[#This Row],[Estimated labor hours]]</f>
        <v>-2</v>
      </c>
      <c r="S1179" s="51" t="str">
        <f>IF(tblWorkPackages[[#This Row],[Request date serial]]&lt;ValidationStart,"Train 2024",IF(tblWorkPackages[[#This Row],[Request date serial]]&lt;HoldoutStart,"Validation H1","Holdout H2"))</f>
        <v>Train 2024</v>
      </c>
      <c r="T1179" s="51" t="str">
        <f>IF(tblWorkPackages[[#This Row],[Time split]]="Train 2024","",tblWorkPackages[[#This Row],[Estimated labor hours]]+VLOOKUP(tblWorkPackages[[#This Row],[Task type]],'Forecast validation'!$A$14:$E$25,IF(tblWorkPackages[[#This Row],[Time split]]="Validation H1",4,5),FALSE()))</f>
        <v/>
      </c>
      <c r="U1179" s="51" t="str">
        <f>IF(tblWorkPackages[[#This Row],[Calibrated forecast hours]]="","",ABS(tblWorkPackages[[#This Row],[Actual labor hours]]-tblWorkPackages[[#This Row],[Calibrated forecast hours]]))</f>
        <v/>
      </c>
      <c r="V1179" s="51">
        <f>IF(tblWorkPackages[[#This Row],[Time split]]="Train 2024",tblWorkPackages[[#This Row],[Estimated labor hours]],tblWorkPackages[[#This Row],[Calibrated forecast hours]])</f>
        <v>8.6</v>
      </c>
      <c r="W1179" s="64">
        <f>DATEVALUE(tblWorkPackages[[#This Row],[Request date]])</f>
        <v>45654.0</v>
      </c>
      <c r="X1179" s="64">
        <f>DATEVALUE(tblWorkPackages[[#This Row],[Due date]])</f>
        <v>45667.0</v>
      </c>
      <c r="Y1179" s="64">
        <f>DATEVALUE(tblWorkPackages[[#This Row],[Completion date]])</f>
        <v>45656.0</v>
      </c>
      <c r="Z1179" s="64">
        <f>_xlfn.MINIFS(tblLaborEntries[Work date serial],tblLaborEntries[Work package ID],tblWorkPackages[[#This Row],[Work package ID]])</f>
        <v>45655.0</v>
      </c>
      <c r="AA1179" s="64">
        <f>_xlfn.MAXIFS(tblLaborEntries[Work date serial],tblLaborEntries[Work package ID],tblWorkPackages[[#This Row],[Work package ID]])</f>
        <v>45655.0</v>
      </c>
      <c r="AB1179" s="65">
        <f>IF(tblWorkPackages[[#This Row],[Completion date serial]]&gt;tblWorkPackages[[#This Row],[Due date serial]],1,0)</f>
        <v>0</v>
      </c>
      <c r="AC1179" s="65">
        <f>MAX(0,tblWorkPackages[[#This Row],[Completion date serial]]-tblWorkPackages[[#This Row],[Due date serial]])</f>
        <v>0</v>
      </c>
      <c r="AD1179" s="65">
        <f>tblWorkPackages[[#This Row],[First labor date]]-tblWorkPackages[[#This Row],[Request date serial]]</f>
        <v>1</v>
      </c>
      <c r="AE1179" s="65">
        <f>tblWorkPackages[[#This Row],[Last labor date]]-tblWorkPackages[[#This Row],[First labor date]]</f>
        <v>0</v>
      </c>
      <c r="AF1179" s="65">
        <f>tblWorkPackages[[#This Row],[Completion date serial]]-tblWorkPackages[[#This Row],[Last labor date]]</f>
        <v>1</v>
      </c>
      <c r="AG1179" s="65">
        <f>tblWorkPackages[[#This Row],[Completion date serial]]-tblWorkPackages[[#This Row],[Request date serial]]</f>
        <v>2</v>
      </c>
      <c r="AH1179" s="65">
        <f>IFERROR(INDEX(tblParts[Delay days],MATCH(tblWorkPackages[[#This Row],[Work package ID]],tblParts[Work package ID],0)),0)</f>
        <v>0</v>
      </c>
      <c r="AI1179" s="51" t="str">
        <f>IFERROR(INDEX(tblDisruptions[Event type],MATCH(tblWorkPackages[[#This Row],[Work package ID]],tblDisruptions[Work package ID],0)),"None")</f>
        <v>None</v>
      </c>
      <c r="AJ1179" s="51" t="str">
        <f>TEXT(tblWorkPackages[[#This Row],[Due date serial]],"yyyy-mm")</f>
        <v>2025-01</v>
      </c>
    </row>
    <row r="1180" spans="1:36" ht="15" x14ac:dyDescent="0.25">
      <c r="A1180" s="53" t="s">
        <v>2086</v>
      </c>
      <c r="B1180" s="53" t="s">
        <v>235</v>
      </c>
      <c r="C1180" s="53" t="s">
        <v>332</v>
      </c>
      <c r="D1180" s="53" t="s">
        <v>309</v>
      </c>
      <c r="E1180" s="53" t="s">
        <v>136</v>
      </c>
      <c r="F1180" s="53" t="s">
        <v>137</v>
      </c>
      <c r="G1180" s="53" t="s">
        <v>138</v>
      </c>
      <c r="H1180" s="53">
        <v>3</v>
      </c>
      <c r="I1180" s="53" t="s">
        <v>130</v>
      </c>
      <c r="J1180" s="53">
        <v>0</v>
      </c>
      <c r="K1180" s="53">
        <v>1</v>
      </c>
      <c r="L1180" s="53">
        <v>16.899999999999999</v>
      </c>
      <c r="M1180" s="53" t="s">
        <v>481</v>
      </c>
      <c r="N1180" s="53">
        <v>13.3</v>
      </c>
      <c r="O1180" s="51" t="str">
        <f>TEXT(tblWorkPackages[[#This Row],[Request date serial]]-WEEKDAY(tblWorkPackages[[#This Row],[Request date serial]],3),"yyyy-mm-dd")</f>
        <v>2025-10-20</v>
      </c>
      <c r="P1180" s="51">
        <f>ABS(tblWorkPackages[[#This Row],[Actual labor hours]]-tblWorkPackages[[#This Row],[Estimated labor hours]])</f>
        <v>3.6</v>
      </c>
      <c r="Q1180" s="51">
        <f>IF(tblWorkPackages[[#This Row],[Actual labor hours]]&gt;tblWorkPackages[[#This Row],[Estimated labor hours]],1,0)</f>
        <v>0</v>
      </c>
      <c r="R1180" s="51">
        <f>tblWorkPackages[[#This Row],[Actual labor hours]]-tblWorkPackages[[#This Row],[Estimated labor hours]]</f>
        <v>-3.6</v>
      </c>
      <c r="S1180" s="51" t="str">
        <f>IF(tblWorkPackages[[#This Row],[Request date serial]]&lt;ValidationStart,"Train 2024",IF(tblWorkPackages[[#This Row],[Request date serial]]&lt;HoldoutStart,"Validation H1","Holdout H2"))</f>
        <v>Holdout H2</v>
      </c>
      <c r="T1180" s="51">
        <f>IF(tblWorkPackages[[#This Row],[Time split]]="Train 2024","",tblWorkPackages[[#This Row],[Estimated labor hours]]+VLOOKUP(tblWorkPackages[[#This Row],[Task type]],'Forecast validation'!$A$14:$E$25,IF(tblWorkPackages[[#This Row],[Time split]]="Validation H1",4,5),FALSE()))</f>
        <v>17.8207547169811</v>
      </c>
      <c r="U1180" s="51">
        <f>IF(tblWorkPackages[[#This Row],[Calibrated forecast hours]]="","",ABS(tblWorkPackages[[#This Row],[Actual labor hours]]-tblWorkPackages[[#This Row],[Calibrated forecast hours]]))</f>
        <v>4.52075471698113</v>
      </c>
      <c r="V1180" s="51">
        <f>IF(tblWorkPackages[[#This Row],[Time split]]="Train 2024",tblWorkPackages[[#This Row],[Estimated labor hours]],tblWorkPackages[[#This Row],[Calibrated forecast hours]])</f>
        <v>17.8207547169811</v>
      </c>
      <c r="W1180" s="64">
        <f>DATEVALUE(tblWorkPackages[[#This Row],[Request date]])</f>
        <v>45954.0</v>
      </c>
      <c r="X1180" s="64">
        <f>DATEVALUE(tblWorkPackages[[#This Row],[Due date]])</f>
        <v>45967.0</v>
      </c>
      <c r="Y1180" s="64">
        <f>DATEVALUE(tblWorkPackages[[#This Row],[Completion date]])</f>
        <v>45968.0</v>
      </c>
      <c r="Z1180" s="64">
        <f>_xlfn.MINIFS(tblLaborEntries[Work date serial],tblLaborEntries[Work package ID],tblWorkPackages[[#This Row],[Work package ID]])</f>
        <v>45964.0</v>
      </c>
      <c r="AA1180" s="64">
        <f>_xlfn.MAXIFS(tblLaborEntries[Work date serial],tblLaborEntries[Work package ID],tblWorkPackages[[#This Row],[Work package ID]])</f>
        <v>45966.0</v>
      </c>
      <c r="AB1180" s="65">
        <f>IF(tblWorkPackages[[#This Row],[Completion date serial]]&gt;tblWorkPackages[[#This Row],[Due date serial]],1,0)</f>
        <v>1</v>
      </c>
      <c r="AC1180" s="65">
        <f>MAX(0,tblWorkPackages[[#This Row],[Completion date serial]]-tblWorkPackages[[#This Row],[Due date serial]])</f>
        <v>1</v>
      </c>
      <c r="AD1180" s="65">
        <f>tblWorkPackages[[#This Row],[First labor date]]-tblWorkPackages[[#This Row],[Request date serial]]</f>
        <v>10</v>
      </c>
      <c r="AE1180" s="65">
        <f>tblWorkPackages[[#This Row],[Last labor date]]-tblWorkPackages[[#This Row],[First labor date]]</f>
        <v>2</v>
      </c>
      <c r="AF1180" s="65">
        <f>tblWorkPackages[[#This Row],[Completion date serial]]-tblWorkPackages[[#This Row],[Last labor date]]</f>
        <v>2</v>
      </c>
      <c r="AG1180" s="65">
        <f>tblWorkPackages[[#This Row],[Completion date serial]]-tblWorkPackages[[#This Row],[Request date serial]]</f>
        <v>14</v>
      </c>
      <c r="AH1180" s="65">
        <f>IFERROR(INDEX(tblParts[Delay days],MATCH(tblWorkPackages[[#This Row],[Work package ID]],tblParts[Work package ID],0)),0)</f>
        <v>0</v>
      </c>
      <c r="AI1180" s="51" t="str">
        <f>IFERROR(INDEX(tblDisruptions[Event type],MATCH(tblWorkPackages[[#This Row],[Work package ID]],tblDisruptions[Work package ID],0)),"None")</f>
        <v>None</v>
      </c>
      <c r="AJ1180" s="51" t="str">
        <f>TEXT(tblWorkPackages[[#This Row],[Due date serial]],"yyyy-mm")</f>
        <v>2025-11</v>
      </c>
    </row>
    <row r="1181" spans="1:36" ht="15" x14ac:dyDescent="0.25">
      <c r="A1181" s="53" t="s">
        <v>2087</v>
      </c>
      <c r="B1181" s="53" t="s">
        <v>163</v>
      </c>
      <c r="C1181" s="53" t="s">
        <v>466</v>
      </c>
      <c r="D1181" s="53" t="s">
        <v>270</v>
      </c>
      <c r="E1181" s="53" t="s">
        <v>200</v>
      </c>
      <c r="F1181" s="53" t="s">
        <v>128</v>
      </c>
      <c r="G1181" s="53" t="s">
        <v>129</v>
      </c>
      <c r="H1181" s="53">
        <v>3</v>
      </c>
      <c r="I1181" s="53" t="s">
        <v>147</v>
      </c>
      <c r="J1181" s="53">
        <v>0</v>
      </c>
      <c r="K1181" s="53">
        <v>1</v>
      </c>
      <c r="L1181" s="53">
        <v>4.4000000000000004</v>
      </c>
      <c r="M1181" s="53" t="s">
        <v>467</v>
      </c>
      <c r="N1181" s="53">
        <v>5.5</v>
      </c>
      <c r="O1181" s="51" t="str">
        <f>TEXT(tblWorkPackages[[#This Row],[Request date serial]]-WEEKDAY(tblWorkPackages[[#This Row],[Request date serial]],3),"yyyy-mm-dd")</f>
        <v>2025-03-24</v>
      </c>
      <c r="P1181" s="51">
        <f>ABS(tblWorkPackages[[#This Row],[Actual labor hours]]-tblWorkPackages[[#This Row],[Estimated labor hours]])</f>
        <v>1.1</v>
      </c>
      <c r="Q1181" s="51">
        <f>IF(tblWorkPackages[[#This Row],[Actual labor hours]]&gt;tblWorkPackages[[#This Row],[Estimated labor hours]],1,0)</f>
        <v>1</v>
      </c>
      <c r="R1181" s="51">
        <f>tblWorkPackages[[#This Row],[Actual labor hours]]-tblWorkPackages[[#This Row],[Estimated labor hours]]</f>
        <v>1.1</v>
      </c>
      <c r="S1181" s="51" t="str">
        <f>IF(tblWorkPackages[[#This Row],[Request date serial]]&lt;ValidationStart,"Train 2024",IF(tblWorkPackages[[#This Row],[Request date serial]]&lt;HoldoutStart,"Validation H1","Holdout H2"))</f>
        <v>Validation H1</v>
      </c>
      <c r="T1181" s="51">
        <f>IF(tblWorkPackages[[#This Row],[Time split]]="Train 2024","",tblWorkPackages[[#This Row],[Estimated labor hours]]+VLOOKUP(tblWorkPackages[[#This Row],[Task type]],'Forecast validation'!$A$14:$E$25,IF(tblWorkPackages[[#This Row],[Time split]]="Validation H1",4,5),FALSE()))</f>
        <v>4.73069306930693</v>
      </c>
      <c r="U1181" s="51">
        <f>IF(tblWorkPackages[[#This Row],[Calibrated forecast hours]]="","",ABS(tblWorkPackages[[#This Row],[Actual labor hours]]-tblWorkPackages[[#This Row],[Calibrated forecast hours]]))</f>
        <v>0.769306930693069</v>
      </c>
      <c r="V1181" s="51">
        <f>IF(tblWorkPackages[[#This Row],[Time split]]="Train 2024",tblWorkPackages[[#This Row],[Estimated labor hours]],tblWorkPackages[[#This Row],[Calibrated forecast hours]])</f>
        <v>4.73069306930693</v>
      </c>
      <c r="W1181" s="64">
        <f>DATEVALUE(tblWorkPackages[[#This Row],[Request date]])</f>
        <v>45746.0</v>
      </c>
      <c r="X1181" s="64">
        <f>DATEVALUE(tblWorkPackages[[#This Row],[Due date]])</f>
        <v>45748.0</v>
      </c>
      <c r="Y1181" s="64">
        <f>DATEVALUE(tblWorkPackages[[#This Row],[Completion date]])</f>
        <v>45752.0</v>
      </c>
      <c r="Z1181" s="64">
        <f>_xlfn.MINIFS(tblLaborEntries[Work date serial],tblLaborEntries[Work package ID],tblWorkPackages[[#This Row],[Work package ID]])</f>
        <v>45749.0</v>
      </c>
      <c r="AA1181" s="64">
        <f>_xlfn.MAXIFS(tblLaborEntries[Work date serial],tblLaborEntries[Work package ID],tblWorkPackages[[#This Row],[Work package ID]])</f>
        <v>45749.0</v>
      </c>
      <c r="AB1181" s="65">
        <f>IF(tblWorkPackages[[#This Row],[Completion date serial]]&gt;tblWorkPackages[[#This Row],[Due date serial]],1,0)</f>
        <v>1</v>
      </c>
      <c r="AC1181" s="65">
        <f>MAX(0,tblWorkPackages[[#This Row],[Completion date serial]]-tblWorkPackages[[#This Row],[Due date serial]])</f>
        <v>4</v>
      </c>
      <c r="AD1181" s="65">
        <f>tblWorkPackages[[#This Row],[First labor date]]-tblWorkPackages[[#This Row],[Request date serial]]</f>
        <v>3</v>
      </c>
      <c r="AE1181" s="65">
        <f>tblWorkPackages[[#This Row],[Last labor date]]-tblWorkPackages[[#This Row],[First labor date]]</f>
        <v>0</v>
      </c>
      <c r="AF1181" s="65">
        <f>tblWorkPackages[[#This Row],[Completion date serial]]-tblWorkPackages[[#This Row],[Last labor date]]</f>
        <v>3</v>
      </c>
      <c r="AG1181" s="65">
        <f>tblWorkPackages[[#This Row],[Completion date serial]]-tblWorkPackages[[#This Row],[Request date serial]]</f>
        <v>6</v>
      </c>
      <c r="AH1181" s="65">
        <f>IFERROR(INDEX(tblParts[Delay days],MATCH(tblWorkPackages[[#This Row],[Work package ID]],tblParts[Work package ID],0)),0)</f>
        <v>0</v>
      </c>
      <c r="AI1181" s="51" t="str">
        <f>IFERROR(INDEX(tblDisruptions[Event type],MATCH(tblWorkPackages[[#This Row],[Work package ID]],tblDisruptions[Work package ID],0)),"None")</f>
        <v>None</v>
      </c>
      <c r="AJ1181" s="51" t="str">
        <f>TEXT(tblWorkPackages[[#This Row],[Due date serial]],"yyyy-mm")</f>
        <v>2025-04</v>
      </c>
    </row>
    <row r="1182" spans="1:36" ht="15" x14ac:dyDescent="0.25">
      <c r="A1182" s="53" t="s">
        <v>2088</v>
      </c>
      <c r="B1182" s="53" t="s">
        <v>230</v>
      </c>
      <c r="C1182" s="53" t="s">
        <v>986</v>
      </c>
      <c r="D1182" s="53" t="s">
        <v>196</v>
      </c>
      <c r="E1182" s="53" t="s">
        <v>242</v>
      </c>
      <c r="F1182" s="53" t="s">
        <v>243</v>
      </c>
      <c r="G1182" s="53" t="s">
        <v>129</v>
      </c>
      <c r="H1182" s="53">
        <v>1</v>
      </c>
      <c r="I1182" s="53" t="s">
        <v>130</v>
      </c>
      <c r="J1182" s="53">
        <v>0</v>
      </c>
      <c r="K1182" s="53">
        <v>0</v>
      </c>
      <c r="L1182" s="53">
        <v>5.2</v>
      </c>
      <c r="M1182" s="53" t="s">
        <v>1721</v>
      </c>
      <c r="N1182" s="53">
        <v>6.3</v>
      </c>
      <c r="O1182" s="51" t="str">
        <f>TEXT(tblWorkPackages[[#This Row],[Request date serial]]-WEEKDAY(tblWorkPackages[[#This Row],[Request date serial]],3),"yyyy-mm-dd")</f>
        <v>2024-09-30</v>
      </c>
      <c r="P1182" s="51">
        <f>ABS(tblWorkPackages[[#This Row],[Actual labor hours]]-tblWorkPackages[[#This Row],[Estimated labor hours]])</f>
        <v>1.1</v>
      </c>
      <c r="Q1182" s="51">
        <f>IF(tblWorkPackages[[#This Row],[Actual labor hours]]&gt;tblWorkPackages[[#This Row],[Estimated labor hours]],1,0)</f>
        <v>1</v>
      </c>
      <c r="R1182" s="51">
        <f>tblWorkPackages[[#This Row],[Actual labor hours]]-tblWorkPackages[[#This Row],[Estimated labor hours]]</f>
        <v>1.1</v>
      </c>
      <c r="S1182" s="51" t="str">
        <f>IF(tblWorkPackages[[#This Row],[Request date serial]]&lt;ValidationStart,"Train 2024",IF(tblWorkPackages[[#This Row],[Request date serial]]&lt;HoldoutStart,"Validation H1","Holdout H2"))</f>
        <v>Train 2024</v>
      </c>
      <c r="T1182" s="51" t="str">
        <f>IF(tblWorkPackages[[#This Row],[Time split]]="Train 2024","",tblWorkPackages[[#This Row],[Estimated labor hours]]+VLOOKUP(tblWorkPackages[[#This Row],[Task type]],'Forecast validation'!$A$14:$E$25,IF(tblWorkPackages[[#This Row],[Time split]]="Validation H1",4,5),FALSE()))</f>
        <v/>
      </c>
      <c r="U1182" s="51" t="str">
        <f>IF(tblWorkPackages[[#This Row],[Calibrated forecast hours]]="","",ABS(tblWorkPackages[[#This Row],[Actual labor hours]]-tblWorkPackages[[#This Row],[Calibrated forecast hours]]))</f>
        <v/>
      </c>
      <c r="V1182" s="51">
        <f>IF(tblWorkPackages[[#This Row],[Time split]]="Train 2024",tblWorkPackages[[#This Row],[Estimated labor hours]],tblWorkPackages[[#This Row],[Calibrated forecast hours]])</f>
        <v>5.2</v>
      </c>
      <c r="W1182" s="64">
        <f>DATEVALUE(tblWorkPackages[[#This Row],[Request date]])</f>
        <v>45569.0</v>
      </c>
      <c r="X1182" s="64">
        <f>DATEVALUE(tblWorkPackages[[#This Row],[Due date]])</f>
        <v>45582.0</v>
      </c>
      <c r="Y1182" s="64">
        <f>DATEVALUE(tblWorkPackages[[#This Row],[Completion date]])</f>
        <v>45599.0</v>
      </c>
      <c r="Z1182" s="64">
        <f>_xlfn.MINIFS(tblLaborEntries[Work date serial],tblLaborEntries[Work package ID],tblWorkPackages[[#This Row],[Work package ID]])</f>
        <v>45598.0</v>
      </c>
      <c r="AA1182" s="64">
        <f>_xlfn.MAXIFS(tblLaborEntries[Work date serial],tblLaborEntries[Work package ID],tblWorkPackages[[#This Row],[Work package ID]])</f>
        <v>45599.0</v>
      </c>
      <c r="AB1182" s="65">
        <f>IF(tblWorkPackages[[#This Row],[Completion date serial]]&gt;tblWorkPackages[[#This Row],[Due date serial]],1,0)</f>
        <v>1</v>
      </c>
      <c r="AC1182" s="65">
        <f>MAX(0,tblWorkPackages[[#This Row],[Completion date serial]]-tblWorkPackages[[#This Row],[Due date serial]])</f>
        <v>17</v>
      </c>
      <c r="AD1182" s="65">
        <f>tblWorkPackages[[#This Row],[First labor date]]-tblWorkPackages[[#This Row],[Request date serial]]</f>
        <v>29</v>
      </c>
      <c r="AE1182" s="65">
        <f>tblWorkPackages[[#This Row],[Last labor date]]-tblWorkPackages[[#This Row],[First labor date]]</f>
        <v>1</v>
      </c>
      <c r="AF1182" s="65">
        <f>tblWorkPackages[[#This Row],[Completion date serial]]-tblWorkPackages[[#This Row],[Last labor date]]</f>
        <v>0</v>
      </c>
      <c r="AG1182" s="65">
        <f>tblWorkPackages[[#This Row],[Completion date serial]]-tblWorkPackages[[#This Row],[Request date serial]]</f>
        <v>30</v>
      </c>
      <c r="AH1182" s="65">
        <f>IFERROR(INDEX(tblParts[Delay days],MATCH(tblWorkPackages[[#This Row],[Work package ID]],tblParts[Work package ID],0)),0)</f>
        <v>0</v>
      </c>
      <c r="AI1182" s="51" t="str">
        <f>IFERROR(INDEX(tblDisruptions[Event type],MATCH(tblWorkPackages[[#This Row],[Work package ID]],tblDisruptions[Work package ID],0)),"None")</f>
        <v>None</v>
      </c>
      <c r="AJ1182" s="51" t="str">
        <f>TEXT(tblWorkPackages[[#This Row],[Due date serial]],"yyyy-mm")</f>
        <v>2024-10</v>
      </c>
    </row>
    <row r="1183" spans="1:36" ht="15" x14ac:dyDescent="0.25">
      <c r="A1183" s="53" t="s">
        <v>2089</v>
      </c>
      <c r="B1183" s="53" t="s">
        <v>287</v>
      </c>
      <c r="C1183" s="53" t="s">
        <v>628</v>
      </c>
      <c r="D1183" s="53" t="s">
        <v>984</v>
      </c>
      <c r="E1183" s="53" t="s">
        <v>237</v>
      </c>
      <c r="F1183" s="53" t="s">
        <v>182</v>
      </c>
      <c r="G1183" s="53" t="s">
        <v>138</v>
      </c>
      <c r="H1183" s="53">
        <v>2</v>
      </c>
      <c r="I1183" s="53" t="s">
        <v>176</v>
      </c>
      <c r="J1183" s="53">
        <v>0</v>
      </c>
      <c r="K1183" s="53">
        <v>1</v>
      </c>
      <c r="L1183" s="53">
        <v>5.3</v>
      </c>
      <c r="M1183" s="53" t="s">
        <v>743</v>
      </c>
      <c r="N1183" s="53">
        <v>6</v>
      </c>
      <c r="O1183" s="51" t="str">
        <f>TEXT(tblWorkPackages[[#This Row],[Request date serial]]-WEEKDAY(tblWorkPackages[[#This Row],[Request date serial]],3),"yyyy-mm-dd")</f>
        <v>2025-07-07</v>
      </c>
      <c r="P1183" s="51">
        <f>ABS(tblWorkPackages[[#This Row],[Actual labor hours]]-tblWorkPackages[[#This Row],[Estimated labor hours]])</f>
        <v>0.7</v>
      </c>
      <c r="Q1183" s="51">
        <f>IF(tblWorkPackages[[#This Row],[Actual labor hours]]&gt;tblWorkPackages[[#This Row],[Estimated labor hours]],1,0)</f>
        <v>1</v>
      </c>
      <c r="R1183" s="51">
        <f>tblWorkPackages[[#This Row],[Actual labor hours]]-tblWorkPackages[[#This Row],[Estimated labor hours]]</f>
        <v>0.7</v>
      </c>
      <c r="S1183" s="51" t="str">
        <f>IF(tblWorkPackages[[#This Row],[Request date serial]]&lt;ValidationStart,"Train 2024",IF(tblWorkPackages[[#This Row],[Request date serial]]&lt;HoldoutStart,"Validation H1","Holdout H2"))</f>
        <v>Holdout H2</v>
      </c>
      <c r="T1183" s="51">
        <f>IF(tblWorkPackages[[#This Row],[Time split]]="Train 2024","",tblWorkPackages[[#This Row],[Estimated labor hours]]+VLOOKUP(tblWorkPackages[[#This Row],[Task type]],'Forecast validation'!$A$14:$E$25,IF(tblWorkPackages[[#This Row],[Time split]]="Validation H1",4,5),FALSE()))</f>
        <v>5.753125</v>
      </c>
      <c r="U1183" s="51">
        <f>IF(tblWorkPackages[[#This Row],[Calibrated forecast hours]]="","",ABS(tblWorkPackages[[#This Row],[Actual labor hours]]-tblWorkPackages[[#This Row],[Calibrated forecast hours]]))</f>
        <v>0.246875</v>
      </c>
      <c r="V1183" s="51">
        <f>IF(tblWorkPackages[[#This Row],[Time split]]="Train 2024",tblWorkPackages[[#This Row],[Estimated labor hours]],tblWorkPackages[[#This Row],[Calibrated forecast hours]])</f>
        <v>5.753125</v>
      </c>
      <c r="W1183" s="64">
        <f>DATEVALUE(tblWorkPackages[[#This Row],[Request date]])</f>
        <v>45849.0</v>
      </c>
      <c r="X1183" s="64">
        <f>DATEVALUE(tblWorkPackages[[#This Row],[Due date]])</f>
        <v>45855.0</v>
      </c>
      <c r="Y1183" s="64">
        <f>DATEVALUE(tblWorkPackages[[#This Row],[Completion date]])</f>
        <v>45856.0</v>
      </c>
      <c r="Z1183" s="64">
        <f>_xlfn.MINIFS(tblLaborEntries[Work date serial],tblLaborEntries[Work package ID],tblWorkPackages[[#This Row],[Work package ID]])</f>
        <v>45854.0</v>
      </c>
      <c r="AA1183" s="64">
        <f>_xlfn.MAXIFS(tblLaborEntries[Work date serial],tblLaborEntries[Work package ID],tblWorkPackages[[#This Row],[Work package ID]])</f>
        <v>45855.0</v>
      </c>
      <c r="AB1183" s="65">
        <f>IF(tblWorkPackages[[#This Row],[Completion date serial]]&gt;tblWorkPackages[[#This Row],[Due date serial]],1,0)</f>
        <v>1</v>
      </c>
      <c r="AC1183" s="65">
        <f>MAX(0,tblWorkPackages[[#This Row],[Completion date serial]]-tblWorkPackages[[#This Row],[Due date serial]])</f>
        <v>1</v>
      </c>
      <c r="AD1183" s="65">
        <f>tblWorkPackages[[#This Row],[First labor date]]-tblWorkPackages[[#This Row],[Request date serial]]</f>
        <v>5</v>
      </c>
      <c r="AE1183" s="65">
        <f>tblWorkPackages[[#This Row],[Last labor date]]-tblWorkPackages[[#This Row],[First labor date]]</f>
        <v>1</v>
      </c>
      <c r="AF1183" s="65">
        <f>tblWorkPackages[[#This Row],[Completion date serial]]-tblWorkPackages[[#This Row],[Last labor date]]</f>
        <v>1</v>
      </c>
      <c r="AG1183" s="65">
        <f>tblWorkPackages[[#This Row],[Completion date serial]]-tblWorkPackages[[#This Row],[Request date serial]]</f>
        <v>7</v>
      </c>
      <c r="AH1183" s="65">
        <f>IFERROR(INDEX(tblParts[Delay days],MATCH(tblWorkPackages[[#This Row],[Work package ID]],tblParts[Work package ID],0)),0)</f>
        <v>0</v>
      </c>
      <c r="AI1183" s="51" t="str">
        <f>IFERROR(INDEX(tblDisruptions[Event type],MATCH(tblWorkPackages[[#This Row],[Work package ID]],tblDisruptions[Work package ID],0)),"None")</f>
        <v>None</v>
      </c>
      <c r="AJ1183" s="51" t="str">
        <f>TEXT(tblWorkPackages[[#This Row],[Due date serial]],"yyyy-mm")</f>
        <v>2025-07</v>
      </c>
    </row>
    <row r="1184" spans="1:36" ht="15" x14ac:dyDescent="0.25">
      <c r="A1184" s="53" t="s">
        <v>2090</v>
      </c>
      <c r="B1184" s="53" t="s">
        <v>203</v>
      </c>
      <c r="C1184" s="53" t="s">
        <v>214</v>
      </c>
      <c r="D1184" s="53" t="s">
        <v>143</v>
      </c>
      <c r="E1184" s="53" t="s">
        <v>127</v>
      </c>
      <c r="F1184" s="53" t="s">
        <v>128</v>
      </c>
      <c r="G1184" s="53" t="s">
        <v>129</v>
      </c>
      <c r="H1184" s="53">
        <v>1</v>
      </c>
      <c r="I1184" s="53" t="s">
        <v>130</v>
      </c>
      <c r="J1184" s="53">
        <v>0</v>
      </c>
      <c r="K1184" s="53">
        <v>0</v>
      </c>
      <c r="L1184" s="53">
        <v>4.4000000000000004</v>
      </c>
      <c r="M1184" s="53" t="s">
        <v>615</v>
      </c>
      <c r="N1184" s="53">
        <v>3.6</v>
      </c>
      <c r="O1184" s="51" t="str">
        <f>TEXT(tblWorkPackages[[#This Row],[Request date serial]]-WEEKDAY(tblWorkPackages[[#This Row],[Request date serial]],3),"yyyy-mm-dd")</f>
        <v>2024-01-15</v>
      </c>
      <c r="P1184" s="51">
        <f>ABS(tblWorkPackages[[#This Row],[Actual labor hours]]-tblWorkPackages[[#This Row],[Estimated labor hours]])</f>
        <v>0.8</v>
      </c>
      <c r="Q1184" s="51">
        <f>IF(tblWorkPackages[[#This Row],[Actual labor hours]]&gt;tblWorkPackages[[#This Row],[Estimated labor hours]],1,0)</f>
        <v>0</v>
      </c>
      <c r="R1184" s="51">
        <f>tblWorkPackages[[#This Row],[Actual labor hours]]-tblWorkPackages[[#This Row],[Estimated labor hours]]</f>
        <v>-0.8</v>
      </c>
      <c r="S1184" s="51" t="str">
        <f>IF(tblWorkPackages[[#This Row],[Request date serial]]&lt;ValidationStart,"Train 2024",IF(tblWorkPackages[[#This Row],[Request date serial]]&lt;HoldoutStart,"Validation H1","Holdout H2"))</f>
        <v>Train 2024</v>
      </c>
      <c r="T1184" s="51" t="str">
        <f>IF(tblWorkPackages[[#This Row],[Time split]]="Train 2024","",tblWorkPackages[[#This Row],[Estimated labor hours]]+VLOOKUP(tblWorkPackages[[#This Row],[Task type]],'Forecast validation'!$A$14:$E$25,IF(tblWorkPackages[[#This Row],[Time split]]="Validation H1",4,5),FALSE()))</f>
        <v/>
      </c>
      <c r="U1184" s="51" t="str">
        <f>IF(tblWorkPackages[[#This Row],[Calibrated forecast hours]]="","",ABS(tblWorkPackages[[#This Row],[Actual labor hours]]-tblWorkPackages[[#This Row],[Calibrated forecast hours]]))</f>
        <v/>
      </c>
      <c r="V1184" s="51">
        <f>IF(tblWorkPackages[[#This Row],[Time split]]="Train 2024",tblWorkPackages[[#This Row],[Estimated labor hours]],tblWorkPackages[[#This Row],[Calibrated forecast hours]])</f>
        <v>4.4</v>
      </c>
      <c r="W1184" s="64">
        <f>DATEVALUE(tblWorkPackages[[#This Row],[Request date]])</f>
        <v>45311.0</v>
      </c>
      <c r="X1184" s="64">
        <f>DATEVALUE(tblWorkPackages[[#This Row],[Due date]])</f>
        <v>45324.0</v>
      </c>
      <c r="Y1184" s="64">
        <f>DATEVALUE(tblWorkPackages[[#This Row],[Completion date]])</f>
        <v>45316.0</v>
      </c>
      <c r="Z1184" s="64">
        <f>_xlfn.MINIFS(tblLaborEntries[Work date serial],tblLaborEntries[Work package ID],tblWorkPackages[[#This Row],[Work package ID]])</f>
        <v>45313.0</v>
      </c>
      <c r="AA1184" s="64">
        <f>_xlfn.MAXIFS(tblLaborEntries[Work date serial],tblLaborEntries[Work package ID],tblWorkPackages[[#This Row],[Work package ID]])</f>
        <v>45314.0</v>
      </c>
      <c r="AB1184" s="65">
        <f>IF(tblWorkPackages[[#This Row],[Completion date serial]]&gt;tblWorkPackages[[#This Row],[Due date serial]],1,0)</f>
        <v>0</v>
      </c>
      <c r="AC1184" s="65">
        <f>MAX(0,tblWorkPackages[[#This Row],[Completion date serial]]-tblWorkPackages[[#This Row],[Due date serial]])</f>
        <v>0</v>
      </c>
      <c r="AD1184" s="65">
        <f>tblWorkPackages[[#This Row],[First labor date]]-tblWorkPackages[[#This Row],[Request date serial]]</f>
        <v>2</v>
      </c>
      <c r="AE1184" s="65">
        <f>tblWorkPackages[[#This Row],[Last labor date]]-tblWorkPackages[[#This Row],[First labor date]]</f>
        <v>1</v>
      </c>
      <c r="AF1184" s="65">
        <f>tblWorkPackages[[#This Row],[Completion date serial]]-tblWorkPackages[[#This Row],[Last labor date]]</f>
        <v>2</v>
      </c>
      <c r="AG1184" s="65">
        <f>tblWorkPackages[[#This Row],[Completion date serial]]-tblWorkPackages[[#This Row],[Request date serial]]</f>
        <v>5</v>
      </c>
      <c r="AH1184" s="65">
        <f>IFERROR(INDEX(tblParts[Delay days],MATCH(tblWorkPackages[[#This Row],[Work package ID]],tblParts[Work package ID],0)),0)</f>
        <v>0</v>
      </c>
      <c r="AI1184" s="51" t="str">
        <f>IFERROR(INDEX(tblDisruptions[Event type],MATCH(tblWorkPackages[[#This Row],[Work package ID]],tblDisruptions[Work package ID],0)),"None")</f>
        <v>None</v>
      </c>
      <c r="AJ1184" s="51" t="str">
        <f>TEXT(tblWorkPackages[[#This Row],[Due date serial]],"yyyy-mm")</f>
        <v>2024-02</v>
      </c>
    </row>
    <row r="1185" spans="1:36" ht="15" x14ac:dyDescent="0.25">
      <c r="A1185" s="53" t="s">
        <v>2091</v>
      </c>
      <c r="B1185" s="53" t="s">
        <v>163</v>
      </c>
      <c r="C1185" s="53" t="s">
        <v>2092</v>
      </c>
      <c r="D1185" s="53" t="s">
        <v>351</v>
      </c>
      <c r="E1185" s="53" t="s">
        <v>200</v>
      </c>
      <c r="F1185" s="53" t="s">
        <v>128</v>
      </c>
      <c r="G1185" s="53" t="s">
        <v>129</v>
      </c>
      <c r="H1185" s="53">
        <v>3</v>
      </c>
      <c r="I1185" s="53" t="s">
        <v>176</v>
      </c>
      <c r="J1185" s="53">
        <v>0</v>
      </c>
      <c r="K1185" s="53">
        <v>0</v>
      </c>
      <c r="L1185" s="53">
        <v>4</v>
      </c>
      <c r="M1185" s="53" t="s">
        <v>442</v>
      </c>
      <c r="N1185" s="53">
        <v>4.2</v>
      </c>
      <c r="O1185" s="51" t="str">
        <f>TEXT(tblWorkPackages[[#This Row],[Request date serial]]-WEEKDAY(tblWorkPackages[[#This Row],[Request date serial]],3),"yyyy-mm-dd")</f>
        <v>2024-01-22</v>
      </c>
      <c r="P1185" s="51">
        <f>ABS(tblWorkPackages[[#This Row],[Actual labor hours]]-tblWorkPackages[[#This Row],[Estimated labor hours]])</f>
        <v>0.2</v>
      </c>
      <c r="Q1185" s="51">
        <f>IF(tblWorkPackages[[#This Row],[Actual labor hours]]&gt;tblWorkPackages[[#This Row],[Estimated labor hours]],1,0)</f>
        <v>1</v>
      </c>
      <c r="R1185" s="51">
        <f>tblWorkPackages[[#This Row],[Actual labor hours]]-tblWorkPackages[[#This Row],[Estimated labor hours]]</f>
        <v>0.2</v>
      </c>
      <c r="S1185" s="51" t="str">
        <f>IF(tblWorkPackages[[#This Row],[Request date serial]]&lt;ValidationStart,"Train 2024",IF(tblWorkPackages[[#This Row],[Request date serial]]&lt;HoldoutStart,"Validation H1","Holdout H2"))</f>
        <v>Train 2024</v>
      </c>
      <c r="T1185" s="51" t="str">
        <f>IF(tblWorkPackages[[#This Row],[Time split]]="Train 2024","",tblWorkPackages[[#This Row],[Estimated labor hours]]+VLOOKUP(tblWorkPackages[[#This Row],[Task type]],'Forecast validation'!$A$14:$E$25,IF(tblWorkPackages[[#This Row],[Time split]]="Validation H1",4,5),FALSE()))</f>
        <v/>
      </c>
      <c r="U1185" s="51" t="str">
        <f>IF(tblWorkPackages[[#This Row],[Calibrated forecast hours]]="","",ABS(tblWorkPackages[[#This Row],[Actual labor hours]]-tblWorkPackages[[#This Row],[Calibrated forecast hours]]))</f>
        <v/>
      </c>
      <c r="V1185" s="51">
        <f>IF(tblWorkPackages[[#This Row],[Time split]]="Train 2024",tblWorkPackages[[#This Row],[Estimated labor hours]],tblWorkPackages[[#This Row],[Calibrated forecast hours]])</f>
        <v>4</v>
      </c>
      <c r="W1185" s="64">
        <f>DATEVALUE(tblWorkPackages[[#This Row],[Request date]])</f>
        <v>45313.0</v>
      </c>
      <c r="X1185" s="64">
        <f>DATEVALUE(tblWorkPackages[[#This Row],[Due date]])</f>
        <v>45319.0</v>
      </c>
      <c r="Y1185" s="64">
        <f>DATEVALUE(tblWorkPackages[[#This Row],[Completion date]])</f>
        <v>45330.0</v>
      </c>
      <c r="Z1185" s="64">
        <f>_xlfn.MINIFS(tblLaborEntries[Work date serial],tblLaborEntries[Work package ID],tblWorkPackages[[#This Row],[Work package ID]])</f>
        <v>45327.0</v>
      </c>
      <c r="AA1185" s="64">
        <f>_xlfn.MAXIFS(tblLaborEntries[Work date serial],tblLaborEntries[Work package ID],tblWorkPackages[[#This Row],[Work package ID]])</f>
        <v>45327.0</v>
      </c>
      <c r="AB1185" s="65">
        <f>IF(tblWorkPackages[[#This Row],[Completion date serial]]&gt;tblWorkPackages[[#This Row],[Due date serial]],1,0)</f>
        <v>1</v>
      </c>
      <c r="AC1185" s="65">
        <f>MAX(0,tblWorkPackages[[#This Row],[Completion date serial]]-tblWorkPackages[[#This Row],[Due date serial]])</f>
        <v>11</v>
      </c>
      <c r="AD1185" s="65">
        <f>tblWorkPackages[[#This Row],[First labor date]]-tblWorkPackages[[#This Row],[Request date serial]]</f>
        <v>14</v>
      </c>
      <c r="AE1185" s="65">
        <f>tblWorkPackages[[#This Row],[Last labor date]]-tblWorkPackages[[#This Row],[First labor date]]</f>
        <v>0</v>
      </c>
      <c r="AF1185" s="65">
        <f>tblWorkPackages[[#This Row],[Completion date serial]]-tblWorkPackages[[#This Row],[Last labor date]]</f>
        <v>3</v>
      </c>
      <c r="AG1185" s="65">
        <f>tblWorkPackages[[#This Row],[Completion date serial]]-tblWorkPackages[[#This Row],[Request date serial]]</f>
        <v>17</v>
      </c>
      <c r="AH1185" s="65">
        <f>IFERROR(INDEX(tblParts[Delay days],MATCH(tblWorkPackages[[#This Row],[Work package ID]],tblParts[Work package ID],0)),0)</f>
        <v>0</v>
      </c>
      <c r="AI1185" s="51" t="str">
        <f>IFERROR(INDEX(tblDisruptions[Event type],MATCH(tblWorkPackages[[#This Row],[Work package ID]],tblDisruptions[Work package ID],0)),"None")</f>
        <v>None</v>
      </c>
      <c r="AJ1185" s="51" t="str">
        <f>TEXT(tblWorkPackages[[#This Row],[Due date serial]],"yyyy-mm")</f>
        <v>2024-01</v>
      </c>
    </row>
    <row r="1186" spans="1:36" ht="15" x14ac:dyDescent="0.25">
      <c r="A1186" s="53" t="s">
        <v>2093</v>
      </c>
      <c r="B1186" s="53" t="s">
        <v>150</v>
      </c>
      <c r="C1186" s="53" t="s">
        <v>1186</v>
      </c>
      <c r="D1186" s="53" t="s">
        <v>446</v>
      </c>
      <c r="E1186" s="53" t="s">
        <v>160</v>
      </c>
      <c r="F1186" s="53" t="s">
        <v>128</v>
      </c>
      <c r="G1186" s="53" t="s">
        <v>138</v>
      </c>
      <c r="H1186" s="53">
        <v>3</v>
      </c>
      <c r="I1186" s="53" t="s">
        <v>176</v>
      </c>
      <c r="J1186" s="53">
        <v>0</v>
      </c>
      <c r="K1186" s="53">
        <v>0</v>
      </c>
      <c r="L1186" s="53">
        <v>7.2</v>
      </c>
      <c r="M1186" s="53" t="s">
        <v>445</v>
      </c>
      <c r="N1186" s="53">
        <v>9.1999999999999993</v>
      </c>
      <c r="O1186" s="51" t="str">
        <f>TEXT(tblWorkPackages[[#This Row],[Request date serial]]-WEEKDAY(tblWorkPackages[[#This Row],[Request date serial]],3),"yyyy-mm-dd")</f>
        <v>2025-03-10</v>
      </c>
      <c r="P1186" s="51">
        <f>ABS(tblWorkPackages[[#This Row],[Actual labor hours]]-tblWorkPackages[[#This Row],[Estimated labor hours]])</f>
        <v>2</v>
      </c>
      <c r="Q1186" s="51">
        <f>IF(tblWorkPackages[[#This Row],[Actual labor hours]]&gt;tblWorkPackages[[#This Row],[Estimated labor hours]],1,0)</f>
        <v>1</v>
      </c>
      <c r="R1186" s="51">
        <f>tblWorkPackages[[#This Row],[Actual labor hours]]-tblWorkPackages[[#This Row],[Estimated labor hours]]</f>
        <v>2</v>
      </c>
      <c r="S1186" s="51" t="str">
        <f>IF(tblWorkPackages[[#This Row],[Request date serial]]&lt;ValidationStart,"Train 2024",IF(tblWorkPackages[[#This Row],[Request date serial]]&lt;HoldoutStart,"Validation H1","Holdout H2"))</f>
        <v>Validation H1</v>
      </c>
      <c r="T1186" s="51">
        <f>IF(tblWorkPackages[[#This Row],[Time split]]="Train 2024","",tblWorkPackages[[#This Row],[Estimated labor hours]]+VLOOKUP(tblWorkPackages[[#This Row],[Task type]],'Forecast validation'!$A$14:$E$25,IF(tblWorkPackages[[#This Row],[Time split]]="Validation H1",4,5),FALSE()))</f>
        <v>7.64146341463415</v>
      </c>
      <c r="U1186" s="51">
        <f>IF(tblWorkPackages[[#This Row],[Calibrated forecast hours]]="","",ABS(tblWorkPackages[[#This Row],[Actual labor hours]]-tblWorkPackages[[#This Row],[Calibrated forecast hours]]))</f>
        <v>1.55853658536585</v>
      </c>
      <c r="V1186" s="51">
        <f>IF(tblWorkPackages[[#This Row],[Time split]]="Train 2024",tblWorkPackages[[#This Row],[Estimated labor hours]],tblWorkPackages[[#This Row],[Calibrated forecast hours]])</f>
        <v>7.64146341463415</v>
      </c>
      <c r="W1186" s="64">
        <f>DATEVALUE(tblWorkPackages[[#This Row],[Request date]])</f>
        <v>45731.0</v>
      </c>
      <c r="X1186" s="64">
        <f>DATEVALUE(tblWorkPackages[[#This Row],[Due date]])</f>
        <v>45737.0</v>
      </c>
      <c r="Y1186" s="64">
        <f>DATEVALUE(tblWorkPackages[[#This Row],[Completion date]])</f>
        <v>45735.0</v>
      </c>
      <c r="Z1186" s="64">
        <f>_xlfn.MINIFS(tblLaborEntries[Work date serial],tblLaborEntries[Work package ID],tblWorkPackages[[#This Row],[Work package ID]])</f>
        <v>45734.0</v>
      </c>
      <c r="AA1186" s="64">
        <f>_xlfn.MAXIFS(tblLaborEntries[Work date serial],tblLaborEntries[Work package ID],tblWorkPackages[[#This Row],[Work package ID]])</f>
        <v>45735.0</v>
      </c>
      <c r="AB1186" s="65">
        <f>IF(tblWorkPackages[[#This Row],[Completion date serial]]&gt;tblWorkPackages[[#This Row],[Due date serial]],1,0)</f>
        <v>0</v>
      </c>
      <c r="AC1186" s="65">
        <f>MAX(0,tblWorkPackages[[#This Row],[Completion date serial]]-tblWorkPackages[[#This Row],[Due date serial]])</f>
        <v>0</v>
      </c>
      <c r="AD1186" s="65">
        <f>tblWorkPackages[[#This Row],[First labor date]]-tblWorkPackages[[#This Row],[Request date serial]]</f>
        <v>3</v>
      </c>
      <c r="AE1186" s="65">
        <f>tblWorkPackages[[#This Row],[Last labor date]]-tblWorkPackages[[#This Row],[First labor date]]</f>
        <v>1</v>
      </c>
      <c r="AF1186" s="65">
        <f>tblWorkPackages[[#This Row],[Completion date serial]]-tblWorkPackages[[#This Row],[Last labor date]]</f>
        <v>0</v>
      </c>
      <c r="AG1186" s="65">
        <f>tblWorkPackages[[#This Row],[Completion date serial]]-tblWorkPackages[[#This Row],[Request date serial]]</f>
        <v>4</v>
      </c>
      <c r="AH1186" s="65">
        <f>IFERROR(INDEX(tblParts[Delay days],MATCH(tblWorkPackages[[#This Row],[Work package ID]],tblParts[Work package ID],0)),0)</f>
        <v>0</v>
      </c>
      <c r="AI1186" s="51" t="str">
        <f>IFERROR(INDEX(tblDisruptions[Event type],MATCH(tblWorkPackages[[#This Row],[Work package ID]],tblDisruptions[Work package ID],0)),"None")</f>
        <v>None</v>
      </c>
      <c r="AJ1186" s="51" t="str">
        <f>TEXT(tblWorkPackages[[#This Row],[Due date serial]],"yyyy-mm")</f>
        <v>2025-03</v>
      </c>
    </row>
    <row r="1187" spans="1:36" ht="15" x14ac:dyDescent="0.25">
      <c r="A1187" s="53" t="s">
        <v>2094</v>
      </c>
      <c r="B1187" s="53" t="s">
        <v>141</v>
      </c>
      <c r="C1187" s="53" t="s">
        <v>774</v>
      </c>
      <c r="D1187" s="53" t="s">
        <v>1685</v>
      </c>
      <c r="E1187" s="53" t="s">
        <v>272</v>
      </c>
      <c r="F1187" s="53" t="s">
        <v>145</v>
      </c>
      <c r="G1187" s="53" t="s">
        <v>273</v>
      </c>
      <c r="H1187" s="53">
        <v>1</v>
      </c>
      <c r="I1187" s="53" t="s">
        <v>176</v>
      </c>
      <c r="J1187" s="53">
        <v>0</v>
      </c>
      <c r="K1187" s="53">
        <v>1</v>
      </c>
      <c r="L1187" s="53">
        <v>8.1999999999999993</v>
      </c>
      <c r="M1187" s="53" t="s">
        <v>1311</v>
      </c>
      <c r="N1187" s="53">
        <v>7.2</v>
      </c>
      <c r="O1187" s="51" t="str">
        <f>TEXT(tblWorkPackages[[#This Row],[Request date serial]]-WEEKDAY(tblWorkPackages[[#This Row],[Request date serial]],3),"yyyy-mm-dd")</f>
        <v>2024-03-25</v>
      </c>
      <c r="P1187" s="51">
        <f>ABS(tblWorkPackages[[#This Row],[Actual labor hours]]-tblWorkPackages[[#This Row],[Estimated labor hours]])</f>
        <v>0.999999999999999</v>
      </c>
      <c r="Q1187" s="51">
        <f>IF(tblWorkPackages[[#This Row],[Actual labor hours]]&gt;tblWorkPackages[[#This Row],[Estimated labor hours]],1,0)</f>
        <v>0</v>
      </c>
      <c r="R1187" s="51">
        <f>tblWorkPackages[[#This Row],[Actual labor hours]]-tblWorkPackages[[#This Row],[Estimated labor hours]]</f>
        <v>-0.999999999999999</v>
      </c>
      <c r="S1187" s="51" t="str">
        <f>IF(tblWorkPackages[[#This Row],[Request date serial]]&lt;ValidationStart,"Train 2024",IF(tblWorkPackages[[#This Row],[Request date serial]]&lt;HoldoutStart,"Validation H1","Holdout H2"))</f>
        <v>Train 2024</v>
      </c>
      <c r="T1187" s="51" t="str">
        <f>IF(tblWorkPackages[[#This Row],[Time split]]="Train 2024","",tblWorkPackages[[#This Row],[Estimated labor hours]]+VLOOKUP(tblWorkPackages[[#This Row],[Task type]],'Forecast validation'!$A$14:$E$25,IF(tblWorkPackages[[#This Row],[Time split]]="Validation H1",4,5),FALSE()))</f>
        <v/>
      </c>
      <c r="U1187" s="51" t="str">
        <f>IF(tblWorkPackages[[#This Row],[Calibrated forecast hours]]="","",ABS(tblWorkPackages[[#This Row],[Actual labor hours]]-tblWorkPackages[[#This Row],[Calibrated forecast hours]]))</f>
        <v/>
      </c>
      <c r="V1187" s="51">
        <f>IF(tblWorkPackages[[#This Row],[Time split]]="Train 2024",tblWorkPackages[[#This Row],[Estimated labor hours]],tblWorkPackages[[#This Row],[Calibrated forecast hours]])</f>
        <v>8.2</v>
      </c>
      <c r="W1187" s="64">
        <f>DATEVALUE(tblWorkPackages[[#This Row],[Request date]])</f>
        <v>45381.0</v>
      </c>
      <c r="X1187" s="64">
        <f>DATEVALUE(tblWorkPackages[[#This Row],[Due date]])</f>
        <v>45387.0</v>
      </c>
      <c r="Y1187" s="64">
        <f>DATEVALUE(tblWorkPackages[[#This Row],[Completion date]])</f>
        <v>45439.0</v>
      </c>
      <c r="Z1187" s="64">
        <f>_xlfn.MINIFS(tblLaborEntries[Work date serial],tblLaborEntries[Work package ID],tblWorkPackages[[#This Row],[Work package ID]])</f>
        <v>45437.0</v>
      </c>
      <c r="AA1187" s="64">
        <f>_xlfn.MAXIFS(tblLaborEntries[Work date serial],tblLaborEntries[Work package ID],tblWorkPackages[[#This Row],[Work package ID]])</f>
        <v>45438.0</v>
      </c>
      <c r="AB1187" s="65">
        <f>IF(tblWorkPackages[[#This Row],[Completion date serial]]&gt;tblWorkPackages[[#This Row],[Due date serial]],1,0)</f>
        <v>1</v>
      </c>
      <c r="AC1187" s="65">
        <f>MAX(0,tblWorkPackages[[#This Row],[Completion date serial]]-tblWorkPackages[[#This Row],[Due date serial]])</f>
        <v>52</v>
      </c>
      <c r="AD1187" s="65">
        <f>tblWorkPackages[[#This Row],[First labor date]]-tblWorkPackages[[#This Row],[Request date serial]]</f>
        <v>56</v>
      </c>
      <c r="AE1187" s="65">
        <f>tblWorkPackages[[#This Row],[Last labor date]]-tblWorkPackages[[#This Row],[First labor date]]</f>
        <v>1</v>
      </c>
      <c r="AF1187" s="65">
        <f>tblWorkPackages[[#This Row],[Completion date serial]]-tblWorkPackages[[#This Row],[Last labor date]]</f>
        <v>1</v>
      </c>
      <c r="AG1187" s="65">
        <f>tblWorkPackages[[#This Row],[Completion date serial]]-tblWorkPackages[[#This Row],[Request date serial]]</f>
        <v>58</v>
      </c>
      <c r="AH1187" s="65">
        <f>IFERROR(INDEX(tblParts[Delay days],MATCH(tblWorkPackages[[#This Row],[Work package ID]],tblParts[Work package ID],0)),0)</f>
        <v>0</v>
      </c>
      <c r="AI1187" s="51" t="str">
        <f>IFERROR(INDEX(tblDisruptions[Event type],MATCH(tblWorkPackages[[#This Row],[Work package ID]],tblDisruptions[Work package ID],0)),"None")</f>
        <v>None</v>
      </c>
      <c r="AJ1187" s="51" t="str">
        <f>TEXT(tblWorkPackages[[#This Row],[Due date serial]],"yyyy-mm")</f>
        <v>2024-04</v>
      </c>
    </row>
    <row r="1188" spans="1:36" ht="15" x14ac:dyDescent="0.25">
      <c r="A1188" s="53" t="s">
        <v>2095</v>
      </c>
      <c r="B1188" s="53" t="s">
        <v>141</v>
      </c>
      <c r="C1188" s="53" t="s">
        <v>1260</v>
      </c>
      <c r="D1188" s="53" t="s">
        <v>248</v>
      </c>
      <c r="E1188" s="53" t="s">
        <v>223</v>
      </c>
      <c r="F1188" s="53" t="s">
        <v>182</v>
      </c>
      <c r="G1188" s="53" t="s">
        <v>154</v>
      </c>
      <c r="H1188" s="53">
        <v>4</v>
      </c>
      <c r="I1188" s="53" t="s">
        <v>130</v>
      </c>
      <c r="J1188" s="53">
        <v>0</v>
      </c>
      <c r="K1188" s="53">
        <v>0</v>
      </c>
      <c r="L1188" s="53">
        <v>24.9</v>
      </c>
      <c r="M1188" s="53" t="s">
        <v>329</v>
      </c>
      <c r="N1188" s="53">
        <v>25.6</v>
      </c>
      <c r="O1188" s="51" t="str">
        <f>TEXT(tblWorkPackages[[#This Row],[Request date serial]]-WEEKDAY(tblWorkPackages[[#This Row],[Request date serial]],3),"yyyy-mm-dd")</f>
        <v>2024-03-04</v>
      </c>
      <c r="P1188" s="51">
        <f>ABS(tblWorkPackages[[#This Row],[Actual labor hours]]-tblWorkPackages[[#This Row],[Estimated labor hours]])</f>
        <v>0.700000000000003</v>
      </c>
      <c r="Q1188" s="51">
        <f>IF(tblWorkPackages[[#This Row],[Actual labor hours]]&gt;tblWorkPackages[[#This Row],[Estimated labor hours]],1,0)</f>
        <v>1</v>
      </c>
      <c r="R1188" s="51">
        <f>tblWorkPackages[[#This Row],[Actual labor hours]]-tblWorkPackages[[#This Row],[Estimated labor hours]]</f>
        <v>0.700000000000003</v>
      </c>
      <c r="S1188" s="51" t="str">
        <f>IF(tblWorkPackages[[#This Row],[Request date serial]]&lt;ValidationStart,"Train 2024",IF(tblWorkPackages[[#This Row],[Request date serial]]&lt;HoldoutStart,"Validation H1","Holdout H2"))</f>
        <v>Train 2024</v>
      </c>
      <c r="T1188" s="51" t="str">
        <f>IF(tblWorkPackages[[#This Row],[Time split]]="Train 2024","",tblWorkPackages[[#This Row],[Estimated labor hours]]+VLOOKUP(tblWorkPackages[[#This Row],[Task type]],'Forecast validation'!$A$14:$E$25,IF(tblWorkPackages[[#This Row],[Time split]]="Validation H1",4,5),FALSE()))</f>
        <v/>
      </c>
      <c r="U1188" s="51" t="str">
        <f>IF(tblWorkPackages[[#This Row],[Calibrated forecast hours]]="","",ABS(tblWorkPackages[[#This Row],[Actual labor hours]]-tblWorkPackages[[#This Row],[Calibrated forecast hours]]))</f>
        <v/>
      </c>
      <c r="V1188" s="51">
        <f>IF(tblWorkPackages[[#This Row],[Time split]]="Train 2024",tblWorkPackages[[#This Row],[Estimated labor hours]],tblWorkPackages[[#This Row],[Calibrated forecast hours]])</f>
        <v>24.9</v>
      </c>
      <c r="W1188" s="64">
        <f>DATEVALUE(tblWorkPackages[[#This Row],[Request date]])</f>
        <v>45355.0</v>
      </c>
      <c r="X1188" s="64">
        <f>DATEVALUE(tblWorkPackages[[#This Row],[Due date]])</f>
        <v>45368.0</v>
      </c>
      <c r="Y1188" s="64">
        <f>DATEVALUE(tblWorkPackages[[#This Row],[Completion date]])</f>
        <v>45367.0</v>
      </c>
      <c r="Z1188" s="64">
        <f>_xlfn.MINIFS(tblLaborEntries[Work date serial],tblLaborEntries[Work package ID],tblWorkPackages[[#This Row],[Work package ID]])</f>
        <v>45363.0</v>
      </c>
      <c r="AA1188" s="64">
        <f>_xlfn.MAXIFS(tblLaborEntries[Work date serial],tblLaborEntries[Work package ID],tblWorkPackages[[#This Row],[Work package ID]])</f>
        <v>45365.0</v>
      </c>
      <c r="AB1188" s="65">
        <f>IF(tblWorkPackages[[#This Row],[Completion date serial]]&gt;tblWorkPackages[[#This Row],[Due date serial]],1,0)</f>
        <v>0</v>
      </c>
      <c r="AC1188" s="65">
        <f>MAX(0,tblWorkPackages[[#This Row],[Completion date serial]]-tblWorkPackages[[#This Row],[Due date serial]])</f>
        <v>0</v>
      </c>
      <c r="AD1188" s="65">
        <f>tblWorkPackages[[#This Row],[First labor date]]-tblWorkPackages[[#This Row],[Request date serial]]</f>
        <v>8</v>
      </c>
      <c r="AE1188" s="65">
        <f>tblWorkPackages[[#This Row],[Last labor date]]-tblWorkPackages[[#This Row],[First labor date]]</f>
        <v>2</v>
      </c>
      <c r="AF1188" s="65">
        <f>tblWorkPackages[[#This Row],[Completion date serial]]-tblWorkPackages[[#This Row],[Last labor date]]</f>
        <v>2</v>
      </c>
      <c r="AG1188" s="65">
        <f>tblWorkPackages[[#This Row],[Completion date serial]]-tblWorkPackages[[#This Row],[Request date serial]]</f>
        <v>12</v>
      </c>
      <c r="AH1188" s="65">
        <f>IFERROR(INDEX(tblParts[Delay days],MATCH(tblWorkPackages[[#This Row],[Work package ID]],tblParts[Work package ID],0)),0)</f>
        <v>0</v>
      </c>
      <c r="AI1188" s="51" t="str">
        <f>IFERROR(INDEX(tblDisruptions[Event type],MATCH(tblWorkPackages[[#This Row],[Work package ID]],tblDisruptions[Work package ID],0)),"None")</f>
        <v>None</v>
      </c>
      <c r="AJ1188" s="51" t="str">
        <f>TEXT(tblWorkPackages[[#This Row],[Due date serial]],"yyyy-mm")</f>
        <v>2024-03</v>
      </c>
    </row>
    <row r="1189" spans="1:36" ht="15" x14ac:dyDescent="0.25">
      <c r="A1189" s="53" t="s">
        <v>2096</v>
      </c>
      <c r="B1189" s="53" t="s">
        <v>235</v>
      </c>
      <c r="C1189" s="53" t="s">
        <v>667</v>
      </c>
      <c r="D1189" s="53" t="s">
        <v>879</v>
      </c>
      <c r="E1189" s="53" t="s">
        <v>160</v>
      </c>
      <c r="F1189" s="53" t="s">
        <v>128</v>
      </c>
      <c r="G1189" s="53" t="s">
        <v>138</v>
      </c>
      <c r="H1189" s="53">
        <v>2</v>
      </c>
      <c r="I1189" s="53" t="s">
        <v>130</v>
      </c>
      <c r="J1189" s="53">
        <v>0</v>
      </c>
      <c r="K1189" s="53">
        <v>0</v>
      </c>
      <c r="L1189" s="53">
        <v>5</v>
      </c>
      <c r="M1189" s="53" t="s">
        <v>668</v>
      </c>
      <c r="N1189" s="53">
        <v>5</v>
      </c>
      <c r="O1189" s="51" t="str">
        <f>TEXT(tblWorkPackages[[#This Row],[Request date serial]]-WEEKDAY(tblWorkPackages[[#This Row],[Request date serial]],3),"yyyy-mm-dd")</f>
        <v>2024-03-18</v>
      </c>
      <c r="P1189" s="51">
        <f>ABS(tblWorkPackages[[#This Row],[Actual labor hours]]-tblWorkPackages[[#This Row],[Estimated labor hours]])</f>
        <v>0</v>
      </c>
      <c r="Q1189" s="51">
        <f>IF(tblWorkPackages[[#This Row],[Actual labor hours]]&gt;tblWorkPackages[[#This Row],[Estimated labor hours]],1,0)</f>
        <v>0</v>
      </c>
      <c r="R1189" s="51">
        <f>tblWorkPackages[[#This Row],[Actual labor hours]]-tblWorkPackages[[#This Row],[Estimated labor hours]]</f>
        <v>0</v>
      </c>
      <c r="S1189" s="51" t="str">
        <f>IF(tblWorkPackages[[#This Row],[Request date serial]]&lt;ValidationStart,"Train 2024",IF(tblWorkPackages[[#This Row],[Request date serial]]&lt;HoldoutStart,"Validation H1","Holdout H2"))</f>
        <v>Train 2024</v>
      </c>
      <c r="T1189" s="51" t="str">
        <f>IF(tblWorkPackages[[#This Row],[Time split]]="Train 2024","",tblWorkPackages[[#This Row],[Estimated labor hours]]+VLOOKUP(tblWorkPackages[[#This Row],[Task type]],'Forecast validation'!$A$14:$E$25,IF(tblWorkPackages[[#This Row],[Time split]]="Validation H1",4,5),FALSE()))</f>
        <v/>
      </c>
      <c r="U1189" s="51" t="str">
        <f>IF(tblWorkPackages[[#This Row],[Calibrated forecast hours]]="","",ABS(tblWorkPackages[[#This Row],[Actual labor hours]]-tblWorkPackages[[#This Row],[Calibrated forecast hours]]))</f>
        <v/>
      </c>
      <c r="V1189" s="51">
        <f>IF(tblWorkPackages[[#This Row],[Time split]]="Train 2024",tblWorkPackages[[#This Row],[Estimated labor hours]],tblWorkPackages[[#This Row],[Calibrated forecast hours]])</f>
        <v>5</v>
      </c>
      <c r="W1189" s="64">
        <f>DATEVALUE(tblWorkPackages[[#This Row],[Request date]])</f>
        <v>45373.0</v>
      </c>
      <c r="X1189" s="64">
        <f>DATEVALUE(tblWorkPackages[[#This Row],[Due date]])</f>
        <v>45386.0</v>
      </c>
      <c r="Y1189" s="64">
        <f>DATEVALUE(tblWorkPackages[[#This Row],[Completion date]])</f>
        <v>45379.0</v>
      </c>
      <c r="Z1189" s="64">
        <f>_xlfn.MINIFS(tblLaborEntries[Work date serial],tblLaborEntries[Work package ID],tblWorkPackages[[#This Row],[Work package ID]])</f>
        <v>45375.0</v>
      </c>
      <c r="AA1189" s="64">
        <f>_xlfn.MAXIFS(tblLaborEntries[Work date serial],tblLaborEntries[Work package ID],tblWorkPackages[[#This Row],[Work package ID]])</f>
        <v>45376.0</v>
      </c>
      <c r="AB1189" s="65">
        <f>IF(tblWorkPackages[[#This Row],[Completion date serial]]&gt;tblWorkPackages[[#This Row],[Due date serial]],1,0)</f>
        <v>0</v>
      </c>
      <c r="AC1189" s="65">
        <f>MAX(0,tblWorkPackages[[#This Row],[Completion date serial]]-tblWorkPackages[[#This Row],[Due date serial]])</f>
        <v>0</v>
      </c>
      <c r="AD1189" s="65">
        <f>tblWorkPackages[[#This Row],[First labor date]]-tblWorkPackages[[#This Row],[Request date serial]]</f>
        <v>2</v>
      </c>
      <c r="AE1189" s="65">
        <f>tblWorkPackages[[#This Row],[Last labor date]]-tblWorkPackages[[#This Row],[First labor date]]</f>
        <v>1</v>
      </c>
      <c r="AF1189" s="65">
        <f>tblWorkPackages[[#This Row],[Completion date serial]]-tblWorkPackages[[#This Row],[Last labor date]]</f>
        <v>3</v>
      </c>
      <c r="AG1189" s="65">
        <f>tblWorkPackages[[#This Row],[Completion date serial]]-tblWorkPackages[[#This Row],[Request date serial]]</f>
        <v>6</v>
      </c>
      <c r="AH1189" s="65">
        <f>IFERROR(INDEX(tblParts[Delay days],MATCH(tblWorkPackages[[#This Row],[Work package ID]],tblParts[Work package ID],0)),0)</f>
        <v>0</v>
      </c>
      <c r="AI1189" s="51" t="str">
        <f>IFERROR(INDEX(tblDisruptions[Event type],MATCH(tblWorkPackages[[#This Row],[Work package ID]],tblDisruptions[Work package ID],0)),"None")</f>
        <v>None</v>
      </c>
      <c r="AJ1189" s="51" t="str">
        <f>TEXT(tblWorkPackages[[#This Row],[Due date serial]],"yyyy-mm")</f>
        <v>2024-04</v>
      </c>
    </row>
    <row r="1190" spans="1:36" ht="15" x14ac:dyDescent="0.25">
      <c r="A1190" s="53" t="s">
        <v>2097</v>
      </c>
      <c r="B1190" s="53" t="s">
        <v>168</v>
      </c>
      <c r="C1190" s="53" t="s">
        <v>139</v>
      </c>
      <c r="D1190" s="53" t="s">
        <v>624</v>
      </c>
      <c r="E1190" s="53" t="s">
        <v>160</v>
      </c>
      <c r="F1190" s="53" t="s">
        <v>128</v>
      </c>
      <c r="G1190" s="53" t="s">
        <v>138</v>
      </c>
      <c r="H1190" s="53">
        <v>3</v>
      </c>
      <c r="I1190" s="53" t="s">
        <v>130</v>
      </c>
      <c r="J1190" s="53">
        <v>0</v>
      </c>
      <c r="K1190" s="53">
        <v>0</v>
      </c>
      <c r="L1190" s="53">
        <v>5.7</v>
      </c>
      <c r="M1190" s="53" t="s">
        <v>464</v>
      </c>
      <c r="N1190" s="53">
        <v>4.5</v>
      </c>
      <c r="O1190" s="51" t="str">
        <f>TEXT(tblWorkPackages[[#This Row],[Request date serial]]-WEEKDAY(tblWorkPackages[[#This Row],[Request date serial]],3),"yyyy-mm-dd")</f>
        <v>2025-09-08</v>
      </c>
      <c r="P1190" s="51">
        <f>ABS(tblWorkPackages[[#This Row],[Actual labor hours]]-tblWorkPackages[[#This Row],[Estimated labor hours]])</f>
        <v>1.2</v>
      </c>
      <c r="Q1190" s="51">
        <f>IF(tblWorkPackages[[#This Row],[Actual labor hours]]&gt;tblWorkPackages[[#This Row],[Estimated labor hours]],1,0)</f>
        <v>0</v>
      </c>
      <c r="R1190" s="51">
        <f>tblWorkPackages[[#This Row],[Actual labor hours]]-tblWorkPackages[[#This Row],[Estimated labor hours]]</f>
        <v>-1.2</v>
      </c>
      <c r="S1190" s="51" t="str">
        <f>IF(tblWorkPackages[[#This Row],[Request date serial]]&lt;ValidationStart,"Train 2024",IF(tblWorkPackages[[#This Row],[Request date serial]]&lt;HoldoutStart,"Validation H1","Holdout H2"))</f>
        <v>Holdout H2</v>
      </c>
      <c r="T1190" s="51">
        <f>IF(tblWorkPackages[[#This Row],[Time split]]="Train 2024","",tblWorkPackages[[#This Row],[Estimated labor hours]]+VLOOKUP(tblWorkPackages[[#This Row],[Task type]],'Forecast validation'!$A$14:$E$25,IF(tblWorkPackages[[#This Row],[Time split]]="Validation H1",4,5),FALSE()))</f>
        <v>6.13739837398374</v>
      </c>
      <c r="U1190" s="51">
        <f>IF(tblWorkPackages[[#This Row],[Calibrated forecast hours]]="","",ABS(tblWorkPackages[[#This Row],[Actual labor hours]]-tblWorkPackages[[#This Row],[Calibrated forecast hours]]))</f>
        <v>1.63739837398374</v>
      </c>
      <c r="V1190" s="51">
        <f>IF(tblWorkPackages[[#This Row],[Time split]]="Train 2024",tblWorkPackages[[#This Row],[Estimated labor hours]],tblWorkPackages[[#This Row],[Calibrated forecast hours]])</f>
        <v>6.13739837398374</v>
      </c>
      <c r="W1190" s="64">
        <f>DATEVALUE(tblWorkPackages[[#This Row],[Request date]])</f>
        <v>45908.0</v>
      </c>
      <c r="X1190" s="64">
        <f>DATEVALUE(tblWorkPackages[[#This Row],[Due date]])</f>
        <v>45921.0</v>
      </c>
      <c r="Y1190" s="64">
        <f>DATEVALUE(tblWorkPackages[[#This Row],[Completion date]])</f>
        <v>45929.0</v>
      </c>
      <c r="Z1190" s="64">
        <f>_xlfn.MINIFS(tblLaborEntries[Work date serial],tblLaborEntries[Work package ID],tblWorkPackages[[#This Row],[Work package ID]])</f>
        <v>45929.0</v>
      </c>
      <c r="AA1190" s="64">
        <f>_xlfn.MAXIFS(tblLaborEntries[Work date serial],tblLaborEntries[Work package ID],tblWorkPackages[[#This Row],[Work package ID]])</f>
        <v>45929.0</v>
      </c>
      <c r="AB1190" s="65">
        <f>IF(tblWorkPackages[[#This Row],[Completion date serial]]&gt;tblWorkPackages[[#This Row],[Due date serial]],1,0)</f>
        <v>1</v>
      </c>
      <c r="AC1190" s="65">
        <f>MAX(0,tblWorkPackages[[#This Row],[Completion date serial]]-tblWorkPackages[[#This Row],[Due date serial]])</f>
        <v>8</v>
      </c>
      <c r="AD1190" s="65">
        <f>tblWorkPackages[[#This Row],[First labor date]]-tblWorkPackages[[#This Row],[Request date serial]]</f>
        <v>21</v>
      </c>
      <c r="AE1190" s="65">
        <f>tblWorkPackages[[#This Row],[Last labor date]]-tblWorkPackages[[#This Row],[First labor date]]</f>
        <v>0</v>
      </c>
      <c r="AF1190" s="65">
        <f>tblWorkPackages[[#This Row],[Completion date serial]]-tblWorkPackages[[#This Row],[Last labor date]]</f>
        <v>0</v>
      </c>
      <c r="AG1190" s="65">
        <f>tblWorkPackages[[#This Row],[Completion date serial]]-tblWorkPackages[[#This Row],[Request date serial]]</f>
        <v>21</v>
      </c>
      <c r="AH1190" s="65">
        <f>IFERROR(INDEX(tblParts[Delay days],MATCH(tblWorkPackages[[#This Row],[Work package ID]],tblParts[Work package ID],0)),0)</f>
        <v>0</v>
      </c>
      <c r="AI1190" s="51" t="str">
        <f>IFERROR(INDEX(tblDisruptions[Event type],MATCH(tblWorkPackages[[#This Row],[Work package ID]],tblDisruptions[Work package ID],0)),"None")</f>
        <v>None</v>
      </c>
      <c r="AJ1190" s="51" t="str">
        <f>TEXT(tblWorkPackages[[#This Row],[Due date serial]],"yyyy-mm")</f>
        <v>2025-09</v>
      </c>
    </row>
    <row r="1191" spans="1:36" ht="15" x14ac:dyDescent="0.25">
      <c r="A1191" s="53" t="s">
        <v>2098</v>
      </c>
      <c r="B1191" s="53" t="s">
        <v>141</v>
      </c>
      <c r="C1191" s="53" t="s">
        <v>1374</v>
      </c>
      <c r="D1191" s="53" t="s">
        <v>952</v>
      </c>
      <c r="E1191" s="53" t="s">
        <v>181</v>
      </c>
      <c r="F1191" s="53" t="s">
        <v>182</v>
      </c>
      <c r="G1191" s="53" t="s">
        <v>138</v>
      </c>
      <c r="H1191" s="53">
        <v>1</v>
      </c>
      <c r="I1191" s="53" t="s">
        <v>176</v>
      </c>
      <c r="J1191" s="53">
        <v>0</v>
      </c>
      <c r="K1191" s="53">
        <v>0</v>
      </c>
      <c r="L1191" s="53">
        <v>4.4000000000000004</v>
      </c>
      <c r="M1191" s="53" t="s">
        <v>952</v>
      </c>
      <c r="N1191" s="53">
        <v>5.3</v>
      </c>
      <c r="O1191" s="51" t="str">
        <f>TEXT(tblWorkPackages[[#This Row],[Request date serial]]-WEEKDAY(tblWorkPackages[[#This Row],[Request date serial]],3),"yyyy-mm-dd")</f>
        <v>2024-10-07</v>
      </c>
      <c r="P1191" s="51">
        <f>ABS(tblWorkPackages[[#This Row],[Actual labor hours]]-tblWorkPackages[[#This Row],[Estimated labor hours]])</f>
        <v>0.9</v>
      </c>
      <c r="Q1191" s="51">
        <f>IF(tblWorkPackages[[#This Row],[Actual labor hours]]&gt;tblWorkPackages[[#This Row],[Estimated labor hours]],1,0)</f>
        <v>1</v>
      </c>
      <c r="R1191" s="51">
        <f>tblWorkPackages[[#This Row],[Actual labor hours]]-tblWorkPackages[[#This Row],[Estimated labor hours]]</f>
        <v>0.9</v>
      </c>
      <c r="S1191" s="51" t="str">
        <f>IF(tblWorkPackages[[#This Row],[Request date serial]]&lt;ValidationStart,"Train 2024",IF(tblWorkPackages[[#This Row],[Request date serial]]&lt;HoldoutStart,"Validation H1","Holdout H2"))</f>
        <v>Train 2024</v>
      </c>
      <c r="T1191" s="51" t="str">
        <f>IF(tblWorkPackages[[#This Row],[Time split]]="Train 2024","",tblWorkPackages[[#This Row],[Estimated labor hours]]+VLOOKUP(tblWorkPackages[[#This Row],[Task type]],'Forecast validation'!$A$14:$E$25,IF(tblWorkPackages[[#This Row],[Time split]]="Validation H1",4,5),FALSE()))</f>
        <v/>
      </c>
      <c r="U1191" s="51" t="str">
        <f>IF(tblWorkPackages[[#This Row],[Calibrated forecast hours]]="","",ABS(tblWorkPackages[[#This Row],[Actual labor hours]]-tblWorkPackages[[#This Row],[Calibrated forecast hours]]))</f>
        <v/>
      </c>
      <c r="V1191" s="51">
        <f>IF(tblWorkPackages[[#This Row],[Time split]]="Train 2024",tblWorkPackages[[#This Row],[Estimated labor hours]],tblWorkPackages[[#This Row],[Calibrated forecast hours]])</f>
        <v>4.4</v>
      </c>
      <c r="W1191" s="64">
        <f>DATEVALUE(tblWorkPackages[[#This Row],[Request date]])</f>
        <v>45572.0</v>
      </c>
      <c r="X1191" s="64">
        <f>DATEVALUE(tblWorkPackages[[#This Row],[Due date]])</f>
        <v>45578.0</v>
      </c>
      <c r="Y1191" s="64">
        <f>DATEVALUE(tblWorkPackages[[#This Row],[Completion date]])</f>
        <v>45578.0</v>
      </c>
      <c r="Z1191" s="64">
        <f>_xlfn.MINIFS(tblLaborEntries[Work date serial],tblLaborEntries[Work package ID],tblWorkPackages[[#This Row],[Work package ID]])</f>
        <v>45576.0</v>
      </c>
      <c r="AA1191" s="64">
        <f>_xlfn.MAXIFS(tblLaborEntries[Work date serial],tblLaborEntries[Work package ID],tblWorkPackages[[#This Row],[Work package ID]])</f>
        <v>45577.0</v>
      </c>
      <c r="AB1191" s="65">
        <f>IF(tblWorkPackages[[#This Row],[Completion date serial]]&gt;tblWorkPackages[[#This Row],[Due date serial]],1,0)</f>
        <v>0</v>
      </c>
      <c r="AC1191" s="65">
        <f>MAX(0,tblWorkPackages[[#This Row],[Completion date serial]]-tblWorkPackages[[#This Row],[Due date serial]])</f>
        <v>0</v>
      </c>
      <c r="AD1191" s="65">
        <f>tblWorkPackages[[#This Row],[First labor date]]-tblWorkPackages[[#This Row],[Request date serial]]</f>
        <v>4</v>
      </c>
      <c r="AE1191" s="65">
        <f>tblWorkPackages[[#This Row],[Last labor date]]-tblWorkPackages[[#This Row],[First labor date]]</f>
        <v>1</v>
      </c>
      <c r="AF1191" s="65">
        <f>tblWorkPackages[[#This Row],[Completion date serial]]-tblWorkPackages[[#This Row],[Last labor date]]</f>
        <v>1</v>
      </c>
      <c r="AG1191" s="65">
        <f>tblWorkPackages[[#This Row],[Completion date serial]]-tblWorkPackages[[#This Row],[Request date serial]]</f>
        <v>6</v>
      </c>
      <c r="AH1191" s="65">
        <f>IFERROR(INDEX(tblParts[Delay days],MATCH(tblWorkPackages[[#This Row],[Work package ID]],tblParts[Work package ID],0)),0)</f>
        <v>0</v>
      </c>
      <c r="AI1191" s="51" t="str">
        <f>IFERROR(INDEX(tblDisruptions[Event type],MATCH(tblWorkPackages[[#This Row],[Work package ID]],tblDisruptions[Work package ID],0)),"None")</f>
        <v>None</v>
      </c>
      <c r="AJ1191" s="51" t="str">
        <f>TEXT(tblWorkPackages[[#This Row],[Due date serial]],"yyyy-mm")</f>
        <v>2024-10</v>
      </c>
    </row>
    <row r="1192" spans="1:36" ht="15" x14ac:dyDescent="0.25">
      <c r="A1192" s="53" t="s">
        <v>2099</v>
      </c>
      <c r="B1192" s="53" t="s">
        <v>230</v>
      </c>
      <c r="C1192" s="53" t="s">
        <v>1320</v>
      </c>
      <c r="D1192" s="53" t="s">
        <v>1041</v>
      </c>
      <c r="E1192" s="53" t="s">
        <v>200</v>
      </c>
      <c r="F1192" s="53" t="s">
        <v>128</v>
      </c>
      <c r="G1192" s="53" t="s">
        <v>129</v>
      </c>
      <c r="H1192" s="53">
        <v>1</v>
      </c>
      <c r="I1192" s="53" t="s">
        <v>130</v>
      </c>
      <c r="J1192" s="53">
        <v>0</v>
      </c>
      <c r="K1192" s="53">
        <v>1</v>
      </c>
      <c r="L1192" s="53">
        <v>2.1</v>
      </c>
      <c r="M1192" s="53" t="s">
        <v>1392</v>
      </c>
      <c r="N1192" s="53">
        <v>2.6</v>
      </c>
      <c r="O1192" s="51" t="str">
        <f>TEXT(tblWorkPackages[[#This Row],[Request date serial]]-WEEKDAY(tblWorkPackages[[#This Row],[Request date serial]],3),"yyyy-mm-dd")</f>
        <v>2024-07-22</v>
      </c>
      <c r="P1192" s="51">
        <f>ABS(tblWorkPackages[[#This Row],[Actual labor hours]]-tblWorkPackages[[#This Row],[Estimated labor hours]])</f>
        <v>0.5</v>
      </c>
      <c r="Q1192" s="51">
        <f>IF(tblWorkPackages[[#This Row],[Actual labor hours]]&gt;tblWorkPackages[[#This Row],[Estimated labor hours]],1,0)</f>
        <v>1</v>
      </c>
      <c r="R1192" s="51">
        <f>tblWorkPackages[[#This Row],[Actual labor hours]]-tblWorkPackages[[#This Row],[Estimated labor hours]]</f>
        <v>0.5</v>
      </c>
      <c r="S1192" s="51" t="str">
        <f>IF(tblWorkPackages[[#This Row],[Request date serial]]&lt;ValidationStart,"Train 2024",IF(tblWorkPackages[[#This Row],[Request date serial]]&lt;HoldoutStart,"Validation H1","Holdout H2"))</f>
        <v>Train 2024</v>
      </c>
      <c r="T1192" s="51" t="str">
        <f>IF(tblWorkPackages[[#This Row],[Time split]]="Train 2024","",tblWorkPackages[[#This Row],[Estimated labor hours]]+VLOOKUP(tblWorkPackages[[#This Row],[Task type]],'Forecast validation'!$A$14:$E$25,IF(tblWorkPackages[[#This Row],[Time split]]="Validation H1",4,5),FALSE()))</f>
        <v/>
      </c>
      <c r="U1192" s="51" t="str">
        <f>IF(tblWorkPackages[[#This Row],[Calibrated forecast hours]]="","",ABS(tblWorkPackages[[#This Row],[Actual labor hours]]-tblWorkPackages[[#This Row],[Calibrated forecast hours]]))</f>
        <v/>
      </c>
      <c r="V1192" s="51">
        <f>IF(tblWorkPackages[[#This Row],[Time split]]="Train 2024",tblWorkPackages[[#This Row],[Estimated labor hours]],tblWorkPackages[[#This Row],[Calibrated forecast hours]])</f>
        <v>2.1</v>
      </c>
      <c r="W1192" s="64">
        <f>DATEVALUE(tblWorkPackages[[#This Row],[Request date]])</f>
        <v>45499.0</v>
      </c>
      <c r="X1192" s="64">
        <f>DATEVALUE(tblWorkPackages[[#This Row],[Due date]])</f>
        <v>45512.0</v>
      </c>
      <c r="Y1192" s="64">
        <f>DATEVALUE(tblWorkPackages[[#This Row],[Completion date]])</f>
        <v>45508.0</v>
      </c>
      <c r="Z1192" s="64">
        <f>_xlfn.MINIFS(tblLaborEntries[Work date serial],tblLaborEntries[Work package ID],tblWorkPackages[[#This Row],[Work package ID]])</f>
        <v>45506.0</v>
      </c>
      <c r="AA1192" s="64">
        <f>_xlfn.MAXIFS(tblLaborEntries[Work date serial],tblLaborEntries[Work package ID],tblWorkPackages[[#This Row],[Work package ID]])</f>
        <v>45506.0</v>
      </c>
      <c r="AB1192" s="65">
        <f>IF(tblWorkPackages[[#This Row],[Completion date serial]]&gt;tblWorkPackages[[#This Row],[Due date serial]],1,0)</f>
        <v>0</v>
      </c>
      <c r="AC1192" s="65">
        <f>MAX(0,tblWorkPackages[[#This Row],[Completion date serial]]-tblWorkPackages[[#This Row],[Due date serial]])</f>
        <v>0</v>
      </c>
      <c r="AD1192" s="65">
        <f>tblWorkPackages[[#This Row],[First labor date]]-tblWorkPackages[[#This Row],[Request date serial]]</f>
        <v>7</v>
      </c>
      <c r="AE1192" s="65">
        <f>tblWorkPackages[[#This Row],[Last labor date]]-tblWorkPackages[[#This Row],[First labor date]]</f>
        <v>0</v>
      </c>
      <c r="AF1192" s="65">
        <f>tblWorkPackages[[#This Row],[Completion date serial]]-tblWorkPackages[[#This Row],[Last labor date]]</f>
        <v>2</v>
      </c>
      <c r="AG1192" s="65">
        <f>tblWorkPackages[[#This Row],[Completion date serial]]-tblWorkPackages[[#This Row],[Request date serial]]</f>
        <v>9</v>
      </c>
      <c r="AH1192" s="65">
        <f>IFERROR(INDEX(tblParts[Delay days],MATCH(tblWorkPackages[[#This Row],[Work package ID]],tblParts[Work package ID],0)),0)</f>
        <v>6</v>
      </c>
      <c r="AI1192" s="51" t="str">
        <f>IFERROR(INDEX(tblDisruptions[Event type],MATCH(tblWorkPackages[[#This Row],[Work package ID]],tblDisruptions[Work package ID],0)),"None")</f>
        <v>Part delay</v>
      </c>
      <c r="AJ1192" s="51" t="str">
        <f>TEXT(tblWorkPackages[[#This Row],[Due date serial]],"yyyy-mm")</f>
        <v>2024-08</v>
      </c>
    </row>
    <row r="1193" spans="1:36" ht="15" x14ac:dyDescent="0.25">
      <c r="A1193" s="53" t="s">
        <v>2100</v>
      </c>
      <c r="B1193" s="53" t="s">
        <v>133</v>
      </c>
      <c r="C1193" s="53" t="s">
        <v>1765</v>
      </c>
      <c r="D1193" s="53" t="s">
        <v>945</v>
      </c>
      <c r="E1193" s="53" t="s">
        <v>237</v>
      </c>
      <c r="F1193" s="53" t="s">
        <v>182</v>
      </c>
      <c r="G1193" s="53" t="s">
        <v>138</v>
      </c>
      <c r="H1193" s="53">
        <v>4</v>
      </c>
      <c r="I1193" s="53" t="s">
        <v>147</v>
      </c>
      <c r="J1193" s="53">
        <v>0</v>
      </c>
      <c r="K1193" s="53">
        <v>0</v>
      </c>
      <c r="L1193" s="53">
        <v>8.6999999999999993</v>
      </c>
      <c r="M1193" s="53" t="s">
        <v>392</v>
      </c>
      <c r="N1193" s="53">
        <v>10.9</v>
      </c>
      <c r="O1193" s="51" t="str">
        <f>TEXT(tblWorkPackages[[#This Row],[Request date serial]]-WEEKDAY(tblWorkPackages[[#This Row],[Request date serial]],3),"yyyy-mm-dd")</f>
        <v>2024-08-12</v>
      </c>
      <c r="P1193" s="51">
        <f>ABS(tblWorkPackages[[#This Row],[Actual labor hours]]-tblWorkPackages[[#This Row],[Estimated labor hours]])</f>
        <v>2.2</v>
      </c>
      <c r="Q1193" s="51">
        <f>IF(tblWorkPackages[[#This Row],[Actual labor hours]]&gt;tblWorkPackages[[#This Row],[Estimated labor hours]],1,0)</f>
        <v>1</v>
      </c>
      <c r="R1193" s="51">
        <f>tblWorkPackages[[#This Row],[Actual labor hours]]-tblWorkPackages[[#This Row],[Estimated labor hours]]</f>
        <v>2.2</v>
      </c>
      <c r="S1193" s="51" t="str">
        <f>IF(tblWorkPackages[[#This Row],[Request date serial]]&lt;ValidationStart,"Train 2024",IF(tblWorkPackages[[#This Row],[Request date serial]]&lt;HoldoutStart,"Validation H1","Holdout H2"))</f>
        <v>Train 2024</v>
      </c>
      <c r="T1193" s="51" t="str">
        <f>IF(tblWorkPackages[[#This Row],[Time split]]="Train 2024","",tblWorkPackages[[#This Row],[Estimated labor hours]]+VLOOKUP(tblWorkPackages[[#This Row],[Task type]],'Forecast validation'!$A$14:$E$25,IF(tblWorkPackages[[#This Row],[Time split]]="Validation H1",4,5),FALSE()))</f>
        <v/>
      </c>
      <c r="U1193" s="51" t="str">
        <f>IF(tblWorkPackages[[#This Row],[Calibrated forecast hours]]="","",ABS(tblWorkPackages[[#This Row],[Actual labor hours]]-tblWorkPackages[[#This Row],[Calibrated forecast hours]]))</f>
        <v/>
      </c>
      <c r="V1193" s="51">
        <f>IF(tblWorkPackages[[#This Row],[Time split]]="Train 2024",tblWorkPackages[[#This Row],[Estimated labor hours]],tblWorkPackages[[#This Row],[Calibrated forecast hours]])</f>
        <v>8.7</v>
      </c>
      <c r="W1193" s="64">
        <f>DATEVALUE(tblWorkPackages[[#This Row],[Request date]])</f>
        <v>45519.0</v>
      </c>
      <c r="X1193" s="64">
        <f>DATEVALUE(tblWorkPackages[[#This Row],[Due date]])</f>
        <v>45521.0</v>
      </c>
      <c r="Y1193" s="64">
        <f>DATEVALUE(tblWorkPackages[[#This Row],[Completion date]])</f>
        <v>45534.0</v>
      </c>
      <c r="Z1193" s="64">
        <f>_xlfn.MINIFS(tblLaborEntries[Work date serial],tblLaborEntries[Work package ID],tblWorkPackages[[#This Row],[Work package ID]])</f>
        <v>45531.0</v>
      </c>
      <c r="AA1193" s="64">
        <f>_xlfn.MAXIFS(tblLaborEntries[Work date serial],tblLaborEntries[Work package ID],tblWorkPackages[[#This Row],[Work package ID]])</f>
        <v>45531.0</v>
      </c>
      <c r="AB1193" s="65">
        <f>IF(tblWorkPackages[[#This Row],[Completion date serial]]&gt;tblWorkPackages[[#This Row],[Due date serial]],1,0)</f>
        <v>1</v>
      </c>
      <c r="AC1193" s="65">
        <f>MAX(0,tblWorkPackages[[#This Row],[Completion date serial]]-tblWorkPackages[[#This Row],[Due date serial]])</f>
        <v>13</v>
      </c>
      <c r="AD1193" s="65">
        <f>tblWorkPackages[[#This Row],[First labor date]]-tblWorkPackages[[#This Row],[Request date serial]]</f>
        <v>12</v>
      </c>
      <c r="AE1193" s="65">
        <f>tblWorkPackages[[#This Row],[Last labor date]]-tblWorkPackages[[#This Row],[First labor date]]</f>
        <v>0</v>
      </c>
      <c r="AF1193" s="65">
        <f>tblWorkPackages[[#This Row],[Completion date serial]]-tblWorkPackages[[#This Row],[Last labor date]]</f>
        <v>3</v>
      </c>
      <c r="AG1193" s="65">
        <f>tblWorkPackages[[#This Row],[Completion date serial]]-tblWorkPackages[[#This Row],[Request date serial]]</f>
        <v>15</v>
      </c>
      <c r="AH1193" s="65">
        <f>IFERROR(INDEX(tblParts[Delay days],MATCH(tblWorkPackages[[#This Row],[Work package ID]],tblParts[Work package ID],0)),0)</f>
        <v>0</v>
      </c>
      <c r="AI1193" s="51" t="str">
        <f>IFERROR(INDEX(tblDisruptions[Event type],MATCH(tblWorkPackages[[#This Row],[Work package ID]],tblDisruptions[Work package ID],0)),"None")</f>
        <v>None</v>
      </c>
      <c r="AJ1193" s="51" t="str">
        <f>TEXT(tblWorkPackages[[#This Row],[Due date serial]],"yyyy-mm")</f>
        <v>2024-08</v>
      </c>
    </row>
    <row r="1194" spans="1:36" ht="15" x14ac:dyDescent="0.25">
      <c r="A1194" s="53" t="s">
        <v>2101</v>
      </c>
      <c r="B1194" s="53" t="s">
        <v>168</v>
      </c>
      <c r="C1194" s="53" t="s">
        <v>740</v>
      </c>
      <c r="D1194" s="53" t="s">
        <v>2009</v>
      </c>
      <c r="E1194" s="53" t="s">
        <v>272</v>
      </c>
      <c r="F1194" s="53" t="s">
        <v>145</v>
      </c>
      <c r="G1194" s="53" t="s">
        <v>273</v>
      </c>
      <c r="H1194" s="53">
        <v>2</v>
      </c>
      <c r="I1194" s="53" t="s">
        <v>130</v>
      </c>
      <c r="J1194" s="53">
        <v>0</v>
      </c>
      <c r="K1194" s="53">
        <v>0</v>
      </c>
      <c r="L1194" s="53">
        <v>12.9</v>
      </c>
      <c r="M1194" s="53" t="s">
        <v>1560</v>
      </c>
      <c r="N1194" s="53">
        <v>14.4</v>
      </c>
      <c r="O1194" s="51" t="str">
        <f>TEXT(tblWorkPackages[[#This Row],[Request date serial]]-WEEKDAY(tblWorkPackages[[#This Row],[Request date serial]],3),"yyyy-mm-dd")</f>
        <v>2025-05-19</v>
      </c>
      <c r="P1194" s="51">
        <f>ABS(tblWorkPackages[[#This Row],[Actual labor hours]]-tblWorkPackages[[#This Row],[Estimated labor hours]])</f>
        <v>1.5</v>
      </c>
      <c r="Q1194" s="51">
        <f>IF(tblWorkPackages[[#This Row],[Actual labor hours]]&gt;tblWorkPackages[[#This Row],[Estimated labor hours]],1,0)</f>
        <v>1</v>
      </c>
      <c r="R1194" s="51">
        <f>tblWorkPackages[[#This Row],[Actual labor hours]]-tblWorkPackages[[#This Row],[Estimated labor hours]]</f>
        <v>1.5</v>
      </c>
      <c r="S1194" s="51" t="str">
        <f>IF(tblWorkPackages[[#This Row],[Request date serial]]&lt;ValidationStart,"Train 2024",IF(tblWorkPackages[[#This Row],[Request date serial]]&lt;HoldoutStart,"Validation H1","Holdout H2"))</f>
        <v>Validation H1</v>
      </c>
      <c r="T1194" s="51">
        <f>IF(tblWorkPackages[[#This Row],[Time split]]="Train 2024","",tblWorkPackages[[#This Row],[Estimated labor hours]]+VLOOKUP(tblWorkPackages[[#This Row],[Task type]],'Forecast validation'!$A$14:$E$25,IF(tblWorkPackages[[#This Row],[Time split]]="Validation H1",4,5),FALSE()))</f>
        <v>13.9320512820513</v>
      </c>
      <c r="U1194" s="51">
        <f>IF(tblWorkPackages[[#This Row],[Calibrated forecast hours]]="","",ABS(tblWorkPackages[[#This Row],[Actual labor hours]]-tblWorkPackages[[#This Row],[Calibrated forecast hours]]))</f>
        <v>0.467948717948717</v>
      </c>
      <c r="V1194" s="51">
        <f>IF(tblWorkPackages[[#This Row],[Time split]]="Train 2024",tblWorkPackages[[#This Row],[Estimated labor hours]],tblWorkPackages[[#This Row],[Calibrated forecast hours]])</f>
        <v>13.9320512820513</v>
      </c>
      <c r="W1194" s="64">
        <f>DATEVALUE(tblWorkPackages[[#This Row],[Request date]])</f>
        <v>45797.0</v>
      </c>
      <c r="X1194" s="64">
        <f>DATEVALUE(tblWorkPackages[[#This Row],[Due date]])</f>
        <v>45810.0</v>
      </c>
      <c r="Y1194" s="64">
        <f>DATEVALUE(tblWorkPackages[[#This Row],[Completion date]])</f>
        <v>45801.0</v>
      </c>
      <c r="Z1194" s="64">
        <f>_xlfn.MINIFS(tblLaborEntries[Work date serial],tblLaborEntries[Work package ID],tblWorkPackages[[#This Row],[Work package ID]])</f>
        <v>45800.0</v>
      </c>
      <c r="AA1194" s="64">
        <f>_xlfn.MAXIFS(tblLaborEntries[Work date serial],tblLaborEntries[Work package ID],tblWorkPackages[[#This Row],[Work package ID]])</f>
        <v>45801.0</v>
      </c>
      <c r="AB1194" s="65">
        <f>IF(tblWorkPackages[[#This Row],[Completion date serial]]&gt;tblWorkPackages[[#This Row],[Due date serial]],1,0)</f>
        <v>0</v>
      </c>
      <c r="AC1194" s="65">
        <f>MAX(0,tblWorkPackages[[#This Row],[Completion date serial]]-tblWorkPackages[[#This Row],[Due date serial]])</f>
        <v>0</v>
      </c>
      <c r="AD1194" s="65">
        <f>tblWorkPackages[[#This Row],[First labor date]]-tblWorkPackages[[#This Row],[Request date serial]]</f>
        <v>3</v>
      </c>
      <c r="AE1194" s="65">
        <f>tblWorkPackages[[#This Row],[Last labor date]]-tblWorkPackages[[#This Row],[First labor date]]</f>
        <v>1</v>
      </c>
      <c r="AF1194" s="65">
        <f>tblWorkPackages[[#This Row],[Completion date serial]]-tblWorkPackages[[#This Row],[Last labor date]]</f>
        <v>0</v>
      </c>
      <c r="AG1194" s="65">
        <f>tblWorkPackages[[#This Row],[Completion date serial]]-tblWorkPackages[[#This Row],[Request date serial]]</f>
        <v>4</v>
      </c>
      <c r="AH1194" s="65">
        <f>IFERROR(INDEX(tblParts[Delay days],MATCH(tblWorkPackages[[#This Row],[Work package ID]],tblParts[Work package ID],0)),0)</f>
        <v>0</v>
      </c>
      <c r="AI1194" s="51" t="str">
        <f>IFERROR(INDEX(tblDisruptions[Event type],MATCH(tblWorkPackages[[#This Row],[Work package ID]],tblDisruptions[Work package ID],0)),"None")</f>
        <v>None</v>
      </c>
      <c r="AJ1194" s="51" t="str">
        <f>TEXT(tblWorkPackages[[#This Row],[Due date serial]],"yyyy-mm")</f>
        <v>2025-06</v>
      </c>
    </row>
    <row r="1195" spans="1:36" ht="15" x14ac:dyDescent="0.25">
      <c r="A1195" s="53" t="s">
        <v>2102</v>
      </c>
      <c r="B1195" s="53" t="s">
        <v>287</v>
      </c>
      <c r="C1195" s="53" t="s">
        <v>1238</v>
      </c>
      <c r="D1195" s="53" t="s">
        <v>1314</v>
      </c>
      <c r="E1195" s="53" t="s">
        <v>153</v>
      </c>
      <c r="F1195" s="53" t="s">
        <v>128</v>
      </c>
      <c r="G1195" s="53" t="s">
        <v>154</v>
      </c>
      <c r="H1195" s="53">
        <v>3</v>
      </c>
      <c r="I1195" s="53" t="s">
        <v>176</v>
      </c>
      <c r="J1195" s="53">
        <v>0</v>
      </c>
      <c r="K1195" s="53">
        <v>0</v>
      </c>
      <c r="L1195" s="53">
        <v>13.3</v>
      </c>
      <c r="M1195" s="53" t="s">
        <v>346</v>
      </c>
      <c r="N1195" s="53">
        <v>13.3</v>
      </c>
      <c r="O1195" s="51" t="str">
        <f>TEXT(tblWorkPackages[[#This Row],[Request date serial]]-WEEKDAY(tblWorkPackages[[#This Row],[Request date serial]],3),"yyyy-mm-dd")</f>
        <v>2024-01-08</v>
      </c>
      <c r="P1195" s="51">
        <f>ABS(tblWorkPackages[[#This Row],[Actual labor hours]]-tblWorkPackages[[#This Row],[Estimated labor hours]])</f>
        <v>0</v>
      </c>
      <c r="Q1195" s="51">
        <f>IF(tblWorkPackages[[#This Row],[Actual labor hours]]&gt;tblWorkPackages[[#This Row],[Estimated labor hours]],1,0)</f>
        <v>0</v>
      </c>
      <c r="R1195" s="51">
        <f>tblWorkPackages[[#This Row],[Actual labor hours]]-tblWorkPackages[[#This Row],[Estimated labor hours]]</f>
        <v>0</v>
      </c>
      <c r="S1195" s="51" t="str">
        <f>IF(tblWorkPackages[[#This Row],[Request date serial]]&lt;ValidationStart,"Train 2024",IF(tblWorkPackages[[#This Row],[Request date serial]]&lt;HoldoutStart,"Validation H1","Holdout H2"))</f>
        <v>Train 2024</v>
      </c>
      <c r="T1195" s="51" t="str">
        <f>IF(tblWorkPackages[[#This Row],[Time split]]="Train 2024","",tblWorkPackages[[#This Row],[Estimated labor hours]]+VLOOKUP(tblWorkPackages[[#This Row],[Task type]],'Forecast validation'!$A$14:$E$25,IF(tblWorkPackages[[#This Row],[Time split]]="Validation H1",4,5),FALSE()))</f>
        <v/>
      </c>
      <c r="U1195" s="51" t="str">
        <f>IF(tblWorkPackages[[#This Row],[Calibrated forecast hours]]="","",ABS(tblWorkPackages[[#This Row],[Actual labor hours]]-tblWorkPackages[[#This Row],[Calibrated forecast hours]]))</f>
        <v/>
      </c>
      <c r="V1195" s="51">
        <f>IF(tblWorkPackages[[#This Row],[Time split]]="Train 2024",tblWorkPackages[[#This Row],[Estimated labor hours]],tblWorkPackages[[#This Row],[Calibrated forecast hours]])</f>
        <v>13.3</v>
      </c>
      <c r="W1195" s="64">
        <f>DATEVALUE(tblWorkPackages[[#This Row],[Request date]])</f>
        <v>45303.0</v>
      </c>
      <c r="X1195" s="64">
        <f>DATEVALUE(tblWorkPackages[[#This Row],[Due date]])</f>
        <v>45309.0</v>
      </c>
      <c r="Y1195" s="64">
        <f>DATEVALUE(tblWorkPackages[[#This Row],[Completion date]])</f>
        <v>45338.0</v>
      </c>
      <c r="Z1195" s="64">
        <f>_xlfn.MINIFS(tblLaborEntries[Work date serial],tblLaborEntries[Work package ID],tblWorkPackages[[#This Row],[Work package ID]])</f>
        <v>45337.0</v>
      </c>
      <c r="AA1195" s="64">
        <f>_xlfn.MAXIFS(tblLaborEntries[Work date serial],tblLaborEntries[Work package ID],tblWorkPackages[[#This Row],[Work package ID]])</f>
        <v>45337.0</v>
      </c>
      <c r="AB1195" s="65">
        <f>IF(tblWorkPackages[[#This Row],[Completion date serial]]&gt;tblWorkPackages[[#This Row],[Due date serial]],1,0)</f>
        <v>1</v>
      </c>
      <c r="AC1195" s="65">
        <f>MAX(0,tblWorkPackages[[#This Row],[Completion date serial]]-tblWorkPackages[[#This Row],[Due date serial]])</f>
        <v>29</v>
      </c>
      <c r="AD1195" s="65">
        <f>tblWorkPackages[[#This Row],[First labor date]]-tblWorkPackages[[#This Row],[Request date serial]]</f>
        <v>34</v>
      </c>
      <c r="AE1195" s="65">
        <f>tblWorkPackages[[#This Row],[Last labor date]]-tblWorkPackages[[#This Row],[First labor date]]</f>
        <v>0</v>
      </c>
      <c r="AF1195" s="65">
        <f>tblWorkPackages[[#This Row],[Completion date serial]]-tblWorkPackages[[#This Row],[Last labor date]]</f>
        <v>1</v>
      </c>
      <c r="AG1195" s="65">
        <f>tblWorkPackages[[#This Row],[Completion date serial]]-tblWorkPackages[[#This Row],[Request date serial]]</f>
        <v>35</v>
      </c>
      <c r="AH1195" s="65">
        <f>IFERROR(INDEX(tblParts[Delay days],MATCH(tblWorkPackages[[#This Row],[Work package ID]],tblParts[Work package ID],0)),0)</f>
        <v>0</v>
      </c>
      <c r="AI1195" s="51" t="str">
        <f>IFERROR(INDEX(tblDisruptions[Event type],MATCH(tblWorkPackages[[#This Row],[Work package ID]],tblDisruptions[Work package ID],0)),"None")</f>
        <v>None</v>
      </c>
      <c r="AJ1195" s="51" t="str">
        <f>TEXT(tblWorkPackages[[#This Row],[Due date serial]],"yyyy-mm")</f>
        <v>2024-01</v>
      </c>
    </row>
    <row r="1196" spans="1:36" ht="15" x14ac:dyDescent="0.25">
      <c r="A1196" s="53" t="s">
        <v>2103</v>
      </c>
      <c r="B1196" s="53" t="s">
        <v>141</v>
      </c>
      <c r="C1196" s="53" t="s">
        <v>1318</v>
      </c>
      <c r="D1196" s="53" t="s">
        <v>589</v>
      </c>
      <c r="E1196" s="53" t="s">
        <v>209</v>
      </c>
      <c r="F1196" s="53" t="s">
        <v>145</v>
      </c>
      <c r="G1196" s="53" t="s">
        <v>210</v>
      </c>
      <c r="H1196" s="53">
        <v>3</v>
      </c>
      <c r="I1196" s="53" t="s">
        <v>130</v>
      </c>
      <c r="J1196" s="53">
        <v>0</v>
      </c>
      <c r="K1196" s="53">
        <v>1</v>
      </c>
      <c r="L1196" s="53">
        <v>31.2</v>
      </c>
      <c r="M1196" s="53" t="s">
        <v>445</v>
      </c>
      <c r="N1196" s="53">
        <v>46.4</v>
      </c>
      <c r="O1196" s="51" t="str">
        <f>TEXT(tblWorkPackages[[#This Row],[Request date serial]]-WEEKDAY(tblWorkPackages[[#This Row],[Request date serial]],3),"yyyy-mm-dd")</f>
        <v>2025-03-10</v>
      </c>
      <c r="P1196" s="51">
        <f>ABS(tblWorkPackages[[#This Row],[Actual labor hours]]-tblWorkPackages[[#This Row],[Estimated labor hours]])</f>
        <v>15.2</v>
      </c>
      <c r="Q1196" s="51">
        <f>IF(tblWorkPackages[[#This Row],[Actual labor hours]]&gt;tblWorkPackages[[#This Row],[Estimated labor hours]],1,0)</f>
        <v>1</v>
      </c>
      <c r="R1196" s="51">
        <f>tblWorkPackages[[#This Row],[Actual labor hours]]-tblWorkPackages[[#This Row],[Estimated labor hours]]</f>
        <v>15.2</v>
      </c>
      <c r="S1196" s="51" t="str">
        <f>IF(tblWorkPackages[[#This Row],[Request date serial]]&lt;ValidationStart,"Train 2024",IF(tblWorkPackages[[#This Row],[Request date serial]]&lt;HoldoutStart,"Validation H1","Holdout H2"))</f>
        <v>Validation H1</v>
      </c>
      <c r="T1196" s="51">
        <f>IF(tblWorkPackages[[#This Row],[Time split]]="Train 2024","",tblWorkPackages[[#This Row],[Estimated labor hours]]+VLOOKUP(tblWorkPackages[[#This Row],[Task type]],'Forecast validation'!$A$14:$E$25,IF(tblWorkPackages[[#This Row],[Time split]]="Validation H1",4,5),FALSE()))</f>
        <v>32.3029850746269</v>
      </c>
      <c r="U1196" s="51">
        <f>IF(tblWorkPackages[[#This Row],[Calibrated forecast hours]]="","",ABS(tblWorkPackages[[#This Row],[Actual labor hours]]-tblWorkPackages[[#This Row],[Calibrated forecast hours]]))</f>
        <v>14.0970149253731</v>
      </c>
      <c r="V1196" s="51">
        <f>IF(tblWorkPackages[[#This Row],[Time split]]="Train 2024",tblWorkPackages[[#This Row],[Estimated labor hours]],tblWorkPackages[[#This Row],[Calibrated forecast hours]])</f>
        <v>32.3029850746269</v>
      </c>
      <c r="W1196" s="64">
        <f>DATEVALUE(tblWorkPackages[[#This Row],[Request date]])</f>
        <v>45726.0</v>
      </c>
      <c r="X1196" s="64">
        <f>DATEVALUE(tblWorkPackages[[#This Row],[Due date]])</f>
        <v>45739.0</v>
      </c>
      <c r="Y1196" s="64">
        <f>DATEVALUE(tblWorkPackages[[#This Row],[Completion date]])</f>
        <v>45735.0</v>
      </c>
      <c r="Z1196" s="64">
        <f>_xlfn.MINIFS(tblLaborEntries[Work date serial],tblLaborEntries[Work package ID],tblWorkPackages[[#This Row],[Work package ID]])</f>
        <v>45732.0</v>
      </c>
      <c r="AA1196" s="64">
        <f>_xlfn.MAXIFS(tblLaborEntries[Work date serial],tblLaborEntries[Work package ID],tblWorkPackages[[#This Row],[Work package ID]])</f>
        <v>45733.0</v>
      </c>
      <c r="AB1196" s="65">
        <f>IF(tblWorkPackages[[#This Row],[Completion date serial]]&gt;tblWorkPackages[[#This Row],[Due date serial]],1,0)</f>
        <v>0</v>
      </c>
      <c r="AC1196" s="65">
        <f>MAX(0,tblWorkPackages[[#This Row],[Completion date serial]]-tblWorkPackages[[#This Row],[Due date serial]])</f>
        <v>0</v>
      </c>
      <c r="AD1196" s="65">
        <f>tblWorkPackages[[#This Row],[First labor date]]-tblWorkPackages[[#This Row],[Request date serial]]</f>
        <v>6</v>
      </c>
      <c r="AE1196" s="65">
        <f>tblWorkPackages[[#This Row],[Last labor date]]-tblWorkPackages[[#This Row],[First labor date]]</f>
        <v>1</v>
      </c>
      <c r="AF1196" s="65">
        <f>tblWorkPackages[[#This Row],[Completion date serial]]-tblWorkPackages[[#This Row],[Last labor date]]</f>
        <v>2</v>
      </c>
      <c r="AG1196" s="65">
        <f>tblWorkPackages[[#This Row],[Completion date serial]]-tblWorkPackages[[#This Row],[Request date serial]]</f>
        <v>9</v>
      </c>
      <c r="AH1196" s="65">
        <f>IFERROR(INDEX(tblParts[Delay days],MATCH(tblWorkPackages[[#This Row],[Work package ID]],tblParts[Work package ID],0)),0)</f>
        <v>0</v>
      </c>
      <c r="AI1196" s="51" t="str">
        <f>IFERROR(INDEX(tblDisruptions[Event type],MATCH(tblWorkPackages[[#This Row],[Work package ID]],tblDisruptions[Work package ID],0)),"None")</f>
        <v>Technician absence</v>
      </c>
      <c r="AJ1196" s="51" t="str">
        <f>TEXT(tblWorkPackages[[#This Row],[Due date serial]],"yyyy-mm")</f>
        <v>2025-03</v>
      </c>
    </row>
    <row r="1197" spans="1:36" ht="15" x14ac:dyDescent="0.25">
      <c r="A1197" s="53" t="s">
        <v>2104</v>
      </c>
      <c r="B1197" s="53" t="s">
        <v>141</v>
      </c>
      <c r="C1197" s="53" t="s">
        <v>165</v>
      </c>
      <c r="D1197" s="53" t="s">
        <v>1324</v>
      </c>
      <c r="E1197" s="53" t="s">
        <v>242</v>
      </c>
      <c r="F1197" s="53" t="s">
        <v>243</v>
      </c>
      <c r="G1197" s="53" t="s">
        <v>129</v>
      </c>
      <c r="H1197" s="53">
        <v>1</v>
      </c>
      <c r="I1197" s="53" t="s">
        <v>147</v>
      </c>
      <c r="J1197" s="53">
        <v>0</v>
      </c>
      <c r="K1197" s="53">
        <v>0</v>
      </c>
      <c r="L1197" s="53">
        <v>5.6</v>
      </c>
      <c r="M1197" s="53" t="s">
        <v>449</v>
      </c>
      <c r="N1197" s="53">
        <v>5.7</v>
      </c>
      <c r="O1197" s="51" t="str">
        <f>TEXT(tblWorkPackages[[#This Row],[Request date serial]]-WEEKDAY(tblWorkPackages[[#This Row],[Request date serial]],3),"yyyy-mm-dd")</f>
        <v>2024-07-01</v>
      </c>
      <c r="P1197" s="51">
        <f>ABS(tblWorkPackages[[#This Row],[Actual labor hours]]-tblWorkPackages[[#This Row],[Estimated labor hours]])</f>
        <v>0.100000000000001</v>
      </c>
      <c r="Q1197" s="51">
        <f>IF(tblWorkPackages[[#This Row],[Actual labor hours]]&gt;tblWorkPackages[[#This Row],[Estimated labor hours]],1,0)</f>
        <v>1</v>
      </c>
      <c r="R1197" s="51">
        <f>tblWorkPackages[[#This Row],[Actual labor hours]]-tblWorkPackages[[#This Row],[Estimated labor hours]]</f>
        <v>0.100000000000001</v>
      </c>
      <c r="S1197" s="51" t="str">
        <f>IF(tblWorkPackages[[#This Row],[Request date serial]]&lt;ValidationStart,"Train 2024",IF(tblWorkPackages[[#This Row],[Request date serial]]&lt;HoldoutStart,"Validation H1","Holdout H2"))</f>
        <v>Train 2024</v>
      </c>
      <c r="T1197" s="51" t="str">
        <f>IF(tblWorkPackages[[#This Row],[Time split]]="Train 2024","",tblWorkPackages[[#This Row],[Estimated labor hours]]+VLOOKUP(tblWorkPackages[[#This Row],[Task type]],'Forecast validation'!$A$14:$E$25,IF(tblWorkPackages[[#This Row],[Time split]]="Validation H1",4,5),FALSE()))</f>
        <v/>
      </c>
      <c r="U1197" s="51" t="str">
        <f>IF(tblWorkPackages[[#This Row],[Calibrated forecast hours]]="","",ABS(tblWorkPackages[[#This Row],[Actual labor hours]]-tblWorkPackages[[#This Row],[Calibrated forecast hours]]))</f>
        <v/>
      </c>
      <c r="V1197" s="51">
        <f>IF(tblWorkPackages[[#This Row],[Time split]]="Train 2024",tblWorkPackages[[#This Row],[Estimated labor hours]],tblWorkPackages[[#This Row],[Calibrated forecast hours]])</f>
        <v>5.6</v>
      </c>
      <c r="W1197" s="64">
        <f>DATEVALUE(tblWorkPackages[[#This Row],[Request date]])</f>
        <v>45474.0</v>
      </c>
      <c r="X1197" s="64">
        <f>DATEVALUE(tblWorkPackages[[#This Row],[Due date]])</f>
        <v>45476.0</v>
      </c>
      <c r="Y1197" s="64">
        <f>DATEVALUE(tblWorkPackages[[#This Row],[Completion date]])</f>
        <v>45481.0</v>
      </c>
      <c r="Z1197" s="64">
        <f>_xlfn.MINIFS(tblLaborEntries[Work date serial],tblLaborEntries[Work package ID],tblWorkPackages[[#This Row],[Work package ID]])</f>
        <v>45476.0</v>
      </c>
      <c r="AA1197" s="64">
        <f>_xlfn.MAXIFS(tblLaborEntries[Work date serial],tblLaborEntries[Work package ID],tblWorkPackages[[#This Row],[Work package ID]])</f>
        <v>45478.0</v>
      </c>
      <c r="AB1197" s="65">
        <f>IF(tblWorkPackages[[#This Row],[Completion date serial]]&gt;tblWorkPackages[[#This Row],[Due date serial]],1,0)</f>
        <v>1</v>
      </c>
      <c r="AC1197" s="65">
        <f>MAX(0,tblWorkPackages[[#This Row],[Completion date serial]]-tblWorkPackages[[#This Row],[Due date serial]])</f>
        <v>5</v>
      </c>
      <c r="AD1197" s="65">
        <f>tblWorkPackages[[#This Row],[First labor date]]-tblWorkPackages[[#This Row],[Request date serial]]</f>
        <v>2</v>
      </c>
      <c r="AE1197" s="65">
        <f>tblWorkPackages[[#This Row],[Last labor date]]-tblWorkPackages[[#This Row],[First labor date]]</f>
        <v>2</v>
      </c>
      <c r="AF1197" s="65">
        <f>tblWorkPackages[[#This Row],[Completion date serial]]-tblWorkPackages[[#This Row],[Last labor date]]</f>
        <v>3</v>
      </c>
      <c r="AG1197" s="65">
        <f>tblWorkPackages[[#This Row],[Completion date serial]]-tblWorkPackages[[#This Row],[Request date serial]]</f>
        <v>7</v>
      </c>
      <c r="AH1197" s="65">
        <f>IFERROR(INDEX(tblParts[Delay days],MATCH(tblWorkPackages[[#This Row],[Work package ID]],tblParts[Work package ID],0)),0)</f>
        <v>0</v>
      </c>
      <c r="AI1197" s="51" t="str">
        <f>IFERROR(INDEX(tblDisruptions[Event type],MATCH(tblWorkPackages[[#This Row],[Work package ID]],tblDisruptions[Work package ID],0)),"None")</f>
        <v>None</v>
      </c>
      <c r="AJ1197" s="51" t="str">
        <f>TEXT(tblWorkPackages[[#This Row],[Due date serial]],"yyyy-mm")</f>
        <v>2024-07</v>
      </c>
    </row>
    <row r="1198" spans="1:36" ht="15" x14ac:dyDescent="0.25">
      <c r="A1198" s="53" t="s">
        <v>2105</v>
      </c>
      <c r="B1198" s="53" t="s">
        <v>163</v>
      </c>
      <c r="C1198" s="53" t="s">
        <v>1081</v>
      </c>
      <c r="D1198" s="53" t="s">
        <v>468</v>
      </c>
      <c r="E1198" s="53" t="s">
        <v>136</v>
      </c>
      <c r="F1198" s="53" t="s">
        <v>137</v>
      </c>
      <c r="G1198" s="53" t="s">
        <v>138</v>
      </c>
      <c r="H1198" s="53">
        <v>4</v>
      </c>
      <c r="I1198" s="53" t="s">
        <v>176</v>
      </c>
      <c r="J1198" s="53">
        <v>1</v>
      </c>
      <c r="K1198" s="53">
        <v>0</v>
      </c>
      <c r="L1198" s="53">
        <v>28.2</v>
      </c>
      <c r="M1198" s="53" t="s">
        <v>1004</v>
      </c>
      <c r="N1198" s="53">
        <v>28</v>
      </c>
      <c r="O1198" s="51" t="str">
        <f>TEXT(tblWorkPackages[[#This Row],[Request date serial]]-WEEKDAY(tblWorkPackages[[#This Row],[Request date serial]],3),"yyyy-mm-dd")</f>
        <v>2025-04-21</v>
      </c>
      <c r="P1198" s="51">
        <f>ABS(tblWorkPackages[[#This Row],[Actual labor hours]]-tblWorkPackages[[#This Row],[Estimated labor hours]])</f>
        <v>0.199999999999999</v>
      </c>
      <c r="Q1198" s="51">
        <f>IF(tblWorkPackages[[#This Row],[Actual labor hours]]&gt;tblWorkPackages[[#This Row],[Estimated labor hours]],1,0)</f>
        <v>0</v>
      </c>
      <c r="R1198" s="51">
        <f>tblWorkPackages[[#This Row],[Actual labor hours]]-tblWorkPackages[[#This Row],[Estimated labor hours]]</f>
        <v>-0.199999999999999</v>
      </c>
      <c r="S1198" s="51" t="str">
        <f>IF(tblWorkPackages[[#This Row],[Request date serial]]&lt;ValidationStart,"Train 2024",IF(tblWorkPackages[[#This Row],[Request date serial]]&lt;HoldoutStart,"Validation H1","Holdout H2"))</f>
        <v>Validation H1</v>
      </c>
      <c r="T1198" s="51">
        <f>IF(tblWorkPackages[[#This Row],[Time split]]="Train 2024","",tblWorkPackages[[#This Row],[Estimated labor hours]]+VLOOKUP(tblWorkPackages[[#This Row],[Task type]],'Forecast validation'!$A$14:$E$25,IF(tblWorkPackages[[#This Row],[Time split]]="Validation H1",4,5),FALSE()))</f>
        <v>29.0765306122449</v>
      </c>
      <c r="U1198" s="51">
        <f>IF(tblWorkPackages[[#This Row],[Calibrated forecast hours]]="","",ABS(tblWorkPackages[[#This Row],[Actual labor hours]]-tblWorkPackages[[#This Row],[Calibrated forecast hours]]))</f>
        <v>1.0765306122449</v>
      </c>
      <c r="V1198" s="51">
        <f>IF(tblWorkPackages[[#This Row],[Time split]]="Train 2024",tblWorkPackages[[#This Row],[Estimated labor hours]],tblWorkPackages[[#This Row],[Calibrated forecast hours]])</f>
        <v>29.0765306122449</v>
      </c>
      <c r="W1198" s="64">
        <f>DATEVALUE(tblWorkPackages[[#This Row],[Request date]])</f>
        <v>45769.0</v>
      </c>
      <c r="X1198" s="64">
        <f>DATEVALUE(tblWorkPackages[[#This Row],[Due date]])</f>
        <v>45775.0</v>
      </c>
      <c r="Y1198" s="64">
        <f>DATEVALUE(tblWorkPackages[[#This Row],[Completion date]])</f>
        <v>45785.0</v>
      </c>
      <c r="Z1198" s="64">
        <f>_xlfn.MINIFS(tblLaborEntries[Work date serial],tblLaborEntries[Work package ID],tblWorkPackages[[#This Row],[Work package ID]])</f>
        <v>45784.0</v>
      </c>
      <c r="AA1198" s="64">
        <f>_xlfn.MAXIFS(tblLaborEntries[Work date serial],tblLaborEntries[Work package ID],tblWorkPackages[[#This Row],[Work package ID]])</f>
        <v>45785.0</v>
      </c>
      <c r="AB1198" s="65">
        <f>IF(tblWorkPackages[[#This Row],[Completion date serial]]&gt;tblWorkPackages[[#This Row],[Due date serial]],1,0)</f>
        <v>1</v>
      </c>
      <c r="AC1198" s="65">
        <f>MAX(0,tblWorkPackages[[#This Row],[Completion date serial]]-tblWorkPackages[[#This Row],[Due date serial]])</f>
        <v>10</v>
      </c>
      <c r="AD1198" s="65">
        <f>tblWorkPackages[[#This Row],[First labor date]]-tblWorkPackages[[#This Row],[Request date serial]]</f>
        <v>15</v>
      </c>
      <c r="AE1198" s="65">
        <f>tblWorkPackages[[#This Row],[Last labor date]]-tblWorkPackages[[#This Row],[First labor date]]</f>
        <v>1</v>
      </c>
      <c r="AF1198" s="65">
        <f>tblWorkPackages[[#This Row],[Completion date serial]]-tblWorkPackages[[#This Row],[Last labor date]]</f>
        <v>0</v>
      </c>
      <c r="AG1198" s="65">
        <f>tblWorkPackages[[#This Row],[Completion date serial]]-tblWorkPackages[[#This Row],[Request date serial]]</f>
        <v>16</v>
      </c>
      <c r="AH1198" s="65">
        <f>IFERROR(INDEX(tblParts[Delay days],MATCH(tblWorkPackages[[#This Row],[Work package ID]],tblParts[Work package ID],0)),0)</f>
        <v>0</v>
      </c>
      <c r="AI1198" s="51" t="str">
        <f>IFERROR(INDEX(tblDisruptions[Event type],MATCH(tblWorkPackages[[#This Row],[Work package ID]],tblDisruptions[Work package ID],0)),"None")</f>
        <v>None</v>
      </c>
      <c r="AJ1198" s="51" t="str">
        <f>TEXT(tblWorkPackages[[#This Row],[Due date serial]],"yyyy-mm")</f>
        <v>2025-04</v>
      </c>
    </row>
    <row r="1199" spans="1:36" ht="15" x14ac:dyDescent="0.25">
      <c r="A1199" s="53" t="s">
        <v>2106</v>
      </c>
      <c r="B1199" s="53" t="s">
        <v>150</v>
      </c>
      <c r="C1199" s="53" t="s">
        <v>424</v>
      </c>
      <c r="D1199" s="53" t="s">
        <v>198</v>
      </c>
      <c r="E1199" s="53" t="s">
        <v>144</v>
      </c>
      <c r="F1199" s="53" t="s">
        <v>145</v>
      </c>
      <c r="G1199" s="53" t="s">
        <v>146</v>
      </c>
      <c r="H1199" s="53">
        <v>4</v>
      </c>
      <c r="I1199" s="53" t="s">
        <v>130</v>
      </c>
      <c r="J1199" s="53">
        <v>0</v>
      </c>
      <c r="K1199" s="53">
        <v>1</v>
      </c>
      <c r="L1199" s="53">
        <v>21.5</v>
      </c>
      <c r="M1199" s="53" t="s">
        <v>673</v>
      </c>
      <c r="N1199" s="53">
        <v>22.1</v>
      </c>
      <c r="O1199" s="51" t="str">
        <f>TEXT(tblWorkPackages[[#This Row],[Request date serial]]-WEEKDAY(tblWorkPackages[[#This Row],[Request date serial]],3),"yyyy-mm-dd")</f>
        <v>2025-06-09</v>
      </c>
      <c r="P1199" s="51">
        <f>ABS(tblWorkPackages[[#This Row],[Actual labor hours]]-tblWorkPackages[[#This Row],[Estimated labor hours]])</f>
        <v>0.600000000000001</v>
      </c>
      <c r="Q1199" s="51">
        <f>IF(tblWorkPackages[[#This Row],[Actual labor hours]]&gt;tblWorkPackages[[#This Row],[Estimated labor hours]],1,0)</f>
        <v>1</v>
      </c>
      <c r="R1199" s="51">
        <f>tblWorkPackages[[#This Row],[Actual labor hours]]-tblWorkPackages[[#This Row],[Estimated labor hours]]</f>
        <v>0.600000000000001</v>
      </c>
      <c r="S1199" s="51" t="str">
        <f>IF(tblWorkPackages[[#This Row],[Request date serial]]&lt;ValidationStart,"Train 2024",IF(tblWorkPackages[[#This Row],[Request date serial]]&lt;HoldoutStart,"Validation H1","Holdout H2"))</f>
        <v>Validation H1</v>
      </c>
      <c r="T1199" s="51">
        <f>IF(tblWorkPackages[[#This Row],[Time split]]="Train 2024","",tblWorkPackages[[#This Row],[Estimated labor hours]]+VLOOKUP(tblWorkPackages[[#This Row],[Task type]],'Forecast validation'!$A$14:$E$25,IF(tblWorkPackages[[#This Row],[Time split]]="Validation H1",4,5),FALSE()))</f>
        <v>22.2547368421053</v>
      </c>
      <c r="U1199" s="51">
        <f>IF(tblWorkPackages[[#This Row],[Calibrated forecast hours]]="","",ABS(tblWorkPackages[[#This Row],[Actual labor hours]]-tblWorkPackages[[#This Row],[Calibrated forecast hours]]))</f>
        <v>0.154736842105262</v>
      </c>
      <c r="V1199" s="51">
        <f>IF(tblWorkPackages[[#This Row],[Time split]]="Train 2024",tblWorkPackages[[#This Row],[Estimated labor hours]],tblWorkPackages[[#This Row],[Calibrated forecast hours]])</f>
        <v>22.2547368421053</v>
      </c>
      <c r="W1199" s="64">
        <f>DATEVALUE(tblWorkPackages[[#This Row],[Request date]])</f>
        <v>45819.0</v>
      </c>
      <c r="X1199" s="64">
        <f>DATEVALUE(tblWorkPackages[[#This Row],[Due date]])</f>
        <v>45832.0</v>
      </c>
      <c r="Y1199" s="64">
        <f>DATEVALUE(tblWorkPackages[[#This Row],[Completion date]])</f>
        <v>45830.0</v>
      </c>
      <c r="Z1199" s="64">
        <f>_xlfn.MINIFS(tblLaborEntries[Work date serial],tblLaborEntries[Work package ID],tblWorkPackages[[#This Row],[Work package ID]])</f>
        <v>45828.0</v>
      </c>
      <c r="AA1199" s="64">
        <f>_xlfn.MAXIFS(tblLaborEntries[Work date serial],tblLaborEntries[Work package ID],tblWorkPackages[[#This Row],[Work package ID]])</f>
        <v>45829.0</v>
      </c>
      <c r="AB1199" s="65">
        <f>IF(tblWorkPackages[[#This Row],[Completion date serial]]&gt;tblWorkPackages[[#This Row],[Due date serial]],1,0)</f>
        <v>0</v>
      </c>
      <c r="AC1199" s="65">
        <f>MAX(0,tblWorkPackages[[#This Row],[Completion date serial]]-tblWorkPackages[[#This Row],[Due date serial]])</f>
        <v>0</v>
      </c>
      <c r="AD1199" s="65">
        <f>tblWorkPackages[[#This Row],[First labor date]]-tblWorkPackages[[#This Row],[Request date serial]]</f>
        <v>9</v>
      </c>
      <c r="AE1199" s="65">
        <f>tblWorkPackages[[#This Row],[Last labor date]]-tblWorkPackages[[#This Row],[First labor date]]</f>
        <v>1</v>
      </c>
      <c r="AF1199" s="65">
        <f>tblWorkPackages[[#This Row],[Completion date serial]]-tblWorkPackages[[#This Row],[Last labor date]]</f>
        <v>1</v>
      </c>
      <c r="AG1199" s="65">
        <f>tblWorkPackages[[#This Row],[Completion date serial]]-tblWorkPackages[[#This Row],[Request date serial]]</f>
        <v>11</v>
      </c>
      <c r="AH1199" s="65">
        <f>IFERROR(INDEX(tblParts[Delay days],MATCH(tblWorkPackages[[#This Row],[Work package ID]],tblParts[Work package ID],0)),0)</f>
        <v>5</v>
      </c>
      <c r="AI1199" s="51" t="str">
        <f>IFERROR(INDEX(tblDisruptions[Event type],MATCH(tblWorkPackages[[#This Row],[Work package ID]],tblDisruptions[Work package ID],0)),"None")</f>
        <v>Part delay</v>
      </c>
      <c r="AJ1199" s="51" t="str">
        <f>TEXT(tblWorkPackages[[#This Row],[Due date serial]],"yyyy-mm")</f>
        <v>2025-06</v>
      </c>
    </row>
    <row r="1200" spans="1:36" ht="15" x14ac:dyDescent="0.25">
      <c r="A1200" s="53" t="s">
        <v>2107</v>
      </c>
      <c r="B1200" s="53" t="s">
        <v>230</v>
      </c>
      <c r="C1200" s="53" t="s">
        <v>1480</v>
      </c>
      <c r="D1200" s="53" t="s">
        <v>861</v>
      </c>
      <c r="E1200" s="53" t="s">
        <v>237</v>
      </c>
      <c r="F1200" s="53" t="s">
        <v>182</v>
      </c>
      <c r="G1200" s="53" t="s">
        <v>138</v>
      </c>
      <c r="H1200" s="53">
        <v>1</v>
      </c>
      <c r="I1200" s="53" t="s">
        <v>130</v>
      </c>
      <c r="J1200" s="53">
        <v>0</v>
      </c>
      <c r="K1200" s="53">
        <v>0</v>
      </c>
      <c r="L1200" s="53">
        <v>4.0999999999999996</v>
      </c>
      <c r="M1200" s="53" t="s">
        <v>967</v>
      </c>
      <c r="N1200" s="53">
        <v>4.3</v>
      </c>
      <c r="O1200" s="51" t="str">
        <f>TEXT(tblWorkPackages[[#This Row],[Request date serial]]-WEEKDAY(tblWorkPackages[[#This Row],[Request date serial]],3),"yyyy-mm-dd")</f>
        <v>2025-04-07</v>
      </c>
      <c r="P1200" s="51">
        <f>ABS(tblWorkPackages[[#This Row],[Actual labor hours]]-tblWorkPackages[[#This Row],[Estimated labor hours]])</f>
        <v>0.2</v>
      </c>
      <c r="Q1200" s="51">
        <f>IF(tblWorkPackages[[#This Row],[Actual labor hours]]&gt;tblWorkPackages[[#This Row],[Estimated labor hours]],1,0)</f>
        <v>1</v>
      </c>
      <c r="R1200" s="51">
        <f>tblWorkPackages[[#This Row],[Actual labor hours]]-tblWorkPackages[[#This Row],[Estimated labor hours]]</f>
        <v>0.2</v>
      </c>
      <c r="S1200" s="51" t="str">
        <f>IF(tblWorkPackages[[#This Row],[Request date serial]]&lt;ValidationStart,"Train 2024",IF(tblWorkPackages[[#This Row],[Request date serial]]&lt;HoldoutStart,"Validation H1","Holdout H2"))</f>
        <v>Validation H1</v>
      </c>
      <c r="T1200" s="51">
        <f>IF(tblWorkPackages[[#This Row],[Time split]]="Train 2024","",tblWorkPackages[[#This Row],[Estimated labor hours]]+VLOOKUP(tblWorkPackages[[#This Row],[Task type]],'Forecast validation'!$A$14:$E$25,IF(tblWorkPackages[[#This Row],[Time split]]="Validation H1",4,5),FALSE()))</f>
        <v>4.6037037037037</v>
      </c>
      <c r="U1200" s="51">
        <f>IF(tblWorkPackages[[#This Row],[Calibrated forecast hours]]="","",ABS(tblWorkPackages[[#This Row],[Actual labor hours]]-tblWorkPackages[[#This Row],[Calibrated forecast hours]]))</f>
        <v>0.303703703703704</v>
      </c>
      <c r="V1200" s="51">
        <f>IF(tblWorkPackages[[#This Row],[Time split]]="Train 2024",tblWorkPackages[[#This Row],[Estimated labor hours]],tblWorkPackages[[#This Row],[Calibrated forecast hours]])</f>
        <v>4.6037037037037</v>
      </c>
      <c r="W1200" s="64">
        <f>DATEVALUE(tblWorkPackages[[#This Row],[Request date]])</f>
        <v>45754.0</v>
      </c>
      <c r="X1200" s="64">
        <f>DATEVALUE(tblWorkPackages[[#This Row],[Due date]])</f>
        <v>45767.0</v>
      </c>
      <c r="Y1200" s="64">
        <f>DATEVALUE(tblWorkPackages[[#This Row],[Completion date]])</f>
        <v>45758.0</v>
      </c>
      <c r="Z1200" s="64">
        <f>_xlfn.MINIFS(tblLaborEntries[Work date serial],tblLaborEntries[Work package ID],tblWorkPackages[[#This Row],[Work package ID]])</f>
        <v>45755.0</v>
      </c>
      <c r="AA1200" s="64">
        <f>_xlfn.MAXIFS(tblLaborEntries[Work date serial],tblLaborEntries[Work package ID],tblWorkPackages[[#This Row],[Work package ID]])</f>
        <v>45756.0</v>
      </c>
      <c r="AB1200" s="65">
        <f>IF(tblWorkPackages[[#This Row],[Completion date serial]]&gt;tblWorkPackages[[#This Row],[Due date serial]],1,0)</f>
        <v>0</v>
      </c>
      <c r="AC1200" s="65">
        <f>MAX(0,tblWorkPackages[[#This Row],[Completion date serial]]-tblWorkPackages[[#This Row],[Due date serial]])</f>
        <v>0</v>
      </c>
      <c r="AD1200" s="65">
        <f>tblWorkPackages[[#This Row],[First labor date]]-tblWorkPackages[[#This Row],[Request date serial]]</f>
        <v>1</v>
      </c>
      <c r="AE1200" s="65">
        <f>tblWorkPackages[[#This Row],[Last labor date]]-tblWorkPackages[[#This Row],[First labor date]]</f>
        <v>1</v>
      </c>
      <c r="AF1200" s="65">
        <f>tblWorkPackages[[#This Row],[Completion date serial]]-tblWorkPackages[[#This Row],[Last labor date]]</f>
        <v>2</v>
      </c>
      <c r="AG1200" s="65">
        <f>tblWorkPackages[[#This Row],[Completion date serial]]-tblWorkPackages[[#This Row],[Request date serial]]</f>
        <v>4</v>
      </c>
      <c r="AH1200" s="65">
        <f>IFERROR(INDEX(tblParts[Delay days],MATCH(tblWorkPackages[[#This Row],[Work package ID]],tblParts[Work package ID],0)),0)</f>
        <v>0</v>
      </c>
      <c r="AI1200" s="51" t="str">
        <f>IFERROR(INDEX(tblDisruptions[Event type],MATCH(tblWorkPackages[[#This Row],[Work package ID]],tblDisruptions[Work package ID],0)),"None")</f>
        <v>None</v>
      </c>
      <c r="AJ1200" s="51" t="str">
        <f>TEXT(tblWorkPackages[[#This Row],[Due date serial]],"yyyy-mm")</f>
        <v>2025-04</v>
      </c>
    </row>
    <row r="1201" spans="1:36" ht="15" x14ac:dyDescent="0.25">
      <c r="A1201" s="53" t="s">
        <v>2108</v>
      </c>
      <c r="B1201" s="53" t="s">
        <v>287</v>
      </c>
      <c r="C1201" s="53" t="s">
        <v>390</v>
      </c>
      <c r="D1201" s="53" t="s">
        <v>1204</v>
      </c>
      <c r="E1201" s="53" t="s">
        <v>181</v>
      </c>
      <c r="F1201" s="53" t="s">
        <v>182</v>
      </c>
      <c r="G1201" s="53" t="s">
        <v>138</v>
      </c>
      <c r="H1201" s="53">
        <v>1</v>
      </c>
      <c r="I1201" s="53" t="s">
        <v>176</v>
      </c>
      <c r="J1201" s="53">
        <v>1</v>
      </c>
      <c r="K1201" s="53">
        <v>0</v>
      </c>
      <c r="L1201" s="53">
        <v>5.0999999999999996</v>
      </c>
      <c r="M1201" s="53" t="s">
        <v>553</v>
      </c>
      <c r="N1201" s="53">
        <v>7.7</v>
      </c>
      <c r="O1201" s="51" t="str">
        <f>TEXT(tblWorkPackages[[#This Row],[Request date serial]]-WEEKDAY(tblWorkPackages[[#This Row],[Request date serial]],3),"yyyy-mm-dd")</f>
        <v>2024-07-22</v>
      </c>
      <c r="P1201" s="51">
        <f>ABS(tblWorkPackages[[#This Row],[Actual labor hours]]-tblWorkPackages[[#This Row],[Estimated labor hours]])</f>
        <v>2.6</v>
      </c>
      <c r="Q1201" s="51">
        <f>IF(tblWorkPackages[[#This Row],[Actual labor hours]]&gt;tblWorkPackages[[#This Row],[Estimated labor hours]],1,0)</f>
        <v>1</v>
      </c>
      <c r="R1201" s="51">
        <f>tblWorkPackages[[#This Row],[Actual labor hours]]-tblWorkPackages[[#This Row],[Estimated labor hours]]</f>
        <v>2.6</v>
      </c>
      <c r="S1201" s="51" t="str">
        <f>IF(tblWorkPackages[[#This Row],[Request date serial]]&lt;ValidationStart,"Train 2024",IF(tblWorkPackages[[#This Row],[Request date serial]]&lt;HoldoutStart,"Validation H1","Holdout H2"))</f>
        <v>Train 2024</v>
      </c>
      <c r="T1201" s="51" t="str">
        <f>IF(tblWorkPackages[[#This Row],[Time split]]="Train 2024","",tblWorkPackages[[#This Row],[Estimated labor hours]]+VLOOKUP(tblWorkPackages[[#This Row],[Task type]],'Forecast validation'!$A$14:$E$25,IF(tblWorkPackages[[#This Row],[Time split]]="Validation H1",4,5),FALSE()))</f>
        <v/>
      </c>
      <c r="U1201" s="51" t="str">
        <f>IF(tblWorkPackages[[#This Row],[Calibrated forecast hours]]="","",ABS(tblWorkPackages[[#This Row],[Actual labor hours]]-tblWorkPackages[[#This Row],[Calibrated forecast hours]]))</f>
        <v/>
      </c>
      <c r="V1201" s="51">
        <f>IF(tblWorkPackages[[#This Row],[Time split]]="Train 2024",tblWorkPackages[[#This Row],[Estimated labor hours]],tblWorkPackages[[#This Row],[Calibrated forecast hours]])</f>
        <v>5.1</v>
      </c>
      <c r="W1201" s="64">
        <f>DATEVALUE(tblWorkPackages[[#This Row],[Request date]])</f>
        <v>45497.0</v>
      </c>
      <c r="X1201" s="64">
        <f>DATEVALUE(tblWorkPackages[[#This Row],[Due date]])</f>
        <v>45503.0</v>
      </c>
      <c r="Y1201" s="64">
        <f>DATEVALUE(tblWorkPackages[[#This Row],[Completion date]])</f>
        <v>45511.0</v>
      </c>
      <c r="Z1201" s="64">
        <f>_xlfn.MINIFS(tblLaborEntries[Work date serial],tblLaborEntries[Work package ID],tblWorkPackages[[#This Row],[Work package ID]])</f>
        <v>45507.0</v>
      </c>
      <c r="AA1201" s="64">
        <f>_xlfn.MAXIFS(tblLaborEntries[Work date serial],tblLaborEntries[Work package ID],tblWorkPackages[[#This Row],[Work package ID]])</f>
        <v>45508.0</v>
      </c>
      <c r="AB1201" s="65">
        <f>IF(tblWorkPackages[[#This Row],[Completion date serial]]&gt;tblWorkPackages[[#This Row],[Due date serial]],1,0)</f>
        <v>1</v>
      </c>
      <c r="AC1201" s="65">
        <f>MAX(0,tblWorkPackages[[#This Row],[Completion date serial]]-tblWorkPackages[[#This Row],[Due date serial]])</f>
        <v>8</v>
      </c>
      <c r="AD1201" s="65">
        <f>tblWorkPackages[[#This Row],[First labor date]]-tblWorkPackages[[#This Row],[Request date serial]]</f>
        <v>10</v>
      </c>
      <c r="AE1201" s="65">
        <f>tblWorkPackages[[#This Row],[Last labor date]]-tblWorkPackages[[#This Row],[First labor date]]</f>
        <v>1</v>
      </c>
      <c r="AF1201" s="65">
        <f>tblWorkPackages[[#This Row],[Completion date serial]]-tblWorkPackages[[#This Row],[Last labor date]]</f>
        <v>3</v>
      </c>
      <c r="AG1201" s="65">
        <f>tblWorkPackages[[#This Row],[Completion date serial]]-tblWorkPackages[[#This Row],[Request date serial]]</f>
        <v>14</v>
      </c>
      <c r="AH1201" s="65">
        <f>IFERROR(INDEX(tblParts[Delay days],MATCH(tblWorkPackages[[#This Row],[Work package ID]],tblParts[Work package ID],0)),0)</f>
        <v>0</v>
      </c>
      <c r="AI1201" s="51" t="str">
        <f>IFERROR(INDEX(tblDisruptions[Event type],MATCH(tblWorkPackages[[#This Row],[Work package ID]],tblDisruptions[Work package ID],0)),"None")</f>
        <v>None</v>
      </c>
      <c r="AJ1201" s="51" t="str">
        <f>TEXT(tblWorkPackages[[#This Row],[Due date serial]],"yyyy-mm")</f>
        <v>2024-07</v>
      </c>
    </row>
    <row r="1202" spans="1:36" ht="15" x14ac:dyDescent="0.25">
      <c r="A1202" s="53" t="s">
        <v>2109</v>
      </c>
      <c r="B1202" s="53" t="s">
        <v>163</v>
      </c>
      <c r="C1202" s="53" t="s">
        <v>757</v>
      </c>
      <c r="D1202" s="53" t="s">
        <v>1404</v>
      </c>
      <c r="E1202" s="53" t="s">
        <v>160</v>
      </c>
      <c r="F1202" s="53" t="s">
        <v>128</v>
      </c>
      <c r="G1202" s="53" t="s">
        <v>138</v>
      </c>
      <c r="H1202" s="53">
        <v>1</v>
      </c>
      <c r="I1202" s="53" t="s">
        <v>147</v>
      </c>
      <c r="J1202" s="53">
        <v>0</v>
      </c>
      <c r="K1202" s="53">
        <v>0</v>
      </c>
      <c r="L1202" s="53">
        <v>2.6</v>
      </c>
      <c r="M1202" s="53" t="s">
        <v>800</v>
      </c>
      <c r="N1202" s="53">
        <v>2.8</v>
      </c>
      <c r="O1202" s="51" t="str">
        <f>TEXT(tblWorkPackages[[#This Row],[Request date serial]]-WEEKDAY(tblWorkPackages[[#This Row],[Request date serial]],3),"yyyy-mm-dd")</f>
        <v>2024-09-16</v>
      </c>
      <c r="P1202" s="51">
        <f>ABS(tblWorkPackages[[#This Row],[Actual labor hours]]-tblWorkPackages[[#This Row],[Estimated labor hours]])</f>
        <v>0.2</v>
      </c>
      <c r="Q1202" s="51">
        <f>IF(tblWorkPackages[[#This Row],[Actual labor hours]]&gt;tblWorkPackages[[#This Row],[Estimated labor hours]],1,0)</f>
        <v>1</v>
      </c>
      <c r="R1202" s="51">
        <f>tblWorkPackages[[#This Row],[Actual labor hours]]-tblWorkPackages[[#This Row],[Estimated labor hours]]</f>
        <v>0.2</v>
      </c>
      <c r="S1202" s="51" t="str">
        <f>IF(tblWorkPackages[[#This Row],[Request date serial]]&lt;ValidationStart,"Train 2024",IF(tblWorkPackages[[#This Row],[Request date serial]]&lt;HoldoutStart,"Validation H1","Holdout H2"))</f>
        <v>Train 2024</v>
      </c>
      <c r="T1202" s="51" t="str">
        <f>IF(tblWorkPackages[[#This Row],[Time split]]="Train 2024","",tblWorkPackages[[#This Row],[Estimated labor hours]]+VLOOKUP(tblWorkPackages[[#This Row],[Task type]],'Forecast validation'!$A$14:$E$25,IF(tblWorkPackages[[#This Row],[Time split]]="Validation H1",4,5),FALSE()))</f>
        <v/>
      </c>
      <c r="U1202" s="51" t="str">
        <f>IF(tblWorkPackages[[#This Row],[Calibrated forecast hours]]="","",ABS(tblWorkPackages[[#This Row],[Actual labor hours]]-tblWorkPackages[[#This Row],[Calibrated forecast hours]]))</f>
        <v/>
      </c>
      <c r="V1202" s="51">
        <f>IF(tblWorkPackages[[#This Row],[Time split]]="Train 2024",tblWorkPackages[[#This Row],[Estimated labor hours]],tblWorkPackages[[#This Row],[Calibrated forecast hours]])</f>
        <v>2.6</v>
      </c>
      <c r="W1202" s="64">
        <f>DATEVALUE(tblWorkPackages[[#This Row],[Request date]])</f>
        <v>45557.0</v>
      </c>
      <c r="X1202" s="64">
        <f>DATEVALUE(tblWorkPackages[[#This Row],[Due date]])</f>
        <v>45559.0</v>
      </c>
      <c r="Y1202" s="64">
        <f>DATEVALUE(tblWorkPackages[[#This Row],[Completion date]])</f>
        <v>45562.0</v>
      </c>
      <c r="Z1202" s="64">
        <f>_xlfn.MINIFS(tblLaborEntries[Work date serial],tblLaborEntries[Work package ID],tblWorkPackages[[#This Row],[Work package ID]])</f>
        <v>45560.0</v>
      </c>
      <c r="AA1202" s="64">
        <f>_xlfn.MAXIFS(tblLaborEntries[Work date serial],tblLaborEntries[Work package ID],tblWorkPackages[[#This Row],[Work package ID]])</f>
        <v>45562.0</v>
      </c>
      <c r="AB1202" s="65">
        <f>IF(tblWorkPackages[[#This Row],[Completion date serial]]&gt;tblWorkPackages[[#This Row],[Due date serial]],1,0)</f>
        <v>1</v>
      </c>
      <c r="AC1202" s="65">
        <f>MAX(0,tblWorkPackages[[#This Row],[Completion date serial]]-tblWorkPackages[[#This Row],[Due date serial]])</f>
        <v>3</v>
      </c>
      <c r="AD1202" s="65">
        <f>tblWorkPackages[[#This Row],[First labor date]]-tblWorkPackages[[#This Row],[Request date serial]]</f>
        <v>3</v>
      </c>
      <c r="AE1202" s="65">
        <f>tblWorkPackages[[#This Row],[Last labor date]]-tblWorkPackages[[#This Row],[First labor date]]</f>
        <v>2</v>
      </c>
      <c r="AF1202" s="65">
        <f>tblWorkPackages[[#This Row],[Completion date serial]]-tblWorkPackages[[#This Row],[Last labor date]]</f>
        <v>0</v>
      </c>
      <c r="AG1202" s="65">
        <f>tblWorkPackages[[#This Row],[Completion date serial]]-tblWorkPackages[[#This Row],[Request date serial]]</f>
        <v>5</v>
      </c>
      <c r="AH1202" s="65">
        <f>IFERROR(INDEX(tblParts[Delay days],MATCH(tblWorkPackages[[#This Row],[Work package ID]],tblParts[Work package ID],0)),0)</f>
        <v>0</v>
      </c>
      <c r="AI1202" s="51" t="str">
        <f>IFERROR(INDEX(tblDisruptions[Event type],MATCH(tblWorkPackages[[#This Row],[Work package ID]],tblDisruptions[Work package ID],0)),"None")</f>
        <v>None</v>
      </c>
      <c r="AJ1202" s="51" t="str">
        <f>TEXT(tblWorkPackages[[#This Row],[Due date serial]],"yyyy-mm")</f>
        <v>2024-09</v>
      </c>
    </row>
    <row r="1203" spans="1:36" ht="15" x14ac:dyDescent="0.25">
      <c r="A1203" s="53" t="s">
        <v>2110</v>
      </c>
      <c r="B1203" s="53" t="s">
        <v>141</v>
      </c>
      <c r="C1203" s="53" t="s">
        <v>419</v>
      </c>
      <c r="D1203" s="53" t="s">
        <v>304</v>
      </c>
      <c r="E1203" s="53" t="s">
        <v>160</v>
      </c>
      <c r="F1203" s="53" t="s">
        <v>128</v>
      </c>
      <c r="G1203" s="53" t="s">
        <v>138</v>
      </c>
      <c r="H1203" s="53">
        <v>1</v>
      </c>
      <c r="I1203" s="53" t="s">
        <v>130</v>
      </c>
      <c r="J1203" s="53">
        <v>0</v>
      </c>
      <c r="K1203" s="53">
        <v>0</v>
      </c>
      <c r="L1203" s="53">
        <v>3.2</v>
      </c>
      <c r="M1203" s="53" t="s">
        <v>451</v>
      </c>
      <c r="N1203" s="53">
        <v>4</v>
      </c>
      <c r="O1203" s="51" t="str">
        <f>TEXT(tblWorkPackages[[#This Row],[Request date serial]]-WEEKDAY(tblWorkPackages[[#This Row],[Request date serial]],3),"yyyy-mm-dd")</f>
        <v>2024-06-10</v>
      </c>
      <c r="P1203" s="51">
        <f>ABS(tblWorkPackages[[#This Row],[Actual labor hours]]-tblWorkPackages[[#This Row],[Estimated labor hours]])</f>
        <v>0.8</v>
      </c>
      <c r="Q1203" s="51">
        <f>IF(tblWorkPackages[[#This Row],[Actual labor hours]]&gt;tblWorkPackages[[#This Row],[Estimated labor hours]],1,0)</f>
        <v>1</v>
      </c>
      <c r="R1203" s="51">
        <f>tblWorkPackages[[#This Row],[Actual labor hours]]-tblWorkPackages[[#This Row],[Estimated labor hours]]</f>
        <v>0.8</v>
      </c>
      <c r="S1203" s="51" t="str">
        <f>IF(tblWorkPackages[[#This Row],[Request date serial]]&lt;ValidationStart,"Train 2024",IF(tblWorkPackages[[#This Row],[Request date serial]]&lt;HoldoutStart,"Validation H1","Holdout H2"))</f>
        <v>Train 2024</v>
      </c>
      <c r="T1203" s="51" t="str">
        <f>IF(tblWorkPackages[[#This Row],[Time split]]="Train 2024","",tblWorkPackages[[#This Row],[Estimated labor hours]]+VLOOKUP(tblWorkPackages[[#This Row],[Task type]],'Forecast validation'!$A$14:$E$25,IF(tblWorkPackages[[#This Row],[Time split]]="Validation H1",4,5),FALSE()))</f>
        <v/>
      </c>
      <c r="U1203" s="51" t="str">
        <f>IF(tblWorkPackages[[#This Row],[Calibrated forecast hours]]="","",ABS(tblWorkPackages[[#This Row],[Actual labor hours]]-tblWorkPackages[[#This Row],[Calibrated forecast hours]]))</f>
        <v/>
      </c>
      <c r="V1203" s="51">
        <f>IF(tblWorkPackages[[#This Row],[Time split]]="Train 2024",tblWorkPackages[[#This Row],[Estimated labor hours]],tblWorkPackages[[#This Row],[Calibrated forecast hours]])</f>
        <v>3.2</v>
      </c>
      <c r="W1203" s="64">
        <f>DATEVALUE(tblWorkPackages[[#This Row],[Request date]])</f>
        <v>45457.0</v>
      </c>
      <c r="X1203" s="64">
        <f>DATEVALUE(tblWorkPackages[[#This Row],[Due date]])</f>
        <v>45470.0</v>
      </c>
      <c r="Y1203" s="64">
        <f>DATEVALUE(tblWorkPackages[[#This Row],[Completion date]])</f>
        <v>45484.0</v>
      </c>
      <c r="Z1203" s="64">
        <f>_xlfn.MINIFS(tblLaborEntries[Work date serial],tblLaborEntries[Work package ID],tblWorkPackages[[#This Row],[Work package ID]])</f>
        <v>45483.0</v>
      </c>
      <c r="AA1203" s="64">
        <f>_xlfn.MAXIFS(tblLaborEntries[Work date serial],tblLaborEntries[Work package ID],tblWorkPackages[[#This Row],[Work package ID]])</f>
        <v>45483.0</v>
      </c>
      <c r="AB1203" s="65">
        <f>IF(tblWorkPackages[[#This Row],[Completion date serial]]&gt;tblWorkPackages[[#This Row],[Due date serial]],1,0)</f>
        <v>1</v>
      </c>
      <c r="AC1203" s="65">
        <f>MAX(0,tblWorkPackages[[#This Row],[Completion date serial]]-tblWorkPackages[[#This Row],[Due date serial]])</f>
        <v>14</v>
      </c>
      <c r="AD1203" s="65">
        <f>tblWorkPackages[[#This Row],[First labor date]]-tblWorkPackages[[#This Row],[Request date serial]]</f>
        <v>26</v>
      </c>
      <c r="AE1203" s="65">
        <f>tblWorkPackages[[#This Row],[Last labor date]]-tblWorkPackages[[#This Row],[First labor date]]</f>
        <v>0</v>
      </c>
      <c r="AF1203" s="65">
        <f>tblWorkPackages[[#This Row],[Completion date serial]]-tblWorkPackages[[#This Row],[Last labor date]]</f>
        <v>1</v>
      </c>
      <c r="AG1203" s="65">
        <f>tblWorkPackages[[#This Row],[Completion date serial]]-tblWorkPackages[[#This Row],[Request date serial]]</f>
        <v>27</v>
      </c>
      <c r="AH1203" s="65">
        <f>IFERROR(INDEX(tblParts[Delay days],MATCH(tblWorkPackages[[#This Row],[Work package ID]],tblParts[Work package ID],0)),0)</f>
        <v>0</v>
      </c>
      <c r="AI1203" s="51" t="str">
        <f>IFERROR(INDEX(tblDisruptions[Event type],MATCH(tblWorkPackages[[#This Row],[Work package ID]],tblDisruptions[Work package ID],0)),"None")</f>
        <v>None</v>
      </c>
      <c r="AJ1203" s="51" t="str">
        <f>TEXT(tblWorkPackages[[#This Row],[Due date serial]],"yyyy-mm")</f>
        <v>2024-06</v>
      </c>
    </row>
    <row r="1204" spans="1:36" ht="15" x14ac:dyDescent="0.25">
      <c r="A1204" s="53" t="s">
        <v>2111</v>
      </c>
      <c r="B1204" s="53" t="s">
        <v>150</v>
      </c>
      <c r="C1204" s="53" t="s">
        <v>575</v>
      </c>
      <c r="D1204" s="53" t="s">
        <v>576</v>
      </c>
      <c r="E1204" s="53" t="s">
        <v>136</v>
      </c>
      <c r="F1204" s="53" t="s">
        <v>137</v>
      </c>
      <c r="G1204" s="53" t="s">
        <v>138</v>
      </c>
      <c r="H1204" s="53">
        <v>2</v>
      </c>
      <c r="I1204" s="53" t="s">
        <v>130</v>
      </c>
      <c r="J1204" s="53">
        <v>0</v>
      </c>
      <c r="K1204" s="53">
        <v>1</v>
      </c>
      <c r="L1204" s="53">
        <v>16</v>
      </c>
      <c r="M1204" s="53" t="s">
        <v>853</v>
      </c>
      <c r="N1204" s="53">
        <v>14.2</v>
      </c>
      <c r="O1204" s="51" t="str">
        <f>TEXT(tblWorkPackages[[#This Row],[Request date serial]]-WEEKDAY(tblWorkPackages[[#This Row],[Request date serial]],3),"yyyy-mm-dd")</f>
        <v>2024-06-10</v>
      </c>
      <c r="P1204" s="51">
        <f>ABS(tblWorkPackages[[#This Row],[Actual labor hours]]-tblWorkPackages[[#This Row],[Estimated labor hours]])</f>
        <v>1.8</v>
      </c>
      <c r="Q1204" s="51">
        <f>IF(tblWorkPackages[[#This Row],[Actual labor hours]]&gt;tblWorkPackages[[#This Row],[Estimated labor hours]],1,0)</f>
        <v>0</v>
      </c>
      <c r="R1204" s="51">
        <f>tblWorkPackages[[#This Row],[Actual labor hours]]-tblWorkPackages[[#This Row],[Estimated labor hours]]</f>
        <v>-1.8</v>
      </c>
      <c r="S1204" s="51" t="str">
        <f>IF(tblWorkPackages[[#This Row],[Request date serial]]&lt;ValidationStart,"Train 2024",IF(tblWorkPackages[[#This Row],[Request date serial]]&lt;HoldoutStart,"Validation H1","Holdout H2"))</f>
        <v>Train 2024</v>
      </c>
      <c r="T1204" s="51" t="str">
        <f>IF(tblWorkPackages[[#This Row],[Time split]]="Train 2024","",tblWorkPackages[[#This Row],[Estimated labor hours]]+VLOOKUP(tblWorkPackages[[#This Row],[Task type]],'Forecast validation'!$A$14:$E$25,IF(tblWorkPackages[[#This Row],[Time split]]="Validation H1",4,5),FALSE()))</f>
        <v/>
      </c>
      <c r="U1204" s="51" t="str">
        <f>IF(tblWorkPackages[[#This Row],[Calibrated forecast hours]]="","",ABS(tblWorkPackages[[#This Row],[Actual labor hours]]-tblWorkPackages[[#This Row],[Calibrated forecast hours]]))</f>
        <v/>
      </c>
      <c r="V1204" s="51">
        <f>IF(tblWorkPackages[[#This Row],[Time split]]="Train 2024",tblWorkPackages[[#This Row],[Estimated labor hours]],tblWorkPackages[[#This Row],[Calibrated forecast hours]])</f>
        <v>16</v>
      </c>
      <c r="W1204" s="64">
        <f>DATEVALUE(tblWorkPackages[[#This Row],[Request date]])</f>
        <v>45458.0</v>
      </c>
      <c r="X1204" s="64">
        <f>DATEVALUE(tblWorkPackages[[#This Row],[Due date]])</f>
        <v>45471.0</v>
      </c>
      <c r="Y1204" s="64">
        <f>DATEVALUE(tblWorkPackages[[#This Row],[Completion date]])</f>
        <v>45466.0</v>
      </c>
      <c r="Z1204" s="64">
        <f>_xlfn.MINIFS(tblLaborEntries[Work date serial],tblLaborEntries[Work package ID],tblWorkPackages[[#This Row],[Work package ID]])</f>
        <v>45462.0</v>
      </c>
      <c r="AA1204" s="64">
        <f>_xlfn.MAXIFS(tblLaborEntries[Work date serial],tblLaborEntries[Work package ID],tblWorkPackages[[#This Row],[Work package ID]])</f>
        <v>45464.0</v>
      </c>
      <c r="AB1204" s="65">
        <f>IF(tblWorkPackages[[#This Row],[Completion date serial]]&gt;tblWorkPackages[[#This Row],[Due date serial]],1,0)</f>
        <v>0</v>
      </c>
      <c r="AC1204" s="65">
        <f>MAX(0,tblWorkPackages[[#This Row],[Completion date serial]]-tblWorkPackages[[#This Row],[Due date serial]])</f>
        <v>0</v>
      </c>
      <c r="AD1204" s="65">
        <f>tblWorkPackages[[#This Row],[First labor date]]-tblWorkPackages[[#This Row],[Request date serial]]</f>
        <v>4</v>
      </c>
      <c r="AE1204" s="65">
        <f>tblWorkPackages[[#This Row],[Last labor date]]-tblWorkPackages[[#This Row],[First labor date]]</f>
        <v>2</v>
      </c>
      <c r="AF1204" s="65">
        <f>tblWorkPackages[[#This Row],[Completion date serial]]-tblWorkPackages[[#This Row],[Last labor date]]</f>
        <v>2</v>
      </c>
      <c r="AG1204" s="65">
        <f>tblWorkPackages[[#This Row],[Completion date serial]]-tblWorkPackages[[#This Row],[Request date serial]]</f>
        <v>8</v>
      </c>
      <c r="AH1204" s="65">
        <f>IFERROR(INDEX(tblParts[Delay days],MATCH(tblWorkPackages[[#This Row],[Work package ID]],tblParts[Work package ID],0)),0)</f>
        <v>0</v>
      </c>
      <c r="AI1204" s="51" t="str">
        <f>IFERROR(INDEX(tblDisruptions[Event type],MATCH(tblWorkPackages[[#This Row],[Work package ID]],tblDisruptions[Work package ID],0)),"None")</f>
        <v>None</v>
      </c>
      <c r="AJ1204" s="51" t="str">
        <f>TEXT(tblWorkPackages[[#This Row],[Due date serial]],"yyyy-mm")</f>
        <v>2024-06</v>
      </c>
    </row>
    <row r="1205" spans="1:36" ht="15" x14ac:dyDescent="0.25">
      <c r="A1205" s="53" t="s">
        <v>2112</v>
      </c>
      <c r="B1205" s="53" t="s">
        <v>163</v>
      </c>
      <c r="C1205" s="53" t="s">
        <v>1238</v>
      </c>
      <c r="D1205" s="53" t="s">
        <v>1314</v>
      </c>
      <c r="E1205" s="53" t="s">
        <v>209</v>
      </c>
      <c r="F1205" s="53" t="s">
        <v>145</v>
      </c>
      <c r="G1205" s="53" t="s">
        <v>210</v>
      </c>
      <c r="H1205" s="53">
        <v>4</v>
      </c>
      <c r="I1205" s="53" t="s">
        <v>176</v>
      </c>
      <c r="J1205" s="53">
        <v>0</v>
      </c>
      <c r="K1205" s="53">
        <v>0</v>
      </c>
      <c r="L1205" s="53">
        <v>36.9</v>
      </c>
      <c r="M1205" s="53" t="s">
        <v>1314</v>
      </c>
      <c r="N1205" s="53">
        <v>40.299999999999997</v>
      </c>
      <c r="O1205" s="51" t="str">
        <f>TEXT(tblWorkPackages[[#This Row],[Request date serial]]-WEEKDAY(tblWorkPackages[[#This Row],[Request date serial]],3),"yyyy-mm-dd")</f>
        <v>2024-01-08</v>
      </c>
      <c r="P1205" s="51">
        <f>ABS(tblWorkPackages[[#This Row],[Actual labor hours]]-tblWorkPackages[[#This Row],[Estimated labor hours]])</f>
        <v>3.4</v>
      </c>
      <c r="Q1205" s="51">
        <f>IF(tblWorkPackages[[#This Row],[Actual labor hours]]&gt;tblWorkPackages[[#This Row],[Estimated labor hours]],1,0)</f>
        <v>1</v>
      </c>
      <c r="R1205" s="51">
        <f>tblWorkPackages[[#This Row],[Actual labor hours]]-tblWorkPackages[[#This Row],[Estimated labor hours]]</f>
        <v>3.4</v>
      </c>
      <c r="S1205" s="51" t="str">
        <f>IF(tblWorkPackages[[#This Row],[Request date serial]]&lt;ValidationStart,"Train 2024",IF(tblWorkPackages[[#This Row],[Request date serial]]&lt;HoldoutStart,"Validation H1","Holdout H2"))</f>
        <v>Train 2024</v>
      </c>
      <c r="T1205" s="51" t="str">
        <f>IF(tblWorkPackages[[#This Row],[Time split]]="Train 2024","",tblWorkPackages[[#This Row],[Estimated labor hours]]+VLOOKUP(tblWorkPackages[[#This Row],[Task type]],'Forecast validation'!$A$14:$E$25,IF(tblWorkPackages[[#This Row],[Time split]]="Validation H1",4,5),FALSE()))</f>
        <v/>
      </c>
      <c r="U1205" s="51" t="str">
        <f>IF(tblWorkPackages[[#This Row],[Calibrated forecast hours]]="","",ABS(tblWorkPackages[[#This Row],[Actual labor hours]]-tblWorkPackages[[#This Row],[Calibrated forecast hours]]))</f>
        <v/>
      </c>
      <c r="V1205" s="51">
        <f>IF(tblWorkPackages[[#This Row],[Time split]]="Train 2024",tblWorkPackages[[#This Row],[Estimated labor hours]],tblWorkPackages[[#This Row],[Calibrated forecast hours]])</f>
        <v>36.9</v>
      </c>
      <c r="W1205" s="64">
        <f>DATEVALUE(tblWorkPackages[[#This Row],[Request date]])</f>
        <v>45303.0</v>
      </c>
      <c r="X1205" s="64">
        <f>DATEVALUE(tblWorkPackages[[#This Row],[Due date]])</f>
        <v>45309.0</v>
      </c>
      <c r="Y1205" s="64">
        <f>DATEVALUE(tblWorkPackages[[#This Row],[Completion date]])</f>
        <v>45309.0</v>
      </c>
      <c r="Z1205" s="64">
        <f>_xlfn.MINIFS(tblLaborEntries[Work date serial],tblLaborEntries[Work package ID],tblWorkPackages[[#This Row],[Work package ID]])</f>
        <v>45304.0</v>
      </c>
      <c r="AA1205" s="64">
        <f>_xlfn.MAXIFS(tblLaborEntries[Work date serial],tblLaborEntries[Work package ID],tblWorkPackages[[#This Row],[Work package ID]])</f>
        <v>45306.0</v>
      </c>
      <c r="AB1205" s="65">
        <f>IF(tblWorkPackages[[#This Row],[Completion date serial]]&gt;tblWorkPackages[[#This Row],[Due date serial]],1,0)</f>
        <v>0</v>
      </c>
      <c r="AC1205" s="65">
        <f>MAX(0,tblWorkPackages[[#This Row],[Completion date serial]]-tblWorkPackages[[#This Row],[Due date serial]])</f>
        <v>0</v>
      </c>
      <c r="AD1205" s="65">
        <f>tblWorkPackages[[#This Row],[First labor date]]-tblWorkPackages[[#This Row],[Request date serial]]</f>
        <v>1</v>
      </c>
      <c r="AE1205" s="65">
        <f>tblWorkPackages[[#This Row],[Last labor date]]-tblWorkPackages[[#This Row],[First labor date]]</f>
        <v>2</v>
      </c>
      <c r="AF1205" s="65">
        <f>tblWorkPackages[[#This Row],[Completion date serial]]-tblWorkPackages[[#This Row],[Last labor date]]</f>
        <v>3</v>
      </c>
      <c r="AG1205" s="65">
        <f>tblWorkPackages[[#This Row],[Completion date serial]]-tblWorkPackages[[#This Row],[Request date serial]]</f>
        <v>6</v>
      </c>
      <c r="AH1205" s="65">
        <f>IFERROR(INDEX(tblParts[Delay days],MATCH(tblWorkPackages[[#This Row],[Work package ID]],tblParts[Work package ID],0)),0)</f>
        <v>0</v>
      </c>
      <c r="AI1205" s="51" t="str">
        <f>IFERROR(INDEX(tblDisruptions[Event type],MATCH(tblWorkPackages[[#This Row],[Work package ID]],tblDisruptions[Work package ID],0)),"None")</f>
        <v>None</v>
      </c>
      <c r="AJ1205" s="51" t="str">
        <f>TEXT(tblWorkPackages[[#This Row],[Due date serial]],"yyyy-mm")</f>
        <v>2024-01</v>
      </c>
    </row>
    <row r="1206" spans="1:36" ht="15" x14ac:dyDescent="0.25">
      <c r="A1206" s="53" t="s">
        <v>2113</v>
      </c>
      <c r="B1206" s="53" t="s">
        <v>133</v>
      </c>
      <c r="C1206" s="53" t="s">
        <v>419</v>
      </c>
      <c r="D1206" s="53" t="s">
        <v>1092</v>
      </c>
      <c r="E1206" s="53" t="s">
        <v>242</v>
      </c>
      <c r="F1206" s="53" t="s">
        <v>243</v>
      </c>
      <c r="G1206" s="53" t="s">
        <v>129</v>
      </c>
      <c r="H1206" s="53">
        <v>4</v>
      </c>
      <c r="I1206" s="53" t="s">
        <v>147</v>
      </c>
      <c r="J1206" s="53">
        <v>0</v>
      </c>
      <c r="K1206" s="53">
        <v>0</v>
      </c>
      <c r="L1206" s="53">
        <v>16</v>
      </c>
      <c r="M1206" s="53" t="s">
        <v>576</v>
      </c>
      <c r="N1206" s="53">
        <v>18.7</v>
      </c>
      <c r="O1206" s="51" t="str">
        <f>TEXT(tblWorkPackages[[#This Row],[Request date serial]]-WEEKDAY(tblWorkPackages[[#This Row],[Request date serial]],3),"yyyy-mm-dd")</f>
        <v>2024-06-10</v>
      </c>
      <c r="P1206" s="51">
        <f>ABS(tblWorkPackages[[#This Row],[Actual labor hours]]-tblWorkPackages[[#This Row],[Estimated labor hours]])</f>
        <v>2.7</v>
      </c>
      <c r="Q1206" s="51">
        <f>IF(tblWorkPackages[[#This Row],[Actual labor hours]]&gt;tblWorkPackages[[#This Row],[Estimated labor hours]],1,0)</f>
        <v>1</v>
      </c>
      <c r="R1206" s="51">
        <f>tblWorkPackages[[#This Row],[Actual labor hours]]-tblWorkPackages[[#This Row],[Estimated labor hours]]</f>
        <v>2.7</v>
      </c>
      <c r="S1206" s="51" t="str">
        <f>IF(tblWorkPackages[[#This Row],[Request date serial]]&lt;ValidationStart,"Train 2024",IF(tblWorkPackages[[#This Row],[Request date serial]]&lt;HoldoutStart,"Validation H1","Holdout H2"))</f>
        <v>Train 2024</v>
      </c>
      <c r="T1206" s="51" t="str">
        <f>IF(tblWorkPackages[[#This Row],[Time split]]="Train 2024","",tblWorkPackages[[#This Row],[Estimated labor hours]]+VLOOKUP(tblWorkPackages[[#This Row],[Task type]],'Forecast validation'!$A$14:$E$25,IF(tblWorkPackages[[#This Row],[Time split]]="Validation H1",4,5),FALSE()))</f>
        <v/>
      </c>
      <c r="U1206" s="51" t="str">
        <f>IF(tblWorkPackages[[#This Row],[Calibrated forecast hours]]="","",ABS(tblWorkPackages[[#This Row],[Actual labor hours]]-tblWorkPackages[[#This Row],[Calibrated forecast hours]]))</f>
        <v/>
      </c>
      <c r="V1206" s="51">
        <f>IF(tblWorkPackages[[#This Row],[Time split]]="Train 2024",tblWorkPackages[[#This Row],[Estimated labor hours]],tblWorkPackages[[#This Row],[Calibrated forecast hours]])</f>
        <v>16</v>
      </c>
      <c r="W1206" s="64">
        <f>DATEVALUE(tblWorkPackages[[#This Row],[Request date]])</f>
        <v>45457.0</v>
      </c>
      <c r="X1206" s="64">
        <f>DATEVALUE(tblWorkPackages[[#This Row],[Due date]])</f>
        <v>45459.0</v>
      </c>
      <c r="Y1206" s="64">
        <f>DATEVALUE(tblWorkPackages[[#This Row],[Completion date]])</f>
        <v>45471.0</v>
      </c>
      <c r="Z1206" s="64">
        <f>_xlfn.MINIFS(tblLaborEntries[Work date serial],tblLaborEntries[Work package ID],tblWorkPackages[[#This Row],[Work package ID]])</f>
        <v>45470.0</v>
      </c>
      <c r="AA1206" s="64">
        <f>_xlfn.MAXIFS(tblLaborEntries[Work date serial],tblLaborEntries[Work package ID],tblWorkPackages[[#This Row],[Work package ID]])</f>
        <v>45471.0</v>
      </c>
      <c r="AB1206" s="65">
        <f>IF(tblWorkPackages[[#This Row],[Completion date serial]]&gt;tblWorkPackages[[#This Row],[Due date serial]],1,0)</f>
        <v>1</v>
      </c>
      <c r="AC1206" s="65">
        <f>MAX(0,tblWorkPackages[[#This Row],[Completion date serial]]-tblWorkPackages[[#This Row],[Due date serial]])</f>
        <v>12</v>
      </c>
      <c r="AD1206" s="65">
        <f>tblWorkPackages[[#This Row],[First labor date]]-tblWorkPackages[[#This Row],[Request date serial]]</f>
        <v>13</v>
      </c>
      <c r="AE1206" s="65">
        <f>tblWorkPackages[[#This Row],[Last labor date]]-tblWorkPackages[[#This Row],[First labor date]]</f>
        <v>1</v>
      </c>
      <c r="AF1206" s="65">
        <f>tblWorkPackages[[#This Row],[Completion date serial]]-tblWorkPackages[[#This Row],[Last labor date]]</f>
        <v>0</v>
      </c>
      <c r="AG1206" s="65">
        <f>tblWorkPackages[[#This Row],[Completion date serial]]-tblWorkPackages[[#This Row],[Request date serial]]</f>
        <v>14</v>
      </c>
      <c r="AH1206" s="65">
        <f>IFERROR(INDEX(tblParts[Delay days],MATCH(tblWorkPackages[[#This Row],[Work package ID]],tblParts[Work package ID],0)),0)</f>
        <v>0</v>
      </c>
      <c r="AI1206" s="51" t="str">
        <f>IFERROR(INDEX(tblDisruptions[Event type],MATCH(tblWorkPackages[[#This Row],[Work package ID]],tblDisruptions[Work package ID],0)),"None")</f>
        <v>None</v>
      </c>
      <c r="AJ1206" s="51" t="str">
        <f>TEXT(tblWorkPackages[[#This Row],[Due date serial]],"yyyy-mm")</f>
        <v>2024-06</v>
      </c>
    </row>
    <row r="1207" spans="1:36" ht="15" x14ac:dyDescent="0.25">
      <c r="A1207" s="53" t="s">
        <v>2114</v>
      </c>
      <c r="B1207" s="53" t="s">
        <v>168</v>
      </c>
      <c r="C1207" s="53" t="s">
        <v>547</v>
      </c>
      <c r="D1207" s="53" t="s">
        <v>1314</v>
      </c>
      <c r="E1207" s="53" t="s">
        <v>223</v>
      </c>
      <c r="F1207" s="53" t="s">
        <v>182</v>
      </c>
      <c r="G1207" s="53" t="s">
        <v>154</v>
      </c>
      <c r="H1207" s="53">
        <v>3</v>
      </c>
      <c r="I1207" s="53" t="s">
        <v>130</v>
      </c>
      <c r="J1207" s="53">
        <v>0</v>
      </c>
      <c r="K1207" s="53">
        <v>0</v>
      </c>
      <c r="L1207" s="53">
        <v>17.2</v>
      </c>
      <c r="M1207" s="53" t="s">
        <v>1667</v>
      </c>
      <c r="N1207" s="53">
        <v>18.5</v>
      </c>
      <c r="O1207" s="51" t="str">
        <f>TEXT(tblWorkPackages[[#This Row],[Request date serial]]-WEEKDAY(tblWorkPackages[[#This Row],[Request date serial]],3),"yyyy-mm-dd")</f>
        <v>2024-01-01</v>
      </c>
      <c r="P1207" s="51">
        <f>ABS(tblWorkPackages[[#This Row],[Actual labor hours]]-tblWorkPackages[[#This Row],[Estimated labor hours]])</f>
        <v>1.3</v>
      </c>
      <c r="Q1207" s="51">
        <f>IF(tblWorkPackages[[#This Row],[Actual labor hours]]&gt;tblWorkPackages[[#This Row],[Estimated labor hours]],1,0)</f>
        <v>1</v>
      </c>
      <c r="R1207" s="51">
        <f>tblWorkPackages[[#This Row],[Actual labor hours]]-tblWorkPackages[[#This Row],[Estimated labor hours]]</f>
        <v>1.3</v>
      </c>
      <c r="S1207" s="51" t="str">
        <f>IF(tblWorkPackages[[#This Row],[Request date serial]]&lt;ValidationStart,"Train 2024",IF(tblWorkPackages[[#This Row],[Request date serial]]&lt;HoldoutStart,"Validation H1","Holdout H2"))</f>
        <v>Train 2024</v>
      </c>
      <c r="T1207" s="51" t="str">
        <f>IF(tblWorkPackages[[#This Row],[Time split]]="Train 2024","",tblWorkPackages[[#This Row],[Estimated labor hours]]+VLOOKUP(tblWorkPackages[[#This Row],[Task type]],'Forecast validation'!$A$14:$E$25,IF(tblWorkPackages[[#This Row],[Time split]]="Validation H1",4,5),FALSE()))</f>
        <v/>
      </c>
      <c r="U1207" s="51" t="str">
        <f>IF(tblWorkPackages[[#This Row],[Calibrated forecast hours]]="","",ABS(tblWorkPackages[[#This Row],[Actual labor hours]]-tblWorkPackages[[#This Row],[Calibrated forecast hours]]))</f>
        <v/>
      </c>
      <c r="V1207" s="51">
        <f>IF(tblWorkPackages[[#This Row],[Time split]]="Train 2024",tblWorkPackages[[#This Row],[Estimated labor hours]],tblWorkPackages[[#This Row],[Calibrated forecast hours]])</f>
        <v>17.2</v>
      </c>
      <c r="W1207" s="64">
        <f>DATEVALUE(tblWorkPackages[[#This Row],[Request date]])</f>
        <v>45296.0</v>
      </c>
      <c r="X1207" s="64">
        <f>DATEVALUE(tblWorkPackages[[#This Row],[Due date]])</f>
        <v>45309.0</v>
      </c>
      <c r="Y1207" s="64">
        <f>DATEVALUE(tblWorkPackages[[#This Row],[Completion date]])</f>
        <v>45301.0</v>
      </c>
      <c r="Z1207" s="64">
        <f>_xlfn.MINIFS(tblLaborEntries[Work date serial],tblLaborEntries[Work package ID],tblWorkPackages[[#This Row],[Work package ID]])</f>
        <v>45299.0</v>
      </c>
      <c r="AA1207" s="64">
        <f>_xlfn.MAXIFS(tblLaborEntries[Work date serial],tblLaborEntries[Work package ID],tblWorkPackages[[#This Row],[Work package ID]])</f>
        <v>45300.0</v>
      </c>
      <c r="AB1207" s="65">
        <f>IF(tblWorkPackages[[#This Row],[Completion date serial]]&gt;tblWorkPackages[[#This Row],[Due date serial]],1,0)</f>
        <v>0</v>
      </c>
      <c r="AC1207" s="65">
        <f>MAX(0,tblWorkPackages[[#This Row],[Completion date serial]]-tblWorkPackages[[#This Row],[Due date serial]])</f>
        <v>0</v>
      </c>
      <c r="AD1207" s="65">
        <f>tblWorkPackages[[#This Row],[First labor date]]-tblWorkPackages[[#This Row],[Request date serial]]</f>
        <v>3</v>
      </c>
      <c r="AE1207" s="65">
        <f>tblWorkPackages[[#This Row],[Last labor date]]-tblWorkPackages[[#This Row],[First labor date]]</f>
        <v>1</v>
      </c>
      <c r="AF1207" s="65">
        <f>tblWorkPackages[[#This Row],[Completion date serial]]-tblWorkPackages[[#This Row],[Last labor date]]</f>
        <v>1</v>
      </c>
      <c r="AG1207" s="65">
        <f>tblWorkPackages[[#This Row],[Completion date serial]]-tblWorkPackages[[#This Row],[Request date serial]]</f>
        <v>5</v>
      </c>
      <c r="AH1207" s="65">
        <f>IFERROR(INDEX(tblParts[Delay days],MATCH(tblWorkPackages[[#This Row],[Work package ID]],tblParts[Work package ID],0)),0)</f>
        <v>0</v>
      </c>
      <c r="AI1207" s="51" t="str">
        <f>IFERROR(INDEX(tblDisruptions[Event type],MATCH(tblWorkPackages[[#This Row],[Work package ID]],tblDisruptions[Work package ID],0)),"None")</f>
        <v>None</v>
      </c>
      <c r="AJ1207" s="51" t="str">
        <f>TEXT(tblWorkPackages[[#This Row],[Due date serial]],"yyyy-mm")</f>
        <v>2024-01</v>
      </c>
    </row>
    <row r="1208" spans="1:36" ht="15" x14ac:dyDescent="0.25">
      <c r="A1208" s="53" t="s">
        <v>2115</v>
      </c>
      <c r="B1208" s="53" t="s">
        <v>235</v>
      </c>
      <c r="C1208" s="53" t="s">
        <v>1211</v>
      </c>
      <c r="D1208" s="53" t="s">
        <v>1118</v>
      </c>
      <c r="E1208" s="53" t="s">
        <v>153</v>
      </c>
      <c r="F1208" s="53" t="s">
        <v>128</v>
      </c>
      <c r="G1208" s="53" t="s">
        <v>154</v>
      </c>
      <c r="H1208" s="53">
        <v>1</v>
      </c>
      <c r="I1208" s="53" t="s">
        <v>176</v>
      </c>
      <c r="J1208" s="53">
        <v>1</v>
      </c>
      <c r="K1208" s="53">
        <v>0</v>
      </c>
      <c r="L1208" s="53">
        <v>6.6</v>
      </c>
      <c r="M1208" s="53" t="s">
        <v>842</v>
      </c>
      <c r="N1208" s="53">
        <v>9.1999999999999993</v>
      </c>
      <c r="O1208" s="51" t="str">
        <f>TEXT(tblWorkPackages[[#This Row],[Request date serial]]-WEEKDAY(tblWorkPackages[[#This Row],[Request date serial]],3),"yyyy-mm-dd")</f>
        <v>2025-06-09</v>
      </c>
      <c r="P1208" s="51">
        <f>ABS(tblWorkPackages[[#This Row],[Actual labor hours]]-tblWorkPackages[[#This Row],[Estimated labor hours]])</f>
        <v>2.6</v>
      </c>
      <c r="Q1208" s="51">
        <f>IF(tblWorkPackages[[#This Row],[Actual labor hours]]&gt;tblWorkPackages[[#This Row],[Estimated labor hours]],1,0)</f>
        <v>1</v>
      </c>
      <c r="R1208" s="51">
        <f>tblWorkPackages[[#This Row],[Actual labor hours]]-tblWorkPackages[[#This Row],[Estimated labor hours]]</f>
        <v>2.6</v>
      </c>
      <c r="S1208" s="51" t="str">
        <f>IF(tblWorkPackages[[#This Row],[Request date serial]]&lt;ValidationStart,"Train 2024",IF(tblWorkPackages[[#This Row],[Request date serial]]&lt;HoldoutStart,"Validation H1","Holdout H2"))</f>
        <v>Validation H1</v>
      </c>
      <c r="T1208" s="51">
        <f>IF(tblWorkPackages[[#This Row],[Time split]]="Train 2024","",tblWorkPackages[[#This Row],[Estimated labor hours]]+VLOOKUP(tblWorkPackages[[#This Row],[Task type]],'Forecast validation'!$A$14:$E$25,IF(tblWorkPackages[[#This Row],[Time split]]="Validation H1",4,5),FALSE()))</f>
        <v>7.14622641509434</v>
      </c>
      <c r="U1208" s="51">
        <f>IF(tblWorkPackages[[#This Row],[Calibrated forecast hours]]="","",ABS(tblWorkPackages[[#This Row],[Actual labor hours]]-tblWorkPackages[[#This Row],[Calibrated forecast hours]]))</f>
        <v>2.05377358490566</v>
      </c>
      <c r="V1208" s="51">
        <f>IF(tblWorkPackages[[#This Row],[Time split]]="Train 2024",tblWorkPackages[[#This Row],[Estimated labor hours]],tblWorkPackages[[#This Row],[Calibrated forecast hours]])</f>
        <v>7.14622641509434</v>
      </c>
      <c r="W1208" s="64">
        <f>DATEVALUE(tblWorkPackages[[#This Row],[Request date]])</f>
        <v>45818.0</v>
      </c>
      <c r="X1208" s="64">
        <f>DATEVALUE(tblWorkPackages[[#This Row],[Due date]])</f>
        <v>45824.0</v>
      </c>
      <c r="Y1208" s="64">
        <f>DATEVALUE(tblWorkPackages[[#This Row],[Completion date]])</f>
        <v>45865.0</v>
      </c>
      <c r="Z1208" s="64">
        <f>_xlfn.MINIFS(tblLaborEntries[Work date serial],tblLaborEntries[Work package ID],tblWorkPackages[[#This Row],[Work package ID]])</f>
        <v>45863.0</v>
      </c>
      <c r="AA1208" s="64">
        <f>_xlfn.MAXIFS(tblLaborEntries[Work date serial],tblLaborEntries[Work package ID],tblWorkPackages[[#This Row],[Work package ID]])</f>
        <v>45863.0</v>
      </c>
      <c r="AB1208" s="65">
        <f>IF(tblWorkPackages[[#This Row],[Completion date serial]]&gt;tblWorkPackages[[#This Row],[Due date serial]],1,0)</f>
        <v>1</v>
      </c>
      <c r="AC1208" s="65">
        <f>MAX(0,tblWorkPackages[[#This Row],[Completion date serial]]-tblWorkPackages[[#This Row],[Due date serial]])</f>
        <v>41</v>
      </c>
      <c r="AD1208" s="65">
        <f>tblWorkPackages[[#This Row],[First labor date]]-tblWorkPackages[[#This Row],[Request date serial]]</f>
        <v>45</v>
      </c>
      <c r="AE1208" s="65">
        <f>tblWorkPackages[[#This Row],[Last labor date]]-tblWorkPackages[[#This Row],[First labor date]]</f>
        <v>0</v>
      </c>
      <c r="AF1208" s="65">
        <f>tblWorkPackages[[#This Row],[Completion date serial]]-tblWorkPackages[[#This Row],[Last labor date]]</f>
        <v>2</v>
      </c>
      <c r="AG1208" s="65">
        <f>tblWorkPackages[[#This Row],[Completion date serial]]-tblWorkPackages[[#This Row],[Request date serial]]</f>
        <v>47</v>
      </c>
      <c r="AH1208" s="65">
        <f>IFERROR(INDEX(tblParts[Delay days],MATCH(tblWorkPackages[[#This Row],[Work package ID]],tblParts[Work package ID],0)),0)</f>
        <v>0</v>
      </c>
      <c r="AI1208" s="51" t="str">
        <f>IFERROR(INDEX(tblDisruptions[Event type],MATCH(tblWorkPackages[[#This Row],[Work package ID]],tblDisruptions[Work package ID],0)),"None")</f>
        <v>None</v>
      </c>
      <c r="AJ1208" s="51" t="str">
        <f>TEXT(tblWorkPackages[[#This Row],[Due date serial]],"yyyy-mm")</f>
        <v>2025-06</v>
      </c>
    </row>
    <row r="1209" spans="1:36" ht="15" x14ac:dyDescent="0.25">
      <c r="A1209" s="53" t="s">
        <v>2116</v>
      </c>
      <c r="B1209" s="53" t="s">
        <v>124</v>
      </c>
      <c r="C1209" s="53" t="s">
        <v>1035</v>
      </c>
      <c r="D1209" s="53" t="s">
        <v>1118</v>
      </c>
      <c r="E1209" s="53" t="s">
        <v>153</v>
      </c>
      <c r="F1209" s="53" t="s">
        <v>128</v>
      </c>
      <c r="G1209" s="53" t="s">
        <v>154</v>
      </c>
      <c r="H1209" s="53">
        <v>2</v>
      </c>
      <c r="I1209" s="53" t="s">
        <v>130</v>
      </c>
      <c r="J1209" s="53">
        <v>0</v>
      </c>
      <c r="K1209" s="53">
        <v>0</v>
      </c>
      <c r="L1209" s="53">
        <v>10.3</v>
      </c>
      <c r="M1209" s="53" t="s">
        <v>713</v>
      </c>
      <c r="N1209" s="53">
        <v>9.3000000000000007</v>
      </c>
      <c r="O1209" s="51" t="str">
        <f>TEXT(tblWorkPackages[[#This Row],[Request date serial]]-WEEKDAY(tblWorkPackages[[#This Row],[Request date serial]],3),"yyyy-mm-dd")</f>
        <v>2025-06-02</v>
      </c>
      <c r="P1209" s="51">
        <f>ABS(tblWorkPackages[[#This Row],[Actual labor hours]]-tblWorkPackages[[#This Row],[Estimated labor hours]])</f>
        <v>1</v>
      </c>
      <c r="Q1209" s="51">
        <f>IF(tblWorkPackages[[#This Row],[Actual labor hours]]&gt;tblWorkPackages[[#This Row],[Estimated labor hours]],1,0)</f>
        <v>0</v>
      </c>
      <c r="R1209" s="51">
        <f>tblWorkPackages[[#This Row],[Actual labor hours]]-tblWorkPackages[[#This Row],[Estimated labor hours]]</f>
        <v>-1</v>
      </c>
      <c r="S1209" s="51" t="str">
        <f>IF(tblWorkPackages[[#This Row],[Request date serial]]&lt;ValidationStart,"Train 2024",IF(tblWorkPackages[[#This Row],[Request date serial]]&lt;HoldoutStart,"Validation H1","Holdout H2"))</f>
        <v>Validation H1</v>
      </c>
      <c r="T1209" s="51">
        <f>IF(tblWorkPackages[[#This Row],[Time split]]="Train 2024","",tblWorkPackages[[#This Row],[Estimated labor hours]]+VLOOKUP(tblWorkPackages[[#This Row],[Task type]],'Forecast validation'!$A$14:$E$25,IF(tblWorkPackages[[#This Row],[Time split]]="Validation H1",4,5),FALSE()))</f>
        <v>10.8462264150943</v>
      </c>
      <c r="U1209" s="51">
        <f>IF(tblWorkPackages[[#This Row],[Calibrated forecast hours]]="","",ABS(tblWorkPackages[[#This Row],[Actual labor hours]]-tblWorkPackages[[#This Row],[Calibrated forecast hours]]))</f>
        <v>1.54622641509434</v>
      </c>
      <c r="V1209" s="51">
        <f>IF(tblWorkPackages[[#This Row],[Time split]]="Train 2024",tblWorkPackages[[#This Row],[Estimated labor hours]],tblWorkPackages[[#This Row],[Calibrated forecast hours]])</f>
        <v>10.8462264150943</v>
      </c>
      <c r="W1209" s="64">
        <f>DATEVALUE(tblWorkPackages[[#This Row],[Request date]])</f>
        <v>45811.0</v>
      </c>
      <c r="X1209" s="64">
        <f>DATEVALUE(tblWorkPackages[[#This Row],[Due date]])</f>
        <v>45824.0</v>
      </c>
      <c r="Y1209" s="64">
        <f>DATEVALUE(tblWorkPackages[[#This Row],[Completion date]])</f>
        <v>45823.0</v>
      </c>
      <c r="Z1209" s="64">
        <f>_xlfn.MINIFS(tblLaborEntries[Work date serial],tblLaborEntries[Work package ID],tblWorkPackages[[#This Row],[Work package ID]])</f>
        <v>45819.0</v>
      </c>
      <c r="AA1209" s="64">
        <f>_xlfn.MAXIFS(tblLaborEntries[Work date serial],tblLaborEntries[Work package ID],tblWorkPackages[[#This Row],[Work package ID]])</f>
        <v>45820.0</v>
      </c>
      <c r="AB1209" s="65">
        <f>IF(tblWorkPackages[[#This Row],[Completion date serial]]&gt;tblWorkPackages[[#This Row],[Due date serial]],1,0)</f>
        <v>0</v>
      </c>
      <c r="AC1209" s="65">
        <f>MAX(0,tblWorkPackages[[#This Row],[Completion date serial]]-tblWorkPackages[[#This Row],[Due date serial]])</f>
        <v>0</v>
      </c>
      <c r="AD1209" s="65">
        <f>tblWorkPackages[[#This Row],[First labor date]]-tblWorkPackages[[#This Row],[Request date serial]]</f>
        <v>8</v>
      </c>
      <c r="AE1209" s="65">
        <f>tblWorkPackages[[#This Row],[Last labor date]]-tblWorkPackages[[#This Row],[First labor date]]</f>
        <v>1</v>
      </c>
      <c r="AF1209" s="65">
        <f>tblWorkPackages[[#This Row],[Completion date serial]]-tblWorkPackages[[#This Row],[Last labor date]]</f>
        <v>3</v>
      </c>
      <c r="AG1209" s="65">
        <f>tblWorkPackages[[#This Row],[Completion date serial]]-tblWorkPackages[[#This Row],[Request date serial]]</f>
        <v>12</v>
      </c>
      <c r="AH1209" s="65">
        <f>IFERROR(INDEX(tblParts[Delay days],MATCH(tblWorkPackages[[#This Row],[Work package ID]],tblParts[Work package ID],0)),0)</f>
        <v>0</v>
      </c>
      <c r="AI1209" s="51" t="str">
        <f>IFERROR(INDEX(tblDisruptions[Event type],MATCH(tblWorkPackages[[#This Row],[Work package ID]],tblDisruptions[Work package ID],0)),"None")</f>
        <v>Repeat inspection</v>
      </c>
      <c r="AJ1209" s="51" t="str">
        <f>TEXT(tblWorkPackages[[#This Row],[Due date serial]],"yyyy-mm")</f>
        <v>2025-06</v>
      </c>
    </row>
    <row r="1210" spans="1:36" ht="15" x14ac:dyDescent="0.25">
      <c r="A1210" s="53" t="s">
        <v>2117</v>
      </c>
      <c r="B1210" s="53" t="s">
        <v>203</v>
      </c>
      <c r="C1210" s="53" t="s">
        <v>1283</v>
      </c>
      <c r="D1210" s="53" t="s">
        <v>906</v>
      </c>
      <c r="E1210" s="53" t="s">
        <v>200</v>
      </c>
      <c r="F1210" s="53" t="s">
        <v>128</v>
      </c>
      <c r="G1210" s="53" t="s">
        <v>129</v>
      </c>
      <c r="H1210" s="53">
        <v>1</v>
      </c>
      <c r="I1210" s="53" t="s">
        <v>130</v>
      </c>
      <c r="J1210" s="53">
        <v>0</v>
      </c>
      <c r="K1210" s="53">
        <v>0</v>
      </c>
      <c r="L1210" s="53">
        <v>2.1</v>
      </c>
      <c r="M1210" s="53" t="s">
        <v>375</v>
      </c>
      <c r="N1210" s="53">
        <v>1.6</v>
      </c>
      <c r="O1210" s="51" t="str">
        <f>TEXT(tblWorkPackages[[#This Row],[Request date serial]]-WEEKDAY(tblWorkPackages[[#This Row],[Request date serial]],3),"yyyy-mm-dd")</f>
        <v>2025-04-21</v>
      </c>
      <c r="P1210" s="51">
        <f>ABS(tblWorkPackages[[#This Row],[Actual labor hours]]-tblWorkPackages[[#This Row],[Estimated labor hours]])</f>
        <v>0.5</v>
      </c>
      <c r="Q1210" s="51">
        <f>IF(tblWorkPackages[[#This Row],[Actual labor hours]]&gt;tblWorkPackages[[#This Row],[Estimated labor hours]],1,0)</f>
        <v>0</v>
      </c>
      <c r="R1210" s="51">
        <f>tblWorkPackages[[#This Row],[Actual labor hours]]-tblWorkPackages[[#This Row],[Estimated labor hours]]</f>
        <v>-0.5</v>
      </c>
      <c r="S1210" s="51" t="str">
        <f>IF(tblWorkPackages[[#This Row],[Request date serial]]&lt;ValidationStart,"Train 2024",IF(tblWorkPackages[[#This Row],[Request date serial]]&lt;HoldoutStart,"Validation H1","Holdout H2"))</f>
        <v>Validation H1</v>
      </c>
      <c r="T1210" s="51">
        <f>IF(tblWorkPackages[[#This Row],[Time split]]="Train 2024","",tblWorkPackages[[#This Row],[Estimated labor hours]]+VLOOKUP(tblWorkPackages[[#This Row],[Task type]],'Forecast validation'!$A$14:$E$25,IF(tblWorkPackages[[#This Row],[Time split]]="Validation H1",4,5),FALSE()))</f>
        <v>2.43069306930693</v>
      </c>
      <c r="U1210" s="51">
        <f>IF(tblWorkPackages[[#This Row],[Calibrated forecast hours]]="","",ABS(tblWorkPackages[[#This Row],[Actual labor hours]]-tblWorkPackages[[#This Row],[Calibrated forecast hours]]))</f>
        <v>0.830693069306931</v>
      </c>
      <c r="V1210" s="51">
        <f>IF(tblWorkPackages[[#This Row],[Time split]]="Train 2024",tblWorkPackages[[#This Row],[Estimated labor hours]],tblWorkPackages[[#This Row],[Calibrated forecast hours]])</f>
        <v>2.43069306930693</v>
      </c>
      <c r="W1210" s="64">
        <f>DATEVALUE(tblWorkPackages[[#This Row],[Request date]])</f>
        <v>45768.0</v>
      </c>
      <c r="X1210" s="64">
        <f>DATEVALUE(tblWorkPackages[[#This Row],[Due date]])</f>
        <v>45781.0</v>
      </c>
      <c r="Y1210" s="64">
        <f>DATEVALUE(tblWorkPackages[[#This Row],[Completion date]])</f>
        <v>45770.0</v>
      </c>
      <c r="Z1210" s="64">
        <f>_xlfn.MINIFS(tblLaborEntries[Work date serial],tblLaborEntries[Work package ID],tblWorkPackages[[#This Row],[Work package ID]])</f>
        <v>45770.0</v>
      </c>
      <c r="AA1210" s="64">
        <f>_xlfn.MAXIFS(tblLaborEntries[Work date serial],tblLaborEntries[Work package ID],tblWorkPackages[[#This Row],[Work package ID]])</f>
        <v>45770.0</v>
      </c>
      <c r="AB1210" s="65">
        <f>IF(tblWorkPackages[[#This Row],[Completion date serial]]&gt;tblWorkPackages[[#This Row],[Due date serial]],1,0)</f>
        <v>0</v>
      </c>
      <c r="AC1210" s="65">
        <f>MAX(0,tblWorkPackages[[#This Row],[Completion date serial]]-tblWorkPackages[[#This Row],[Due date serial]])</f>
        <v>0</v>
      </c>
      <c r="AD1210" s="65">
        <f>tblWorkPackages[[#This Row],[First labor date]]-tblWorkPackages[[#This Row],[Request date serial]]</f>
        <v>2</v>
      </c>
      <c r="AE1210" s="65">
        <f>tblWorkPackages[[#This Row],[Last labor date]]-tblWorkPackages[[#This Row],[First labor date]]</f>
        <v>0</v>
      </c>
      <c r="AF1210" s="65">
        <f>tblWorkPackages[[#This Row],[Completion date serial]]-tblWorkPackages[[#This Row],[Last labor date]]</f>
        <v>0</v>
      </c>
      <c r="AG1210" s="65">
        <f>tblWorkPackages[[#This Row],[Completion date serial]]-tblWorkPackages[[#This Row],[Request date serial]]</f>
        <v>2</v>
      </c>
      <c r="AH1210" s="65">
        <f>IFERROR(INDEX(tblParts[Delay days],MATCH(tblWorkPackages[[#This Row],[Work package ID]],tblParts[Work package ID],0)),0)</f>
        <v>0</v>
      </c>
      <c r="AI1210" s="51" t="str">
        <f>IFERROR(INDEX(tblDisruptions[Event type],MATCH(tblWorkPackages[[#This Row],[Work package ID]],tblDisruptions[Work package ID],0)),"None")</f>
        <v>None</v>
      </c>
      <c r="AJ1210" s="51" t="str">
        <f>TEXT(tblWorkPackages[[#This Row],[Due date serial]],"yyyy-mm")</f>
        <v>2025-05</v>
      </c>
    </row>
    <row r="1211" spans="1:36" ht="15" x14ac:dyDescent="0.25">
      <c r="A1211" s="53" t="s">
        <v>2118</v>
      </c>
      <c r="B1211" s="53" t="s">
        <v>185</v>
      </c>
      <c r="C1211" s="53" t="s">
        <v>1315</v>
      </c>
      <c r="D1211" s="53" t="s">
        <v>1466</v>
      </c>
      <c r="E1211" s="53" t="s">
        <v>242</v>
      </c>
      <c r="F1211" s="53" t="s">
        <v>243</v>
      </c>
      <c r="G1211" s="53" t="s">
        <v>129</v>
      </c>
      <c r="H1211" s="53">
        <v>1</v>
      </c>
      <c r="I1211" s="53" t="s">
        <v>130</v>
      </c>
      <c r="J1211" s="53">
        <v>0</v>
      </c>
      <c r="K1211" s="53">
        <v>0</v>
      </c>
      <c r="L1211" s="53">
        <v>6</v>
      </c>
      <c r="M1211" s="53" t="s">
        <v>926</v>
      </c>
      <c r="N1211" s="53">
        <v>5.9</v>
      </c>
      <c r="O1211" s="51" t="str">
        <f>TEXT(tblWorkPackages[[#This Row],[Request date serial]]-WEEKDAY(tblWorkPackages[[#This Row],[Request date serial]],3),"yyyy-mm-dd")</f>
        <v>2024-01-29</v>
      </c>
      <c r="P1211" s="51">
        <f>ABS(tblWorkPackages[[#This Row],[Actual labor hours]]-tblWorkPackages[[#This Row],[Estimated labor hours]])</f>
        <v>0.0999999999999996</v>
      </c>
      <c r="Q1211" s="51">
        <f>IF(tblWorkPackages[[#This Row],[Actual labor hours]]&gt;tblWorkPackages[[#This Row],[Estimated labor hours]],1,0)</f>
        <v>0</v>
      </c>
      <c r="R1211" s="51">
        <f>tblWorkPackages[[#This Row],[Actual labor hours]]-tblWorkPackages[[#This Row],[Estimated labor hours]]</f>
        <v>-0.0999999999999996</v>
      </c>
      <c r="S1211" s="51" t="str">
        <f>IF(tblWorkPackages[[#This Row],[Request date serial]]&lt;ValidationStart,"Train 2024",IF(tblWorkPackages[[#This Row],[Request date serial]]&lt;HoldoutStart,"Validation H1","Holdout H2"))</f>
        <v>Train 2024</v>
      </c>
      <c r="T1211" s="51" t="str">
        <f>IF(tblWorkPackages[[#This Row],[Time split]]="Train 2024","",tblWorkPackages[[#This Row],[Estimated labor hours]]+VLOOKUP(tblWorkPackages[[#This Row],[Task type]],'Forecast validation'!$A$14:$E$25,IF(tblWorkPackages[[#This Row],[Time split]]="Validation H1",4,5),FALSE()))</f>
        <v/>
      </c>
      <c r="U1211" s="51" t="str">
        <f>IF(tblWorkPackages[[#This Row],[Calibrated forecast hours]]="","",ABS(tblWorkPackages[[#This Row],[Actual labor hours]]-tblWorkPackages[[#This Row],[Calibrated forecast hours]]))</f>
        <v/>
      </c>
      <c r="V1211" s="51">
        <f>IF(tblWorkPackages[[#This Row],[Time split]]="Train 2024",tblWorkPackages[[#This Row],[Estimated labor hours]],tblWorkPackages[[#This Row],[Calibrated forecast hours]])</f>
        <v>6</v>
      </c>
      <c r="W1211" s="64">
        <f>DATEVALUE(tblWorkPackages[[#This Row],[Request date]])</f>
        <v>45320.0</v>
      </c>
      <c r="X1211" s="64">
        <f>DATEVALUE(tblWorkPackages[[#This Row],[Due date]])</f>
        <v>45333.0</v>
      </c>
      <c r="Y1211" s="64">
        <f>DATEVALUE(tblWorkPackages[[#This Row],[Completion date]])</f>
        <v>45340.0</v>
      </c>
      <c r="Z1211" s="64">
        <f>_xlfn.MINIFS(tblLaborEntries[Work date serial],tblLaborEntries[Work package ID],tblWorkPackages[[#This Row],[Work package ID]])</f>
        <v>45338.0</v>
      </c>
      <c r="AA1211" s="64">
        <f>_xlfn.MAXIFS(tblLaborEntries[Work date serial],tblLaborEntries[Work package ID],tblWorkPackages[[#This Row],[Work package ID]])</f>
        <v>45339.0</v>
      </c>
      <c r="AB1211" s="65">
        <f>IF(tblWorkPackages[[#This Row],[Completion date serial]]&gt;tblWorkPackages[[#This Row],[Due date serial]],1,0)</f>
        <v>1</v>
      </c>
      <c r="AC1211" s="65">
        <f>MAX(0,tblWorkPackages[[#This Row],[Completion date serial]]-tblWorkPackages[[#This Row],[Due date serial]])</f>
        <v>7</v>
      </c>
      <c r="AD1211" s="65">
        <f>tblWorkPackages[[#This Row],[First labor date]]-tblWorkPackages[[#This Row],[Request date serial]]</f>
        <v>18</v>
      </c>
      <c r="AE1211" s="65">
        <f>tblWorkPackages[[#This Row],[Last labor date]]-tblWorkPackages[[#This Row],[First labor date]]</f>
        <v>1</v>
      </c>
      <c r="AF1211" s="65">
        <f>tblWorkPackages[[#This Row],[Completion date serial]]-tblWorkPackages[[#This Row],[Last labor date]]</f>
        <v>1</v>
      </c>
      <c r="AG1211" s="65">
        <f>tblWorkPackages[[#This Row],[Completion date serial]]-tblWorkPackages[[#This Row],[Request date serial]]</f>
        <v>20</v>
      </c>
      <c r="AH1211" s="65">
        <f>IFERROR(INDEX(tblParts[Delay days],MATCH(tblWorkPackages[[#This Row],[Work package ID]],tblParts[Work package ID],0)),0)</f>
        <v>0</v>
      </c>
      <c r="AI1211" s="51" t="str">
        <f>IFERROR(INDEX(tblDisruptions[Event type],MATCH(tblWorkPackages[[#This Row],[Work package ID]],tblDisruptions[Work package ID],0)),"None")</f>
        <v>None</v>
      </c>
      <c r="AJ1211" s="51" t="str">
        <f>TEXT(tblWorkPackages[[#This Row],[Due date serial]],"yyyy-mm")</f>
        <v>2024-02</v>
      </c>
    </row>
    <row r="1212" spans="1:36" ht="15" x14ac:dyDescent="0.25">
      <c r="A1212" s="53" t="s">
        <v>2119</v>
      </c>
      <c r="B1212" s="53" t="s">
        <v>235</v>
      </c>
      <c r="C1212" s="53" t="s">
        <v>826</v>
      </c>
      <c r="D1212" s="53" t="s">
        <v>446</v>
      </c>
      <c r="E1212" s="53" t="s">
        <v>200</v>
      </c>
      <c r="F1212" s="53" t="s">
        <v>128</v>
      </c>
      <c r="G1212" s="53" t="s">
        <v>129</v>
      </c>
      <c r="H1212" s="53">
        <v>3</v>
      </c>
      <c r="I1212" s="53" t="s">
        <v>130</v>
      </c>
      <c r="J1212" s="53">
        <v>1</v>
      </c>
      <c r="K1212" s="53">
        <v>0</v>
      </c>
      <c r="L1212" s="53">
        <v>4.5</v>
      </c>
      <c r="M1212" s="53" t="s">
        <v>1186</v>
      </c>
      <c r="N1212" s="53">
        <v>5</v>
      </c>
      <c r="O1212" s="51" t="str">
        <f>TEXT(tblWorkPackages[[#This Row],[Request date serial]]-WEEKDAY(tblWorkPackages[[#This Row],[Request date serial]],3),"yyyy-mm-dd")</f>
        <v>2025-03-03</v>
      </c>
      <c r="P1212" s="51">
        <f>ABS(tblWorkPackages[[#This Row],[Actual labor hours]]-tblWorkPackages[[#This Row],[Estimated labor hours]])</f>
        <v>0.5</v>
      </c>
      <c r="Q1212" s="51">
        <f>IF(tblWorkPackages[[#This Row],[Actual labor hours]]&gt;tblWorkPackages[[#This Row],[Estimated labor hours]],1,0)</f>
        <v>1</v>
      </c>
      <c r="R1212" s="51">
        <f>tblWorkPackages[[#This Row],[Actual labor hours]]-tblWorkPackages[[#This Row],[Estimated labor hours]]</f>
        <v>0.5</v>
      </c>
      <c r="S1212" s="51" t="str">
        <f>IF(tblWorkPackages[[#This Row],[Request date serial]]&lt;ValidationStart,"Train 2024",IF(tblWorkPackages[[#This Row],[Request date serial]]&lt;HoldoutStart,"Validation H1","Holdout H2"))</f>
        <v>Validation H1</v>
      </c>
      <c r="T1212" s="51">
        <f>IF(tblWorkPackages[[#This Row],[Time split]]="Train 2024","",tblWorkPackages[[#This Row],[Estimated labor hours]]+VLOOKUP(tblWorkPackages[[#This Row],[Task type]],'Forecast validation'!$A$14:$E$25,IF(tblWorkPackages[[#This Row],[Time split]]="Validation H1",4,5),FALSE()))</f>
        <v>4.83069306930693</v>
      </c>
      <c r="U1212" s="51">
        <f>IF(tblWorkPackages[[#This Row],[Calibrated forecast hours]]="","",ABS(tblWorkPackages[[#This Row],[Actual labor hours]]-tblWorkPackages[[#This Row],[Calibrated forecast hours]]))</f>
        <v>0.169306930693069</v>
      </c>
      <c r="V1212" s="51">
        <f>IF(tblWorkPackages[[#This Row],[Time split]]="Train 2024",tblWorkPackages[[#This Row],[Estimated labor hours]],tblWorkPackages[[#This Row],[Calibrated forecast hours]])</f>
        <v>4.83069306930693</v>
      </c>
      <c r="W1212" s="64">
        <f>DATEVALUE(tblWorkPackages[[#This Row],[Request date]])</f>
        <v>45724.0</v>
      </c>
      <c r="X1212" s="64">
        <f>DATEVALUE(tblWorkPackages[[#This Row],[Due date]])</f>
        <v>45737.0</v>
      </c>
      <c r="Y1212" s="64">
        <f>DATEVALUE(tblWorkPackages[[#This Row],[Completion date]])</f>
        <v>45731.0</v>
      </c>
      <c r="Z1212" s="64">
        <f>_xlfn.MINIFS(tblLaborEntries[Work date serial],tblLaborEntries[Work package ID],tblWorkPackages[[#This Row],[Work package ID]])</f>
        <v>45728.0</v>
      </c>
      <c r="AA1212" s="64">
        <f>_xlfn.MAXIFS(tblLaborEntries[Work date serial],tblLaborEntries[Work package ID],tblWorkPackages[[#This Row],[Work package ID]])</f>
        <v>45729.0</v>
      </c>
      <c r="AB1212" s="65">
        <f>IF(tblWorkPackages[[#This Row],[Completion date serial]]&gt;tblWorkPackages[[#This Row],[Due date serial]],1,0)</f>
        <v>0</v>
      </c>
      <c r="AC1212" s="65">
        <f>MAX(0,tblWorkPackages[[#This Row],[Completion date serial]]-tblWorkPackages[[#This Row],[Due date serial]])</f>
        <v>0</v>
      </c>
      <c r="AD1212" s="65">
        <f>tblWorkPackages[[#This Row],[First labor date]]-tblWorkPackages[[#This Row],[Request date serial]]</f>
        <v>4</v>
      </c>
      <c r="AE1212" s="65">
        <f>tblWorkPackages[[#This Row],[Last labor date]]-tblWorkPackages[[#This Row],[First labor date]]</f>
        <v>1</v>
      </c>
      <c r="AF1212" s="65">
        <f>tblWorkPackages[[#This Row],[Completion date serial]]-tblWorkPackages[[#This Row],[Last labor date]]</f>
        <v>2</v>
      </c>
      <c r="AG1212" s="65">
        <f>tblWorkPackages[[#This Row],[Completion date serial]]-tblWorkPackages[[#This Row],[Request date serial]]</f>
        <v>7</v>
      </c>
      <c r="AH1212" s="65">
        <f>IFERROR(INDEX(tblParts[Delay days],MATCH(tblWorkPackages[[#This Row],[Work package ID]],tblParts[Work package ID],0)),0)</f>
        <v>0</v>
      </c>
      <c r="AI1212" s="51" t="str">
        <f>IFERROR(INDEX(tblDisruptions[Event type],MATCH(tblWorkPackages[[#This Row],[Work package ID]],tblDisruptions[Work package ID],0)),"None")</f>
        <v>None</v>
      </c>
      <c r="AJ1212" s="51" t="str">
        <f>TEXT(tblWorkPackages[[#This Row],[Due date serial]],"yyyy-mm")</f>
        <v>2025-03</v>
      </c>
    </row>
    <row r="1213" spans="1:36" ht="15" x14ac:dyDescent="0.25">
      <c r="A1213" s="53" t="s">
        <v>2120</v>
      </c>
      <c r="B1213" s="53" t="s">
        <v>185</v>
      </c>
      <c r="C1213" s="53" t="s">
        <v>454</v>
      </c>
      <c r="D1213" s="53" t="s">
        <v>1223</v>
      </c>
      <c r="E1213" s="53" t="s">
        <v>136</v>
      </c>
      <c r="F1213" s="53" t="s">
        <v>137</v>
      </c>
      <c r="G1213" s="53" t="s">
        <v>138</v>
      </c>
      <c r="H1213" s="53">
        <v>3</v>
      </c>
      <c r="I1213" s="53" t="s">
        <v>130</v>
      </c>
      <c r="J1213" s="53">
        <v>0</v>
      </c>
      <c r="K1213" s="53">
        <v>0</v>
      </c>
      <c r="L1213" s="53">
        <v>20.5</v>
      </c>
      <c r="M1213" s="53" t="s">
        <v>350</v>
      </c>
      <c r="N1213" s="53">
        <v>18.3</v>
      </c>
      <c r="O1213" s="51" t="str">
        <f>TEXT(tblWorkPackages[[#This Row],[Request date serial]]-WEEKDAY(tblWorkPackages[[#This Row],[Request date serial]],3),"yyyy-mm-dd")</f>
        <v>2024-01-22</v>
      </c>
      <c r="P1213" s="51">
        <f>ABS(tblWorkPackages[[#This Row],[Actual labor hours]]-tblWorkPackages[[#This Row],[Estimated labor hours]])</f>
        <v>2.2</v>
      </c>
      <c r="Q1213" s="51">
        <f>IF(tblWorkPackages[[#This Row],[Actual labor hours]]&gt;tblWorkPackages[[#This Row],[Estimated labor hours]],1,0)</f>
        <v>0</v>
      </c>
      <c r="R1213" s="51">
        <f>tblWorkPackages[[#This Row],[Actual labor hours]]-tblWorkPackages[[#This Row],[Estimated labor hours]]</f>
        <v>-2.2</v>
      </c>
      <c r="S1213" s="51" t="str">
        <f>IF(tblWorkPackages[[#This Row],[Request date serial]]&lt;ValidationStart,"Train 2024",IF(tblWorkPackages[[#This Row],[Request date serial]]&lt;HoldoutStart,"Validation H1","Holdout H2"))</f>
        <v>Train 2024</v>
      </c>
      <c r="T1213" s="51" t="str">
        <f>IF(tblWorkPackages[[#This Row],[Time split]]="Train 2024","",tblWorkPackages[[#This Row],[Estimated labor hours]]+VLOOKUP(tblWorkPackages[[#This Row],[Task type]],'Forecast validation'!$A$14:$E$25,IF(tblWorkPackages[[#This Row],[Time split]]="Validation H1",4,5),FALSE()))</f>
        <v/>
      </c>
      <c r="U1213" s="51" t="str">
        <f>IF(tblWorkPackages[[#This Row],[Calibrated forecast hours]]="","",ABS(tblWorkPackages[[#This Row],[Actual labor hours]]-tblWorkPackages[[#This Row],[Calibrated forecast hours]]))</f>
        <v/>
      </c>
      <c r="V1213" s="51">
        <f>IF(tblWorkPackages[[#This Row],[Time split]]="Train 2024",tblWorkPackages[[#This Row],[Estimated labor hours]],tblWorkPackages[[#This Row],[Calibrated forecast hours]])</f>
        <v>20.5</v>
      </c>
      <c r="W1213" s="64">
        <f>DATEVALUE(tblWorkPackages[[#This Row],[Request date]])</f>
        <v>45318.0</v>
      </c>
      <c r="X1213" s="64">
        <f>DATEVALUE(tblWorkPackages[[#This Row],[Due date]])</f>
        <v>45331.0</v>
      </c>
      <c r="Y1213" s="64">
        <f>DATEVALUE(tblWorkPackages[[#This Row],[Completion date]])</f>
        <v>45323.0</v>
      </c>
      <c r="Z1213" s="64">
        <f>_xlfn.MINIFS(tblLaborEntries[Work date serial],tblLaborEntries[Work package ID],tblWorkPackages[[#This Row],[Work package ID]])</f>
        <v>45319.0</v>
      </c>
      <c r="AA1213" s="64">
        <f>_xlfn.MAXIFS(tblLaborEntries[Work date serial],tblLaborEntries[Work package ID],tblWorkPackages[[#This Row],[Work package ID]])</f>
        <v>45320.0</v>
      </c>
      <c r="AB1213" s="65">
        <f>IF(tblWorkPackages[[#This Row],[Completion date serial]]&gt;tblWorkPackages[[#This Row],[Due date serial]],1,0)</f>
        <v>0</v>
      </c>
      <c r="AC1213" s="65">
        <f>MAX(0,tblWorkPackages[[#This Row],[Completion date serial]]-tblWorkPackages[[#This Row],[Due date serial]])</f>
        <v>0</v>
      </c>
      <c r="AD1213" s="65">
        <f>tblWorkPackages[[#This Row],[First labor date]]-tblWorkPackages[[#This Row],[Request date serial]]</f>
        <v>1</v>
      </c>
      <c r="AE1213" s="65">
        <f>tblWorkPackages[[#This Row],[Last labor date]]-tblWorkPackages[[#This Row],[First labor date]]</f>
        <v>1</v>
      </c>
      <c r="AF1213" s="65">
        <f>tblWorkPackages[[#This Row],[Completion date serial]]-tblWorkPackages[[#This Row],[Last labor date]]</f>
        <v>3</v>
      </c>
      <c r="AG1213" s="65">
        <f>tblWorkPackages[[#This Row],[Completion date serial]]-tblWorkPackages[[#This Row],[Request date serial]]</f>
        <v>5</v>
      </c>
      <c r="AH1213" s="65">
        <f>IFERROR(INDEX(tblParts[Delay days],MATCH(tblWorkPackages[[#This Row],[Work package ID]],tblParts[Work package ID],0)),0)</f>
        <v>0</v>
      </c>
      <c r="AI1213" s="51" t="str">
        <f>IFERROR(INDEX(tblDisruptions[Event type],MATCH(tblWorkPackages[[#This Row],[Work package ID]],tblDisruptions[Work package ID],0)),"None")</f>
        <v>None</v>
      </c>
      <c r="AJ1213" s="51" t="str">
        <f>TEXT(tblWorkPackages[[#This Row],[Due date serial]],"yyyy-mm")</f>
        <v>2024-02</v>
      </c>
    </row>
    <row r="1214" spans="1:36" ht="15" x14ac:dyDescent="0.25">
      <c r="A1214" s="53" t="s">
        <v>2121</v>
      </c>
      <c r="B1214" s="53" t="s">
        <v>124</v>
      </c>
      <c r="C1214" s="53" t="s">
        <v>634</v>
      </c>
      <c r="D1214" s="53" t="s">
        <v>865</v>
      </c>
      <c r="E1214" s="53" t="s">
        <v>153</v>
      </c>
      <c r="F1214" s="53" t="s">
        <v>128</v>
      </c>
      <c r="G1214" s="53" t="s">
        <v>154</v>
      </c>
      <c r="H1214" s="53">
        <v>3</v>
      </c>
      <c r="I1214" s="53" t="s">
        <v>130</v>
      </c>
      <c r="J1214" s="53">
        <v>0</v>
      </c>
      <c r="K1214" s="53">
        <v>0</v>
      </c>
      <c r="L1214" s="53">
        <v>14.6</v>
      </c>
      <c r="M1214" s="53" t="s">
        <v>1174</v>
      </c>
      <c r="N1214" s="53">
        <v>11.4</v>
      </c>
      <c r="O1214" s="51" t="str">
        <f>TEXT(tblWorkPackages[[#This Row],[Request date serial]]-WEEKDAY(tblWorkPackages[[#This Row],[Request date serial]],3),"yyyy-mm-dd")</f>
        <v>2024-05-20</v>
      </c>
      <c r="P1214" s="51">
        <f>ABS(tblWorkPackages[[#This Row],[Actual labor hours]]-tblWorkPackages[[#This Row],[Estimated labor hours]])</f>
        <v>3.2</v>
      </c>
      <c r="Q1214" s="51">
        <f>IF(tblWorkPackages[[#This Row],[Actual labor hours]]&gt;tblWorkPackages[[#This Row],[Estimated labor hours]],1,0)</f>
        <v>0</v>
      </c>
      <c r="R1214" s="51">
        <f>tblWorkPackages[[#This Row],[Actual labor hours]]-tblWorkPackages[[#This Row],[Estimated labor hours]]</f>
        <v>-3.2</v>
      </c>
      <c r="S1214" s="51" t="str">
        <f>IF(tblWorkPackages[[#This Row],[Request date serial]]&lt;ValidationStart,"Train 2024",IF(tblWorkPackages[[#This Row],[Request date serial]]&lt;HoldoutStart,"Validation H1","Holdout H2"))</f>
        <v>Train 2024</v>
      </c>
      <c r="T1214" s="51" t="str">
        <f>IF(tblWorkPackages[[#This Row],[Time split]]="Train 2024","",tblWorkPackages[[#This Row],[Estimated labor hours]]+VLOOKUP(tblWorkPackages[[#This Row],[Task type]],'Forecast validation'!$A$14:$E$25,IF(tblWorkPackages[[#This Row],[Time split]]="Validation H1",4,5),FALSE()))</f>
        <v/>
      </c>
      <c r="U1214" s="51" t="str">
        <f>IF(tblWorkPackages[[#This Row],[Calibrated forecast hours]]="","",ABS(tblWorkPackages[[#This Row],[Actual labor hours]]-tblWorkPackages[[#This Row],[Calibrated forecast hours]]))</f>
        <v/>
      </c>
      <c r="V1214" s="51">
        <f>IF(tblWorkPackages[[#This Row],[Time split]]="Train 2024",tblWorkPackages[[#This Row],[Estimated labor hours]],tblWorkPackages[[#This Row],[Calibrated forecast hours]])</f>
        <v>14.6</v>
      </c>
      <c r="W1214" s="64">
        <f>DATEVALUE(tblWorkPackages[[#This Row],[Request date]])</f>
        <v>45438.0</v>
      </c>
      <c r="X1214" s="64">
        <f>DATEVALUE(tblWorkPackages[[#This Row],[Due date]])</f>
        <v>45451.0</v>
      </c>
      <c r="Y1214" s="64">
        <f>DATEVALUE(tblWorkPackages[[#This Row],[Completion date]])</f>
        <v>45449.0</v>
      </c>
      <c r="Z1214" s="64">
        <f>_xlfn.MINIFS(tblLaborEntries[Work date serial],tblLaborEntries[Work package ID],tblWorkPackages[[#This Row],[Work package ID]])</f>
        <v>45449.0</v>
      </c>
      <c r="AA1214" s="64">
        <f>_xlfn.MAXIFS(tblLaborEntries[Work date serial],tblLaborEntries[Work package ID],tblWorkPackages[[#This Row],[Work package ID]])</f>
        <v>45449.0</v>
      </c>
      <c r="AB1214" s="65">
        <f>IF(tblWorkPackages[[#This Row],[Completion date serial]]&gt;tblWorkPackages[[#This Row],[Due date serial]],1,0)</f>
        <v>0</v>
      </c>
      <c r="AC1214" s="65">
        <f>MAX(0,tblWorkPackages[[#This Row],[Completion date serial]]-tblWorkPackages[[#This Row],[Due date serial]])</f>
        <v>0</v>
      </c>
      <c r="AD1214" s="65">
        <f>tblWorkPackages[[#This Row],[First labor date]]-tblWorkPackages[[#This Row],[Request date serial]]</f>
        <v>11</v>
      </c>
      <c r="AE1214" s="65">
        <f>tblWorkPackages[[#This Row],[Last labor date]]-tblWorkPackages[[#This Row],[First labor date]]</f>
        <v>0</v>
      </c>
      <c r="AF1214" s="65">
        <f>tblWorkPackages[[#This Row],[Completion date serial]]-tblWorkPackages[[#This Row],[Last labor date]]</f>
        <v>0</v>
      </c>
      <c r="AG1214" s="65">
        <f>tblWorkPackages[[#This Row],[Completion date serial]]-tblWorkPackages[[#This Row],[Request date serial]]</f>
        <v>11</v>
      </c>
      <c r="AH1214" s="65">
        <f>IFERROR(INDEX(tblParts[Delay days],MATCH(tblWorkPackages[[#This Row],[Work package ID]],tblParts[Work package ID],0)),0)</f>
        <v>0</v>
      </c>
      <c r="AI1214" s="51" t="str">
        <f>IFERROR(INDEX(tblDisruptions[Event type],MATCH(tblWorkPackages[[#This Row],[Work package ID]],tblDisruptions[Work package ID],0)),"None")</f>
        <v>None</v>
      </c>
      <c r="AJ1214" s="51" t="str">
        <f>TEXT(tblWorkPackages[[#This Row],[Due date serial]],"yyyy-mm")</f>
        <v>2024-06</v>
      </c>
    </row>
    <row r="1215" spans="1:36" ht="15" x14ac:dyDescent="0.25">
      <c r="A1215" s="53" t="s">
        <v>2122</v>
      </c>
      <c r="B1215" s="53" t="s">
        <v>250</v>
      </c>
      <c r="C1215" s="53" t="s">
        <v>1191</v>
      </c>
      <c r="D1215" s="53" t="s">
        <v>687</v>
      </c>
      <c r="E1215" s="53" t="s">
        <v>136</v>
      </c>
      <c r="F1215" s="53" t="s">
        <v>137</v>
      </c>
      <c r="G1215" s="53" t="s">
        <v>138</v>
      </c>
      <c r="H1215" s="53">
        <v>2</v>
      </c>
      <c r="I1215" s="53" t="s">
        <v>130</v>
      </c>
      <c r="J1215" s="53">
        <v>0</v>
      </c>
      <c r="K1215" s="53">
        <v>1</v>
      </c>
      <c r="L1215" s="53">
        <v>15.6</v>
      </c>
      <c r="M1215" s="53" t="s">
        <v>447</v>
      </c>
      <c r="N1215" s="53">
        <v>16.600000000000001</v>
      </c>
      <c r="O1215" s="51" t="str">
        <f>TEXT(tblWorkPackages[[#This Row],[Request date serial]]-WEEKDAY(tblWorkPackages[[#This Row],[Request date serial]],3),"yyyy-mm-dd")</f>
        <v>2025-03-24</v>
      </c>
      <c r="P1215" s="51">
        <f>ABS(tblWorkPackages[[#This Row],[Actual labor hours]]-tblWorkPackages[[#This Row],[Estimated labor hours]])</f>
        <v>1</v>
      </c>
      <c r="Q1215" s="51">
        <f>IF(tblWorkPackages[[#This Row],[Actual labor hours]]&gt;tblWorkPackages[[#This Row],[Estimated labor hours]],1,0)</f>
        <v>1</v>
      </c>
      <c r="R1215" s="51">
        <f>tblWorkPackages[[#This Row],[Actual labor hours]]-tblWorkPackages[[#This Row],[Estimated labor hours]]</f>
        <v>1</v>
      </c>
      <c r="S1215" s="51" t="str">
        <f>IF(tblWorkPackages[[#This Row],[Request date serial]]&lt;ValidationStart,"Train 2024",IF(tblWorkPackages[[#This Row],[Request date serial]]&lt;HoldoutStart,"Validation H1","Holdout H2"))</f>
        <v>Validation H1</v>
      </c>
      <c r="T1215" s="51">
        <f>IF(tblWorkPackages[[#This Row],[Time split]]="Train 2024","",tblWorkPackages[[#This Row],[Estimated labor hours]]+VLOOKUP(tblWorkPackages[[#This Row],[Task type]],'Forecast validation'!$A$14:$E$25,IF(tblWorkPackages[[#This Row],[Time split]]="Validation H1",4,5),FALSE()))</f>
        <v>16.4765306122449</v>
      </c>
      <c r="U1215" s="51">
        <f>IF(tblWorkPackages[[#This Row],[Calibrated forecast hours]]="","",ABS(tblWorkPackages[[#This Row],[Actual labor hours]]-tblWorkPackages[[#This Row],[Calibrated forecast hours]]))</f>
        <v>0.123469387755105</v>
      </c>
      <c r="V1215" s="51">
        <f>IF(tblWorkPackages[[#This Row],[Time split]]="Train 2024",tblWorkPackages[[#This Row],[Estimated labor hours]],tblWorkPackages[[#This Row],[Calibrated forecast hours]])</f>
        <v>16.4765306122449</v>
      </c>
      <c r="W1215" s="64">
        <f>DATEVALUE(tblWorkPackages[[#This Row],[Request date]])</f>
        <v>45740.0</v>
      </c>
      <c r="X1215" s="64">
        <f>DATEVALUE(tblWorkPackages[[#This Row],[Due date]])</f>
        <v>45753.0</v>
      </c>
      <c r="Y1215" s="64">
        <f>DATEVALUE(tblWorkPackages[[#This Row],[Completion date]])</f>
        <v>45744.0</v>
      </c>
      <c r="Z1215" s="64">
        <f>_xlfn.MINIFS(tblLaborEntries[Work date serial],tblLaborEntries[Work package ID],tblWorkPackages[[#This Row],[Work package ID]])</f>
        <v>45743.0</v>
      </c>
      <c r="AA1215" s="64">
        <f>_xlfn.MAXIFS(tblLaborEntries[Work date serial],tblLaborEntries[Work package ID],tblWorkPackages[[#This Row],[Work package ID]])</f>
        <v>45743.0</v>
      </c>
      <c r="AB1215" s="65">
        <f>IF(tblWorkPackages[[#This Row],[Completion date serial]]&gt;tblWorkPackages[[#This Row],[Due date serial]],1,0)</f>
        <v>0</v>
      </c>
      <c r="AC1215" s="65">
        <f>MAX(0,tblWorkPackages[[#This Row],[Completion date serial]]-tblWorkPackages[[#This Row],[Due date serial]])</f>
        <v>0</v>
      </c>
      <c r="AD1215" s="65">
        <f>tblWorkPackages[[#This Row],[First labor date]]-tblWorkPackages[[#This Row],[Request date serial]]</f>
        <v>3</v>
      </c>
      <c r="AE1215" s="65">
        <f>tblWorkPackages[[#This Row],[Last labor date]]-tblWorkPackages[[#This Row],[First labor date]]</f>
        <v>0</v>
      </c>
      <c r="AF1215" s="65">
        <f>tblWorkPackages[[#This Row],[Completion date serial]]-tblWorkPackages[[#This Row],[Last labor date]]</f>
        <v>1</v>
      </c>
      <c r="AG1215" s="65">
        <f>tblWorkPackages[[#This Row],[Completion date serial]]-tblWorkPackages[[#This Row],[Request date serial]]</f>
        <v>4</v>
      </c>
      <c r="AH1215" s="65">
        <f>IFERROR(INDEX(tblParts[Delay days],MATCH(tblWorkPackages[[#This Row],[Work package ID]],tblParts[Work package ID],0)),0)</f>
        <v>0</v>
      </c>
      <c r="AI1215" s="51" t="str">
        <f>IFERROR(INDEX(tblDisruptions[Event type],MATCH(tblWorkPackages[[#This Row],[Work package ID]],tblDisruptions[Work package ID],0)),"None")</f>
        <v>None</v>
      </c>
      <c r="AJ1215" s="51" t="str">
        <f>TEXT(tblWorkPackages[[#This Row],[Due date serial]],"yyyy-mm")</f>
        <v>2025-04</v>
      </c>
    </row>
    <row r="1216" spans="1:36" ht="15" x14ac:dyDescent="0.25">
      <c r="A1216" s="53" t="s">
        <v>2123</v>
      </c>
      <c r="B1216" s="53" t="s">
        <v>150</v>
      </c>
      <c r="C1216" s="53" t="s">
        <v>161</v>
      </c>
      <c r="D1216" s="53" t="s">
        <v>512</v>
      </c>
      <c r="E1216" s="53" t="s">
        <v>127</v>
      </c>
      <c r="F1216" s="53" t="s">
        <v>128</v>
      </c>
      <c r="G1216" s="53" t="s">
        <v>129</v>
      </c>
      <c r="H1216" s="53">
        <v>2</v>
      </c>
      <c r="I1216" s="53" t="s">
        <v>130</v>
      </c>
      <c r="J1216" s="53">
        <v>0</v>
      </c>
      <c r="K1216" s="53">
        <v>1</v>
      </c>
      <c r="L1216" s="53">
        <v>7.1</v>
      </c>
      <c r="M1216" s="53" t="s">
        <v>679</v>
      </c>
      <c r="N1216" s="53">
        <v>6.9</v>
      </c>
      <c r="O1216" s="51" t="str">
        <f>TEXT(tblWorkPackages[[#This Row],[Request date serial]]-WEEKDAY(tblWorkPackages[[#This Row],[Request date serial]],3),"yyyy-mm-dd")</f>
        <v>2024-12-02</v>
      </c>
      <c r="P1216" s="51">
        <f>ABS(tblWorkPackages[[#This Row],[Actual labor hours]]-tblWorkPackages[[#This Row],[Estimated labor hours]])</f>
        <v>0.199999999999999</v>
      </c>
      <c r="Q1216" s="51">
        <f>IF(tblWorkPackages[[#This Row],[Actual labor hours]]&gt;tblWorkPackages[[#This Row],[Estimated labor hours]],1,0)</f>
        <v>0</v>
      </c>
      <c r="R1216" s="51">
        <f>tblWorkPackages[[#This Row],[Actual labor hours]]-tblWorkPackages[[#This Row],[Estimated labor hours]]</f>
        <v>-0.199999999999999</v>
      </c>
      <c r="S1216" s="51" t="str">
        <f>IF(tblWorkPackages[[#This Row],[Request date serial]]&lt;ValidationStart,"Train 2024",IF(tblWorkPackages[[#This Row],[Request date serial]]&lt;HoldoutStart,"Validation H1","Holdout H2"))</f>
        <v>Train 2024</v>
      </c>
      <c r="T1216" s="51" t="str">
        <f>IF(tblWorkPackages[[#This Row],[Time split]]="Train 2024","",tblWorkPackages[[#This Row],[Estimated labor hours]]+VLOOKUP(tblWorkPackages[[#This Row],[Task type]],'Forecast validation'!$A$14:$E$25,IF(tblWorkPackages[[#This Row],[Time split]]="Validation H1",4,5),FALSE()))</f>
        <v/>
      </c>
      <c r="U1216" s="51" t="str">
        <f>IF(tblWorkPackages[[#This Row],[Calibrated forecast hours]]="","",ABS(tblWorkPackages[[#This Row],[Actual labor hours]]-tblWorkPackages[[#This Row],[Calibrated forecast hours]]))</f>
        <v/>
      </c>
      <c r="V1216" s="51">
        <f>IF(tblWorkPackages[[#This Row],[Time split]]="Train 2024",tblWorkPackages[[#This Row],[Estimated labor hours]],tblWorkPackages[[#This Row],[Calibrated forecast hours]])</f>
        <v>7.1</v>
      </c>
      <c r="W1216" s="64">
        <f>DATEVALUE(tblWorkPackages[[#This Row],[Request date]])</f>
        <v>45628.0</v>
      </c>
      <c r="X1216" s="64">
        <f>DATEVALUE(tblWorkPackages[[#This Row],[Due date]])</f>
        <v>45641.0</v>
      </c>
      <c r="Y1216" s="64">
        <f>DATEVALUE(tblWorkPackages[[#This Row],[Completion date]])</f>
        <v>45663.0</v>
      </c>
      <c r="Z1216" s="64">
        <f>_xlfn.MINIFS(tblLaborEntries[Work date serial],tblLaborEntries[Work package ID],tblWorkPackages[[#This Row],[Work package ID]])</f>
        <v>45659.0</v>
      </c>
      <c r="AA1216" s="64">
        <f>_xlfn.MAXIFS(tblLaborEntries[Work date serial],tblLaborEntries[Work package ID],tblWorkPackages[[#This Row],[Work package ID]])</f>
        <v>45661.0</v>
      </c>
      <c r="AB1216" s="65">
        <f>IF(tblWorkPackages[[#This Row],[Completion date serial]]&gt;tblWorkPackages[[#This Row],[Due date serial]],1,0)</f>
        <v>1</v>
      </c>
      <c r="AC1216" s="65">
        <f>MAX(0,tblWorkPackages[[#This Row],[Completion date serial]]-tblWorkPackages[[#This Row],[Due date serial]])</f>
        <v>22</v>
      </c>
      <c r="AD1216" s="65">
        <f>tblWorkPackages[[#This Row],[First labor date]]-tblWorkPackages[[#This Row],[Request date serial]]</f>
        <v>31</v>
      </c>
      <c r="AE1216" s="65">
        <f>tblWorkPackages[[#This Row],[Last labor date]]-tblWorkPackages[[#This Row],[First labor date]]</f>
        <v>2</v>
      </c>
      <c r="AF1216" s="65">
        <f>tblWorkPackages[[#This Row],[Completion date serial]]-tblWorkPackages[[#This Row],[Last labor date]]</f>
        <v>2</v>
      </c>
      <c r="AG1216" s="65">
        <f>tblWorkPackages[[#This Row],[Completion date serial]]-tblWorkPackages[[#This Row],[Request date serial]]</f>
        <v>35</v>
      </c>
      <c r="AH1216" s="65">
        <f>IFERROR(INDEX(tblParts[Delay days],MATCH(tblWorkPackages[[#This Row],[Work package ID]],tblParts[Work package ID],0)),0)</f>
        <v>0</v>
      </c>
      <c r="AI1216" s="51" t="str">
        <f>IFERROR(INDEX(tblDisruptions[Event type],MATCH(tblWorkPackages[[#This Row],[Work package ID]],tblDisruptions[Work package ID],0)),"None")</f>
        <v>None</v>
      </c>
      <c r="AJ1216" s="51" t="str">
        <f>TEXT(tblWorkPackages[[#This Row],[Due date serial]],"yyyy-mm")</f>
        <v>2024-12</v>
      </c>
    </row>
    <row r="1217" spans="1:36" ht="15" x14ac:dyDescent="0.25">
      <c r="A1217" s="53" t="s">
        <v>2124</v>
      </c>
      <c r="B1217" s="53" t="s">
        <v>168</v>
      </c>
      <c r="C1217" s="53" t="s">
        <v>392</v>
      </c>
      <c r="D1217" s="53" t="s">
        <v>894</v>
      </c>
      <c r="E1217" s="53" t="s">
        <v>127</v>
      </c>
      <c r="F1217" s="53" t="s">
        <v>128</v>
      </c>
      <c r="G1217" s="53" t="s">
        <v>129</v>
      </c>
      <c r="H1217" s="53">
        <v>1</v>
      </c>
      <c r="I1217" s="53" t="s">
        <v>130</v>
      </c>
      <c r="J1217" s="53">
        <v>0</v>
      </c>
      <c r="K1217" s="53">
        <v>0</v>
      </c>
      <c r="L1217" s="53">
        <v>4.5</v>
      </c>
      <c r="M1217" s="53" t="s">
        <v>294</v>
      </c>
      <c r="N1217" s="53">
        <v>4</v>
      </c>
      <c r="O1217" s="51" t="str">
        <f>TEXT(tblWorkPackages[[#This Row],[Request date serial]]-WEEKDAY(tblWorkPackages[[#This Row],[Request date serial]],3),"yyyy-mm-dd")</f>
        <v>2024-08-26</v>
      </c>
      <c r="P1217" s="51">
        <f>ABS(tblWorkPackages[[#This Row],[Actual labor hours]]-tblWorkPackages[[#This Row],[Estimated labor hours]])</f>
        <v>0.5</v>
      </c>
      <c r="Q1217" s="51">
        <f>IF(tblWorkPackages[[#This Row],[Actual labor hours]]&gt;tblWorkPackages[[#This Row],[Estimated labor hours]],1,0)</f>
        <v>0</v>
      </c>
      <c r="R1217" s="51">
        <f>tblWorkPackages[[#This Row],[Actual labor hours]]-tblWorkPackages[[#This Row],[Estimated labor hours]]</f>
        <v>-0.5</v>
      </c>
      <c r="S1217" s="51" t="str">
        <f>IF(tblWorkPackages[[#This Row],[Request date serial]]&lt;ValidationStart,"Train 2024",IF(tblWorkPackages[[#This Row],[Request date serial]]&lt;HoldoutStart,"Validation H1","Holdout H2"))</f>
        <v>Train 2024</v>
      </c>
      <c r="T1217" s="51" t="str">
        <f>IF(tblWorkPackages[[#This Row],[Time split]]="Train 2024","",tblWorkPackages[[#This Row],[Estimated labor hours]]+VLOOKUP(tblWorkPackages[[#This Row],[Task type]],'Forecast validation'!$A$14:$E$25,IF(tblWorkPackages[[#This Row],[Time split]]="Validation H1",4,5),FALSE()))</f>
        <v/>
      </c>
      <c r="U1217" s="51" t="str">
        <f>IF(tblWorkPackages[[#This Row],[Calibrated forecast hours]]="","",ABS(tblWorkPackages[[#This Row],[Actual labor hours]]-tblWorkPackages[[#This Row],[Calibrated forecast hours]]))</f>
        <v/>
      </c>
      <c r="V1217" s="51">
        <f>IF(tblWorkPackages[[#This Row],[Time split]]="Train 2024",tblWorkPackages[[#This Row],[Estimated labor hours]],tblWorkPackages[[#This Row],[Calibrated forecast hours]])</f>
        <v>4.5</v>
      </c>
      <c r="W1217" s="64">
        <f>DATEVALUE(tblWorkPackages[[#This Row],[Request date]])</f>
        <v>45534.0</v>
      </c>
      <c r="X1217" s="64">
        <f>DATEVALUE(tblWorkPackages[[#This Row],[Due date]])</f>
        <v>45547.0</v>
      </c>
      <c r="Y1217" s="64">
        <f>DATEVALUE(tblWorkPackages[[#This Row],[Completion date]])</f>
        <v>45543.0</v>
      </c>
      <c r="Z1217" s="64">
        <f>_xlfn.MINIFS(tblLaborEntries[Work date serial],tblLaborEntries[Work package ID],tblWorkPackages[[#This Row],[Work package ID]])</f>
        <v>45540.0</v>
      </c>
      <c r="AA1217" s="64">
        <f>_xlfn.MAXIFS(tblLaborEntries[Work date serial],tblLaborEntries[Work package ID],tblWorkPackages[[#This Row],[Work package ID]])</f>
        <v>45540.0</v>
      </c>
      <c r="AB1217" s="65">
        <f>IF(tblWorkPackages[[#This Row],[Completion date serial]]&gt;tblWorkPackages[[#This Row],[Due date serial]],1,0)</f>
        <v>0</v>
      </c>
      <c r="AC1217" s="65">
        <f>MAX(0,tblWorkPackages[[#This Row],[Completion date serial]]-tblWorkPackages[[#This Row],[Due date serial]])</f>
        <v>0</v>
      </c>
      <c r="AD1217" s="65">
        <f>tblWorkPackages[[#This Row],[First labor date]]-tblWorkPackages[[#This Row],[Request date serial]]</f>
        <v>6</v>
      </c>
      <c r="AE1217" s="65">
        <f>tblWorkPackages[[#This Row],[Last labor date]]-tblWorkPackages[[#This Row],[First labor date]]</f>
        <v>0</v>
      </c>
      <c r="AF1217" s="65">
        <f>tblWorkPackages[[#This Row],[Completion date serial]]-tblWorkPackages[[#This Row],[Last labor date]]</f>
        <v>3</v>
      </c>
      <c r="AG1217" s="65">
        <f>tblWorkPackages[[#This Row],[Completion date serial]]-tblWorkPackages[[#This Row],[Request date serial]]</f>
        <v>9</v>
      </c>
      <c r="AH1217" s="65">
        <f>IFERROR(INDEX(tblParts[Delay days],MATCH(tblWorkPackages[[#This Row],[Work package ID]],tblParts[Work package ID],0)),0)</f>
        <v>0</v>
      </c>
      <c r="AI1217" s="51" t="str">
        <f>IFERROR(INDEX(tblDisruptions[Event type],MATCH(tblWorkPackages[[#This Row],[Work package ID]],tblDisruptions[Work package ID],0)),"None")</f>
        <v>None</v>
      </c>
      <c r="AJ1217" s="51" t="str">
        <f>TEXT(tblWorkPackages[[#This Row],[Due date serial]],"yyyy-mm")</f>
        <v>2024-09</v>
      </c>
    </row>
    <row r="1218" spans="1:36" ht="15" x14ac:dyDescent="0.25">
      <c r="A1218" s="53" t="s">
        <v>2125</v>
      </c>
      <c r="B1218" s="53" t="s">
        <v>287</v>
      </c>
      <c r="C1218" s="53" t="s">
        <v>550</v>
      </c>
      <c r="D1218" s="53" t="s">
        <v>643</v>
      </c>
      <c r="E1218" s="53" t="s">
        <v>160</v>
      </c>
      <c r="F1218" s="53" t="s">
        <v>128</v>
      </c>
      <c r="G1218" s="53" t="s">
        <v>138</v>
      </c>
      <c r="H1218" s="53">
        <v>1</v>
      </c>
      <c r="I1218" s="53" t="s">
        <v>130</v>
      </c>
      <c r="J1218" s="53">
        <v>0</v>
      </c>
      <c r="K1218" s="53">
        <v>0</v>
      </c>
      <c r="L1218" s="53">
        <v>3.1</v>
      </c>
      <c r="M1218" s="53" t="s">
        <v>451</v>
      </c>
      <c r="N1218" s="53">
        <v>3.1</v>
      </c>
      <c r="O1218" s="51" t="str">
        <f>TEXT(tblWorkPackages[[#This Row],[Request date serial]]-WEEKDAY(tblWorkPackages[[#This Row],[Request date serial]],3),"yyyy-mm-dd")</f>
        <v>2024-07-08</v>
      </c>
      <c r="P1218" s="51">
        <f>ABS(tblWorkPackages[[#This Row],[Actual labor hours]]-tblWorkPackages[[#This Row],[Estimated labor hours]])</f>
        <v>0</v>
      </c>
      <c r="Q1218" s="51">
        <f>IF(tblWorkPackages[[#This Row],[Actual labor hours]]&gt;tblWorkPackages[[#This Row],[Estimated labor hours]],1,0)</f>
        <v>0</v>
      </c>
      <c r="R1218" s="51">
        <f>tblWorkPackages[[#This Row],[Actual labor hours]]-tblWorkPackages[[#This Row],[Estimated labor hours]]</f>
        <v>0</v>
      </c>
      <c r="S1218" s="51" t="str">
        <f>IF(tblWorkPackages[[#This Row],[Request date serial]]&lt;ValidationStart,"Train 2024",IF(tblWorkPackages[[#This Row],[Request date serial]]&lt;HoldoutStart,"Validation H1","Holdout H2"))</f>
        <v>Train 2024</v>
      </c>
      <c r="T1218" s="51" t="str">
        <f>IF(tblWorkPackages[[#This Row],[Time split]]="Train 2024","",tblWorkPackages[[#This Row],[Estimated labor hours]]+VLOOKUP(tblWorkPackages[[#This Row],[Task type]],'Forecast validation'!$A$14:$E$25,IF(tblWorkPackages[[#This Row],[Time split]]="Validation H1",4,5),FALSE()))</f>
        <v/>
      </c>
      <c r="U1218" s="51" t="str">
        <f>IF(tblWorkPackages[[#This Row],[Calibrated forecast hours]]="","",ABS(tblWorkPackages[[#This Row],[Actual labor hours]]-tblWorkPackages[[#This Row],[Calibrated forecast hours]]))</f>
        <v/>
      </c>
      <c r="V1218" s="51">
        <f>IF(tblWorkPackages[[#This Row],[Time split]]="Train 2024",tblWorkPackages[[#This Row],[Estimated labor hours]],tblWorkPackages[[#This Row],[Calibrated forecast hours]])</f>
        <v>3.1</v>
      </c>
      <c r="W1218" s="64">
        <f>DATEVALUE(tblWorkPackages[[#This Row],[Request date]])</f>
        <v>45482.0</v>
      </c>
      <c r="X1218" s="64">
        <f>DATEVALUE(tblWorkPackages[[#This Row],[Due date]])</f>
        <v>45495.0</v>
      </c>
      <c r="Y1218" s="64">
        <f>DATEVALUE(tblWorkPackages[[#This Row],[Completion date]])</f>
        <v>45484.0</v>
      </c>
      <c r="Z1218" s="64">
        <f>_xlfn.MINIFS(tblLaborEntries[Work date serial],tblLaborEntries[Work package ID],tblWorkPackages[[#This Row],[Work package ID]])</f>
        <v>45484.0</v>
      </c>
      <c r="AA1218" s="64">
        <f>_xlfn.MAXIFS(tblLaborEntries[Work date serial],tblLaborEntries[Work package ID],tblWorkPackages[[#This Row],[Work package ID]])</f>
        <v>45484.0</v>
      </c>
      <c r="AB1218" s="65">
        <f>IF(tblWorkPackages[[#This Row],[Completion date serial]]&gt;tblWorkPackages[[#This Row],[Due date serial]],1,0)</f>
        <v>0</v>
      </c>
      <c r="AC1218" s="65">
        <f>MAX(0,tblWorkPackages[[#This Row],[Completion date serial]]-tblWorkPackages[[#This Row],[Due date serial]])</f>
        <v>0</v>
      </c>
      <c r="AD1218" s="65">
        <f>tblWorkPackages[[#This Row],[First labor date]]-tblWorkPackages[[#This Row],[Request date serial]]</f>
        <v>2</v>
      </c>
      <c r="AE1218" s="65">
        <f>tblWorkPackages[[#This Row],[Last labor date]]-tblWorkPackages[[#This Row],[First labor date]]</f>
        <v>0</v>
      </c>
      <c r="AF1218" s="65">
        <f>tblWorkPackages[[#This Row],[Completion date serial]]-tblWorkPackages[[#This Row],[Last labor date]]</f>
        <v>0</v>
      </c>
      <c r="AG1218" s="65">
        <f>tblWorkPackages[[#This Row],[Completion date serial]]-tblWorkPackages[[#This Row],[Request date serial]]</f>
        <v>2</v>
      </c>
      <c r="AH1218" s="65">
        <f>IFERROR(INDEX(tblParts[Delay days],MATCH(tblWorkPackages[[#This Row],[Work package ID]],tblParts[Work package ID],0)),0)</f>
        <v>0</v>
      </c>
      <c r="AI1218" s="51" t="str">
        <f>IFERROR(INDEX(tblDisruptions[Event type],MATCH(tblWorkPackages[[#This Row],[Work package ID]],tblDisruptions[Work package ID],0)),"None")</f>
        <v>None</v>
      </c>
      <c r="AJ1218" s="51" t="str">
        <f>TEXT(tblWorkPackages[[#This Row],[Due date serial]],"yyyy-mm")</f>
        <v>2024-07</v>
      </c>
    </row>
    <row r="1219" spans="1:36" ht="15" x14ac:dyDescent="0.25">
      <c r="A1219" s="53" t="s">
        <v>2126</v>
      </c>
      <c r="B1219" s="53" t="s">
        <v>250</v>
      </c>
      <c r="C1219" s="53" t="s">
        <v>267</v>
      </c>
      <c r="D1219" s="53" t="s">
        <v>268</v>
      </c>
      <c r="E1219" s="53" t="s">
        <v>223</v>
      </c>
      <c r="F1219" s="53" t="s">
        <v>182</v>
      </c>
      <c r="G1219" s="53" t="s">
        <v>154</v>
      </c>
      <c r="H1219" s="53">
        <v>4</v>
      </c>
      <c r="I1219" s="53" t="s">
        <v>130</v>
      </c>
      <c r="J1219" s="53">
        <v>0</v>
      </c>
      <c r="K1219" s="53">
        <v>0</v>
      </c>
      <c r="L1219" s="53">
        <v>21.2</v>
      </c>
      <c r="M1219" s="53" t="s">
        <v>224</v>
      </c>
      <c r="N1219" s="53">
        <v>24.2</v>
      </c>
      <c r="O1219" s="51" t="str">
        <f>TEXT(tblWorkPackages[[#This Row],[Request date serial]]-WEEKDAY(tblWorkPackages[[#This Row],[Request date serial]],3),"yyyy-mm-dd")</f>
        <v>2024-12-02</v>
      </c>
      <c r="P1219" s="51">
        <f>ABS(tblWorkPackages[[#This Row],[Actual labor hours]]-tblWorkPackages[[#This Row],[Estimated labor hours]])</f>
        <v>3</v>
      </c>
      <c r="Q1219" s="51">
        <f>IF(tblWorkPackages[[#This Row],[Actual labor hours]]&gt;tblWorkPackages[[#This Row],[Estimated labor hours]],1,0)</f>
        <v>1</v>
      </c>
      <c r="R1219" s="51">
        <f>tblWorkPackages[[#This Row],[Actual labor hours]]-tblWorkPackages[[#This Row],[Estimated labor hours]]</f>
        <v>3</v>
      </c>
      <c r="S1219" s="51" t="str">
        <f>IF(tblWorkPackages[[#This Row],[Request date serial]]&lt;ValidationStart,"Train 2024",IF(tblWorkPackages[[#This Row],[Request date serial]]&lt;HoldoutStart,"Validation H1","Holdout H2"))</f>
        <v>Train 2024</v>
      </c>
      <c r="T1219" s="51" t="str">
        <f>IF(tblWorkPackages[[#This Row],[Time split]]="Train 2024","",tblWorkPackages[[#This Row],[Estimated labor hours]]+VLOOKUP(tblWorkPackages[[#This Row],[Task type]],'Forecast validation'!$A$14:$E$25,IF(tblWorkPackages[[#This Row],[Time split]]="Validation H1",4,5),FALSE()))</f>
        <v/>
      </c>
      <c r="U1219" s="51" t="str">
        <f>IF(tblWorkPackages[[#This Row],[Calibrated forecast hours]]="","",ABS(tblWorkPackages[[#This Row],[Actual labor hours]]-tblWorkPackages[[#This Row],[Calibrated forecast hours]]))</f>
        <v/>
      </c>
      <c r="V1219" s="51">
        <f>IF(tblWorkPackages[[#This Row],[Time split]]="Train 2024",tblWorkPackages[[#This Row],[Estimated labor hours]],tblWorkPackages[[#This Row],[Calibrated forecast hours]])</f>
        <v>21.2</v>
      </c>
      <c r="W1219" s="64">
        <f>DATEVALUE(tblWorkPackages[[#This Row],[Request date]])</f>
        <v>45631.0</v>
      </c>
      <c r="X1219" s="64">
        <f>DATEVALUE(tblWorkPackages[[#This Row],[Due date]])</f>
        <v>45644.0</v>
      </c>
      <c r="Y1219" s="64">
        <f>DATEVALUE(tblWorkPackages[[#This Row],[Completion date]])</f>
        <v>45648.0</v>
      </c>
      <c r="Z1219" s="64">
        <f>_xlfn.MINIFS(tblLaborEntries[Work date serial],tblLaborEntries[Work package ID],tblWorkPackages[[#This Row],[Work package ID]])</f>
        <v>45645.0</v>
      </c>
      <c r="AA1219" s="64">
        <f>_xlfn.MAXIFS(tblLaborEntries[Work date serial],tblLaborEntries[Work package ID],tblWorkPackages[[#This Row],[Work package ID]])</f>
        <v>45647.0</v>
      </c>
      <c r="AB1219" s="65">
        <f>IF(tblWorkPackages[[#This Row],[Completion date serial]]&gt;tblWorkPackages[[#This Row],[Due date serial]],1,0)</f>
        <v>1</v>
      </c>
      <c r="AC1219" s="65">
        <f>MAX(0,tblWorkPackages[[#This Row],[Completion date serial]]-tblWorkPackages[[#This Row],[Due date serial]])</f>
        <v>4</v>
      </c>
      <c r="AD1219" s="65">
        <f>tblWorkPackages[[#This Row],[First labor date]]-tblWorkPackages[[#This Row],[Request date serial]]</f>
        <v>14</v>
      </c>
      <c r="AE1219" s="65">
        <f>tblWorkPackages[[#This Row],[Last labor date]]-tblWorkPackages[[#This Row],[First labor date]]</f>
        <v>2</v>
      </c>
      <c r="AF1219" s="65">
        <f>tblWorkPackages[[#This Row],[Completion date serial]]-tblWorkPackages[[#This Row],[Last labor date]]</f>
        <v>1</v>
      </c>
      <c r="AG1219" s="65">
        <f>tblWorkPackages[[#This Row],[Completion date serial]]-tblWorkPackages[[#This Row],[Request date serial]]</f>
        <v>17</v>
      </c>
      <c r="AH1219" s="65">
        <f>IFERROR(INDEX(tblParts[Delay days],MATCH(tblWorkPackages[[#This Row],[Work package ID]],tblParts[Work package ID],0)),0)</f>
        <v>0</v>
      </c>
      <c r="AI1219" s="51" t="str">
        <f>IFERROR(INDEX(tblDisruptions[Event type],MATCH(tblWorkPackages[[#This Row],[Work package ID]],tblDisruptions[Work package ID],0)),"None")</f>
        <v>None</v>
      </c>
      <c r="AJ1219" s="51" t="str">
        <f>TEXT(tblWorkPackages[[#This Row],[Due date serial]],"yyyy-mm")</f>
        <v>2024-12</v>
      </c>
    </row>
    <row r="1220" spans="1:36" ht="15" x14ac:dyDescent="0.25">
      <c r="A1220" s="53" t="s">
        <v>2127</v>
      </c>
      <c r="B1220" s="53" t="s">
        <v>287</v>
      </c>
      <c r="C1220" s="53" t="s">
        <v>381</v>
      </c>
      <c r="D1220" s="53" t="s">
        <v>960</v>
      </c>
      <c r="E1220" s="53" t="s">
        <v>144</v>
      </c>
      <c r="F1220" s="53" t="s">
        <v>145</v>
      </c>
      <c r="G1220" s="53" t="s">
        <v>146</v>
      </c>
      <c r="H1220" s="53">
        <v>1</v>
      </c>
      <c r="I1220" s="53" t="s">
        <v>176</v>
      </c>
      <c r="J1220" s="53">
        <v>0</v>
      </c>
      <c r="K1220" s="53">
        <v>1</v>
      </c>
      <c r="L1220" s="53">
        <v>6.2</v>
      </c>
      <c r="M1220" s="53" t="s">
        <v>960</v>
      </c>
      <c r="N1220" s="53">
        <v>4.8</v>
      </c>
      <c r="O1220" s="51" t="str">
        <f>TEXT(tblWorkPackages[[#This Row],[Request date serial]]-WEEKDAY(tblWorkPackages[[#This Row],[Request date serial]],3),"yyyy-mm-dd")</f>
        <v>2024-10-21</v>
      </c>
      <c r="P1220" s="51">
        <f>ABS(tblWorkPackages[[#This Row],[Actual labor hours]]-tblWorkPackages[[#This Row],[Estimated labor hours]])</f>
        <v>1.4</v>
      </c>
      <c r="Q1220" s="51">
        <f>IF(tblWorkPackages[[#This Row],[Actual labor hours]]&gt;tblWorkPackages[[#This Row],[Estimated labor hours]],1,0)</f>
        <v>0</v>
      </c>
      <c r="R1220" s="51">
        <f>tblWorkPackages[[#This Row],[Actual labor hours]]-tblWorkPackages[[#This Row],[Estimated labor hours]]</f>
        <v>-1.4</v>
      </c>
      <c r="S1220" s="51" t="str">
        <f>IF(tblWorkPackages[[#This Row],[Request date serial]]&lt;ValidationStart,"Train 2024",IF(tblWorkPackages[[#This Row],[Request date serial]]&lt;HoldoutStart,"Validation H1","Holdout H2"))</f>
        <v>Train 2024</v>
      </c>
      <c r="T1220" s="51" t="str">
        <f>IF(tblWorkPackages[[#This Row],[Time split]]="Train 2024","",tblWorkPackages[[#This Row],[Estimated labor hours]]+VLOOKUP(tblWorkPackages[[#This Row],[Task type]],'Forecast validation'!$A$14:$E$25,IF(tblWorkPackages[[#This Row],[Time split]]="Validation H1",4,5),FALSE()))</f>
        <v/>
      </c>
      <c r="U1220" s="51" t="str">
        <f>IF(tblWorkPackages[[#This Row],[Calibrated forecast hours]]="","",ABS(tblWorkPackages[[#This Row],[Actual labor hours]]-tblWorkPackages[[#This Row],[Calibrated forecast hours]]))</f>
        <v/>
      </c>
      <c r="V1220" s="51">
        <f>IF(tblWorkPackages[[#This Row],[Time split]]="Train 2024",tblWorkPackages[[#This Row],[Estimated labor hours]],tblWorkPackages[[#This Row],[Calibrated forecast hours]])</f>
        <v>6.2</v>
      </c>
      <c r="W1220" s="64">
        <f>DATEVALUE(tblWorkPackages[[#This Row],[Request date]])</f>
        <v>45588.0</v>
      </c>
      <c r="X1220" s="64">
        <f>DATEVALUE(tblWorkPackages[[#This Row],[Due date]])</f>
        <v>45594.0</v>
      </c>
      <c r="Y1220" s="64">
        <f>DATEVALUE(tblWorkPackages[[#This Row],[Completion date]])</f>
        <v>45594.0</v>
      </c>
      <c r="Z1220" s="64">
        <f>_xlfn.MINIFS(tblLaborEntries[Work date serial],tblLaborEntries[Work package ID],tblWorkPackages[[#This Row],[Work package ID]])</f>
        <v>45592.0</v>
      </c>
      <c r="AA1220" s="64">
        <f>_xlfn.MAXIFS(tblLaborEntries[Work date serial],tblLaborEntries[Work package ID],tblWorkPackages[[#This Row],[Work package ID]])</f>
        <v>45592.0</v>
      </c>
      <c r="AB1220" s="65">
        <f>IF(tblWorkPackages[[#This Row],[Completion date serial]]&gt;tblWorkPackages[[#This Row],[Due date serial]],1,0)</f>
        <v>0</v>
      </c>
      <c r="AC1220" s="65">
        <f>MAX(0,tblWorkPackages[[#This Row],[Completion date serial]]-tblWorkPackages[[#This Row],[Due date serial]])</f>
        <v>0</v>
      </c>
      <c r="AD1220" s="65">
        <f>tblWorkPackages[[#This Row],[First labor date]]-tblWorkPackages[[#This Row],[Request date serial]]</f>
        <v>4</v>
      </c>
      <c r="AE1220" s="65">
        <f>tblWorkPackages[[#This Row],[Last labor date]]-tblWorkPackages[[#This Row],[First labor date]]</f>
        <v>0</v>
      </c>
      <c r="AF1220" s="65">
        <f>tblWorkPackages[[#This Row],[Completion date serial]]-tblWorkPackages[[#This Row],[Last labor date]]</f>
        <v>2</v>
      </c>
      <c r="AG1220" s="65">
        <f>tblWorkPackages[[#This Row],[Completion date serial]]-tblWorkPackages[[#This Row],[Request date serial]]</f>
        <v>6</v>
      </c>
      <c r="AH1220" s="65">
        <f>IFERROR(INDEX(tblParts[Delay days],MATCH(tblWorkPackages[[#This Row],[Work package ID]],tblParts[Work package ID],0)),0)</f>
        <v>0</v>
      </c>
      <c r="AI1220" s="51" t="str">
        <f>IFERROR(INDEX(tblDisruptions[Event type],MATCH(tblWorkPackages[[#This Row],[Work package ID]],tblDisruptions[Work package ID],0)),"None")</f>
        <v>None</v>
      </c>
      <c r="AJ1220" s="51" t="str">
        <f>TEXT(tblWorkPackages[[#This Row],[Due date serial]],"yyyy-mm")</f>
        <v>2024-10</v>
      </c>
    </row>
    <row r="1221" spans="1:36" ht="15" x14ac:dyDescent="0.25">
      <c r="A1221" s="53" t="s">
        <v>2128</v>
      </c>
      <c r="B1221" s="53" t="s">
        <v>163</v>
      </c>
      <c r="C1221" s="53" t="s">
        <v>607</v>
      </c>
      <c r="D1221" s="53" t="s">
        <v>1192</v>
      </c>
      <c r="E1221" s="53" t="s">
        <v>144</v>
      </c>
      <c r="F1221" s="53" t="s">
        <v>145</v>
      </c>
      <c r="G1221" s="53" t="s">
        <v>146</v>
      </c>
      <c r="H1221" s="53">
        <v>1</v>
      </c>
      <c r="I1221" s="53" t="s">
        <v>130</v>
      </c>
      <c r="J1221" s="53">
        <v>0</v>
      </c>
      <c r="K1221" s="53">
        <v>1</v>
      </c>
      <c r="L1221" s="53">
        <v>7.3</v>
      </c>
      <c r="M1221" s="53" t="s">
        <v>871</v>
      </c>
      <c r="N1221" s="53">
        <v>5.6</v>
      </c>
      <c r="O1221" s="51" t="str">
        <f>TEXT(tblWorkPackages[[#This Row],[Request date serial]]-WEEKDAY(tblWorkPackages[[#This Row],[Request date serial]],3),"yyyy-mm-dd")</f>
        <v>2025-03-17</v>
      </c>
      <c r="P1221" s="51">
        <f>ABS(tblWorkPackages[[#This Row],[Actual labor hours]]-tblWorkPackages[[#This Row],[Estimated labor hours]])</f>
        <v>1.7</v>
      </c>
      <c r="Q1221" s="51">
        <f>IF(tblWorkPackages[[#This Row],[Actual labor hours]]&gt;tblWorkPackages[[#This Row],[Estimated labor hours]],1,0)</f>
        <v>0</v>
      </c>
      <c r="R1221" s="51">
        <f>tblWorkPackages[[#This Row],[Actual labor hours]]-tblWorkPackages[[#This Row],[Estimated labor hours]]</f>
        <v>-1.7</v>
      </c>
      <c r="S1221" s="51" t="str">
        <f>IF(tblWorkPackages[[#This Row],[Request date serial]]&lt;ValidationStart,"Train 2024",IF(tblWorkPackages[[#This Row],[Request date serial]]&lt;HoldoutStart,"Validation H1","Holdout H2"))</f>
        <v>Validation H1</v>
      </c>
      <c r="T1221" s="51">
        <f>IF(tblWorkPackages[[#This Row],[Time split]]="Train 2024","",tblWorkPackages[[#This Row],[Estimated labor hours]]+VLOOKUP(tblWorkPackages[[#This Row],[Task type]],'Forecast validation'!$A$14:$E$25,IF(tblWorkPackages[[#This Row],[Time split]]="Validation H1",4,5),FALSE()))</f>
        <v>8.05473684210526</v>
      </c>
      <c r="U1221" s="51">
        <f>IF(tblWorkPackages[[#This Row],[Calibrated forecast hours]]="","",ABS(tblWorkPackages[[#This Row],[Actual labor hours]]-tblWorkPackages[[#This Row],[Calibrated forecast hours]]))</f>
        <v>2.45473684210526</v>
      </c>
      <c r="V1221" s="51">
        <f>IF(tblWorkPackages[[#This Row],[Time split]]="Train 2024",tblWorkPackages[[#This Row],[Estimated labor hours]],tblWorkPackages[[#This Row],[Calibrated forecast hours]])</f>
        <v>8.05473684210526</v>
      </c>
      <c r="W1221" s="64">
        <f>DATEVALUE(tblWorkPackages[[#This Row],[Request date]])</f>
        <v>45734.0</v>
      </c>
      <c r="X1221" s="64">
        <f>DATEVALUE(tblWorkPackages[[#This Row],[Due date]])</f>
        <v>45747.0</v>
      </c>
      <c r="Y1221" s="64">
        <f>DATEVALUE(tblWorkPackages[[#This Row],[Completion date]])</f>
        <v>45738.0</v>
      </c>
      <c r="Z1221" s="64">
        <f>_xlfn.MINIFS(tblLaborEntries[Work date serial],tblLaborEntries[Work package ID],tblWorkPackages[[#This Row],[Work package ID]])</f>
        <v>45735.0</v>
      </c>
      <c r="AA1221" s="64">
        <f>_xlfn.MAXIFS(tblLaborEntries[Work date serial],tblLaborEntries[Work package ID],tblWorkPackages[[#This Row],[Work package ID]])</f>
        <v>45735.0</v>
      </c>
      <c r="AB1221" s="65">
        <f>IF(tblWorkPackages[[#This Row],[Completion date serial]]&gt;tblWorkPackages[[#This Row],[Due date serial]],1,0)</f>
        <v>0</v>
      </c>
      <c r="AC1221" s="65">
        <f>MAX(0,tblWorkPackages[[#This Row],[Completion date serial]]-tblWorkPackages[[#This Row],[Due date serial]])</f>
        <v>0</v>
      </c>
      <c r="AD1221" s="65">
        <f>tblWorkPackages[[#This Row],[First labor date]]-tblWorkPackages[[#This Row],[Request date serial]]</f>
        <v>1</v>
      </c>
      <c r="AE1221" s="65">
        <f>tblWorkPackages[[#This Row],[Last labor date]]-tblWorkPackages[[#This Row],[First labor date]]</f>
        <v>0</v>
      </c>
      <c r="AF1221" s="65">
        <f>tblWorkPackages[[#This Row],[Completion date serial]]-tblWorkPackages[[#This Row],[Last labor date]]</f>
        <v>3</v>
      </c>
      <c r="AG1221" s="65">
        <f>tblWorkPackages[[#This Row],[Completion date serial]]-tblWorkPackages[[#This Row],[Request date serial]]</f>
        <v>4</v>
      </c>
      <c r="AH1221" s="65">
        <f>IFERROR(INDEX(tblParts[Delay days],MATCH(tblWorkPackages[[#This Row],[Work package ID]],tblParts[Work package ID],0)),0)</f>
        <v>0</v>
      </c>
      <c r="AI1221" s="51" t="str">
        <f>IFERROR(INDEX(tblDisruptions[Event type],MATCH(tblWorkPackages[[#This Row],[Work package ID]],tblDisruptions[Work package ID],0)),"None")</f>
        <v>None</v>
      </c>
      <c r="AJ1221" s="51" t="str">
        <f>TEXT(tblWorkPackages[[#This Row],[Due date serial]],"yyyy-mm")</f>
        <v>2025-03</v>
      </c>
    </row>
    <row r="1222" spans="1:36" ht="15" x14ac:dyDescent="0.25">
      <c r="A1222" s="53" t="s">
        <v>2129</v>
      </c>
      <c r="B1222" s="53" t="s">
        <v>163</v>
      </c>
      <c r="C1222" s="53" t="s">
        <v>486</v>
      </c>
      <c r="D1222" s="53" t="s">
        <v>1058</v>
      </c>
      <c r="E1222" s="53" t="s">
        <v>223</v>
      </c>
      <c r="F1222" s="53" t="s">
        <v>182</v>
      </c>
      <c r="G1222" s="53" t="s">
        <v>154</v>
      </c>
      <c r="H1222" s="53">
        <v>3</v>
      </c>
      <c r="I1222" s="53" t="s">
        <v>130</v>
      </c>
      <c r="J1222" s="53">
        <v>0</v>
      </c>
      <c r="K1222" s="53">
        <v>0</v>
      </c>
      <c r="L1222" s="53">
        <v>16.100000000000001</v>
      </c>
      <c r="M1222" s="53" t="s">
        <v>253</v>
      </c>
      <c r="N1222" s="53">
        <v>18.7</v>
      </c>
      <c r="O1222" s="51" t="str">
        <f>TEXT(tblWorkPackages[[#This Row],[Request date serial]]-WEEKDAY(tblWorkPackages[[#This Row],[Request date serial]],3),"yyyy-mm-dd")</f>
        <v>2025-01-06</v>
      </c>
      <c r="P1222" s="51">
        <f>ABS(tblWorkPackages[[#This Row],[Actual labor hours]]-tblWorkPackages[[#This Row],[Estimated labor hours]])</f>
        <v>2.6</v>
      </c>
      <c r="Q1222" s="51">
        <f>IF(tblWorkPackages[[#This Row],[Actual labor hours]]&gt;tblWorkPackages[[#This Row],[Estimated labor hours]],1,0)</f>
        <v>1</v>
      </c>
      <c r="R1222" s="51">
        <f>tblWorkPackages[[#This Row],[Actual labor hours]]-tblWorkPackages[[#This Row],[Estimated labor hours]]</f>
        <v>2.6</v>
      </c>
      <c r="S1222" s="51" t="str">
        <f>IF(tblWorkPackages[[#This Row],[Request date serial]]&lt;ValidationStart,"Train 2024",IF(tblWorkPackages[[#This Row],[Request date serial]]&lt;HoldoutStart,"Validation H1","Holdout H2"))</f>
        <v>Validation H1</v>
      </c>
      <c r="T1222" s="51">
        <f>IF(tblWorkPackages[[#This Row],[Time split]]="Train 2024","",tblWorkPackages[[#This Row],[Estimated labor hours]]+VLOOKUP(tblWorkPackages[[#This Row],[Task type]],'Forecast validation'!$A$14:$E$25,IF(tblWorkPackages[[#This Row],[Time split]]="Validation H1",4,5),FALSE()))</f>
        <v>16.9824175824176</v>
      </c>
      <c r="U1222" s="51">
        <f>IF(tblWorkPackages[[#This Row],[Calibrated forecast hours]]="","",ABS(tblWorkPackages[[#This Row],[Actual labor hours]]-tblWorkPackages[[#This Row],[Calibrated forecast hours]]))</f>
        <v>1.71758241758242</v>
      </c>
      <c r="V1222" s="51">
        <f>IF(tblWorkPackages[[#This Row],[Time split]]="Train 2024",tblWorkPackages[[#This Row],[Estimated labor hours]],tblWorkPackages[[#This Row],[Calibrated forecast hours]])</f>
        <v>16.9824175824176</v>
      </c>
      <c r="W1222" s="64">
        <f>DATEVALUE(tblWorkPackages[[#This Row],[Request date]])</f>
        <v>45667.0</v>
      </c>
      <c r="X1222" s="64">
        <f>DATEVALUE(tblWorkPackages[[#This Row],[Due date]])</f>
        <v>45680.0</v>
      </c>
      <c r="Y1222" s="64">
        <f>DATEVALUE(tblWorkPackages[[#This Row],[Completion date]])</f>
        <v>45677.0</v>
      </c>
      <c r="Z1222" s="64">
        <f>_xlfn.MINIFS(tblLaborEntries[Work date serial],tblLaborEntries[Work package ID],tblWorkPackages[[#This Row],[Work package ID]])</f>
        <v>45676.0</v>
      </c>
      <c r="AA1222" s="64">
        <f>_xlfn.MAXIFS(tblLaborEntries[Work date serial],tblLaborEntries[Work package ID],tblWorkPackages[[#This Row],[Work package ID]])</f>
        <v>45677.0</v>
      </c>
      <c r="AB1222" s="65">
        <f>IF(tblWorkPackages[[#This Row],[Completion date serial]]&gt;tblWorkPackages[[#This Row],[Due date serial]],1,0)</f>
        <v>0</v>
      </c>
      <c r="AC1222" s="65">
        <f>MAX(0,tblWorkPackages[[#This Row],[Completion date serial]]-tblWorkPackages[[#This Row],[Due date serial]])</f>
        <v>0</v>
      </c>
      <c r="AD1222" s="65">
        <f>tblWorkPackages[[#This Row],[First labor date]]-tblWorkPackages[[#This Row],[Request date serial]]</f>
        <v>9</v>
      </c>
      <c r="AE1222" s="65">
        <f>tblWorkPackages[[#This Row],[Last labor date]]-tblWorkPackages[[#This Row],[First labor date]]</f>
        <v>1</v>
      </c>
      <c r="AF1222" s="65">
        <f>tblWorkPackages[[#This Row],[Completion date serial]]-tblWorkPackages[[#This Row],[Last labor date]]</f>
        <v>0</v>
      </c>
      <c r="AG1222" s="65">
        <f>tblWorkPackages[[#This Row],[Completion date serial]]-tblWorkPackages[[#This Row],[Request date serial]]</f>
        <v>10</v>
      </c>
      <c r="AH1222" s="65">
        <f>IFERROR(INDEX(tblParts[Delay days],MATCH(tblWorkPackages[[#This Row],[Work package ID]],tblParts[Work package ID],0)),0)</f>
        <v>0</v>
      </c>
      <c r="AI1222" s="51" t="str">
        <f>IFERROR(INDEX(tblDisruptions[Event type],MATCH(tblWorkPackages[[#This Row],[Work package ID]],tblDisruptions[Work package ID],0)),"None")</f>
        <v>None</v>
      </c>
      <c r="AJ1222" s="51" t="str">
        <f>TEXT(tblWorkPackages[[#This Row],[Due date serial]],"yyyy-mm")</f>
        <v>2025-01</v>
      </c>
    </row>
    <row r="1223" spans="1:36" ht="15" x14ac:dyDescent="0.25">
      <c r="A1223" s="53" t="s">
        <v>2130</v>
      </c>
      <c r="B1223" s="53" t="s">
        <v>203</v>
      </c>
      <c r="C1223" s="53" t="s">
        <v>894</v>
      </c>
      <c r="D1223" s="53" t="s">
        <v>1135</v>
      </c>
      <c r="E1223" s="53" t="s">
        <v>136</v>
      </c>
      <c r="F1223" s="53" t="s">
        <v>137</v>
      </c>
      <c r="G1223" s="53" t="s">
        <v>138</v>
      </c>
      <c r="H1223" s="53">
        <v>2</v>
      </c>
      <c r="I1223" s="53" t="s">
        <v>130</v>
      </c>
      <c r="J1223" s="53">
        <v>0</v>
      </c>
      <c r="K1223" s="53">
        <v>0</v>
      </c>
      <c r="L1223" s="53">
        <v>11.8</v>
      </c>
      <c r="M1223" s="53" t="s">
        <v>755</v>
      </c>
      <c r="N1223" s="53">
        <v>12.2</v>
      </c>
      <c r="O1223" s="51" t="str">
        <f>TEXT(tblWorkPackages[[#This Row],[Request date serial]]-WEEKDAY(tblWorkPackages[[#This Row],[Request date serial]],3),"yyyy-mm-dd")</f>
        <v>2024-09-09</v>
      </c>
      <c r="P1223" s="51">
        <f>ABS(tblWorkPackages[[#This Row],[Actual labor hours]]-tblWorkPackages[[#This Row],[Estimated labor hours]])</f>
        <v>0.399999999999999</v>
      </c>
      <c r="Q1223" s="51">
        <f>IF(tblWorkPackages[[#This Row],[Actual labor hours]]&gt;tblWorkPackages[[#This Row],[Estimated labor hours]],1,0)</f>
        <v>1</v>
      </c>
      <c r="R1223" s="51">
        <f>tblWorkPackages[[#This Row],[Actual labor hours]]-tblWorkPackages[[#This Row],[Estimated labor hours]]</f>
        <v>0.399999999999999</v>
      </c>
      <c r="S1223" s="51" t="str">
        <f>IF(tblWorkPackages[[#This Row],[Request date serial]]&lt;ValidationStart,"Train 2024",IF(tblWorkPackages[[#This Row],[Request date serial]]&lt;HoldoutStart,"Validation H1","Holdout H2"))</f>
        <v>Train 2024</v>
      </c>
      <c r="T1223" s="51" t="str">
        <f>IF(tblWorkPackages[[#This Row],[Time split]]="Train 2024","",tblWorkPackages[[#This Row],[Estimated labor hours]]+VLOOKUP(tblWorkPackages[[#This Row],[Task type]],'Forecast validation'!$A$14:$E$25,IF(tblWorkPackages[[#This Row],[Time split]]="Validation H1",4,5),FALSE()))</f>
        <v/>
      </c>
      <c r="U1223" s="51" t="str">
        <f>IF(tblWorkPackages[[#This Row],[Calibrated forecast hours]]="","",ABS(tblWorkPackages[[#This Row],[Actual labor hours]]-tblWorkPackages[[#This Row],[Calibrated forecast hours]]))</f>
        <v/>
      </c>
      <c r="V1223" s="51">
        <f>IF(tblWorkPackages[[#This Row],[Time split]]="Train 2024",tblWorkPackages[[#This Row],[Estimated labor hours]],tblWorkPackages[[#This Row],[Calibrated forecast hours]])</f>
        <v>11.8</v>
      </c>
      <c r="W1223" s="64">
        <f>DATEVALUE(tblWorkPackages[[#This Row],[Request date]])</f>
        <v>45547.0</v>
      </c>
      <c r="X1223" s="64">
        <f>DATEVALUE(tblWorkPackages[[#This Row],[Due date]])</f>
        <v>45560.0</v>
      </c>
      <c r="Y1223" s="64">
        <f>DATEVALUE(tblWorkPackages[[#This Row],[Completion date]])</f>
        <v>45550.0</v>
      </c>
      <c r="Z1223" s="64">
        <f>_xlfn.MINIFS(tblLaborEntries[Work date serial],tblLaborEntries[Work package ID],tblWorkPackages[[#This Row],[Work package ID]])</f>
        <v>45549.0</v>
      </c>
      <c r="AA1223" s="64">
        <f>_xlfn.MAXIFS(tblLaborEntries[Work date serial],tblLaborEntries[Work package ID],tblWorkPackages[[#This Row],[Work package ID]])</f>
        <v>45549.0</v>
      </c>
      <c r="AB1223" s="65">
        <f>IF(tblWorkPackages[[#This Row],[Completion date serial]]&gt;tblWorkPackages[[#This Row],[Due date serial]],1,0)</f>
        <v>0</v>
      </c>
      <c r="AC1223" s="65">
        <f>MAX(0,tblWorkPackages[[#This Row],[Completion date serial]]-tblWorkPackages[[#This Row],[Due date serial]])</f>
        <v>0</v>
      </c>
      <c r="AD1223" s="65">
        <f>tblWorkPackages[[#This Row],[First labor date]]-tblWorkPackages[[#This Row],[Request date serial]]</f>
        <v>2</v>
      </c>
      <c r="AE1223" s="65">
        <f>tblWorkPackages[[#This Row],[Last labor date]]-tblWorkPackages[[#This Row],[First labor date]]</f>
        <v>0</v>
      </c>
      <c r="AF1223" s="65">
        <f>tblWorkPackages[[#This Row],[Completion date serial]]-tblWorkPackages[[#This Row],[Last labor date]]</f>
        <v>1</v>
      </c>
      <c r="AG1223" s="65">
        <f>tblWorkPackages[[#This Row],[Completion date serial]]-tblWorkPackages[[#This Row],[Request date serial]]</f>
        <v>3</v>
      </c>
      <c r="AH1223" s="65">
        <f>IFERROR(INDEX(tblParts[Delay days],MATCH(tblWorkPackages[[#This Row],[Work package ID]],tblParts[Work package ID],0)),0)</f>
        <v>0</v>
      </c>
      <c r="AI1223" s="51" t="str">
        <f>IFERROR(INDEX(tblDisruptions[Event type],MATCH(tblWorkPackages[[#This Row],[Work package ID]],tblDisruptions[Work package ID],0)),"None")</f>
        <v>None</v>
      </c>
      <c r="AJ1223" s="51" t="str">
        <f>TEXT(tblWorkPackages[[#This Row],[Due date serial]],"yyyy-mm")</f>
        <v>2024-09</v>
      </c>
    </row>
    <row r="1224" spans="1:36" ht="15" x14ac:dyDescent="0.25">
      <c r="A1224" s="53" t="s">
        <v>2131</v>
      </c>
      <c r="B1224" s="53" t="s">
        <v>203</v>
      </c>
      <c r="C1224" s="53" t="s">
        <v>559</v>
      </c>
      <c r="D1224" s="53" t="s">
        <v>1427</v>
      </c>
      <c r="E1224" s="53" t="s">
        <v>153</v>
      </c>
      <c r="F1224" s="53" t="s">
        <v>128</v>
      </c>
      <c r="G1224" s="53" t="s">
        <v>154</v>
      </c>
      <c r="H1224" s="53">
        <v>2</v>
      </c>
      <c r="I1224" s="53" t="s">
        <v>130</v>
      </c>
      <c r="J1224" s="53">
        <v>0</v>
      </c>
      <c r="K1224" s="53">
        <v>1</v>
      </c>
      <c r="L1224" s="53">
        <v>7.9</v>
      </c>
      <c r="M1224" s="53" t="s">
        <v>909</v>
      </c>
      <c r="N1224" s="53">
        <v>9.1999999999999993</v>
      </c>
      <c r="O1224" s="51" t="str">
        <f>TEXT(tblWorkPackages[[#This Row],[Request date serial]]-WEEKDAY(tblWorkPackages[[#This Row],[Request date serial]],3),"yyyy-mm-dd")</f>
        <v>2025-11-10</v>
      </c>
      <c r="P1224" s="51">
        <f>ABS(tblWorkPackages[[#This Row],[Actual labor hours]]-tblWorkPackages[[#This Row],[Estimated labor hours]])</f>
        <v>1.3</v>
      </c>
      <c r="Q1224" s="51">
        <f>IF(tblWorkPackages[[#This Row],[Actual labor hours]]&gt;tblWorkPackages[[#This Row],[Estimated labor hours]],1,0)</f>
        <v>1</v>
      </c>
      <c r="R1224" s="51">
        <f>tblWorkPackages[[#This Row],[Actual labor hours]]-tblWorkPackages[[#This Row],[Estimated labor hours]]</f>
        <v>1.3</v>
      </c>
      <c r="S1224" s="51" t="str">
        <f>IF(tblWorkPackages[[#This Row],[Request date serial]]&lt;ValidationStart,"Train 2024",IF(tblWorkPackages[[#This Row],[Request date serial]]&lt;HoldoutStart,"Validation H1","Holdout H2"))</f>
        <v>Holdout H2</v>
      </c>
      <c r="T1224" s="51">
        <f>IF(tblWorkPackages[[#This Row],[Time split]]="Train 2024","",tblWorkPackages[[#This Row],[Estimated labor hours]]+VLOOKUP(tblWorkPackages[[#This Row],[Task type]],'Forecast validation'!$A$14:$E$25,IF(tblWorkPackages[[#This Row],[Time split]]="Validation H1",4,5),FALSE()))</f>
        <v>8.50266666666667</v>
      </c>
      <c r="U1224" s="51">
        <f>IF(tblWorkPackages[[#This Row],[Calibrated forecast hours]]="","",ABS(tblWorkPackages[[#This Row],[Actual labor hours]]-tblWorkPackages[[#This Row],[Calibrated forecast hours]]))</f>
        <v>0.697333333333333</v>
      </c>
      <c r="V1224" s="51">
        <f>IF(tblWorkPackages[[#This Row],[Time split]]="Train 2024",tblWorkPackages[[#This Row],[Estimated labor hours]],tblWorkPackages[[#This Row],[Calibrated forecast hours]])</f>
        <v>8.50266666666667</v>
      </c>
      <c r="W1224" s="64">
        <f>DATEVALUE(tblWorkPackages[[#This Row],[Request date]])</f>
        <v>45974.0</v>
      </c>
      <c r="X1224" s="64">
        <f>DATEVALUE(tblWorkPackages[[#This Row],[Due date]])</f>
        <v>45987.0</v>
      </c>
      <c r="Y1224" s="64">
        <f>DATEVALUE(tblWorkPackages[[#This Row],[Completion date]])</f>
        <v>45999.0</v>
      </c>
      <c r="Z1224" s="64">
        <f>_xlfn.MINIFS(tblLaborEntries[Work date serial],tblLaborEntries[Work package ID],tblWorkPackages[[#This Row],[Work package ID]])</f>
        <v>45997.0</v>
      </c>
      <c r="AA1224" s="64">
        <f>_xlfn.MAXIFS(tblLaborEntries[Work date serial],tblLaborEntries[Work package ID],tblWorkPackages[[#This Row],[Work package ID]])</f>
        <v>45997.0</v>
      </c>
      <c r="AB1224" s="65">
        <f>IF(tblWorkPackages[[#This Row],[Completion date serial]]&gt;tblWorkPackages[[#This Row],[Due date serial]],1,0)</f>
        <v>1</v>
      </c>
      <c r="AC1224" s="65">
        <f>MAX(0,tblWorkPackages[[#This Row],[Completion date serial]]-tblWorkPackages[[#This Row],[Due date serial]])</f>
        <v>12</v>
      </c>
      <c r="AD1224" s="65">
        <f>tblWorkPackages[[#This Row],[First labor date]]-tblWorkPackages[[#This Row],[Request date serial]]</f>
        <v>23</v>
      </c>
      <c r="AE1224" s="65">
        <f>tblWorkPackages[[#This Row],[Last labor date]]-tblWorkPackages[[#This Row],[First labor date]]</f>
        <v>0</v>
      </c>
      <c r="AF1224" s="65">
        <f>tblWorkPackages[[#This Row],[Completion date serial]]-tblWorkPackages[[#This Row],[Last labor date]]</f>
        <v>2</v>
      </c>
      <c r="AG1224" s="65">
        <f>tblWorkPackages[[#This Row],[Completion date serial]]-tblWorkPackages[[#This Row],[Request date serial]]</f>
        <v>25</v>
      </c>
      <c r="AH1224" s="65">
        <f>IFERROR(INDEX(tblParts[Delay days],MATCH(tblWorkPackages[[#This Row],[Work package ID]],tblParts[Work package ID],0)),0)</f>
        <v>0</v>
      </c>
      <c r="AI1224" s="51" t="str">
        <f>IFERROR(INDEX(tblDisruptions[Event type],MATCH(tblWorkPackages[[#This Row],[Work package ID]],tblDisruptions[Work package ID],0)),"None")</f>
        <v>None</v>
      </c>
      <c r="AJ1224" s="51" t="str">
        <f>TEXT(tblWorkPackages[[#This Row],[Due date serial]],"yyyy-mm")</f>
        <v>2025-11</v>
      </c>
    </row>
    <row r="1225" spans="1:36" ht="15" x14ac:dyDescent="0.25">
      <c r="A1225" s="53" t="s">
        <v>2132</v>
      </c>
      <c r="B1225" s="53" t="s">
        <v>235</v>
      </c>
      <c r="C1225" s="53" t="s">
        <v>159</v>
      </c>
      <c r="D1225" s="53" t="s">
        <v>1437</v>
      </c>
      <c r="E1225" s="53" t="s">
        <v>136</v>
      </c>
      <c r="F1225" s="53" t="s">
        <v>137</v>
      </c>
      <c r="G1225" s="53" t="s">
        <v>138</v>
      </c>
      <c r="H1225" s="53">
        <v>1</v>
      </c>
      <c r="I1225" s="53" t="s">
        <v>130</v>
      </c>
      <c r="J1225" s="53">
        <v>0</v>
      </c>
      <c r="K1225" s="53">
        <v>1</v>
      </c>
      <c r="L1225" s="53">
        <v>8.8000000000000007</v>
      </c>
      <c r="M1225" s="53" t="s">
        <v>586</v>
      </c>
      <c r="N1225" s="53">
        <v>13.9</v>
      </c>
      <c r="O1225" s="51" t="str">
        <f>TEXT(tblWorkPackages[[#This Row],[Request date serial]]-WEEKDAY(tblWorkPackages[[#This Row],[Request date serial]],3),"yyyy-mm-dd")</f>
        <v>2024-12-09</v>
      </c>
      <c r="P1225" s="51">
        <f>ABS(tblWorkPackages[[#This Row],[Actual labor hours]]-tblWorkPackages[[#This Row],[Estimated labor hours]])</f>
        <v>5.1</v>
      </c>
      <c r="Q1225" s="51">
        <f>IF(tblWorkPackages[[#This Row],[Actual labor hours]]&gt;tblWorkPackages[[#This Row],[Estimated labor hours]],1,0)</f>
        <v>1</v>
      </c>
      <c r="R1225" s="51">
        <f>tblWorkPackages[[#This Row],[Actual labor hours]]-tblWorkPackages[[#This Row],[Estimated labor hours]]</f>
        <v>5.1</v>
      </c>
      <c r="S1225" s="51" t="str">
        <f>IF(tblWorkPackages[[#This Row],[Request date serial]]&lt;ValidationStart,"Train 2024",IF(tblWorkPackages[[#This Row],[Request date serial]]&lt;HoldoutStart,"Validation H1","Holdout H2"))</f>
        <v>Train 2024</v>
      </c>
      <c r="T1225" s="51" t="str">
        <f>IF(tblWorkPackages[[#This Row],[Time split]]="Train 2024","",tblWorkPackages[[#This Row],[Estimated labor hours]]+VLOOKUP(tblWorkPackages[[#This Row],[Task type]],'Forecast validation'!$A$14:$E$25,IF(tblWorkPackages[[#This Row],[Time split]]="Validation H1",4,5),FALSE()))</f>
        <v/>
      </c>
      <c r="U1225" s="51" t="str">
        <f>IF(tblWorkPackages[[#This Row],[Calibrated forecast hours]]="","",ABS(tblWorkPackages[[#This Row],[Actual labor hours]]-tblWorkPackages[[#This Row],[Calibrated forecast hours]]))</f>
        <v/>
      </c>
      <c r="V1225" s="51">
        <f>IF(tblWorkPackages[[#This Row],[Time split]]="Train 2024",tblWorkPackages[[#This Row],[Estimated labor hours]],tblWorkPackages[[#This Row],[Calibrated forecast hours]])</f>
        <v>8.8</v>
      </c>
      <c r="W1225" s="64">
        <f>DATEVALUE(tblWorkPackages[[#This Row],[Request date]])</f>
        <v>45640.0</v>
      </c>
      <c r="X1225" s="64">
        <f>DATEVALUE(tblWorkPackages[[#This Row],[Due date]])</f>
        <v>45653.0</v>
      </c>
      <c r="Y1225" s="64">
        <f>DATEVALUE(tblWorkPackages[[#This Row],[Completion date]])</f>
        <v>45658.0</v>
      </c>
      <c r="Z1225" s="64">
        <f>_xlfn.MINIFS(tblLaborEntries[Work date serial],tblLaborEntries[Work package ID],tblWorkPackages[[#This Row],[Work package ID]])</f>
        <v>45653.0</v>
      </c>
      <c r="AA1225" s="64">
        <f>_xlfn.MAXIFS(tblLaborEntries[Work date serial],tblLaborEntries[Work package ID],tblWorkPackages[[#This Row],[Work package ID]])</f>
        <v>45655.0</v>
      </c>
      <c r="AB1225" s="65">
        <f>IF(tblWorkPackages[[#This Row],[Completion date serial]]&gt;tblWorkPackages[[#This Row],[Due date serial]],1,0)</f>
        <v>1</v>
      </c>
      <c r="AC1225" s="65">
        <f>MAX(0,tblWorkPackages[[#This Row],[Completion date serial]]-tblWorkPackages[[#This Row],[Due date serial]])</f>
        <v>5</v>
      </c>
      <c r="AD1225" s="65">
        <f>tblWorkPackages[[#This Row],[First labor date]]-tblWorkPackages[[#This Row],[Request date serial]]</f>
        <v>13</v>
      </c>
      <c r="AE1225" s="65">
        <f>tblWorkPackages[[#This Row],[Last labor date]]-tblWorkPackages[[#This Row],[First labor date]]</f>
        <v>2</v>
      </c>
      <c r="AF1225" s="65">
        <f>tblWorkPackages[[#This Row],[Completion date serial]]-tblWorkPackages[[#This Row],[Last labor date]]</f>
        <v>3</v>
      </c>
      <c r="AG1225" s="65">
        <f>tblWorkPackages[[#This Row],[Completion date serial]]-tblWorkPackages[[#This Row],[Request date serial]]</f>
        <v>18</v>
      </c>
      <c r="AH1225" s="65">
        <f>IFERROR(INDEX(tblParts[Delay days],MATCH(tblWorkPackages[[#This Row],[Work package ID]],tblParts[Work package ID],0)),0)</f>
        <v>9</v>
      </c>
      <c r="AI1225" s="51" t="str">
        <f>IFERROR(INDEX(tblDisruptions[Event type],MATCH(tblWorkPackages[[#This Row],[Work package ID]],tblDisruptions[Work package ID],0)),"None")</f>
        <v>Part delay</v>
      </c>
      <c r="AJ1225" s="51" t="str">
        <f>TEXT(tblWorkPackages[[#This Row],[Due date serial]],"yyyy-mm")</f>
        <v>2024-12</v>
      </c>
    </row>
    <row r="1226" spans="1:36" ht="15" x14ac:dyDescent="0.25">
      <c r="A1226" s="53" t="s">
        <v>2133</v>
      </c>
      <c r="B1226" s="53" t="s">
        <v>150</v>
      </c>
      <c r="C1226" s="53" t="s">
        <v>1084</v>
      </c>
      <c r="D1226" s="53" t="s">
        <v>506</v>
      </c>
      <c r="E1226" s="53" t="s">
        <v>200</v>
      </c>
      <c r="F1226" s="53" t="s">
        <v>128</v>
      </c>
      <c r="G1226" s="53" t="s">
        <v>129</v>
      </c>
      <c r="H1226" s="53">
        <v>3</v>
      </c>
      <c r="I1226" s="53" t="s">
        <v>130</v>
      </c>
      <c r="J1226" s="53">
        <v>0</v>
      </c>
      <c r="K1226" s="53">
        <v>0</v>
      </c>
      <c r="L1226" s="53">
        <v>4.5999999999999996</v>
      </c>
      <c r="M1226" s="53" t="s">
        <v>698</v>
      </c>
      <c r="N1226" s="53">
        <v>4</v>
      </c>
      <c r="O1226" s="51" t="str">
        <f>TEXT(tblWorkPackages[[#This Row],[Request date serial]]-WEEKDAY(tblWorkPackages[[#This Row],[Request date serial]],3),"yyyy-mm-dd")</f>
        <v>2025-02-03</v>
      </c>
      <c r="P1226" s="51">
        <f>ABS(tblWorkPackages[[#This Row],[Actual labor hours]]-tblWorkPackages[[#This Row],[Estimated labor hours]])</f>
        <v>0.6</v>
      </c>
      <c r="Q1226" s="51">
        <f>IF(tblWorkPackages[[#This Row],[Actual labor hours]]&gt;tblWorkPackages[[#This Row],[Estimated labor hours]],1,0)</f>
        <v>0</v>
      </c>
      <c r="R1226" s="51">
        <f>tblWorkPackages[[#This Row],[Actual labor hours]]-tblWorkPackages[[#This Row],[Estimated labor hours]]</f>
        <v>-0.6</v>
      </c>
      <c r="S1226" s="51" t="str">
        <f>IF(tblWorkPackages[[#This Row],[Request date serial]]&lt;ValidationStart,"Train 2024",IF(tblWorkPackages[[#This Row],[Request date serial]]&lt;HoldoutStart,"Validation H1","Holdout H2"))</f>
        <v>Validation H1</v>
      </c>
      <c r="T1226" s="51">
        <f>IF(tblWorkPackages[[#This Row],[Time split]]="Train 2024","",tblWorkPackages[[#This Row],[Estimated labor hours]]+VLOOKUP(tblWorkPackages[[#This Row],[Task type]],'Forecast validation'!$A$14:$E$25,IF(tblWorkPackages[[#This Row],[Time split]]="Validation H1",4,5),FALSE()))</f>
        <v>4.93069306930693</v>
      </c>
      <c r="U1226" s="51">
        <f>IF(tblWorkPackages[[#This Row],[Calibrated forecast hours]]="","",ABS(tblWorkPackages[[#This Row],[Actual labor hours]]-tblWorkPackages[[#This Row],[Calibrated forecast hours]]))</f>
        <v>0.930693069306931</v>
      </c>
      <c r="V1226" s="51">
        <f>IF(tblWorkPackages[[#This Row],[Time split]]="Train 2024",tblWorkPackages[[#This Row],[Estimated labor hours]],tblWorkPackages[[#This Row],[Calibrated forecast hours]])</f>
        <v>4.93069306930693</v>
      </c>
      <c r="W1226" s="64">
        <f>DATEVALUE(tblWorkPackages[[#This Row],[Request date]])</f>
        <v>45695.0</v>
      </c>
      <c r="X1226" s="64">
        <f>DATEVALUE(tblWorkPackages[[#This Row],[Due date]])</f>
        <v>45708.0</v>
      </c>
      <c r="Y1226" s="64">
        <f>DATEVALUE(tblWorkPackages[[#This Row],[Completion date]])</f>
        <v>45696.0</v>
      </c>
      <c r="Z1226" s="64">
        <f>_xlfn.MINIFS(tblLaborEntries[Work date serial],tblLaborEntries[Work package ID],tblWorkPackages[[#This Row],[Work package ID]])</f>
        <v>45696.0</v>
      </c>
      <c r="AA1226" s="64">
        <f>_xlfn.MAXIFS(tblLaborEntries[Work date serial],tblLaborEntries[Work package ID],tblWorkPackages[[#This Row],[Work package ID]])</f>
        <v>45696.0</v>
      </c>
      <c r="AB1226" s="65">
        <f>IF(tblWorkPackages[[#This Row],[Completion date serial]]&gt;tblWorkPackages[[#This Row],[Due date serial]],1,0)</f>
        <v>0</v>
      </c>
      <c r="AC1226" s="65">
        <f>MAX(0,tblWorkPackages[[#This Row],[Completion date serial]]-tblWorkPackages[[#This Row],[Due date serial]])</f>
        <v>0</v>
      </c>
      <c r="AD1226" s="65">
        <f>tblWorkPackages[[#This Row],[First labor date]]-tblWorkPackages[[#This Row],[Request date serial]]</f>
        <v>1</v>
      </c>
      <c r="AE1226" s="65">
        <f>tblWorkPackages[[#This Row],[Last labor date]]-tblWorkPackages[[#This Row],[First labor date]]</f>
        <v>0</v>
      </c>
      <c r="AF1226" s="65">
        <f>tblWorkPackages[[#This Row],[Completion date serial]]-tblWorkPackages[[#This Row],[Last labor date]]</f>
        <v>0</v>
      </c>
      <c r="AG1226" s="65">
        <f>tblWorkPackages[[#This Row],[Completion date serial]]-tblWorkPackages[[#This Row],[Request date serial]]</f>
        <v>1</v>
      </c>
      <c r="AH1226" s="65">
        <f>IFERROR(INDEX(tblParts[Delay days],MATCH(tblWorkPackages[[#This Row],[Work package ID]],tblParts[Work package ID],0)),0)</f>
        <v>0</v>
      </c>
      <c r="AI1226" s="51" t="str">
        <f>IFERROR(INDEX(tblDisruptions[Event type],MATCH(tblWorkPackages[[#This Row],[Work package ID]],tblDisruptions[Work package ID],0)),"None")</f>
        <v>None</v>
      </c>
      <c r="AJ1226" s="51" t="str">
        <f>TEXT(tblWorkPackages[[#This Row],[Due date serial]],"yyyy-mm")</f>
        <v>2025-02</v>
      </c>
    </row>
    <row r="1227" spans="1:36" ht="15" x14ac:dyDescent="0.25">
      <c r="A1227" s="53" t="s">
        <v>2134</v>
      </c>
      <c r="B1227" s="53" t="s">
        <v>124</v>
      </c>
      <c r="C1227" s="53" t="s">
        <v>858</v>
      </c>
      <c r="D1227" s="53" t="s">
        <v>993</v>
      </c>
      <c r="E1227" s="53" t="s">
        <v>153</v>
      </c>
      <c r="F1227" s="53" t="s">
        <v>128</v>
      </c>
      <c r="G1227" s="53" t="s">
        <v>154</v>
      </c>
      <c r="H1227" s="53">
        <v>2</v>
      </c>
      <c r="I1227" s="53" t="s">
        <v>130</v>
      </c>
      <c r="J1227" s="53">
        <v>0</v>
      </c>
      <c r="K1227" s="53">
        <v>0</v>
      </c>
      <c r="L1227" s="53">
        <v>10.7</v>
      </c>
      <c r="M1227" s="53" t="s">
        <v>686</v>
      </c>
      <c r="N1227" s="53">
        <v>12.4</v>
      </c>
      <c r="O1227" s="51" t="str">
        <f>TEXT(tblWorkPackages[[#This Row],[Request date serial]]-WEEKDAY(tblWorkPackages[[#This Row],[Request date serial]],3),"yyyy-mm-dd")</f>
        <v>2025-03-10</v>
      </c>
      <c r="P1227" s="51">
        <f>ABS(tblWorkPackages[[#This Row],[Actual labor hours]]-tblWorkPackages[[#This Row],[Estimated labor hours]])</f>
        <v>1.7</v>
      </c>
      <c r="Q1227" s="51">
        <f>IF(tblWorkPackages[[#This Row],[Actual labor hours]]&gt;tblWorkPackages[[#This Row],[Estimated labor hours]],1,0)</f>
        <v>1</v>
      </c>
      <c r="R1227" s="51">
        <f>tblWorkPackages[[#This Row],[Actual labor hours]]-tblWorkPackages[[#This Row],[Estimated labor hours]]</f>
        <v>1.7</v>
      </c>
      <c r="S1227" s="51" t="str">
        <f>IF(tblWorkPackages[[#This Row],[Request date serial]]&lt;ValidationStart,"Train 2024",IF(tblWorkPackages[[#This Row],[Request date serial]]&lt;HoldoutStart,"Validation H1","Holdout H2"))</f>
        <v>Validation H1</v>
      </c>
      <c r="T1227" s="51">
        <f>IF(tblWorkPackages[[#This Row],[Time split]]="Train 2024","",tblWorkPackages[[#This Row],[Estimated labor hours]]+VLOOKUP(tblWorkPackages[[#This Row],[Task type]],'Forecast validation'!$A$14:$E$25,IF(tblWorkPackages[[#This Row],[Time split]]="Validation H1",4,5),FALSE()))</f>
        <v>11.2462264150943</v>
      </c>
      <c r="U1227" s="51">
        <f>IF(tblWorkPackages[[#This Row],[Calibrated forecast hours]]="","",ABS(tblWorkPackages[[#This Row],[Actual labor hours]]-tblWorkPackages[[#This Row],[Calibrated forecast hours]]))</f>
        <v>1.15377358490566</v>
      </c>
      <c r="V1227" s="51">
        <f>IF(tblWorkPackages[[#This Row],[Time split]]="Train 2024",tblWorkPackages[[#This Row],[Estimated labor hours]],tblWorkPackages[[#This Row],[Calibrated forecast hours]])</f>
        <v>11.2462264150943</v>
      </c>
      <c r="W1227" s="64">
        <f>DATEVALUE(tblWorkPackages[[#This Row],[Request date]])</f>
        <v>45729.0</v>
      </c>
      <c r="X1227" s="64">
        <f>DATEVALUE(tblWorkPackages[[#This Row],[Due date]])</f>
        <v>45742.0</v>
      </c>
      <c r="Y1227" s="64">
        <f>DATEVALUE(tblWorkPackages[[#This Row],[Completion date]])</f>
        <v>45743.0</v>
      </c>
      <c r="Z1227" s="64">
        <f>_xlfn.MINIFS(tblLaborEntries[Work date serial],tblLaborEntries[Work package ID],tblWorkPackages[[#This Row],[Work package ID]])</f>
        <v>45741.0</v>
      </c>
      <c r="AA1227" s="64">
        <f>_xlfn.MAXIFS(tblLaborEntries[Work date serial],tblLaborEntries[Work package ID],tblWorkPackages[[#This Row],[Work package ID]])</f>
        <v>45742.0</v>
      </c>
      <c r="AB1227" s="65">
        <f>IF(tblWorkPackages[[#This Row],[Completion date serial]]&gt;tblWorkPackages[[#This Row],[Due date serial]],1,0)</f>
        <v>1</v>
      </c>
      <c r="AC1227" s="65">
        <f>MAX(0,tblWorkPackages[[#This Row],[Completion date serial]]-tblWorkPackages[[#This Row],[Due date serial]])</f>
        <v>1</v>
      </c>
      <c r="AD1227" s="65">
        <f>tblWorkPackages[[#This Row],[First labor date]]-tblWorkPackages[[#This Row],[Request date serial]]</f>
        <v>12</v>
      </c>
      <c r="AE1227" s="65">
        <f>tblWorkPackages[[#This Row],[Last labor date]]-tblWorkPackages[[#This Row],[First labor date]]</f>
        <v>1</v>
      </c>
      <c r="AF1227" s="65">
        <f>tblWorkPackages[[#This Row],[Completion date serial]]-tblWorkPackages[[#This Row],[Last labor date]]</f>
        <v>1</v>
      </c>
      <c r="AG1227" s="65">
        <f>tblWorkPackages[[#This Row],[Completion date serial]]-tblWorkPackages[[#This Row],[Request date serial]]</f>
        <v>14</v>
      </c>
      <c r="AH1227" s="65">
        <f>IFERROR(INDEX(tblParts[Delay days],MATCH(tblWorkPackages[[#This Row],[Work package ID]],tblParts[Work package ID],0)),0)</f>
        <v>0</v>
      </c>
      <c r="AI1227" s="51" t="str">
        <f>IFERROR(INDEX(tblDisruptions[Event type],MATCH(tblWorkPackages[[#This Row],[Work package ID]],tblDisruptions[Work package ID],0)),"None")</f>
        <v>None</v>
      </c>
      <c r="AJ1227" s="51" t="str">
        <f>TEXT(tblWorkPackages[[#This Row],[Due date serial]],"yyyy-mm")</f>
        <v>2025-03</v>
      </c>
    </row>
    <row r="1228" spans="1:36" ht="15" x14ac:dyDescent="0.25">
      <c r="A1228" s="53" t="s">
        <v>2135</v>
      </c>
      <c r="B1228" s="53" t="s">
        <v>141</v>
      </c>
      <c r="C1228" s="53" t="s">
        <v>729</v>
      </c>
      <c r="D1228" s="53" t="s">
        <v>740</v>
      </c>
      <c r="E1228" s="53" t="s">
        <v>242</v>
      </c>
      <c r="F1228" s="53" t="s">
        <v>243</v>
      </c>
      <c r="G1228" s="53" t="s">
        <v>129</v>
      </c>
      <c r="H1228" s="53">
        <v>3</v>
      </c>
      <c r="I1228" s="53" t="s">
        <v>130</v>
      </c>
      <c r="J1228" s="53">
        <v>0</v>
      </c>
      <c r="K1228" s="53">
        <v>0</v>
      </c>
      <c r="L1228" s="53">
        <v>12.8</v>
      </c>
      <c r="M1228" s="53" t="s">
        <v>364</v>
      </c>
      <c r="N1228" s="53">
        <v>11.8</v>
      </c>
      <c r="O1228" s="51" t="str">
        <f>TEXT(tblWorkPackages[[#This Row],[Request date serial]]-WEEKDAY(tblWorkPackages[[#This Row],[Request date serial]],3),"yyyy-mm-dd")</f>
        <v>2025-05-05</v>
      </c>
      <c r="P1228" s="51">
        <f>ABS(tblWorkPackages[[#This Row],[Actual labor hours]]-tblWorkPackages[[#This Row],[Estimated labor hours]])</f>
        <v>1</v>
      </c>
      <c r="Q1228" s="51">
        <f>IF(tblWorkPackages[[#This Row],[Actual labor hours]]&gt;tblWorkPackages[[#This Row],[Estimated labor hours]],1,0)</f>
        <v>0</v>
      </c>
      <c r="R1228" s="51">
        <f>tblWorkPackages[[#This Row],[Actual labor hours]]-tblWorkPackages[[#This Row],[Estimated labor hours]]</f>
        <v>-1</v>
      </c>
      <c r="S1228" s="51" t="str">
        <f>IF(tblWorkPackages[[#This Row],[Request date serial]]&lt;ValidationStart,"Train 2024",IF(tblWorkPackages[[#This Row],[Request date serial]]&lt;HoldoutStart,"Validation H1","Holdout H2"))</f>
        <v>Validation H1</v>
      </c>
      <c r="T1228" s="51">
        <f>IF(tblWorkPackages[[#This Row],[Time split]]="Train 2024","",tblWorkPackages[[#This Row],[Estimated labor hours]]+VLOOKUP(tblWorkPackages[[#This Row],[Task type]],'Forecast validation'!$A$14:$E$25,IF(tblWorkPackages[[#This Row],[Time split]]="Validation H1",4,5),FALSE()))</f>
        <v>13.3561224489796</v>
      </c>
      <c r="U1228" s="51">
        <f>IF(tblWorkPackages[[#This Row],[Calibrated forecast hours]]="","",ABS(tblWorkPackages[[#This Row],[Actual labor hours]]-tblWorkPackages[[#This Row],[Calibrated forecast hours]]))</f>
        <v>1.55612244897959</v>
      </c>
      <c r="V1228" s="51">
        <f>IF(tblWorkPackages[[#This Row],[Time split]]="Train 2024",tblWorkPackages[[#This Row],[Estimated labor hours]],tblWorkPackages[[#This Row],[Calibrated forecast hours]])</f>
        <v>13.3561224489796</v>
      </c>
      <c r="W1228" s="64">
        <f>DATEVALUE(tblWorkPackages[[#This Row],[Request date]])</f>
        <v>45784.0</v>
      </c>
      <c r="X1228" s="64">
        <f>DATEVALUE(tblWorkPackages[[#This Row],[Due date]])</f>
        <v>45797.0</v>
      </c>
      <c r="Y1228" s="64">
        <f>DATEVALUE(tblWorkPackages[[#This Row],[Completion date]])</f>
        <v>45790.0</v>
      </c>
      <c r="Z1228" s="64">
        <f>_xlfn.MINIFS(tblLaborEntries[Work date serial],tblLaborEntries[Work package ID],tblWorkPackages[[#This Row],[Work package ID]])</f>
        <v>45787.0</v>
      </c>
      <c r="AA1228" s="64">
        <f>_xlfn.MAXIFS(tblLaborEntries[Work date serial],tblLaborEntries[Work package ID],tblWorkPackages[[#This Row],[Work package ID]])</f>
        <v>45788.0</v>
      </c>
      <c r="AB1228" s="65">
        <f>IF(tblWorkPackages[[#This Row],[Completion date serial]]&gt;tblWorkPackages[[#This Row],[Due date serial]],1,0)</f>
        <v>0</v>
      </c>
      <c r="AC1228" s="65">
        <f>MAX(0,tblWorkPackages[[#This Row],[Completion date serial]]-tblWorkPackages[[#This Row],[Due date serial]])</f>
        <v>0</v>
      </c>
      <c r="AD1228" s="65">
        <f>tblWorkPackages[[#This Row],[First labor date]]-tblWorkPackages[[#This Row],[Request date serial]]</f>
        <v>3</v>
      </c>
      <c r="AE1228" s="65">
        <f>tblWorkPackages[[#This Row],[Last labor date]]-tblWorkPackages[[#This Row],[First labor date]]</f>
        <v>1</v>
      </c>
      <c r="AF1228" s="65">
        <f>tblWorkPackages[[#This Row],[Completion date serial]]-tblWorkPackages[[#This Row],[Last labor date]]</f>
        <v>2</v>
      </c>
      <c r="AG1228" s="65">
        <f>tblWorkPackages[[#This Row],[Completion date serial]]-tblWorkPackages[[#This Row],[Request date serial]]</f>
        <v>6</v>
      </c>
      <c r="AH1228" s="65">
        <f>IFERROR(INDEX(tblParts[Delay days],MATCH(tblWorkPackages[[#This Row],[Work package ID]],tblParts[Work package ID],0)),0)</f>
        <v>0</v>
      </c>
      <c r="AI1228" s="51" t="str">
        <f>IFERROR(INDEX(tblDisruptions[Event type],MATCH(tblWorkPackages[[#This Row],[Work package ID]],tblDisruptions[Work package ID],0)),"None")</f>
        <v>None</v>
      </c>
      <c r="AJ1228" s="51" t="str">
        <f>TEXT(tblWorkPackages[[#This Row],[Due date serial]],"yyyy-mm")</f>
        <v>2025-05</v>
      </c>
    </row>
    <row r="1229" spans="1:36" ht="15" x14ac:dyDescent="0.25">
      <c r="A1229" s="53" t="s">
        <v>2136</v>
      </c>
      <c r="B1229" s="53" t="s">
        <v>150</v>
      </c>
      <c r="C1229" s="53" t="s">
        <v>900</v>
      </c>
      <c r="D1229" s="53" t="s">
        <v>607</v>
      </c>
      <c r="E1229" s="53" t="s">
        <v>181</v>
      </c>
      <c r="F1229" s="53" t="s">
        <v>182</v>
      </c>
      <c r="G1229" s="53" t="s">
        <v>138</v>
      </c>
      <c r="H1229" s="53">
        <v>3</v>
      </c>
      <c r="I1229" s="53" t="s">
        <v>176</v>
      </c>
      <c r="J1229" s="53">
        <v>1</v>
      </c>
      <c r="K1229" s="53">
        <v>0</v>
      </c>
      <c r="L1229" s="53">
        <v>12.1</v>
      </c>
      <c r="M1229" s="53" t="s">
        <v>1283</v>
      </c>
      <c r="N1229" s="53">
        <v>18.399999999999999</v>
      </c>
      <c r="O1229" s="51" t="str">
        <f>TEXT(tblWorkPackages[[#This Row],[Request date serial]]-WEEKDAY(tblWorkPackages[[#This Row],[Request date serial]],3),"yyyy-mm-dd")</f>
        <v>2025-03-10</v>
      </c>
      <c r="P1229" s="51">
        <f>ABS(tblWorkPackages[[#This Row],[Actual labor hours]]-tblWorkPackages[[#This Row],[Estimated labor hours]])</f>
        <v>6.3</v>
      </c>
      <c r="Q1229" s="51">
        <f>IF(tblWorkPackages[[#This Row],[Actual labor hours]]&gt;tblWorkPackages[[#This Row],[Estimated labor hours]],1,0)</f>
        <v>1</v>
      </c>
      <c r="R1229" s="51">
        <f>tblWorkPackages[[#This Row],[Actual labor hours]]-tblWorkPackages[[#This Row],[Estimated labor hours]]</f>
        <v>6.3</v>
      </c>
      <c r="S1229" s="51" t="str">
        <f>IF(tblWorkPackages[[#This Row],[Request date serial]]&lt;ValidationStart,"Train 2024",IF(tblWorkPackages[[#This Row],[Request date serial]]&lt;HoldoutStart,"Validation H1","Holdout H2"))</f>
        <v>Validation H1</v>
      </c>
      <c r="T1229" s="51">
        <f>IF(tblWorkPackages[[#This Row],[Time split]]="Train 2024","",tblWorkPackages[[#This Row],[Estimated labor hours]]+VLOOKUP(tblWorkPackages[[#This Row],[Task type]],'Forecast validation'!$A$14:$E$25,IF(tblWorkPackages[[#This Row],[Time split]]="Validation H1",4,5),FALSE()))</f>
        <v>12.6840909090909</v>
      </c>
      <c r="U1229" s="51">
        <f>IF(tblWorkPackages[[#This Row],[Calibrated forecast hours]]="","",ABS(tblWorkPackages[[#This Row],[Actual labor hours]]-tblWorkPackages[[#This Row],[Calibrated forecast hours]]))</f>
        <v>5.71590909090909</v>
      </c>
      <c r="V1229" s="51">
        <f>IF(tblWorkPackages[[#This Row],[Time split]]="Train 2024",tblWorkPackages[[#This Row],[Estimated labor hours]],tblWorkPackages[[#This Row],[Calibrated forecast hours]])</f>
        <v>12.6840909090909</v>
      </c>
      <c r="W1229" s="64">
        <f>DATEVALUE(tblWorkPackages[[#This Row],[Request date]])</f>
        <v>45728.0</v>
      </c>
      <c r="X1229" s="64">
        <f>DATEVALUE(tblWorkPackages[[#This Row],[Due date]])</f>
        <v>45734.0</v>
      </c>
      <c r="Y1229" s="64">
        <f>DATEVALUE(tblWorkPackages[[#This Row],[Completion date]])</f>
        <v>45768.0</v>
      </c>
      <c r="Z1229" s="64">
        <f>_xlfn.MINIFS(tblLaborEntries[Work date serial],tblLaborEntries[Work package ID],tblWorkPackages[[#This Row],[Work package ID]])</f>
        <v>45764.0</v>
      </c>
      <c r="AA1229" s="64">
        <f>_xlfn.MAXIFS(tblLaborEntries[Work date serial],tblLaborEntries[Work package ID],tblWorkPackages[[#This Row],[Work package ID]])</f>
        <v>45765.0</v>
      </c>
      <c r="AB1229" s="65">
        <f>IF(tblWorkPackages[[#This Row],[Completion date serial]]&gt;tblWorkPackages[[#This Row],[Due date serial]],1,0)</f>
        <v>1</v>
      </c>
      <c r="AC1229" s="65">
        <f>MAX(0,tblWorkPackages[[#This Row],[Completion date serial]]-tblWorkPackages[[#This Row],[Due date serial]])</f>
        <v>34</v>
      </c>
      <c r="AD1229" s="65">
        <f>tblWorkPackages[[#This Row],[First labor date]]-tblWorkPackages[[#This Row],[Request date serial]]</f>
        <v>36</v>
      </c>
      <c r="AE1229" s="65">
        <f>tblWorkPackages[[#This Row],[Last labor date]]-tblWorkPackages[[#This Row],[First labor date]]</f>
        <v>1</v>
      </c>
      <c r="AF1229" s="65">
        <f>tblWorkPackages[[#This Row],[Completion date serial]]-tblWorkPackages[[#This Row],[Last labor date]]</f>
        <v>3</v>
      </c>
      <c r="AG1229" s="65">
        <f>tblWorkPackages[[#This Row],[Completion date serial]]-tblWorkPackages[[#This Row],[Request date serial]]</f>
        <v>40</v>
      </c>
      <c r="AH1229" s="65">
        <f>IFERROR(INDEX(tblParts[Delay days],MATCH(tblWorkPackages[[#This Row],[Work package ID]],tblParts[Work package ID],0)),0)</f>
        <v>0</v>
      </c>
      <c r="AI1229" s="51" t="str">
        <f>IFERROR(INDEX(tblDisruptions[Event type],MATCH(tblWorkPackages[[#This Row],[Work package ID]],tblDisruptions[Work package ID],0)),"None")</f>
        <v>None</v>
      </c>
      <c r="AJ1229" s="51" t="str">
        <f>TEXT(tblWorkPackages[[#This Row],[Due date serial]],"yyyy-mm")</f>
        <v>2025-03</v>
      </c>
    </row>
    <row r="1230" spans="1:36" ht="15" x14ac:dyDescent="0.25">
      <c r="A1230" s="53" t="s">
        <v>2137</v>
      </c>
      <c r="B1230" s="53" t="s">
        <v>173</v>
      </c>
      <c r="C1230" s="53" t="s">
        <v>1522</v>
      </c>
      <c r="D1230" s="53" t="s">
        <v>1523</v>
      </c>
      <c r="E1230" s="53" t="s">
        <v>136</v>
      </c>
      <c r="F1230" s="53" t="s">
        <v>137</v>
      </c>
      <c r="G1230" s="53" t="s">
        <v>138</v>
      </c>
      <c r="H1230" s="53">
        <v>1</v>
      </c>
      <c r="I1230" s="53" t="s">
        <v>130</v>
      </c>
      <c r="J1230" s="53">
        <v>0</v>
      </c>
      <c r="K1230" s="53">
        <v>1</v>
      </c>
      <c r="L1230" s="53">
        <v>9</v>
      </c>
      <c r="M1230" s="53" t="s">
        <v>214</v>
      </c>
      <c r="N1230" s="53">
        <v>8.5</v>
      </c>
      <c r="O1230" s="51" t="str">
        <f>TEXT(tblWorkPackages[[#This Row],[Request date serial]]-WEEKDAY(tblWorkPackages[[#This Row],[Request date serial]],3),"yyyy-mm-dd")</f>
        <v>2024-01-08</v>
      </c>
      <c r="P1230" s="51">
        <f>ABS(tblWorkPackages[[#This Row],[Actual labor hours]]-tblWorkPackages[[#This Row],[Estimated labor hours]])</f>
        <v>0.5</v>
      </c>
      <c r="Q1230" s="51">
        <f>IF(tblWorkPackages[[#This Row],[Actual labor hours]]&gt;tblWorkPackages[[#This Row],[Estimated labor hours]],1,0)</f>
        <v>0</v>
      </c>
      <c r="R1230" s="51">
        <f>tblWorkPackages[[#This Row],[Actual labor hours]]-tblWorkPackages[[#This Row],[Estimated labor hours]]</f>
        <v>-0.5</v>
      </c>
      <c r="S1230" s="51" t="str">
        <f>IF(tblWorkPackages[[#This Row],[Request date serial]]&lt;ValidationStart,"Train 2024",IF(tblWorkPackages[[#This Row],[Request date serial]]&lt;HoldoutStart,"Validation H1","Holdout H2"))</f>
        <v>Train 2024</v>
      </c>
      <c r="T1230" s="51" t="str">
        <f>IF(tblWorkPackages[[#This Row],[Time split]]="Train 2024","",tblWorkPackages[[#This Row],[Estimated labor hours]]+VLOOKUP(tblWorkPackages[[#This Row],[Task type]],'Forecast validation'!$A$14:$E$25,IF(tblWorkPackages[[#This Row],[Time split]]="Validation H1",4,5),FALSE()))</f>
        <v/>
      </c>
      <c r="U1230" s="51" t="str">
        <f>IF(tblWorkPackages[[#This Row],[Calibrated forecast hours]]="","",ABS(tblWorkPackages[[#This Row],[Actual labor hours]]-tblWorkPackages[[#This Row],[Calibrated forecast hours]]))</f>
        <v/>
      </c>
      <c r="V1230" s="51">
        <f>IF(tblWorkPackages[[#This Row],[Time split]]="Train 2024",tblWorkPackages[[#This Row],[Estimated labor hours]],tblWorkPackages[[#This Row],[Calibrated forecast hours]])</f>
        <v>9</v>
      </c>
      <c r="W1230" s="64">
        <f>DATEVALUE(tblWorkPackages[[#This Row],[Request date]])</f>
        <v>45302.0</v>
      </c>
      <c r="X1230" s="64">
        <f>DATEVALUE(tblWorkPackages[[#This Row],[Due date]])</f>
        <v>45315.0</v>
      </c>
      <c r="Y1230" s="64">
        <f>DATEVALUE(tblWorkPackages[[#This Row],[Completion date]])</f>
        <v>45311.0</v>
      </c>
      <c r="Z1230" s="64">
        <f>_xlfn.MINIFS(tblLaborEntries[Work date serial],tblLaborEntries[Work package ID],tblWorkPackages[[#This Row],[Work package ID]])</f>
        <v>45309.0</v>
      </c>
      <c r="AA1230" s="64">
        <f>_xlfn.MAXIFS(tblLaborEntries[Work date serial],tblLaborEntries[Work package ID],tblWorkPackages[[#This Row],[Work package ID]])</f>
        <v>45311.0</v>
      </c>
      <c r="AB1230" s="65">
        <f>IF(tblWorkPackages[[#This Row],[Completion date serial]]&gt;tblWorkPackages[[#This Row],[Due date serial]],1,0)</f>
        <v>0</v>
      </c>
      <c r="AC1230" s="65">
        <f>MAX(0,tblWorkPackages[[#This Row],[Completion date serial]]-tblWorkPackages[[#This Row],[Due date serial]])</f>
        <v>0</v>
      </c>
      <c r="AD1230" s="65">
        <f>tblWorkPackages[[#This Row],[First labor date]]-tblWorkPackages[[#This Row],[Request date serial]]</f>
        <v>7</v>
      </c>
      <c r="AE1230" s="65">
        <f>tblWorkPackages[[#This Row],[Last labor date]]-tblWorkPackages[[#This Row],[First labor date]]</f>
        <v>2</v>
      </c>
      <c r="AF1230" s="65">
        <f>tblWorkPackages[[#This Row],[Completion date serial]]-tblWorkPackages[[#This Row],[Last labor date]]</f>
        <v>0</v>
      </c>
      <c r="AG1230" s="65">
        <f>tblWorkPackages[[#This Row],[Completion date serial]]-tblWorkPackages[[#This Row],[Request date serial]]</f>
        <v>9</v>
      </c>
      <c r="AH1230" s="65">
        <f>IFERROR(INDEX(tblParts[Delay days],MATCH(tblWorkPackages[[#This Row],[Work package ID]],tblParts[Work package ID],0)),0)</f>
        <v>0</v>
      </c>
      <c r="AI1230" s="51" t="str">
        <f>IFERROR(INDEX(tblDisruptions[Event type],MATCH(tblWorkPackages[[#This Row],[Work package ID]],tblDisruptions[Work package ID],0)),"None")</f>
        <v>None</v>
      </c>
      <c r="AJ1230" s="51" t="str">
        <f>TEXT(tblWorkPackages[[#This Row],[Due date serial]],"yyyy-mm")</f>
        <v>2024-01</v>
      </c>
    </row>
    <row r="1231" spans="1:36" ht="15" x14ac:dyDescent="0.25">
      <c r="A1231" s="53" t="s">
        <v>2138</v>
      </c>
      <c r="B1231" s="53" t="s">
        <v>133</v>
      </c>
      <c r="C1231" s="53" t="s">
        <v>457</v>
      </c>
      <c r="D1231" s="53" t="s">
        <v>1062</v>
      </c>
      <c r="E1231" s="53" t="s">
        <v>223</v>
      </c>
      <c r="F1231" s="53" t="s">
        <v>182</v>
      </c>
      <c r="G1231" s="53" t="s">
        <v>154</v>
      </c>
      <c r="H1231" s="53">
        <v>1</v>
      </c>
      <c r="I1231" s="53" t="s">
        <v>130</v>
      </c>
      <c r="J1231" s="53">
        <v>0</v>
      </c>
      <c r="K1231" s="53">
        <v>0</v>
      </c>
      <c r="L1231" s="53">
        <v>7.8</v>
      </c>
      <c r="M1231" s="53" t="s">
        <v>259</v>
      </c>
      <c r="N1231" s="53">
        <v>9.9</v>
      </c>
      <c r="O1231" s="51" t="str">
        <f>TEXT(tblWorkPackages[[#This Row],[Request date serial]]-WEEKDAY(tblWorkPackages[[#This Row],[Request date serial]],3),"yyyy-mm-dd")</f>
        <v>2025-01-06</v>
      </c>
      <c r="P1231" s="51">
        <f>ABS(tblWorkPackages[[#This Row],[Actual labor hours]]-tblWorkPackages[[#This Row],[Estimated labor hours]])</f>
        <v>2.1</v>
      </c>
      <c r="Q1231" s="51">
        <f>IF(tblWorkPackages[[#This Row],[Actual labor hours]]&gt;tblWorkPackages[[#This Row],[Estimated labor hours]],1,0)</f>
        <v>1</v>
      </c>
      <c r="R1231" s="51">
        <f>tblWorkPackages[[#This Row],[Actual labor hours]]-tblWorkPackages[[#This Row],[Estimated labor hours]]</f>
        <v>2.1</v>
      </c>
      <c r="S1231" s="51" t="str">
        <f>IF(tblWorkPackages[[#This Row],[Request date serial]]&lt;ValidationStart,"Train 2024",IF(tblWorkPackages[[#This Row],[Request date serial]]&lt;HoldoutStart,"Validation H1","Holdout H2"))</f>
        <v>Validation H1</v>
      </c>
      <c r="T1231" s="51">
        <f>IF(tblWorkPackages[[#This Row],[Time split]]="Train 2024","",tblWorkPackages[[#This Row],[Estimated labor hours]]+VLOOKUP(tblWorkPackages[[#This Row],[Task type]],'Forecast validation'!$A$14:$E$25,IF(tblWorkPackages[[#This Row],[Time split]]="Validation H1",4,5),FALSE()))</f>
        <v>8.68241758241758</v>
      </c>
      <c r="U1231" s="51">
        <f>IF(tblWorkPackages[[#This Row],[Calibrated forecast hours]]="","",ABS(tblWorkPackages[[#This Row],[Actual labor hours]]-tblWorkPackages[[#This Row],[Calibrated forecast hours]]))</f>
        <v>1.21758241758242</v>
      </c>
      <c r="V1231" s="51">
        <f>IF(tblWorkPackages[[#This Row],[Time split]]="Train 2024",tblWorkPackages[[#This Row],[Estimated labor hours]],tblWorkPackages[[#This Row],[Calibrated forecast hours]])</f>
        <v>8.68241758241758</v>
      </c>
      <c r="W1231" s="64">
        <f>DATEVALUE(tblWorkPackages[[#This Row],[Request date]])</f>
        <v>45669.0</v>
      </c>
      <c r="X1231" s="64">
        <f>DATEVALUE(tblWorkPackages[[#This Row],[Due date]])</f>
        <v>45682.0</v>
      </c>
      <c r="Y1231" s="64">
        <f>DATEVALUE(tblWorkPackages[[#This Row],[Completion date]])</f>
        <v>45673.0</v>
      </c>
      <c r="Z1231" s="64">
        <f>_xlfn.MINIFS(tblLaborEntries[Work date serial],tblLaborEntries[Work package ID],tblWorkPackages[[#This Row],[Work package ID]])</f>
        <v>45671.0</v>
      </c>
      <c r="AA1231" s="64">
        <f>_xlfn.MAXIFS(tblLaborEntries[Work date serial],tblLaborEntries[Work package ID],tblWorkPackages[[#This Row],[Work package ID]])</f>
        <v>45672.0</v>
      </c>
      <c r="AB1231" s="65">
        <f>IF(tblWorkPackages[[#This Row],[Completion date serial]]&gt;tblWorkPackages[[#This Row],[Due date serial]],1,0)</f>
        <v>0</v>
      </c>
      <c r="AC1231" s="65">
        <f>MAX(0,tblWorkPackages[[#This Row],[Completion date serial]]-tblWorkPackages[[#This Row],[Due date serial]])</f>
        <v>0</v>
      </c>
      <c r="AD1231" s="65">
        <f>tblWorkPackages[[#This Row],[First labor date]]-tblWorkPackages[[#This Row],[Request date serial]]</f>
        <v>2</v>
      </c>
      <c r="AE1231" s="65">
        <f>tblWorkPackages[[#This Row],[Last labor date]]-tblWorkPackages[[#This Row],[First labor date]]</f>
        <v>1</v>
      </c>
      <c r="AF1231" s="65">
        <f>tblWorkPackages[[#This Row],[Completion date serial]]-tblWorkPackages[[#This Row],[Last labor date]]</f>
        <v>1</v>
      </c>
      <c r="AG1231" s="65">
        <f>tblWorkPackages[[#This Row],[Completion date serial]]-tblWorkPackages[[#This Row],[Request date serial]]</f>
        <v>4</v>
      </c>
      <c r="AH1231" s="65">
        <f>IFERROR(INDEX(tblParts[Delay days],MATCH(tblWorkPackages[[#This Row],[Work package ID]],tblParts[Work package ID],0)),0)</f>
        <v>0</v>
      </c>
      <c r="AI1231" s="51" t="str">
        <f>IFERROR(INDEX(tblDisruptions[Event type],MATCH(tblWorkPackages[[#This Row],[Work package ID]],tblDisruptions[Work package ID],0)),"None")</f>
        <v>None</v>
      </c>
      <c r="AJ1231" s="51" t="str">
        <f>TEXT(tblWorkPackages[[#This Row],[Due date serial]],"yyyy-mm")</f>
        <v>2025-01</v>
      </c>
    </row>
    <row r="1232" spans="1:36" ht="15" x14ac:dyDescent="0.25">
      <c r="A1232" s="53" t="s">
        <v>2139</v>
      </c>
      <c r="B1232" s="53" t="s">
        <v>230</v>
      </c>
      <c r="C1232" s="53" t="s">
        <v>1285</v>
      </c>
      <c r="D1232" s="53" t="s">
        <v>1276</v>
      </c>
      <c r="E1232" s="53" t="s">
        <v>200</v>
      </c>
      <c r="F1232" s="53" t="s">
        <v>128</v>
      </c>
      <c r="G1232" s="53" t="s">
        <v>129</v>
      </c>
      <c r="H1232" s="53">
        <v>4</v>
      </c>
      <c r="I1232" s="53" t="s">
        <v>130</v>
      </c>
      <c r="J1232" s="53">
        <v>0</v>
      </c>
      <c r="K1232" s="53">
        <v>0</v>
      </c>
      <c r="L1232" s="53">
        <v>6.3</v>
      </c>
      <c r="M1232" s="53" t="s">
        <v>673</v>
      </c>
      <c r="N1232" s="53">
        <v>7.1</v>
      </c>
      <c r="O1232" s="51" t="str">
        <f>TEXT(tblWorkPackages[[#This Row],[Request date serial]]-WEEKDAY(tblWorkPackages[[#This Row],[Request date serial]],3),"yyyy-mm-dd")</f>
        <v>2025-06-02</v>
      </c>
      <c r="P1232" s="51">
        <f>ABS(tblWorkPackages[[#This Row],[Actual labor hours]]-tblWorkPackages[[#This Row],[Estimated labor hours]])</f>
        <v>0.8</v>
      </c>
      <c r="Q1232" s="51">
        <f>IF(tblWorkPackages[[#This Row],[Actual labor hours]]&gt;tblWorkPackages[[#This Row],[Estimated labor hours]],1,0)</f>
        <v>1</v>
      </c>
      <c r="R1232" s="51">
        <f>tblWorkPackages[[#This Row],[Actual labor hours]]-tblWorkPackages[[#This Row],[Estimated labor hours]]</f>
        <v>0.8</v>
      </c>
      <c r="S1232" s="51" t="str">
        <f>IF(tblWorkPackages[[#This Row],[Request date serial]]&lt;ValidationStart,"Train 2024",IF(tblWorkPackages[[#This Row],[Request date serial]]&lt;HoldoutStart,"Validation H1","Holdout H2"))</f>
        <v>Validation H1</v>
      </c>
      <c r="T1232" s="51">
        <f>IF(tblWorkPackages[[#This Row],[Time split]]="Train 2024","",tblWorkPackages[[#This Row],[Estimated labor hours]]+VLOOKUP(tblWorkPackages[[#This Row],[Task type]],'Forecast validation'!$A$14:$E$25,IF(tblWorkPackages[[#This Row],[Time split]]="Validation H1",4,5),FALSE()))</f>
        <v>6.63069306930693</v>
      </c>
      <c r="U1232" s="51">
        <f>IF(tblWorkPackages[[#This Row],[Calibrated forecast hours]]="","",ABS(tblWorkPackages[[#This Row],[Actual labor hours]]-tblWorkPackages[[#This Row],[Calibrated forecast hours]]))</f>
        <v>0.469306930693069</v>
      </c>
      <c r="V1232" s="51">
        <f>IF(tblWorkPackages[[#This Row],[Time split]]="Train 2024",tblWorkPackages[[#This Row],[Estimated labor hours]],tblWorkPackages[[#This Row],[Calibrated forecast hours]])</f>
        <v>6.63069306930693</v>
      </c>
      <c r="W1232" s="64">
        <f>DATEVALUE(tblWorkPackages[[#This Row],[Request date]])</f>
        <v>45812.0</v>
      </c>
      <c r="X1232" s="64">
        <f>DATEVALUE(tblWorkPackages[[#This Row],[Due date]])</f>
        <v>45825.0</v>
      </c>
      <c r="Y1232" s="64">
        <f>DATEVALUE(tblWorkPackages[[#This Row],[Completion date]])</f>
        <v>45830.0</v>
      </c>
      <c r="Z1232" s="64">
        <f>_xlfn.MINIFS(tblLaborEntries[Work date serial],tblLaborEntries[Work package ID],tblWorkPackages[[#This Row],[Work package ID]])</f>
        <v>45827.0</v>
      </c>
      <c r="AA1232" s="64">
        <f>_xlfn.MAXIFS(tblLaborEntries[Work date serial],tblLaborEntries[Work package ID],tblWorkPackages[[#This Row],[Work package ID]])</f>
        <v>45828.0</v>
      </c>
      <c r="AB1232" s="65">
        <f>IF(tblWorkPackages[[#This Row],[Completion date serial]]&gt;tblWorkPackages[[#This Row],[Due date serial]],1,0)</f>
        <v>1</v>
      </c>
      <c r="AC1232" s="65">
        <f>MAX(0,tblWorkPackages[[#This Row],[Completion date serial]]-tblWorkPackages[[#This Row],[Due date serial]])</f>
        <v>5</v>
      </c>
      <c r="AD1232" s="65">
        <f>tblWorkPackages[[#This Row],[First labor date]]-tblWorkPackages[[#This Row],[Request date serial]]</f>
        <v>15</v>
      </c>
      <c r="AE1232" s="65">
        <f>tblWorkPackages[[#This Row],[Last labor date]]-tblWorkPackages[[#This Row],[First labor date]]</f>
        <v>1</v>
      </c>
      <c r="AF1232" s="65">
        <f>tblWorkPackages[[#This Row],[Completion date serial]]-tblWorkPackages[[#This Row],[Last labor date]]</f>
        <v>2</v>
      </c>
      <c r="AG1232" s="65">
        <f>tblWorkPackages[[#This Row],[Completion date serial]]-tblWorkPackages[[#This Row],[Request date serial]]</f>
        <v>18</v>
      </c>
      <c r="AH1232" s="65">
        <f>IFERROR(INDEX(tblParts[Delay days],MATCH(tblWorkPackages[[#This Row],[Work package ID]],tblParts[Work package ID],0)),0)</f>
        <v>0</v>
      </c>
      <c r="AI1232" s="51" t="str">
        <f>IFERROR(INDEX(tblDisruptions[Event type],MATCH(tblWorkPackages[[#This Row],[Work package ID]],tblDisruptions[Work package ID],0)),"None")</f>
        <v>None</v>
      </c>
      <c r="AJ1232" s="51" t="str">
        <f>TEXT(tblWorkPackages[[#This Row],[Due date serial]],"yyyy-mm")</f>
        <v>2025-06</v>
      </c>
    </row>
    <row r="1233" spans="1:36" ht="15" x14ac:dyDescent="0.25">
      <c r="A1233" s="53" t="s">
        <v>2140</v>
      </c>
      <c r="B1233" s="53" t="s">
        <v>168</v>
      </c>
      <c r="C1233" s="53" t="s">
        <v>746</v>
      </c>
      <c r="D1233" s="53" t="s">
        <v>343</v>
      </c>
      <c r="E1233" s="53" t="s">
        <v>242</v>
      </c>
      <c r="F1233" s="53" t="s">
        <v>243</v>
      </c>
      <c r="G1233" s="53" t="s">
        <v>129</v>
      </c>
      <c r="H1233" s="53">
        <v>3</v>
      </c>
      <c r="I1233" s="53" t="s">
        <v>147</v>
      </c>
      <c r="J1233" s="53">
        <v>0</v>
      </c>
      <c r="K1233" s="53">
        <v>0</v>
      </c>
      <c r="L1233" s="53">
        <v>11.9</v>
      </c>
      <c r="M1233" s="53" t="s">
        <v>1333</v>
      </c>
      <c r="N1233" s="53">
        <v>10.7</v>
      </c>
      <c r="O1233" s="51" t="str">
        <f>TEXT(tblWorkPackages[[#This Row],[Request date serial]]-WEEKDAY(tblWorkPackages[[#This Row],[Request date serial]],3),"yyyy-mm-dd")</f>
        <v>2025-07-21</v>
      </c>
      <c r="P1233" s="51">
        <f>ABS(tblWorkPackages[[#This Row],[Actual labor hours]]-tblWorkPackages[[#This Row],[Estimated labor hours]])</f>
        <v>1.2</v>
      </c>
      <c r="Q1233" s="51">
        <f>IF(tblWorkPackages[[#This Row],[Actual labor hours]]&gt;tblWorkPackages[[#This Row],[Estimated labor hours]],1,0)</f>
        <v>0</v>
      </c>
      <c r="R1233" s="51">
        <f>tblWorkPackages[[#This Row],[Actual labor hours]]-tblWorkPackages[[#This Row],[Estimated labor hours]]</f>
        <v>-1.2</v>
      </c>
      <c r="S1233" s="51" t="str">
        <f>IF(tblWorkPackages[[#This Row],[Request date serial]]&lt;ValidationStart,"Train 2024",IF(tblWorkPackages[[#This Row],[Request date serial]]&lt;HoldoutStart,"Validation H1","Holdout H2"))</f>
        <v>Holdout H2</v>
      </c>
      <c r="T1233" s="51">
        <f>IF(tblWorkPackages[[#This Row],[Time split]]="Train 2024","",tblWorkPackages[[#This Row],[Estimated labor hours]]+VLOOKUP(tblWorkPackages[[#This Row],[Task type]],'Forecast validation'!$A$14:$E$25,IF(tblWorkPackages[[#This Row],[Time split]]="Validation H1",4,5),FALSE()))</f>
        <v>12.7254545454545</v>
      </c>
      <c r="U1233" s="51">
        <f>IF(tblWorkPackages[[#This Row],[Calibrated forecast hours]]="","",ABS(tblWorkPackages[[#This Row],[Actual labor hours]]-tblWorkPackages[[#This Row],[Calibrated forecast hours]]))</f>
        <v>2.02545454545455</v>
      </c>
      <c r="V1233" s="51">
        <f>IF(tblWorkPackages[[#This Row],[Time split]]="Train 2024",tblWorkPackages[[#This Row],[Estimated labor hours]],tblWorkPackages[[#This Row],[Calibrated forecast hours]])</f>
        <v>12.7254545454545</v>
      </c>
      <c r="W1233" s="64">
        <f>DATEVALUE(tblWorkPackages[[#This Row],[Request date]])</f>
        <v>45860.0</v>
      </c>
      <c r="X1233" s="64">
        <f>DATEVALUE(tblWorkPackages[[#This Row],[Due date]])</f>
        <v>45862.0</v>
      </c>
      <c r="Y1233" s="64">
        <f>DATEVALUE(tblWorkPackages[[#This Row],[Completion date]])</f>
        <v>45868.0</v>
      </c>
      <c r="Z1233" s="64">
        <f>_xlfn.MINIFS(tblLaborEntries[Work date serial],tblLaborEntries[Work package ID],tblWorkPackages[[#This Row],[Work package ID]])</f>
        <v>45864.0</v>
      </c>
      <c r="AA1233" s="64">
        <f>_xlfn.MAXIFS(tblLaborEntries[Work date serial],tblLaborEntries[Work package ID],tblWorkPackages[[#This Row],[Work package ID]])</f>
        <v>45865.0</v>
      </c>
      <c r="AB1233" s="65">
        <f>IF(tblWorkPackages[[#This Row],[Completion date serial]]&gt;tblWorkPackages[[#This Row],[Due date serial]],1,0)</f>
        <v>1</v>
      </c>
      <c r="AC1233" s="65">
        <f>MAX(0,tblWorkPackages[[#This Row],[Completion date serial]]-tblWorkPackages[[#This Row],[Due date serial]])</f>
        <v>6</v>
      </c>
      <c r="AD1233" s="65">
        <f>tblWorkPackages[[#This Row],[First labor date]]-tblWorkPackages[[#This Row],[Request date serial]]</f>
        <v>4</v>
      </c>
      <c r="AE1233" s="65">
        <f>tblWorkPackages[[#This Row],[Last labor date]]-tblWorkPackages[[#This Row],[First labor date]]</f>
        <v>1</v>
      </c>
      <c r="AF1233" s="65">
        <f>tblWorkPackages[[#This Row],[Completion date serial]]-tblWorkPackages[[#This Row],[Last labor date]]</f>
        <v>3</v>
      </c>
      <c r="AG1233" s="65">
        <f>tblWorkPackages[[#This Row],[Completion date serial]]-tblWorkPackages[[#This Row],[Request date serial]]</f>
        <v>8</v>
      </c>
      <c r="AH1233" s="65">
        <f>IFERROR(INDEX(tblParts[Delay days],MATCH(tblWorkPackages[[#This Row],[Work package ID]],tblParts[Work package ID],0)),0)</f>
        <v>0</v>
      </c>
      <c r="AI1233" s="51" t="str">
        <f>IFERROR(INDEX(tblDisruptions[Event type],MATCH(tblWorkPackages[[#This Row],[Work package ID]],tblDisruptions[Work package ID],0)),"None")</f>
        <v>None</v>
      </c>
      <c r="AJ1233" s="51" t="str">
        <f>TEXT(tblWorkPackages[[#This Row],[Due date serial]],"yyyy-mm")</f>
        <v>2025-07</v>
      </c>
    </row>
    <row r="1234" spans="1:36" ht="15" x14ac:dyDescent="0.25">
      <c r="A1234" s="53" t="s">
        <v>2141</v>
      </c>
      <c r="B1234" s="53" t="s">
        <v>203</v>
      </c>
      <c r="C1234" s="53" t="s">
        <v>951</v>
      </c>
      <c r="D1234" s="53" t="s">
        <v>952</v>
      </c>
      <c r="E1234" s="53" t="s">
        <v>272</v>
      </c>
      <c r="F1234" s="53" t="s">
        <v>145</v>
      </c>
      <c r="G1234" s="53" t="s">
        <v>273</v>
      </c>
      <c r="H1234" s="53">
        <v>4</v>
      </c>
      <c r="I1234" s="53" t="s">
        <v>130</v>
      </c>
      <c r="J1234" s="53">
        <v>0</v>
      </c>
      <c r="K1234" s="53">
        <v>1</v>
      </c>
      <c r="L1234" s="53">
        <v>17.399999999999999</v>
      </c>
      <c r="M1234" s="53" t="s">
        <v>953</v>
      </c>
      <c r="N1234" s="53">
        <v>13.7</v>
      </c>
      <c r="O1234" s="51" t="str">
        <f>TEXT(tblWorkPackages[[#This Row],[Request date serial]]-WEEKDAY(tblWorkPackages[[#This Row],[Request date serial]],3),"yyyy-mm-dd")</f>
        <v>2024-09-30</v>
      </c>
      <c r="P1234" s="51">
        <f>ABS(tblWorkPackages[[#This Row],[Actual labor hours]]-tblWorkPackages[[#This Row],[Estimated labor hours]])</f>
        <v>3.7</v>
      </c>
      <c r="Q1234" s="51">
        <f>IF(tblWorkPackages[[#This Row],[Actual labor hours]]&gt;tblWorkPackages[[#This Row],[Estimated labor hours]],1,0)</f>
        <v>0</v>
      </c>
      <c r="R1234" s="51">
        <f>tblWorkPackages[[#This Row],[Actual labor hours]]-tblWorkPackages[[#This Row],[Estimated labor hours]]</f>
        <v>-3.7</v>
      </c>
      <c r="S1234" s="51" t="str">
        <f>IF(tblWorkPackages[[#This Row],[Request date serial]]&lt;ValidationStart,"Train 2024",IF(tblWorkPackages[[#This Row],[Request date serial]]&lt;HoldoutStart,"Validation H1","Holdout H2"))</f>
        <v>Train 2024</v>
      </c>
      <c r="T1234" s="51" t="str">
        <f>IF(tblWorkPackages[[#This Row],[Time split]]="Train 2024","",tblWorkPackages[[#This Row],[Estimated labor hours]]+VLOOKUP(tblWorkPackages[[#This Row],[Task type]],'Forecast validation'!$A$14:$E$25,IF(tblWorkPackages[[#This Row],[Time split]]="Validation H1",4,5),FALSE()))</f>
        <v/>
      </c>
      <c r="U1234" s="51" t="str">
        <f>IF(tblWorkPackages[[#This Row],[Calibrated forecast hours]]="","",ABS(tblWorkPackages[[#This Row],[Actual labor hours]]-tblWorkPackages[[#This Row],[Calibrated forecast hours]]))</f>
        <v/>
      </c>
      <c r="V1234" s="51">
        <f>IF(tblWorkPackages[[#This Row],[Time split]]="Train 2024",tblWorkPackages[[#This Row],[Estimated labor hours]],tblWorkPackages[[#This Row],[Calibrated forecast hours]])</f>
        <v>17.4</v>
      </c>
      <c r="W1234" s="64">
        <f>DATEVALUE(tblWorkPackages[[#This Row],[Request date]])</f>
        <v>45565.0</v>
      </c>
      <c r="X1234" s="64">
        <f>DATEVALUE(tblWorkPackages[[#This Row],[Due date]])</f>
        <v>45578.0</v>
      </c>
      <c r="Y1234" s="64">
        <f>DATEVALUE(tblWorkPackages[[#This Row],[Completion date]])</f>
        <v>45568.0</v>
      </c>
      <c r="Z1234" s="64">
        <f>_xlfn.MINIFS(tblLaborEntries[Work date serial],tblLaborEntries[Work package ID],tblWorkPackages[[#This Row],[Work package ID]])</f>
        <v>45566.0</v>
      </c>
      <c r="AA1234" s="64">
        <f>_xlfn.MAXIFS(tblLaborEntries[Work date serial],tblLaborEntries[Work package ID],tblWorkPackages[[#This Row],[Work package ID]])</f>
        <v>45568.0</v>
      </c>
      <c r="AB1234" s="65">
        <f>IF(tblWorkPackages[[#This Row],[Completion date serial]]&gt;tblWorkPackages[[#This Row],[Due date serial]],1,0)</f>
        <v>0</v>
      </c>
      <c r="AC1234" s="65">
        <f>MAX(0,tblWorkPackages[[#This Row],[Completion date serial]]-tblWorkPackages[[#This Row],[Due date serial]])</f>
        <v>0</v>
      </c>
      <c r="AD1234" s="65">
        <f>tblWorkPackages[[#This Row],[First labor date]]-tblWorkPackages[[#This Row],[Request date serial]]</f>
        <v>1</v>
      </c>
      <c r="AE1234" s="65">
        <f>tblWorkPackages[[#This Row],[Last labor date]]-tblWorkPackages[[#This Row],[First labor date]]</f>
        <v>2</v>
      </c>
      <c r="AF1234" s="65">
        <f>tblWorkPackages[[#This Row],[Completion date serial]]-tblWorkPackages[[#This Row],[Last labor date]]</f>
        <v>0</v>
      </c>
      <c r="AG1234" s="65">
        <f>tblWorkPackages[[#This Row],[Completion date serial]]-tblWorkPackages[[#This Row],[Request date serial]]</f>
        <v>3</v>
      </c>
      <c r="AH1234" s="65">
        <f>IFERROR(INDEX(tblParts[Delay days],MATCH(tblWorkPackages[[#This Row],[Work package ID]],tblParts[Work package ID],0)),0)</f>
        <v>0</v>
      </c>
      <c r="AI1234" s="51" t="str">
        <f>IFERROR(INDEX(tblDisruptions[Event type],MATCH(tblWorkPackages[[#This Row],[Work package ID]],tblDisruptions[Work package ID],0)),"None")</f>
        <v>None</v>
      </c>
      <c r="AJ1234" s="51" t="str">
        <f>TEXT(tblWorkPackages[[#This Row],[Due date serial]],"yyyy-mm")</f>
        <v>2024-10</v>
      </c>
    </row>
    <row r="1235" spans="1:36" ht="15" x14ac:dyDescent="0.25">
      <c r="A1235" s="53" t="s">
        <v>2142</v>
      </c>
      <c r="B1235" s="53" t="s">
        <v>230</v>
      </c>
      <c r="C1235" s="53" t="s">
        <v>1204</v>
      </c>
      <c r="D1235" s="53" t="s">
        <v>1138</v>
      </c>
      <c r="E1235" s="53" t="s">
        <v>136</v>
      </c>
      <c r="F1235" s="53" t="s">
        <v>137</v>
      </c>
      <c r="G1235" s="53" t="s">
        <v>138</v>
      </c>
      <c r="H1235" s="53">
        <v>1</v>
      </c>
      <c r="I1235" s="53" t="s">
        <v>176</v>
      </c>
      <c r="J1235" s="53">
        <v>0</v>
      </c>
      <c r="K1235" s="53">
        <v>0</v>
      </c>
      <c r="L1235" s="53">
        <v>9.9</v>
      </c>
      <c r="M1235" s="53" t="s">
        <v>1293</v>
      </c>
      <c r="N1235" s="53">
        <v>9.6</v>
      </c>
      <c r="O1235" s="51" t="str">
        <f>TEXT(tblWorkPackages[[#This Row],[Request date serial]]-WEEKDAY(tblWorkPackages[[#This Row],[Request date serial]],3),"yyyy-mm-dd")</f>
        <v>2024-07-29</v>
      </c>
      <c r="P1235" s="51">
        <f>ABS(tblWorkPackages[[#This Row],[Actual labor hours]]-tblWorkPackages[[#This Row],[Estimated labor hours]])</f>
        <v>0.300000000000001</v>
      </c>
      <c r="Q1235" s="51">
        <f>IF(tblWorkPackages[[#This Row],[Actual labor hours]]&gt;tblWorkPackages[[#This Row],[Estimated labor hours]],1,0)</f>
        <v>0</v>
      </c>
      <c r="R1235" s="51">
        <f>tblWorkPackages[[#This Row],[Actual labor hours]]-tblWorkPackages[[#This Row],[Estimated labor hours]]</f>
        <v>-0.300000000000001</v>
      </c>
      <c r="S1235" s="51" t="str">
        <f>IF(tblWorkPackages[[#This Row],[Request date serial]]&lt;ValidationStart,"Train 2024",IF(tblWorkPackages[[#This Row],[Request date serial]]&lt;HoldoutStart,"Validation H1","Holdout H2"))</f>
        <v>Train 2024</v>
      </c>
      <c r="T1235" s="51" t="str">
        <f>IF(tblWorkPackages[[#This Row],[Time split]]="Train 2024","",tblWorkPackages[[#This Row],[Estimated labor hours]]+VLOOKUP(tblWorkPackages[[#This Row],[Task type]],'Forecast validation'!$A$14:$E$25,IF(tblWorkPackages[[#This Row],[Time split]]="Validation H1",4,5),FALSE()))</f>
        <v/>
      </c>
      <c r="U1235" s="51" t="str">
        <f>IF(tblWorkPackages[[#This Row],[Calibrated forecast hours]]="","",ABS(tblWorkPackages[[#This Row],[Actual labor hours]]-tblWorkPackages[[#This Row],[Calibrated forecast hours]]))</f>
        <v/>
      </c>
      <c r="V1235" s="51">
        <f>IF(tblWorkPackages[[#This Row],[Time split]]="Train 2024",tblWorkPackages[[#This Row],[Estimated labor hours]],tblWorkPackages[[#This Row],[Calibrated forecast hours]])</f>
        <v>9.9</v>
      </c>
      <c r="W1235" s="64">
        <f>DATEVALUE(tblWorkPackages[[#This Row],[Request date]])</f>
        <v>45503.0</v>
      </c>
      <c r="X1235" s="64">
        <f>DATEVALUE(tblWorkPackages[[#This Row],[Due date]])</f>
        <v>45509.0</v>
      </c>
      <c r="Y1235" s="64">
        <f>DATEVALUE(tblWorkPackages[[#This Row],[Completion date]])</f>
        <v>45515.0</v>
      </c>
      <c r="Z1235" s="64">
        <f>_xlfn.MINIFS(tblLaborEntries[Work date serial],tblLaborEntries[Work package ID],tblWorkPackages[[#This Row],[Work package ID]])</f>
        <v>45513.0</v>
      </c>
      <c r="AA1235" s="64">
        <f>_xlfn.MAXIFS(tblLaborEntries[Work date serial],tblLaborEntries[Work package ID],tblWorkPackages[[#This Row],[Work package ID]])</f>
        <v>45514.0</v>
      </c>
      <c r="AB1235" s="65">
        <f>IF(tblWorkPackages[[#This Row],[Completion date serial]]&gt;tblWorkPackages[[#This Row],[Due date serial]],1,0)</f>
        <v>1</v>
      </c>
      <c r="AC1235" s="65">
        <f>MAX(0,tblWorkPackages[[#This Row],[Completion date serial]]-tblWorkPackages[[#This Row],[Due date serial]])</f>
        <v>6</v>
      </c>
      <c r="AD1235" s="65">
        <f>tblWorkPackages[[#This Row],[First labor date]]-tblWorkPackages[[#This Row],[Request date serial]]</f>
        <v>10</v>
      </c>
      <c r="AE1235" s="65">
        <f>tblWorkPackages[[#This Row],[Last labor date]]-tblWorkPackages[[#This Row],[First labor date]]</f>
        <v>1</v>
      </c>
      <c r="AF1235" s="65">
        <f>tblWorkPackages[[#This Row],[Completion date serial]]-tblWorkPackages[[#This Row],[Last labor date]]</f>
        <v>1</v>
      </c>
      <c r="AG1235" s="65">
        <f>tblWorkPackages[[#This Row],[Completion date serial]]-tblWorkPackages[[#This Row],[Request date serial]]</f>
        <v>12</v>
      </c>
      <c r="AH1235" s="65">
        <f>IFERROR(INDEX(tblParts[Delay days],MATCH(tblWorkPackages[[#This Row],[Work package ID]],tblParts[Work package ID],0)),0)</f>
        <v>0</v>
      </c>
      <c r="AI1235" s="51" t="str">
        <f>IFERROR(INDEX(tblDisruptions[Event type],MATCH(tblWorkPackages[[#This Row],[Work package ID]],tblDisruptions[Work package ID],0)),"None")</f>
        <v>None</v>
      </c>
      <c r="AJ1235" s="51" t="str">
        <f>TEXT(tblWorkPackages[[#This Row],[Due date serial]],"yyyy-mm")</f>
        <v>2024-08</v>
      </c>
    </row>
    <row r="1236" spans="1:36" ht="15" x14ac:dyDescent="0.25">
      <c r="A1236" s="53" t="s">
        <v>2143</v>
      </c>
      <c r="B1236" s="53" t="s">
        <v>150</v>
      </c>
      <c r="C1236" s="53" t="s">
        <v>288</v>
      </c>
      <c r="D1236" s="53" t="s">
        <v>1274</v>
      </c>
      <c r="E1236" s="53" t="s">
        <v>242</v>
      </c>
      <c r="F1236" s="53" t="s">
        <v>243</v>
      </c>
      <c r="G1236" s="53" t="s">
        <v>129</v>
      </c>
      <c r="H1236" s="53">
        <v>4</v>
      </c>
      <c r="I1236" s="53" t="s">
        <v>130</v>
      </c>
      <c r="J1236" s="53">
        <v>0</v>
      </c>
      <c r="K1236" s="53">
        <v>0</v>
      </c>
      <c r="L1236" s="53">
        <v>14.9</v>
      </c>
      <c r="M1236" s="53" t="s">
        <v>988</v>
      </c>
      <c r="N1236" s="53">
        <v>17.100000000000001</v>
      </c>
      <c r="O1236" s="51" t="str">
        <f>TEXT(tblWorkPackages[[#This Row],[Request date serial]]-WEEKDAY(tblWorkPackages[[#This Row],[Request date serial]],3),"yyyy-mm-dd")</f>
        <v>2025-09-22</v>
      </c>
      <c r="P1236" s="51">
        <f>ABS(tblWorkPackages[[#This Row],[Actual labor hours]]-tblWorkPackages[[#This Row],[Estimated labor hours]])</f>
        <v>2.2</v>
      </c>
      <c r="Q1236" s="51">
        <f>IF(tblWorkPackages[[#This Row],[Actual labor hours]]&gt;tblWorkPackages[[#This Row],[Estimated labor hours]],1,0)</f>
        <v>1</v>
      </c>
      <c r="R1236" s="51">
        <f>tblWorkPackages[[#This Row],[Actual labor hours]]-tblWorkPackages[[#This Row],[Estimated labor hours]]</f>
        <v>2.2</v>
      </c>
      <c r="S1236" s="51" t="str">
        <f>IF(tblWorkPackages[[#This Row],[Request date serial]]&lt;ValidationStart,"Train 2024",IF(tblWorkPackages[[#This Row],[Request date serial]]&lt;HoldoutStart,"Validation H1","Holdout H2"))</f>
        <v>Holdout H2</v>
      </c>
      <c r="T1236" s="51">
        <f>IF(tblWorkPackages[[#This Row],[Time split]]="Train 2024","",tblWorkPackages[[#This Row],[Estimated labor hours]]+VLOOKUP(tblWorkPackages[[#This Row],[Task type]],'Forecast validation'!$A$14:$E$25,IF(tblWorkPackages[[#This Row],[Time split]]="Validation H1",4,5),FALSE()))</f>
        <v>15.7254545454545</v>
      </c>
      <c r="U1236" s="51">
        <f>IF(tblWorkPackages[[#This Row],[Calibrated forecast hours]]="","",ABS(tblWorkPackages[[#This Row],[Actual labor hours]]-tblWorkPackages[[#This Row],[Calibrated forecast hours]]))</f>
        <v>1.37454545454546</v>
      </c>
      <c r="V1236" s="51">
        <f>IF(tblWorkPackages[[#This Row],[Time split]]="Train 2024",tblWorkPackages[[#This Row],[Estimated labor hours]],tblWorkPackages[[#This Row],[Calibrated forecast hours]])</f>
        <v>15.7254545454545</v>
      </c>
      <c r="W1236" s="64">
        <f>DATEVALUE(tblWorkPackages[[#This Row],[Request date]])</f>
        <v>45928.0</v>
      </c>
      <c r="X1236" s="64">
        <f>DATEVALUE(tblWorkPackages[[#This Row],[Due date]])</f>
        <v>45941.0</v>
      </c>
      <c r="Y1236" s="64">
        <f>DATEVALUE(tblWorkPackages[[#This Row],[Completion date]])</f>
        <v>45934.0</v>
      </c>
      <c r="Z1236" s="64">
        <f>_xlfn.MINIFS(tblLaborEntries[Work date serial],tblLaborEntries[Work package ID],tblWorkPackages[[#This Row],[Work package ID]])</f>
        <v>45931.0</v>
      </c>
      <c r="AA1236" s="64">
        <f>_xlfn.MAXIFS(tblLaborEntries[Work date serial],tblLaborEntries[Work package ID],tblWorkPackages[[#This Row],[Work package ID]])</f>
        <v>45932.0</v>
      </c>
      <c r="AB1236" s="65">
        <f>IF(tblWorkPackages[[#This Row],[Completion date serial]]&gt;tblWorkPackages[[#This Row],[Due date serial]],1,0)</f>
        <v>0</v>
      </c>
      <c r="AC1236" s="65">
        <f>MAX(0,tblWorkPackages[[#This Row],[Completion date serial]]-tblWorkPackages[[#This Row],[Due date serial]])</f>
        <v>0</v>
      </c>
      <c r="AD1236" s="65">
        <f>tblWorkPackages[[#This Row],[First labor date]]-tblWorkPackages[[#This Row],[Request date serial]]</f>
        <v>3</v>
      </c>
      <c r="AE1236" s="65">
        <f>tblWorkPackages[[#This Row],[Last labor date]]-tblWorkPackages[[#This Row],[First labor date]]</f>
        <v>1</v>
      </c>
      <c r="AF1236" s="65">
        <f>tblWorkPackages[[#This Row],[Completion date serial]]-tblWorkPackages[[#This Row],[Last labor date]]</f>
        <v>2</v>
      </c>
      <c r="AG1236" s="65">
        <f>tblWorkPackages[[#This Row],[Completion date serial]]-tblWorkPackages[[#This Row],[Request date serial]]</f>
        <v>6</v>
      </c>
      <c r="AH1236" s="65">
        <f>IFERROR(INDEX(tblParts[Delay days],MATCH(tblWorkPackages[[#This Row],[Work package ID]],tblParts[Work package ID],0)),0)</f>
        <v>0</v>
      </c>
      <c r="AI1236" s="51" t="str">
        <f>IFERROR(INDEX(tblDisruptions[Event type],MATCH(tblWorkPackages[[#This Row],[Work package ID]],tblDisruptions[Work package ID],0)),"None")</f>
        <v>None</v>
      </c>
      <c r="AJ1236" s="51" t="str">
        <f>TEXT(tblWorkPackages[[#This Row],[Due date serial]],"yyyy-mm")</f>
        <v>2025-10</v>
      </c>
    </row>
    <row r="1237" spans="1:36" ht="15" x14ac:dyDescent="0.25">
      <c r="A1237" s="53" t="s">
        <v>2144</v>
      </c>
      <c r="B1237" s="53" t="s">
        <v>185</v>
      </c>
      <c r="C1237" s="53" t="s">
        <v>1205</v>
      </c>
      <c r="D1237" s="53" t="s">
        <v>1369</v>
      </c>
      <c r="E1237" s="53" t="s">
        <v>144</v>
      </c>
      <c r="F1237" s="53" t="s">
        <v>145</v>
      </c>
      <c r="G1237" s="53" t="s">
        <v>146</v>
      </c>
      <c r="H1237" s="53">
        <v>3</v>
      </c>
      <c r="I1237" s="53" t="s">
        <v>130</v>
      </c>
      <c r="J1237" s="53">
        <v>0</v>
      </c>
      <c r="K1237" s="53">
        <v>0</v>
      </c>
      <c r="L1237" s="53">
        <v>15</v>
      </c>
      <c r="M1237" s="53" t="s">
        <v>386</v>
      </c>
      <c r="N1237" s="53">
        <v>18.8</v>
      </c>
      <c r="O1237" s="51" t="str">
        <f>TEXT(tblWorkPackages[[#This Row],[Request date serial]]-WEEKDAY(tblWorkPackages[[#This Row],[Request date serial]],3),"yyyy-mm-dd")</f>
        <v>2024-07-22</v>
      </c>
      <c r="P1237" s="51">
        <f>ABS(tblWorkPackages[[#This Row],[Actual labor hours]]-tblWorkPackages[[#This Row],[Estimated labor hours]])</f>
        <v>3.8</v>
      </c>
      <c r="Q1237" s="51">
        <f>IF(tblWorkPackages[[#This Row],[Actual labor hours]]&gt;tblWorkPackages[[#This Row],[Estimated labor hours]],1,0)</f>
        <v>1</v>
      </c>
      <c r="R1237" s="51">
        <f>tblWorkPackages[[#This Row],[Actual labor hours]]-tblWorkPackages[[#This Row],[Estimated labor hours]]</f>
        <v>3.8</v>
      </c>
      <c r="S1237" s="51" t="str">
        <f>IF(tblWorkPackages[[#This Row],[Request date serial]]&lt;ValidationStart,"Train 2024",IF(tblWorkPackages[[#This Row],[Request date serial]]&lt;HoldoutStart,"Validation H1","Holdout H2"))</f>
        <v>Train 2024</v>
      </c>
      <c r="T1237" s="51" t="str">
        <f>IF(tblWorkPackages[[#This Row],[Time split]]="Train 2024","",tblWorkPackages[[#This Row],[Estimated labor hours]]+VLOOKUP(tblWorkPackages[[#This Row],[Task type]],'Forecast validation'!$A$14:$E$25,IF(tblWorkPackages[[#This Row],[Time split]]="Validation H1",4,5),FALSE()))</f>
        <v/>
      </c>
      <c r="U1237" s="51" t="str">
        <f>IF(tblWorkPackages[[#This Row],[Calibrated forecast hours]]="","",ABS(tblWorkPackages[[#This Row],[Actual labor hours]]-tblWorkPackages[[#This Row],[Calibrated forecast hours]]))</f>
        <v/>
      </c>
      <c r="V1237" s="51">
        <f>IF(tblWorkPackages[[#This Row],[Time split]]="Train 2024",tblWorkPackages[[#This Row],[Estimated labor hours]],tblWorkPackages[[#This Row],[Calibrated forecast hours]])</f>
        <v>15</v>
      </c>
      <c r="W1237" s="64">
        <f>DATEVALUE(tblWorkPackages[[#This Row],[Request date]])</f>
        <v>45500.0</v>
      </c>
      <c r="X1237" s="64">
        <f>DATEVALUE(tblWorkPackages[[#This Row],[Due date]])</f>
        <v>45513.0</v>
      </c>
      <c r="Y1237" s="64">
        <f>DATEVALUE(tblWorkPackages[[#This Row],[Completion date]])</f>
        <v>45533.0</v>
      </c>
      <c r="Z1237" s="64">
        <f>_xlfn.MINIFS(tblLaborEntries[Work date serial],tblLaborEntries[Work package ID],tblWorkPackages[[#This Row],[Work package ID]])</f>
        <v>45528.0</v>
      </c>
      <c r="AA1237" s="64">
        <f>_xlfn.MAXIFS(tblLaborEntries[Work date serial],tblLaborEntries[Work package ID],tblWorkPackages[[#This Row],[Work package ID]])</f>
        <v>45530.0</v>
      </c>
      <c r="AB1237" s="65">
        <f>IF(tblWorkPackages[[#This Row],[Completion date serial]]&gt;tblWorkPackages[[#This Row],[Due date serial]],1,0)</f>
        <v>1</v>
      </c>
      <c r="AC1237" s="65">
        <f>MAX(0,tblWorkPackages[[#This Row],[Completion date serial]]-tblWorkPackages[[#This Row],[Due date serial]])</f>
        <v>20</v>
      </c>
      <c r="AD1237" s="65">
        <f>tblWorkPackages[[#This Row],[First labor date]]-tblWorkPackages[[#This Row],[Request date serial]]</f>
        <v>28</v>
      </c>
      <c r="AE1237" s="65">
        <f>tblWorkPackages[[#This Row],[Last labor date]]-tblWorkPackages[[#This Row],[First labor date]]</f>
        <v>2</v>
      </c>
      <c r="AF1237" s="65">
        <f>tblWorkPackages[[#This Row],[Completion date serial]]-tblWorkPackages[[#This Row],[Last labor date]]</f>
        <v>3</v>
      </c>
      <c r="AG1237" s="65">
        <f>tblWorkPackages[[#This Row],[Completion date serial]]-tblWorkPackages[[#This Row],[Request date serial]]</f>
        <v>33</v>
      </c>
      <c r="AH1237" s="65">
        <f>IFERROR(INDEX(tblParts[Delay days],MATCH(tblWorkPackages[[#This Row],[Work package ID]],tblParts[Work package ID],0)),0)</f>
        <v>0</v>
      </c>
      <c r="AI1237" s="51" t="str">
        <f>IFERROR(INDEX(tblDisruptions[Event type],MATCH(tblWorkPackages[[#This Row],[Work package ID]],tblDisruptions[Work package ID],0)),"None")</f>
        <v>None</v>
      </c>
      <c r="AJ1237" s="51" t="str">
        <f>TEXT(tblWorkPackages[[#This Row],[Due date serial]],"yyyy-mm")</f>
        <v>2024-08</v>
      </c>
    </row>
    <row r="1238" spans="1:36" ht="15" x14ac:dyDescent="0.25">
      <c r="A1238" s="53" t="s">
        <v>2145</v>
      </c>
      <c r="B1238" s="53" t="s">
        <v>230</v>
      </c>
      <c r="C1238" s="53" t="s">
        <v>1151</v>
      </c>
      <c r="D1238" s="53" t="s">
        <v>177</v>
      </c>
      <c r="E1238" s="53" t="s">
        <v>144</v>
      </c>
      <c r="F1238" s="53" t="s">
        <v>145</v>
      </c>
      <c r="G1238" s="53" t="s">
        <v>146</v>
      </c>
      <c r="H1238" s="53">
        <v>1</v>
      </c>
      <c r="I1238" s="53" t="s">
        <v>176</v>
      </c>
      <c r="J1238" s="53">
        <v>0</v>
      </c>
      <c r="K1238" s="53">
        <v>1</v>
      </c>
      <c r="L1238" s="53">
        <v>6.8</v>
      </c>
      <c r="M1238" s="53" t="s">
        <v>583</v>
      </c>
      <c r="N1238" s="53">
        <v>8.6999999999999993</v>
      </c>
      <c r="O1238" s="51" t="str">
        <f>TEXT(tblWorkPackages[[#This Row],[Request date serial]]-WEEKDAY(tblWorkPackages[[#This Row],[Request date serial]],3),"yyyy-mm-dd")</f>
        <v>2025-08-11</v>
      </c>
      <c r="P1238" s="51">
        <f>ABS(tblWorkPackages[[#This Row],[Actual labor hours]]-tblWorkPackages[[#This Row],[Estimated labor hours]])</f>
        <v>1.9</v>
      </c>
      <c r="Q1238" s="51">
        <f>IF(tblWorkPackages[[#This Row],[Actual labor hours]]&gt;tblWorkPackages[[#This Row],[Estimated labor hours]],1,0)</f>
        <v>1</v>
      </c>
      <c r="R1238" s="51">
        <f>tblWorkPackages[[#This Row],[Actual labor hours]]-tblWorkPackages[[#This Row],[Estimated labor hours]]</f>
        <v>1.9</v>
      </c>
      <c r="S1238" s="51" t="str">
        <f>IF(tblWorkPackages[[#This Row],[Request date serial]]&lt;ValidationStart,"Train 2024",IF(tblWorkPackages[[#This Row],[Request date serial]]&lt;HoldoutStart,"Validation H1","Holdout H2"))</f>
        <v>Holdout H2</v>
      </c>
      <c r="T1238" s="51">
        <f>IF(tblWorkPackages[[#This Row],[Time split]]="Train 2024","",tblWorkPackages[[#This Row],[Estimated labor hours]]+VLOOKUP(tblWorkPackages[[#This Row],[Task type]],'Forecast validation'!$A$14:$E$25,IF(tblWorkPackages[[#This Row],[Time split]]="Validation H1",4,5),FALSE()))</f>
        <v>7.77354838709677</v>
      </c>
      <c r="U1238" s="51">
        <f>IF(tblWorkPackages[[#This Row],[Calibrated forecast hours]]="","",ABS(tblWorkPackages[[#This Row],[Actual labor hours]]-tblWorkPackages[[#This Row],[Calibrated forecast hours]]))</f>
        <v>0.926451612903225</v>
      </c>
      <c r="V1238" s="51">
        <f>IF(tblWorkPackages[[#This Row],[Time split]]="Train 2024",tblWorkPackages[[#This Row],[Estimated labor hours]],tblWorkPackages[[#This Row],[Calibrated forecast hours]])</f>
        <v>7.77354838709677</v>
      </c>
      <c r="W1238" s="64">
        <f>DATEVALUE(tblWorkPackages[[#This Row],[Request date]])</f>
        <v>45880.0</v>
      </c>
      <c r="X1238" s="64">
        <f>DATEVALUE(tblWorkPackages[[#This Row],[Due date]])</f>
        <v>45886.0</v>
      </c>
      <c r="Y1238" s="64">
        <f>DATEVALUE(tblWorkPackages[[#This Row],[Completion date]])</f>
        <v>45885.0</v>
      </c>
      <c r="Z1238" s="64">
        <f>_xlfn.MINIFS(tblLaborEntries[Work date serial],tblLaborEntries[Work package ID],tblWorkPackages[[#This Row],[Work package ID]])</f>
        <v>45885.0</v>
      </c>
      <c r="AA1238" s="64">
        <f>_xlfn.MAXIFS(tblLaborEntries[Work date serial],tblLaborEntries[Work package ID],tblWorkPackages[[#This Row],[Work package ID]])</f>
        <v>45885.0</v>
      </c>
      <c r="AB1238" s="65">
        <f>IF(tblWorkPackages[[#This Row],[Completion date serial]]&gt;tblWorkPackages[[#This Row],[Due date serial]],1,0)</f>
        <v>0</v>
      </c>
      <c r="AC1238" s="65">
        <f>MAX(0,tblWorkPackages[[#This Row],[Completion date serial]]-tblWorkPackages[[#This Row],[Due date serial]])</f>
        <v>0</v>
      </c>
      <c r="AD1238" s="65">
        <f>tblWorkPackages[[#This Row],[First labor date]]-tblWorkPackages[[#This Row],[Request date serial]]</f>
        <v>5</v>
      </c>
      <c r="AE1238" s="65">
        <f>tblWorkPackages[[#This Row],[Last labor date]]-tblWorkPackages[[#This Row],[First labor date]]</f>
        <v>0</v>
      </c>
      <c r="AF1238" s="65">
        <f>tblWorkPackages[[#This Row],[Completion date serial]]-tblWorkPackages[[#This Row],[Last labor date]]</f>
        <v>0</v>
      </c>
      <c r="AG1238" s="65">
        <f>tblWorkPackages[[#This Row],[Completion date serial]]-tblWorkPackages[[#This Row],[Request date serial]]</f>
        <v>5</v>
      </c>
      <c r="AH1238" s="65">
        <f>IFERROR(INDEX(tblParts[Delay days],MATCH(tblWorkPackages[[#This Row],[Work package ID]],tblParts[Work package ID],0)),0)</f>
        <v>0</v>
      </c>
      <c r="AI1238" s="51" t="str">
        <f>IFERROR(INDEX(tblDisruptions[Event type],MATCH(tblWorkPackages[[#This Row],[Work package ID]],tblDisruptions[Work package ID],0)),"None")</f>
        <v>None</v>
      </c>
      <c r="AJ1238" s="51" t="str">
        <f>TEXT(tblWorkPackages[[#This Row],[Due date serial]],"yyyy-mm")</f>
        <v>2025-08</v>
      </c>
    </row>
    <row r="1239" spans="1:36" ht="15" x14ac:dyDescent="0.25">
      <c r="A1239" s="53" t="s">
        <v>2146</v>
      </c>
      <c r="B1239" s="53" t="s">
        <v>203</v>
      </c>
      <c r="C1239" s="53" t="s">
        <v>885</v>
      </c>
      <c r="D1239" s="53" t="s">
        <v>903</v>
      </c>
      <c r="E1239" s="53" t="s">
        <v>223</v>
      </c>
      <c r="F1239" s="53" t="s">
        <v>182</v>
      </c>
      <c r="G1239" s="53" t="s">
        <v>154</v>
      </c>
      <c r="H1239" s="53">
        <v>3</v>
      </c>
      <c r="I1239" s="53" t="s">
        <v>130</v>
      </c>
      <c r="J1239" s="53">
        <v>1</v>
      </c>
      <c r="K1239" s="53">
        <v>0</v>
      </c>
      <c r="L1239" s="53">
        <v>14</v>
      </c>
      <c r="M1239" s="53" t="s">
        <v>532</v>
      </c>
      <c r="N1239" s="53">
        <v>16.3</v>
      </c>
      <c r="O1239" s="51" t="str">
        <f>TEXT(tblWorkPackages[[#This Row],[Request date serial]]-WEEKDAY(tblWorkPackages[[#This Row],[Request date serial]],3),"yyyy-mm-dd")</f>
        <v>2025-09-01</v>
      </c>
      <c r="P1239" s="51">
        <f>ABS(tblWorkPackages[[#This Row],[Actual labor hours]]-tblWorkPackages[[#This Row],[Estimated labor hours]])</f>
        <v>2.3</v>
      </c>
      <c r="Q1239" s="51">
        <f>IF(tblWorkPackages[[#This Row],[Actual labor hours]]&gt;tblWorkPackages[[#This Row],[Estimated labor hours]],1,0)</f>
        <v>1</v>
      </c>
      <c r="R1239" s="51">
        <f>tblWorkPackages[[#This Row],[Actual labor hours]]-tblWorkPackages[[#This Row],[Estimated labor hours]]</f>
        <v>2.3</v>
      </c>
      <c r="S1239" s="51" t="str">
        <f>IF(tblWorkPackages[[#This Row],[Request date serial]]&lt;ValidationStart,"Train 2024",IF(tblWorkPackages[[#This Row],[Request date serial]]&lt;HoldoutStart,"Validation H1","Holdout H2"))</f>
        <v>Holdout H2</v>
      </c>
      <c r="T1239" s="51">
        <f>IF(tblWorkPackages[[#This Row],[Time split]]="Train 2024","",tblWorkPackages[[#This Row],[Estimated labor hours]]+VLOOKUP(tblWorkPackages[[#This Row],[Task type]],'Forecast validation'!$A$14:$E$25,IF(tblWorkPackages[[#This Row],[Time split]]="Validation H1",4,5),FALSE()))</f>
        <v>14.9246575342466</v>
      </c>
      <c r="U1239" s="51">
        <f>IF(tblWorkPackages[[#This Row],[Calibrated forecast hours]]="","",ABS(tblWorkPackages[[#This Row],[Actual labor hours]]-tblWorkPackages[[#This Row],[Calibrated forecast hours]]))</f>
        <v>1.37534246575343</v>
      </c>
      <c r="V1239" s="51">
        <f>IF(tblWorkPackages[[#This Row],[Time split]]="Train 2024",tblWorkPackages[[#This Row],[Estimated labor hours]],tblWorkPackages[[#This Row],[Calibrated forecast hours]])</f>
        <v>14.9246575342466</v>
      </c>
      <c r="W1239" s="64">
        <f>DATEVALUE(tblWorkPackages[[#This Row],[Request date]])</f>
        <v>45901.0</v>
      </c>
      <c r="X1239" s="64">
        <f>DATEVALUE(tblWorkPackages[[#This Row],[Due date]])</f>
        <v>45914.0</v>
      </c>
      <c r="Y1239" s="64">
        <f>DATEVALUE(tblWorkPackages[[#This Row],[Completion date]])</f>
        <v>45904.0</v>
      </c>
      <c r="Z1239" s="64">
        <f>_xlfn.MINIFS(tblLaborEntries[Work date serial],tblLaborEntries[Work package ID],tblWorkPackages[[#This Row],[Work package ID]])</f>
        <v>45903.0</v>
      </c>
      <c r="AA1239" s="64">
        <f>_xlfn.MAXIFS(tblLaborEntries[Work date serial],tblLaborEntries[Work package ID],tblWorkPackages[[#This Row],[Work package ID]])</f>
        <v>45903.0</v>
      </c>
      <c r="AB1239" s="65">
        <f>IF(tblWorkPackages[[#This Row],[Completion date serial]]&gt;tblWorkPackages[[#This Row],[Due date serial]],1,0)</f>
        <v>0</v>
      </c>
      <c r="AC1239" s="65">
        <f>MAX(0,tblWorkPackages[[#This Row],[Completion date serial]]-tblWorkPackages[[#This Row],[Due date serial]])</f>
        <v>0</v>
      </c>
      <c r="AD1239" s="65">
        <f>tblWorkPackages[[#This Row],[First labor date]]-tblWorkPackages[[#This Row],[Request date serial]]</f>
        <v>2</v>
      </c>
      <c r="AE1239" s="65">
        <f>tblWorkPackages[[#This Row],[Last labor date]]-tblWorkPackages[[#This Row],[First labor date]]</f>
        <v>0</v>
      </c>
      <c r="AF1239" s="65">
        <f>tblWorkPackages[[#This Row],[Completion date serial]]-tblWorkPackages[[#This Row],[Last labor date]]</f>
        <v>1</v>
      </c>
      <c r="AG1239" s="65">
        <f>tblWorkPackages[[#This Row],[Completion date serial]]-tblWorkPackages[[#This Row],[Request date serial]]</f>
        <v>3</v>
      </c>
      <c r="AH1239" s="65">
        <f>IFERROR(INDEX(tblParts[Delay days],MATCH(tblWorkPackages[[#This Row],[Work package ID]],tblParts[Work package ID],0)),0)</f>
        <v>0</v>
      </c>
      <c r="AI1239" s="51" t="str">
        <f>IFERROR(INDEX(tblDisruptions[Event type],MATCH(tblWorkPackages[[#This Row],[Work package ID]],tblDisruptions[Work package ID],0)),"None")</f>
        <v>None</v>
      </c>
      <c r="AJ1239" s="51" t="str">
        <f>TEXT(tblWorkPackages[[#This Row],[Due date serial]],"yyyy-mm")</f>
        <v>2025-09</v>
      </c>
    </row>
    <row r="1240" spans="1:36" ht="15" x14ac:dyDescent="0.25">
      <c r="A1240" s="53" t="s">
        <v>2147</v>
      </c>
      <c r="B1240" s="53" t="s">
        <v>157</v>
      </c>
      <c r="C1240" s="53" t="s">
        <v>326</v>
      </c>
      <c r="D1240" s="53" t="s">
        <v>1614</v>
      </c>
      <c r="E1240" s="53" t="s">
        <v>209</v>
      </c>
      <c r="F1240" s="53" t="s">
        <v>145</v>
      </c>
      <c r="G1240" s="53" t="s">
        <v>210</v>
      </c>
      <c r="H1240" s="53">
        <v>2</v>
      </c>
      <c r="I1240" s="53" t="s">
        <v>130</v>
      </c>
      <c r="J1240" s="53">
        <v>0</v>
      </c>
      <c r="K1240" s="53">
        <v>1</v>
      </c>
      <c r="L1240" s="53">
        <v>17.3</v>
      </c>
      <c r="M1240" s="53" t="s">
        <v>334</v>
      </c>
      <c r="N1240" s="53">
        <v>14.5</v>
      </c>
      <c r="O1240" s="51" t="str">
        <f>TEXT(tblWorkPackages[[#This Row],[Request date serial]]-WEEKDAY(tblWorkPackages[[#This Row],[Request date serial]],3),"yyyy-mm-dd")</f>
        <v>2025-11-10</v>
      </c>
      <c r="P1240" s="51">
        <f>ABS(tblWorkPackages[[#This Row],[Actual labor hours]]-tblWorkPackages[[#This Row],[Estimated labor hours]])</f>
        <v>2.8</v>
      </c>
      <c r="Q1240" s="51">
        <f>IF(tblWorkPackages[[#This Row],[Actual labor hours]]&gt;tblWorkPackages[[#This Row],[Estimated labor hours]],1,0)</f>
        <v>0</v>
      </c>
      <c r="R1240" s="51">
        <f>tblWorkPackages[[#This Row],[Actual labor hours]]-tblWorkPackages[[#This Row],[Estimated labor hours]]</f>
        <v>-2.8</v>
      </c>
      <c r="S1240" s="51" t="str">
        <f>IF(tblWorkPackages[[#This Row],[Request date serial]]&lt;ValidationStart,"Train 2024",IF(tblWorkPackages[[#This Row],[Request date serial]]&lt;HoldoutStart,"Validation H1","Holdout H2"))</f>
        <v>Holdout H2</v>
      </c>
      <c r="T1240" s="51">
        <f>IF(tblWorkPackages[[#This Row],[Time split]]="Train 2024","",tblWorkPackages[[#This Row],[Estimated labor hours]]+VLOOKUP(tblWorkPackages[[#This Row],[Task type]],'Forecast validation'!$A$14:$E$25,IF(tblWorkPackages[[#This Row],[Time split]]="Validation H1",4,5),FALSE()))</f>
        <v>19.095652173913</v>
      </c>
      <c r="U1240" s="51">
        <f>IF(tblWorkPackages[[#This Row],[Calibrated forecast hours]]="","",ABS(tblWorkPackages[[#This Row],[Actual labor hours]]-tblWorkPackages[[#This Row],[Calibrated forecast hours]]))</f>
        <v>4.59565217391305</v>
      </c>
      <c r="V1240" s="51">
        <f>IF(tblWorkPackages[[#This Row],[Time split]]="Train 2024",tblWorkPackages[[#This Row],[Estimated labor hours]],tblWorkPackages[[#This Row],[Calibrated forecast hours]])</f>
        <v>19.095652173913</v>
      </c>
      <c r="W1240" s="64">
        <f>DATEVALUE(tblWorkPackages[[#This Row],[Request date]])</f>
        <v>45975.0</v>
      </c>
      <c r="X1240" s="64">
        <f>DATEVALUE(tblWorkPackages[[#This Row],[Due date]])</f>
        <v>45988.0</v>
      </c>
      <c r="Y1240" s="64">
        <f>DATEVALUE(tblWorkPackages[[#This Row],[Completion date]])</f>
        <v>45990.0</v>
      </c>
      <c r="Z1240" s="64">
        <f>_xlfn.MINIFS(tblLaborEntries[Work date serial],tblLaborEntries[Work package ID],tblWorkPackages[[#This Row],[Work package ID]])</f>
        <v>45988.0</v>
      </c>
      <c r="AA1240" s="64">
        <f>_xlfn.MAXIFS(tblLaborEntries[Work date serial],tblLaborEntries[Work package ID],tblWorkPackages[[#This Row],[Work package ID]])</f>
        <v>45988.0</v>
      </c>
      <c r="AB1240" s="65">
        <f>IF(tblWorkPackages[[#This Row],[Completion date serial]]&gt;tblWorkPackages[[#This Row],[Due date serial]],1,0)</f>
        <v>1</v>
      </c>
      <c r="AC1240" s="65">
        <f>MAX(0,tblWorkPackages[[#This Row],[Completion date serial]]-tblWorkPackages[[#This Row],[Due date serial]])</f>
        <v>2</v>
      </c>
      <c r="AD1240" s="65">
        <f>tblWorkPackages[[#This Row],[First labor date]]-tblWorkPackages[[#This Row],[Request date serial]]</f>
        <v>13</v>
      </c>
      <c r="AE1240" s="65">
        <f>tblWorkPackages[[#This Row],[Last labor date]]-tblWorkPackages[[#This Row],[First labor date]]</f>
        <v>0</v>
      </c>
      <c r="AF1240" s="65">
        <f>tblWorkPackages[[#This Row],[Completion date serial]]-tblWorkPackages[[#This Row],[Last labor date]]</f>
        <v>2</v>
      </c>
      <c r="AG1240" s="65">
        <f>tblWorkPackages[[#This Row],[Completion date serial]]-tblWorkPackages[[#This Row],[Request date serial]]</f>
        <v>15</v>
      </c>
      <c r="AH1240" s="65">
        <f>IFERROR(INDEX(tblParts[Delay days],MATCH(tblWorkPackages[[#This Row],[Work package ID]],tblParts[Work package ID],0)),0)</f>
        <v>0</v>
      </c>
      <c r="AI1240" s="51" t="str">
        <f>IFERROR(INDEX(tblDisruptions[Event type],MATCH(tblWorkPackages[[#This Row],[Work package ID]],tblDisruptions[Work package ID],0)),"None")</f>
        <v>None</v>
      </c>
      <c r="AJ1240" s="51" t="str">
        <f>TEXT(tblWorkPackages[[#This Row],[Due date serial]],"yyyy-mm")</f>
        <v>2025-11</v>
      </c>
    </row>
    <row r="1241" spans="1:36" ht="15" x14ac:dyDescent="0.25">
      <c r="A1241" s="53" t="s">
        <v>2148</v>
      </c>
      <c r="B1241" s="53" t="s">
        <v>163</v>
      </c>
      <c r="C1241" s="53" t="s">
        <v>384</v>
      </c>
      <c r="D1241" s="53" t="s">
        <v>859</v>
      </c>
      <c r="E1241" s="53" t="s">
        <v>181</v>
      </c>
      <c r="F1241" s="53" t="s">
        <v>182</v>
      </c>
      <c r="G1241" s="53" t="s">
        <v>138</v>
      </c>
      <c r="H1241" s="53">
        <v>1</v>
      </c>
      <c r="I1241" s="53" t="s">
        <v>130</v>
      </c>
      <c r="J1241" s="53">
        <v>0</v>
      </c>
      <c r="K1241" s="53">
        <v>0</v>
      </c>
      <c r="L1241" s="53">
        <v>5.0999999999999996</v>
      </c>
      <c r="M1241" s="53" t="s">
        <v>412</v>
      </c>
      <c r="N1241" s="53">
        <v>4.5</v>
      </c>
      <c r="O1241" s="51" t="str">
        <f>TEXT(tblWorkPackages[[#This Row],[Request date serial]]-WEEKDAY(tblWorkPackages[[#This Row],[Request date serial]],3),"yyyy-mm-dd")</f>
        <v>2025-02-17</v>
      </c>
      <c r="P1241" s="51">
        <f>ABS(tblWorkPackages[[#This Row],[Actual labor hours]]-tblWorkPackages[[#This Row],[Estimated labor hours]])</f>
        <v>0.6</v>
      </c>
      <c r="Q1241" s="51">
        <f>IF(tblWorkPackages[[#This Row],[Actual labor hours]]&gt;tblWorkPackages[[#This Row],[Estimated labor hours]],1,0)</f>
        <v>0</v>
      </c>
      <c r="R1241" s="51">
        <f>tblWorkPackages[[#This Row],[Actual labor hours]]-tblWorkPackages[[#This Row],[Estimated labor hours]]</f>
        <v>-0.6</v>
      </c>
      <c r="S1241" s="51" t="str">
        <f>IF(tblWorkPackages[[#This Row],[Request date serial]]&lt;ValidationStart,"Train 2024",IF(tblWorkPackages[[#This Row],[Request date serial]]&lt;HoldoutStart,"Validation H1","Holdout H2"))</f>
        <v>Validation H1</v>
      </c>
      <c r="T1241" s="51">
        <f>IF(tblWorkPackages[[#This Row],[Time split]]="Train 2024","",tblWorkPackages[[#This Row],[Estimated labor hours]]+VLOOKUP(tblWorkPackages[[#This Row],[Task type]],'Forecast validation'!$A$14:$E$25,IF(tblWorkPackages[[#This Row],[Time split]]="Validation H1",4,5),FALSE()))</f>
        <v>5.68409090909091</v>
      </c>
      <c r="U1241" s="51">
        <f>IF(tblWorkPackages[[#This Row],[Calibrated forecast hours]]="","",ABS(tblWorkPackages[[#This Row],[Actual labor hours]]-tblWorkPackages[[#This Row],[Calibrated forecast hours]]))</f>
        <v>1.18409090909091</v>
      </c>
      <c r="V1241" s="51">
        <f>IF(tblWorkPackages[[#This Row],[Time split]]="Train 2024",tblWorkPackages[[#This Row],[Estimated labor hours]],tblWorkPackages[[#This Row],[Calibrated forecast hours]])</f>
        <v>5.68409090909091</v>
      </c>
      <c r="W1241" s="64">
        <f>DATEVALUE(tblWorkPackages[[#This Row],[Request date]])</f>
        <v>45706.0</v>
      </c>
      <c r="X1241" s="64">
        <f>DATEVALUE(tblWorkPackages[[#This Row],[Due date]])</f>
        <v>45719.0</v>
      </c>
      <c r="Y1241" s="64">
        <f>DATEVALUE(tblWorkPackages[[#This Row],[Completion date]])</f>
        <v>45712.0</v>
      </c>
      <c r="Z1241" s="64">
        <f>_xlfn.MINIFS(tblLaborEntries[Work date serial],tblLaborEntries[Work package ID],tblWorkPackages[[#This Row],[Work package ID]])</f>
        <v>45709.0</v>
      </c>
      <c r="AA1241" s="64">
        <f>_xlfn.MAXIFS(tblLaborEntries[Work date serial],tblLaborEntries[Work package ID],tblWorkPackages[[#This Row],[Work package ID]])</f>
        <v>45709.0</v>
      </c>
      <c r="AB1241" s="65">
        <f>IF(tblWorkPackages[[#This Row],[Completion date serial]]&gt;tblWorkPackages[[#This Row],[Due date serial]],1,0)</f>
        <v>0</v>
      </c>
      <c r="AC1241" s="65">
        <f>MAX(0,tblWorkPackages[[#This Row],[Completion date serial]]-tblWorkPackages[[#This Row],[Due date serial]])</f>
        <v>0</v>
      </c>
      <c r="AD1241" s="65">
        <f>tblWorkPackages[[#This Row],[First labor date]]-tblWorkPackages[[#This Row],[Request date serial]]</f>
        <v>3</v>
      </c>
      <c r="AE1241" s="65">
        <f>tblWorkPackages[[#This Row],[Last labor date]]-tblWorkPackages[[#This Row],[First labor date]]</f>
        <v>0</v>
      </c>
      <c r="AF1241" s="65">
        <f>tblWorkPackages[[#This Row],[Completion date serial]]-tblWorkPackages[[#This Row],[Last labor date]]</f>
        <v>3</v>
      </c>
      <c r="AG1241" s="65">
        <f>tblWorkPackages[[#This Row],[Completion date serial]]-tblWorkPackages[[#This Row],[Request date serial]]</f>
        <v>6</v>
      </c>
      <c r="AH1241" s="65">
        <f>IFERROR(INDEX(tblParts[Delay days],MATCH(tblWorkPackages[[#This Row],[Work package ID]],tblParts[Work package ID],0)),0)</f>
        <v>0</v>
      </c>
      <c r="AI1241" s="51" t="str">
        <f>IFERROR(INDEX(tblDisruptions[Event type],MATCH(tblWorkPackages[[#This Row],[Work package ID]],tblDisruptions[Work package ID],0)),"None")</f>
        <v>None</v>
      </c>
      <c r="AJ1241" s="51" t="str">
        <f>TEXT(tblWorkPackages[[#This Row],[Due date serial]],"yyyy-mm")</f>
        <v>2025-03</v>
      </c>
    </row>
    <row r="1242" spans="1:36" ht="15" x14ac:dyDescent="0.25">
      <c r="A1242" s="53" t="s">
        <v>2149</v>
      </c>
      <c r="B1242" s="53" t="s">
        <v>287</v>
      </c>
      <c r="C1242" s="53" t="s">
        <v>762</v>
      </c>
      <c r="D1242" s="53" t="s">
        <v>703</v>
      </c>
      <c r="E1242" s="53" t="s">
        <v>209</v>
      </c>
      <c r="F1242" s="53" t="s">
        <v>145</v>
      </c>
      <c r="G1242" s="53" t="s">
        <v>210</v>
      </c>
      <c r="H1242" s="53">
        <v>1</v>
      </c>
      <c r="I1242" s="53" t="s">
        <v>147</v>
      </c>
      <c r="J1242" s="53">
        <v>0</v>
      </c>
      <c r="K1242" s="53">
        <v>1</v>
      </c>
      <c r="L1242" s="53">
        <v>14.9</v>
      </c>
      <c r="M1242" s="53" t="s">
        <v>1089</v>
      </c>
      <c r="N1242" s="53">
        <v>18.399999999999999</v>
      </c>
      <c r="O1242" s="51" t="str">
        <f>TEXT(tblWorkPackages[[#This Row],[Request date serial]]-WEEKDAY(tblWorkPackages[[#This Row],[Request date serial]],3),"yyyy-mm-dd")</f>
        <v>2024-06-03</v>
      </c>
      <c r="P1242" s="51">
        <f>ABS(tblWorkPackages[[#This Row],[Actual labor hours]]-tblWorkPackages[[#This Row],[Estimated labor hours]])</f>
        <v>3.5</v>
      </c>
      <c r="Q1242" s="51">
        <f>IF(tblWorkPackages[[#This Row],[Actual labor hours]]&gt;tblWorkPackages[[#This Row],[Estimated labor hours]],1,0)</f>
        <v>1</v>
      </c>
      <c r="R1242" s="51">
        <f>tblWorkPackages[[#This Row],[Actual labor hours]]-tblWorkPackages[[#This Row],[Estimated labor hours]]</f>
        <v>3.5</v>
      </c>
      <c r="S1242" s="51" t="str">
        <f>IF(tblWorkPackages[[#This Row],[Request date serial]]&lt;ValidationStart,"Train 2024",IF(tblWorkPackages[[#This Row],[Request date serial]]&lt;HoldoutStart,"Validation H1","Holdout H2"))</f>
        <v>Train 2024</v>
      </c>
      <c r="T1242" s="51" t="str">
        <f>IF(tblWorkPackages[[#This Row],[Time split]]="Train 2024","",tblWorkPackages[[#This Row],[Estimated labor hours]]+VLOOKUP(tblWorkPackages[[#This Row],[Task type]],'Forecast validation'!$A$14:$E$25,IF(tblWorkPackages[[#This Row],[Time split]]="Validation H1",4,5),FALSE()))</f>
        <v/>
      </c>
      <c r="U1242" s="51" t="str">
        <f>IF(tblWorkPackages[[#This Row],[Calibrated forecast hours]]="","",ABS(tblWorkPackages[[#This Row],[Actual labor hours]]-tblWorkPackages[[#This Row],[Calibrated forecast hours]]))</f>
        <v/>
      </c>
      <c r="V1242" s="51">
        <f>IF(tblWorkPackages[[#This Row],[Time split]]="Train 2024",tblWorkPackages[[#This Row],[Estimated labor hours]],tblWorkPackages[[#This Row],[Calibrated forecast hours]])</f>
        <v>14.9</v>
      </c>
      <c r="W1242" s="64">
        <f>DATEVALUE(tblWorkPackages[[#This Row],[Request date]])</f>
        <v>45452.0</v>
      </c>
      <c r="X1242" s="64">
        <f>DATEVALUE(tblWorkPackages[[#This Row],[Due date]])</f>
        <v>45454.0</v>
      </c>
      <c r="Y1242" s="64">
        <f>DATEVALUE(tblWorkPackages[[#This Row],[Completion date]])</f>
        <v>45505.0</v>
      </c>
      <c r="Z1242" s="64">
        <f>_xlfn.MINIFS(tblLaborEntries[Work date serial],tblLaborEntries[Work package ID],tblWorkPackages[[#This Row],[Work package ID]])</f>
        <v>45504.0</v>
      </c>
      <c r="AA1242" s="64">
        <f>_xlfn.MAXIFS(tblLaborEntries[Work date serial],tblLaborEntries[Work package ID],tblWorkPackages[[#This Row],[Work package ID]])</f>
        <v>45505.0</v>
      </c>
      <c r="AB1242" s="65">
        <f>IF(tblWorkPackages[[#This Row],[Completion date serial]]&gt;tblWorkPackages[[#This Row],[Due date serial]],1,0)</f>
        <v>1</v>
      </c>
      <c r="AC1242" s="65">
        <f>MAX(0,tblWorkPackages[[#This Row],[Completion date serial]]-tblWorkPackages[[#This Row],[Due date serial]])</f>
        <v>51</v>
      </c>
      <c r="AD1242" s="65">
        <f>tblWorkPackages[[#This Row],[First labor date]]-tblWorkPackages[[#This Row],[Request date serial]]</f>
        <v>52</v>
      </c>
      <c r="AE1242" s="65">
        <f>tblWorkPackages[[#This Row],[Last labor date]]-tblWorkPackages[[#This Row],[First labor date]]</f>
        <v>1</v>
      </c>
      <c r="AF1242" s="65">
        <f>tblWorkPackages[[#This Row],[Completion date serial]]-tblWorkPackages[[#This Row],[Last labor date]]</f>
        <v>0</v>
      </c>
      <c r="AG1242" s="65">
        <f>tblWorkPackages[[#This Row],[Completion date serial]]-tblWorkPackages[[#This Row],[Request date serial]]</f>
        <v>53</v>
      </c>
      <c r="AH1242" s="65">
        <f>IFERROR(INDEX(tblParts[Delay days],MATCH(tblWorkPackages[[#This Row],[Work package ID]],tblParts[Work package ID],0)),0)</f>
        <v>0</v>
      </c>
      <c r="AI1242" s="51" t="str">
        <f>IFERROR(INDEX(tblDisruptions[Event type],MATCH(tblWorkPackages[[#This Row],[Work package ID]],tblDisruptions[Work package ID],0)),"None")</f>
        <v>None</v>
      </c>
      <c r="AJ1242" s="51" t="str">
        <f>TEXT(tblWorkPackages[[#This Row],[Due date serial]],"yyyy-mm")</f>
        <v>2024-06</v>
      </c>
    </row>
    <row r="1243" spans="1:36" ht="15" x14ac:dyDescent="0.25">
      <c r="A1243" s="53" t="s">
        <v>2150</v>
      </c>
      <c r="B1243" s="53" t="s">
        <v>124</v>
      </c>
      <c r="C1243" s="53" t="s">
        <v>885</v>
      </c>
      <c r="D1243" s="53" t="s">
        <v>521</v>
      </c>
      <c r="E1243" s="53" t="s">
        <v>153</v>
      </c>
      <c r="F1243" s="53" t="s">
        <v>128</v>
      </c>
      <c r="G1243" s="53" t="s">
        <v>154</v>
      </c>
      <c r="H1243" s="53">
        <v>2</v>
      </c>
      <c r="I1243" s="53" t="s">
        <v>147</v>
      </c>
      <c r="J1243" s="53">
        <v>0</v>
      </c>
      <c r="K1243" s="53">
        <v>0</v>
      </c>
      <c r="L1243" s="53">
        <v>8.6999999999999993</v>
      </c>
      <c r="M1243" s="53" t="s">
        <v>529</v>
      </c>
      <c r="N1243" s="53">
        <v>9.1999999999999993</v>
      </c>
      <c r="O1243" s="51" t="str">
        <f>TEXT(tblWorkPackages[[#This Row],[Request date serial]]-WEEKDAY(tblWorkPackages[[#This Row],[Request date serial]],3),"yyyy-mm-dd")</f>
        <v>2025-09-01</v>
      </c>
      <c r="P1243" s="51">
        <f>ABS(tblWorkPackages[[#This Row],[Actual labor hours]]-tblWorkPackages[[#This Row],[Estimated labor hours]])</f>
        <v>0.5</v>
      </c>
      <c r="Q1243" s="51">
        <f>IF(tblWorkPackages[[#This Row],[Actual labor hours]]&gt;tblWorkPackages[[#This Row],[Estimated labor hours]],1,0)</f>
        <v>1</v>
      </c>
      <c r="R1243" s="51">
        <f>tblWorkPackages[[#This Row],[Actual labor hours]]-tblWorkPackages[[#This Row],[Estimated labor hours]]</f>
        <v>0.5</v>
      </c>
      <c r="S1243" s="51" t="str">
        <f>IF(tblWorkPackages[[#This Row],[Request date serial]]&lt;ValidationStart,"Train 2024",IF(tblWorkPackages[[#This Row],[Request date serial]]&lt;HoldoutStart,"Validation H1","Holdout H2"))</f>
        <v>Holdout H2</v>
      </c>
      <c r="T1243" s="51">
        <f>IF(tblWorkPackages[[#This Row],[Time split]]="Train 2024","",tblWorkPackages[[#This Row],[Estimated labor hours]]+VLOOKUP(tblWorkPackages[[#This Row],[Task type]],'Forecast validation'!$A$14:$E$25,IF(tblWorkPackages[[#This Row],[Time split]]="Validation H1",4,5),FALSE()))</f>
        <v>9.30266666666667</v>
      </c>
      <c r="U1243" s="51">
        <f>IF(tblWorkPackages[[#This Row],[Calibrated forecast hours]]="","",ABS(tblWorkPackages[[#This Row],[Actual labor hours]]-tblWorkPackages[[#This Row],[Calibrated forecast hours]]))</f>
        <v>0.102666666666666</v>
      </c>
      <c r="V1243" s="51">
        <f>IF(tblWorkPackages[[#This Row],[Time split]]="Train 2024",tblWorkPackages[[#This Row],[Estimated labor hours]],tblWorkPackages[[#This Row],[Calibrated forecast hours]])</f>
        <v>9.30266666666667</v>
      </c>
      <c r="W1243" s="64">
        <f>DATEVALUE(tblWorkPackages[[#This Row],[Request date]])</f>
        <v>45901.0</v>
      </c>
      <c r="X1243" s="64">
        <f>DATEVALUE(tblWorkPackages[[#This Row],[Due date]])</f>
        <v>45903.0</v>
      </c>
      <c r="Y1243" s="64">
        <f>DATEVALUE(tblWorkPackages[[#This Row],[Completion date]])</f>
        <v>45911.0</v>
      </c>
      <c r="Z1243" s="64">
        <f>_xlfn.MINIFS(tblLaborEntries[Work date serial],tblLaborEntries[Work package ID],tblWorkPackages[[#This Row],[Work package ID]])</f>
        <v>45909.0</v>
      </c>
      <c r="AA1243" s="64">
        <f>_xlfn.MAXIFS(tblLaborEntries[Work date serial],tblLaborEntries[Work package ID],tblWorkPackages[[#This Row],[Work package ID]])</f>
        <v>45910.0</v>
      </c>
      <c r="AB1243" s="65">
        <f>IF(tblWorkPackages[[#This Row],[Completion date serial]]&gt;tblWorkPackages[[#This Row],[Due date serial]],1,0)</f>
        <v>1</v>
      </c>
      <c r="AC1243" s="65">
        <f>MAX(0,tblWorkPackages[[#This Row],[Completion date serial]]-tblWorkPackages[[#This Row],[Due date serial]])</f>
        <v>8</v>
      </c>
      <c r="AD1243" s="65">
        <f>tblWorkPackages[[#This Row],[First labor date]]-tblWorkPackages[[#This Row],[Request date serial]]</f>
        <v>8</v>
      </c>
      <c r="AE1243" s="65">
        <f>tblWorkPackages[[#This Row],[Last labor date]]-tblWorkPackages[[#This Row],[First labor date]]</f>
        <v>1</v>
      </c>
      <c r="AF1243" s="65">
        <f>tblWorkPackages[[#This Row],[Completion date serial]]-tblWorkPackages[[#This Row],[Last labor date]]</f>
        <v>1</v>
      </c>
      <c r="AG1243" s="65">
        <f>tblWorkPackages[[#This Row],[Completion date serial]]-tblWorkPackages[[#This Row],[Request date serial]]</f>
        <v>10</v>
      </c>
      <c r="AH1243" s="65">
        <f>IFERROR(INDEX(tblParts[Delay days],MATCH(tblWorkPackages[[#This Row],[Work package ID]],tblParts[Work package ID],0)),0)</f>
        <v>0</v>
      </c>
      <c r="AI1243" s="51" t="str">
        <f>IFERROR(INDEX(tblDisruptions[Event type],MATCH(tblWorkPackages[[#This Row],[Work package ID]],tblDisruptions[Work package ID],0)),"None")</f>
        <v>None</v>
      </c>
      <c r="AJ1243" s="51" t="str">
        <f>TEXT(tblWorkPackages[[#This Row],[Due date serial]],"yyyy-mm")</f>
        <v>2025-09</v>
      </c>
    </row>
    <row r="1244" spans="1:36" ht="15" x14ac:dyDescent="0.25">
      <c r="A1244" s="53" t="s">
        <v>2151</v>
      </c>
      <c r="B1244" s="53" t="s">
        <v>150</v>
      </c>
      <c r="C1244" s="53" t="s">
        <v>174</v>
      </c>
      <c r="D1244" s="53" t="s">
        <v>175</v>
      </c>
      <c r="E1244" s="53" t="s">
        <v>209</v>
      </c>
      <c r="F1244" s="53" t="s">
        <v>145</v>
      </c>
      <c r="G1244" s="53" t="s">
        <v>210</v>
      </c>
      <c r="H1244" s="53">
        <v>4</v>
      </c>
      <c r="I1244" s="53" t="s">
        <v>176</v>
      </c>
      <c r="J1244" s="53">
        <v>0</v>
      </c>
      <c r="K1244" s="53">
        <v>1</v>
      </c>
      <c r="L1244" s="53">
        <v>43.1</v>
      </c>
      <c r="M1244" s="53" t="s">
        <v>502</v>
      </c>
      <c r="N1244" s="53">
        <v>39</v>
      </c>
      <c r="O1244" s="51" t="str">
        <f>TEXT(tblWorkPackages[[#This Row],[Request date serial]]-WEEKDAY(tblWorkPackages[[#This Row],[Request date serial]],3),"yyyy-mm-dd")</f>
        <v>2025-06-23</v>
      </c>
      <c r="P1244" s="51">
        <f>ABS(tblWorkPackages[[#This Row],[Actual labor hours]]-tblWorkPackages[[#This Row],[Estimated labor hours]])</f>
        <v>4.1</v>
      </c>
      <c r="Q1244" s="51">
        <f>IF(tblWorkPackages[[#This Row],[Actual labor hours]]&gt;tblWorkPackages[[#This Row],[Estimated labor hours]],1,0)</f>
        <v>0</v>
      </c>
      <c r="R1244" s="51">
        <f>tblWorkPackages[[#This Row],[Actual labor hours]]-tblWorkPackages[[#This Row],[Estimated labor hours]]</f>
        <v>-4.1</v>
      </c>
      <c r="S1244" s="51" t="str">
        <f>IF(tblWorkPackages[[#This Row],[Request date serial]]&lt;ValidationStart,"Train 2024",IF(tblWorkPackages[[#This Row],[Request date serial]]&lt;HoldoutStart,"Validation H1","Holdout H2"))</f>
        <v>Validation H1</v>
      </c>
      <c r="T1244" s="51">
        <f>IF(tblWorkPackages[[#This Row],[Time split]]="Train 2024","",tblWorkPackages[[#This Row],[Estimated labor hours]]+VLOOKUP(tblWorkPackages[[#This Row],[Task type]],'Forecast validation'!$A$14:$E$25,IF(tblWorkPackages[[#This Row],[Time split]]="Validation H1",4,5),FALSE()))</f>
        <v>44.2029850746269</v>
      </c>
      <c r="U1244" s="51">
        <f>IF(tblWorkPackages[[#This Row],[Calibrated forecast hours]]="","",ABS(tblWorkPackages[[#This Row],[Actual labor hours]]-tblWorkPackages[[#This Row],[Calibrated forecast hours]]))</f>
        <v>5.20298507462687</v>
      </c>
      <c r="V1244" s="51">
        <f>IF(tblWorkPackages[[#This Row],[Time split]]="Train 2024",tblWorkPackages[[#This Row],[Estimated labor hours]],tblWorkPackages[[#This Row],[Calibrated forecast hours]])</f>
        <v>44.2029850746269</v>
      </c>
      <c r="W1244" s="64">
        <f>DATEVALUE(tblWorkPackages[[#This Row],[Request date]])</f>
        <v>45836.0</v>
      </c>
      <c r="X1244" s="64">
        <f>DATEVALUE(tblWorkPackages[[#This Row],[Due date]])</f>
        <v>45842.0</v>
      </c>
      <c r="Y1244" s="64">
        <f>DATEVALUE(tblWorkPackages[[#This Row],[Completion date]])</f>
        <v>45840.0</v>
      </c>
      <c r="Z1244" s="64">
        <f>_xlfn.MINIFS(tblLaborEntries[Work date serial],tblLaborEntries[Work package ID],tblWorkPackages[[#This Row],[Work package ID]])</f>
        <v>45837.0</v>
      </c>
      <c r="AA1244" s="64">
        <f>_xlfn.MAXIFS(tblLaborEntries[Work date serial],tblLaborEntries[Work package ID],tblWorkPackages[[#This Row],[Work package ID]])</f>
        <v>45838.0</v>
      </c>
      <c r="AB1244" s="65">
        <f>IF(tblWorkPackages[[#This Row],[Completion date serial]]&gt;tblWorkPackages[[#This Row],[Due date serial]],1,0)</f>
        <v>0</v>
      </c>
      <c r="AC1244" s="65">
        <f>MAX(0,tblWorkPackages[[#This Row],[Completion date serial]]-tblWorkPackages[[#This Row],[Due date serial]])</f>
        <v>0</v>
      </c>
      <c r="AD1244" s="65">
        <f>tblWorkPackages[[#This Row],[First labor date]]-tblWorkPackages[[#This Row],[Request date serial]]</f>
        <v>1</v>
      </c>
      <c r="AE1244" s="65">
        <f>tblWorkPackages[[#This Row],[Last labor date]]-tblWorkPackages[[#This Row],[First labor date]]</f>
        <v>1</v>
      </c>
      <c r="AF1244" s="65">
        <f>tblWorkPackages[[#This Row],[Completion date serial]]-tblWorkPackages[[#This Row],[Last labor date]]</f>
        <v>2</v>
      </c>
      <c r="AG1244" s="65">
        <f>tblWorkPackages[[#This Row],[Completion date serial]]-tblWorkPackages[[#This Row],[Request date serial]]</f>
        <v>4</v>
      </c>
      <c r="AH1244" s="65">
        <f>IFERROR(INDEX(tblParts[Delay days],MATCH(tblWorkPackages[[#This Row],[Work package ID]],tblParts[Work package ID],0)),0)</f>
        <v>0</v>
      </c>
      <c r="AI1244" s="51" t="str">
        <f>IFERROR(INDEX(tblDisruptions[Event type],MATCH(tblWorkPackages[[#This Row],[Work package ID]],tblDisruptions[Work package ID],0)),"None")</f>
        <v>None</v>
      </c>
      <c r="AJ1244" s="51" t="str">
        <f>TEXT(tblWorkPackages[[#This Row],[Due date serial]],"yyyy-mm")</f>
        <v>2025-07</v>
      </c>
    </row>
    <row r="1245" spans="1:36" ht="15" x14ac:dyDescent="0.25">
      <c r="A1245" s="53" t="s">
        <v>2152</v>
      </c>
      <c r="B1245" s="53" t="s">
        <v>163</v>
      </c>
      <c r="C1245" s="53" t="s">
        <v>512</v>
      </c>
      <c r="D1245" s="53" t="s">
        <v>252</v>
      </c>
      <c r="E1245" s="53" t="s">
        <v>136</v>
      </c>
      <c r="F1245" s="53" t="s">
        <v>137</v>
      </c>
      <c r="G1245" s="53" t="s">
        <v>138</v>
      </c>
      <c r="H1245" s="53">
        <v>4</v>
      </c>
      <c r="I1245" s="53" t="s">
        <v>130</v>
      </c>
      <c r="J1245" s="53">
        <v>0</v>
      </c>
      <c r="K1245" s="53">
        <v>0</v>
      </c>
      <c r="L1245" s="53">
        <v>23.6</v>
      </c>
      <c r="M1245" s="53" t="s">
        <v>892</v>
      </c>
      <c r="N1245" s="53">
        <v>26.5</v>
      </c>
      <c r="O1245" s="51" t="str">
        <f>TEXT(tblWorkPackages[[#This Row],[Request date serial]]-WEEKDAY(tblWorkPackages[[#This Row],[Request date serial]],3),"yyyy-mm-dd")</f>
        <v>2024-12-09</v>
      </c>
      <c r="P1245" s="51">
        <f>ABS(tblWorkPackages[[#This Row],[Actual labor hours]]-tblWorkPackages[[#This Row],[Estimated labor hours]])</f>
        <v>2.9</v>
      </c>
      <c r="Q1245" s="51">
        <f>IF(tblWorkPackages[[#This Row],[Actual labor hours]]&gt;tblWorkPackages[[#This Row],[Estimated labor hours]],1,0)</f>
        <v>1</v>
      </c>
      <c r="R1245" s="51">
        <f>tblWorkPackages[[#This Row],[Actual labor hours]]-tblWorkPackages[[#This Row],[Estimated labor hours]]</f>
        <v>2.9</v>
      </c>
      <c r="S1245" s="51" t="str">
        <f>IF(tblWorkPackages[[#This Row],[Request date serial]]&lt;ValidationStart,"Train 2024",IF(tblWorkPackages[[#This Row],[Request date serial]]&lt;HoldoutStart,"Validation H1","Holdout H2"))</f>
        <v>Train 2024</v>
      </c>
      <c r="T1245" s="51" t="str">
        <f>IF(tblWorkPackages[[#This Row],[Time split]]="Train 2024","",tblWorkPackages[[#This Row],[Estimated labor hours]]+VLOOKUP(tblWorkPackages[[#This Row],[Task type]],'Forecast validation'!$A$14:$E$25,IF(tblWorkPackages[[#This Row],[Time split]]="Validation H1",4,5),FALSE()))</f>
        <v/>
      </c>
      <c r="U1245" s="51" t="str">
        <f>IF(tblWorkPackages[[#This Row],[Calibrated forecast hours]]="","",ABS(tblWorkPackages[[#This Row],[Actual labor hours]]-tblWorkPackages[[#This Row],[Calibrated forecast hours]]))</f>
        <v/>
      </c>
      <c r="V1245" s="51">
        <f>IF(tblWorkPackages[[#This Row],[Time split]]="Train 2024",tblWorkPackages[[#This Row],[Estimated labor hours]],tblWorkPackages[[#This Row],[Calibrated forecast hours]])</f>
        <v>23.6</v>
      </c>
      <c r="W1245" s="64">
        <f>DATEVALUE(tblWorkPackages[[#This Row],[Request date]])</f>
        <v>45641.0</v>
      </c>
      <c r="X1245" s="64">
        <f>DATEVALUE(tblWorkPackages[[#This Row],[Due date]])</f>
        <v>45654.0</v>
      </c>
      <c r="Y1245" s="64">
        <f>DATEVALUE(tblWorkPackages[[#This Row],[Completion date]])</f>
        <v>45666.0</v>
      </c>
      <c r="Z1245" s="64">
        <f>_xlfn.MINIFS(tblLaborEntries[Work date serial],tblLaborEntries[Work package ID],tblWorkPackages[[#This Row],[Work package ID]])</f>
        <v>45661.0</v>
      </c>
      <c r="AA1245" s="64">
        <f>_xlfn.MAXIFS(tblLaborEntries[Work date serial],tblLaborEntries[Work package ID],tblWorkPackages[[#This Row],[Work package ID]])</f>
        <v>45663.0</v>
      </c>
      <c r="AB1245" s="65">
        <f>IF(tblWorkPackages[[#This Row],[Completion date serial]]&gt;tblWorkPackages[[#This Row],[Due date serial]],1,0)</f>
        <v>1</v>
      </c>
      <c r="AC1245" s="65">
        <f>MAX(0,tblWorkPackages[[#This Row],[Completion date serial]]-tblWorkPackages[[#This Row],[Due date serial]])</f>
        <v>12</v>
      </c>
      <c r="AD1245" s="65">
        <f>tblWorkPackages[[#This Row],[First labor date]]-tblWorkPackages[[#This Row],[Request date serial]]</f>
        <v>20</v>
      </c>
      <c r="AE1245" s="65">
        <f>tblWorkPackages[[#This Row],[Last labor date]]-tblWorkPackages[[#This Row],[First labor date]]</f>
        <v>2</v>
      </c>
      <c r="AF1245" s="65">
        <f>tblWorkPackages[[#This Row],[Completion date serial]]-tblWorkPackages[[#This Row],[Last labor date]]</f>
        <v>3</v>
      </c>
      <c r="AG1245" s="65">
        <f>tblWorkPackages[[#This Row],[Completion date serial]]-tblWorkPackages[[#This Row],[Request date serial]]</f>
        <v>25</v>
      </c>
      <c r="AH1245" s="65">
        <f>IFERROR(INDEX(tblParts[Delay days],MATCH(tblWorkPackages[[#This Row],[Work package ID]],tblParts[Work package ID],0)),0)</f>
        <v>0</v>
      </c>
      <c r="AI1245" s="51" t="str">
        <f>IFERROR(INDEX(tblDisruptions[Event type],MATCH(tblWorkPackages[[#This Row],[Work package ID]],tblDisruptions[Work package ID],0)),"None")</f>
        <v>None</v>
      </c>
      <c r="AJ1245" s="51" t="str">
        <f>TEXT(tblWorkPackages[[#This Row],[Due date serial]],"yyyy-mm")</f>
        <v>2024-12</v>
      </c>
    </row>
    <row r="1246" spans="1:36" ht="15" x14ac:dyDescent="0.25">
      <c r="A1246" s="53" t="s">
        <v>2153</v>
      </c>
      <c r="B1246" s="53" t="s">
        <v>124</v>
      </c>
      <c r="C1246" s="53" t="s">
        <v>787</v>
      </c>
      <c r="D1246" s="53" t="s">
        <v>661</v>
      </c>
      <c r="E1246" s="53" t="s">
        <v>200</v>
      </c>
      <c r="F1246" s="53" t="s">
        <v>128</v>
      </c>
      <c r="G1246" s="53" t="s">
        <v>129</v>
      </c>
      <c r="H1246" s="53">
        <v>3</v>
      </c>
      <c r="I1246" s="53" t="s">
        <v>130</v>
      </c>
      <c r="J1246" s="53">
        <v>0</v>
      </c>
      <c r="K1246" s="53">
        <v>1</v>
      </c>
      <c r="L1246" s="53">
        <v>3.8</v>
      </c>
      <c r="M1246" s="53" t="s">
        <v>874</v>
      </c>
      <c r="N1246" s="53">
        <v>4.8</v>
      </c>
      <c r="O1246" s="51" t="str">
        <f>TEXT(tblWorkPackages[[#This Row],[Request date serial]]-WEEKDAY(tblWorkPackages[[#This Row],[Request date serial]],3),"yyyy-mm-dd")</f>
        <v>2024-09-02</v>
      </c>
      <c r="P1246" s="51">
        <f>ABS(tblWorkPackages[[#This Row],[Actual labor hours]]-tblWorkPackages[[#This Row],[Estimated labor hours]])</f>
        <v>1</v>
      </c>
      <c r="Q1246" s="51">
        <f>IF(tblWorkPackages[[#This Row],[Actual labor hours]]&gt;tblWorkPackages[[#This Row],[Estimated labor hours]],1,0)</f>
        <v>1</v>
      </c>
      <c r="R1246" s="51">
        <f>tblWorkPackages[[#This Row],[Actual labor hours]]-tblWorkPackages[[#This Row],[Estimated labor hours]]</f>
        <v>1</v>
      </c>
      <c r="S1246" s="51" t="str">
        <f>IF(tblWorkPackages[[#This Row],[Request date serial]]&lt;ValidationStart,"Train 2024",IF(tblWorkPackages[[#This Row],[Request date serial]]&lt;HoldoutStart,"Validation H1","Holdout H2"))</f>
        <v>Train 2024</v>
      </c>
      <c r="T1246" s="51" t="str">
        <f>IF(tblWorkPackages[[#This Row],[Time split]]="Train 2024","",tblWorkPackages[[#This Row],[Estimated labor hours]]+VLOOKUP(tblWorkPackages[[#This Row],[Task type]],'Forecast validation'!$A$14:$E$25,IF(tblWorkPackages[[#This Row],[Time split]]="Validation H1",4,5),FALSE()))</f>
        <v/>
      </c>
      <c r="U1246" s="51" t="str">
        <f>IF(tblWorkPackages[[#This Row],[Calibrated forecast hours]]="","",ABS(tblWorkPackages[[#This Row],[Actual labor hours]]-tblWorkPackages[[#This Row],[Calibrated forecast hours]]))</f>
        <v/>
      </c>
      <c r="V1246" s="51">
        <f>IF(tblWorkPackages[[#This Row],[Time split]]="Train 2024",tblWorkPackages[[#This Row],[Estimated labor hours]],tblWorkPackages[[#This Row],[Calibrated forecast hours]])</f>
        <v>3.8</v>
      </c>
      <c r="W1246" s="64">
        <f>DATEVALUE(tblWorkPackages[[#This Row],[Request date]])</f>
        <v>45541.0</v>
      </c>
      <c r="X1246" s="64">
        <f>DATEVALUE(tblWorkPackages[[#This Row],[Due date]])</f>
        <v>45554.0</v>
      </c>
      <c r="Y1246" s="64">
        <f>DATEVALUE(tblWorkPackages[[#This Row],[Completion date]])</f>
        <v>45548.0</v>
      </c>
      <c r="Z1246" s="64">
        <f>_xlfn.MINIFS(tblLaborEntries[Work date serial],tblLaborEntries[Work package ID],tblWorkPackages[[#This Row],[Work package ID]])</f>
        <v>45547.0</v>
      </c>
      <c r="AA1246" s="64">
        <f>_xlfn.MAXIFS(tblLaborEntries[Work date serial],tblLaborEntries[Work package ID],tblWorkPackages[[#This Row],[Work package ID]])</f>
        <v>45548.0</v>
      </c>
      <c r="AB1246" s="65">
        <f>IF(tblWorkPackages[[#This Row],[Completion date serial]]&gt;tblWorkPackages[[#This Row],[Due date serial]],1,0)</f>
        <v>0</v>
      </c>
      <c r="AC1246" s="65">
        <f>MAX(0,tblWorkPackages[[#This Row],[Completion date serial]]-tblWorkPackages[[#This Row],[Due date serial]])</f>
        <v>0</v>
      </c>
      <c r="AD1246" s="65">
        <f>tblWorkPackages[[#This Row],[First labor date]]-tblWorkPackages[[#This Row],[Request date serial]]</f>
        <v>6</v>
      </c>
      <c r="AE1246" s="65">
        <f>tblWorkPackages[[#This Row],[Last labor date]]-tblWorkPackages[[#This Row],[First labor date]]</f>
        <v>1</v>
      </c>
      <c r="AF1246" s="65">
        <f>tblWorkPackages[[#This Row],[Completion date serial]]-tblWorkPackages[[#This Row],[Last labor date]]</f>
        <v>0</v>
      </c>
      <c r="AG1246" s="65">
        <f>tblWorkPackages[[#This Row],[Completion date serial]]-tblWorkPackages[[#This Row],[Request date serial]]</f>
        <v>7</v>
      </c>
      <c r="AH1246" s="65">
        <f>IFERROR(INDEX(tblParts[Delay days],MATCH(tblWorkPackages[[#This Row],[Work package ID]],tblParts[Work package ID],0)),0)</f>
        <v>2</v>
      </c>
      <c r="AI1246" s="51" t="str">
        <f>IFERROR(INDEX(tblDisruptions[Event type],MATCH(tblWorkPackages[[#This Row],[Work package ID]],tblDisruptions[Work package ID],0)),"None")</f>
        <v>Part delay</v>
      </c>
      <c r="AJ1246" s="51" t="str">
        <f>TEXT(tblWorkPackages[[#This Row],[Due date serial]],"yyyy-mm")</f>
        <v>2024-09</v>
      </c>
    </row>
    <row r="1247" spans="1:36" ht="15" x14ac:dyDescent="0.25">
      <c r="A1247" s="53" t="s">
        <v>2154</v>
      </c>
      <c r="B1247" s="53" t="s">
        <v>235</v>
      </c>
      <c r="C1247" s="53" t="s">
        <v>2009</v>
      </c>
      <c r="D1247" s="53" t="s">
        <v>713</v>
      </c>
      <c r="E1247" s="53" t="s">
        <v>181</v>
      </c>
      <c r="F1247" s="53" t="s">
        <v>182</v>
      </c>
      <c r="G1247" s="53" t="s">
        <v>138</v>
      </c>
      <c r="H1247" s="53">
        <v>1</v>
      </c>
      <c r="I1247" s="53" t="s">
        <v>130</v>
      </c>
      <c r="J1247" s="53">
        <v>0</v>
      </c>
      <c r="K1247" s="53">
        <v>0</v>
      </c>
      <c r="L1247" s="53">
        <v>5.3</v>
      </c>
      <c r="M1247" s="53" t="s">
        <v>568</v>
      </c>
      <c r="N1247" s="53">
        <v>4.2</v>
      </c>
      <c r="O1247" s="51" t="str">
        <f>TEXT(tblWorkPackages[[#This Row],[Request date serial]]-WEEKDAY(tblWorkPackages[[#This Row],[Request date serial]],3),"yyyy-mm-dd")</f>
        <v>2025-06-02</v>
      </c>
      <c r="P1247" s="51">
        <f>ABS(tblWorkPackages[[#This Row],[Actual labor hours]]-tblWorkPackages[[#This Row],[Estimated labor hours]])</f>
        <v>1.1</v>
      </c>
      <c r="Q1247" s="51">
        <f>IF(tblWorkPackages[[#This Row],[Actual labor hours]]&gt;tblWorkPackages[[#This Row],[Estimated labor hours]],1,0)</f>
        <v>0</v>
      </c>
      <c r="R1247" s="51">
        <f>tblWorkPackages[[#This Row],[Actual labor hours]]-tblWorkPackages[[#This Row],[Estimated labor hours]]</f>
        <v>-1.1</v>
      </c>
      <c r="S1247" s="51" t="str">
        <f>IF(tblWorkPackages[[#This Row],[Request date serial]]&lt;ValidationStart,"Train 2024",IF(tblWorkPackages[[#This Row],[Request date serial]]&lt;HoldoutStart,"Validation H1","Holdout H2"))</f>
        <v>Validation H1</v>
      </c>
      <c r="T1247" s="51">
        <f>IF(tblWorkPackages[[#This Row],[Time split]]="Train 2024","",tblWorkPackages[[#This Row],[Estimated labor hours]]+VLOOKUP(tblWorkPackages[[#This Row],[Task type]],'Forecast validation'!$A$14:$E$25,IF(tblWorkPackages[[#This Row],[Time split]]="Validation H1",4,5),FALSE()))</f>
        <v>5.88409090909091</v>
      </c>
      <c r="U1247" s="51">
        <f>IF(tblWorkPackages[[#This Row],[Calibrated forecast hours]]="","",ABS(tblWorkPackages[[#This Row],[Actual labor hours]]-tblWorkPackages[[#This Row],[Calibrated forecast hours]]))</f>
        <v>1.68409090909091</v>
      </c>
      <c r="V1247" s="51">
        <f>IF(tblWorkPackages[[#This Row],[Time split]]="Train 2024",tblWorkPackages[[#This Row],[Estimated labor hours]],tblWorkPackages[[#This Row],[Calibrated forecast hours]])</f>
        <v>5.88409090909091</v>
      </c>
      <c r="W1247" s="64">
        <f>DATEVALUE(tblWorkPackages[[#This Row],[Request date]])</f>
        <v>45810.0</v>
      </c>
      <c r="X1247" s="64">
        <f>DATEVALUE(tblWorkPackages[[#This Row],[Due date]])</f>
        <v>45823.0</v>
      </c>
      <c r="Y1247" s="64">
        <f>DATEVALUE(tblWorkPackages[[#This Row],[Completion date]])</f>
        <v>45813.0</v>
      </c>
      <c r="Z1247" s="64">
        <f>_xlfn.MINIFS(tblLaborEntries[Work date serial],tblLaborEntries[Work package ID],tblWorkPackages[[#This Row],[Work package ID]])</f>
        <v>45811.0</v>
      </c>
      <c r="AA1247" s="64">
        <f>_xlfn.MAXIFS(tblLaborEntries[Work date serial],tblLaborEntries[Work package ID],tblWorkPackages[[#This Row],[Work package ID]])</f>
        <v>45812.0</v>
      </c>
      <c r="AB1247" s="65">
        <f>IF(tblWorkPackages[[#This Row],[Completion date serial]]&gt;tblWorkPackages[[#This Row],[Due date serial]],1,0)</f>
        <v>0</v>
      </c>
      <c r="AC1247" s="65">
        <f>MAX(0,tblWorkPackages[[#This Row],[Completion date serial]]-tblWorkPackages[[#This Row],[Due date serial]])</f>
        <v>0</v>
      </c>
      <c r="AD1247" s="65">
        <f>tblWorkPackages[[#This Row],[First labor date]]-tblWorkPackages[[#This Row],[Request date serial]]</f>
        <v>1</v>
      </c>
      <c r="AE1247" s="65">
        <f>tblWorkPackages[[#This Row],[Last labor date]]-tblWorkPackages[[#This Row],[First labor date]]</f>
        <v>1</v>
      </c>
      <c r="AF1247" s="65">
        <f>tblWorkPackages[[#This Row],[Completion date serial]]-tblWorkPackages[[#This Row],[Last labor date]]</f>
        <v>1</v>
      </c>
      <c r="AG1247" s="65">
        <f>tblWorkPackages[[#This Row],[Completion date serial]]-tblWorkPackages[[#This Row],[Request date serial]]</f>
        <v>3</v>
      </c>
      <c r="AH1247" s="65">
        <f>IFERROR(INDEX(tblParts[Delay days],MATCH(tblWorkPackages[[#This Row],[Work package ID]],tblParts[Work package ID],0)),0)</f>
        <v>0</v>
      </c>
      <c r="AI1247" s="51" t="str">
        <f>IFERROR(INDEX(tblDisruptions[Event type],MATCH(tblWorkPackages[[#This Row],[Work package ID]],tblDisruptions[Work package ID],0)),"None")</f>
        <v>None</v>
      </c>
      <c r="AJ1247" s="51" t="str">
        <f>TEXT(tblWorkPackages[[#This Row],[Due date serial]],"yyyy-mm")</f>
        <v>2025-06</v>
      </c>
    </row>
    <row r="1248" spans="1:36" ht="15" x14ac:dyDescent="0.25">
      <c r="A1248" s="53" t="s">
        <v>2155</v>
      </c>
      <c r="B1248" s="53" t="s">
        <v>141</v>
      </c>
      <c r="C1248" s="53" t="s">
        <v>246</v>
      </c>
      <c r="D1248" s="53" t="s">
        <v>247</v>
      </c>
      <c r="E1248" s="53" t="s">
        <v>127</v>
      </c>
      <c r="F1248" s="53" t="s">
        <v>128</v>
      </c>
      <c r="G1248" s="53" t="s">
        <v>129</v>
      </c>
      <c r="H1248" s="53">
        <v>3</v>
      </c>
      <c r="I1248" s="53" t="s">
        <v>130</v>
      </c>
      <c r="J1248" s="53">
        <v>0</v>
      </c>
      <c r="K1248" s="53">
        <v>0</v>
      </c>
      <c r="L1248" s="53">
        <v>10.6</v>
      </c>
      <c r="M1248" s="53" t="s">
        <v>247</v>
      </c>
      <c r="N1248" s="53">
        <v>13.6</v>
      </c>
      <c r="O1248" s="51" t="str">
        <f>TEXT(tblWorkPackages[[#This Row],[Request date serial]]-WEEKDAY(tblWorkPackages[[#This Row],[Request date serial]],3),"yyyy-mm-dd")</f>
        <v>2024-03-11</v>
      </c>
      <c r="P1248" s="51">
        <f>ABS(tblWorkPackages[[#This Row],[Actual labor hours]]-tblWorkPackages[[#This Row],[Estimated labor hours]])</f>
        <v>3</v>
      </c>
      <c r="Q1248" s="51">
        <f>IF(tblWorkPackages[[#This Row],[Actual labor hours]]&gt;tblWorkPackages[[#This Row],[Estimated labor hours]],1,0)</f>
        <v>1</v>
      </c>
      <c r="R1248" s="51">
        <f>tblWorkPackages[[#This Row],[Actual labor hours]]-tblWorkPackages[[#This Row],[Estimated labor hours]]</f>
        <v>3</v>
      </c>
      <c r="S1248" s="51" t="str">
        <f>IF(tblWorkPackages[[#This Row],[Request date serial]]&lt;ValidationStart,"Train 2024",IF(tblWorkPackages[[#This Row],[Request date serial]]&lt;HoldoutStart,"Validation H1","Holdout H2"))</f>
        <v>Train 2024</v>
      </c>
      <c r="T1248" s="51" t="str">
        <f>IF(tblWorkPackages[[#This Row],[Time split]]="Train 2024","",tblWorkPackages[[#This Row],[Estimated labor hours]]+VLOOKUP(tblWorkPackages[[#This Row],[Task type]],'Forecast validation'!$A$14:$E$25,IF(tblWorkPackages[[#This Row],[Time split]]="Validation H1",4,5),FALSE()))</f>
        <v/>
      </c>
      <c r="U1248" s="51" t="str">
        <f>IF(tblWorkPackages[[#This Row],[Calibrated forecast hours]]="","",ABS(tblWorkPackages[[#This Row],[Actual labor hours]]-tblWorkPackages[[#This Row],[Calibrated forecast hours]]))</f>
        <v/>
      </c>
      <c r="V1248" s="51">
        <f>IF(tblWorkPackages[[#This Row],[Time split]]="Train 2024",tblWorkPackages[[#This Row],[Estimated labor hours]],tblWorkPackages[[#This Row],[Calibrated forecast hours]])</f>
        <v>10.6</v>
      </c>
      <c r="W1248" s="64">
        <f>DATEVALUE(tblWorkPackages[[#This Row],[Request date]])</f>
        <v>45364.0</v>
      </c>
      <c r="X1248" s="64">
        <f>DATEVALUE(tblWorkPackages[[#This Row],[Due date]])</f>
        <v>45377.0</v>
      </c>
      <c r="Y1248" s="64">
        <f>DATEVALUE(tblWorkPackages[[#This Row],[Completion date]])</f>
        <v>45377.0</v>
      </c>
      <c r="Z1248" s="64">
        <f>_xlfn.MINIFS(tblLaborEntries[Work date serial],tblLaborEntries[Work package ID],tblWorkPackages[[#This Row],[Work package ID]])</f>
        <v>45375.0</v>
      </c>
      <c r="AA1248" s="64">
        <f>_xlfn.MAXIFS(tblLaborEntries[Work date serial],tblLaborEntries[Work package ID],tblWorkPackages[[#This Row],[Work package ID]])</f>
        <v>45375.0</v>
      </c>
      <c r="AB1248" s="65">
        <f>IF(tblWorkPackages[[#This Row],[Completion date serial]]&gt;tblWorkPackages[[#This Row],[Due date serial]],1,0)</f>
        <v>0</v>
      </c>
      <c r="AC1248" s="65">
        <f>MAX(0,tblWorkPackages[[#This Row],[Completion date serial]]-tblWorkPackages[[#This Row],[Due date serial]])</f>
        <v>0</v>
      </c>
      <c r="AD1248" s="65">
        <f>tblWorkPackages[[#This Row],[First labor date]]-tblWorkPackages[[#This Row],[Request date serial]]</f>
        <v>11</v>
      </c>
      <c r="AE1248" s="65">
        <f>tblWorkPackages[[#This Row],[Last labor date]]-tblWorkPackages[[#This Row],[First labor date]]</f>
        <v>0</v>
      </c>
      <c r="AF1248" s="65">
        <f>tblWorkPackages[[#This Row],[Completion date serial]]-tblWorkPackages[[#This Row],[Last labor date]]</f>
        <v>2</v>
      </c>
      <c r="AG1248" s="65">
        <f>tblWorkPackages[[#This Row],[Completion date serial]]-tblWorkPackages[[#This Row],[Request date serial]]</f>
        <v>13</v>
      </c>
      <c r="AH1248" s="65">
        <f>IFERROR(INDEX(tblParts[Delay days],MATCH(tblWorkPackages[[#This Row],[Work package ID]],tblParts[Work package ID],0)),0)</f>
        <v>0</v>
      </c>
      <c r="AI1248" s="51" t="str">
        <f>IFERROR(INDEX(tblDisruptions[Event type],MATCH(tblWorkPackages[[#This Row],[Work package ID]],tblDisruptions[Work package ID],0)),"None")</f>
        <v>None</v>
      </c>
      <c r="AJ1248" s="51" t="str">
        <f>TEXT(tblWorkPackages[[#This Row],[Due date serial]],"yyyy-mm")</f>
        <v>2024-03</v>
      </c>
    </row>
    <row r="1249" spans="1:36" ht="15" x14ac:dyDescent="0.25">
      <c r="A1249" s="53" t="s">
        <v>2156</v>
      </c>
      <c r="B1249" s="53" t="s">
        <v>141</v>
      </c>
      <c r="C1249" s="53" t="s">
        <v>689</v>
      </c>
      <c r="D1249" s="53" t="s">
        <v>690</v>
      </c>
      <c r="E1249" s="53" t="s">
        <v>153</v>
      </c>
      <c r="F1249" s="53" t="s">
        <v>128</v>
      </c>
      <c r="G1249" s="53" t="s">
        <v>154</v>
      </c>
      <c r="H1249" s="53">
        <v>1</v>
      </c>
      <c r="I1249" s="53" t="s">
        <v>130</v>
      </c>
      <c r="J1249" s="53">
        <v>0</v>
      </c>
      <c r="K1249" s="53">
        <v>0</v>
      </c>
      <c r="L1249" s="53">
        <v>7</v>
      </c>
      <c r="M1249" s="53" t="s">
        <v>1007</v>
      </c>
      <c r="N1249" s="53">
        <v>6.3</v>
      </c>
      <c r="O1249" s="51" t="str">
        <f>TEXT(tblWorkPackages[[#This Row],[Request date serial]]-WEEKDAY(tblWorkPackages[[#This Row],[Request date serial]],3),"yyyy-mm-dd")</f>
        <v>2024-04-01</v>
      </c>
      <c r="P1249" s="51">
        <f>ABS(tblWorkPackages[[#This Row],[Actual labor hours]]-tblWorkPackages[[#This Row],[Estimated labor hours]])</f>
        <v>0.7</v>
      </c>
      <c r="Q1249" s="51">
        <f>IF(tblWorkPackages[[#This Row],[Actual labor hours]]&gt;tblWorkPackages[[#This Row],[Estimated labor hours]],1,0)</f>
        <v>0</v>
      </c>
      <c r="R1249" s="51">
        <f>tblWorkPackages[[#This Row],[Actual labor hours]]-tblWorkPackages[[#This Row],[Estimated labor hours]]</f>
        <v>-0.7</v>
      </c>
      <c r="S1249" s="51" t="str">
        <f>IF(tblWorkPackages[[#This Row],[Request date serial]]&lt;ValidationStart,"Train 2024",IF(tblWorkPackages[[#This Row],[Request date serial]]&lt;HoldoutStart,"Validation H1","Holdout H2"))</f>
        <v>Train 2024</v>
      </c>
      <c r="T1249" s="51" t="str">
        <f>IF(tblWorkPackages[[#This Row],[Time split]]="Train 2024","",tblWorkPackages[[#This Row],[Estimated labor hours]]+VLOOKUP(tblWorkPackages[[#This Row],[Task type]],'Forecast validation'!$A$14:$E$25,IF(tblWorkPackages[[#This Row],[Time split]]="Validation H1",4,5),FALSE()))</f>
        <v/>
      </c>
      <c r="U1249" s="51" t="str">
        <f>IF(tblWorkPackages[[#This Row],[Calibrated forecast hours]]="","",ABS(tblWorkPackages[[#This Row],[Actual labor hours]]-tblWorkPackages[[#This Row],[Calibrated forecast hours]]))</f>
        <v/>
      </c>
      <c r="V1249" s="51">
        <f>IF(tblWorkPackages[[#This Row],[Time split]]="Train 2024",tblWorkPackages[[#This Row],[Estimated labor hours]],tblWorkPackages[[#This Row],[Calibrated forecast hours]])</f>
        <v>7</v>
      </c>
      <c r="W1249" s="64">
        <f>DATEVALUE(tblWorkPackages[[#This Row],[Request date]])</f>
        <v>45385.0</v>
      </c>
      <c r="X1249" s="64">
        <f>DATEVALUE(tblWorkPackages[[#This Row],[Due date]])</f>
        <v>45398.0</v>
      </c>
      <c r="Y1249" s="64">
        <f>DATEVALUE(tblWorkPackages[[#This Row],[Completion date]])</f>
        <v>45391.0</v>
      </c>
      <c r="Z1249" s="64">
        <f>_xlfn.MINIFS(tblLaborEntries[Work date serial],tblLaborEntries[Work package ID],tblWorkPackages[[#This Row],[Work package ID]])</f>
        <v>45388.0</v>
      </c>
      <c r="AA1249" s="64">
        <f>_xlfn.MAXIFS(tblLaborEntries[Work date serial],tblLaborEntries[Work package ID],tblWorkPackages[[#This Row],[Work package ID]])</f>
        <v>45388.0</v>
      </c>
      <c r="AB1249" s="65">
        <f>IF(tblWorkPackages[[#This Row],[Completion date serial]]&gt;tblWorkPackages[[#This Row],[Due date serial]],1,0)</f>
        <v>0</v>
      </c>
      <c r="AC1249" s="65">
        <f>MAX(0,tblWorkPackages[[#This Row],[Completion date serial]]-tblWorkPackages[[#This Row],[Due date serial]])</f>
        <v>0</v>
      </c>
      <c r="AD1249" s="65">
        <f>tblWorkPackages[[#This Row],[First labor date]]-tblWorkPackages[[#This Row],[Request date serial]]</f>
        <v>3</v>
      </c>
      <c r="AE1249" s="65">
        <f>tblWorkPackages[[#This Row],[Last labor date]]-tblWorkPackages[[#This Row],[First labor date]]</f>
        <v>0</v>
      </c>
      <c r="AF1249" s="65">
        <f>tblWorkPackages[[#This Row],[Completion date serial]]-tblWorkPackages[[#This Row],[Last labor date]]</f>
        <v>3</v>
      </c>
      <c r="AG1249" s="65">
        <f>tblWorkPackages[[#This Row],[Completion date serial]]-tblWorkPackages[[#This Row],[Request date serial]]</f>
        <v>6</v>
      </c>
      <c r="AH1249" s="65">
        <f>IFERROR(INDEX(tblParts[Delay days],MATCH(tblWorkPackages[[#This Row],[Work package ID]],tblParts[Work package ID],0)),0)</f>
        <v>0</v>
      </c>
      <c r="AI1249" s="51" t="str">
        <f>IFERROR(INDEX(tblDisruptions[Event type],MATCH(tblWorkPackages[[#This Row],[Work package ID]],tblDisruptions[Work package ID],0)),"None")</f>
        <v>None</v>
      </c>
      <c r="AJ1249" s="51" t="str">
        <f>TEXT(tblWorkPackages[[#This Row],[Due date serial]],"yyyy-mm")</f>
        <v>2024-04</v>
      </c>
    </row>
    <row r="1250" spans="1:36" ht="15" x14ac:dyDescent="0.25">
      <c r="A1250" s="53" t="s">
        <v>2157</v>
      </c>
      <c r="B1250" s="53" t="s">
        <v>150</v>
      </c>
      <c r="C1250" s="53" t="s">
        <v>1053</v>
      </c>
      <c r="D1250" s="53" t="s">
        <v>443</v>
      </c>
      <c r="E1250" s="53" t="s">
        <v>242</v>
      </c>
      <c r="F1250" s="53" t="s">
        <v>243</v>
      </c>
      <c r="G1250" s="53" t="s">
        <v>129</v>
      </c>
      <c r="H1250" s="53">
        <v>2</v>
      </c>
      <c r="I1250" s="53" t="s">
        <v>176</v>
      </c>
      <c r="J1250" s="53">
        <v>0</v>
      </c>
      <c r="K1250" s="53">
        <v>0</v>
      </c>
      <c r="L1250" s="53">
        <v>9.6</v>
      </c>
      <c r="M1250" s="53" t="s">
        <v>665</v>
      </c>
      <c r="N1250" s="53">
        <v>7.7</v>
      </c>
      <c r="O1250" s="51" t="str">
        <f>TEXT(tblWorkPackages[[#This Row],[Request date serial]]-WEEKDAY(tblWorkPackages[[#This Row],[Request date serial]],3),"yyyy-mm-dd")</f>
        <v>2024-02-19</v>
      </c>
      <c r="P1250" s="51">
        <f>ABS(tblWorkPackages[[#This Row],[Actual labor hours]]-tblWorkPackages[[#This Row],[Estimated labor hours]])</f>
        <v>1.9</v>
      </c>
      <c r="Q1250" s="51">
        <f>IF(tblWorkPackages[[#This Row],[Actual labor hours]]&gt;tblWorkPackages[[#This Row],[Estimated labor hours]],1,0)</f>
        <v>0</v>
      </c>
      <c r="R1250" s="51">
        <f>tblWorkPackages[[#This Row],[Actual labor hours]]-tblWorkPackages[[#This Row],[Estimated labor hours]]</f>
        <v>-1.9</v>
      </c>
      <c r="S1250" s="51" t="str">
        <f>IF(tblWorkPackages[[#This Row],[Request date serial]]&lt;ValidationStart,"Train 2024",IF(tblWorkPackages[[#This Row],[Request date serial]]&lt;HoldoutStart,"Validation H1","Holdout H2"))</f>
        <v>Train 2024</v>
      </c>
      <c r="T1250" s="51" t="str">
        <f>IF(tblWorkPackages[[#This Row],[Time split]]="Train 2024","",tblWorkPackages[[#This Row],[Estimated labor hours]]+VLOOKUP(tblWorkPackages[[#This Row],[Task type]],'Forecast validation'!$A$14:$E$25,IF(tblWorkPackages[[#This Row],[Time split]]="Validation H1",4,5),FALSE()))</f>
        <v/>
      </c>
      <c r="U1250" s="51" t="str">
        <f>IF(tblWorkPackages[[#This Row],[Calibrated forecast hours]]="","",ABS(tblWorkPackages[[#This Row],[Actual labor hours]]-tblWorkPackages[[#This Row],[Calibrated forecast hours]]))</f>
        <v/>
      </c>
      <c r="V1250" s="51">
        <f>IF(tblWorkPackages[[#This Row],[Time split]]="Train 2024",tblWorkPackages[[#This Row],[Estimated labor hours]],tblWorkPackages[[#This Row],[Calibrated forecast hours]])</f>
        <v>9.6</v>
      </c>
      <c r="W1250" s="64">
        <f>DATEVALUE(tblWorkPackages[[#This Row],[Request date]])</f>
        <v>45345.0</v>
      </c>
      <c r="X1250" s="64">
        <f>DATEVALUE(tblWorkPackages[[#This Row],[Due date]])</f>
        <v>45351.0</v>
      </c>
      <c r="Y1250" s="64">
        <f>DATEVALUE(tblWorkPackages[[#This Row],[Completion date]])</f>
        <v>45378.0</v>
      </c>
      <c r="Z1250" s="64">
        <f>_xlfn.MINIFS(tblLaborEntries[Work date serial],tblLaborEntries[Work package ID],tblWorkPackages[[#This Row],[Work package ID]])</f>
        <v>45378.0</v>
      </c>
      <c r="AA1250" s="64">
        <f>_xlfn.MAXIFS(tblLaborEntries[Work date serial],tblLaborEntries[Work package ID],tblWorkPackages[[#This Row],[Work package ID]])</f>
        <v>45378.0</v>
      </c>
      <c r="AB1250" s="65">
        <f>IF(tblWorkPackages[[#This Row],[Completion date serial]]&gt;tblWorkPackages[[#This Row],[Due date serial]],1,0)</f>
        <v>1</v>
      </c>
      <c r="AC1250" s="65">
        <f>MAX(0,tblWorkPackages[[#This Row],[Completion date serial]]-tblWorkPackages[[#This Row],[Due date serial]])</f>
        <v>27</v>
      </c>
      <c r="AD1250" s="65">
        <f>tblWorkPackages[[#This Row],[First labor date]]-tblWorkPackages[[#This Row],[Request date serial]]</f>
        <v>33</v>
      </c>
      <c r="AE1250" s="65">
        <f>tblWorkPackages[[#This Row],[Last labor date]]-tblWorkPackages[[#This Row],[First labor date]]</f>
        <v>0</v>
      </c>
      <c r="AF1250" s="65">
        <f>tblWorkPackages[[#This Row],[Completion date serial]]-tblWorkPackages[[#This Row],[Last labor date]]</f>
        <v>0</v>
      </c>
      <c r="AG1250" s="65">
        <f>tblWorkPackages[[#This Row],[Completion date serial]]-tblWorkPackages[[#This Row],[Request date serial]]</f>
        <v>33</v>
      </c>
      <c r="AH1250" s="65">
        <f>IFERROR(INDEX(tblParts[Delay days],MATCH(tblWorkPackages[[#This Row],[Work package ID]],tblParts[Work package ID],0)),0)</f>
        <v>0</v>
      </c>
      <c r="AI1250" s="51" t="str">
        <f>IFERROR(INDEX(tblDisruptions[Event type],MATCH(tblWorkPackages[[#This Row],[Work package ID]],tblDisruptions[Work package ID],0)),"None")</f>
        <v>None</v>
      </c>
      <c r="AJ1250" s="51" t="str">
        <f>TEXT(tblWorkPackages[[#This Row],[Due date serial]],"yyyy-mm")</f>
        <v>2024-02</v>
      </c>
    </row>
    <row r="1251" spans="1:36" ht="15" x14ac:dyDescent="0.25">
      <c r="A1251" s="53" t="s">
        <v>2158</v>
      </c>
      <c r="B1251" s="53" t="s">
        <v>250</v>
      </c>
      <c r="C1251" s="53" t="s">
        <v>964</v>
      </c>
      <c r="D1251" s="53" t="s">
        <v>716</v>
      </c>
      <c r="E1251" s="53" t="s">
        <v>160</v>
      </c>
      <c r="F1251" s="53" t="s">
        <v>128</v>
      </c>
      <c r="G1251" s="53" t="s">
        <v>138</v>
      </c>
      <c r="H1251" s="53">
        <v>3</v>
      </c>
      <c r="I1251" s="53" t="s">
        <v>130</v>
      </c>
      <c r="J1251" s="53">
        <v>0</v>
      </c>
      <c r="K1251" s="53">
        <v>0</v>
      </c>
      <c r="L1251" s="53">
        <v>6.5</v>
      </c>
      <c r="M1251" s="53" t="s">
        <v>1100</v>
      </c>
      <c r="N1251" s="53">
        <v>8.3000000000000007</v>
      </c>
      <c r="O1251" s="51" t="str">
        <f>TEXT(tblWorkPackages[[#This Row],[Request date serial]]-WEEKDAY(tblWorkPackages[[#This Row],[Request date serial]],3),"yyyy-mm-dd")</f>
        <v>2025-02-03</v>
      </c>
      <c r="P1251" s="51">
        <f>ABS(tblWorkPackages[[#This Row],[Actual labor hours]]-tblWorkPackages[[#This Row],[Estimated labor hours]])</f>
        <v>1.8</v>
      </c>
      <c r="Q1251" s="51">
        <f>IF(tblWorkPackages[[#This Row],[Actual labor hours]]&gt;tblWorkPackages[[#This Row],[Estimated labor hours]],1,0)</f>
        <v>1</v>
      </c>
      <c r="R1251" s="51">
        <f>tblWorkPackages[[#This Row],[Actual labor hours]]-tblWorkPackages[[#This Row],[Estimated labor hours]]</f>
        <v>1.8</v>
      </c>
      <c r="S1251" s="51" t="str">
        <f>IF(tblWorkPackages[[#This Row],[Request date serial]]&lt;ValidationStart,"Train 2024",IF(tblWorkPackages[[#This Row],[Request date serial]]&lt;HoldoutStart,"Validation H1","Holdout H2"))</f>
        <v>Validation H1</v>
      </c>
      <c r="T1251" s="51">
        <f>IF(tblWorkPackages[[#This Row],[Time split]]="Train 2024","",tblWorkPackages[[#This Row],[Estimated labor hours]]+VLOOKUP(tblWorkPackages[[#This Row],[Task type]],'Forecast validation'!$A$14:$E$25,IF(tblWorkPackages[[#This Row],[Time split]]="Validation H1",4,5),FALSE()))</f>
        <v>6.94146341463415</v>
      </c>
      <c r="U1251" s="51">
        <f>IF(tblWorkPackages[[#This Row],[Calibrated forecast hours]]="","",ABS(tblWorkPackages[[#This Row],[Actual labor hours]]-tblWorkPackages[[#This Row],[Calibrated forecast hours]]))</f>
        <v>1.35853658536585</v>
      </c>
      <c r="V1251" s="51">
        <f>IF(tblWorkPackages[[#This Row],[Time split]]="Train 2024",tblWorkPackages[[#This Row],[Estimated labor hours]],tblWorkPackages[[#This Row],[Calibrated forecast hours]])</f>
        <v>6.94146341463415</v>
      </c>
      <c r="W1251" s="64">
        <f>DATEVALUE(tblWorkPackages[[#This Row],[Request date]])</f>
        <v>45697.0</v>
      </c>
      <c r="X1251" s="64">
        <f>DATEVALUE(tblWorkPackages[[#This Row],[Due date]])</f>
        <v>45710.0</v>
      </c>
      <c r="Y1251" s="64">
        <f>DATEVALUE(tblWorkPackages[[#This Row],[Completion date]])</f>
        <v>45705.0</v>
      </c>
      <c r="Z1251" s="64">
        <f>_xlfn.MINIFS(tblLaborEntries[Work date serial],tblLaborEntries[Work package ID],tblWorkPackages[[#This Row],[Work package ID]])</f>
        <v>45703.0</v>
      </c>
      <c r="AA1251" s="64">
        <f>_xlfn.MAXIFS(tblLaborEntries[Work date serial],tblLaborEntries[Work package ID],tblWorkPackages[[#This Row],[Work package ID]])</f>
        <v>45704.0</v>
      </c>
      <c r="AB1251" s="65">
        <f>IF(tblWorkPackages[[#This Row],[Completion date serial]]&gt;tblWorkPackages[[#This Row],[Due date serial]],1,0)</f>
        <v>0</v>
      </c>
      <c r="AC1251" s="65">
        <f>MAX(0,tblWorkPackages[[#This Row],[Completion date serial]]-tblWorkPackages[[#This Row],[Due date serial]])</f>
        <v>0</v>
      </c>
      <c r="AD1251" s="65">
        <f>tblWorkPackages[[#This Row],[First labor date]]-tblWorkPackages[[#This Row],[Request date serial]]</f>
        <v>6</v>
      </c>
      <c r="AE1251" s="65">
        <f>tblWorkPackages[[#This Row],[Last labor date]]-tblWorkPackages[[#This Row],[First labor date]]</f>
        <v>1</v>
      </c>
      <c r="AF1251" s="65">
        <f>tblWorkPackages[[#This Row],[Completion date serial]]-tblWorkPackages[[#This Row],[Last labor date]]</f>
        <v>1</v>
      </c>
      <c r="AG1251" s="65">
        <f>tblWorkPackages[[#This Row],[Completion date serial]]-tblWorkPackages[[#This Row],[Request date serial]]</f>
        <v>8</v>
      </c>
      <c r="AH1251" s="65">
        <f>IFERROR(INDEX(tblParts[Delay days],MATCH(tblWorkPackages[[#This Row],[Work package ID]],tblParts[Work package ID],0)),0)</f>
        <v>0</v>
      </c>
      <c r="AI1251" s="51" t="str">
        <f>IFERROR(INDEX(tblDisruptions[Event type],MATCH(tblWorkPackages[[#This Row],[Work package ID]],tblDisruptions[Work package ID],0)),"None")</f>
        <v>None</v>
      </c>
      <c r="AJ1251" s="51" t="str">
        <f>TEXT(tblWorkPackages[[#This Row],[Due date serial]],"yyyy-mm")</f>
        <v>2025-02</v>
      </c>
    </row>
    <row r="1252" spans="1:36" ht="15" x14ac:dyDescent="0.25">
      <c r="A1252" s="53" t="s">
        <v>2159</v>
      </c>
      <c r="B1252" s="53" t="s">
        <v>173</v>
      </c>
      <c r="C1252" s="53" t="s">
        <v>839</v>
      </c>
      <c r="D1252" s="53" t="s">
        <v>720</v>
      </c>
      <c r="E1252" s="53" t="s">
        <v>237</v>
      </c>
      <c r="F1252" s="53" t="s">
        <v>182</v>
      </c>
      <c r="G1252" s="53" t="s">
        <v>138</v>
      </c>
      <c r="H1252" s="53">
        <v>4</v>
      </c>
      <c r="I1252" s="53" t="s">
        <v>130</v>
      </c>
      <c r="J1252" s="53">
        <v>0</v>
      </c>
      <c r="K1252" s="53">
        <v>0</v>
      </c>
      <c r="L1252" s="53">
        <v>9.8000000000000007</v>
      </c>
      <c r="M1252" s="53" t="s">
        <v>1263</v>
      </c>
      <c r="N1252" s="53">
        <v>12.3</v>
      </c>
      <c r="O1252" s="51" t="str">
        <f>TEXT(tblWorkPackages[[#This Row],[Request date serial]]-WEEKDAY(tblWorkPackages[[#This Row],[Request date serial]],3),"yyyy-mm-dd")</f>
        <v>2024-02-19</v>
      </c>
      <c r="P1252" s="51">
        <f>ABS(tblWorkPackages[[#This Row],[Actual labor hours]]-tblWorkPackages[[#This Row],[Estimated labor hours]])</f>
        <v>2.5</v>
      </c>
      <c r="Q1252" s="51">
        <f>IF(tblWorkPackages[[#This Row],[Actual labor hours]]&gt;tblWorkPackages[[#This Row],[Estimated labor hours]],1,0)</f>
        <v>1</v>
      </c>
      <c r="R1252" s="51">
        <f>tblWorkPackages[[#This Row],[Actual labor hours]]-tblWorkPackages[[#This Row],[Estimated labor hours]]</f>
        <v>2.5</v>
      </c>
      <c r="S1252" s="51" t="str">
        <f>IF(tblWorkPackages[[#This Row],[Request date serial]]&lt;ValidationStart,"Train 2024",IF(tblWorkPackages[[#This Row],[Request date serial]]&lt;HoldoutStart,"Validation H1","Holdout H2"))</f>
        <v>Train 2024</v>
      </c>
      <c r="T1252" s="51" t="str">
        <f>IF(tblWorkPackages[[#This Row],[Time split]]="Train 2024","",tblWorkPackages[[#This Row],[Estimated labor hours]]+VLOOKUP(tblWorkPackages[[#This Row],[Task type]],'Forecast validation'!$A$14:$E$25,IF(tblWorkPackages[[#This Row],[Time split]]="Validation H1",4,5),FALSE()))</f>
        <v/>
      </c>
      <c r="U1252" s="51" t="str">
        <f>IF(tblWorkPackages[[#This Row],[Calibrated forecast hours]]="","",ABS(tblWorkPackages[[#This Row],[Actual labor hours]]-tblWorkPackages[[#This Row],[Calibrated forecast hours]]))</f>
        <v/>
      </c>
      <c r="V1252" s="51">
        <f>IF(tblWorkPackages[[#This Row],[Time split]]="Train 2024",tblWorkPackages[[#This Row],[Estimated labor hours]],tblWorkPackages[[#This Row],[Calibrated forecast hours]])</f>
        <v>9.8</v>
      </c>
      <c r="W1252" s="64">
        <f>DATEVALUE(tblWorkPackages[[#This Row],[Request date]])</f>
        <v>45346.0</v>
      </c>
      <c r="X1252" s="64">
        <f>DATEVALUE(tblWorkPackages[[#This Row],[Due date]])</f>
        <v>45359.0</v>
      </c>
      <c r="Y1252" s="64">
        <f>DATEVALUE(tblWorkPackages[[#This Row],[Completion date]])</f>
        <v>45350.0</v>
      </c>
      <c r="Z1252" s="64">
        <f>_xlfn.MINIFS(tblLaborEntries[Work date serial],tblLaborEntries[Work package ID],tblWorkPackages[[#This Row],[Work package ID]])</f>
        <v>45348.0</v>
      </c>
      <c r="AA1252" s="64">
        <f>_xlfn.MAXIFS(tblLaborEntries[Work date serial],tblLaborEntries[Work package ID],tblWorkPackages[[#This Row],[Work package ID]])</f>
        <v>45348.0</v>
      </c>
      <c r="AB1252" s="65">
        <f>IF(tblWorkPackages[[#This Row],[Completion date serial]]&gt;tblWorkPackages[[#This Row],[Due date serial]],1,0)</f>
        <v>0</v>
      </c>
      <c r="AC1252" s="65">
        <f>MAX(0,tblWorkPackages[[#This Row],[Completion date serial]]-tblWorkPackages[[#This Row],[Due date serial]])</f>
        <v>0</v>
      </c>
      <c r="AD1252" s="65">
        <f>tblWorkPackages[[#This Row],[First labor date]]-tblWorkPackages[[#This Row],[Request date serial]]</f>
        <v>2</v>
      </c>
      <c r="AE1252" s="65">
        <f>tblWorkPackages[[#This Row],[Last labor date]]-tblWorkPackages[[#This Row],[First labor date]]</f>
        <v>0</v>
      </c>
      <c r="AF1252" s="65">
        <f>tblWorkPackages[[#This Row],[Completion date serial]]-tblWorkPackages[[#This Row],[Last labor date]]</f>
        <v>2</v>
      </c>
      <c r="AG1252" s="65">
        <f>tblWorkPackages[[#This Row],[Completion date serial]]-tblWorkPackages[[#This Row],[Request date serial]]</f>
        <v>4</v>
      </c>
      <c r="AH1252" s="65">
        <f>IFERROR(INDEX(tblParts[Delay days],MATCH(tblWorkPackages[[#This Row],[Work package ID]],tblParts[Work package ID],0)),0)</f>
        <v>0</v>
      </c>
      <c r="AI1252" s="51" t="str">
        <f>IFERROR(INDEX(tblDisruptions[Event type],MATCH(tblWorkPackages[[#This Row],[Work package ID]],tblDisruptions[Work package ID],0)),"None")</f>
        <v>None</v>
      </c>
      <c r="AJ1252" s="51" t="str">
        <f>TEXT(tblWorkPackages[[#This Row],[Due date serial]],"yyyy-mm")</f>
        <v>2024-03</v>
      </c>
    </row>
    <row r="1253" spans="1:36" ht="15" x14ac:dyDescent="0.25">
      <c r="A1253" s="53" t="s">
        <v>2160</v>
      </c>
      <c r="B1253" s="53" t="s">
        <v>168</v>
      </c>
      <c r="C1253" s="53" t="s">
        <v>325</v>
      </c>
      <c r="D1253" s="53" t="s">
        <v>326</v>
      </c>
      <c r="E1253" s="53" t="s">
        <v>181</v>
      </c>
      <c r="F1253" s="53" t="s">
        <v>182</v>
      </c>
      <c r="G1253" s="53" t="s">
        <v>138</v>
      </c>
      <c r="H1253" s="53">
        <v>4</v>
      </c>
      <c r="I1253" s="53" t="s">
        <v>130</v>
      </c>
      <c r="J1253" s="53">
        <v>0</v>
      </c>
      <c r="K1253" s="53">
        <v>1</v>
      </c>
      <c r="L1253" s="53">
        <v>12.8</v>
      </c>
      <c r="M1253" s="53" t="s">
        <v>498</v>
      </c>
      <c r="N1253" s="53">
        <v>12</v>
      </c>
      <c r="O1253" s="51" t="str">
        <f>TEXT(tblWorkPackages[[#This Row],[Request date serial]]-WEEKDAY(tblWorkPackages[[#This Row],[Request date serial]],3),"yyyy-mm-dd")</f>
        <v>2025-10-27</v>
      </c>
      <c r="P1253" s="51">
        <f>ABS(tblWorkPackages[[#This Row],[Actual labor hours]]-tblWorkPackages[[#This Row],[Estimated labor hours]])</f>
        <v>0.800000000000001</v>
      </c>
      <c r="Q1253" s="51">
        <f>IF(tblWorkPackages[[#This Row],[Actual labor hours]]&gt;tblWorkPackages[[#This Row],[Estimated labor hours]],1,0)</f>
        <v>0</v>
      </c>
      <c r="R1253" s="51">
        <f>tblWorkPackages[[#This Row],[Actual labor hours]]-tblWorkPackages[[#This Row],[Estimated labor hours]]</f>
        <v>-0.800000000000001</v>
      </c>
      <c r="S1253" s="51" t="str">
        <f>IF(tblWorkPackages[[#This Row],[Request date serial]]&lt;ValidationStart,"Train 2024",IF(tblWorkPackages[[#This Row],[Request date serial]]&lt;HoldoutStart,"Validation H1","Holdout H2"))</f>
        <v>Holdout H2</v>
      </c>
      <c r="T1253" s="51">
        <f>IF(tblWorkPackages[[#This Row],[Time split]]="Train 2024","",tblWorkPackages[[#This Row],[Estimated labor hours]]+VLOOKUP(tblWorkPackages[[#This Row],[Task type]],'Forecast validation'!$A$14:$E$25,IF(tblWorkPackages[[#This Row],[Time split]]="Validation H1",4,5),FALSE()))</f>
        <v>13.3916083916084</v>
      </c>
      <c r="U1253" s="51">
        <f>IF(tblWorkPackages[[#This Row],[Calibrated forecast hours]]="","",ABS(tblWorkPackages[[#This Row],[Actual labor hours]]-tblWorkPackages[[#This Row],[Calibrated forecast hours]]))</f>
        <v>1.39160839160839</v>
      </c>
      <c r="V1253" s="51">
        <f>IF(tblWorkPackages[[#This Row],[Time split]]="Train 2024",tblWorkPackages[[#This Row],[Estimated labor hours]],tblWorkPackages[[#This Row],[Calibrated forecast hours]])</f>
        <v>13.3916083916084</v>
      </c>
      <c r="W1253" s="64">
        <f>DATEVALUE(tblWorkPackages[[#This Row],[Request date]])</f>
        <v>45962.0</v>
      </c>
      <c r="X1253" s="64">
        <f>DATEVALUE(tblWorkPackages[[#This Row],[Due date]])</f>
        <v>45975.0</v>
      </c>
      <c r="Y1253" s="64">
        <f>DATEVALUE(tblWorkPackages[[#This Row],[Completion date]])</f>
        <v>45982.0</v>
      </c>
      <c r="Z1253" s="64">
        <f>_xlfn.MINIFS(tblLaborEntries[Work date serial],tblLaborEntries[Work package ID],tblWorkPackages[[#This Row],[Work package ID]])</f>
        <v>45977.0</v>
      </c>
      <c r="AA1253" s="64">
        <f>_xlfn.MAXIFS(tblLaborEntries[Work date serial],tblLaborEntries[Work package ID],tblWorkPackages[[#This Row],[Work package ID]])</f>
        <v>45979.0</v>
      </c>
      <c r="AB1253" s="65">
        <f>IF(tblWorkPackages[[#This Row],[Completion date serial]]&gt;tblWorkPackages[[#This Row],[Due date serial]],1,0)</f>
        <v>1</v>
      </c>
      <c r="AC1253" s="65">
        <f>MAX(0,tblWorkPackages[[#This Row],[Completion date serial]]-tblWorkPackages[[#This Row],[Due date serial]])</f>
        <v>7</v>
      </c>
      <c r="AD1253" s="65">
        <f>tblWorkPackages[[#This Row],[First labor date]]-tblWorkPackages[[#This Row],[Request date serial]]</f>
        <v>15</v>
      </c>
      <c r="AE1253" s="65">
        <f>tblWorkPackages[[#This Row],[Last labor date]]-tblWorkPackages[[#This Row],[First labor date]]</f>
        <v>2</v>
      </c>
      <c r="AF1253" s="65">
        <f>tblWorkPackages[[#This Row],[Completion date serial]]-tblWorkPackages[[#This Row],[Last labor date]]</f>
        <v>3</v>
      </c>
      <c r="AG1253" s="65">
        <f>tblWorkPackages[[#This Row],[Completion date serial]]-tblWorkPackages[[#This Row],[Request date serial]]</f>
        <v>20</v>
      </c>
      <c r="AH1253" s="65">
        <f>IFERROR(INDEX(tblParts[Delay days],MATCH(tblWorkPackages[[#This Row],[Work package ID]],tblParts[Work package ID],0)),0)</f>
        <v>0</v>
      </c>
      <c r="AI1253" s="51" t="str">
        <f>IFERROR(INDEX(tblDisruptions[Event type],MATCH(tblWorkPackages[[#This Row],[Work package ID]],tblDisruptions[Work package ID],0)),"None")</f>
        <v>None</v>
      </c>
      <c r="AJ1253" s="51" t="str">
        <f>TEXT(tblWorkPackages[[#This Row],[Due date serial]],"yyyy-mm")</f>
        <v>2025-11</v>
      </c>
    </row>
    <row r="1254" spans="1:36" ht="15" x14ac:dyDescent="0.25">
      <c r="A1254" s="53" t="s">
        <v>2161</v>
      </c>
      <c r="B1254" s="53" t="s">
        <v>157</v>
      </c>
      <c r="C1254" s="53" t="s">
        <v>690</v>
      </c>
      <c r="D1254" s="53" t="s">
        <v>694</v>
      </c>
      <c r="E1254" s="53" t="s">
        <v>200</v>
      </c>
      <c r="F1254" s="53" t="s">
        <v>128</v>
      </c>
      <c r="G1254" s="53" t="s">
        <v>129</v>
      </c>
      <c r="H1254" s="53">
        <v>1</v>
      </c>
      <c r="I1254" s="53" t="s">
        <v>176</v>
      </c>
      <c r="J1254" s="53">
        <v>0</v>
      </c>
      <c r="K1254" s="53">
        <v>0</v>
      </c>
      <c r="L1254" s="53">
        <v>2.1</v>
      </c>
      <c r="M1254" s="53" t="s">
        <v>694</v>
      </c>
      <c r="N1254" s="53">
        <v>1.6</v>
      </c>
      <c r="O1254" s="51" t="str">
        <f>TEXT(tblWorkPackages[[#This Row],[Request date serial]]-WEEKDAY(tblWorkPackages[[#This Row],[Request date serial]],3),"yyyy-mm-dd")</f>
        <v>2024-04-15</v>
      </c>
      <c r="P1254" s="51">
        <f>ABS(tblWorkPackages[[#This Row],[Actual labor hours]]-tblWorkPackages[[#This Row],[Estimated labor hours]])</f>
        <v>0.5</v>
      </c>
      <c r="Q1254" s="51">
        <f>IF(tblWorkPackages[[#This Row],[Actual labor hours]]&gt;tblWorkPackages[[#This Row],[Estimated labor hours]],1,0)</f>
        <v>0</v>
      </c>
      <c r="R1254" s="51">
        <f>tblWorkPackages[[#This Row],[Actual labor hours]]-tblWorkPackages[[#This Row],[Estimated labor hours]]</f>
        <v>-0.5</v>
      </c>
      <c r="S1254" s="51" t="str">
        <f>IF(tblWorkPackages[[#This Row],[Request date serial]]&lt;ValidationStart,"Train 2024",IF(tblWorkPackages[[#This Row],[Request date serial]]&lt;HoldoutStart,"Validation H1","Holdout H2"))</f>
        <v>Train 2024</v>
      </c>
      <c r="T1254" s="51" t="str">
        <f>IF(tblWorkPackages[[#This Row],[Time split]]="Train 2024","",tblWorkPackages[[#This Row],[Estimated labor hours]]+VLOOKUP(tblWorkPackages[[#This Row],[Task type]],'Forecast validation'!$A$14:$E$25,IF(tblWorkPackages[[#This Row],[Time split]]="Validation H1",4,5),FALSE()))</f>
        <v/>
      </c>
      <c r="U1254" s="51" t="str">
        <f>IF(tblWorkPackages[[#This Row],[Calibrated forecast hours]]="","",ABS(tblWorkPackages[[#This Row],[Actual labor hours]]-tblWorkPackages[[#This Row],[Calibrated forecast hours]]))</f>
        <v/>
      </c>
      <c r="V1254" s="51">
        <f>IF(tblWorkPackages[[#This Row],[Time split]]="Train 2024",tblWorkPackages[[#This Row],[Estimated labor hours]],tblWorkPackages[[#This Row],[Calibrated forecast hours]])</f>
        <v>2.1</v>
      </c>
      <c r="W1254" s="64">
        <f>DATEVALUE(tblWorkPackages[[#This Row],[Request date]])</f>
        <v>45398.0</v>
      </c>
      <c r="X1254" s="64">
        <f>DATEVALUE(tblWorkPackages[[#This Row],[Due date]])</f>
        <v>45404.0</v>
      </c>
      <c r="Y1254" s="64">
        <f>DATEVALUE(tblWorkPackages[[#This Row],[Completion date]])</f>
        <v>45404.0</v>
      </c>
      <c r="Z1254" s="64">
        <f>_xlfn.MINIFS(tblLaborEntries[Work date serial],tblLaborEntries[Work package ID],tblWorkPackages[[#This Row],[Work package ID]])</f>
        <v>45402.0</v>
      </c>
      <c r="AA1254" s="64">
        <f>_xlfn.MAXIFS(tblLaborEntries[Work date serial],tblLaborEntries[Work package ID],tblWorkPackages[[#This Row],[Work package ID]])</f>
        <v>45404.0</v>
      </c>
      <c r="AB1254" s="65">
        <f>IF(tblWorkPackages[[#This Row],[Completion date serial]]&gt;tblWorkPackages[[#This Row],[Due date serial]],1,0)</f>
        <v>0</v>
      </c>
      <c r="AC1254" s="65">
        <f>MAX(0,tblWorkPackages[[#This Row],[Completion date serial]]-tblWorkPackages[[#This Row],[Due date serial]])</f>
        <v>0</v>
      </c>
      <c r="AD1254" s="65">
        <f>tblWorkPackages[[#This Row],[First labor date]]-tblWorkPackages[[#This Row],[Request date serial]]</f>
        <v>4</v>
      </c>
      <c r="AE1254" s="65">
        <f>tblWorkPackages[[#This Row],[Last labor date]]-tblWorkPackages[[#This Row],[First labor date]]</f>
        <v>2</v>
      </c>
      <c r="AF1254" s="65">
        <f>tblWorkPackages[[#This Row],[Completion date serial]]-tblWorkPackages[[#This Row],[Last labor date]]</f>
        <v>0</v>
      </c>
      <c r="AG1254" s="65">
        <f>tblWorkPackages[[#This Row],[Completion date serial]]-tblWorkPackages[[#This Row],[Request date serial]]</f>
        <v>6</v>
      </c>
      <c r="AH1254" s="65">
        <f>IFERROR(INDEX(tblParts[Delay days],MATCH(tblWorkPackages[[#This Row],[Work package ID]],tblParts[Work package ID],0)),0)</f>
        <v>0</v>
      </c>
      <c r="AI1254" s="51" t="str">
        <f>IFERROR(INDEX(tblDisruptions[Event type],MATCH(tblWorkPackages[[#This Row],[Work package ID]],tblDisruptions[Work package ID],0)),"None")</f>
        <v>None</v>
      </c>
      <c r="AJ1254" s="51" t="str">
        <f>TEXT(tblWorkPackages[[#This Row],[Due date serial]],"yyyy-mm")</f>
        <v>2024-04</v>
      </c>
    </row>
    <row r="1255" spans="1:36" ht="15" x14ac:dyDescent="0.25">
      <c r="A1255" s="53" t="s">
        <v>2162</v>
      </c>
      <c r="B1255" s="53" t="s">
        <v>141</v>
      </c>
      <c r="C1255" s="53" t="s">
        <v>279</v>
      </c>
      <c r="D1255" s="53" t="s">
        <v>1167</v>
      </c>
      <c r="E1255" s="53" t="s">
        <v>144</v>
      </c>
      <c r="F1255" s="53" t="s">
        <v>145</v>
      </c>
      <c r="G1255" s="53" t="s">
        <v>146</v>
      </c>
      <c r="H1255" s="53">
        <v>1</v>
      </c>
      <c r="I1255" s="53" t="s">
        <v>130</v>
      </c>
      <c r="J1255" s="53">
        <v>1</v>
      </c>
      <c r="K1255" s="53">
        <v>0</v>
      </c>
      <c r="L1255" s="53">
        <v>6.8</v>
      </c>
      <c r="M1255" s="53" t="s">
        <v>681</v>
      </c>
      <c r="N1255" s="53">
        <v>8.4</v>
      </c>
      <c r="O1255" s="51" t="str">
        <f>TEXT(tblWorkPackages[[#This Row],[Request date serial]]-WEEKDAY(tblWorkPackages[[#This Row],[Request date serial]],3),"yyyy-mm-dd")</f>
        <v>2025-01-20</v>
      </c>
      <c r="P1255" s="51">
        <f>ABS(tblWorkPackages[[#This Row],[Actual labor hours]]-tblWorkPackages[[#This Row],[Estimated labor hours]])</f>
        <v>1.6</v>
      </c>
      <c r="Q1255" s="51">
        <f>IF(tblWorkPackages[[#This Row],[Actual labor hours]]&gt;tblWorkPackages[[#This Row],[Estimated labor hours]],1,0)</f>
        <v>1</v>
      </c>
      <c r="R1255" s="51">
        <f>tblWorkPackages[[#This Row],[Actual labor hours]]-tblWorkPackages[[#This Row],[Estimated labor hours]]</f>
        <v>1.6</v>
      </c>
      <c r="S1255" s="51" t="str">
        <f>IF(tblWorkPackages[[#This Row],[Request date serial]]&lt;ValidationStart,"Train 2024",IF(tblWorkPackages[[#This Row],[Request date serial]]&lt;HoldoutStart,"Validation H1","Holdout H2"))</f>
        <v>Validation H1</v>
      </c>
      <c r="T1255" s="51">
        <f>IF(tblWorkPackages[[#This Row],[Time split]]="Train 2024","",tblWorkPackages[[#This Row],[Estimated labor hours]]+VLOOKUP(tblWorkPackages[[#This Row],[Task type]],'Forecast validation'!$A$14:$E$25,IF(tblWorkPackages[[#This Row],[Time split]]="Validation H1",4,5),FALSE()))</f>
        <v>7.55473684210526</v>
      </c>
      <c r="U1255" s="51">
        <f>IF(tblWorkPackages[[#This Row],[Calibrated forecast hours]]="","",ABS(tblWorkPackages[[#This Row],[Actual labor hours]]-tblWorkPackages[[#This Row],[Calibrated forecast hours]]))</f>
        <v>0.845263157894737</v>
      </c>
      <c r="V1255" s="51">
        <f>IF(tblWorkPackages[[#This Row],[Time split]]="Train 2024",tblWorkPackages[[#This Row],[Estimated labor hours]],tblWorkPackages[[#This Row],[Calibrated forecast hours]])</f>
        <v>7.55473684210526</v>
      </c>
      <c r="W1255" s="64">
        <f>DATEVALUE(tblWorkPackages[[#This Row],[Request date]])</f>
        <v>45679.0</v>
      </c>
      <c r="X1255" s="64">
        <f>DATEVALUE(tblWorkPackages[[#This Row],[Due date]])</f>
        <v>45692.0</v>
      </c>
      <c r="Y1255" s="64">
        <f>DATEVALUE(tblWorkPackages[[#This Row],[Completion date]])</f>
        <v>45681.0</v>
      </c>
      <c r="Z1255" s="64">
        <f>_xlfn.MINIFS(tblLaborEntries[Work date serial],tblLaborEntries[Work package ID],tblWorkPackages[[#This Row],[Work package ID]])</f>
        <v>45680.0</v>
      </c>
      <c r="AA1255" s="64">
        <f>_xlfn.MAXIFS(tblLaborEntries[Work date serial],tblLaborEntries[Work package ID],tblWorkPackages[[#This Row],[Work package ID]])</f>
        <v>45680.0</v>
      </c>
      <c r="AB1255" s="65">
        <f>IF(tblWorkPackages[[#This Row],[Completion date serial]]&gt;tblWorkPackages[[#This Row],[Due date serial]],1,0)</f>
        <v>0</v>
      </c>
      <c r="AC1255" s="65">
        <f>MAX(0,tblWorkPackages[[#This Row],[Completion date serial]]-tblWorkPackages[[#This Row],[Due date serial]])</f>
        <v>0</v>
      </c>
      <c r="AD1255" s="65">
        <f>tblWorkPackages[[#This Row],[First labor date]]-tblWorkPackages[[#This Row],[Request date serial]]</f>
        <v>1</v>
      </c>
      <c r="AE1255" s="65">
        <f>tblWorkPackages[[#This Row],[Last labor date]]-tblWorkPackages[[#This Row],[First labor date]]</f>
        <v>0</v>
      </c>
      <c r="AF1255" s="65">
        <f>tblWorkPackages[[#This Row],[Completion date serial]]-tblWorkPackages[[#This Row],[Last labor date]]</f>
        <v>1</v>
      </c>
      <c r="AG1255" s="65">
        <f>tblWorkPackages[[#This Row],[Completion date serial]]-tblWorkPackages[[#This Row],[Request date serial]]</f>
        <v>2</v>
      </c>
      <c r="AH1255" s="65">
        <f>IFERROR(INDEX(tblParts[Delay days],MATCH(tblWorkPackages[[#This Row],[Work package ID]],tblParts[Work package ID],0)),0)</f>
        <v>0</v>
      </c>
      <c r="AI1255" s="51" t="str">
        <f>IFERROR(INDEX(tblDisruptions[Event type],MATCH(tblWorkPackages[[#This Row],[Work package ID]],tblDisruptions[Work package ID],0)),"None")</f>
        <v>Repeat inspection</v>
      </c>
      <c r="AJ1255" s="51" t="str">
        <f>TEXT(tblWorkPackages[[#This Row],[Due date serial]],"yyyy-mm")</f>
        <v>2025-02</v>
      </c>
    </row>
    <row r="1256" spans="1:36" ht="15" x14ac:dyDescent="0.25">
      <c r="A1256" s="53" t="s">
        <v>2163</v>
      </c>
      <c r="B1256" s="53" t="s">
        <v>133</v>
      </c>
      <c r="C1256" s="53" t="s">
        <v>658</v>
      </c>
      <c r="D1256" s="53" t="s">
        <v>177</v>
      </c>
      <c r="E1256" s="53" t="s">
        <v>127</v>
      </c>
      <c r="F1256" s="53" t="s">
        <v>128</v>
      </c>
      <c r="G1256" s="53" t="s">
        <v>129</v>
      </c>
      <c r="H1256" s="53">
        <v>4</v>
      </c>
      <c r="I1256" s="53" t="s">
        <v>130</v>
      </c>
      <c r="J1256" s="53">
        <v>0</v>
      </c>
      <c r="K1256" s="53">
        <v>0</v>
      </c>
      <c r="L1256" s="53">
        <v>11.8</v>
      </c>
      <c r="M1256" s="53" t="s">
        <v>1019</v>
      </c>
      <c r="N1256" s="53">
        <v>15</v>
      </c>
      <c r="O1256" s="51" t="str">
        <f>TEXT(tblWorkPackages[[#This Row],[Request date serial]]-WEEKDAY(tblWorkPackages[[#This Row],[Request date serial]],3),"yyyy-mm-dd")</f>
        <v>2025-08-04</v>
      </c>
      <c r="P1256" s="51">
        <f>ABS(tblWorkPackages[[#This Row],[Actual labor hours]]-tblWorkPackages[[#This Row],[Estimated labor hours]])</f>
        <v>3.2</v>
      </c>
      <c r="Q1256" s="51">
        <f>IF(tblWorkPackages[[#This Row],[Actual labor hours]]&gt;tblWorkPackages[[#This Row],[Estimated labor hours]],1,0)</f>
        <v>1</v>
      </c>
      <c r="R1256" s="51">
        <f>tblWorkPackages[[#This Row],[Actual labor hours]]-tblWorkPackages[[#This Row],[Estimated labor hours]]</f>
        <v>3.2</v>
      </c>
      <c r="S1256" s="51" t="str">
        <f>IF(tblWorkPackages[[#This Row],[Request date serial]]&lt;ValidationStart,"Train 2024",IF(tblWorkPackages[[#This Row],[Request date serial]]&lt;HoldoutStart,"Validation H1","Holdout H2"))</f>
        <v>Holdout H2</v>
      </c>
      <c r="T1256" s="51">
        <f>IF(tblWorkPackages[[#This Row],[Time split]]="Train 2024","",tblWorkPackages[[#This Row],[Estimated labor hours]]+VLOOKUP(tblWorkPackages[[#This Row],[Task type]],'Forecast validation'!$A$14:$E$25,IF(tblWorkPackages[[#This Row],[Time split]]="Validation H1",4,5),FALSE()))</f>
        <v>12.3434108527132</v>
      </c>
      <c r="U1256" s="51">
        <f>IF(tblWorkPackages[[#This Row],[Calibrated forecast hours]]="","",ABS(tblWorkPackages[[#This Row],[Actual labor hours]]-tblWorkPackages[[#This Row],[Calibrated forecast hours]]))</f>
        <v>2.65658914728682</v>
      </c>
      <c r="V1256" s="51">
        <f>IF(tblWorkPackages[[#This Row],[Time split]]="Train 2024",tblWorkPackages[[#This Row],[Estimated labor hours]],tblWorkPackages[[#This Row],[Calibrated forecast hours]])</f>
        <v>12.3434108527132</v>
      </c>
      <c r="W1256" s="64">
        <f>DATEVALUE(tblWorkPackages[[#This Row],[Request date]])</f>
        <v>45873.0</v>
      </c>
      <c r="X1256" s="64">
        <f>DATEVALUE(tblWorkPackages[[#This Row],[Due date]])</f>
        <v>45886.0</v>
      </c>
      <c r="Y1256" s="64">
        <f>DATEVALUE(tblWorkPackages[[#This Row],[Completion date]])</f>
        <v>45884.0</v>
      </c>
      <c r="Z1256" s="64">
        <f>_xlfn.MINIFS(tblLaborEntries[Work date serial],tblLaborEntries[Work package ID],tblWorkPackages[[#This Row],[Work package ID]])</f>
        <v>45882.0</v>
      </c>
      <c r="AA1256" s="64">
        <f>_xlfn.MAXIFS(tblLaborEntries[Work date serial],tblLaborEntries[Work package ID],tblWorkPackages[[#This Row],[Work package ID]])</f>
        <v>45882.0</v>
      </c>
      <c r="AB1256" s="65">
        <f>IF(tblWorkPackages[[#This Row],[Completion date serial]]&gt;tblWorkPackages[[#This Row],[Due date serial]],1,0)</f>
        <v>0</v>
      </c>
      <c r="AC1256" s="65">
        <f>MAX(0,tblWorkPackages[[#This Row],[Completion date serial]]-tblWorkPackages[[#This Row],[Due date serial]])</f>
        <v>0</v>
      </c>
      <c r="AD1256" s="65">
        <f>tblWorkPackages[[#This Row],[First labor date]]-tblWorkPackages[[#This Row],[Request date serial]]</f>
        <v>9</v>
      </c>
      <c r="AE1256" s="65">
        <f>tblWorkPackages[[#This Row],[Last labor date]]-tblWorkPackages[[#This Row],[First labor date]]</f>
        <v>0</v>
      </c>
      <c r="AF1256" s="65">
        <f>tblWorkPackages[[#This Row],[Completion date serial]]-tblWorkPackages[[#This Row],[Last labor date]]</f>
        <v>2</v>
      </c>
      <c r="AG1256" s="65">
        <f>tblWorkPackages[[#This Row],[Completion date serial]]-tblWorkPackages[[#This Row],[Request date serial]]</f>
        <v>11</v>
      </c>
      <c r="AH1256" s="65">
        <f>IFERROR(INDEX(tblParts[Delay days],MATCH(tblWorkPackages[[#This Row],[Work package ID]],tblParts[Work package ID],0)),0)</f>
        <v>0</v>
      </c>
      <c r="AI1256" s="51" t="str">
        <f>IFERROR(INDEX(tblDisruptions[Event type],MATCH(tblWorkPackages[[#This Row],[Work package ID]],tblDisruptions[Work package ID],0)),"None")</f>
        <v>None</v>
      </c>
      <c r="AJ1256" s="51" t="str">
        <f>TEXT(tblWorkPackages[[#This Row],[Due date serial]],"yyyy-mm")</f>
        <v>2025-08</v>
      </c>
    </row>
    <row r="1257" spans="1:36" ht="15" x14ac:dyDescent="0.25">
      <c r="A1257" s="53" t="s">
        <v>2164</v>
      </c>
      <c r="B1257" s="53" t="s">
        <v>287</v>
      </c>
      <c r="C1257" s="53" t="s">
        <v>846</v>
      </c>
      <c r="D1257" s="53" t="s">
        <v>874</v>
      </c>
      <c r="E1257" s="53" t="s">
        <v>242</v>
      </c>
      <c r="F1257" s="53" t="s">
        <v>243</v>
      </c>
      <c r="G1257" s="53" t="s">
        <v>129</v>
      </c>
      <c r="H1257" s="53">
        <v>4</v>
      </c>
      <c r="I1257" s="53" t="s">
        <v>176</v>
      </c>
      <c r="J1257" s="53">
        <v>0</v>
      </c>
      <c r="K1257" s="53">
        <v>1</v>
      </c>
      <c r="L1257" s="53">
        <v>14.4</v>
      </c>
      <c r="M1257" s="53" t="s">
        <v>799</v>
      </c>
      <c r="N1257" s="53">
        <v>11.9</v>
      </c>
      <c r="O1257" s="51" t="str">
        <f>TEXT(tblWorkPackages[[#This Row],[Request date serial]]-WEEKDAY(tblWorkPackages[[#This Row],[Request date serial]],3),"yyyy-mm-dd")</f>
        <v>2024-09-02</v>
      </c>
      <c r="P1257" s="51">
        <f>ABS(tblWorkPackages[[#This Row],[Actual labor hours]]-tblWorkPackages[[#This Row],[Estimated labor hours]])</f>
        <v>2.5</v>
      </c>
      <c r="Q1257" s="51">
        <f>IF(tblWorkPackages[[#This Row],[Actual labor hours]]&gt;tblWorkPackages[[#This Row],[Estimated labor hours]],1,0)</f>
        <v>0</v>
      </c>
      <c r="R1257" s="51">
        <f>tblWorkPackages[[#This Row],[Actual labor hours]]-tblWorkPackages[[#This Row],[Estimated labor hours]]</f>
        <v>-2.5</v>
      </c>
      <c r="S1257" s="51" t="str">
        <f>IF(tblWorkPackages[[#This Row],[Request date serial]]&lt;ValidationStart,"Train 2024",IF(tblWorkPackages[[#This Row],[Request date serial]]&lt;HoldoutStart,"Validation H1","Holdout H2"))</f>
        <v>Train 2024</v>
      </c>
      <c r="T1257" s="51" t="str">
        <f>IF(tblWorkPackages[[#This Row],[Time split]]="Train 2024","",tblWorkPackages[[#This Row],[Estimated labor hours]]+VLOOKUP(tblWorkPackages[[#This Row],[Task type]],'Forecast validation'!$A$14:$E$25,IF(tblWorkPackages[[#This Row],[Time split]]="Validation H1",4,5),FALSE()))</f>
        <v/>
      </c>
      <c r="U1257" s="51" t="str">
        <f>IF(tblWorkPackages[[#This Row],[Calibrated forecast hours]]="","",ABS(tblWorkPackages[[#This Row],[Actual labor hours]]-tblWorkPackages[[#This Row],[Calibrated forecast hours]]))</f>
        <v/>
      </c>
      <c r="V1257" s="51">
        <f>IF(tblWorkPackages[[#This Row],[Time split]]="Train 2024",tblWorkPackages[[#This Row],[Estimated labor hours]],tblWorkPackages[[#This Row],[Calibrated forecast hours]])</f>
        <v>14.4</v>
      </c>
      <c r="W1257" s="64">
        <f>DATEVALUE(tblWorkPackages[[#This Row],[Request date]])</f>
        <v>45542.0</v>
      </c>
      <c r="X1257" s="64">
        <f>DATEVALUE(tblWorkPackages[[#This Row],[Due date]])</f>
        <v>45548.0</v>
      </c>
      <c r="Y1257" s="64">
        <f>DATEVALUE(tblWorkPackages[[#This Row],[Completion date]])</f>
        <v>45549.0</v>
      </c>
      <c r="Z1257" s="64">
        <f>_xlfn.MINIFS(tblLaborEntries[Work date serial],tblLaborEntries[Work package ID],tblWorkPackages[[#This Row],[Work package ID]])</f>
        <v>45545.0</v>
      </c>
      <c r="AA1257" s="64">
        <f>_xlfn.MAXIFS(tblLaborEntries[Work date serial],tblLaborEntries[Work package ID],tblWorkPackages[[#This Row],[Work package ID]])</f>
        <v>45546.0</v>
      </c>
      <c r="AB1257" s="65">
        <f>IF(tblWorkPackages[[#This Row],[Completion date serial]]&gt;tblWorkPackages[[#This Row],[Due date serial]],1,0)</f>
        <v>1</v>
      </c>
      <c r="AC1257" s="65">
        <f>MAX(0,tblWorkPackages[[#This Row],[Completion date serial]]-tblWorkPackages[[#This Row],[Due date serial]])</f>
        <v>1</v>
      </c>
      <c r="AD1257" s="65">
        <f>tblWorkPackages[[#This Row],[First labor date]]-tblWorkPackages[[#This Row],[Request date serial]]</f>
        <v>3</v>
      </c>
      <c r="AE1257" s="65">
        <f>tblWorkPackages[[#This Row],[Last labor date]]-tblWorkPackages[[#This Row],[First labor date]]</f>
        <v>1</v>
      </c>
      <c r="AF1257" s="65">
        <f>tblWorkPackages[[#This Row],[Completion date serial]]-tblWorkPackages[[#This Row],[Last labor date]]</f>
        <v>3</v>
      </c>
      <c r="AG1257" s="65">
        <f>tblWorkPackages[[#This Row],[Completion date serial]]-tblWorkPackages[[#This Row],[Request date serial]]</f>
        <v>7</v>
      </c>
      <c r="AH1257" s="65">
        <f>IFERROR(INDEX(tblParts[Delay days],MATCH(tblWorkPackages[[#This Row],[Work package ID]],tblParts[Work package ID],0)),0)</f>
        <v>0</v>
      </c>
      <c r="AI1257" s="51" t="str">
        <f>IFERROR(INDEX(tblDisruptions[Event type],MATCH(tblWorkPackages[[#This Row],[Work package ID]],tblDisruptions[Work package ID],0)),"None")</f>
        <v>None</v>
      </c>
      <c r="AJ1257" s="51" t="str">
        <f>TEXT(tblWorkPackages[[#This Row],[Due date serial]],"yyyy-mm")</f>
        <v>2024-09</v>
      </c>
    </row>
    <row r="1258" spans="1:36" ht="15" x14ac:dyDescent="0.25">
      <c r="A1258" s="53" t="s">
        <v>2165</v>
      </c>
      <c r="B1258" s="53" t="s">
        <v>287</v>
      </c>
      <c r="C1258" s="53" t="s">
        <v>283</v>
      </c>
      <c r="D1258" s="53" t="s">
        <v>284</v>
      </c>
      <c r="E1258" s="53" t="s">
        <v>181</v>
      </c>
      <c r="F1258" s="53" t="s">
        <v>182</v>
      </c>
      <c r="G1258" s="53" t="s">
        <v>138</v>
      </c>
      <c r="H1258" s="53">
        <v>2</v>
      </c>
      <c r="I1258" s="53" t="s">
        <v>130</v>
      </c>
      <c r="J1258" s="53">
        <v>0</v>
      </c>
      <c r="K1258" s="53">
        <v>0</v>
      </c>
      <c r="L1258" s="53">
        <v>7.3</v>
      </c>
      <c r="M1258" s="53" t="s">
        <v>911</v>
      </c>
      <c r="N1258" s="53">
        <v>7.9</v>
      </c>
      <c r="O1258" s="51" t="str">
        <f>TEXT(tblWorkPackages[[#This Row],[Request date serial]]-WEEKDAY(tblWorkPackages[[#This Row],[Request date serial]],3),"yyyy-mm-dd")</f>
        <v>2025-08-25</v>
      </c>
      <c r="P1258" s="51">
        <f>ABS(tblWorkPackages[[#This Row],[Actual labor hours]]-tblWorkPackages[[#This Row],[Estimated labor hours]])</f>
        <v>0.600000000000001</v>
      </c>
      <c r="Q1258" s="51">
        <f>IF(tblWorkPackages[[#This Row],[Actual labor hours]]&gt;tblWorkPackages[[#This Row],[Estimated labor hours]],1,0)</f>
        <v>1</v>
      </c>
      <c r="R1258" s="51">
        <f>tblWorkPackages[[#This Row],[Actual labor hours]]-tblWorkPackages[[#This Row],[Estimated labor hours]]</f>
        <v>0.600000000000001</v>
      </c>
      <c r="S1258" s="51" t="str">
        <f>IF(tblWorkPackages[[#This Row],[Request date serial]]&lt;ValidationStart,"Train 2024",IF(tblWorkPackages[[#This Row],[Request date serial]]&lt;HoldoutStart,"Validation H1","Holdout H2"))</f>
        <v>Holdout H2</v>
      </c>
      <c r="T1258" s="51">
        <f>IF(tblWorkPackages[[#This Row],[Time split]]="Train 2024","",tblWorkPackages[[#This Row],[Estimated labor hours]]+VLOOKUP(tblWorkPackages[[#This Row],[Task type]],'Forecast validation'!$A$14:$E$25,IF(tblWorkPackages[[#This Row],[Time split]]="Validation H1",4,5),FALSE()))</f>
        <v>7.89160839160839</v>
      </c>
      <c r="U1258" s="51">
        <f>IF(tblWorkPackages[[#This Row],[Calibrated forecast hours]]="","",ABS(tblWorkPackages[[#This Row],[Actual labor hours]]-tblWorkPackages[[#This Row],[Calibrated forecast hours]]))</f>
        <v>0.00839160839160869</v>
      </c>
      <c r="V1258" s="51">
        <f>IF(tblWorkPackages[[#This Row],[Time split]]="Train 2024",tblWorkPackages[[#This Row],[Estimated labor hours]],tblWorkPackages[[#This Row],[Calibrated forecast hours]])</f>
        <v>7.89160839160839</v>
      </c>
      <c r="W1258" s="64">
        <f>DATEVALUE(tblWorkPackages[[#This Row],[Request date]])</f>
        <v>45897.0</v>
      </c>
      <c r="X1258" s="64">
        <f>DATEVALUE(tblWorkPackages[[#This Row],[Due date]])</f>
        <v>45910.0</v>
      </c>
      <c r="Y1258" s="64">
        <f>DATEVALUE(tblWorkPackages[[#This Row],[Completion date]])</f>
        <v>45923.0</v>
      </c>
      <c r="Z1258" s="64">
        <f>_xlfn.MINIFS(tblLaborEntries[Work date serial],tblLaborEntries[Work package ID],tblWorkPackages[[#This Row],[Work package ID]])</f>
        <v>45922.0</v>
      </c>
      <c r="AA1258" s="64">
        <f>_xlfn.MAXIFS(tblLaborEntries[Work date serial],tblLaborEntries[Work package ID],tblWorkPackages[[#This Row],[Work package ID]])</f>
        <v>45923.0</v>
      </c>
      <c r="AB1258" s="65">
        <f>IF(tblWorkPackages[[#This Row],[Completion date serial]]&gt;tblWorkPackages[[#This Row],[Due date serial]],1,0)</f>
        <v>1</v>
      </c>
      <c r="AC1258" s="65">
        <f>MAX(0,tblWorkPackages[[#This Row],[Completion date serial]]-tblWorkPackages[[#This Row],[Due date serial]])</f>
        <v>13</v>
      </c>
      <c r="AD1258" s="65">
        <f>tblWorkPackages[[#This Row],[First labor date]]-tblWorkPackages[[#This Row],[Request date serial]]</f>
        <v>25</v>
      </c>
      <c r="AE1258" s="65">
        <f>tblWorkPackages[[#This Row],[Last labor date]]-tblWorkPackages[[#This Row],[First labor date]]</f>
        <v>1</v>
      </c>
      <c r="AF1258" s="65">
        <f>tblWorkPackages[[#This Row],[Completion date serial]]-tblWorkPackages[[#This Row],[Last labor date]]</f>
        <v>0</v>
      </c>
      <c r="AG1258" s="65">
        <f>tblWorkPackages[[#This Row],[Completion date serial]]-tblWorkPackages[[#This Row],[Request date serial]]</f>
        <v>26</v>
      </c>
      <c r="AH1258" s="65">
        <f>IFERROR(INDEX(tblParts[Delay days],MATCH(tblWorkPackages[[#This Row],[Work package ID]],tblParts[Work package ID],0)),0)</f>
        <v>0</v>
      </c>
      <c r="AI1258" s="51" t="str">
        <f>IFERROR(INDEX(tblDisruptions[Event type],MATCH(tblWorkPackages[[#This Row],[Work package ID]],tblDisruptions[Work package ID],0)),"None")</f>
        <v>None</v>
      </c>
      <c r="AJ1258" s="51" t="str">
        <f>TEXT(tblWorkPackages[[#This Row],[Due date serial]],"yyyy-mm")</f>
        <v>2025-09</v>
      </c>
    </row>
    <row r="1259" spans="1:36" ht="15" x14ac:dyDescent="0.25">
      <c r="A1259" s="53" t="s">
        <v>2166</v>
      </c>
      <c r="B1259" s="53" t="s">
        <v>157</v>
      </c>
      <c r="C1259" s="53" t="s">
        <v>687</v>
      </c>
      <c r="D1259" s="53" t="s">
        <v>1218</v>
      </c>
      <c r="E1259" s="53" t="s">
        <v>272</v>
      </c>
      <c r="F1259" s="53" t="s">
        <v>145</v>
      </c>
      <c r="G1259" s="53" t="s">
        <v>273</v>
      </c>
      <c r="H1259" s="53">
        <v>4</v>
      </c>
      <c r="I1259" s="53" t="s">
        <v>176</v>
      </c>
      <c r="J1259" s="53">
        <v>0</v>
      </c>
      <c r="K1259" s="53">
        <v>1</v>
      </c>
      <c r="L1259" s="53">
        <v>21.8</v>
      </c>
      <c r="M1259" s="53" t="s">
        <v>967</v>
      </c>
      <c r="N1259" s="53">
        <v>21.9</v>
      </c>
      <c r="O1259" s="51" t="str">
        <f>TEXT(tblWorkPackages[[#This Row],[Request date serial]]-WEEKDAY(tblWorkPackages[[#This Row],[Request date serial]],3),"yyyy-mm-dd")</f>
        <v>2025-03-31</v>
      </c>
      <c r="P1259" s="51">
        <f>ABS(tblWorkPackages[[#This Row],[Actual labor hours]]-tblWorkPackages[[#This Row],[Estimated labor hours]])</f>
        <v>0.0999999999999979</v>
      </c>
      <c r="Q1259" s="51">
        <f>IF(tblWorkPackages[[#This Row],[Actual labor hours]]&gt;tblWorkPackages[[#This Row],[Estimated labor hours]],1,0)</f>
        <v>1</v>
      </c>
      <c r="R1259" s="51">
        <f>tblWorkPackages[[#This Row],[Actual labor hours]]-tblWorkPackages[[#This Row],[Estimated labor hours]]</f>
        <v>0.0999999999999979</v>
      </c>
      <c r="S1259" s="51" t="str">
        <f>IF(tblWorkPackages[[#This Row],[Request date serial]]&lt;ValidationStart,"Train 2024",IF(tblWorkPackages[[#This Row],[Request date serial]]&lt;HoldoutStart,"Validation H1","Holdout H2"))</f>
        <v>Validation H1</v>
      </c>
      <c r="T1259" s="51">
        <f>IF(tblWorkPackages[[#This Row],[Time split]]="Train 2024","",tblWorkPackages[[#This Row],[Estimated labor hours]]+VLOOKUP(tblWorkPackages[[#This Row],[Task type]],'Forecast validation'!$A$14:$E$25,IF(tblWorkPackages[[#This Row],[Time split]]="Validation H1",4,5),FALSE()))</f>
        <v>22.8320512820513</v>
      </c>
      <c r="U1259" s="51">
        <f>IF(tblWorkPackages[[#This Row],[Calibrated forecast hours]]="","",ABS(tblWorkPackages[[#This Row],[Actual labor hours]]-tblWorkPackages[[#This Row],[Calibrated forecast hours]]))</f>
        <v>0.932051282051283</v>
      </c>
      <c r="V1259" s="51">
        <f>IF(tblWorkPackages[[#This Row],[Time split]]="Train 2024",tblWorkPackages[[#This Row],[Estimated labor hours]],tblWorkPackages[[#This Row],[Calibrated forecast hours]])</f>
        <v>22.8320512820513</v>
      </c>
      <c r="W1259" s="64">
        <f>DATEVALUE(tblWorkPackages[[#This Row],[Request date]])</f>
        <v>45753.0</v>
      </c>
      <c r="X1259" s="64">
        <f>DATEVALUE(tblWorkPackages[[#This Row],[Due date]])</f>
        <v>45759.0</v>
      </c>
      <c r="Y1259" s="64">
        <f>DATEVALUE(tblWorkPackages[[#This Row],[Completion date]])</f>
        <v>45758.0</v>
      </c>
      <c r="Z1259" s="64">
        <f>_xlfn.MINIFS(tblLaborEntries[Work date serial],tblLaborEntries[Work package ID],tblWorkPackages[[#This Row],[Work package ID]])</f>
        <v>45757.0</v>
      </c>
      <c r="AA1259" s="64">
        <f>_xlfn.MAXIFS(tblLaborEntries[Work date serial],tblLaborEntries[Work package ID],tblWorkPackages[[#This Row],[Work package ID]])</f>
        <v>45757.0</v>
      </c>
      <c r="AB1259" s="65">
        <f>IF(tblWorkPackages[[#This Row],[Completion date serial]]&gt;tblWorkPackages[[#This Row],[Due date serial]],1,0)</f>
        <v>0</v>
      </c>
      <c r="AC1259" s="65">
        <f>MAX(0,tblWorkPackages[[#This Row],[Completion date serial]]-tblWorkPackages[[#This Row],[Due date serial]])</f>
        <v>0</v>
      </c>
      <c r="AD1259" s="65">
        <f>tblWorkPackages[[#This Row],[First labor date]]-tblWorkPackages[[#This Row],[Request date serial]]</f>
        <v>4</v>
      </c>
      <c r="AE1259" s="65">
        <f>tblWorkPackages[[#This Row],[Last labor date]]-tblWorkPackages[[#This Row],[First labor date]]</f>
        <v>0</v>
      </c>
      <c r="AF1259" s="65">
        <f>tblWorkPackages[[#This Row],[Completion date serial]]-tblWorkPackages[[#This Row],[Last labor date]]</f>
        <v>1</v>
      </c>
      <c r="AG1259" s="65">
        <f>tblWorkPackages[[#This Row],[Completion date serial]]-tblWorkPackages[[#This Row],[Request date serial]]</f>
        <v>5</v>
      </c>
      <c r="AH1259" s="65">
        <f>IFERROR(INDEX(tblParts[Delay days],MATCH(tblWorkPackages[[#This Row],[Work package ID]],tblParts[Work package ID],0)),0)</f>
        <v>0</v>
      </c>
      <c r="AI1259" s="51" t="str">
        <f>IFERROR(INDEX(tblDisruptions[Event type],MATCH(tblWorkPackages[[#This Row],[Work package ID]],tblDisruptions[Work package ID],0)),"None")</f>
        <v>None</v>
      </c>
      <c r="AJ1259" s="51" t="str">
        <f>TEXT(tblWorkPackages[[#This Row],[Due date serial]],"yyyy-mm")</f>
        <v>2025-04</v>
      </c>
    </row>
    <row r="1260" spans="1:36" ht="15" x14ac:dyDescent="0.25">
      <c r="A1260" s="53" t="s">
        <v>2167</v>
      </c>
      <c r="B1260" s="53" t="s">
        <v>150</v>
      </c>
      <c r="C1260" s="53" t="s">
        <v>703</v>
      </c>
      <c r="D1260" s="53" t="s">
        <v>704</v>
      </c>
      <c r="E1260" s="53" t="s">
        <v>223</v>
      </c>
      <c r="F1260" s="53" t="s">
        <v>182</v>
      </c>
      <c r="G1260" s="53" t="s">
        <v>154</v>
      </c>
      <c r="H1260" s="53">
        <v>4</v>
      </c>
      <c r="I1260" s="53" t="s">
        <v>130</v>
      </c>
      <c r="J1260" s="53">
        <v>1</v>
      </c>
      <c r="K1260" s="53">
        <v>1</v>
      </c>
      <c r="L1260" s="53">
        <v>25.4</v>
      </c>
      <c r="M1260" s="53" t="s">
        <v>419</v>
      </c>
      <c r="N1260" s="53">
        <v>26.2</v>
      </c>
      <c r="O1260" s="51" t="str">
        <f>TEXT(tblWorkPackages[[#This Row],[Request date serial]]-WEEKDAY(tblWorkPackages[[#This Row],[Request date serial]],3),"yyyy-mm-dd")</f>
        <v>2024-06-10</v>
      </c>
      <c r="P1260" s="51">
        <f>ABS(tblWorkPackages[[#This Row],[Actual labor hours]]-tblWorkPackages[[#This Row],[Estimated labor hours]])</f>
        <v>0.800000000000001</v>
      </c>
      <c r="Q1260" s="51">
        <f>IF(tblWorkPackages[[#This Row],[Actual labor hours]]&gt;tblWorkPackages[[#This Row],[Estimated labor hours]],1,0)</f>
        <v>1</v>
      </c>
      <c r="R1260" s="51">
        <f>tblWorkPackages[[#This Row],[Actual labor hours]]-tblWorkPackages[[#This Row],[Estimated labor hours]]</f>
        <v>0.800000000000001</v>
      </c>
      <c r="S1260" s="51" t="str">
        <f>IF(tblWorkPackages[[#This Row],[Request date serial]]&lt;ValidationStart,"Train 2024",IF(tblWorkPackages[[#This Row],[Request date serial]]&lt;HoldoutStart,"Validation H1","Holdout H2"))</f>
        <v>Train 2024</v>
      </c>
      <c r="T1260" s="51" t="str">
        <f>IF(tblWorkPackages[[#This Row],[Time split]]="Train 2024","",tblWorkPackages[[#This Row],[Estimated labor hours]]+VLOOKUP(tblWorkPackages[[#This Row],[Task type]],'Forecast validation'!$A$14:$E$25,IF(tblWorkPackages[[#This Row],[Time split]]="Validation H1",4,5),FALSE()))</f>
        <v/>
      </c>
      <c r="U1260" s="51" t="str">
        <f>IF(tblWorkPackages[[#This Row],[Calibrated forecast hours]]="","",ABS(tblWorkPackages[[#This Row],[Actual labor hours]]-tblWorkPackages[[#This Row],[Calibrated forecast hours]]))</f>
        <v/>
      </c>
      <c r="V1260" s="51">
        <f>IF(tblWorkPackages[[#This Row],[Time split]]="Train 2024",tblWorkPackages[[#This Row],[Estimated labor hours]],tblWorkPackages[[#This Row],[Calibrated forecast hours]])</f>
        <v>25.4</v>
      </c>
      <c r="W1260" s="64">
        <f>DATEVALUE(tblWorkPackages[[#This Row],[Request date]])</f>
        <v>45454.0</v>
      </c>
      <c r="X1260" s="64">
        <f>DATEVALUE(tblWorkPackages[[#This Row],[Due date]])</f>
        <v>45467.0</v>
      </c>
      <c r="Y1260" s="64">
        <f>DATEVALUE(tblWorkPackages[[#This Row],[Completion date]])</f>
        <v>45457.0</v>
      </c>
      <c r="Z1260" s="64">
        <f>_xlfn.MINIFS(tblLaborEntries[Work date serial],tblLaborEntries[Work package ID],tblWorkPackages[[#This Row],[Work package ID]])</f>
        <v>45455.0</v>
      </c>
      <c r="AA1260" s="64">
        <f>_xlfn.MAXIFS(tblLaborEntries[Work date serial],tblLaborEntries[Work package ID],tblWorkPackages[[#This Row],[Work package ID]])</f>
        <v>45455.0</v>
      </c>
      <c r="AB1260" s="65">
        <f>IF(tblWorkPackages[[#This Row],[Completion date serial]]&gt;tblWorkPackages[[#This Row],[Due date serial]],1,0)</f>
        <v>0</v>
      </c>
      <c r="AC1260" s="65">
        <f>MAX(0,tblWorkPackages[[#This Row],[Completion date serial]]-tblWorkPackages[[#This Row],[Due date serial]])</f>
        <v>0</v>
      </c>
      <c r="AD1260" s="65">
        <f>tblWorkPackages[[#This Row],[First labor date]]-tblWorkPackages[[#This Row],[Request date serial]]</f>
        <v>1</v>
      </c>
      <c r="AE1260" s="65">
        <f>tblWorkPackages[[#This Row],[Last labor date]]-tblWorkPackages[[#This Row],[First labor date]]</f>
        <v>0</v>
      </c>
      <c r="AF1260" s="65">
        <f>tblWorkPackages[[#This Row],[Completion date serial]]-tblWorkPackages[[#This Row],[Last labor date]]</f>
        <v>2</v>
      </c>
      <c r="AG1260" s="65">
        <f>tblWorkPackages[[#This Row],[Completion date serial]]-tblWorkPackages[[#This Row],[Request date serial]]</f>
        <v>3</v>
      </c>
      <c r="AH1260" s="65">
        <f>IFERROR(INDEX(tblParts[Delay days],MATCH(tblWorkPackages[[#This Row],[Work package ID]],tblParts[Work package ID],0)),0)</f>
        <v>0</v>
      </c>
      <c r="AI1260" s="51" t="str">
        <f>IFERROR(INDEX(tblDisruptions[Event type],MATCH(tblWorkPackages[[#This Row],[Work package ID]],tblDisruptions[Work package ID],0)),"None")</f>
        <v>None</v>
      </c>
      <c r="AJ1260" s="51" t="str">
        <f>TEXT(tblWorkPackages[[#This Row],[Due date serial]],"yyyy-mm")</f>
        <v>2024-06</v>
      </c>
    </row>
    <row r="1261" spans="1:36" ht="15" x14ac:dyDescent="0.25">
      <c r="A1261" s="53" t="s">
        <v>2168</v>
      </c>
      <c r="B1261" s="53" t="s">
        <v>250</v>
      </c>
      <c r="C1261" s="53" t="s">
        <v>267</v>
      </c>
      <c r="D1261" s="53" t="s">
        <v>268</v>
      </c>
      <c r="E1261" s="53" t="s">
        <v>127</v>
      </c>
      <c r="F1261" s="53" t="s">
        <v>128</v>
      </c>
      <c r="G1261" s="53" t="s">
        <v>129</v>
      </c>
      <c r="H1261" s="53">
        <v>1</v>
      </c>
      <c r="I1261" s="53" t="s">
        <v>130</v>
      </c>
      <c r="J1261" s="53">
        <v>0</v>
      </c>
      <c r="K1261" s="53">
        <v>0</v>
      </c>
      <c r="L1261" s="53">
        <v>4.4000000000000004</v>
      </c>
      <c r="M1261" s="53" t="s">
        <v>513</v>
      </c>
      <c r="N1261" s="53">
        <v>3.8</v>
      </c>
      <c r="O1261" s="51" t="str">
        <f>TEXT(tblWorkPackages[[#This Row],[Request date serial]]-WEEKDAY(tblWorkPackages[[#This Row],[Request date serial]],3),"yyyy-mm-dd")</f>
        <v>2024-12-02</v>
      </c>
      <c r="P1261" s="51">
        <f>ABS(tblWorkPackages[[#This Row],[Actual labor hours]]-tblWorkPackages[[#This Row],[Estimated labor hours]])</f>
        <v>0.600000000000001</v>
      </c>
      <c r="Q1261" s="51">
        <f>IF(tblWorkPackages[[#This Row],[Actual labor hours]]&gt;tblWorkPackages[[#This Row],[Estimated labor hours]],1,0)</f>
        <v>0</v>
      </c>
      <c r="R1261" s="51">
        <f>tblWorkPackages[[#This Row],[Actual labor hours]]-tblWorkPackages[[#This Row],[Estimated labor hours]]</f>
        <v>-0.600000000000001</v>
      </c>
      <c r="S1261" s="51" t="str">
        <f>IF(tblWorkPackages[[#This Row],[Request date serial]]&lt;ValidationStart,"Train 2024",IF(tblWorkPackages[[#This Row],[Request date serial]]&lt;HoldoutStart,"Validation H1","Holdout H2"))</f>
        <v>Train 2024</v>
      </c>
      <c r="T1261" s="51" t="str">
        <f>IF(tblWorkPackages[[#This Row],[Time split]]="Train 2024","",tblWorkPackages[[#This Row],[Estimated labor hours]]+VLOOKUP(tblWorkPackages[[#This Row],[Task type]],'Forecast validation'!$A$14:$E$25,IF(tblWorkPackages[[#This Row],[Time split]]="Validation H1",4,5),FALSE()))</f>
        <v/>
      </c>
      <c r="U1261" s="51" t="str">
        <f>IF(tblWorkPackages[[#This Row],[Calibrated forecast hours]]="","",ABS(tblWorkPackages[[#This Row],[Actual labor hours]]-tblWorkPackages[[#This Row],[Calibrated forecast hours]]))</f>
        <v/>
      </c>
      <c r="V1261" s="51">
        <f>IF(tblWorkPackages[[#This Row],[Time split]]="Train 2024",tblWorkPackages[[#This Row],[Estimated labor hours]],tblWorkPackages[[#This Row],[Calibrated forecast hours]])</f>
        <v>4.4</v>
      </c>
      <c r="W1261" s="64">
        <f>DATEVALUE(tblWorkPackages[[#This Row],[Request date]])</f>
        <v>45631.0</v>
      </c>
      <c r="X1261" s="64">
        <f>DATEVALUE(tblWorkPackages[[#This Row],[Due date]])</f>
        <v>45644.0</v>
      </c>
      <c r="Y1261" s="64">
        <f>DATEVALUE(tblWorkPackages[[#This Row],[Completion date]])</f>
        <v>45649.0</v>
      </c>
      <c r="Z1261" s="64">
        <f>_xlfn.MINIFS(tblLaborEntries[Work date serial],tblLaborEntries[Work package ID],tblWorkPackages[[#This Row],[Work package ID]])</f>
        <v>45644.0</v>
      </c>
      <c r="AA1261" s="64">
        <f>_xlfn.MAXIFS(tblLaborEntries[Work date serial],tblLaborEntries[Work package ID],tblWorkPackages[[#This Row],[Work package ID]])</f>
        <v>45646.0</v>
      </c>
      <c r="AB1261" s="65">
        <f>IF(tblWorkPackages[[#This Row],[Completion date serial]]&gt;tblWorkPackages[[#This Row],[Due date serial]],1,0)</f>
        <v>1</v>
      </c>
      <c r="AC1261" s="65">
        <f>MAX(0,tblWorkPackages[[#This Row],[Completion date serial]]-tblWorkPackages[[#This Row],[Due date serial]])</f>
        <v>5</v>
      </c>
      <c r="AD1261" s="65">
        <f>tblWorkPackages[[#This Row],[First labor date]]-tblWorkPackages[[#This Row],[Request date serial]]</f>
        <v>13</v>
      </c>
      <c r="AE1261" s="65">
        <f>tblWorkPackages[[#This Row],[Last labor date]]-tblWorkPackages[[#This Row],[First labor date]]</f>
        <v>2</v>
      </c>
      <c r="AF1261" s="65">
        <f>tblWorkPackages[[#This Row],[Completion date serial]]-tblWorkPackages[[#This Row],[Last labor date]]</f>
        <v>3</v>
      </c>
      <c r="AG1261" s="65">
        <f>tblWorkPackages[[#This Row],[Completion date serial]]-tblWorkPackages[[#This Row],[Request date serial]]</f>
        <v>18</v>
      </c>
      <c r="AH1261" s="65">
        <f>IFERROR(INDEX(tblParts[Delay days],MATCH(tblWorkPackages[[#This Row],[Work package ID]],tblParts[Work package ID],0)),0)</f>
        <v>0</v>
      </c>
      <c r="AI1261" s="51" t="str">
        <f>IFERROR(INDEX(tblDisruptions[Event type],MATCH(tblWorkPackages[[#This Row],[Work package ID]],tblDisruptions[Work package ID],0)),"None")</f>
        <v>None</v>
      </c>
      <c r="AJ1261" s="51" t="str">
        <f>TEXT(tblWorkPackages[[#This Row],[Due date serial]],"yyyy-mm")</f>
        <v>2024-12</v>
      </c>
    </row>
    <row r="1262" spans="1:36" ht="15" x14ac:dyDescent="0.25">
      <c r="A1262" s="53" t="s">
        <v>2169</v>
      </c>
      <c r="B1262" s="53" t="s">
        <v>163</v>
      </c>
      <c r="C1262" s="53" t="s">
        <v>345</v>
      </c>
      <c r="D1262" s="53" t="s">
        <v>1223</v>
      </c>
      <c r="E1262" s="53" t="s">
        <v>144</v>
      </c>
      <c r="F1262" s="53" t="s">
        <v>145</v>
      </c>
      <c r="G1262" s="53" t="s">
        <v>146</v>
      </c>
      <c r="H1262" s="53">
        <v>2</v>
      </c>
      <c r="I1262" s="53" t="s">
        <v>176</v>
      </c>
      <c r="J1262" s="53">
        <v>0</v>
      </c>
      <c r="K1262" s="53">
        <v>1</v>
      </c>
      <c r="L1262" s="53">
        <v>10.6</v>
      </c>
      <c r="M1262" s="53" t="s">
        <v>442</v>
      </c>
      <c r="N1262" s="53">
        <v>12.7</v>
      </c>
      <c r="O1262" s="51" t="str">
        <f>TEXT(tblWorkPackages[[#This Row],[Request date serial]]-WEEKDAY(tblWorkPackages[[#This Row],[Request date serial]],3),"yyyy-mm-dd")</f>
        <v>2024-01-29</v>
      </c>
      <c r="P1262" s="51">
        <f>ABS(tblWorkPackages[[#This Row],[Actual labor hours]]-tblWorkPackages[[#This Row],[Estimated labor hours]])</f>
        <v>2.1</v>
      </c>
      <c r="Q1262" s="51">
        <f>IF(tblWorkPackages[[#This Row],[Actual labor hours]]&gt;tblWorkPackages[[#This Row],[Estimated labor hours]],1,0)</f>
        <v>1</v>
      </c>
      <c r="R1262" s="51">
        <f>tblWorkPackages[[#This Row],[Actual labor hours]]-tblWorkPackages[[#This Row],[Estimated labor hours]]</f>
        <v>2.1</v>
      </c>
      <c r="S1262" s="51" t="str">
        <f>IF(tblWorkPackages[[#This Row],[Request date serial]]&lt;ValidationStart,"Train 2024",IF(tblWorkPackages[[#This Row],[Request date serial]]&lt;HoldoutStart,"Validation H1","Holdout H2"))</f>
        <v>Train 2024</v>
      </c>
      <c r="T1262" s="51" t="str">
        <f>IF(tblWorkPackages[[#This Row],[Time split]]="Train 2024","",tblWorkPackages[[#This Row],[Estimated labor hours]]+VLOOKUP(tblWorkPackages[[#This Row],[Task type]],'Forecast validation'!$A$14:$E$25,IF(tblWorkPackages[[#This Row],[Time split]]="Validation H1",4,5),FALSE()))</f>
        <v/>
      </c>
      <c r="U1262" s="51" t="str">
        <f>IF(tblWorkPackages[[#This Row],[Calibrated forecast hours]]="","",ABS(tblWorkPackages[[#This Row],[Actual labor hours]]-tblWorkPackages[[#This Row],[Calibrated forecast hours]]))</f>
        <v/>
      </c>
      <c r="V1262" s="51">
        <f>IF(tblWorkPackages[[#This Row],[Time split]]="Train 2024",tblWorkPackages[[#This Row],[Estimated labor hours]],tblWorkPackages[[#This Row],[Calibrated forecast hours]])</f>
        <v>10.6</v>
      </c>
      <c r="W1262" s="64">
        <f>DATEVALUE(tblWorkPackages[[#This Row],[Request date]])</f>
        <v>45325.0</v>
      </c>
      <c r="X1262" s="64">
        <f>DATEVALUE(tblWorkPackages[[#This Row],[Due date]])</f>
        <v>45331.0</v>
      </c>
      <c r="Y1262" s="64">
        <f>DATEVALUE(tblWorkPackages[[#This Row],[Completion date]])</f>
        <v>45330.0</v>
      </c>
      <c r="Z1262" s="64">
        <f>_xlfn.MINIFS(tblLaborEntries[Work date serial],tblLaborEntries[Work package ID],tblWorkPackages[[#This Row],[Work package ID]])</f>
        <v>45328.0</v>
      </c>
      <c r="AA1262" s="64">
        <f>_xlfn.MAXIFS(tblLaborEntries[Work date serial],tblLaborEntries[Work package ID],tblWorkPackages[[#This Row],[Work package ID]])</f>
        <v>45330.0</v>
      </c>
      <c r="AB1262" s="65">
        <f>IF(tblWorkPackages[[#This Row],[Completion date serial]]&gt;tblWorkPackages[[#This Row],[Due date serial]],1,0)</f>
        <v>0</v>
      </c>
      <c r="AC1262" s="65">
        <f>MAX(0,tblWorkPackages[[#This Row],[Completion date serial]]-tblWorkPackages[[#This Row],[Due date serial]])</f>
        <v>0</v>
      </c>
      <c r="AD1262" s="65">
        <f>tblWorkPackages[[#This Row],[First labor date]]-tblWorkPackages[[#This Row],[Request date serial]]</f>
        <v>3</v>
      </c>
      <c r="AE1262" s="65">
        <f>tblWorkPackages[[#This Row],[Last labor date]]-tblWorkPackages[[#This Row],[First labor date]]</f>
        <v>2</v>
      </c>
      <c r="AF1262" s="65">
        <f>tblWorkPackages[[#This Row],[Completion date serial]]-tblWorkPackages[[#This Row],[Last labor date]]</f>
        <v>0</v>
      </c>
      <c r="AG1262" s="65">
        <f>tblWorkPackages[[#This Row],[Completion date serial]]-tblWorkPackages[[#This Row],[Request date serial]]</f>
        <v>5</v>
      </c>
      <c r="AH1262" s="65">
        <f>IFERROR(INDEX(tblParts[Delay days],MATCH(tblWorkPackages[[#This Row],[Work package ID]],tblParts[Work package ID],0)),0)</f>
        <v>0</v>
      </c>
      <c r="AI1262" s="51" t="str">
        <f>IFERROR(INDEX(tblDisruptions[Event type],MATCH(tblWorkPackages[[#This Row],[Work package ID]],tblDisruptions[Work package ID],0)),"None")</f>
        <v>None</v>
      </c>
      <c r="AJ1262" s="51" t="str">
        <f>TEXT(tblWorkPackages[[#This Row],[Due date serial]],"yyyy-mm")</f>
        <v>2024-02</v>
      </c>
    </row>
    <row r="1263" spans="1:36" ht="15" x14ac:dyDescent="0.25">
      <c r="A1263" s="53" t="s">
        <v>2170</v>
      </c>
      <c r="B1263" s="53" t="s">
        <v>203</v>
      </c>
      <c r="C1263" s="53" t="s">
        <v>973</v>
      </c>
      <c r="D1263" s="53" t="s">
        <v>1398</v>
      </c>
      <c r="E1263" s="53" t="s">
        <v>272</v>
      </c>
      <c r="F1263" s="53" t="s">
        <v>145</v>
      </c>
      <c r="G1263" s="53" t="s">
        <v>273</v>
      </c>
      <c r="H1263" s="53">
        <v>2</v>
      </c>
      <c r="I1263" s="53" t="s">
        <v>130</v>
      </c>
      <c r="J1263" s="53">
        <v>0</v>
      </c>
      <c r="K1263" s="53">
        <v>1</v>
      </c>
      <c r="L1263" s="53">
        <v>9.5</v>
      </c>
      <c r="M1263" s="53" t="s">
        <v>1014</v>
      </c>
      <c r="N1263" s="53">
        <v>9.6</v>
      </c>
      <c r="O1263" s="51" t="str">
        <f>TEXT(tblWorkPackages[[#This Row],[Request date serial]]-WEEKDAY(tblWorkPackages[[#This Row],[Request date serial]],3),"yyyy-mm-dd")</f>
        <v>2025-11-24</v>
      </c>
      <c r="P1263" s="51">
        <f>ABS(tblWorkPackages[[#This Row],[Actual labor hours]]-tblWorkPackages[[#This Row],[Estimated labor hours]])</f>
        <v>0.0999999999999996</v>
      </c>
      <c r="Q1263" s="51">
        <f>IF(tblWorkPackages[[#This Row],[Actual labor hours]]&gt;tblWorkPackages[[#This Row],[Estimated labor hours]],1,0)</f>
        <v>1</v>
      </c>
      <c r="R1263" s="51">
        <f>tblWorkPackages[[#This Row],[Actual labor hours]]-tblWorkPackages[[#This Row],[Estimated labor hours]]</f>
        <v>0.0999999999999996</v>
      </c>
      <c r="S1263" s="51" t="str">
        <f>IF(tblWorkPackages[[#This Row],[Request date serial]]&lt;ValidationStart,"Train 2024",IF(tblWorkPackages[[#This Row],[Request date serial]]&lt;HoldoutStart,"Validation H1","Holdout H2"))</f>
        <v>Holdout H2</v>
      </c>
      <c r="T1263" s="51">
        <f>IF(tblWorkPackages[[#This Row],[Time split]]="Train 2024","",tblWorkPackages[[#This Row],[Estimated labor hours]]+VLOOKUP(tblWorkPackages[[#This Row],[Task type]],'Forecast validation'!$A$14:$E$25,IF(tblWorkPackages[[#This Row],[Time split]]="Validation H1",4,5),FALSE()))</f>
        <v>10.48515625</v>
      </c>
      <c r="U1263" s="51">
        <f>IF(tblWorkPackages[[#This Row],[Calibrated forecast hours]]="","",ABS(tblWorkPackages[[#This Row],[Actual labor hours]]-tblWorkPackages[[#This Row],[Calibrated forecast hours]]))</f>
        <v>0.88515625</v>
      </c>
      <c r="V1263" s="51">
        <f>IF(tblWorkPackages[[#This Row],[Time split]]="Train 2024",tblWorkPackages[[#This Row],[Estimated labor hours]],tblWorkPackages[[#This Row],[Calibrated forecast hours]])</f>
        <v>10.48515625</v>
      </c>
      <c r="W1263" s="64">
        <f>DATEVALUE(tblWorkPackages[[#This Row],[Request date]])</f>
        <v>45985.0</v>
      </c>
      <c r="X1263" s="64">
        <f>DATEVALUE(tblWorkPackages[[#This Row],[Due date]])</f>
        <v>45998.0</v>
      </c>
      <c r="Y1263" s="64">
        <f>DATEVALUE(tblWorkPackages[[#This Row],[Completion date]])</f>
        <v>46027.0</v>
      </c>
      <c r="Z1263" s="64">
        <f>_xlfn.MINIFS(tblLaborEntries[Work date serial],tblLaborEntries[Work package ID],tblWorkPackages[[#This Row],[Work package ID]])</f>
        <v>46026.0</v>
      </c>
      <c r="AA1263" s="64">
        <f>_xlfn.MAXIFS(tblLaborEntries[Work date serial],tblLaborEntries[Work package ID],tblWorkPackages[[#This Row],[Work package ID]])</f>
        <v>46026.0</v>
      </c>
      <c r="AB1263" s="65">
        <f>IF(tblWorkPackages[[#This Row],[Completion date serial]]&gt;tblWorkPackages[[#This Row],[Due date serial]],1,0)</f>
        <v>1</v>
      </c>
      <c r="AC1263" s="65">
        <f>MAX(0,tblWorkPackages[[#This Row],[Completion date serial]]-tblWorkPackages[[#This Row],[Due date serial]])</f>
        <v>29</v>
      </c>
      <c r="AD1263" s="65">
        <f>tblWorkPackages[[#This Row],[First labor date]]-tblWorkPackages[[#This Row],[Request date serial]]</f>
        <v>41</v>
      </c>
      <c r="AE1263" s="65">
        <f>tblWorkPackages[[#This Row],[Last labor date]]-tblWorkPackages[[#This Row],[First labor date]]</f>
        <v>0</v>
      </c>
      <c r="AF1263" s="65">
        <f>tblWorkPackages[[#This Row],[Completion date serial]]-tblWorkPackages[[#This Row],[Last labor date]]</f>
        <v>1</v>
      </c>
      <c r="AG1263" s="65">
        <f>tblWorkPackages[[#This Row],[Completion date serial]]-tblWorkPackages[[#This Row],[Request date serial]]</f>
        <v>42</v>
      </c>
      <c r="AH1263" s="65">
        <f>IFERROR(INDEX(tblParts[Delay days],MATCH(tblWorkPackages[[#This Row],[Work package ID]],tblParts[Work package ID],0)),0)</f>
        <v>0</v>
      </c>
      <c r="AI1263" s="51" t="str">
        <f>IFERROR(INDEX(tblDisruptions[Event type],MATCH(tblWorkPackages[[#This Row],[Work package ID]],tblDisruptions[Work package ID],0)),"None")</f>
        <v>None</v>
      </c>
      <c r="AJ1263" s="51" t="str">
        <f>TEXT(tblWorkPackages[[#This Row],[Due date serial]],"yyyy-mm")</f>
        <v>2025-12</v>
      </c>
    </row>
    <row r="1264" spans="1:36" ht="15" x14ac:dyDescent="0.25">
      <c r="A1264" s="53" t="s">
        <v>2171</v>
      </c>
      <c r="B1264" s="53" t="s">
        <v>124</v>
      </c>
      <c r="C1264" s="53" t="s">
        <v>475</v>
      </c>
      <c r="D1264" s="53" t="s">
        <v>720</v>
      </c>
      <c r="E1264" s="53" t="s">
        <v>160</v>
      </c>
      <c r="F1264" s="53" t="s">
        <v>128</v>
      </c>
      <c r="G1264" s="53" t="s">
        <v>138</v>
      </c>
      <c r="H1264" s="53">
        <v>2</v>
      </c>
      <c r="I1264" s="53" t="s">
        <v>176</v>
      </c>
      <c r="J1264" s="53">
        <v>0</v>
      </c>
      <c r="K1264" s="53">
        <v>0</v>
      </c>
      <c r="L1264" s="53">
        <v>5.2</v>
      </c>
      <c r="M1264" s="53" t="s">
        <v>246</v>
      </c>
      <c r="N1264" s="53">
        <v>4.7</v>
      </c>
      <c r="O1264" s="51" t="str">
        <f>TEXT(tblWorkPackages[[#This Row],[Request date serial]]-WEEKDAY(tblWorkPackages[[#This Row],[Request date serial]],3),"yyyy-mm-dd")</f>
        <v>2024-02-26</v>
      </c>
      <c r="P1264" s="51">
        <f>ABS(tblWorkPackages[[#This Row],[Actual labor hours]]-tblWorkPackages[[#This Row],[Estimated labor hours]])</f>
        <v>0.5</v>
      </c>
      <c r="Q1264" s="51">
        <f>IF(tblWorkPackages[[#This Row],[Actual labor hours]]&gt;tblWorkPackages[[#This Row],[Estimated labor hours]],1,0)</f>
        <v>0</v>
      </c>
      <c r="R1264" s="51">
        <f>tblWorkPackages[[#This Row],[Actual labor hours]]-tblWorkPackages[[#This Row],[Estimated labor hours]]</f>
        <v>-0.5</v>
      </c>
      <c r="S1264" s="51" t="str">
        <f>IF(tblWorkPackages[[#This Row],[Request date serial]]&lt;ValidationStart,"Train 2024",IF(tblWorkPackages[[#This Row],[Request date serial]]&lt;HoldoutStart,"Validation H1","Holdout H2"))</f>
        <v>Train 2024</v>
      </c>
      <c r="T1264" s="51" t="str">
        <f>IF(tblWorkPackages[[#This Row],[Time split]]="Train 2024","",tblWorkPackages[[#This Row],[Estimated labor hours]]+VLOOKUP(tblWorkPackages[[#This Row],[Task type]],'Forecast validation'!$A$14:$E$25,IF(tblWorkPackages[[#This Row],[Time split]]="Validation H1",4,5),FALSE()))</f>
        <v/>
      </c>
      <c r="U1264" s="51" t="str">
        <f>IF(tblWorkPackages[[#This Row],[Calibrated forecast hours]]="","",ABS(tblWorkPackages[[#This Row],[Actual labor hours]]-tblWorkPackages[[#This Row],[Calibrated forecast hours]]))</f>
        <v/>
      </c>
      <c r="V1264" s="51">
        <f>IF(tblWorkPackages[[#This Row],[Time split]]="Train 2024",tblWorkPackages[[#This Row],[Estimated labor hours]],tblWorkPackages[[#This Row],[Calibrated forecast hours]])</f>
        <v>5.2</v>
      </c>
      <c r="W1264" s="64">
        <f>DATEVALUE(tblWorkPackages[[#This Row],[Request date]])</f>
        <v>45353.0</v>
      </c>
      <c r="X1264" s="64">
        <f>DATEVALUE(tblWorkPackages[[#This Row],[Due date]])</f>
        <v>45359.0</v>
      </c>
      <c r="Y1264" s="64">
        <f>DATEVALUE(tblWorkPackages[[#This Row],[Completion date]])</f>
        <v>45364.0</v>
      </c>
      <c r="Z1264" s="64">
        <f>_xlfn.MINIFS(tblLaborEntries[Work date serial],tblLaborEntries[Work package ID],tblWorkPackages[[#This Row],[Work package ID]])</f>
        <v>45360.0</v>
      </c>
      <c r="AA1264" s="64">
        <f>_xlfn.MAXIFS(tblLaborEntries[Work date serial],tblLaborEntries[Work package ID],tblWorkPackages[[#This Row],[Work package ID]])</f>
        <v>45362.0</v>
      </c>
      <c r="AB1264" s="65">
        <f>IF(tblWorkPackages[[#This Row],[Completion date serial]]&gt;tblWorkPackages[[#This Row],[Due date serial]],1,0)</f>
        <v>1</v>
      </c>
      <c r="AC1264" s="65">
        <f>MAX(0,tblWorkPackages[[#This Row],[Completion date serial]]-tblWorkPackages[[#This Row],[Due date serial]])</f>
        <v>5</v>
      </c>
      <c r="AD1264" s="65">
        <f>tblWorkPackages[[#This Row],[First labor date]]-tblWorkPackages[[#This Row],[Request date serial]]</f>
        <v>7</v>
      </c>
      <c r="AE1264" s="65">
        <f>tblWorkPackages[[#This Row],[Last labor date]]-tblWorkPackages[[#This Row],[First labor date]]</f>
        <v>2</v>
      </c>
      <c r="AF1264" s="65">
        <f>tblWorkPackages[[#This Row],[Completion date serial]]-tblWorkPackages[[#This Row],[Last labor date]]</f>
        <v>2</v>
      </c>
      <c r="AG1264" s="65">
        <f>tblWorkPackages[[#This Row],[Completion date serial]]-tblWorkPackages[[#This Row],[Request date serial]]</f>
        <v>11</v>
      </c>
      <c r="AH1264" s="65">
        <f>IFERROR(INDEX(tblParts[Delay days],MATCH(tblWorkPackages[[#This Row],[Work package ID]],tblParts[Work package ID],0)),0)</f>
        <v>0</v>
      </c>
      <c r="AI1264" s="51" t="str">
        <f>IFERROR(INDEX(tblDisruptions[Event type],MATCH(tblWorkPackages[[#This Row],[Work package ID]],tblDisruptions[Work package ID],0)),"None")</f>
        <v>None</v>
      </c>
      <c r="AJ1264" s="51" t="str">
        <f>TEXT(tblWorkPackages[[#This Row],[Due date serial]],"yyyy-mm")</f>
        <v>2024-03</v>
      </c>
    </row>
    <row r="1265" spans="1:36" ht="15" x14ac:dyDescent="0.25">
      <c r="A1265" s="53" t="s">
        <v>2172</v>
      </c>
      <c r="B1265" s="53" t="s">
        <v>185</v>
      </c>
      <c r="C1265" s="53" t="s">
        <v>190</v>
      </c>
      <c r="D1265" s="53" t="s">
        <v>191</v>
      </c>
      <c r="E1265" s="53" t="s">
        <v>160</v>
      </c>
      <c r="F1265" s="53" t="s">
        <v>128</v>
      </c>
      <c r="G1265" s="53" t="s">
        <v>138</v>
      </c>
      <c r="H1265" s="53">
        <v>2</v>
      </c>
      <c r="I1265" s="53" t="s">
        <v>130</v>
      </c>
      <c r="J1265" s="53">
        <v>0</v>
      </c>
      <c r="K1265" s="53">
        <v>1</v>
      </c>
      <c r="L1265" s="53">
        <v>4.5</v>
      </c>
      <c r="M1265" s="53" t="s">
        <v>1361</v>
      </c>
      <c r="N1265" s="53">
        <v>4.9000000000000004</v>
      </c>
      <c r="O1265" s="51" t="str">
        <f>TEXT(tblWorkPackages[[#This Row],[Request date serial]]-WEEKDAY(tblWorkPackages[[#This Row],[Request date serial]],3),"yyyy-mm-dd")</f>
        <v>2025-08-11</v>
      </c>
      <c r="P1265" s="51">
        <f>ABS(tblWorkPackages[[#This Row],[Actual labor hours]]-tblWorkPackages[[#This Row],[Estimated labor hours]])</f>
        <v>0.4</v>
      </c>
      <c r="Q1265" s="51">
        <f>IF(tblWorkPackages[[#This Row],[Actual labor hours]]&gt;tblWorkPackages[[#This Row],[Estimated labor hours]],1,0)</f>
        <v>1</v>
      </c>
      <c r="R1265" s="51">
        <f>tblWorkPackages[[#This Row],[Actual labor hours]]-tblWorkPackages[[#This Row],[Estimated labor hours]]</f>
        <v>0.4</v>
      </c>
      <c r="S1265" s="51" t="str">
        <f>IF(tblWorkPackages[[#This Row],[Request date serial]]&lt;ValidationStart,"Train 2024",IF(tblWorkPackages[[#This Row],[Request date serial]]&lt;HoldoutStart,"Validation H1","Holdout H2"))</f>
        <v>Holdout H2</v>
      </c>
      <c r="T1265" s="51">
        <f>IF(tblWorkPackages[[#This Row],[Time split]]="Train 2024","",tblWorkPackages[[#This Row],[Estimated labor hours]]+VLOOKUP(tblWorkPackages[[#This Row],[Task type]],'Forecast validation'!$A$14:$E$25,IF(tblWorkPackages[[#This Row],[Time split]]="Validation H1",4,5),FALSE()))</f>
        <v>4.93739837398374</v>
      </c>
      <c r="U1265" s="51">
        <f>IF(tblWorkPackages[[#This Row],[Calibrated forecast hours]]="","",ABS(tblWorkPackages[[#This Row],[Actual labor hours]]-tblWorkPackages[[#This Row],[Calibrated forecast hours]]))</f>
        <v>0.0373983739837396</v>
      </c>
      <c r="V1265" s="51">
        <f>IF(tblWorkPackages[[#This Row],[Time split]]="Train 2024",tblWorkPackages[[#This Row],[Estimated labor hours]],tblWorkPackages[[#This Row],[Calibrated forecast hours]])</f>
        <v>4.93739837398374</v>
      </c>
      <c r="W1265" s="64">
        <f>DATEVALUE(tblWorkPackages[[#This Row],[Request date]])</f>
        <v>45883.0</v>
      </c>
      <c r="X1265" s="64">
        <f>DATEVALUE(tblWorkPackages[[#This Row],[Due date]])</f>
        <v>45896.0</v>
      </c>
      <c r="Y1265" s="64">
        <f>DATEVALUE(tblWorkPackages[[#This Row],[Completion date]])</f>
        <v>45889.0</v>
      </c>
      <c r="Z1265" s="64">
        <f>_xlfn.MINIFS(tblLaborEntries[Work date serial],tblLaborEntries[Work package ID],tblWorkPackages[[#This Row],[Work package ID]])</f>
        <v>45885.0</v>
      </c>
      <c r="AA1265" s="64">
        <f>_xlfn.MAXIFS(tblLaborEntries[Work date serial],tblLaborEntries[Work package ID],tblWorkPackages[[#This Row],[Work package ID]])</f>
        <v>45886.0</v>
      </c>
      <c r="AB1265" s="65">
        <f>IF(tblWorkPackages[[#This Row],[Completion date serial]]&gt;tblWorkPackages[[#This Row],[Due date serial]],1,0)</f>
        <v>0</v>
      </c>
      <c r="AC1265" s="65">
        <f>MAX(0,tblWorkPackages[[#This Row],[Completion date serial]]-tblWorkPackages[[#This Row],[Due date serial]])</f>
        <v>0</v>
      </c>
      <c r="AD1265" s="65">
        <f>tblWorkPackages[[#This Row],[First labor date]]-tblWorkPackages[[#This Row],[Request date serial]]</f>
        <v>2</v>
      </c>
      <c r="AE1265" s="65">
        <f>tblWorkPackages[[#This Row],[Last labor date]]-tblWorkPackages[[#This Row],[First labor date]]</f>
        <v>1</v>
      </c>
      <c r="AF1265" s="65">
        <f>tblWorkPackages[[#This Row],[Completion date serial]]-tblWorkPackages[[#This Row],[Last labor date]]</f>
        <v>3</v>
      </c>
      <c r="AG1265" s="65">
        <f>tblWorkPackages[[#This Row],[Completion date serial]]-tblWorkPackages[[#This Row],[Request date serial]]</f>
        <v>6</v>
      </c>
      <c r="AH1265" s="65">
        <f>IFERROR(INDEX(tblParts[Delay days],MATCH(tblWorkPackages[[#This Row],[Work package ID]],tblParts[Work package ID],0)),0)</f>
        <v>0</v>
      </c>
      <c r="AI1265" s="51" t="str">
        <f>IFERROR(INDEX(tblDisruptions[Event type],MATCH(tblWorkPackages[[#This Row],[Work package ID]],tblDisruptions[Work package ID],0)),"None")</f>
        <v>None</v>
      </c>
      <c r="AJ1265" s="51" t="str">
        <f>TEXT(tblWorkPackages[[#This Row],[Due date serial]],"yyyy-mm")</f>
        <v>2025-08</v>
      </c>
    </row>
    <row r="1266" spans="1:36" ht="15" x14ac:dyDescent="0.25">
      <c r="A1266" s="53" t="s">
        <v>2173</v>
      </c>
      <c r="B1266" s="53" t="s">
        <v>235</v>
      </c>
      <c r="C1266" s="53" t="s">
        <v>238</v>
      </c>
      <c r="D1266" s="53" t="s">
        <v>430</v>
      </c>
      <c r="E1266" s="53" t="s">
        <v>136</v>
      </c>
      <c r="F1266" s="53" t="s">
        <v>137</v>
      </c>
      <c r="G1266" s="53" t="s">
        <v>138</v>
      </c>
      <c r="H1266" s="53">
        <v>4</v>
      </c>
      <c r="I1266" s="53" t="s">
        <v>130</v>
      </c>
      <c r="J1266" s="53">
        <v>0</v>
      </c>
      <c r="K1266" s="53">
        <v>1</v>
      </c>
      <c r="L1266" s="53">
        <v>27.6</v>
      </c>
      <c r="M1266" s="53" t="s">
        <v>796</v>
      </c>
      <c r="N1266" s="53">
        <v>32.5</v>
      </c>
      <c r="O1266" s="51" t="str">
        <f>TEXT(tblWorkPackages[[#This Row],[Request date serial]]-WEEKDAY(tblWorkPackages[[#This Row],[Request date serial]],3),"yyyy-mm-dd")</f>
        <v>2025-06-23</v>
      </c>
      <c r="P1266" s="51">
        <f>ABS(tblWorkPackages[[#This Row],[Actual labor hours]]-tblWorkPackages[[#This Row],[Estimated labor hours]])</f>
        <v>4.9</v>
      </c>
      <c r="Q1266" s="51">
        <f>IF(tblWorkPackages[[#This Row],[Actual labor hours]]&gt;tblWorkPackages[[#This Row],[Estimated labor hours]],1,0)</f>
        <v>1</v>
      </c>
      <c r="R1266" s="51">
        <f>tblWorkPackages[[#This Row],[Actual labor hours]]-tblWorkPackages[[#This Row],[Estimated labor hours]]</f>
        <v>4.9</v>
      </c>
      <c r="S1266" s="51" t="str">
        <f>IF(tblWorkPackages[[#This Row],[Request date serial]]&lt;ValidationStart,"Train 2024",IF(tblWorkPackages[[#This Row],[Request date serial]]&lt;HoldoutStart,"Validation H1","Holdout H2"))</f>
        <v>Validation H1</v>
      </c>
      <c r="T1266" s="51">
        <f>IF(tblWorkPackages[[#This Row],[Time split]]="Train 2024","",tblWorkPackages[[#This Row],[Estimated labor hours]]+VLOOKUP(tblWorkPackages[[#This Row],[Task type]],'Forecast validation'!$A$14:$E$25,IF(tblWorkPackages[[#This Row],[Time split]]="Validation H1",4,5),FALSE()))</f>
        <v>28.4765306122449</v>
      </c>
      <c r="U1266" s="51">
        <f>IF(tblWorkPackages[[#This Row],[Calibrated forecast hours]]="","",ABS(tblWorkPackages[[#This Row],[Actual labor hours]]-tblWorkPackages[[#This Row],[Calibrated forecast hours]]))</f>
        <v>4.0234693877551</v>
      </c>
      <c r="V1266" s="51">
        <f>IF(tblWorkPackages[[#This Row],[Time split]]="Train 2024",tblWorkPackages[[#This Row],[Estimated labor hours]],tblWorkPackages[[#This Row],[Calibrated forecast hours]])</f>
        <v>28.4765306122449</v>
      </c>
      <c r="W1266" s="64">
        <f>DATEVALUE(tblWorkPackages[[#This Row],[Request date]])</f>
        <v>45833.0</v>
      </c>
      <c r="X1266" s="64">
        <f>DATEVALUE(tblWorkPackages[[#This Row],[Due date]])</f>
        <v>45846.0</v>
      </c>
      <c r="Y1266" s="64">
        <f>DATEVALUE(tblWorkPackages[[#This Row],[Completion date]])</f>
        <v>45850.0</v>
      </c>
      <c r="Z1266" s="64">
        <f>_xlfn.MINIFS(tblLaborEntries[Work date serial],tblLaborEntries[Work package ID],tblWorkPackages[[#This Row],[Work package ID]])</f>
        <v>45850.0</v>
      </c>
      <c r="AA1266" s="64">
        <f>_xlfn.MAXIFS(tblLaborEntries[Work date serial],tblLaborEntries[Work package ID],tblWorkPackages[[#This Row],[Work package ID]])</f>
        <v>45850.0</v>
      </c>
      <c r="AB1266" s="65">
        <f>IF(tblWorkPackages[[#This Row],[Completion date serial]]&gt;tblWorkPackages[[#This Row],[Due date serial]],1,0)</f>
        <v>1</v>
      </c>
      <c r="AC1266" s="65">
        <f>MAX(0,tblWorkPackages[[#This Row],[Completion date serial]]-tblWorkPackages[[#This Row],[Due date serial]])</f>
        <v>4</v>
      </c>
      <c r="AD1266" s="65">
        <f>tblWorkPackages[[#This Row],[First labor date]]-tblWorkPackages[[#This Row],[Request date serial]]</f>
        <v>17</v>
      </c>
      <c r="AE1266" s="65">
        <f>tblWorkPackages[[#This Row],[Last labor date]]-tblWorkPackages[[#This Row],[First labor date]]</f>
        <v>0</v>
      </c>
      <c r="AF1266" s="65">
        <f>tblWorkPackages[[#This Row],[Completion date serial]]-tblWorkPackages[[#This Row],[Last labor date]]</f>
        <v>0</v>
      </c>
      <c r="AG1266" s="65">
        <f>tblWorkPackages[[#This Row],[Completion date serial]]-tblWorkPackages[[#This Row],[Request date serial]]</f>
        <v>17</v>
      </c>
      <c r="AH1266" s="65">
        <f>IFERROR(INDEX(tblParts[Delay days],MATCH(tblWorkPackages[[#This Row],[Work package ID]],tblParts[Work package ID],0)),0)</f>
        <v>0</v>
      </c>
      <c r="AI1266" s="51" t="str">
        <f>IFERROR(INDEX(tblDisruptions[Event type],MATCH(tblWorkPackages[[#This Row],[Work package ID]],tblDisruptions[Work package ID],0)),"None")</f>
        <v>None</v>
      </c>
      <c r="AJ1266" s="51" t="str">
        <f>TEXT(tblWorkPackages[[#This Row],[Due date serial]],"yyyy-mm")</f>
        <v>2025-07</v>
      </c>
    </row>
    <row r="1267" spans="1:36" ht="15" x14ac:dyDescent="0.25">
      <c r="A1267" s="53" t="s">
        <v>2174</v>
      </c>
      <c r="B1267" s="53" t="s">
        <v>203</v>
      </c>
      <c r="C1267" s="53" t="s">
        <v>170</v>
      </c>
      <c r="D1267" s="53" t="s">
        <v>1741</v>
      </c>
      <c r="E1267" s="53" t="s">
        <v>153</v>
      </c>
      <c r="F1267" s="53" t="s">
        <v>128</v>
      </c>
      <c r="G1267" s="53" t="s">
        <v>154</v>
      </c>
      <c r="H1267" s="53">
        <v>4</v>
      </c>
      <c r="I1267" s="53" t="s">
        <v>130</v>
      </c>
      <c r="J1267" s="53">
        <v>0</v>
      </c>
      <c r="K1267" s="53">
        <v>0</v>
      </c>
      <c r="L1267" s="53">
        <v>14.3</v>
      </c>
      <c r="M1267" s="53" t="s">
        <v>277</v>
      </c>
      <c r="N1267" s="53">
        <v>16.899999999999999</v>
      </c>
      <c r="O1267" s="51" t="str">
        <f>TEXT(tblWorkPackages[[#This Row],[Request date serial]]-WEEKDAY(tblWorkPackages[[#This Row],[Request date serial]],3),"yyyy-mm-dd")</f>
        <v>2024-10-21</v>
      </c>
      <c r="P1267" s="51">
        <f>ABS(tblWorkPackages[[#This Row],[Actual labor hours]]-tblWorkPackages[[#This Row],[Estimated labor hours]])</f>
        <v>2.6</v>
      </c>
      <c r="Q1267" s="51">
        <f>IF(tblWorkPackages[[#This Row],[Actual labor hours]]&gt;tblWorkPackages[[#This Row],[Estimated labor hours]],1,0)</f>
        <v>1</v>
      </c>
      <c r="R1267" s="51">
        <f>tblWorkPackages[[#This Row],[Actual labor hours]]-tblWorkPackages[[#This Row],[Estimated labor hours]]</f>
        <v>2.6</v>
      </c>
      <c r="S1267" s="51" t="str">
        <f>IF(tblWorkPackages[[#This Row],[Request date serial]]&lt;ValidationStart,"Train 2024",IF(tblWorkPackages[[#This Row],[Request date serial]]&lt;HoldoutStart,"Validation H1","Holdout H2"))</f>
        <v>Train 2024</v>
      </c>
      <c r="T1267" s="51" t="str">
        <f>IF(tblWorkPackages[[#This Row],[Time split]]="Train 2024","",tblWorkPackages[[#This Row],[Estimated labor hours]]+VLOOKUP(tblWorkPackages[[#This Row],[Task type]],'Forecast validation'!$A$14:$E$25,IF(tblWorkPackages[[#This Row],[Time split]]="Validation H1",4,5),FALSE()))</f>
        <v/>
      </c>
      <c r="U1267" s="51" t="str">
        <f>IF(tblWorkPackages[[#This Row],[Calibrated forecast hours]]="","",ABS(tblWorkPackages[[#This Row],[Actual labor hours]]-tblWorkPackages[[#This Row],[Calibrated forecast hours]]))</f>
        <v/>
      </c>
      <c r="V1267" s="51">
        <f>IF(tblWorkPackages[[#This Row],[Time split]]="Train 2024",tblWorkPackages[[#This Row],[Estimated labor hours]],tblWorkPackages[[#This Row],[Calibrated forecast hours]])</f>
        <v>14.3</v>
      </c>
      <c r="W1267" s="64">
        <f>DATEVALUE(tblWorkPackages[[#This Row],[Request date]])</f>
        <v>45587.0</v>
      </c>
      <c r="X1267" s="64">
        <f>DATEVALUE(tblWorkPackages[[#This Row],[Due date]])</f>
        <v>45600.0</v>
      </c>
      <c r="Y1267" s="64">
        <f>DATEVALUE(tblWorkPackages[[#This Row],[Completion date]])</f>
        <v>45592.0</v>
      </c>
      <c r="Z1267" s="64">
        <f>_xlfn.MINIFS(tblLaborEntries[Work date serial],tblLaborEntries[Work package ID],tblWorkPackages[[#This Row],[Work package ID]])</f>
        <v>45591.0</v>
      </c>
      <c r="AA1267" s="64">
        <f>_xlfn.MAXIFS(tblLaborEntries[Work date serial],tblLaborEntries[Work package ID],tblWorkPackages[[#This Row],[Work package ID]])</f>
        <v>45591.0</v>
      </c>
      <c r="AB1267" s="65">
        <f>IF(tblWorkPackages[[#This Row],[Completion date serial]]&gt;tblWorkPackages[[#This Row],[Due date serial]],1,0)</f>
        <v>0</v>
      </c>
      <c r="AC1267" s="65">
        <f>MAX(0,tblWorkPackages[[#This Row],[Completion date serial]]-tblWorkPackages[[#This Row],[Due date serial]])</f>
        <v>0</v>
      </c>
      <c r="AD1267" s="65">
        <f>tblWorkPackages[[#This Row],[First labor date]]-tblWorkPackages[[#This Row],[Request date serial]]</f>
        <v>4</v>
      </c>
      <c r="AE1267" s="65">
        <f>tblWorkPackages[[#This Row],[Last labor date]]-tblWorkPackages[[#This Row],[First labor date]]</f>
        <v>0</v>
      </c>
      <c r="AF1267" s="65">
        <f>tblWorkPackages[[#This Row],[Completion date serial]]-tblWorkPackages[[#This Row],[Last labor date]]</f>
        <v>1</v>
      </c>
      <c r="AG1267" s="65">
        <f>tblWorkPackages[[#This Row],[Completion date serial]]-tblWorkPackages[[#This Row],[Request date serial]]</f>
        <v>5</v>
      </c>
      <c r="AH1267" s="65">
        <f>IFERROR(INDEX(tblParts[Delay days],MATCH(tblWorkPackages[[#This Row],[Work package ID]],tblParts[Work package ID],0)),0)</f>
        <v>0</v>
      </c>
      <c r="AI1267" s="51" t="str">
        <f>IFERROR(INDEX(tblDisruptions[Event type],MATCH(tblWorkPackages[[#This Row],[Work package ID]],tblDisruptions[Work package ID],0)),"None")</f>
        <v>None</v>
      </c>
      <c r="AJ1267" s="51" t="str">
        <f>TEXT(tblWorkPackages[[#This Row],[Due date serial]],"yyyy-mm")</f>
        <v>2024-11</v>
      </c>
    </row>
    <row r="1268" spans="1:36" ht="15" x14ac:dyDescent="0.25">
      <c r="A1268" s="53" t="s">
        <v>2175</v>
      </c>
      <c r="B1268" s="53" t="s">
        <v>287</v>
      </c>
      <c r="C1268" s="53" t="s">
        <v>966</v>
      </c>
      <c r="D1268" s="53" t="s">
        <v>466</v>
      </c>
      <c r="E1268" s="53" t="s">
        <v>200</v>
      </c>
      <c r="F1268" s="53" t="s">
        <v>128</v>
      </c>
      <c r="G1268" s="53" t="s">
        <v>129</v>
      </c>
      <c r="H1268" s="53">
        <v>4</v>
      </c>
      <c r="I1268" s="53" t="s">
        <v>130</v>
      </c>
      <c r="J1268" s="53">
        <v>0</v>
      </c>
      <c r="K1268" s="53">
        <v>0</v>
      </c>
      <c r="L1268" s="53">
        <v>6.3</v>
      </c>
      <c r="M1268" s="53" t="s">
        <v>871</v>
      </c>
      <c r="N1268" s="53">
        <v>7.9</v>
      </c>
      <c r="O1268" s="51" t="str">
        <f>TEXT(tblWorkPackages[[#This Row],[Request date serial]]-WEEKDAY(tblWorkPackages[[#This Row],[Request date serial]],3),"yyyy-mm-dd")</f>
        <v>2025-03-17</v>
      </c>
      <c r="P1268" s="51">
        <f>ABS(tblWorkPackages[[#This Row],[Actual labor hours]]-tblWorkPackages[[#This Row],[Estimated labor hours]])</f>
        <v>1.6</v>
      </c>
      <c r="Q1268" s="51">
        <f>IF(tblWorkPackages[[#This Row],[Actual labor hours]]&gt;tblWorkPackages[[#This Row],[Estimated labor hours]],1,0)</f>
        <v>1</v>
      </c>
      <c r="R1268" s="51">
        <f>tblWorkPackages[[#This Row],[Actual labor hours]]-tblWorkPackages[[#This Row],[Estimated labor hours]]</f>
        <v>1.6</v>
      </c>
      <c r="S1268" s="51" t="str">
        <f>IF(tblWorkPackages[[#This Row],[Request date serial]]&lt;ValidationStart,"Train 2024",IF(tblWorkPackages[[#This Row],[Request date serial]]&lt;HoldoutStart,"Validation H1","Holdout H2"))</f>
        <v>Validation H1</v>
      </c>
      <c r="T1268" s="51">
        <f>IF(tblWorkPackages[[#This Row],[Time split]]="Train 2024","",tblWorkPackages[[#This Row],[Estimated labor hours]]+VLOOKUP(tblWorkPackages[[#This Row],[Task type]],'Forecast validation'!$A$14:$E$25,IF(tblWorkPackages[[#This Row],[Time split]]="Validation H1",4,5),FALSE()))</f>
        <v>6.63069306930693</v>
      </c>
      <c r="U1268" s="51">
        <f>IF(tblWorkPackages[[#This Row],[Calibrated forecast hours]]="","",ABS(tblWorkPackages[[#This Row],[Actual labor hours]]-tblWorkPackages[[#This Row],[Calibrated forecast hours]]))</f>
        <v>1.26930693069307</v>
      </c>
      <c r="V1268" s="51">
        <f>IF(tblWorkPackages[[#This Row],[Time split]]="Train 2024",tblWorkPackages[[#This Row],[Estimated labor hours]],tblWorkPackages[[#This Row],[Calibrated forecast hours]])</f>
        <v>6.63069306930693</v>
      </c>
      <c r="W1268" s="64">
        <f>DATEVALUE(tblWorkPackages[[#This Row],[Request date]])</f>
        <v>45733.0</v>
      </c>
      <c r="X1268" s="64">
        <f>DATEVALUE(tblWorkPackages[[#This Row],[Due date]])</f>
        <v>45746.0</v>
      </c>
      <c r="Y1268" s="64">
        <f>DATEVALUE(tblWorkPackages[[#This Row],[Completion date]])</f>
        <v>45738.0</v>
      </c>
      <c r="Z1268" s="64">
        <f>_xlfn.MINIFS(tblLaborEntries[Work date serial],tblLaborEntries[Work package ID],tblWorkPackages[[#This Row],[Work package ID]])</f>
        <v>45734.0</v>
      </c>
      <c r="AA1268" s="64">
        <f>_xlfn.MAXIFS(tblLaborEntries[Work date serial],tblLaborEntries[Work package ID],tblWorkPackages[[#This Row],[Work package ID]])</f>
        <v>45736.0</v>
      </c>
      <c r="AB1268" s="65">
        <f>IF(tblWorkPackages[[#This Row],[Completion date serial]]&gt;tblWorkPackages[[#This Row],[Due date serial]],1,0)</f>
        <v>0</v>
      </c>
      <c r="AC1268" s="65">
        <f>MAX(0,tblWorkPackages[[#This Row],[Completion date serial]]-tblWorkPackages[[#This Row],[Due date serial]])</f>
        <v>0</v>
      </c>
      <c r="AD1268" s="65">
        <f>tblWorkPackages[[#This Row],[First labor date]]-tblWorkPackages[[#This Row],[Request date serial]]</f>
        <v>1</v>
      </c>
      <c r="AE1268" s="65">
        <f>tblWorkPackages[[#This Row],[Last labor date]]-tblWorkPackages[[#This Row],[First labor date]]</f>
        <v>2</v>
      </c>
      <c r="AF1268" s="65">
        <f>tblWorkPackages[[#This Row],[Completion date serial]]-tblWorkPackages[[#This Row],[Last labor date]]</f>
        <v>2</v>
      </c>
      <c r="AG1268" s="65">
        <f>tblWorkPackages[[#This Row],[Completion date serial]]-tblWorkPackages[[#This Row],[Request date serial]]</f>
        <v>5</v>
      </c>
      <c r="AH1268" s="65">
        <f>IFERROR(INDEX(tblParts[Delay days],MATCH(tblWorkPackages[[#This Row],[Work package ID]],tblParts[Work package ID],0)),0)</f>
        <v>0</v>
      </c>
      <c r="AI1268" s="51" t="str">
        <f>IFERROR(INDEX(tblDisruptions[Event type],MATCH(tblWorkPackages[[#This Row],[Work package ID]],tblDisruptions[Work package ID],0)),"None")</f>
        <v>None</v>
      </c>
      <c r="AJ1268" s="51" t="str">
        <f>TEXT(tblWorkPackages[[#This Row],[Due date serial]],"yyyy-mm")</f>
        <v>2025-03</v>
      </c>
    </row>
    <row r="1269" spans="1:36" ht="15" x14ac:dyDescent="0.25">
      <c r="A1269" s="53" t="s">
        <v>2176</v>
      </c>
      <c r="B1269" s="53" t="s">
        <v>287</v>
      </c>
      <c r="C1269" s="53" t="s">
        <v>317</v>
      </c>
      <c r="D1269" s="53" t="s">
        <v>1202</v>
      </c>
      <c r="E1269" s="53" t="s">
        <v>272</v>
      </c>
      <c r="F1269" s="53" t="s">
        <v>145</v>
      </c>
      <c r="G1269" s="53" t="s">
        <v>273</v>
      </c>
      <c r="H1269" s="53">
        <v>2</v>
      </c>
      <c r="I1269" s="53" t="s">
        <v>130</v>
      </c>
      <c r="J1269" s="53">
        <v>0</v>
      </c>
      <c r="K1269" s="53">
        <v>0</v>
      </c>
      <c r="L1269" s="53">
        <v>13.1</v>
      </c>
      <c r="M1269" s="53" t="s">
        <v>472</v>
      </c>
      <c r="N1269" s="53">
        <v>13.7</v>
      </c>
      <c r="O1269" s="51" t="str">
        <f>TEXT(tblWorkPackages[[#This Row],[Request date serial]]-WEEKDAY(tblWorkPackages[[#This Row],[Request date serial]],3),"yyyy-mm-dd")</f>
        <v>2024-04-08</v>
      </c>
      <c r="P1269" s="51">
        <f>ABS(tblWorkPackages[[#This Row],[Actual labor hours]]-tblWorkPackages[[#This Row],[Estimated labor hours]])</f>
        <v>0.6</v>
      </c>
      <c r="Q1269" s="51">
        <f>IF(tblWorkPackages[[#This Row],[Actual labor hours]]&gt;tblWorkPackages[[#This Row],[Estimated labor hours]],1,0)</f>
        <v>1</v>
      </c>
      <c r="R1269" s="51">
        <f>tblWorkPackages[[#This Row],[Actual labor hours]]-tblWorkPackages[[#This Row],[Estimated labor hours]]</f>
        <v>0.6</v>
      </c>
      <c r="S1269" s="51" t="str">
        <f>IF(tblWorkPackages[[#This Row],[Request date serial]]&lt;ValidationStart,"Train 2024",IF(tblWorkPackages[[#This Row],[Request date serial]]&lt;HoldoutStart,"Validation H1","Holdout H2"))</f>
        <v>Train 2024</v>
      </c>
      <c r="T1269" s="51" t="str">
        <f>IF(tblWorkPackages[[#This Row],[Time split]]="Train 2024","",tblWorkPackages[[#This Row],[Estimated labor hours]]+VLOOKUP(tblWorkPackages[[#This Row],[Task type]],'Forecast validation'!$A$14:$E$25,IF(tblWorkPackages[[#This Row],[Time split]]="Validation H1",4,5),FALSE()))</f>
        <v/>
      </c>
      <c r="U1269" s="51" t="str">
        <f>IF(tblWorkPackages[[#This Row],[Calibrated forecast hours]]="","",ABS(tblWorkPackages[[#This Row],[Actual labor hours]]-tblWorkPackages[[#This Row],[Calibrated forecast hours]]))</f>
        <v/>
      </c>
      <c r="V1269" s="51">
        <f>IF(tblWorkPackages[[#This Row],[Time split]]="Train 2024",tblWorkPackages[[#This Row],[Estimated labor hours]],tblWorkPackages[[#This Row],[Calibrated forecast hours]])</f>
        <v>13.1</v>
      </c>
      <c r="W1269" s="64">
        <f>DATEVALUE(tblWorkPackages[[#This Row],[Request date]])</f>
        <v>45394.0</v>
      </c>
      <c r="X1269" s="64">
        <f>DATEVALUE(tblWorkPackages[[#This Row],[Due date]])</f>
        <v>45407.0</v>
      </c>
      <c r="Y1269" s="64">
        <f>DATEVALUE(tblWorkPackages[[#This Row],[Completion date]])</f>
        <v>45408.0</v>
      </c>
      <c r="Z1269" s="64">
        <f>_xlfn.MINIFS(tblLaborEntries[Work date serial],tblLaborEntries[Work package ID],tblWorkPackages[[#This Row],[Work package ID]])</f>
        <v>45405.0</v>
      </c>
      <c r="AA1269" s="64">
        <f>_xlfn.MAXIFS(tblLaborEntries[Work date serial],tblLaborEntries[Work package ID],tblWorkPackages[[#This Row],[Work package ID]])</f>
        <v>45405.0</v>
      </c>
      <c r="AB1269" s="65">
        <f>IF(tblWorkPackages[[#This Row],[Completion date serial]]&gt;tblWorkPackages[[#This Row],[Due date serial]],1,0)</f>
        <v>1</v>
      </c>
      <c r="AC1269" s="65">
        <f>MAX(0,tblWorkPackages[[#This Row],[Completion date serial]]-tblWorkPackages[[#This Row],[Due date serial]])</f>
        <v>1</v>
      </c>
      <c r="AD1269" s="65">
        <f>tblWorkPackages[[#This Row],[First labor date]]-tblWorkPackages[[#This Row],[Request date serial]]</f>
        <v>11</v>
      </c>
      <c r="AE1269" s="65">
        <f>tblWorkPackages[[#This Row],[Last labor date]]-tblWorkPackages[[#This Row],[First labor date]]</f>
        <v>0</v>
      </c>
      <c r="AF1269" s="65">
        <f>tblWorkPackages[[#This Row],[Completion date serial]]-tblWorkPackages[[#This Row],[Last labor date]]</f>
        <v>3</v>
      </c>
      <c r="AG1269" s="65">
        <f>tblWorkPackages[[#This Row],[Completion date serial]]-tblWorkPackages[[#This Row],[Request date serial]]</f>
        <v>14</v>
      </c>
      <c r="AH1269" s="65">
        <f>IFERROR(INDEX(tblParts[Delay days],MATCH(tblWorkPackages[[#This Row],[Work package ID]],tblParts[Work package ID],0)),0)</f>
        <v>0</v>
      </c>
      <c r="AI1269" s="51" t="str">
        <f>IFERROR(INDEX(tblDisruptions[Event type],MATCH(tblWorkPackages[[#This Row],[Work package ID]],tblDisruptions[Work package ID],0)),"None")</f>
        <v>None</v>
      </c>
      <c r="AJ1269" s="51" t="str">
        <f>TEXT(tblWorkPackages[[#This Row],[Due date serial]],"yyyy-mm")</f>
        <v>2024-04</v>
      </c>
    </row>
    <row r="1270" spans="1:36" ht="15" x14ac:dyDescent="0.25">
      <c r="A1270" s="53" t="s">
        <v>2177</v>
      </c>
      <c r="B1270" s="53" t="s">
        <v>168</v>
      </c>
      <c r="C1270" s="53" t="s">
        <v>379</v>
      </c>
      <c r="D1270" s="53" t="s">
        <v>325</v>
      </c>
      <c r="E1270" s="53" t="s">
        <v>144</v>
      </c>
      <c r="F1270" s="53" t="s">
        <v>145</v>
      </c>
      <c r="G1270" s="53" t="s">
        <v>146</v>
      </c>
      <c r="H1270" s="53">
        <v>2</v>
      </c>
      <c r="I1270" s="53" t="s">
        <v>176</v>
      </c>
      <c r="J1270" s="53">
        <v>0</v>
      </c>
      <c r="K1270" s="53">
        <v>0</v>
      </c>
      <c r="L1270" s="53">
        <v>9.4</v>
      </c>
      <c r="M1270" s="53" t="s">
        <v>978</v>
      </c>
      <c r="N1270" s="53">
        <v>10.6</v>
      </c>
      <c r="O1270" s="51" t="str">
        <f>TEXT(tblWorkPackages[[#This Row],[Request date serial]]-WEEKDAY(tblWorkPackages[[#This Row],[Request date serial]],3),"yyyy-mm-dd")</f>
        <v>2025-10-20</v>
      </c>
      <c r="P1270" s="51">
        <f>ABS(tblWorkPackages[[#This Row],[Actual labor hours]]-tblWorkPackages[[#This Row],[Estimated labor hours]])</f>
        <v>1.2</v>
      </c>
      <c r="Q1270" s="51">
        <f>IF(tblWorkPackages[[#This Row],[Actual labor hours]]&gt;tblWorkPackages[[#This Row],[Estimated labor hours]],1,0)</f>
        <v>1</v>
      </c>
      <c r="R1270" s="51">
        <f>tblWorkPackages[[#This Row],[Actual labor hours]]-tblWorkPackages[[#This Row],[Estimated labor hours]]</f>
        <v>1.2</v>
      </c>
      <c r="S1270" s="51" t="str">
        <f>IF(tblWorkPackages[[#This Row],[Request date serial]]&lt;ValidationStart,"Train 2024",IF(tblWorkPackages[[#This Row],[Request date serial]]&lt;HoldoutStart,"Validation H1","Holdout H2"))</f>
        <v>Holdout H2</v>
      </c>
      <c r="T1270" s="51">
        <f>IF(tblWorkPackages[[#This Row],[Time split]]="Train 2024","",tblWorkPackages[[#This Row],[Estimated labor hours]]+VLOOKUP(tblWorkPackages[[#This Row],[Task type]],'Forecast validation'!$A$14:$E$25,IF(tblWorkPackages[[#This Row],[Time split]]="Validation H1",4,5),FALSE()))</f>
        <v>10.3735483870968</v>
      </c>
      <c r="U1270" s="51">
        <f>IF(tblWorkPackages[[#This Row],[Calibrated forecast hours]]="","",ABS(tblWorkPackages[[#This Row],[Actual labor hours]]-tblWorkPackages[[#This Row],[Calibrated forecast hours]]))</f>
        <v>0.226451612903224</v>
      </c>
      <c r="V1270" s="51">
        <f>IF(tblWorkPackages[[#This Row],[Time split]]="Train 2024",tblWorkPackages[[#This Row],[Estimated labor hours]],tblWorkPackages[[#This Row],[Calibrated forecast hours]])</f>
        <v>10.3735483870968</v>
      </c>
      <c r="W1270" s="64">
        <f>DATEVALUE(tblWorkPackages[[#This Row],[Request date]])</f>
        <v>45956.0</v>
      </c>
      <c r="X1270" s="64">
        <f>DATEVALUE(tblWorkPackages[[#This Row],[Due date]])</f>
        <v>45962.0</v>
      </c>
      <c r="Y1270" s="64">
        <f>DATEVALUE(tblWorkPackages[[#This Row],[Completion date]])</f>
        <v>45959.0</v>
      </c>
      <c r="Z1270" s="64">
        <f>_xlfn.MINIFS(tblLaborEntries[Work date serial],tblLaborEntries[Work package ID],tblWorkPackages[[#This Row],[Work package ID]])</f>
        <v>45959.0</v>
      </c>
      <c r="AA1270" s="64">
        <f>_xlfn.MAXIFS(tblLaborEntries[Work date serial],tblLaborEntries[Work package ID],tblWorkPackages[[#This Row],[Work package ID]])</f>
        <v>45959.0</v>
      </c>
      <c r="AB1270" s="65">
        <f>IF(tblWorkPackages[[#This Row],[Completion date serial]]&gt;tblWorkPackages[[#This Row],[Due date serial]],1,0)</f>
        <v>0</v>
      </c>
      <c r="AC1270" s="65">
        <f>MAX(0,tblWorkPackages[[#This Row],[Completion date serial]]-tblWorkPackages[[#This Row],[Due date serial]])</f>
        <v>0</v>
      </c>
      <c r="AD1270" s="65">
        <f>tblWorkPackages[[#This Row],[First labor date]]-tblWorkPackages[[#This Row],[Request date serial]]</f>
        <v>3</v>
      </c>
      <c r="AE1270" s="65">
        <f>tblWorkPackages[[#This Row],[Last labor date]]-tblWorkPackages[[#This Row],[First labor date]]</f>
        <v>0</v>
      </c>
      <c r="AF1270" s="65">
        <f>tblWorkPackages[[#This Row],[Completion date serial]]-tblWorkPackages[[#This Row],[Last labor date]]</f>
        <v>0</v>
      </c>
      <c r="AG1270" s="65">
        <f>tblWorkPackages[[#This Row],[Completion date serial]]-tblWorkPackages[[#This Row],[Request date serial]]</f>
        <v>3</v>
      </c>
      <c r="AH1270" s="65">
        <f>IFERROR(INDEX(tblParts[Delay days],MATCH(tblWorkPackages[[#This Row],[Work package ID]],tblParts[Work package ID],0)),0)</f>
        <v>0</v>
      </c>
      <c r="AI1270" s="51" t="str">
        <f>IFERROR(INDEX(tblDisruptions[Event type],MATCH(tblWorkPackages[[#This Row],[Work package ID]],tblDisruptions[Work package ID],0)),"None")</f>
        <v>None</v>
      </c>
      <c r="AJ1270" s="51" t="str">
        <f>TEXT(tblWorkPackages[[#This Row],[Due date serial]],"yyyy-mm")</f>
        <v>2025-11</v>
      </c>
    </row>
    <row r="1271" spans="1:36" ht="15" x14ac:dyDescent="0.25">
      <c r="A1271" s="53" t="s">
        <v>2178</v>
      </c>
      <c r="B1271" s="53" t="s">
        <v>150</v>
      </c>
      <c r="C1271" s="53" t="s">
        <v>1741</v>
      </c>
      <c r="D1271" s="53" t="s">
        <v>890</v>
      </c>
      <c r="E1271" s="53" t="s">
        <v>223</v>
      </c>
      <c r="F1271" s="53" t="s">
        <v>182</v>
      </c>
      <c r="G1271" s="53" t="s">
        <v>154</v>
      </c>
      <c r="H1271" s="53">
        <v>2</v>
      </c>
      <c r="I1271" s="53" t="s">
        <v>130</v>
      </c>
      <c r="J1271" s="53">
        <v>0</v>
      </c>
      <c r="K1271" s="53">
        <v>0</v>
      </c>
      <c r="L1271" s="53">
        <v>11.7</v>
      </c>
      <c r="M1271" s="53" t="s">
        <v>601</v>
      </c>
      <c r="N1271" s="53">
        <v>13.3</v>
      </c>
      <c r="O1271" s="51" t="str">
        <f>TEXT(tblWorkPackages[[#This Row],[Request date serial]]-WEEKDAY(tblWorkPackages[[#This Row],[Request date serial]],3),"yyyy-mm-dd")</f>
        <v>2024-11-04</v>
      </c>
      <c r="P1271" s="51">
        <f>ABS(tblWorkPackages[[#This Row],[Actual labor hours]]-tblWorkPackages[[#This Row],[Estimated labor hours]])</f>
        <v>1.6</v>
      </c>
      <c r="Q1271" s="51">
        <f>IF(tblWorkPackages[[#This Row],[Actual labor hours]]&gt;tblWorkPackages[[#This Row],[Estimated labor hours]],1,0)</f>
        <v>1</v>
      </c>
      <c r="R1271" s="51">
        <f>tblWorkPackages[[#This Row],[Actual labor hours]]-tblWorkPackages[[#This Row],[Estimated labor hours]]</f>
        <v>1.6</v>
      </c>
      <c r="S1271" s="51" t="str">
        <f>IF(tblWorkPackages[[#This Row],[Request date serial]]&lt;ValidationStart,"Train 2024",IF(tblWorkPackages[[#This Row],[Request date serial]]&lt;HoldoutStart,"Validation H1","Holdout H2"))</f>
        <v>Train 2024</v>
      </c>
      <c r="T1271" s="51" t="str">
        <f>IF(tblWorkPackages[[#This Row],[Time split]]="Train 2024","",tblWorkPackages[[#This Row],[Estimated labor hours]]+VLOOKUP(tblWorkPackages[[#This Row],[Task type]],'Forecast validation'!$A$14:$E$25,IF(tblWorkPackages[[#This Row],[Time split]]="Validation H1",4,5),FALSE()))</f>
        <v/>
      </c>
      <c r="U1271" s="51" t="str">
        <f>IF(tblWorkPackages[[#This Row],[Calibrated forecast hours]]="","",ABS(tblWorkPackages[[#This Row],[Actual labor hours]]-tblWorkPackages[[#This Row],[Calibrated forecast hours]]))</f>
        <v/>
      </c>
      <c r="V1271" s="51">
        <f>IF(tblWorkPackages[[#This Row],[Time split]]="Train 2024",tblWorkPackages[[#This Row],[Estimated labor hours]],tblWorkPackages[[#This Row],[Calibrated forecast hours]])</f>
        <v>11.7</v>
      </c>
      <c r="W1271" s="64">
        <f>DATEVALUE(tblWorkPackages[[#This Row],[Request date]])</f>
        <v>45600.0</v>
      </c>
      <c r="X1271" s="64">
        <f>DATEVALUE(tblWorkPackages[[#This Row],[Due date]])</f>
        <v>45613.0</v>
      </c>
      <c r="Y1271" s="64">
        <f>DATEVALUE(tblWorkPackages[[#This Row],[Completion date]])</f>
        <v>45633.0</v>
      </c>
      <c r="Z1271" s="64">
        <f>_xlfn.MINIFS(tblLaborEntries[Work date serial],tblLaborEntries[Work package ID],tblWorkPackages[[#This Row],[Work package ID]])</f>
        <v>45630.0</v>
      </c>
      <c r="AA1271" s="64">
        <f>_xlfn.MAXIFS(tblLaborEntries[Work date serial],tblLaborEntries[Work package ID],tblWorkPackages[[#This Row],[Work package ID]])</f>
        <v>45632.0</v>
      </c>
      <c r="AB1271" s="65">
        <f>IF(tblWorkPackages[[#This Row],[Completion date serial]]&gt;tblWorkPackages[[#This Row],[Due date serial]],1,0)</f>
        <v>1</v>
      </c>
      <c r="AC1271" s="65">
        <f>MAX(0,tblWorkPackages[[#This Row],[Completion date serial]]-tblWorkPackages[[#This Row],[Due date serial]])</f>
        <v>20</v>
      </c>
      <c r="AD1271" s="65">
        <f>tblWorkPackages[[#This Row],[First labor date]]-tblWorkPackages[[#This Row],[Request date serial]]</f>
        <v>30</v>
      </c>
      <c r="AE1271" s="65">
        <f>tblWorkPackages[[#This Row],[Last labor date]]-tblWorkPackages[[#This Row],[First labor date]]</f>
        <v>2</v>
      </c>
      <c r="AF1271" s="65">
        <f>tblWorkPackages[[#This Row],[Completion date serial]]-tblWorkPackages[[#This Row],[Last labor date]]</f>
        <v>1</v>
      </c>
      <c r="AG1271" s="65">
        <f>tblWorkPackages[[#This Row],[Completion date serial]]-tblWorkPackages[[#This Row],[Request date serial]]</f>
        <v>33</v>
      </c>
      <c r="AH1271" s="65">
        <f>IFERROR(INDEX(tblParts[Delay days],MATCH(tblWorkPackages[[#This Row],[Work package ID]],tblParts[Work package ID],0)),0)</f>
        <v>0</v>
      </c>
      <c r="AI1271" s="51" t="str">
        <f>IFERROR(INDEX(tblDisruptions[Event type],MATCH(tblWorkPackages[[#This Row],[Work package ID]],tblDisruptions[Work package ID],0)),"None")</f>
        <v>None</v>
      </c>
      <c r="AJ1271" s="51" t="str">
        <f>TEXT(tblWorkPackages[[#This Row],[Due date serial]],"yyyy-mm")</f>
        <v>2024-11</v>
      </c>
    </row>
    <row r="1272" spans="1:36" ht="15" x14ac:dyDescent="0.25">
      <c r="A1272" s="53" t="s">
        <v>2179</v>
      </c>
      <c r="B1272" s="53" t="s">
        <v>168</v>
      </c>
      <c r="C1272" s="53" t="s">
        <v>677</v>
      </c>
      <c r="D1272" s="53" t="s">
        <v>1141</v>
      </c>
      <c r="E1272" s="53" t="s">
        <v>237</v>
      </c>
      <c r="F1272" s="53" t="s">
        <v>182</v>
      </c>
      <c r="G1272" s="53" t="s">
        <v>138</v>
      </c>
      <c r="H1272" s="53">
        <v>2</v>
      </c>
      <c r="I1272" s="53" t="s">
        <v>176</v>
      </c>
      <c r="J1272" s="53">
        <v>0</v>
      </c>
      <c r="K1272" s="53">
        <v>0</v>
      </c>
      <c r="L1272" s="53">
        <v>6</v>
      </c>
      <c r="M1272" s="53" t="s">
        <v>1115</v>
      </c>
      <c r="N1272" s="53">
        <v>7.6</v>
      </c>
      <c r="O1272" s="51" t="str">
        <f>TEXT(tblWorkPackages[[#This Row],[Request date serial]]-WEEKDAY(tblWorkPackages[[#This Row],[Request date serial]],3),"yyyy-mm-dd")</f>
        <v>2024-04-22</v>
      </c>
      <c r="P1272" s="51">
        <f>ABS(tblWorkPackages[[#This Row],[Actual labor hours]]-tblWorkPackages[[#This Row],[Estimated labor hours]])</f>
        <v>1.6</v>
      </c>
      <c r="Q1272" s="51">
        <f>IF(tblWorkPackages[[#This Row],[Actual labor hours]]&gt;tblWorkPackages[[#This Row],[Estimated labor hours]],1,0)</f>
        <v>1</v>
      </c>
      <c r="R1272" s="51">
        <f>tblWorkPackages[[#This Row],[Actual labor hours]]-tblWorkPackages[[#This Row],[Estimated labor hours]]</f>
        <v>1.6</v>
      </c>
      <c r="S1272" s="51" t="str">
        <f>IF(tblWorkPackages[[#This Row],[Request date serial]]&lt;ValidationStart,"Train 2024",IF(tblWorkPackages[[#This Row],[Request date serial]]&lt;HoldoutStart,"Validation H1","Holdout H2"))</f>
        <v>Train 2024</v>
      </c>
      <c r="T1272" s="51" t="str">
        <f>IF(tblWorkPackages[[#This Row],[Time split]]="Train 2024","",tblWorkPackages[[#This Row],[Estimated labor hours]]+VLOOKUP(tblWorkPackages[[#This Row],[Task type]],'Forecast validation'!$A$14:$E$25,IF(tblWorkPackages[[#This Row],[Time split]]="Validation H1",4,5),FALSE()))</f>
        <v/>
      </c>
      <c r="U1272" s="51" t="str">
        <f>IF(tblWorkPackages[[#This Row],[Calibrated forecast hours]]="","",ABS(tblWorkPackages[[#This Row],[Actual labor hours]]-tblWorkPackages[[#This Row],[Calibrated forecast hours]]))</f>
        <v/>
      </c>
      <c r="V1272" s="51">
        <f>IF(tblWorkPackages[[#This Row],[Time split]]="Train 2024",tblWorkPackages[[#This Row],[Estimated labor hours]],tblWorkPackages[[#This Row],[Calibrated forecast hours]])</f>
        <v>6</v>
      </c>
      <c r="W1272" s="64">
        <f>DATEVALUE(tblWorkPackages[[#This Row],[Request date]])</f>
        <v>45406.0</v>
      </c>
      <c r="X1272" s="64">
        <f>DATEVALUE(tblWorkPackages[[#This Row],[Due date]])</f>
        <v>45412.0</v>
      </c>
      <c r="Y1272" s="64">
        <f>DATEVALUE(tblWorkPackages[[#This Row],[Completion date]])</f>
        <v>45414.0</v>
      </c>
      <c r="Z1272" s="64">
        <f>_xlfn.MINIFS(tblLaborEntries[Work date serial],tblLaborEntries[Work package ID],tblWorkPackages[[#This Row],[Work package ID]])</f>
        <v>45411.0</v>
      </c>
      <c r="AA1272" s="64">
        <f>_xlfn.MAXIFS(tblLaborEntries[Work date serial],tblLaborEntries[Work package ID],tblWorkPackages[[#This Row],[Work package ID]])</f>
        <v>45412.0</v>
      </c>
      <c r="AB1272" s="65">
        <f>IF(tblWorkPackages[[#This Row],[Completion date serial]]&gt;tblWorkPackages[[#This Row],[Due date serial]],1,0)</f>
        <v>1</v>
      </c>
      <c r="AC1272" s="65">
        <f>MAX(0,tblWorkPackages[[#This Row],[Completion date serial]]-tblWorkPackages[[#This Row],[Due date serial]])</f>
        <v>2</v>
      </c>
      <c r="AD1272" s="65">
        <f>tblWorkPackages[[#This Row],[First labor date]]-tblWorkPackages[[#This Row],[Request date serial]]</f>
        <v>5</v>
      </c>
      <c r="AE1272" s="65">
        <f>tblWorkPackages[[#This Row],[Last labor date]]-tblWorkPackages[[#This Row],[First labor date]]</f>
        <v>1</v>
      </c>
      <c r="AF1272" s="65">
        <f>tblWorkPackages[[#This Row],[Completion date serial]]-tblWorkPackages[[#This Row],[Last labor date]]</f>
        <v>2</v>
      </c>
      <c r="AG1272" s="65">
        <f>tblWorkPackages[[#This Row],[Completion date serial]]-tblWorkPackages[[#This Row],[Request date serial]]</f>
        <v>8</v>
      </c>
      <c r="AH1272" s="65">
        <f>IFERROR(INDEX(tblParts[Delay days],MATCH(tblWorkPackages[[#This Row],[Work package ID]],tblParts[Work package ID],0)),0)</f>
        <v>0</v>
      </c>
      <c r="AI1272" s="51" t="str">
        <f>IFERROR(INDEX(tblDisruptions[Event type],MATCH(tblWorkPackages[[#This Row],[Work package ID]],tblDisruptions[Work package ID],0)),"None")</f>
        <v>None</v>
      </c>
      <c r="AJ1272" s="51" t="str">
        <f>TEXT(tblWorkPackages[[#This Row],[Due date serial]],"yyyy-mm")</f>
        <v>2024-04</v>
      </c>
    </row>
    <row r="1273" spans="1:36" ht="15" x14ac:dyDescent="0.25">
      <c r="A1273" s="53" t="s">
        <v>2180</v>
      </c>
      <c r="B1273" s="53" t="s">
        <v>230</v>
      </c>
      <c r="C1273" s="53" t="s">
        <v>572</v>
      </c>
      <c r="D1273" s="53" t="s">
        <v>1148</v>
      </c>
      <c r="E1273" s="53" t="s">
        <v>136</v>
      </c>
      <c r="F1273" s="53" t="s">
        <v>137</v>
      </c>
      <c r="G1273" s="53" t="s">
        <v>138</v>
      </c>
      <c r="H1273" s="53">
        <v>3</v>
      </c>
      <c r="I1273" s="53" t="s">
        <v>176</v>
      </c>
      <c r="J1273" s="53">
        <v>0</v>
      </c>
      <c r="K1273" s="53">
        <v>0</v>
      </c>
      <c r="L1273" s="53">
        <v>20.5</v>
      </c>
      <c r="M1273" s="53" t="s">
        <v>1148</v>
      </c>
      <c r="N1273" s="53">
        <v>23.2</v>
      </c>
      <c r="O1273" s="51" t="str">
        <f>TEXT(tblWorkPackages[[#This Row],[Request date serial]]-WEEKDAY(tblWorkPackages[[#This Row],[Request date serial]],3),"yyyy-mm-dd")</f>
        <v>2025-01-13</v>
      </c>
      <c r="P1273" s="51">
        <f>ABS(tblWorkPackages[[#This Row],[Actual labor hours]]-tblWorkPackages[[#This Row],[Estimated labor hours]])</f>
        <v>2.7</v>
      </c>
      <c r="Q1273" s="51">
        <f>IF(tblWorkPackages[[#This Row],[Actual labor hours]]&gt;tblWorkPackages[[#This Row],[Estimated labor hours]],1,0)</f>
        <v>1</v>
      </c>
      <c r="R1273" s="51">
        <f>tblWorkPackages[[#This Row],[Actual labor hours]]-tblWorkPackages[[#This Row],[Estimated labor hours]]</f>
        <v>2.7</v>
      </c>
      <c r="S1273" s="51" t="str">
        <f>IF(tblWorkPackages[[#This Row],[Request date serial]]&lt;ValidationStart,"Train 2024",IF(tblWorkPackages[[#This Row],[Request date serial]]&lt;HoldoutStart,"Validation H1","Holdout H2"))</f>
        <v>Validation H1</v>
      </c>
      <c r="T1273" s="51">
        <f>IF(tblWorkPackages[[#This Row],[Time split]]="Train 2024","",tblWorkPackages[[#This Row],[Estimated labor hours]]+VLOOKUP(tblWorkPackages[[#This Row],[Task type]],'Forecast validation'!$A$14:$E$25,IF(tblWorkPackages[[#This Row],[Time split]]="Validation H1",4,5),FALSE()))</f>
        <v>21.3765306122449</v>
      </c>
      <c r="U1273" s="51">
        <f>IF(tblWorkPackages[[#This Row],[Calibrated forecast hours]]="","",ABS(tblWorkPackages[[#This Row],[Actual labor hours]]-tblWorkPackages[[#This Row],[Calibrated forecast hours]]))</f>
        <v>1.8234693877551</v>
      </c>
      <c r="V1273" s="51">
        <f>IF(tblWorkPackages[[#This Row],[Time split]]="Train 2024",tblWorkPackages[[#This Row],[Estimated labor hours]],tblWorkPackages[[#This Row],[Calibrated forecast hours]])</f>
        <v>21.3765306122449</v>
      </c>
      <c r="W1273" s="64">
        <f>DATEVALUE(tblWorkPackages[[#This Row],[Request date]])</f>
        <v>45672.0</v>
      </c>
      <c r="X1273" s="64">
        <f>DATEVALUE(tblWorkPackages[[#This Row],[Due date]])</f>
        <v>45678.0</v>
      </c>
      <c r="Y1273" s="64">
        <f>DATEVALUE(tblWorkPackages[[#This Row],[Completion date]])</f>
        <v>45678.0</v>
      </c>
      <c r="Z1273" s="64">
        <f>_xlfn.MINIFS(tblLaborEntries[Work date serial],tblLaborEntries[Work package ID],tblWorkPackages[[#This Row],[Work package ID]])</f>
        <v>45674.0</v>
      </c>
      <c r="AA1273" s="64">
        <f>_xlfn.MAXIFS(tblLaborEntries[Work date serial],tblLaborEntries[Work package ID],tblWorkPackages[[#This Row],[Work package ID]])</f>
        <v>45675.0</v>
      </c>
      <c r="AB1273" s="65">
        <f>IF(tblWorkPackages[[#This Row],[Completion date serial]]&gt;tblWorkPackages[[#This Row],[Due date serial]],1,0)</f>
        <v>0</v>
      </c>
      <c r="AC1273" s="65">
        <f>MAX(0,tblWorkPackages[[#This Row],[Completion date serial]]-tblWorkPackages[[#This Row],[Due date serial]])</f>
        <v>0</v>
      </c>
      <c r="AD1273" s="65">
        <f>tblWorkPackages[[#This Row],[First labor date]]-tblWorkPackages[[#This Row],[Request date serial]]</f>
        <v>2</v>
      </c>
      <c r="AE1273" s="65">
        <f>tblWorkPackages[[#This Row],[Last labor date]]-tblWorkPackages[[#This Row],[First labor date]]</f>
        <v>1</v>
      </c>
      <c r="AF1273" s="65">
        <f>tblWorkPackages[[#This Row],[Completion date serial]]-tblWorkPackages[[#This Row],[Last labor date]]</f>
        <v>3</v>
      </c>
      <c r="AG1273" s="65">
        <f>tblWorkPackages[[#This Row],[Completion date serial]]-tblWorkPackages[[#This Row],[Request date serial]]</f>
        <v>6</v>
      </c>
      <c r="AH1273" s="65">
        <f>IFERROR(INDEX(tblParts[Delay days],MATCH(tblWorkPackages[[#This Row],[Work package ID]],tblParts[Work package ID],0)),0)</f>
        <v>0</v>
      </c>
      <c r="AI1273" s="51" t="str">
        <f>IFERROR(INDEX(tblDisruptions[Event type],MATCH(tblWorkPackages[[#This Row],[Work package ID]],tblDisruptions[Work package ID],0)),"None")</f>
        <v>None</v>
      </c>
      <c r="AJ1273" s="51" t="str">
        <f>TEXT(tblWorkPackages[[#This Row],[Due date serial]],"yyyy-mm")</f>
        <v>2025-01</v>
      </c>
    </row>
    <row r="1274" spans="1:36" ht="15" x14ac:dyDescent="0.25">
      <c r="A1274" s="53" t="s">
        <v>2181</v>
      </c>
      <c r="B1274" s="53" t="s">
        <v>168</v>
      </c>
      <c r="C1274" s="53" t="s">
        <v>716</v>
      </c>
      <c r="D1274" s="53" t="s">
        <v>717</v>
      </c>
      <c r="E1274" s="53" t="s">
        <v>181</v>
      </c>
      <c r="F1274" s="53" t="s">
        <v>182</v>
      </c>
      <c r="G1274" s="53" t="s">
        <v>138</v>
      </c>
      <c r="H1274" s="53">
        <v>1</v>
      </c>
      <c r="I1274" s="53" t="s">
        <v>130</v>
      </c>
      <c r="J1274" s="53">
        <v>0</v>
      </c>
      <c r="K1274" s="53">
        <v>0</v>
      </c>
      <c r="L1274" s="53">
        <v>5.4</v>
      </c>
      <c r="M1274" s="53" t="s">
        <v>1246</v>
      </c>
      <c r="N1274" s="53">
        <v>5.3</v>
      </c>
      <c r="O1274" s="51" t="str">
        <f>TEXT(tblWorkPackages[[#This Row],[Request date serial]]-WEEKDAY(tblWorkPackages[[#This Row],[Request date serial]],3),"yyyy-mm-dd")</f>
        <v>2025-02-17</v>
      </c>
      <c r="P1274" s="51">
        <f>ABS(tblWorkPackages[[#This Row],[Actual labor hours]]-tblWorkPackages[[#This Row],[Estimated labor hours]])</f>
        <v>0.100000000000001</v>
      </c>
      <c r="Q1274" s="51">
        <f>IF(tblWorkPackages[[#This Row],[Actual labor hours]]&gt;tblWorkPackages[[#This Row],[Estimated labor hours]],1,0)</f>
        <v>0</v>
      </c>
      <c r="R1274" s="51">
        <f>tblWorkPackages[[#This Row],[Actual labor hours]]-tblWorkPackages[[#This Row],[Estimated labor hours]]</f>
        <v>-0.100000000000001</v>
      </c>
      <c r="S1274" s="51" t="str">
        <f>IF(tblWorkPackages[[#This Row],[Request date serial]]&lt;ValidationStart,"Train 2024",IF(tblWorkPackages[[#This Row],[Request date serial]]&lt;HoldoutStart,"Validation H1","Holdout H2"))</f>
        <v>Validation H1</v>
      </c>
      <c r="T1274" s="51">
        <f>IF(tblWorkPackages[[#This Row],[Time split]]="Train 2024","",tblWorkPackages[[#This Row],[Estimated labor hours]]+VLOOKUP(tblWorkPackages[[#This Row],[Task type]],'Forecast validation'!$A$14:$E$25,IF(tblWorkPackages[[#This Row],[Time split]]="Validation H1",4,5),FALSE()))</f>
        <v>5.98409090909091</v>
      </c>
      <c r="U1274" s="51">
        <f>IF(tblWorkPackages[[#This Row],[Calibrated forecast hours]]="","",ABS(tblWorkPackages[[#This Row],[Actual labor hours]]-tblWorkPackages[[#This Row],[Calibrated forecast hours]]))</f>
        <v>0.68409090909091</v>
      </c>
      <c r="V1274" s="51">
        <f>IF(tblWorkPackages[[#This Row],[Time split]]="Train 2024",tblWorkPackages[[#This Row],[Estimated labor hours]],tblWorkPackages[[#This Row],[Calibrated forecast hours]])</f>
        <v>5.98409090909091</v>
      </c>
      <c r="W1274" s="64">
        <f>DATEVALUE(tblWorkPackages[[#This Row],[Request date]])</f>
        <v>45710.0</v>
      </c>
      <c r="X1274" s="64">
        <f>DATEVALUE(tblWorkPackages[[#This Row],[Due date]])</f>
        <v>45723.0</v>
      </c>
      <c r="Y1274" s="64">
        <f>DATEVALUE(tblWorkPackages[[#This Row],[Completion date]])</f>
        <v>45725.0</v>
      </c>
      <c r="Z1274" s="64">
        <f>_xlfn.MINIFS(tblLaborEntries[Work date serial],tblLaborEntries[Work package ID],tblWorkPackages[[#This Row],[Work package ID]])</f>
        <v>45724.0</v>
      </c>
      <c r="AA1274" s="64">
        <f>_xlfn.MAXIFS(tblLaborEntries[Work date serial],tblLaborEntries[Work package ID],tblWorkPackages[[#This Row],[Work package ID]])</f>
        <v>45725.0</v>
      </c>
      <c r="AB1274" s="65">
        <f>IF(tblWorkPackages[[#This Row],[Completion date serial]]&gt;tblWorkPackages[[#This Row],[Due date serial]],1,0)</f>
        <v>1</v>
      </c>
      <c r="AC1274" s="65">
        <f>MAX(0,tblWorkPackages[[#This Row],[Completion date serial]]-tblWorkPackages[[#This Row],[Due date serial]])</f>
        <v>2</v>
      </c>
      <c r="AD1274" s="65">
        <f>tblWorkPackages[[#This Row],[First labor date]]-tblWorkPackages[[#This Row],[Request date serial]]</f>
        <v>14</v>
      </c>
      <c r="AE1274" s="65">
        <f>tblWorkPackages[[#This Row],[Last labor date]]-tblWorkPackages[[#This Row],[First labor date]]</f>
        <v>1</v>
      </c>
      <c r="AF1274" s="65">
        <f>tblWorkPackages[[#This Row],[Completion date serial]]-tblWorkPackages[[#This Row],[Last labor date]]</f>
        <v>0</v>
      </c>
      <c r="AG1274" s="65">
        <f>tblWorkPackages[[#This Row],[Completion date serial]]-tblWorkPackages[[#This Row],[Request date serial]]</f>
        <v>15</v>
      </c>
      <c r="AH1274" s="65">
        <f>IFERROR(INDEX(tblParts[Delay days],MATCH(tblWorkPackages[[#This Row],[Work package ID]],tblParts[Work package ID],0)),0)</f>
        <v>0</v>
      </c>
      <c r="AI1274" s="51" t="str">
        <f>IFERROR(INDEX(tblDisruptions[Event type],MATCH(tblWorkPackages[[#This Row],[Work package ID]],tblDisruptions[Work package ID],0)),"None")</f>
        <v>None</v>
      </c>
      <c r="AJ1274" s="51" t="str">
        <f>TEXT(tblWorkPackages[[#This Row],[Due date serial]],"yyyy-mm")</f>
        <v>2025-03</v>
      </c>
    </row>
    <row r="1275" spans="1:36" ht="15" x14ac:dyDescent="0.25">
      <c r="A1275" s="53" t="s">
        <v>2182</v>
      </c>
      <c r="B1275" s="53" t="s">
        <v>124</v>
      </c>
      <c r="C1275" s="53" t="s">
        <v>713</v>
      </c>
      <c r="D1275" s="53" t="s">
        <v>174</v>
      </c>
      <c r="E1275" s="53" t="s">
        <v>144</v>
      </c>
      <c r="F1275" s="53" t="s">
        <v>145</v>
      </c>
      <c r="G1275" s="53" t="s">
        <v>146</v>
      </c>
      <c r="H1275" s="53">
        <v>1</v>
      </c>
      <c r="I1275" s="53" t="s">
        <v>130</v>
      </c>
      <c r="J1275" s="53">
        <v>0</v>
      </c>
      <c r="K1275" s="53">
        <v>1</v>
      </c>
      <c r="L1275" s="53">
        <v>7.5</v>
      </c>
      <c r="M1275" s="53" t="s">
        <v>603</v>
      </c>
      <c r="N1275" s="53">
        <v>6.5</v>
      </c>
      <c r="O1275" s="51" t="str">
        <f>TEXT(tblWorkPackages[[#This Row],[Request date serial]]-WEEKDAY(tblWorkPackages[[#This Row],[Request date serial]],3),"yyyy-mm-dd")</f>
        <v>2025-06-09</v>
      </c>
      <c r="P1275" s="51">
        <f>ABS(tblWorkPackages[[#This Row],[Actual labor hours]]-tblWorkPackages[[#This Row],[Estimated labor hours]])</f>
        <v>1</v>
      </c>
      <c r="Q1275" s="51">
        <f>IF(tblWorkPackages[[#This Row],[Actual labor hours]]&gt;tblWorkPackages[[#This Row],[Estimated labor hours]],1,0)</f>
        <v>0</v>
      </c>
      <c r="R1275" s="51">
        <f>tblWorkPackages[[#This Row],[Actual labor hours]]-tblWorkPackages[[#This Row],[Estimated labor hours]]</f>
        <v>-1</v>
      </c>
      <c r="S1275" s="51" t="str">
        <f>IF(tblWorkPackages[[#This Row],[Request date serial]]&lt;ValidationStart,"Train 2024",IF(tblWorkPackages[[#This Row],[Request date serial]]&lt;HoldoutStart,"Validation H1","Holdout H2"))</f>
        <v>Validation H1</v>
      </c>
      <c r="T1275" s="51">
        <f>IF(tblWorkPackages[[#This Row],[Time split]]="Train 2024","",tblWorkPackages[[#This Row],[Estimated labor hours]]+VLOOKUP(tblWorkPackages[[#This Row],[Task type]],'Forecast validation'!$A$14:$E$25,IF(tblWorkPackages[[#This Row],[Time split]]="Validation H1",4,5),FALSE()))</f>
        <v>8.25473684210526</v>
      </c>
      <c r="U1275" s="51">
        <f>IF(tblWorkPackages[[#This Row],[Calibrated forecast hours]]="","",ABS(tblWorkPackages[[#This Row],[Actual labor hours]]-tblWorkPackages[[#This Row],[Calibrated forecast hours]]))</f>
        <v>1.75473684210526</v>
      </c>
      <c r="V1275" s="51">
        <f>IF(tblWorkPackages[[#This Row],[Time split]]="Train 2024",tblWorkPackages[[#This Row],[Estimated labor hours]],tblWorkPackages[[#This Row],[Calibrated forecast hours]])</f>
        <v>8.25473684210526</v>
      </c>
      <c r="W1275" s="64">
        <f>DATEVALUE(tblWorkPackages[[#This Row],[Request date]])</f>
        <v>45823.0</v>
      </c>
      <c r="X1275" s="64">
        <f>DATEVALUE(tblWorkPackages[[#This Row],[Due date]])</f>
        <v>45836.0</v>
      </c>
      <c r="Y1275" s="64">
        <f>DATEVALUE(tblWorkPackages[[#This Row],[Completion date]])</f>
        <v>45834.0</v>
      </c>
      <c r="Z1275" s="64">
        <f>_xlfn.MINIFS(tblLaborEntries[Work date serial],tblLaborEntries[Work package ID],tblWorkPackages[[#This Row],[Work package ID]])</f>
        <v>45832.0</v>
      </c>
      <c r="AA1275" s="64">
        <f>_xlfn.MAXIFS(tblLaborEntries[Work date serial],tblLaborEntries[Work package ID],tblWorkPackages[[#This Row],[Work package ID]])</f>
        <v>45833.0</v>
      </c>
      <c r="AB1275" s="65">
        <f>IF(tblWorkPackages[[#This Row],[Completion date serial]]&gt;tblWorkPackages[[#This Row],[Due date serial]],1,0)</f>
        <v>0</v>
      </c>
      <c r="AC1275" s="65">
        <f>MAX(0,tblWorkPackages[[#This Row],[Completion date serial]]-tblWorkPackages[[#This Row],[Due date serial]])</f>
        <v>0</v>
      </c>
      <c r="AD1275" s="65">
        <f>tblWorkPackages[[#This Row],[First labor date]]-tblWorkPackages[[#This Row],[Request date serial]]</f>
        <v>9</v>
      </c>
      <c r="AE1275" s="65">
        <f>tblWorkPackages[[#This Row],[Last labor date]]-tblWorkPackages[[#This Row],[First labor date]]</f>
        <v>1</v>
      </c>
      <c r="AF1275" s="65">
        <f>tblWorkPackages[[#This Row],[Completion date serial]]-tblWorkPackages[[#This Row],[Last labor date]]</f>
        <v>1</v>
      </c>
      <c r="AG1275" s="65">
        <f>tblWorkPackages[[#This Row],[Completion date serial]]-tblWorkPackages[[#This Row],[Request date serial]]</f>
        <v>11</v>
      </c>
      <c r="AH1275" s="65">
        <f>IFERROR(INDEX(tblParts[Delay days],MATCH(tblWorkPackages[[#This Row],[Work package ID]],tblParts[Work package ID],0)),0)</f>
        <v>5</v>
      </c>
      <c r="AI1275" s="51" t="str">
        <f>IFERROR(INDEX(tblDisruptions[Event type],MATCH(tblWorkPackages[[#This Row],[Work package ID]],tblDisruptions[Work package ID],0)),"None")</f>
        <v>Part delay</v>
      </c>
      <c r="AJ1275" s="51" t="str">
        <f>TEXT(tblWorkPackages[[#This Row],[Due date serial]],"yyyy-mm")</f>
        <v>2025-06</v>
      </c>
    </row>
    <row r="1276" spans="1:36" ht="15" x14ac:dyDescent="0.25">
      <c r="A1276" s="53" t="s">
        <v>2183</v>
      </c>
      <c r="B1276" s="53" t="s">
        <v>157</v>
      </c>
      <c r="C1276" s="53" t="s">
        <v>1238</v>
      </c>
      <c r="D1276" s="53" t="s">
        <v>1314</v>
      </c>
      <c r="E1276" s="53" t="s">
        <v>136</v>
      </c>
      <c r="F1276" s="53" t="s">
        <v>137</v>
      </c>
      <c r="G1276" s="53" t="s">
        <v>138</v>
      </c>
      <c r="H1276" s="53">
        <v>4</v>
      </c>
      <c r="I1276" s="53" t="s">
        <v>176</v>
      </c>
      <c r="J1276" s="53">
        <v>0</v>
      </c>
      <c r="K1276" s="53">
        <v>1</v>
      </c>
      <c r="L1276" s="53">
        <v>24.3</v>
      </c>
      <c r="M1276" s="53" t="s">
        <v>246</v>
      </c>
      <c r="N1276" s="53">
        <v>24</v>
      </c>
      <c r="O1276" s="51" t="str">
        <f>TEXT(tblWorkPackages[[#This Row],[Request date serial]]-WEEKDAY(tblWorkPackages[[#This Row],[Request date serial]],3),"yyyy-mm-dd")</f>
        <v>2024-01-08</v>
      </c>
      <c r="P1276" s="51">
        <f>ABS(tblWorkPackages[[#This Row],[Actual labor hours]]-tblWorkPackages[[#This Row],[Estimated labor hours]])</f>
        <v>0.300000000000001</v>
      </c>
      <c r="Q1276" s="51">
        <f>IF(tblWorkPackages[[#This Row],[Actual labor hours]]&gt;tblWorkPackages[[#This Row],[Estimated labor hours]],1,0)</f>
        <v>0</v>
      </c>
      <c r="R1276" s="51">
        <f>tblWorkPackages[[#This Row],[Actual labor hours]]-tblWorkPackages[[#This Row],[Estimated labor hours]]</f>
        <v>-0.300000000000001</v>
      </c>
      <c r="S1276" s="51" t="str">
        <f>IF(tblWorkPackages[[#This Row],[Request date serial]]&lt;ValidationStart,"Train 2024",IF(tblWorkPackages[[#This Row],[Request date serial]]&lt;HoldoutStart,"Validation H1","Holdout H2"))</f>
        <v>Train 2024</v>
      </c>
      <c r="T1276" s="51" t="str">
        <f>IF(tblWorkPackages[[#This Row],[Time split]]="Train 2024","",tblWorkPackages[[#This Row],[Estimated labor hours]]+VLOOKUP(tblWorkPackages[[#This Row],[Task type]],'Forecast validation'!$A$14:$E$25,IF(tblWorkPackages[[#This Row],[Time split]]="Validation H1",4,5),FALSE()))</f>
        <v/>
      </c>
      <c r="U1276" s="51" t="str">
        <f>IF(tblWorkPackages[[#This Row],[Calibrated forecast hours]]="","",ABS(tblWorkPackages[[#This Row],[Actual labor hours]]-tblWorkPackages[[#This Row],[Calibrated forecast hours]]))</f>
        <v/>
      </c>
      <c r="V1276" s="51">
        <f>IF(tblWorkPackages[[#This Row],[Time split]]="Train 2024",tblWorkPackages[[#This Row],[Estimated labor hours]],tblWorkPackages[[#This Row],[Calibrated forecast hours]])</f>
        <v>24.3</v>
      </c>
      <c r="W1276" s="64">
        <f>DATEVALUE(tblWorkPackages[[#This Row],[Request date]])</f>
        <v>45303.0</v>
      </c>
      <c r="X1276" s="64">
        <f>DATEVALUE(tblWorkPackages[[#This Row],[Due date]])</f>
        <v>45309.0</v>
      </c>
      <c r="Y1276" s="64">
        <f>DATEVALUE(tblWorkPackages[[#This Row],[Completion date]])</f>
        <v>45364.0</v>
      </c>
      <c r="Z1276" s="64">
        <f>_xlfn.MINIFS(tblLaborEntries[Work date serial],tblLaborEntries[Work package ID],tblWorkPackages[[#This Row],[Work package ID]])</f>
        <v>45361.0</v>
      </c>
      <c r="AA1276" s="64">
        <f>_xlfn.MAXIFS(tblLaborEntries[Work date serial],tblLaborEntries[Work package ID],tblWorkPackages[[#This Row],[Work package ID]])</f>
        <v>45362.0</v>
      </c>
      <c r="AB1276" s="65">
        <f>IF(tblWorkPackages[[#This Row],[Completion date serial]]&gt;tblWorkPackages[[#This Row],[Due date serial]],1,0)</f>
        <v>1</v>
      </c>
      <c r="AC1276" s="65">
        <f>MAX(0,tblWorkPackages[[#This Row],[Completion date serial]]-tblWorkPackages[[#This Row],[Due date serial]])</f>
        <v>55</v>
      </c>
      <c r="AD1276" s="65">
        <f>tblWorkPackages[[#This Row],[First labor date]]-tblWorkPackages[[#This Row],[Request date serial]]</f>
        <v>58</v>
      </c>
      <c r="AE1276" s="65">
        <f>tblWorkPackages[[#This Row],[Last labor date]]-tblWorkPackages[[#This Row],[First labor date]]</f>
        <v>1</v>
      </c>
      <c r="AF1276" s="65">
        <f>tblWorkPackages[[#This Row],[Completion date serial]]-tblWorkPackages[[#This Row],[Last labor date]]</f>
        <v>2</v>
      </c>
      <c r="AG1276" s="65">
        <f>tblWorkPackages[[#This Row],[Completion date serial]]-tblWorkPackages[[#This Row],[Request date serial]]</f>
        <v>61</v>
      </c>
      <c r="AH1276" s="65">
        <f>IFERROR(INDEX(tblParts[Delay days],MATCH(tblWorkPackages[[#This Row],[Work package ID]],tblParts[Work package ID],0)),0)</f>
        <v>0</v>
      </c>
      <c r="AI1276" s="51" t="str">
        <f>IFERROR(INDEX(tblDisruptions[Event type],MATCH(tblWorkPackages[[#This Row],[Work package ID]],tblDisruptions[Work package ID],0)),"None")</f>
        <v>None</v>
      </c>
      <c r="AJ1276" s="51" t="str">
        <f>TEXT(tblWorkPackages[[#This Row],[Due date serial]],"yyyy-mm")</f>
        <v>2024-01</v>
      </c>
    </row>
    <row r="1277" spans="1:36" ht="15" x14ac:dyDescent="0.25">
      <c r="A1277" s="53" t="s">
        <v>2184</v>
      </c>
      <c r="B1277" s="53" t="s">
        <v>168</v>
      </c>
      <c r="C1277" s="53" t="s">
        <v>1324</v>
      </c>
      <c r="D1277" s="53" t="s">
        <v>1023</v>
      </c>
      <c r="E1277" s="53" t="s">
        <v>223</v>
      </c>
      <c r="F1277" s="53" t="s">
        <v>182</v>
      </c>
      <c r="G1277" s="53" t="s">
        <v>154</v>
      </c>
      <c r="H1277" s="53">
        <v>4</v>
      </c>
      <c r="I1277" s="53" t="s">
        <v>147</v>
      </c>
      <c r="J1277" s="53">
        <v>0</v>
      </c>
      <c r="K1277" s="53">
        <v>0</v>
      </c>
      <c r="L1277" s="53">
        <v>23.3</v>
      </c>
      <c r="M1277" s="53" t="s">
        <v>360</v>
      </c>
      <c r="N1277" s="53">
        <v>24.3</v>
      </c>
      <c r="O1277" s="51" t="str">
        <f>TEXT(tblWorkPackages[[#This Row],[Request date serial]]-WEEKDAY(tblWorkPackages[[#This Row],[Request date serial]],3),"yyyy-mm-dd")</f>
        <v>2024-07-01</v>
      </c>
      <c r="P1277" s="51">
        <f>ABS(tblWorkPackages[[#This Row],[Actual labor hours]]-tblWorkPackages[[#This Row],[Estimated labor hours]])</f>
        <v>1</v>
      </c>
      <c r="Q1277" s="51">
        <f>IF(tblWorkPackages[[#This Row],[Actual labor hours]]&gt;tblWorkPackages[[#This Row],[Estimated labor hours]],1,0)</f>
        <v>1</v>
      </c>
      <c r="R1277" s="51">
        <f>tblWorkPackages[[#This Row],[Actual labor hours]]-tblWorkPackages[[#This Row],[Estimated labor hours]]</f>
        <v>1</v>
      </c>
      <c r="S1277" s="51" t="str">
        <f>IF(tblWorkPackages[[#This Row],[Request date serial]]&lt;ValidationStart,"Train 2024",IF(tblWorkPackages[[#This Row],[Request date serial]]&lt;HoldoutStart,"Validation H1","Holdout H2"))</f>
        <v>Train 2024</v>
      </c>
      <c r="T1277" s="51" t="str">
        <f>IF(tblWorkPackages[[#This Row],[Time split]]="Train 2024","",tblWorkPackages[[#This Row],[Estimated labor hours]]+VLOOKUP(tblWorkPackages[[#This Row],[Task type]],'Forecast validation'!$A$14:$E$25,IF(tblWorkPackages[[#This Row],[Time split]]="Validation H1",4,5),FALSE()))</f>
        <v/>
      </c>
      <c r="U1277" s="51" t="str">
        <f>IF(tblWorkPackages[[#This Row],[Calibrated forecast hours]]="","",ABS(tblWorkPackages[[#This Row],[Actual labor hours]]-tblWorkPackages[[#This Row],[Calibrated forecast hours]]))</f>
        <v/>
      </c>
      <c r="V1277" s="51">
        <f>IF(tblWorkPackages[[#This Row],[Time split]]="Train 2024",tblWorkPackages[[#This Row],[Estimated labor hours]],tblWorkPackages[[#This Row],[Calibrated forecast hours]])</f>
        <v>23.3</v>
      </c>
      <c r="W1277" s="64">
        <f>DATEVALUE(tblWorkPackages[[#This Row],[Request date]])</f>
        <v>45476.0</v>
      </c>
      <c r="X1277" s="64">
        <f>DATEVALUE(tblWorkPackages[[#This Row],[Due date]])</f>
        <v>45478.0</v>
      </c>
      <c r="Y1277" s="64">
        <f>DATEVALUE(tblWorkPackages[[#This Row],[Completion date]])</f>
        <v>45489.0</v>
      </c>
      <c r="Z1277" s="64">
        <f>_xlfn.MINIFS(tblLaborEntries[Work date serial],tblLaborEntries[Work package ID],tblWorkPackages[[#This Row],[Work package ID]])</f>
        <v>45485.0</v>
      </c>
      <c r="AA1277" s="64">
        <f>_xlfn.MAXIFS(tblLaborEntries[Work date serial],tblLaborEntries[Work package ID],tblWorkPackages[[#This Row],[Work package ID]])</f>
        <v>45486.0</v>
      </c>
      <c r="AB1277" s="65">
        <f>IF(tblWorkPackages[[#This Row],[Completion date serial]]&gt;tblWorkPackages[[#This Row],[Due date serial]],1,0)</f>
        <v>1</v>
      </c>
      <c r="AC1277" s="65">
        <f>MAX(0,tblWorkPackages[[#This Row],[Completion date serial]]-tblWorkPackages[[#This Row],[Due date serial]])</f>
        <v>11</v>
      </c>
      <c r="AD1277" s="65">
        <f>tblWorkPackages[[#This Row],[First labor date]]-tblWorkPackages[[#This Row],[Request date serial]]</f>
        <v>9</v>
      </c>
      <c r="AE1277" s="65">
        <f>tblWorkPackages[[#This Row],[Last labor date]]-tblWorkPackages[[#This Row],[First labor date]]</f>
        <v>1</v>
      </c>
      <c r="AF1277" s="65">
        <f>tblWorkPackages[[#This Row],[Completion date serial]]-tblWorkPackages[[#This Row],[Last labor date]]</f>
        <v>3</v>
      </c>
      <c r="AG1277" s="65">
        <f>tblWorkPackages[[#This Row],[Completion date serial]]-tblWorkPackages[[#This Row],[Request date serial]]</f>
        <v>13</v>
      </c>
      <c r="AH1277" s="65">
        <f>IFERROR(INDEX(tblParts[Delay days],MATCH(tblWorkPackages[[#This Row],[Work package ID]],tblParts[Work package ID],0)),0)</f>
        <v>0</v>
      </c>
      <c r="AI1277" s="51" t="str">
        <f>IFERROR(INDEX(tblDisruptions[Event type],MATCH(tblWorkPackages[[#This Row],[Work package ID]],tblDisruptions[Work package ID],0)),"None")</f>
        <v>None</v>
      </c>
      <c r="AJ1277" s="51" t="str">
        <f>TEXT(tblWorkPackages[[#This Row],[Due date serial]],"yyyy-mm")</f>
        <v>2024-07</v>
      </c>
    </row>
    <row r="1278" spans="1:36" ht="15" x14ac:dyDescent="0.25">
      <c r="A1278" s="53" t="s">
        <v>2185</v>
      </c>
      <c r="B1278" s="53" t="s">
        <v>235</v>
      </c>
      <c r="C1278" s="53" t="s">
        <v>1297</v>
      </c>
      <c r="D1278" s="53" t="s">
        <v>537</v>
      </c>
      <c r="E1278" s="53" t="s">
        <v>136</v>
      </c>
      <c r="F1278" s="53" t="s">
        <v>137</v>
      </c>
      <c r="G1278" s="53" t="s">
        <v>138</v>
      </c>
      <c r="H1278" s="53">
        <v>3</v>
      </c>
      <c r="I1278" s="53" t="s">
        <v>130</v>
      </c>
      <c r="J1278" s="53">
        <v>0</v>
      </c>
      <c r="K1278" s="53">
        <v>0</v>
      </c>
      <c r="L1278" s="53">
        <v>17.3</v>
      </c>
      <c r="M1278" s="53" t="s">
        <v>1103</v>
      </c>
      <c r="N1278" s="53">
        <v>20.2</v>
      </c>
      <c r="O1278" s="51" t="str">
        <f>TEXT(tblWorkPackages[[#This Row],[Request date serial]]-WEEKDAY(tblWorkPackages[[#This Row],[Request date serial]],3),"yyyy-mm-dd")</f>
        <v>2025-11-03</v>
      </c>
      <c r="P1278" s="51">
        <f>ABS(tblWorkPackages[[#This Row],[Actual labor hours]]-tblWorkPackages[[#This Row],[Estimated labor hours]])</f>
        <v>2.9</v>
      </c>
      <c r="Q1278" s="51">
        <f>IF(tblWorkPackages[[#This Row],[Actual labor hours]]&gt;tblWorkPackages[[#This Row],[Estimated labor hours]],1,0)</f>
        <v>1</v>
      </c>
      <c r="R1278" s="51">
        <f>tblWorkPackages[[#This Row],[Actual labor hours]]-tblWorkPackages[[#This Row],[Estimated labor hours]]</f>
        <v>2.9</v>
      </c>
      <c r="S1278" s="51" t="str">
        <f>IF(tblWorkPackages[[#This Row],[Request date serial]]&lt;ValidationStart,"Train 2024",IF(tblWorkPackages[[#This Row],[Request date serial]]&lt;HoldoutStart,"Validation H1","Holdout H2"))</f>
        <v>Holdout H2</v>
      </c>
      <c r="T1278" s="51">
        <f>IF(tblWorkPackages[[#This Row],[Time split]]="Train 2024","",tblWorkPackages[[#This Row],[Estimated labor hours]]+VLOOKUP(tblWorkPackages[[#This Row],[Task type]],'Forecast validation'!$A$14:$E$25,IF(tblWorkPackages[[#This Row],[Time split]]="Validation H1",4,5),FALSE()))</f>
        <v>18.2207547169811</v>
      </c>
      <c r="U1278" s="51">
        <f>IF(tblWorkPackages[[#This Row],[Calibrated forecast hours]]="","",ABS(tblWorkPackages[[#This Row],[Actual labor hours]]-tblWorkPackages[[#This Row],[Calibrated forecast hours]]))</f>
        <v>1.97924528301887</v>
      </c>
      <c r="V1278" s="51">
        <f>IF(tblWorkPackages[[#This Row],[Time split]]="Train 2024",tblWorkPackages[[#This Row],[Estimated labor hours]],tblWorkPackages[[#This Row],[Calibrated forecast hours]])</f>
        <v>18.2207547169811</v>
      </c>
      <c r="W1278" s="64">
        <f>DATEVALUE(tblWorkPackages[[#This Row],[Request date]])</f>
        <v>45966.0</v>
      </c>
      <c r="X1278" s="64">
        <f>DATEVALUE(tblWorkPackages[[#This Row],[Due date]])</f>
        <v>45979.0</v>
      </c>
      <c r="Y1278" s="64">
        <f>DATEVALUE(tblWorkPackages[[#This Row],[Completion date]])</f>
        <v>45969.0</v>
      </c>
      <c r="Z1278" s="64">
        <f>_xlfn.MINIFS(tblLaborEntries[Work date serial],tblLaborEntries[Work package ID],tblWorkPackages[[#This Row],[Work package ID]])</f>
        <v>45968.0</v>
      </c>
      <c r="AA1278" s="64">
        <f>_xlfn.MAXIFS(tblLaborEntries[Work date serial],tblLaborEntries[Work package ID],tblWorkPackages[[#This Row],[Work package ID]])</f>
        <v>45969.0</v>
      </c>
      <c r="AB1278" s="65">
        <f>IF(tblWorkPackages[[#This Row],[Completion date serial]]&gt;tblWorkPackages[[#This Row],[Due date serial]],1,0)</f>
        <v>0</v>
      </c>
      <c r="AC1278" s="65">
        <f>MAX(0,tblWorkPackages[[#This Row],[Completion date serial]]-tblWorkPackages[[#This Row],[Due date serial]])</f>
        <v>0</v>
      </c>
      <c r="AD1278" s="65">
        <f>tblWorkPackages[[#This Row],[First labor date]]-tblWorkPackages[[#This Row],[Request date serial]]</f>
        <v>2</v>
      </c>
      <c r="AE1278" s="65">
        <f>tblWorkPackages[[#This Row],[Last labor date]]-tblWorkPackages[[#This Row],[First labor date]]</f>
        <v>1</v>
      </c>
      <c r="AF1278" s="65">
        <f>tblWorkPackages[[#This Row],[Completion date serial]]-tblWorkPackages[[#This Row],[Last labor date]]</f>
        <v>0</v>
      </c>
      <c r="AG1278" s="65">
        <f>tblWorkPackages[[#This Row],[Completion date serial]]-tblWorkPackages[[#This Row],[Request date serial]]</f>
        <v>3</v>
      </c>
      <c r="AH1278" s="65">
        <f>IFERROR(INDEX(tblParts[Delay days],MATCH(tblWorkPackages[[#This Row],[Work package ID]],tblParts[Work package ID],0)),0)</f>
        <v>0</v>
      </c>
      <c r="AI1278" s="51" t="str">
        <f>IFERROR(INDEX(tblDisruptions[Event type],MATCH(tblWorkPackages[[#This Row],[Work package ID]],tblDisruptions[Work package ID],0)),"None")</f>
        <v>None</v>
      </c>
      <c r="AJ1278" s="51" t="str">
        <f>TEXT(tblWorkPackages[[#This Row],[Due date serial]],"yyyy-mm")</f>
        <v>2025-11</v>
      </c>
    </row>
    <row r="1279" spans="1:36" ht="15" x14ac:dyDescent="0.25">
      <c r="A1279" s="53" t="s">
        <v>2186</v>
      </c>
      <c r="B1279" s="53" t="s">
        <v>141</v>
      </c>
      <c r="C1279" s="53" t="s">
        <v>1115</v>
      </c>
      <c r="D1279" s="53" t="s">
        <v>898</v>
      </c>
      <c r="E1279" s="53" t="s">
        <v>237</v>
      </c>
      <c r="F1279" s="53" t="s">
        <v>182</v>
      </c>
      <c r="G1279" s="53" t="s">
        <v>138</v>
      </c>
      <c r="H1279" s="53">
        <v>4</v>
      </c>
      <c r="I1279" s="53" t="s">
        <v>176</v>
      </c>
      <c r="J1279" s="53">
        <v>0</v>
      </c>
      <c r="K1279" s="53">
        <v>0</v>
      </c>
      <c r="L1279" s="53">
        <v>10.5</v>
      </c>
      <c r="M1279" s="53" t="s">
        <v>1108</v>
      </c>
      <c r="N1279" s="53">
        <v>10.8</v>
      </c>
      <c r="O1279" s="51" t="str">
        <f>TEXT(tblWorkPackages[[#This Row],[Request date serial]]-WEEKDAY(tblWorkPackages[[#This Row],[Request date serial]],3),"yyyy-mm-dd")</f>
        <v>2024-04-29</v>
      </c>
      <c r="P1279" s="51">
        <f>ABS(tblWorkPackages[[#This Row],[Actual labor hours]]-tblWorkPackages[[#This Row],[Estimated labor hours]])</f>
        <v>0.300000000000001</v>
      </c>
      <c r="Q1279" s="51">
        <f>IF(tblWorkPackages[[#This Row],[Actual labor hours]]&gt;tblWorkPackages[[#This Row],[Estimated labor hours]],1,0)</f>
        <v>1</v>
      </c>
      <c r="R1279" s="51">
        <f>tblWorkPackages[[#This Row],[Actual labor hours]]-tblWorkPackages[[#This Row],[Estimated labor hours]]</f>
        <v>0.300000000000001</v>
      </c>
      <c r="S1279" s="51" t="str">
        <f>IF(tblWorkPackages[[#This Row],[Request date serial]]&lt;ValidationStart,"Train 2024",IF(tblWorkPackages[[#This Row],[Request date serial]]&lt;HoldoutStart,"Validation H1","Holdout H2"))</f>
        <v>Train 2024</v>
      </c>
      <c r="T1279" s="51" t="str">
        <f>IF(tblWorkPackages[[#This Row],[Time split]]="Train 2024","",tblWorkPackages[[#This Row],[Estimated labor hours]]+VLOOKUP(tblWorkPackages[[#This Row],[Task type]],'Forecast validation'!$A$14:$E$25,IF(tblWorkPackages[[#This Row],[Time split]]="Validation H1",4,5),FALSE()))</f>
        <v/>
      </c>
      <c r="U1279" s="51" t="str">
        <f>IF(tblWorkPackages[[#This Row],[Calibrated forecast hours]]="","",ABS(tblWorkPackages[[#This Row],[Actual labor hours]]-tblWorkPackages[[#This Row],[Calibrated forecast hours]]))</f>
        <v/>
      </c>
      <c r="V1279" s="51">
        <f>IF(tblWorkPackages[[#This Row],[Time split]]="Train 2024",tblWorkPackages[[#This Row],[Estimated labor hours]],tblWorkPackages[[#This Row],[Calibrated forecast hours]])</f>
        <v>10.5</v>
      </c>
      <c r="W1279" s="64">
        <f>DATEVALUE(tblWorkPackages[[#This Row],[Request date]])</f>
        <v>45414.0</v>
      </c>
      <c r="X1279" s="64">
        <f>DATEVALUE(tblWorkPackages[[#This Row],[Due date]])</f>
        <v>45420.0</v>
      </c>
      <c r="Y1279" s="64">
        <f>DATEVALUE(tblWorkPackages[[#This Row],[Completion date]])</f>
        <v>45437.0</v>
      </c>
      <c r="Z1279" s="64">
        <f>_xlfn.MINIFS(tblLaborEntries[Work date serial],tblLaborEntries[Work package ID],tblWorkPackages[[#This Row],[Work package ID]])</f>
        <v>45436.0</v>
      </c>
      <c r="AA1279" s="64">
        <f>_xlfn.MAXIFS(tblLaborEntries[Work date serial],tblLaborEntries[Work package ID],tblWorkPackages[[#This Row],[Work package ID]])</f>
        <v>45436.0</v>
      </c>
      <c r="AB1279" s="65">
        <f>IF(tblWorkPackages[[#This Row],[Completion date serial]]&gt;tblWorkPackages[[#This Row],[Due date serial]],1,0)</f>
        <v>1</v>
      </c>
      <c r="AC1279" s="65">
        <f>MAX(0,tblWorkPackages[[#This Row],[Completion date serial]]-tblWorkPackages[[#This Row],[Due date serial]])</f>
        <v>17</v>
      </c>
      <c r="AD1279" s="65">
        <f>tblWorkPackages[[#This Row],[First labor date]]-tblWorkPackages[[#This Row],[Request date serial]]</f>
        <v>22</v>
      </c>
      <c r="AE1279" s="65">
        <f>tblWorkPackages[[#This Row],[Last labor date]]-tblWorkPackages[[#This Row],[First labor date]]</f>
        <v>0</v>
      </c>
      <c r="AF1279" s="65">
        <f>tblWorkPackages[[#This Row],[Completion date serial]]-tblWorkPackages[[#This Row],[Last labor date]]</f>
        <v>1</v>
      </c>
      <c r="AG1279" s="65">
        <f>tblWorkPackages[[#This Row],[Completion date serial]]-tblWorkPackages[[#This Row],[Request date serial]]</f>
        <v>23</v>
      </c>
      <c r="AH1279" s="65">
        <f>IFERROR(INDEX(tblParts[Delay days],MATCH(tblWorkPackages[[#This Row],[Work package ID]],tblParts[Work package ID],0)),0)</f>
        <v>0</v>
      </c>
      <c r="AI1279" s="51" t="str">
        <f>IFERROR(INDEX(tblDisruptions[Event type],MATCH(tblWorkPackages[[#This Row],[Work package ID]],tblDisruptions[Work package ID],0)),"None")</f>
        <v>None</v>
      </c>
      <c r="AJ1279" s="51" t="str">
        <f>TEXT(tblWorkPackages[[#This Row],[Due date serial]],"yyyy-mm")</f>
        <v>2024-05</v>
      </c>
    </row>
    <row r="1280" spans="1:36" ht="15" x14ac:dyDescent="0.25">
      <c r="A1280" s="53" t="s">
        <v>2187</v>
      </c>
      <c r="B1280" s="53" t="s">
        <v>185</v>
      </c>
      <c r="C1280" s="53" t="s">
        <v>697</v>
      </c>
      <c r="D1280" s="53" t="s">
        <v>1100</v>
      </c>
      <c r="E1280" s="53" t="s">
        <v>144</v>
      </c>
      <c r="F1280" s="53" t="s">
        <v>145</v>
      </c>
      <c r="G1280" s="53" t="s">
        <v>146</v>
      </c>
      <c r="H1280" s="53">
        <v>2</v>
      </c>
      <c r="I1280" s="53" t="s">
        <v>147</v>
      </c>
      <c r="J1280" s="53">
        <v>1</v>
      </c>
      <c r="K1280" s="53">
        <v>1</v>
      </c>
      <c r="L1280" s="53">
        <v>11.7</v>
      </c>
      <c r="M1280" s="53" t="s">
        <v>1246</v>
      </c>
      <c r="N1280" s="53">
        <v>22.4</v>
      </c>
      <c r="O1280" s="51" t="str">
        <f>TEXT(tblWorkPackages[[#This Row],[Request date serial]]-WEEKDAY(tblWorkPackages[[#This Row],[Request date serial]],3),"yyyy-mm-dd")</f>
        <v>2025-02-10</v>
      </c>
      <c r="P1280" s="51">
        <f>ABS(tblWorkPackages[[#This Row],[Actual labor hours]]-tblWorkPackages[[#This Row],[Estimated labor hours]])</f>
        <v>10.7</v>
      </c>
      <c r="Q1280" s="51">
        <f>IF(tblWorkPackages[[#This Row],[Actual labor hours]]&gt;tblWorkPackages[[#This Row],[Estimated labor hours]],1,0)</f>
        <v>1</v>
      </c>
      <c r="R1280" s="51">
        <f>tblWorkPackages[[#This Row],[Actual labor hours]]-tblWorkPackages[[#This Row],[Estimated labor hours]]</f>
        <v>10.7</v>
      </c>
      <c r="S1280" s="51" t="str">
        <f>IF(tblWorkPackages[[#This Row],[Request date serial]]&lt;ValidationStart,"Train 2024",IF(tblWorkPackages[[#This Row],[Request date serial]]&lt;HoldoutStart,"Validation H1","Holdout H2"))</f>
        <v>Validation H1</v>
      </c>
      <c r="T1280" s="51">
        <f>IF(tblWorkPackages[[#This Row],[Time split]]="Train 2024","",tblWorkPackages[[#This Row],[Estimated labor hours]]+VLOOKUP(tblWorkPackages[[#This Row],[Task type]],'Forecast validation'!$A$14:$E$25,IF(tblWorkPackages[[#This Row],[Time split]]="Validation H1",4,5),FALSE()))</f>
        <v>12.4547368421053</v>
      </c>
      <c r="U1280" s="51">
        <f>IF(tblWorkPackages[[#This Row],[Calibrated forecast hours]]="","",ABS(tblWorkPackages[[#This Row],[Actual labor hours]]-tblWorkPackages[[#This Row],[Calibrated forecast hours]]))</f>
        <v>9.94526315789474</v>
      </c>
      <c r="V1280" s="51">
        <f>IF(tblWorkPackages[[#This Row],[Time split]]="Train 2024",tblWorkPackages[[#This Row],[Estimated labor hours]],tblWorkPackages[[#This Row],[Calibrated forecast hours]])</f>
        <v>12.4547368421053</v>
      </c>
      <c r="W1280" s="64">
        <f>DATEVALUE(tblWorkPackages[[#This Row],[Request date]])</f>
        <v>45703.0</v>
      </c>
      <c r="X1280" s="64">
        <f>DATEVALUE(tblWorkPackages[[#This Row],[Due date]])</f>
        <v>45705.0</v>
      </c>
      <c r="Y1280" s="64">
        <f>DATEVALUE(tblWorkPackages[[#This Row],[Completion date]])</f>
        <v>45725.0</v>
      </c>
      <c r="Z1280" s="64">
        <f>_xlfn.MINIFS(tblLaborEntries[Work date serial],tblLaborEntries[Work package ID],tblWorkPackages[[#This Row],[Work package ID]])</f>
        <v>45721.0</v>
      </c>
      <c r="AA1280" s="64">
        <f>_xlfn.MAXIFS(tblLaborEntries[Work date serial],tblLaborEntries[Work package ID],tblWorkPackages[[#This Row],[Work package ID]])</f>
        <v>45723.0</v>
      </c>
      <c r="AB1280" s="65">
        <f>IF(tblWorkPackages[[#This Row],[Completion date serial]]&gt;tblWorkPackages[[#This Row],[Due date serial]],1,0)</f>
        <v>1</v>
      </c>
      <c r="AC1280" s="65">
        <f>MAX(0,tblWorkPackages[[#This Row],[Completion date serial]]-tblWorkPackages[[#This Row],[Due date serial]])</f>
        <v>20</v>
      </c>
      <c r="AD1280" s="65">
        <f>tblWorkPackages[[#This Row],[First labor date]]-tblWorkPackages[[#This Row],[Request date serial]]</f>
        <v>18</v>
      </c>
      <c r="AE1280" s="65">
        <f>tblWorkPackages[[#This Row],[Last labor date]]-tblWorkPackages[[#This Row],[First labor date]]</f>
        <v>2</v>
      </c>
      <c r="AF1280" s="65">
        <f>tblWorkPackages[[#This Row],[Completion date serial]]-tblWorkPackages[[#This Row],[Last labor date]]</f>
        <v>2</v>
      </c>
      <c r="AG1280" s="65">
        <f>tblWorkPackages[[#This Row],[Completion date serial]]-tblWorkPackages[[#This Row],[Request date serial]]</f>
        <v>22</v>
      </c>
      <c r="AH1280" s="65">
        <f>IFERROR(INDEX(tblParts[Delay days],MATCH(tblWorkPackages[[#This Row],[Work package ID]],tblParts[Work package ID],0)),0)</f>
        <v>14</v>
      </c>
      <c r="AI1280" s="51" t="str">
        <f>IFERROR(INDEX(tblDisruptions[Event type],MATCH(tblWorkPackages[[#This Row],[Work package ID]],tblDisruptions[Work package ID],0)),"None")</f>
        <v>Part delay</v>
      </c>
      <c r="AJ1280" s="51" t="str">
        <f>TEXT(tblWorkPackages[[#This Row],[Due date serial]],"yyyy-mm")</f>
        <v>2025-02</v>
      </c>
    </row>
    <row r="1281" spans="1:36" ht="15" x14ac:dyDescent="0.25">
      <c r="A1281" s="53" t="s">
        <v>2188</v>
      </c>
      <c r="B1281" s="53" t="s">
        <v>235</v>
      </c>
      <c r="C1281" s="53" t="s">
        <v>293</v>
      </c>
      <c r="D1281" s="53" t="s">
        <v>1346</v>
      </c>
      <c r="E1281" s="53" t="s">
        <v>127</v>
      </c>
      <c r="F1281" s="53" t="s">
        <v>128</v>
      </c>
      <c r="G1281" s="53" t="s">
        <v>129</v>
      </c>
      <c r="H1281" s="53">
        <v>3</v>
      </c>
      <c r="I1281" s="53" t="s">
        <v>147</v>
      </c>
      <c r="J1281" s="53">
        <v>0</v>
      </c>
      <c r="K1281" s="53">
        <v>0</v>
      </c>
      <c r="L1281" s="53">
        <v>9.1</v>
      </c>
      <c r="M1281" s="53" t="s">
        <v>392</v>
      </c>
      <c r="N1281" s="53">
        <v>7.6</v>
      </c>
      <c r="O1281" s="51" t="str">
        <f>TEXT(tblWorkPackages[[#This Row],[Request date serial]]-WEEKDAY(tblWorkPackages[[#This Row],[Request date serial]],3),"yyyy-mm-dd")</f>
        <v>2024-08-26</v>
      </c>
      <c r="P1281" s="51">
        <f>ABS(tblWorkPackages[[#This Row],[Actual labor hours]]-tblWorkPackages[[#This Row],[Estimated labor hours]])</f>
        <v>1.5</v>
      </c>
      <c r="Q1281" s="51">
        <f>IF(tblWorkPackages[[#This Row],[Actual labor hours]]&gt;tblWorkPackages[[#This Row],[Estimated labor hours]],1,0)</f>
        <v>0</v>
      </c>
      <c r="R1281" s="51">
        <f>tblWorkPackages[[#This Row],[Actual labor hours]]-tblWorkPackages[[#This Row],[Estimated labor hours]]</f>
        <v>-1.5</v>
      </c>
      <c r="S1281" s="51" t="str">
        <f>IF(tblWorkPackages[[#This Row],[Request date serial]]&lt;ValidationStart,"Train 2024",IF(tblWorkPackages[[#This Row],[Request date serial]]&lt;HoldoutStart,"Validation H1","Holdout H2"))</f>
        <v>Train 2024</v>
      </c>
      <c r="T1281" s="51" t="str">
        <f>IF(tblWorkPackages[[#This Row],[Time split]]="Train 2024","",tblWorkPackages[[#This Row],[Estimated labor hours]]+VLOOKUP(tblWorkPackages[[#This Row],[Task type]],'Forecast validation'!$A$14:$E$25,IF(tblWorkPackages[[#This Row],[Time split]]="Validation H1",4,5),FALSE()))</f>
        <v/>
      </c>
      <c r="U1281" s="51" t="str">
        <f>IF(tblWorkPackages[[#This Row],[Calibrated forecast hours]]="","",ABS(tblWorkPackages[[#This Row],[Actual labor hours]]-tblWorkPackages[[#This Row],[Calibrated forecast hours]]))</f>
        <v/>
      </c>
      <c r="V1281" s="51">
        <f>IF(tblWorkPackages[[#This Row],[Time split]]="Train 2024",tblWorkPackages[[#This Row],[Estimated labor hours]],tblWorkPackages[[#This Row],[Calibrated forecast hours]])</f>
        <v>9.1</v>
      </c>
      <c r="W1281" s="64">
        <f>DATEVALUE(tblWorkPackages[[#This Row],[Request date]])</f>
        <v>45530.0</v>
      </c>
      <c r="X1281" s="64">
        <f>DATEVALUE(tblWorkPackages[[#This Row],[Due date]])</f>
        <v>45532.0</v>
      </c>
      <c r="Y1281" s="64">
        <f>DATEVALUE(tblWorkPackages[[#This Row],[Completion date]])</f>
        <v>45534.0</v>
      </c>
      <c r="Z1281" s="64">
        <f>_xlfn.MINIFS(tblLaborEntries[Work date serial],tblLaborEntries[Work package ID],tblWorkPackages[[#This Row],[Work package ID]])</f>
        <v>45531.0</v>
      </c>
      <c r="AA1281" s="64">
        <f>_xlfn.MAXIFS(tblLaborEntries[Work date serial],tblLaborEntries[Work package ID],tblWorkPackages[[#This Row],[Work package ID]])</f>
        <v>45531.0</v>
      </c>
      <c r="AB1281" s="65">
        <f>IF(tblWorkPackages[[#This Row],[Completion date serial]]&gt;tblWorkPackages[[#This Row],[Due date serial]],1,0)</f>
        <v>1</v>
      </c>
      <c r="AC1281" s="65">
        <f>MAX(0,tblWorkPackages[[#This Row],[Completion date serial]]-tblWorkPackages[[#This Row],[Due date serial]])</f>
        <v>2</v>
      </c>
      <c r="AD1281" s="65">
        <f>tblWorkPackages[[#This Row],[First labor date]]-tblWorkPackages[[#This Row],[Request date serial]]</f>
        <v>1</v>
      </c>
      <c r="AE1281" s="65">
        <f>tblWorkPackages[[#This Row],[Last labor date]]-tblWorkPackages[[#This Row],[First labor date]]</f>
        <v>0</v>
      </c>
      <c r="AF1281" s="65">
        <f>tblWorkPackages[[#This Row],[Completion date serial]]-tblWorkPackages[[#This Row],[Last labor date]]</f>
        <v>3</v>
      </c>
      <c r="AG1281" s="65">
        <f>tblWorkPackages[[#This Row],[Completion date serial]]-tblWorkPackages[[#This Row],[Request date serial]]</f>
        <v>4</v>
      </c>
      <c r="AH1281" s="65">
        <f>IFERROR(INDEX(tblParts[Delay days],MATCH(tblWorkPackages[[#This Row],[Work package ID]],tblParts[Work package ID],0)),0)</f>
        <v>0</v>
      </c>
      <c r="AI1281" s="51" t="str">
        <f>IFERROR(INDEX(tblDisruptions[Event type],MATCH(tblWorkPackages[[#This Row],[Work package ID]],tblDisruptions[Work package ID],0)),"None")</f>
        <v>None</v>
      </c>
      <c r="AJ1281" s="51" t="str">
        <f>TEXT(tblWorkPackages[[#This Row],[Due date serial]],"yyyy-mm")</f>
        <v>2024-08</v>
      </c>
    </row>
    <row r="1282" spans="1:36" ht="15" x14ac:dyDescent="0.25">
      <c r="A1282" s="53" t="s">
        <v>2189</v>
      </c>
      <c r="B1282" s="53" t="s">
        <v>173</v>
      </c>
      <c r="C1282" s="53" t="s">
        <v>293</v>
      </c>
      <c r="D1282" s="53" t="s">
        <v>265</v>
      </c>
      <c r="E1282" s="53" t="s">
        <v>223</v>
      </c>
      <c r="F1282" s="53" t="s">
        <v>182</v>
      </c>
      <c r="G1282" s="53" t="s">
        <v>154</v>
      </c>
      <c r="H1282" s="53">
        <v>2</v>
      </c>
      <c r="I1282" s="53" t="s">
        <v>176</v>
      </c>
      <c r="J1282" s="53">
        <v>0</v>
      </c>
      <c r="K1282" s="53">
        <v>0</v>
      </c>
      <c r="L1282" s="53">
        <v>11.1</v>
      </c>
      <c r="M1282" s="53" t="s">
        <v>846</v>
      </c>
      <c r="N1282" s="53">
        <v>12.1</v>
      </c>
      <c r="O1282" s="51" t="str">
        <f>TEXT(tblWorkPackages[[#This Row],[Request date serial]]-WEEKDAY(tblWorkPackages[[#This Row],[Request date serial]],3),"yyyy-mm-dd")</f>
        <v>2024-08-26</v>
      </c>
      <c r="P1282" s="51">
        <f>ABS(tblWorkPackages[[#This Row],[Actual labor hours]]-tblWorkPackages[[#This Row],[Estimated labor hours]])</f>
        <v>1</v>
      </c>
      <c r="Q1282" s="51">
        <f>IF(tblWorkPackages[[#This Row],[Actual labor hours]]&gt;tblWorkPackages[[#This Row],[Estimated labor hours]],1,0)</f>
        <v>1</v>
      </c>
      <c r="R1282" s="51">
        <f>tblWorkPackages[[#This Row],[Actual labor hours]]-tblWorkPackages[[#This Row],[Estimated labor hours]]</f>
        <v>1</v>
      </c>
      <c r="S1282" s="51" t="str">
        <f>IF(tblWorkPackages[[#This Row],[Request date serial]]&lt;ValidationStart,"Train 2024",IF(tblWorkPackages[[#This Row],[Request date serial]]&lt;HoldoutStart,"Validation H1","Holdout H2"))</f>
        <v>Train 2024</v>
      </c>
      <c r="T1282" s="51" t="str">
        <f>IF(tblWorkPackages[[#This Row],[Time split]]="Train 2024","",tblWorkPackages[[#This Row],[Estimated labor hours]]+VLOOKUP(tblWorkPackages[[#This Row],[Task type]],'Forecast validation'!$A$14:$E$25,IF(tblWorkPackages[[#This Row],[Time split]]="Validation H1",4,5),FALSE()))</f>
        <v/>
      </c>
      <c r="U1282" s="51" t="str">
        <f>IF(tblWorkPackages[[#This Row],[Calibrated forecast hours]]="","",ABS(tblWorkPackages[[#This Row],[Actual labor hours]]-tblWorkPackages[[#This Row],[Calibrated forecast hours]]))</f>
        <v/>
      </c>
      <c r="V1282" s="51">
        <f>IF(tblWorkPackages[[#This Row],[Time split]]="Train 2024",tblWorkPackages[[#This Row],[Estimated labor hours]],tblWorkPackages[[#This Row],[Calibrated forecast hours]])</f>
        <v>11.1</v>
      </c>
      <c r="W1282" s="64">
        <f>DATEVALUE(tblWorkPackages[[#This Row],[Request date]])</f>
        <v>45530.0</v>
      </c>
      <c r="X1282" s="64">
        <f>DATEVALUE(tblWorkPackages[[#This Row],[Due date]])</f>
        <v>45536.0</v>
      </c>
      <c r="Y1282" s="64">
        <f>DATEVALUE(tblWorkPackages[[#This Row],[Completion date]])</f>
        <v>45542.0</v>
      </c>
      <c r="Z1282" s="64">
        <f>_xlfn.MINIFS(tblLaborEntries[Work date serial],tblLaborEntries[Work package ID],tblWorkPackages[[#This Row],[Work package ID]])</f>
        <v>45542.0</v>
      </c>
      <c r="AA1282" s="64">
        <f>_xlfn.MAXIFS(tblLaborEntries[Work date serial],tblLaborEntries[Work package ID],tblWorkPackages[[#This Row],[Work package ID]])</f>
        <v>45542.0</v>
      </c>
      <c r="AB1282" s="65">
        <f>IF(tblWorkPackages[[#This Row],[Completion date serial]]&gt;tblWorkPackages[[#This Row],[Due date serial]],1,0)</f>
        <v>1</v>
      </c>
      <c r="AC1282" s="65">
        <f>MAX(0,tblWorkPackages[[#This Row],[Completion date serial]]-tblWorkPackages[[#This Row],[Due date serial]])</f>
        <v>6</v>
      </c>
      <c r="AD1282" s="65">
        <f>tblWorkPackages[[#This Row],[First labor date]]-tblWorkPackages[[#This Row],[Request date serial]]</f>
        <v>12</v>
      </c>
      <c r="AE1282" s="65">
        <f>tblWorkPackages[[#This Row],[Last labor date]]-tblWorkPackages[[#This Row],[First labor date]]</f>
        <v>0</v>
      </c>
      <c r="AF1282" s="65">
        <f>tblWorkPackages[[#This Row],[Completion date serial]]-tblWorkPackages[[#This Row],[Last labor date]]</f>
        <v>0</v>
      </c>
      <c r="AG1282" s="65">
        <f>tblWorkPackages[[#This Row],[Completion date serial]]-tblWorkPackages[[#This Row],[Request date serial]]</f>
        <v>12</v>
      </c>
      <c r="AH1282" s="65">
        <f>IFERROR(INDEX(tblParts[Delay days],MATCH(tblWorkPackages[[#This Row],[Work package ID]],tblParts[Work package ID],0)),0)</f>
        <v>0</v>
      </c>
      <c r="AI1282" s="51" t="str">
        <f>IFERROR(INDEX(tblDisruptions[Event type],MATCH(tblWorkPackages[[#This Row],[Work package ID]],tblDisruptions[Work package ID],0)),"None")</f>
        <v>None</v>
      </c>
      <c r="AJ1282" s="51" t="str">
        <f>TEXT(tblWorkPackages[[#This Row],[Due date serial]],"yyyy-mm")</f>
        <v>2024-09</v>
      </c>
    </row>
    <row r="1283" spans="1:36" ht="15" x14ac:dyDescent="0.25">
      <c r="A1283" s="53" t="s">
        <v>2190</v>
      </c>
      <c r="B1283" s="53" t="s">
        <v>141</v>
      </c>
      <c r="C1283" s="53" t="s">
        <v>690</v>
      </c>
      <c r="D1283" s="53" t="s">
        <v>470</v>
      </c>
      <c r="E1283" s="53" t="s">
        <v>223</v>
      </c>
      <c r="F1283" s="53" t="s">
        <v>182</v>
      </c>
      <c r="G1283" s="53" t="s">
        <v>154</v>
      </c>
      <c r="H1283" s="53">
        <v>2</v>
      </c>
      <c r="I1283" s="53" t="s">
        <v>147</v>
      </c>
      <c r="J1283" s="53">
        <v>0</v>
      </c>
      <c r="K1283" s="53">
        <v>0</v>
      </c>
      <c r="L1283" s="53">
        <v>13.7</v>
      </c>
      <c r="M1283" s="53" t="s">
        <v>694</v>
      </c>
      <c r="N1283" s="53">
        <v>14.5</v>
      </c>
      <c r="O1283" s="51" t="str">
        <f>TEXT(tblWorkPackages[[#This Row],[Request date serial]]-WEEKDAY(tblWorkPackages[[#This Row],[Request date serial]],3),"yyyy-mm-dd")</f>
        <v>2024-04-15</v>
      </c>
      <c r="P1283" s="51">
        <f>ABS(tblWorkPackages[[#This Row],[Actual labor hours]]-tblWorkPackages[[#This Row],[Estimated labor hours]])</f>
        <v>0.800000000000001</v>
      </c>
      <c r="Q1283" s="51">
        <f>IF(tblWorkPackages[[#This Row],[Actual labor hours]]&gt;tblWorkPackages[[#This Row],[Estimated labor hours]],1,0)</f>
        <v>1</v>
      </c>
      <c r="R1283" s="51">
        <f>tblWorkPackages[[#This Row],[Actual labor hours]]-tblWorkPackages[[#This Row],[Estimated labor hours]]</f>
        <v>0.800000000000001</v>
      </c>
      <c r="S1283" s="51" t="str">
        <f>IF(tblWorkPackages[[#This Row],[Request date serial]]&lt;ValidationStart,"Train 2024",IF(tblWorkPackages[[#This Row],[Request date serial]]&lt;HoldoutStart,"Validation H1","Holdout H2"))</f>
        <v>Train 2024</v>
      </c>
      <c r="T1283" s="51" t="str">
        <f>IF(tblWorkPackages[[#This Row],[Time split]]="Train 2024","",tblWorkPackages[[#This Row],[Estimated labor hours]]+VLOOKUP(tblWorkPackages[[#This Row],[Task type]],'Forecast validation'!$A$14:$E$25,IF(tblWorkPackages[[#This Row],[Time split]]="Validation H1",4,5),FALSE()))</f>
        <v/>
      </c>
      <c r="U1283" s="51" t="str">
        <f>IF(tblWorkPackages[[#This Row],[Calibrated forecast hours]]="","",ABS(tblWorkPackages[[#This Row],[Actual labor hours]]-tblWorkPackages[[#This Row],[Calibrated forecast hours]]))</f>
        <v/>
      </c>
      <c r="V1283" s="51">
        <f>IF(tblWorkPackages[[#This Row],[Time split]]="Train 2024",tblWorkPackages[[#This Row],[Estimated labor hours]],tblWorkPackages[[#This Row],[Calibrated forecast hours]])</f>
        <v>13.7</v>
      </c>
      <c r="W1283" s="64">
        <f>DATEVALUE(tblWorkPackages[[#This Row],[Request date]])</f>
        <v>45398.0</v>
      </c>
      <c r="X1283" s="64">
        <f>DATEVALUE(tblWorkPackages[[#This Row],[Due date]])</f>
        <v>45400.0</v>
      </c>
      <c r="Y1283" s="64">
        <f>DATEVALUE(tblWorkPackages[[#This Row],[Completion date]])</f>
        <v>45404.0</v>
      </c>
      <c r="Z1283" s="64">
        <f>_xlfn.MINIFS(tblLaborEntries[Work date serial],tblLaborEntries[Work package ID],tblWorkPackages[[#This Row],[Work package ID]])</f>
        <v>45401.0</v>
      </c>
      <c r="AA1283" s="64">
        <f>_xlfn.MAXIFS(tblLaborEntries[Work date serial],tblLaborEntries[Work package ID],tblWorkPackages[[#This Row],[Work package ID]])</f>
        <v>45403.0</v>
      </c>
      <c r="AB1283" s="65">
        <f>IF(tblWorkPackages[[#This Row],[Completion date serial]]&gt;tblWorkPackages[[#This Row],[Due date serial]],1,0)</f>
        <v>1</v>
      </c>
      <c r="AC1283" s="65">
        <f>MAX(0,tblWorkPackages[[#This Row],[Completion date serial]]-tblWorkPackages[[#This Row],[Due date serial]])</f>
        <v>4</v>
      </c>
      <c r="AD1283" s="65">
        <f>tblWorkPackages[[#This Row],[First labor date]]-tblWorkPackages[[#This Row],[Request date serial]]</f>
        <v>3</v>
      </c>
      <c r="AE1283" s="65">
        <f>tblWorkPackages[[#This Row],[Last labor date]]-tblWorkPackages[[#This Row],[First labor date]]</f>
        <v>2</v>
      </c>
      <c r="AF1283" s="65">
        <f>tblWorkPackages[[#This Row],[Completion date serial]]-tblWorkPackages[[#This Row],[Last labor date]]</f>
        <v>1</v>
      </c>
      <c r="AG1283" s="65">
        <f>tblWorkPackages[[#This Row],[Completion date serial]]-tblWorkPackages[[#This Row],[Request date serial]]</f>
        <v>6</v>
      </c>
      <c r="AH1283" s="65">
        <f>IFERROR(INDEX(tblParts[Delay days],MATCH(tblWorkPackages[[#This Row],[Work package ID]],tblParts[Work package ID],0)),0)</f>
        <v>0</v>
      </c>
      <c r="AI1283" s="51" t="str">
        <f>IFERROR(INDEX(tblDisruptions[Event type],MATCH(tblWorkPackages[[#This Row],[Work package ID]],tblDisruptions[Work package ID],0)),"None")</f>
        <v>None</v>
      </c>
      <c r="AJ1283" s="51" t="str">
        <f>TEXT(tblWorkPackages[[#This Row],[Due date serial]],"yyyy-mm")</f>
        <v>2024-04</v>
      </c>
    </row>
    <row r="1284" spans="1:36" ht="15" x14ac:dyDescent="0.25">
      <c r="A1284" s="53" t="s">
        <v>2191</v>
      </c>
      <c r="B1284" s="53" t="s">
        <v>235</v>
      </c>
      <c r="C1284" s="53" t="s">
        <v>332</v>
      </c>
      <c r="D1284" s="53" t="s">
        <v>309</v>
      </c>
      <c r="E1284" s="53" t="s">
        <v>153</v>
      </c>
      <c r="F1284" s="53" t="s">
        <v>128</v>
      </c>
      <c r="G1284" s="53" t="s">
        <v>154</v>
      </c>
      <c r="H1284" s="53">
        <v>2</v>
      </c>
      <c r="I1284" s="53" t="s">
        <v>130</v>
      </c>
      <c r="J1284" s="53">
        <v>1</v>
      </c>
      <c r="K1284" s="53">
        <v>0</v>
      </c>
      <c r="L1284" s="53">
        <v>8.3000000000000007</v>
      </c>
      <c r="M1284" s="53" t="s">
        <v>1581</v>
      </c>
      <c r="N1284" s="53">
        <v>8.8000000000000007</v>
      </c>
      <c r="O1284" s="51" t="str">
        <f>TEXT(tblWorkPackages[[#This Row],[Request date serial]]-WEEKDAY(tblWorkPackages[[#This Row],[Request date serial]],3),"yyyy-mm-dd")</f>
        <v>2025-10-20</v>
      </c>
      <c r="P1284" s="51">
        <f>ABS(tblWorkPackages[[#This Row],[Actual labor hours]]-tblWorkPackages[[#This Row],[Estimated labor hours]])</f>
        <v>0.5</v>
      </c>
      <c r="Q1284" s="51">
        <f>IF(tblWorkPackages[[#This Row],[Actual labor hours]]&gt;tblWorkPackages[[#This Row],[Estimated labor hours]],1,0)</f>
        <v>1</v>
      </c>
      <c r="R1284" s="51">
        <f>tblWorkPackages[[#This Row],[Actual labor hours]]-tblWorkPackages[[#This Row],[Estimated labor hours]]</f>
        <v>0.5</v>
      </c>
      <c r="S1284" s="51" t="str">
        <f>IF(tblWorkPackages[[#This Row],[Request date serial]]&lt;ValidationStart,"Train 2024",IF(tblWorkPackages[[#This Row],[Request date serial]]&lt;HoldoutStart,"Validation H1","Holdout H2"))</f>
        <v>Holdout H2</v>
      </c>
      <c r="T1284" s="51">
        <f>IF(tblWorkPackages[[#This Row],[Time split]]="Train 2024","",tblWorkPackages[[#This Row],[Estimated labor hours]]+VLOOKUP(tblWorkPackages[[#This Row],[Task type]],'Forecast validation'!$A$14:$E$25,IF(tblWorkPackages[[#This Row],[Time split]]="Validation H1",4,5),FALSE()))</f>
        <v>8.90266666666667</v>
      </c>
      <c r="U1284" s="51">
        <f>IF(tblWorkPackages[[#This Row],[Calibrated forecast hours]]="","",ABS(tblWorkPackages[[#This Row],[Actual labor hours]]-tblWorkPackages[[#This Row],[Calibrated forecast hours]]))</f>
        <v>0.102666666666666</v>
      </c>
      <c r="V1284" s="51">
        <f>IF(tblWorkPackages[[#This Row],[Time split]]="Train 2024",tblWorkPackages[[#This Row],[Estimated labor hours]],tblWorkPackages[[#This Row],[Calibrated forecast hours]])</f>
        <v>8.90266666666667</v>
      </c>
      <c r="W1284" s="64">
        <f>DATEVALUE(tblWorkPackages[[#This Row],[Request date]])</f>
        <v>45954.0</v>
      </c>
      <c r="X1284" s="64">
        <f>DATEVALUE(tblWorkPackages[[#This Row],[Due date]])</f>
        <v>45967.0</v>
      </c>
      <c r="Y1284" s="64">
        <f>DATEVALUE(tblWorkPackages[[#This Row],[Completion date]])</f>
        <v>45992.0</v>
      </c>
      <c r="Z1284" s="64">
        <f>_xlfn.MINIFS(tblLaborEntries[Work date serial],tblLaborEntries[Work package ID],tblWorkPackages[[#This Row],[Work package ID]])</f>
        <v>45989.0</v>
      </c>
      <c r="AA1284" s="64">
        <f>_xlfn.MAXIFS(tblLaborEntries[Work date serial],tblLaborEntries[Work package ID],tblWorkPackages[[#This Row],[Work package ID]])</f>
        <v>45990.0</v>
      </c>
      <c r="AB1284" s="65">
        <f>IF(tblWorkPackages[[#This Row],[Completion date serial]]&gt;tblWorkPackages[[#This Row],[Due date serial]],1,0)</f>
        <v>1</v>
      </c>
      <c r="AC1284" s="65">
        <f>MAX(0,tblWorkPackages[[#This Row],[Completion date serial]]-tblWorkPackages[[#This Row],[Due date serial]])</f>
        <v>25</v>
      </c>
      <c r="AD1284" s="65">
        <f>tblWorkPackages[[#This Row],[First labor date]]-tblWorkPackages[[#This Row],[Request date serial]]</f>
        <v>35</v>
      </c>
      <c r="AE1284" s="65">
        <f>tblWorkPackages[[#This Row],[Last labor date]]-tblWorkPackages[[#This Row],[First labor date]]</f>
        <v>1</v>
      </c>
      <c r="AF1284" s="65">
        <f>tblWorkPackages[[#This Row],[Completion date serial]]-tblWorkPackages[[#This Row],[Last labor date]]</f>
        <v>2</v>
      </c>
      <c r="AG1284" s="65">
        <f>tblWorkPackages[[#This Row],[Completion date serial]]-tblWorkPackages[[#This Row],[Request date serial]]</f>
        <v>38</v>
      </c>
      <c r="AH1284" s="65">
        <f>IFERROR(INDEX(tblParts[Delay days],MATCH(tblWorkPackages[[#This Row],[Work package ID]],tblParts[Work package ID],0)),0)</f>
        <v>0</v>
      </c>
      <c r="AI1284" s="51" t="str">
        <f>IFERROR(INDEX(tblDisruptions[Event type],MATCH(tblWorkPackages[[#This Row],[Work package ID]],tblDisruptions[Work package ID],0)),"None")</f>
        <v>None</v>
      </c>
      <c r="AJ1284" s="51" t="str">
        <f>TEXT(tblWorkPackages[[#This Row],[Due date serial]],"yyyy-mm")</f>
        <v>2025-11</v>
      </c>
    </row>
    <row r="1285" spans="1:36" ht="15" x14ac:dyDescent="0.25">
      <c r="A1285" s="53" t="s">
        <v>2192</v>
      </c>
      <c r="B1285" s="53" t="s">
        <v>230</v>
      </c>
      <c r="C1285" s="53" t="s">
        <v>1035</v>
      </c>
      <c r="D1285" s="53" t="s">
        <v>1118</v>
      </c>
      <c r="E1285" s="53" t="s">
        <v>223</v>
      </c>
      <c r="F1285" s="53" t="s">
        <v>182</v>
      </c>
      <c r="G1285" s="53" t="s">
        <v>154</v>
      </c>
      <c r="H1285" s="53">
        <v>1</v>
      </c>
      <c r="I1285" s="53" t="s">
        <v>130</v>
      </c>
      <c r="J1285" s="53">
        <v>0</v>
      </c>
      <c r="K1285" s="53">
        <v>0</v>
      </c>
      <c r="L1285" s="53">
        <v>9.1</v>
      </c>
      <c r="M1285" s="53" t="s">
        <v>713</v>
      </c>
      <c r="N1285" s="53">
        <v>10.4</v>
      </c>
      <c r="O1285" s="51" t="str">
        <f>TEXT(tblWorkPackages[[#This Row],[Request date serial]]-WEEKDAY(tblWorkPackages[[#This Row],[Request date serial]],3),"yyyy-mm-dd")</f>
        <v>2025-06-02</v>
      </c>
      <c r="P1285" s="51">
        <f>ABS(tblWorkPackages[[#This Row],[Actual labor hours]]-tblWorkPackages[[#This Row],[Estimated labor hours]])</f>
        <v>1.3</v>
      </c>
      <c r="Q1285" s="51">
        <f>IF(tblWorkPackages[[#This Row],[Actual labor hours]]&gt;tblWorkPackages[[#This Row],[Estimated labor hours]],1,0)</f>
        <v>1</v>
      </c>
      <c r="R1285" s="51">
        <f>tblWorkPackages[[#This Row],[Actual labor hours]]-tblWorkPackages[[#This Row],[Estimated labor hours]]</f>
        <v>1.3</v>
      </c>
      <c r="S1285" s="51" t="str">
        <f>IF(tblWorkPackages[[#This Row],[Request date serial]]&lt;ValidationStart,"Train 2024",IF(tblWorkPackages[[#This Row],[Request date serial]]&lt;HoldoutStart,"Validation H1","Holdout H2"))</f>
        <v>Validation H1</v>
      </c>
      <c r="T1285" s="51">
        <f>IF(tblWorkPackages[[#This Row],[Time split]]="Train 2024","",tblWorkPackages[[#This Row],[Estimated labor hours]]+VLOOKUP(tblWorkPackages[[#This Row],[Task type]],'Forecast validation'!$A$14:$E$25,IF(tblWorkPackages[[#This Row],[Time split]]="Validation H1",4,5),FALSE()))</f>
        <v>9.98241758241758</v>
      </c>
      <c r="U1285" s="51">
        <f>IF(tblWorkPackages[[#This Row],[Calibrated forecast hours]]="","",ABS(tblWorkPackages[[#This Row],[Actual labor hours]]-tblWorkPackages[[#This Row],[Calibrated forecast hours]]))</f>
        <v>0.417582417582418</v>
      </c>
      <c r="V1285" s="51">
        <f>IF(tblWorkPackages[[#This Row],[Time split]]="Train 2024",tblWorkPackages[[#This Row],[Estimated labor hours]],tblWorkPackages[[#This Row],[Calibrated forecast hours]])</f>
        <v>9.98241758241758</v>
      </c>
      <c r="W1285" s="64">
        <f>DATEVALUE(tblWorkPackages[[#This Row],[Request date]])</f>
        <v>45811.0</v>
      </c>
      <c r="X1285" s="64">
        <f>DATEVALUE(tblWorkPackages[[#This Row],[Due date]])</f>
        <v>45824.0</v>
      </c>
      <c r="Y1285" s="64">
        <f>DATEVALUE(tblWorkPackages[[#This Row],[Completion date]])</f>
        <v>45823.0</v>
      </c>
      <c r="Z1285" s="64">
        <f>_xlfn.MINIFS(tblLaborEntries[Work date serial],tblLaborEntries[Work package ID],tblWorkPackages[[#This Row],[Work package ID]])</f>
        <v>45818.0</v>
      </c>
      <c r="AA1285" s="64">
        <f>_xlfn.MAXIFS(tblLaborEntries[Work date serial],tblLaborEntries[Work package ID],tblWorkPackages[[#This Row],[Work package ID]])</f>
        <v>45820.0</v>
      </c>
      <c r="AB1285" s="65">
        <f>IF(tblWorkPackages[[#This Row],[Completion date serial]]&gt;tblWorkPackages[[#This Row],[Due date serial]],1,0)</f>
        <v>0</v>
      </c>
      <c r="AC1285" s="65">
        <f>MAX(0,tblWorkPackages[[#This Row],[Completion date serial]]-tblWorkPackages[[#This Row],[Due date serial]])</f>
        <v>0</v>
      </c>
      <c r="AD1285" s="65">
        <f>tblWorkPackages[[#This Row],[First labor date]]-tblWorkPackages[[#This Row],[Request date serial]]</f>
        <v>7</v>
      </c>
      <c r="AE1285" s="65">
        <f>tblWorkPackages[[#This Row],[Last labor date]]-tblWorkPackages[[#This Row],[First labor date]]</f>
        <v>2</v>
      </c>
      <c r="AF1285" s="65">
        <f>tblWorkPackages[[#This Row],[Completion date serial]]-tblWorkPackages[[#This Row],[Last labor date]]</f>
        <v>3</v>
      </c>
      <c r="AG1285" s="65">
        <f>tblWorkPackages[[#This Row],[Completion date serial]]-tblWorkPackages[[#This Row],[Request date serial]]</f>
        <v>12</v>
      </c>
      <c r="AH1285" s="65">
        <f>IFERROR(INDEX(tblParts[Delay days],MATCH(tblWorkPackages[[#This Row],[Work package ID]],tblParts[Work package ID],0)),0)</f>
        <v>0</v>
      </c>
      <c r="AI1285" s="51" t="str">
        <f>IFERROR(INDEX(tblDisruptions[Event type],MATCH(tblWorkPackages[[#This Row],[Work package ID]],tblDisruptions[Work package ID],0)),"None")</f>
        <v>None</v>
      </c>
      <c r="AJ1285" s="51" t="str">
        <f>TEXT(tblWorkPackages[[#This Row],[Due date serial]],"yyyy-mm")</f>
        <v>2025-06</v>
      </c>
    </row>
    <row r="1286" spans="1:36" ht="15" x14ac:dyDescent="0.25">
      <c r="A1286" s="53" t="s">
        <v>2193</v>
      </c>
      <c r="B1286" s="53" t="s">
        <v>133</v>
      </c>
      <c r="C1286" s="53" t="s">
        <v>205</v>
      </c>
      <c r="D1286" s="53" t="s">
        <v>555</v>
      </c>
      <c r="E1286" s="53" t="s">
        <v>242</v>
      </c>
      <c r="F1286" s="53" t="s">
        <v>243</v>
      </c>
      <c r="G1286" s="53" t="s">
        <v>129</v>
      </c>
      <c r="H1286" s="53">
        <v>3</v>
      </c>
      <c r="I1286" s="53" t="s">
        <v>130</v>
      </c>
      <c r="J1286" s="53">
        <v>0</v>
      </c>
      <c r="K1286" s="53">
        <v>0</v>
      </c>
      <c r="L1286" s="53">
        <v>10</v>
      </c>
      <c r="M1286" s="53" t="s">
        <v>599</v>
      </c>
      <c r="N1286" s="53">
        <v>12.1</v>
      </c>
      <c r="O1286" s="51" t="str">
        <f>TEXT(tblWorkPackages[[#This Row],[Request date serial]]-WEEKDAY(tblWorkPackages[[#This Row],[Request date serial]],3),"yyyy-mm-dd")</f>
        <v>2024-11-11</v>
      </c>
      <c r="P1286" s="51">
        <f>ABS(tblWorkPackages[[#This Row],[Actual labor hours]]-tblWorkPackages[[#This Row],[Estimated labor hours]])</f>
        <v>2.1</v>
      </c>
      <c r="Q1286" s="51">
        <f>IF(tblWorkPackages[[#This Row],[Actual labor hours]]&gt;tblWorkPackages[[#This Row],[Estimated labor hours]],1,0)</f>
        <v>1</v>
      </c>
      <c r="R1286" s="51">
        <f>tblWorkPackages[[#This Row],[Actual labor hours]]-tblWorkPackages[[#This Row],[Estimated labor hours]]</f>
        <v>2.1</v>
      </c>
      <c r="S1286" s="51" t="str">
        <f>IF(tblWorkPackages[[#This Row],[Request date serial]]&lt;ValidationStart,"Train 2024",IF(tblWorkPackages[[#This Row],[Request date serial]]&lt;HoldoutStart,"Validation H1","Holdout H2"))</f>
        <v>Train 2024</v>
      </c>
      <c r="T1286" s="51" t="str">
        <f>IF(tblWorkPackages[[#This Row],[Time split]]="Train 2024","",tblWorkPackages[[#This Row],[Estimated labor hours]]+VLOOKUP(tblWorkPackages[[#This Row],[Task type]],'Forecast validation'!$A$14:$E$25,IF(tblWorkPackages[[#This Row],[Time split]]="Validation H1",4,5),FALSE()))</f>
        <v/>
      </c>
      <c r="U1286" s="51" t="str">
        <f>IF(tblWorkPackages[[#This Row],[Calibrated forecast hours]]="","",ABS(tblWorkPackages[[#This Row],[Actual labor hours]]-tblWorkPackages[[#This Row],[Calibrated forecast hours]]))</f>
        <v/>
      </c>
      <c r="V1286" s="51">
        <f>IF(tblWorkPackages[[#This Row],[Time split]]="Train 2024",tblWorkPackages[[#This Row],[Estimated labor hours]],tblWorkPackages[[#This Row],[Calibrated forecast hours]])</f>
        <v>10</v>
      </c>
      <c r="W1286" s="64">
        <f>DATEVALUE(tblWorkPackages[[#This Row],[Request date]])</f>
        <v>45609.0</v>
      </c>
      <c r="X1286" s="64">
        <f>DATEVALUE(tblWorkPackages[[#This Row],[Due date]])</f>
        <v>45622.0</v>
      </c>
      <c r="Y1286" s="64">
        <f>DATEVALUE(tblWorkPackages[[#This Row],[Completion date]])</f>
        <v>45612.0</v>
      </c>
      <c r="Z1286" s="64">
        <f>_xlfn.MINIFS(tblLaborEntries[Work date serial],tblLaborEntries[Work package ID],tblWorkPackages[[#This Row],[Work package ID]])</f>
        <v>45611.0</v>
      </c>
      <c r="AA1286" s="64">
        <f>_xlfn.MAXIFS(tblLaborEntries[Work date serial],tblLaborEntries[Work package ID],tblWorkPackages[[#This Row],[Work package ID]])</f>
        <v>45612.0</v>
      </c>
      <c r="AB1286" s="65">
        <f>IF(tblWorkPackages[[#This Row],[Completion date serial]]&gt;tblWorkPackages[[#This Row],[Due date serial]],1,0)</f>
        <v>0</v>
      </c>
      <c r="AC1286" s="65">
        <f>MAX(0,tblWorkPackages[[#This Row],[Completion date serial]]-tblWorkPackages[[#This Row],[Due date serial]])</f>
        <v>0</v>
      </c>
      <c r="AD1286" s="65">
        <f>tblWorkPackages[[#This Row],[First labor date]]-tblWorkPackages[[#This Row],[Request date serial]]</f>
        <v>2</v>
      </c>
      <c r="AE1286" s="65">
        <f>tblWorkPackages[[#This Row],[Last labor date]]-tblWorkPackages[[#This Row],[First labor date]]</f>
        <v>1</v>
      </c>
      <c r="AF1286" s="65">
        <f>tblWorkPackages[[#This Row],[Completion date serial]]-tblWorkPackages[[#This Row],[Last labor date]]</f>
        <v>0</v>
      </c>
      <c r="AG1286" s="65">
        <f>tblWorkPackages[[#This Row],[Completion date serial]]-tblWorkPackages[[#This Row],[Request date serial]]</f>
        <v>3</v>
      </c>
      <c r="AH1286" s="65">
        <f>IFERROR(INDEX(tblParts[Delay days],MATCH(tblWorkPackages[[#This Row],[Work package ID]],tblParts[Work package ID],0)),0)</f>
        <v>0</v>
      </c>
      <c r="AI1286" s="51" t="str">
        <f>IFERROR(INDEX(tblDisruptions[Event type],MATCH(tblWorkPackages[[#This Row],[Work package ID]],tblDisruptions[Work package ID],0)),"None")</f>
        <v>None</v>
      </c>
      <c r="AJ1286" s="51" t="str">
        <f>TEXT(tblWorkPackages[[#This Row],[Due date serial]],"yyyy-mm")</f>
        <v>2024-11</v>
      </c>
    </row>
    <row r="1287" spans="1:36" ht="15" x14ac:dyDescent="0.25">
      <c r="A1287" s="53" t="s">
        <v>2194</v>
      </c>
      <c r="B1287" s="53" t="s">
        <v>173</v>
      </c>
      <c r="C1287" s="53" t="s">
        <v>1073</v>
      </c>
      <c r="D1287" s="53" t="s">
        <v>224</v>
      </c>
      <c r="E1287" s="53" t="s">
        <v>200</v>
      </c>
      <c r="F1287" s="53" t="s">
        <v>128</v>
      </c>
      <c r="G1287" s="53" t="s">
        <v>129</v>
      </c>
      <c r="H1287" s="53">
        <v>3</v>
      </c>
      <c r="I1287" s="53" t="s">
        <v>176</v>
      </c>
      <c r="J1287" s="53">
        <v>0</v>
      </c>
      <c r="K1287" s="53">
        <v>0</v>
      </c>
      <c r="L1287" s="53">
        <v>3.7</v>
      </c>
      <c r="M1287" s="53" t="s">
        <v>395</v>
      </c>
      <c r="N1287" s="53">
        <v>4.5999999999999996</v>
      </c>
      <c r="O1287" s="51" t="str">
        <f>TEXT(tblWorkPackages[[#This Row],[Request date serial]]-WEEKDAY(tblWorkPackages[[#This Row],[Request date serial]],3),"yyyy-mm-dd")</f>
        <v>2024-12-16</v>
      </c>
      <c r="P1287" s="51">
        <f>ABS(tblWorkPackages[[#This Row],[Actual labor hours]]-tblWorkPackages[[#This Row],[Estimated labor hours]])</f>
        <v>0.9</v>
      </c>
      <c r="Q1287" s="51">
        <f>IF(tblWorkPackages[[#This Row],[Actual labor hours]]&gt;tblWorkPackages[[#This Row],[Estimated labor hours]],1,0)</f>
        <v>1</v>
      </c>
      <c r="R1287" s="51">
        <f>tblWorkPackages[[#This Row],[Actual labor hours]]-tblWorkPackages[[#This Row],[Estimated labor hours]]</f>
        <v>0.9</v>
      </c>
      <c r="S1287" s="51" t="str">
        <f>IF(tblWorkPackages[[#This Row],[Request date serial]]&lt;ValidationStart,"Train 2024",IF(tblWorkPackages[[#This Row],[Request date serial]]&lt;HoldoutStart,"Validation H1","Holdout H2"))</f>
        <v>Train 2024</v>
      </c>
      <c r="T1287" s="51" t="str">
        <f>IF(tblWorkPackages[[#This Row],[Time split]]="Train 2024","",tblWorkPackages[[#This Row],[Estimated labor hours]]+VLOOKUP(tblWorkPackages[[#This Row],[Task type]],'Forecast validation'!$A$14:$E$25,IF(tblWorkPackages[[#This Row],[Time split]]="Validation H1",4,5),FALSE()))</f>
        <v/>
      </c>
      <c r="U1287" s="51" t="str">
        <f>IF(tblWorkPackages[[#This Row],[Calibrated forecast hours]]="","",ABS(tblWorkPackages[[#This Row],[Actual labor hours]]-tblWorkPackages[[#This Row],[Calibrated forecast hours]]))</f>
        <v/>
      </c>
      <c r="V1287" s="51">
        <f>IF(tblWorkPackages[[#This Row],[Time split]]="Train 2024",tblWorkPackages[[#This Row],[Estimated labor hours]],tblWorkPackages[[#This Row],[Calibrated forecast hours]])</f>
        <v>3.7</v>
      </c>
      <c r="W1287" s="64">
        <f>DATEVALUE(tblWorkPackages[[#This Row],[Request date]])</f>
        <v>45642.0</v>
      </c>
      <c r="X1287" s="64">
        <f>DATEVALUE(tblWorkPackages[[#This Row],[Due date]])</f>
        <v>45648.0</v>
      </c>
      <c r="Y1287" s="64">
        <f>DATEVALUE(tblWorkPackages[[#This Row],[Completion date]])</f>
        <v>45659.0</v>
      </c>
      <c r="Z1287" s="64">
        <f>_xlfn.MINIFS(tblLaborEntries[Work date serial],tblLaborEntries[Work package ID],tblWorkPackages[[#This Row],[Work package ID]])</f>
        <v>45657.0</v>
      </c>
      <c r="AA1287" s="64">
        <f>_xlfn.MAXIFS(tblLaborEntries[Work date serial],tblLaborEntries[Work package ID],tblWorkPackages[[#This Row],[Work package ID]])</f>
        <v>45658.0</v>
      </c>
      <c r="AB1287" s="65">
        <f>IF(tblWorkPackages[[#This Row],[Completion date serial]]&gt;tblWorkPackages[[#This Row],[Due date serial]],1,0)</f>
        <v>1</v>
      </c>
      <c r="AC1287" s="65">
        <f>MAX(0,tblWorkPackages[[#This Row],[Completion date serial]]-tblWorkPackages[[#This Row],[Due date serial]])</f>
        <v>11</v>
      </c>
      <c r="AD1287" s="65">
        <f>tblWorkPackages[[#This Row],[First labor date]]-tblWorkPackages[[#This Row],[Request date serial]]</f>
        <v>15</v>
      </c>
      <c r="AE1287" s="65">
        <f>tblWorkPackages[[#This Row],[Last labor date]]-tblWorkPackages[[#This Row],[First labor date]]</f>
        <v>1</v>
      </c>
      <c r="AF1287" s="65">
        <f>tblWorkPackages[[#This Row],[Completion date serial]]-tblWorkPackages[[#This Row],[Last labor date]]</f>
        <v>1</v>
      </c>
      <c r="AG1287" s="65">
        <f>tblWorkPackages[[#This Row],[Completion date serial]]-tblWorkPackages[[#This Row],[Request date serial]]</f>
        <v>17</v>
      </c>
      <c r="AH1287" s="65">
        <f>IFERROR(INDEX(tblParts[Delay days],MATCH(tblWorkPackages[[#This Row],[Work package ID]],tblParts[Work package ID],0)),0)</f>
        <v>0</v>
      </c>
      <c r="AI1287" s="51" t="str">
        <f>IFERROR(INDEX(tblDisruptions[Event type],MATCH(tblWorkPackages[[#This Row],[Work package ID]],tblDisruptions[Work package ID],0)),"None")</f>
        <v>None</v>
      </c>
      <c r="AJ1287" s="51" t="str">
        <f>TEXT(tblWorkPackages[[#This Row],[Due date serial]],"yyyy-mm")</f>
        <v>2024-12</v>
      </c>
    </row>
    <row r="1288" spans="1:36" ht="15" x14ac:dyDescent="0.25">
      <c r="A1288" s="53" t="s">
        <v>2195</v>
      </c>
      <c r="B1288" s="53" t="s">
        <v>173</v>
      </c>
      <c r="C1288" s="53" t="s">
        <v>1178</v>
      </c>
      <c r="D1288" s="53" t="s">
        <v>683</v>
      </c>
      <c r="E1288" s="53" t="s">
        <v>127</v>
      </c>
      <c r="F1288" s="53" t="s">
        <v>128</v>
      </c>
      <c r="G1288" s="53" t="s">
        <v>129</v>
      </c>
      <c r="H1288" s="53">
        <v>3</v>
      </c>
      <c r="I1288" s="53" t="s">
        <v>130</v>
      </c>
      <c r="J1288" s="53">
        <v>0</v>
      </c>
      <c r="K1288" s="53">
        <v>1</v>
      </c>
      <c r="L1288" s="53">
        <v>8.3000000000000007</v>
      </c>
      <c r="M1288" s="53" t="s">
        <v>670</v>
      </c>
      <c r="N1288" s="53">
        <v>10.3</v>
      </c>
      <c r="O1288" s="51" t="str">
        <f>TEXT(tblWorkPackages[[#This Row],[Request date serial]]-WEEKDAY(tblWorkPackages[[#This Row],[Request date serial]],3),"yyyy-mm-dd")</f>
        <v>2025-09-15</v>
      </c>
      <c r="P1288" s="51">
        <f>ABS(tblWorkPackages[[#This Row],[Actual labor hours]]-tblWorkPackages[[#This Row],[Estimated labor hours]])</f>
        <v>2</v>
      </c>
      <c r="Q1288" s="51">
        <f>IF(tblWorkPackages[[#This Row],[Actual labor hours]]&gt;tblWorkPackages[[#This Row],[Estimated labor hours]],1,0)</f>
        <v>1</v>
      </c>
      <c r="R1288" s="51">
        <f>tblWorkPackages[[#This Row],[Actual labor hours]]-tblWorkPackages[[#This Row],[Estimated labor hours]]</f>
        <v>2</v>
      </c>
      <c r="S1288" s="51" t="str">
        <f>IF(tblWorkPackages[[#This Row],[Request date serial]]&lt;ValidationStart,"Train 2024",IF(tblWorkPackages[[#This Row],[Request date serial]]&lt;HoldoutStart,"Validation H1","Holdout H2"))</f>
        <v>Holdout H2</v>
      </c>
      <c r="T1288" s="51">
        <f>IF(tblWorkPackages[[#This Row],[Time split]]="Train 2024","",tblWorkPackages[[#This Row],[Estimated labor hours]]+VLOOKUP(tblWorkPackages[[#This Row],[Task type]],'Forecast validation'!$A$14:$E$25,IF(tblWorkPackages[[#This Row],[Time split]]="Validation H1",4,5),FALSE()))</f>
        <v>8.84341085271318</v>
      </c>
      <c r="U1288" s="51">
        <f>IF(tblWorkPackages[[#This Row],[Calibrated forecast hours]]="","",ABS(tblWorkPackages[[#This Row],[Actual labor hours]]-tblWorkPackages[[#This Row],[Calibrated forecast hours]]))</f>
        <v>1.45658914728682</v>
      </c>
      <c r="V1288" s="51">
        <f>IF(tblWorkPackages[[#This Row],[Time split]]="Train 2024",tblWorkPackages[[#This Row],[Estimated labor hours]],tblWorkPackages[[#This Row],[Calibrated forecast hours]])</f>
        <v>8.84341085271318</v>
      </c>
      <c r="W1288" s="64">
        <f>DATEVALUE(tblWorkPackages[[#This Row],[Request date]])</f>
        <v>45919.0</v>
      </c>
      <c r="X1288" s="64">
        <f>DATEVALUE(tblWorkPackages[[#This Row],[Due date]])</f>
        <v>45932.0</v>
      </c>
      <c r="Y1288" s="64">
        <f>DATEVALUE(tblWorkPackages[[#This Row],[Completion date]])</f>
        <v>45926.0</v>
      </c>
      <c r="Z1288" s="64">
        <f>_xlfn.MINIFS(tblLaborEntries[Work date serial],tblLaborEntries[Work package ID],tblWorkPackages[[#This Row],[Work package ID]])</f>
        <v>45923.0</v>
      </c>
      <c r="AA1288" s="64">
        <f>_xlfn.MAXIFS(tblLaborEntries[Work date serial],tblLaborEntries[Work package ID],tblWorkPackages[[#This Row],[Work package ID]])</f>
        <v>45924.0</v>
      </c>
      <c r="AB1288" s="65">
        <f>IF(tblWorkPackages[[#This Row],[Completion date serial]]&gt;tblWorkPackages[[#This Row],[Due date serial]],1,0)</f>
        <v>0</v>
      </c>
      <c r="AC1288" s="65">
        <f>MAX(0,tblWorkPackages[[#This Row],[Completion date serial]]-tblWorkPackages[[#This Row],[Due date serial]])</f>
        <v>0</v>
      </c>
      <c r="AD1288" s="65">
        <f>tblWorkPackages[[#This Row],[First labor date]]-tblWorkPackages[[#This Row],[Request date serial]]</f>
        <v>4</v>
      </c>
      <c r="AE1288" s="65">
        <f>tblWorkPackages[[#This Row],[Last labor date]]-tblWorkPackages[[#This Row],[First labor date]]</f>
        <v>1</v>
      </c>
      <c r="AF1288" s="65">
        <f>tblWorkPackages[[#This Row],[Completion date serial]]-tblWorkPackages[[#This Row],[Last labor date]]</f>
        <v>2</v>
      </c>
      <c r="AG1288" s="65">
        <f>tblWorkPackages[[#This Row],[Completion date serial]]-tblWorkPackages[[#This Row],[Request date serial]]</f>
        <v>7</v>
      </c>
      <c r="AH1288" s="65">
        <f>IFERROR(INDEX(tblParts[Delay days],MATCH(tblWorkPackages[[#This Row],[Work package ID]],tblParts[Work package ID],0)),0)</f>
        <v>0</v>
      </c>
      <c r="AI1288" s="51" t="str">
        <f>IFERROR(INDEX(tblDisruptions[Event type],MATCH(tblWorkPackages[[#This Row],[Work package ID]],tblDisruptions[Work package ID],0)),"None")</f>
        <v>Technician absence</v>
      </c>
      <c r="AJ1288" s="51" t="str">
        <f>TEXT(tblWorkPackages[[#This Row],[Due date serial]],"yyyy-mm")</f>
        <v>2025-10</v>
      </c>
    </row>
    <row r="1289" spans="1:36" ht="15" x14ac:dyDescent="0.25">
      <c r="A1289" s="53" t="s">
        <v>2196</v>
      </c>
      <c r="B1289" s="53" t="s">
        <v>173</v>
      </c>
      <c r="C1289" s="53" t="s">
        <v>255</v>
      </c>
      <c r="D1289" s="53" t="s">
        <v>257</v>
      </c>
      <c r="E1289" s="53" t="s">
        <v>181</v>
      </c>
      <c r="F1289" s="53" t="s">
        <v>182</v>
      </c>
      <c r="G1289" s="53" t="s">
        <v>138</v>
      </c>
      <c r="H1289" s="53">
        <v>4</v>
      </c>
      <c r="I1289" s="53" t="s">
        <v>176</v>
      </c>
      <c r="J1289" s="53">
        <v>0</v>
      </c>
      <c r="K1289" s="53">
        <v>0</v>
      </c>
      <c r="L1289" s="53">
        <v>12.6</v>
      </c>
      <c r="M1289" s="53" t="s">
        <v>776</v>
      </c>
      <c r="N1289" s="53">
        <v>11.2</v>
      </c>
      <c r="O1289" s="51" t="str">
        <f>TEXT(tblWorkPackages[[#This Row],[Request date serial]]-WEEKDAY(tblWorkPackages[[#This Row],[Request date serial]],3),"yyyy-mm-dd")</f>
        <v>2024-12-02</v>
      </c>
      <c r="P1289" s="51">
        <f>ABS(tblWorkPackages[[#This Row],[Actual labor hours]]-tblWorkPackages[[#This Row],[Estimated labor hours]])</f>
        <v>1.4</v>
      </c>
      <c r="Q1289" s="51">
        <f>IF(tblWorkPackages[[#This Row],[Actual labor hours]]&gt;tblWorkPackages[[#This Row],[Estimated labor hours]],1,0)</f>
        <v>0</v>
      </c>
      <c r="R1289" s="51">
        <f>tblWorkPackages[[#This Row],[Actual labor hours]]-tblWorkPackages[[#This Row],[Estimated labor hours]]</f>
        <v>-1.4</v>
      </c>
      <c r="S1289" s="51" t="str">
        <f>IF(tblWorkPackages[[#This Row],[Request date serial]]&lt;ValidationStart,"Train 2024",IF(tblWorkPackages[[#This Row],[Request date serial]]&lt;HoldoutStart,"Validation H1","Holdout H2"))</f>
        <v>Train 2024</v>
      </c>
      <c r="T1289" s="51" t="str">
        <f>IF(tblWorkPackages[[#This Row],[Time split]]="Train 2024","",tblWorkPackages[[#This Row],[Estimated labor hours]]+VLOOKUP(tblWorkPackages[[#This Row],[Task type]],'Forecast validation'!$A$14:$E$25,IF(tblWorkPackages[[#This Row],[Time split]]="Validation H1",4,5),FALSE()))</f>
        <v/>
      </c>
      <c r="U1289" s="51" t="str">
        <f>IF(tblWorkPackages[[#This Row],[Calibrated forecast hours]]="","",ABS(tblWorkPackages[[#This Row],[Actual labor hours]]-tblWorkPackages[[#This Row],[Calibrated forecast hours]]))</f>
        <v/>
      </c>
      <c r="V1289" s="51">
        <f>IF(tblWorkPackages[[#This Row],[Time split]]="Train 2024",tblWorkPackages[[#This Row],[Estimated labor hours]],tblWorkPackages[[#This Row],[Calibrated forecast hours]])</f>
        <v>12.6</v>
      </c>
      <c r="W1289" s="64">
        <f>DATEVALUE(tblWorkPackages[[#This Row],[Request date]])</f>
        <v>45632.0</v>
      </c>
      <c r="X1289" s="64">
        <f>DATEVALUE(tblWorkPackages[[#This Row],[Due date]])</f>
        <v>45638.0</v>
      </c>
      <c r="Y1289" s="64">
        <f>DATEVALUE(tblWorkPackages[[#This Row],[Completion date]])</f>
        <v>45636.0</v>
      </c>
      <c r="Z1289" s="64">
        <f>_xlfn.MINIFS(tblLaborEntries[Work date serial],tblLaborEntries[Work package ID],tblWorkPackages[[#This Row],[Work package ID]])</f>
        <v>45633.0</v>
      </c>
      <c r="AA1289" s="64">
        <f>_xlfn.MAXIFS(tblLaborEntries[Work date serial],tblLaborEntries[Work package ID],tblWorkPackages[[#This Row],[Work package ID]])</f>
        <v>45633.0</v>
      </c>
      <c r="AB1289" s="65">
        <f>IF(tblWorkPackages[[#This Row],[Completion date serial]]&gt;tblWorkPackages[[#This Row],[Due date serial]],1,0)</f>
        <v>0</v>
      </c>
      <c r="AC1289" s="65">
        <f>MAX(0,tblWorkPackages[[#This Row],[Completion date serial]]-tblWorkPackages[[#This Row],[Due date serial]])</f>
        <v>0</v>
      </c>
      <c r="AD1289" s="65">
        <f>tblWorkPackages[[#This Row],[First labor date]]-tblWorkPackages[[#This Row],[Request date serial]]</f>
        <v>1</v>
      </c>
      <c r="AE1289" s="65">
        <f>tblWorkPackages[[#This Row],[Last labor date]]-tblWorkPackages[[#This Row],[First labor date]]</f>
        <v>0</v>
      </c>
      <c r="AF1289" s="65">
        <f>tblWorkPackages[[#This Row],[Completion date serial]]-tblWorkPackages[[#This Row],[Last labor date]]</f>
        <v>3</v>
      </c>
      <c r="AG1289" s="65">
        <f>tblWorkPackages[[#This Row],[Completion date serial]]-tblWorkPackages[[#This Row],[Request date serial]]</f>
        <v>4</v>
      </c>
      <c r="AH1289" s="65">
        <f>IFERROR(INDEX(tblParts[Delay days],MATCH(tblWorkPackages[[#This Row],[Work package ID]],tblParts[Work package ID],0)),0)</f>
        <v>0</v>
      </c>
      <c r="AI1289" s="51" t="str">
        <f>IFERROR(INDEX(tblDisruptions[Event type],MATCH(tblWorkPackages[[#This Row],[Work package ID]],tblDisruptions[Work package ID],0)),"None")</f>
        <v>None</v>
      </c>
      <c r="AJ1289" s="51" t="str">
        <f>TEXT(tblWorkPackages[[#This Row],[Due date serial]],"yyyy-mm")</f>
        <v>2024-12</v>
      </c>
    </row>
    <row r="1290" spans="1:36" ht="15" x14ac:dyDescent="0.25">
      <c r="A1290" s="53" t="s">
        <v>2197</v>
      </c>
      <c r="B1290" s="53" t="s">
        <v>203</v>
      </c>
      <c r="C1290" s="53" t="s">
        <v>914</v>
      </c>
      <c r="D1290" s="53" t="s">
        <v>646</v>
      </c>
      <c r="E1290" s="53" t="s">
        <v>144</v>
      </c>
      <c r="F1290" s="53" t="s">
        <v>145</v>
      </c>
      <c r="G1290" s="53" t="s">
        <v>146</v>
      </c>
      <c r="H1290" s="53">
        <v>4</v>
      </c>
      <c r="I1290" s="53" t="s">
        <v>147</v>
      </c>
      <c r="J1290" s="53">
        <v>0</v>
      </c>
      <c r="K1290" s="53">
        <v>1</v>
      </c>
      <c r="L1290" s="53">
        <v>16.8</v>
      </c>
      <c r="M1290" s="53" t="s">
        <v>357</v>
      </c>
      <c r="N1290" s="53">
        <v>23.1</v>
      </c>
      <c r="O1290" s="51" t="str">
        <f>TEXT(tblWorkPackages[[#This Row],[Request date serial]]-WEEKDAY(tblWorkPackages[[#This Row],[Request date serial]],3),"yyyy-mm-dd")</f>
        <v>2025-12-22</v>
      </c>
      <c r="P1290" s="51">
        <f>ABS(tblWorkPackages[[#This Row],[Actual labor hours]]-tblWorkPackages[[#This Row],[Estimated labor hours]])</f>
        <v>6.3</v>
      </c>
      <c r="Q1290" s="51">
        <f>IF(tblWorkPackages[[#This Row],[Actual labor hours]]&gt;tblWorkPackages[[#This Row],[Estimated labor hours]],1,0)</f>
        <v>1</v>
      </c>
      <c r="R1290" s="51">
        <f>tblWorkPackages[[#This Row],[Actual labor hours]]-tblWorkPackages[[#This Row],[Estimated labor hours]]</f>
        <v>6.3</v>
      </c>
      <c r="S1290" s="51" t="str">
        <f>IF(tblWorkPackages[[#This Row],[Request date serial]]&lt;ValidationStart,"Train 2024",IF(tblWorkPackages[[#This Row],[Request date serial]]&lt;HoldoutStart,"Validation H1","Holdout H2"))</f>
        <v>Holdout H2</v>
      </c>
      <c r="T1290" s="51">
        <f>IF(tblWorkPackages[[#This Row],[Time split]]="Train 2024","",tblWorkPackages[[#This Row],[Estimated labor hours]]+VLOOKUP(tblWorkPackages[[#This Row],[Task type]],'Forecast validation'!$A$14:$E$25,IF(tblWorkPackages[[#This Row],[Time split]]="Validation H1",4,5),FALSE()))</f>
        <v>17.7735483870968</v>
      </c>
      <c r="U1290" s="51">
        <f>IF(tblWorkPackages[[#This Row],[Calibrated forecast hours]]="","",ABS(tblWorkPackages[[#This Row],[Actual labor hours]]-tblWorkPackages[[#This Row],[Calibrated forecast hours]]))</f>
        <v>5.32645161290323</v>
      </c>
      <c r="V1290" s="51">
        <f>IF(tblWorkPackages[[#This Row],[Time split]]="Train 2024",tblWorkPackages[[#This Row],[Estimated labor hours]],tblWorkPackages[[#This Row],[Calibrated forecast hours]])</f>
        <v>17.7735483870968</v>
      </c>
      <c r="W1290" s="64">
        <f>DATEVALUE(tblWorkPackages[[#This Row],[Request date]])</f>
        <v>46013.0</v>
      </c>
      <c r="X1290" s="64">
        <f>DATEVALUE(tblWorkPackages[[#This Row],[Due date]])</f>
        <v>46015.0</v>
      </c>
      <c r="Y1290" s="64">
        <f>DATEVALUE(tblWorkPackages[[#This Row],[Completion date]])</f>
        <v>46025.0</v>
      </c>
      <c r="Z1290" s="64">
        <f>_xlfn.MINIFS(tblLaborEntries[Work date serial],tblLaborEntries[Work package ID],tblWorkPackages[[#This Row],[Work package ID]])</f>
        <v>46023.0</v>
      </c>
      <c r="AA1290" s="64">
        <f>_xlfn.MAXIFS(tblLaborEntries[Work date serial],tblLaborEntries[Work package ID],tblWorkPackages[[#This Row],[Work package ID]])</f>
        <v>46025.0</v>
      </c>
      <c r="AB1290" s="65">
        <f>IF(tblWorkPackages[[#This Row],[Completion date serial]]&gt;tblWorkPackages[[#This Row],[Due date serial]],1,0)</f>
        <v>1</v>
      </c>
      <c r="AC1290" s="65">
        <f>MAX(0,tblWorkPackages[[#This Row],[Completion date serial]]-tblWorkPackages[[#This Row],[Due date serial]])</f>
        <v>10</v>
      </c>
      <c r="AD1290" s="65">
        <f>tblWorkPackages[[#This Row],[First labor date]]-tblWorkPackages[[#This Row],[Request date serial]]</f>
        <v>10</v>
      </c>
      <c r="AE1290" s="65">
        <f>tblWorkPackages[[#This Row],[Last labor date]]-tblWorkPackages[[#This Row],[First labor date]]</f>
        <v>2</v>
      </c>
      <c r="AF1290" s="65">
        <f>tblWorkPackages[[#This Row],[Completion date serial]]-tblWorkPackages[[#This Row],[Last labor date]]</f>
        <v>0</v>
      </c>
      <c r="AG1290" s="65">
        <f>tblWorkPackages[[#This Row],[Completion date serial]]-tblWorkPackages[[#This Row],[Request date serial]]</f>
        <v>12</v>
      </c>
      <c r="AH1290" s="65">
        <f>IFERROR(INDEX(tblParts[Delay days],MATCH(tblWorkPackages[[#This Row],[Work package ID]],tblParts[Work package ID],0)),0)</f>
        <v>0</v>
      </c>
      <c r="AI1290" s="51" t="str">
        <f>IFERROR(INDEX(tblDisruptions[Event type],MATCH(tblWorkPackages[[#This Row],[Work package ID]],tblDisruptions[Work package ID],0)),"None")</f>
        <v>Scope change</v>
      </c>
      <c r="AJ1290" s="51" t="str">
        <f>TEXT(tblWorkPackages[[#This Row],[Due date serial]],"yyyy-mm")</f>
        <v>2025-12</v>
      </c>
    </row>
    <row r="1291" spans="1:36" ht="15" x14ac:dyDescent="0.25">
      <c r="A1291" s="53" t="s">
        <v>2198</v>
      </c>
      <c r="B1291" s="53" t="s">
        <v>133</v>
      </c>
      <c r="C1291" s="53" t="s">
        <v>1186</v>
      </c>
      <c r="D1291" s="53" t="s">
        <v>447</v>
      </c>
      <c r="E1291" s="53" t="s">
        <v>242</v>
      </c>
      <c r="F1291" s="53" t="s">
        <v>243</v>
      </c>
      <c r="G1291" s="53" t="s">
        <v>129</v>
      </c>
      <c r="H1291" s="53">
        <v>3</v>
      </c>
      <c r="I1291" s="53" t="s">
        <v>130</v>
      </c>
      <c r="J1291" s="53">
        <v>0</v>
      </c>
      <c r="K1291" s="53">
        <v>1</v>
      </c>
      <c r="L1291" s="53">
        <v>12.3</v>
      </c>
      <c r="M1291" s="53" t="s">
        <v>686</v>
      </c>
      <c r="N1291" s="53">
        <v>18</v>
      </c>
      <c r="O1291" s="51" t="str">
        <f>TEXT(tblWorkPackages[[#This Row],[Request date serial]]-WEEKDAY(tblWorkPackages[[#This Row],[Request date serial]],3),"yyyy-mm-dd")</f>
        <v>2025-03-10</v>
      </c>
      <c r="P1291" s="51">
        <f>ABS(tblWorkPackages[[#This Row],[Actual labor hours]]-tblWorkPackages[[#This Row],[Estimated labor hours]])</f>
        <v>5.7</v>
      </c>
      <c r="Q1291" s="51">
        <f>IF(tblWorkPackages[[#This Row],[Actual labor hours]]&gt;tblWorkPackages[[#This Row],[Estimated labor hours]],1,0)</f>
        <v>1</v>
      </c>
      <c r="R1291" s="51">
        <f>tblWorkPackages[[#This Row],[Actual labor hours]]-tblWorkPackages[[#This Row],[Estimated labor hours]]</f>
        <v>5.7</v>
      </c>
      <c r="S1291" s="51" t="str">
        <f>IF(tblWorkPackages[[#This Row],[Request date serial]]&lt;ValidationStart,"Train 2024",IF(tblWorkPackages[[#This Row],[Request date serial]]&lt;HoldoutStart,"Validation H1","Holdout H2"))</f>
        <v>Validation H1</v>
      </c>
      <c r="T1291" s="51">
        <f>IF(tblWorkPackages[[#This Row],[Time split]]="Train 2024","",tblWorkPackages[[#This Row],[Estimated labor hours]]+VLOOKUP(tblWorkPackages[[#This Row],[Task type]],'Forecast validation'!$A$14:$E$25,IF(tblWorkPackages[[#This Row],[Time split]]="Validation H1",4,5),FALSE()))</f>
        <v>12.8561224489796</v>
      </c>
      <c r="U1291" s="51">
        <f>IF(tblWorkPackages[[#This Row],[Calibrated forecast hours]]="","",ABS(tblWorkPackages[[#This Row],[Actual labor hours]]-tblWorkPackages[[#This Row],[Calibrated forecast hours]]))</f>
        <v>5.14387755102041</v>
      </c>
      <c r="V1291" s="51">
        <f>IF(tblWorkPackages[[#This Row],[Time split]]="Train 2024",tblWorkPackages[[#This Row],[Estimated labor hours]],tblWorkPackages[[#This Row],[Calibrated forecast hours]])</f>
        <v>12.8561224489796</v>
      </c>
      <c r="W1291" s="64">
        <f>DATEVALUE(tblWorkPackages[[#This Row],[Request date]])</f>
        <v>45731.0</v>
      </c>
      <c r="X1291" s="64">
        <f>DATEVALUE(tblWorkPackages[[#This Row],[Due date]])</f>
        <v>45744.0</v>
      </c>
      <c r="Y1291" s="64">
        <f>DATEVALUE(tblWorkPackages[[#This Row],[Completion date]])</f>
        <v>45743.0</v>
      </c>
      <c r="Z1291" s="64">
        <f>_xlfn.MINIFS(tblLaborEntries[Work date serial],tblLaborEntries[Work package ID],tblWorkPackages[[#This Row],[Work package ID]])</f>
        <v>45741.0</v>
      </c>
      <c r="AA1291" s="64">
        <f>_xlfn.MAXIFS(tblLaborEntries[Work date serial],tblLaborEntries[Work package ID],tblWorkPackages[[#This Row],[Work package ID]])</f>
        <v>45742.0</v>
      </c>
      <c r="AB1291" s="65">
        <f>IF(tblWorkPackages[[#This Row],[Completion date serial]]&gt;tblWorkPackages[[#This Row],[Due date serial]],1,0)</f>
        <v>0</v>
      </c>
      <c r="AC1291" s="65">
        <f>MAX(0,tblWorkPackages[[#This Row],[Completion date serial]]-tblWorkPackages[[#This Row],[Due date serial]])</f>
        <v>0</v>
      </c>
      <c r="AD1291" s="65">
        <f>tblWorkPackages[[#This Row],[First labor date]]-tblWorkPackages[[#This Row],[Request date serial]]</f>
        <v>10</v>
      </c>
      <c r="AE1291" s="65">
        <f>tblWorkPackages[[#This Row],[Last labor date]]-tblWorkPackages[[#This Row],[First labor date]]</f>
        <v>1</v>
      </c>
      <c r="AF1291" s="65">
        <f>tblWorkPackages[[#This Row],[Completion date serial]]-tblWorkPackages[[#This Row],[Last labor date]]</f>
        <v>1</v>
      </c>
      <c r="AG1291" s="65">
        <f>tblWorkPackages[[#This Row],[Completion date serial]]-tblWorkPackages[[#This Row],[Request date serial]]</f>
        <v>12</v>
      </c>
      <c r="AH1291" s="65">
        <f>IFERROR(INDEX(tblParts[Delay days],MATCH(tblWorkPackages[[#This Row],[Work package ID]],tblParts[Work package ID],0)),0)</f>
        <v>7</v>
      </c>
      <c r="AI1291" s="51" t="str">
        <f>IFERROR(INDEX(tblDisruptions[Event type],MATCH(tblWorkPackages[[#This Row],[Work package ID]],tblDisruptions[Work package ID],0)),"None")</f>
        <v>Part delay</v>
      </c>
      <c r="AJ1291" s="51" t="str">
        <f>TEXT(tblWorkPackages[[#This Row],[Due date serial]],"yyyy-mm")</f>
        <v>2025-03</v>
      </c>
    </row>
    <row r="1292" spans="1:36" ht="15" x14ac:dyDescent="0.25">
      <c r="A1292" s="53" t="s">
        <v>2199</v>
      </c>
      <c r="B1292" s="53" t="s">
        <v>150</v>
      </c>
      <c r="C1292" s="53" t="s">
        <v>643</v>
      </c>
      <c r="D1292" s="53" t="s">
        <v>525</v>
      </c>
      <c r="E1292" s="53" t="s">
        <v>209</v>
      </c>
      <c r="F1292" s="53" t="s">
        <v>145</v>
      </c>
      <c r="G1292" s="53" t="s">
        <v>210</v>
      </c>
      <c r="H1292" s="53">
        <v>3</v>
      </c>
      <c r="I1292" s="53" t="s">
        <v>176</v>
      </c>
      <c r="J1292" s="53">
        <v>0</v>
      </c>
      <c r="K1292" s="53">
        <v>1</v>
      </c>
      <c r="L1292" s="53">
        <v>30.1</v>
      </c>
      <c r="M1292" s="53" t="s">
        <v>264</v>
      </c>
      <c r="N1292" s="53">
        <v>26.6</v>
      </c>
      <c r="O1292" s="51" t="str">
        <f>TEXT(tblWorkPackages[[#This Row],[Request date serial]]-WEEKDAY(tblWorkPackages[[#This Row],[Request date serial]],3),"yyyy-mm-dd")</f>
        <v>2024-07-22</v>
      </c>
      <c r="P1292" s="51">
        <f>ABS(tblWorkPackages[[#This Row],[Actual labor hours]]-tblWorkPackages[[#This Row],[Estimated labor hours]])</f>
        <v>3.5</v>
      </c>
      <c r="Q1292" s="51">
        <f>IF(tblWorkPackages[[#This Row],[Actual labor hours]]&gt;tblWorkPackages[[#This Row],[Estimated labor hours]],1,0)</f>
        <v>0</v>
      </c>
      <c r="R1292" s="51">
        <f>tblWorkPackages[[#This Row],[Actual labor hours]]-tblWorkPackages[[#This Row],[Estimated labor hours]]</f>
        <v>-3.5</v>
      </c>
      <c r="S1292" s="51" t="str">
        <f>IF(tblWorkPackages[[#This Row],[Request date serial]]&lt;ValidationStart,"Train 2024",IF(tblWorkPackages[[#This Row],[Request date serial]]&lt;HoldoutStart,"Validation H1","Holdout H2"))</f>
        <v>Train 2024</v>
      </c>
      <c r="T1292" s="51" t="str">
        <f>IF(tblWorkPackages[[#This Row],[Time split]]="Train 2024","",tblWorkPackages[[#This Row],[Estimated labor hours]]+VLOOKUP(tblWorkPackages[[#This Row],[Task type]],'Forecast validation'!$A$14:$E$25,IF(tblWorkPackages[[#This Row],[Time split]]="Validation H1",4,5),FALSE()))</f>
        <v/>
      </c>
      <c r="U1292" s="51" t="str">
        <f>IF(tblWorkPackages[[#This Row],[Calibrated forecast hours]]="","",ABS(tblWorkPackages[[#This Row],[Actual labor hours]]-tblWorkPackages[[#This Row],[Calibrated forecast hours]]))</f>
        <v/>
      </c>
      <c r="V1292" s="51">
        <f>IF(tblWorkPackages[[#This Row],[Time split]]="Train 2024",tblWorkPackages[[#This Row],[Estimated labor hours]],tblWorkPackages[[#This Row],[Calibrated forecast hours]])</f>
        <v>30.1</v>
      </c>
      <c r="W1292" s="64">
        <f>DATEVALUE(tblWorkPackages[[#This Row],[Request date]])</f>
        <v>45495.0</v>
      </c>
      <c r="X1292" s="64">
        <f>DATEVALUE(tblWorkPackages[[#This Row],[Due date]])</f>
        <v>45501.0</v>
      </c>
      <c r="Y1292" s="64">
        <f>DATEVALUE(tblWorkPackages[[#This Row],[Completion date]])</f>
        <v>45528.0</v>
      </c>
      <c r="Z1292" s="64">
        <f>_xlfn.MINIFS(tblLaborEntries[Work date serial],tblLaborEntries[Work package ID],tblWorkPackages[[#This Row],[Work package ID]])</f>
        <v>45526.0</v>
      </c>
      <c r="AA1292" s="64">
        <f>_xlfn.MAXIFS(tblLaborEntries[Work date serial],tblLaborEntries[Work package ID],tblWorkPackages[[#This Row],[Work package ID]])</f>
        <v>45526.0</v>
      </c>
      <c r="AB1292" s="65">
        <f>IF(tblWorkPackages[[#This Row],[Completion date serial]]&gt;tblWorkPackages[[#This Row],[Due date serial]],1,0)</f>
        <v>1</v>
      </c>
      <c r="AC1292" s="65">
        <f>MAX(0,tblWorkPackages[[#This Row],[Completion date serial]]-tblWorkPackages[[#This Row],[Due date serial]])</f>
        <v>27</v>
      </c>
      <c r="AD1292" s="65">
        <f>tblWorkPackages[[#This Row],[First labor date]]-tblWorkPackages[[#This Row],[Request date serial]]</f>
        <v>31</v>
      </c>
      <c r="AE1292" s="65">
        <f>tblWorkPackages[[#This Row],[Last labor date]]-tblWorkPackages[[#This Row],[First labor date]]</f>
        <v>0</v>
      </c>
      <c r="AF1292" s="65">
        <f>tblWorkPackages[[#This Row],[Completion date serial]]-tblWorkPackages[[#This Row],[Last labor date]]</f>
        <v>2</v>
      </c>
      <c r="AG1292" s="65">
        <f>tblWorkPackages[[#This Row],[Completion date serial]]-tblWorkPackages[[#This Row],[Request date serial]]</f>
        <v>33</v>
      </c>
      <c r="AH1292" s="65">
        <f>IFERROR(INDEX(tblParts[Delay days],MATCH(tblWorkPackages[[#This Row],[Work package ID]],tblParts[Work package ID],0)),0)</f>
        <v>4</v>
      </c>
      <c r="AI1292" s="51" t="str">
        <f>IFERROR(INDEX(tblDisruptions[Event type],MATCH(tblWorkPackages[[#This Row],[Work package ID]],tblDisruptions[Work package ID],0)),"None")</f>
        <v>Part delay</v>
      </c>
      <c r="AJ1292" s="51" t="str">
        <f>TEXT(tblWorkPackages[[#This Row],[Due date serial]],"yyyy-mm")</f>
        <v>2024-07</v>
      </c>
    </row>
    <row r="1293" spans="1:36" ht="15" x14ac:dyDescent="0.25">
      <c r="A1293" s="53" t="s">
        <v>2200</v>
      </c>
      <c r="B1293" s="53" t="s">
        <v>250</v>
      </c>
      <c r="C1293" s="53" t="s">
        <v>833</v>
      </c>
      <c r="D1293" s="53" t="s">
        <v>753</v>
      </c>
      <c r="E1293" s="53" t="s">
        <v>144</v>
      </c>
      <c r="F1293" s="53" t="s">
        <v>145</v>
      </c>
      <c r="G1293" s="53" t="s">
        <v>146</v>
      </c>
      <c r="H1293" s="53">
        <v>4</v>
      </c>
      <c r="I1293" s="53" t="s">
        <v>130</v>
      </c>
      <c r="J1293" s="53">
        <v>0</v>
      </c>
      <c r="K1293" s="53">
        <v>0</v>
      </c>
      <c r="L1293" s="53">
        <v>17.100000000000001</v>
      </c>
      <c r="M1293" s="53" t="s">
        <v>335</v>
      </c>
      <c r="N1293" s="53">
        <v>18.100000000000001</v>
      </c>
      <c r="O1293" s="51" t="str">
        <f>TEXT(tblWorkPackages[[#This Row],[Request date serial]]-WEEKDAY(tblWorkPackages[[#This Row],[Request date serial]],3),"yyyy-mm-dd")</f>
        <v>2025-11-10</v>
      </c>
      <c r="P1293" s="51">
        <f>ABS(tblWorkPackages[[#This Row],[Actual labor hours]]-tblWorkPackages[[#This Row],[Estimated labor hours]])</f>
        <v>1</v>
      </c>
      <c r="Q1293" s="51">
        <f>IF(tblWorkPackages[[#This Row],[Actual labor hours]]&gt;tblWorkPackages[[#This Row],[Estimated labor hours]],1,0)</f>
        <v>1</v>
      </c>
      <c r="R1293" s="51">
        <f>tblWorkPackages[[#This Row],[Actual labor hours]]-tblWorkPackages[[#This Row],[Estimated labor hours]]</f>
        <v>1</v>
      </c>
      <c r="S1293" s="51" t="str">
        <f>IF(tblWorkPackages[[#This Row],[Request date serial]]&lt;ValidationStart,"Train 2024",IF(tblWorkPackages[[#This Row],[Request date serial]]&lt;HoldoutStart,"Validation H1","Holdout H2"))</f>
        <v>Holdout H2</v>
      </c>
      <c r="T1293" s="51">
        <f>IF(tblWorkPackages[[#This Row],[Time split]]="Train 2024","",tblWorkPackages[[#This Row],[Estimated labor hours]]+VLOOKUP(tblWorkPackages[[#This Row],[Task type]],'Forecast validation'!$A$14:$E$25,IF(tblWorkPackages[[#This Row],[Time split]]="Validation H1",4,5),FALSE()))</f>
        <v>18.0735483870968</v>
      </c>
      <c r="U1293" s="51">
        <f>IF(tblWorkPackages[[#This Row],[Calibrated forecast hours]]="","",ABS(tblWorkPackages[[#This Row],[Actual labor hours]]-tblWorkPackages[[#This Row],[Calibrated forecast hours]]))</f>
        <v>0.0264516129032266</v>
      </c>
      <c r="V1293" s="51">
        <f>IF(tblWorkPackages[[#This Row],[Time split]]="Train 2024",tblWorkPackages[[#This Row],[Estimated labor hours]],tblWorkPackages[[#This Row],[Calibrated forecast hours]])</f>
        <v>18.0735483870968</v>
      </c>
      <c r="W1293" s="64">
        <f>DATEVALUE(tblWorkPackages[[#This Row],[Request date]])</f>
        <v>45976.0</v>
      </c>
      <c r="X1293" s="64">
        <f>DATEVALUE(tblWorkPackages[[#This Row],[Due date]])</f>
        <v>45989.0</v>
      </c>
      <c r="Y1293" s="64">
        <f>DATEVALUE(tblWorkPackages[[#This Row],[Completion date]])</f>
        <v>45984.0</v>
      </c>
      <c r="Z1293" s="64">
        <f>_xlfn.MINIFS(tblLaborEntries[Work date serial],tblLaborEntries[Work package ID],tblWorkPackages[[#This Row],[Work package ID]])</f>
        <v>45980.0</v>
      </c>
      <c r="AA1293" s="64">
        <f>_xlfn.MAXIFS(tblLaborEntries[Work date serial],tblLaborEntries[Work package ID],tblWorkPackages[[#This Row],[Work package ID]])</f>
        <v>45981.0</v>
      </c>
      <c r="AB1293" s="65">
        <f>IF(tblWorkPackages[[#This Row],[Completion date serial]]&gt;tblWorkPackages[[#This Row],[Due date serial]],1,0)</f>
        <v>0</v>
      </c>
      <c r="AC1293" s="65">
        <f>MAX(0,tblWorkPackages[[#This Row],[Completion date serial]]-tblWorkPackages[[#This Row],[Due date serial]])</f>
        <v>0</v>
      </c>
      <c r="AD1293" s="65">
        <f>tblWorkPackages[[#This Row],[First labor date]]-tblWorkPackages[[#This Row],[Request date serial]]</f>
        <v>4</v>
      </c>
      <c r="AE1293" s="65">
        <f>tblWorkPackages[[#This Row],[Last labor date]]-tblWorkPackages[[#This Row],[First labor date]]</f>
        <v>1</v>
      </c>
      <c r="AF1293" s="65">
        <f>tblWorkPackages[[#This Row],[Completion date serial]]-tblWorkPackages[[#This Row],[Last labor date]]</f>
        <v>3</v>
      </c>
      <c r="AG1293" s="65">
        <f>tblWorkPackages[[#This Row],[Completion date serial]]-tblWorkPackages[[#This Row],[Request date serial]]</f>
        <v>8</v>
      </c>
      <c r="AH1293" s="65">
        <f>IFERROR(INDEX(tblParts[Delay days],MATCH(tblWorkPackages[[#This Row],[Work package ID]],tblParts[Work package ID],0)),0)</f>
        <v>0</v>
      </c>
      <c r="AI1293" s="51" t="str">
        <f>IFERROR(INDEX(tblDisruptions[Event type],MATCH(tblWorkPackages[[#This Row],[Work package ID]],tblDisruptions[Work package ID],0)),"None")</f>
        <v>None</v>
      </c>
      <c r="AJ1293" s="51" t="str">
        <f>TEXT(tblWorkPackages[[#This Row],[Due date serial]],"yyyy-mm")</f>
        <v>2025-11</v>
      </c>
    </row>
    <row r="1294" spans="1:36" ht="15" x14ac:dyDescent="0.25">
      <c r="A1294" s="53" t="s">
        <v>2201</v>
      </c>
      <c r="B1294" s="53" t="s">
        <v>157</v>
      </c>
      <c r="C1294" s="53" t="s">
        <v>187</v>
      </c>
      <c r="D1294" s="53" t="s">
        <v>859</v>
      </c>
      <c r="E1294" s="53" t="s">
        <v>144</v>
      </c>
      <c r="F1294" s="53" t="s">
        <v>145</v>
      </c>
      <c r="G1294" s="53" t="s">
        <v>146</v>
      </c>
      <c r="H1294" s="53">
        <v>1</v>
      </c>
      <c r="I1294" s="53" t="s">
        <v>176</v>
      </c>
      <c r="J1294" s="53">
        <v>0</v>
      </c>
      <c r="K1294" s="53">
        <v>1</v>
      </c>
      <c r="L1294" s="53">
        <v>6.8</v>
      </c>
      <c r="M1294" s="53" t="s">
        <v>1197</v>
      </c>
      <c r="N1294" s="53">
        <v>6.7</v>
      </c>
      <c r="O1294" s="51" t="str">
        <f>TEXT(tblWorkPackages[[#This Row],[Request date serial]]-WEEKDAY(tblWorkPackages[[#This Row],[Request date serial]],3),"yyyy-mm-dd")</f>
        <v>2025-02-24</v>
      </c>
      <c r="P1294" s="51">
        <f>ABS(tblWorkPackages[[#This Row],[Actual labor hours]]-tblWorkPackages[[#This Row],[Estimated labor hours]])</f>
        <v>0.0999999999999996</v>
      </c>
      <c r="Q1294" s="51">
        <f>IF(tblWorkPackages[[#This Row],[Actual labor hours]]&gt;tblWorkPackages[[#This Row],[Estimated labor hours]],1,0)</f>
        <v>0</v>
      </c>
      <c r="R1294" s="51">
        <f>tblWorkPackages[[#This Row],[Actual labor hours]]-tblWorkPackages[[#This Row],[Estimated labor hours]]</f>
        <v>-0.0999999999999996</v>
      </c>
      <c r="S1294" s="51" t="str">
        <f>IF(tblWorkPackages[[#This Row],[Request date serial]]&lt;ValidationStart,"Train 2024",IF(tblWorkPackages[[#This Row],[Request date serial]]&lt;HoldoutStart,"Validation H1","Holdout H2"))</f>
        <v>Validation H1</v>
      </c>
      <c r="T1294" s="51">
        <f>IF(tblWorkPackages[[#This Row],[Time split]]="Train 2024","",tblWorkPackages[[#This Row],[Estimated labor hours]]+VLOOKUP(tblWorkPackages[[#This Row],[Task type]],'Forecast validation'!$A$14:$E$25,IF(tblWorkPackages[[#This Row],[Time split]]="Validation H1",4,5),FALSE()))</f>
        <v>7.55473684210526</v>
      </c>
      <c r="U1294" s="51">
        <f>IF(tblWorkPackages[[#This Row],[Calibrated forecast hours]]="","",ABS(tblWorkPackages[[#This Row],[Actual labor hours]]-tblWorkPackages[[#This Row],[Calibrated forecast hours]]))</f>
        <v>0.854736842105263</v>
      </c>
      <c r="V1294" s="51">
        <f>IF(tblWorkPackages[[#This Row],[Time split]]="Train 2024",tblWorkPackages[[#This Row],[Estimated labor hours]],tblWorkPackages[[#This Row],[Calibrated forecast hours]])</f>
        <v>7.55473684210526</v>
      </c>
      <c r="W1294" s="64">
        <f>DATEVALUE(tblWorkPackages[[#This Row],[Request date]])</f>
        <v>45713.0</v>
      </c>
      <c r="X1294" s="64">
        <f>DATEVALUE(tblWorkPackages[[#This Row],[Due date]])</f>
        <v>45719.0</v>
      </c>
      <c r="Y1294" s="64">
        <f>DATEVALUE(tblWorkPackages[[#This Row],[Completion date]])</f>
        <v>45714.0</v>
      </c>
      <c r="Z1294" s="64">
        <f>_xlfn.MINIFS(tblLaborEntries[Work date serial],tblLaborEntries[Work package ID],tblWorkPackages[[#This Row],[Work package ID]])</f>
        <v>45714.0</v>
      </c>
      <c r="AA1294" s="64">
        <f>_xlfn.MAXIFS(tblLaborEntries[Work date serial],tblLaborEntries[Work package ID],tblWorkPackages[[#This Row],[Work package ID]])</f>
        <v>45714.0</v>
      </c>
      <c r="AB1294" s="65">
        <f>IF(tblWorkPackages[[#This Row],[Completion date serial]]&gt;tblWorkPackages[[#This Row],[Due date serial]],1,0)</f>
        <v>0</v>
      </c>
      <c r="AC1294" s="65">
        <f>MAX(0,tblWorkPackages[[#This Row],[Completion date serial]]-tblWorkPackages[[#This Row],[Due date serial]])</f>
        <v>0</v>
      </c>
      <c r="AD1294" s="65">
        <f>tblWorkPackages[[#This Row],[First labor date]]-tblWorkPackages[[#This Row],[Request date serial]]</f>
        <v>1</v>
      </c>
      <c r="AE1294" s="65">
        <f>tblWorkPackages[[#This Row],[Last labor date]]-tblWorkPackages[[#This Row],[First labor date]]</f>
        <v>0</v>
      </c>
      <c r="AF1294" s="65">
        <f>tblWorkPackages[[#This Row],[Completion date serial]]-tblWorkPackages[[#This Row],[Last labor date]]</f>
        <v>0</v>
      </c>
      <c r="AG1294" s="65">
        <f>tblWorkPackages[[#This Row],[Completion date serial]]-tblWorkPackages[[#This Row],[Request date serial]]</f>
        <v>1</v>
      </c>
      <c r="AH1294" s="65">
        <f>IFERROR(INDEX(tblParts[Delay days],MATCH(tblWorkPackages[[#This Row],[Work package ID]],tblParts[Work package ID],0)),0)</f>
        <v>0</v>
      </c>
      <c r="AI1294" s="51" t="str">
        <f>IFERROR(INDEX(tblDisruptions[Event type],MATCH(tblWorkPackages[[#This Row],[Work package ID]],tblDisruptions[Work package ID],0)),"None")</f>
        <v>Repeat inspection</v>
      </c>
      <c r="AJ1294" s="51" t="str">
        <f>TEXT(tblWorkPackages[[#This Row],[Due date serial]],"yyyy-mm")</f>
        <v>2025-03</v>
      </c>
    </row>
    <row r="1295" spans="1:36" ht="15" x14ac:dyDescent="0.25">
      <c r="A1295" s="53" t="s">
        <v>2202</v>
      </c>
      <c r="B1295" s="53" t="s">
        <v>163</v>
      </c>
      <c r="C1295" s="53" t="s">
        <v>489</v>
      </c>
      <c r="D1295" s="53" t="s">
        <v>319</v>
      </c>
      <c r="E1295" s="53" t="s">
        <v>160</v>
      </c>
      <c r="F1295" s="53" t="s">
        <v>128</v>
      </c>
      <c r="G1295" s="53" t="s">
        <v>138</v>
      </c>
      <c r="H1295" s="53">
        <v>1</v>
      </c>
      <c r="I1295" s="53" t="s">
        <v>176</v>
      </c>
      <c r="J1295" s="53">
        <v>0</v>
      </c>
      <c r="K1295" s="53">
        <v>0</v>
      </c>
      <c r="L1295" s="53">
        <v>3.1</v>
      </c>
      <c r="M1295" s="53" t="s">
        <v>773</v>
      </c>
      <c r="N1295" s="53">
        <v>3.3</v>
      </c>
      <c r="O1295" s="51" t="str">
        <f>TEXT(tblWorkPackages[[#This Row],[Request date serial]]-WEEKDAY(tblWorkPackages[[#This Row],[Request date serial]],3),"yyyy-mm-dd")</f>
        <v>2024-02-19</v>
      </c>
      <c r="P1295" s="51">
        <f>ABS(tblWorkPackages[[#This Row],[Actual labor hours]]-tblWorkPackages[[#This Row],[Estimated labor hours]])</f>
        <v>0.2</v>
      </c>
      <c r="Q1295" s="51">
        <f>IF(tblWorkPackages[[#This Row],[Actual labor hours]]&gt;tblWorkPackages[[#This Row],[Estimated labor hours]],1,0)</f>
        <v>1</v>
      </c>
      <c r="R1295" s="51">
        <f>tblWorkPackages[[#This Row],[Actual labor hours]]-tblWorkPackages[[#This Row],[Estimated labor hours]]</f>
        <v>0.2</v>
      </c>
      <c r="S1295" s="51" t="str">
        <f>IF(tblWorkPackages[[#This Row],[Request date serial]]&lt;ValidationStart,"Train 2024",IF(tblWorkPackages[[#This Row],[Request date serial]]&lt;HoldoutStart,"Validation H1","Holdout H2"))</f>
        <v>Train 2024</v>
      </c>
      <c r="T1295" s="51" t="str">
        <f>IF(tblWorkPackages[[#This Row],[Time split]]="Train 2024","",tblWorkPackages[[#This Row],[Estimated labor hours]]+VLOOKUP(tblWorkPackages[[#This Row],[Task type]],'Forecast validation'!$A$14:$E$25,IF(tblWorkPackages[[#This Row],[Time split]]="Validation H1",4,5),FALSE()))</f>
        <v/>
      </c>
      <c r="U1295" s="51" t="str">
        <f>IF(tblWorkPackages[[#This Row],[Calibrated forecast hours]]="","",ABS(tblWorkPackages[[#This Row],[Actual labor hours]]-tblWorkPackages[[#This Row],[Calibrated forecast hours]]))</f>
        <v/>
      </c>
      <c r="V1295" s="51">
        <f>IF(tblWorkPackages[[#This Row],[Time split]]="Train 2024",tblWorkPackages[[#This Row],[Estimated labor hours]],tblWorkPackages[[#This Row],[Calibrated forecast hours]])</f>
        <v>3.1</v>
      </c>
      <c r="W1295" s="64">
        <f>DATEVALUE(tblWorkPackages[[#This Row],[Request date]])</f>
        <v>45341.0</v>
      </c>
      <c r="X1295" s="64">
        <f>DATEVALUE(tblWorkPackages[[#This Row],[Due date]])</f>
        <v>45347.0</v>
      </c>
      <c r="Y1295" s="64">
        <f>DATEVALUE(tblWorkPackages[[#This Row],[Completion date]])</f>
        <v>45356.0</v>
      </c>
      <c r="Z1295" s="64">
        <f>_xlfn.MINIFS(tblLaborEntries[Work date serial],tblLaborEntries[Work package ID],tblWorkPackages[[#This Row],[Work package ID]])</f>
        <v>45354.0</v>
      </c>
      <c r="AA1295" s="64">
        <f>_xlfn.MAXIFS(tblLaborEntries[Work date serial],tblLaborEntries[Work package ID],tblWorkPackages[[#This Row],[Work package ID]])</f>
        <v>45355.0</v>
      </c>
      <c r="AB1295" s="65">
        <f>IF(tblWorkPackages[[#This Row],[Completion date serial]]&gt;tblWorkPackages[[#This Row],[Due date serial]],1,0)</f>
        <v>1</v>
      </c>
      <c r="AC1295" s="65">
        <f>MAX(0,tblWorkPackages[[#This Row],[Completion date serial]]-tblWorkPackages[[#This Row],[Due date serial]])</f>
        <v>9</v>
      </c>
      <c r="AD1295" s="65">
        <f>tblWorkPackages[[#This Row],[First labor date]]-tblWorkPackages[[#This Row],[Request date serial]]</f>
        <v>13</v>
      </c>
      <c r="AE1295" s="65">
        <f>tblWorkPackages[[#This Row],[Last labor date]]-tblWorkPackages[[#This Row],[First labor date]]</f>
        <v>1</v>
      </c>
      <c r="AF1295" s="65">
        <f>tblWorkPackages[[#This Row],[Completion date serial]]-tblWorkPackages[[#This Row],[Last labor date]]</f>
        <v>1</v>
      </c>
      <c r="AG1295" s="65">
        <f>tblWorkPackages[[#This Row],[Completion date serial]]-tblWorkPackages[[#This Row],[Request date serial]]</f>
        <v>15</v>
      </c>
      <c r="AH1295" s="65">
        <f>IFERROR(INDEX(tblParts[Delay days],MATCH(tblWorkPackages[[#This Row],[Work package ID]],tblParts[Work package ID],0)),0)</f>
        <v>0</v>
      </c>
      <c r="AI1295" s="51" t="str">
        <f>IFERROR(INDEX(tblDisruptions[Event type],MATCH(tblWorkPackages[[#This Row],[Work package ID]],tblDisruptions[Work package ID],0)),"None")</f>
        <v>None</v>
      </c>
      <c r="AJ1295" s="51" t="str">
        <f>TEXT(tblWorkPackages[[#This Row],[Due date serial]],"yyyy-mm")</f>
        <v>2024-02</v>
      </c>
    </row>
    <row r="1296" spans="1:36" ht="15" x14ac:dyDescent="0.25">
      <c r="A1296" s="53" t="s">
        <v>2203</v>
      </c>
      <c r="B1296" s="53" t="s">
        <v>235</v>
      </c>
      <c r="C1296" s="53" t="s">
        <v>670</v>
      </c>
      <c r="D1296" s="53" t="s">
        <v>683</v>
      </c>
      <c r="E1296" s="53" t="s">
        <v>160</v>
      </c>
      <c r="F1296" s="53" t="s">
        <v>128</v>
      </c>
      <c r="G1296" s="53" t="s">
        <v>138</v>
      </c>
      <c r="H1296" s="53">
        <v>4</v>
      </c>
      <c r="I1296" s="53" t="s">
        <v>176</v>
      </c>
      <c r="J1296" s="53">
        <v>0</v>
      </c>
      <c r="K1296" s="53">
        <v>0</v>
      </c>
      <c r="L1296" s="53">
        <v>7.5</v>
      </c>
      <c r="M1296" s="53" t="s">
        <v>941</v>
      </c>
      <c r="N1296" s="53">
        <v>5.9</v>
      </c>
      <c r="O1296" s="51" t="str">
        <f>TEXT(tblWorkPackages[[#This Row],[Request date serial]]-WEEKDAY(tblWorkPackages[[#This Row],[Request date serial]],3),"yyyy-mm-dd")</f>
        <v>2025-09-22</v>
      </c>
      <c r="P1296" s="51">
        <f>ABS(tblWorkPackages[[#This Row],[Actual labor hours]]-tblWorkPackages[[#This Row],[Estimated labor hours]])</f>
        <v>1.6</v>
      </c>
      <c r="Q1296" s="51">
        <f>IF(tblWorkPackages[[#This Row],[Actual labor hours]]&gt;tblWorkPackages[[#This Row],[Estimated labor hours]],1,0)</f>
        <v>0</v>
      </c>
      <c r="R1296" s="51">
        <f>tblWorkPackages[[#This Row],[Actual labor hours]]-tblWorkPackages[[#This Row],[Estimated labor hours]]</f>
        <v>-1.6</v>
      </c>
      <c r="S1296" s="51" t="str">
        <f>IF(tblWorkPackages[[#This Row],[Request date serial]]&lt;ValidationStart,"Train 2024",IF(tblWorkPackages[[#This Row],[Request date serial]]&lt;HoldoutStart,"Validation H1","Holdout H2"))</f>
        <v>Holdout H2</v>
      </c>
      <c r="T1296" s="51">
        <f>IF(tblWorkPackages[[#This Row],[Time split]]="Train 2024","",tblWorkPackages[[#This Row],[Estimated labor hours]]+VLOOKUP(tblWorkPackages[[#This Row],[Task type]],'Forecast validation'!$A$14:$E$25,IF(tblWorkPackages[[#This Row],[Time split]]="Validation H1",4,5),FALSE()))</f>
        <v>7.93739837398374</v>
      </c>
      <c r="U1296" s="51">
        <f>IF(tblWorkPackages[[#This Row],[Calibrated forecast hours]]="","",ABS(tblWorkPackages[[#This Row],[Actual labor hours]]-tblWorkPackages[[#This Row],[Calibrated forecast hours]]))</f>
        <v>2.03739837398374</v>
      </c>
      <c r="V1296" s="51">
        <f>IF(tblWorkPackages[[#This Row],[Time split]]="Train 2024",tblWorkPackages[[#This Row],[Estimated labor hours]],tblWorkPackages[[#This Row],[Calibrated forecast hours]])</f>
        <v>7.93739837398374</v>
      </c>
      <c r="W1296" s="64">
        <f>DATEVALUE(tblWorkPackages[[#This Row],[Request date]])</f>
        <v>45926.0</v>
      </c>
      <c r="X1296" s="64">
        <f>DATEVALUE(tblWorkPackages[[#This Row],[Due date]])</f>
        <v>45932.0</v>
      </c>
      <c r="Y1296" s="64">
        <f>DATEVALUE(tblWorkPackages[[#This Row],[Completion date]])</f>
        <v>45933.0</v>
      </c>
      <c r="Z1296" s="64">
        <f>_xlfn.MINIFS(tblLaborEntries[Work date serial],tblLaborEntries[Work package ID],tblWorkPackages[[#This Row],[Work package ID]])</f>
        <v>45929.0</v>
      </c>
      <c r="AA1296" s="64">
        <f>_xlfn.MAXIFS(tblLaborEntries[Work date serial],tblLaborEntries[Work package ID],tblWorkPackages[[#This Row],[Work package ID]])</f>
        <v>45931.0</v>
      </c>
      <c r="AB1296" s="65">
        <f>IF(tblWorkPackages[[#This Row],[Completion date serial]]&gt;tblWorkPackages[[#This Row],[Due date serial]],1,0)</f>
        <v>1</v>
      </c>
      <c r="AC1296" s="65">
        <f>MAX(0,tblWorkPackages[[#This Row],[Completion date serial]]-tblWorkPackages[[#This Row],[Due date serial]])</f>
        <v>1</v>
      </c>
      <c r="AD1296" s="65">
        <f>tblWorkPackages[[#This Row],[First labor date]]-tblWorkPackages[[#This Row],[Request date serial]]</f>
        <v>3</v>
      </c>
      <c r="AE1296" s="65">
        <f>tblWorkPackages[[#This Row],[Last labor date]]-tblWorkPackages[[#This Row],[First labor date]]</f>
        <v>2</v>
      </c>
      <c r="AF1296" s="65">
        <f>tblWorkPackages[[#This Row],[Completion date serial]]-tblWorkPackages[[#This Row],[Last labor date]]</f>
        <v>2</v>
      </c>
      <c r="AG1296" s="65">
        <f>tblWorkPackages[[#This Row],[Completion date serial]]-tblWorkPackages[[#This Row],[Request date serial]]</f>
        <v>7</v>
      </c>
      <c r="AH1296" s="65">
        <f>IFERROR(INDEX(tblParts[Delay days],MATCH(tblWorkPackages[[#This Row],[Work package ID]],tblParts[Work package ID],0)),0)</f>
        <v>0</v>
      </c>
      <c r="AI1296" s="51" t="str">
        <f>IFERROR(INDEX(tblDisruptions[Event type],MATCH(tblWorkPackages[[#This Row],[Work package ID]],tblDisruptions[Work package ID],0)),"None")</f>
        <v>None</v>
      </c>
      <c r="AJ1296" s="51" t="str">
        <f>TEXT(tblWorkPackages[[#This Row],[Due date serial]],"yyyy-mm")</f>
        <v>2025-10</v>
      </c>
    </row>
    <row r="1297" spans="1:36" ht="15" x14ac:dyDescent="0.25">
      <c r="A1297" s="53" t="s">
        <v>2204</v>
      </c>
      <c r="B1297" s="53" t="s">
        <v>141</v>
      </c>
      <c r="C1297" s="53" t="s">
        <v>709</v>
      </c>
      <c r="D1297" s="53" t="s">
        <v>2009</v>
      </c>
      <c r="E1297" s="53" t="s">
        <v>160</v>
      </c>
      <c r="F1297" s="53" t="s">
        <v>128</v>
      </c>
      <c r="G1297" s="53" t="s">
        <v>138</v>
      </c>
      <c r="H1297" s="53">
        <v>1</v>
      </c>
      <c r="I1297" s="53" t="s">
        <v>147</v>
      </c>
      <c r="J1297" s="53">
        <v>0</v>
      </c>
      <c r="K1297" s="53">
        <v>1</v>
      </c>
      <c r="L1297" s="53">
        <v>3.3</v>
      </c>
      <c r="M1297" s="53" t="s">
        <v>746</v>
      </c>
      <c r="N1297" s="53">
        <v>2.5</v>
      </c>
      <c r="O1297" s="51" t="str">
        <f>TEXT(tblWorkPackages[[#This Row],[Request date serial]]-WEEKDAY(tblWorkPackages[[#This Row],[Request date serial]],3),"yyyy-mm-dd")</f>
        <v>2025-05-26</v>
      </c>
      <c r="P1297" s="51">
        <f>ABS(tblWorkPackages[[#This Row],[Actual labor hours]]-tblWorkPackages[[#This Row],[Estimated labor hours]])</f>
        <v>0.8</v>
      </c>
      <c r="Q1297" s="51">
        <f>IF(tblWorkPackages[[#This Row],[Actual labor hours]]&gt;tblWorkPackages[[#This Row],[Estimated labor hours]],1,0)</f>
        <v>0</v>
      </c>
      <c r="R1297" s="51">
        <f>tblWorkPackages[[#This Row],[Actual labor hours]]-tblWorkPackages[[#This Row],[Estimated labor hours]]</f>
        <v>-0.8</v>
      </c>
      <c r="S1297" s="51" t="str">
        <f>IF(tblWorkPackages[[#This Row],[Request date serial]]&lt;ValidationStart,"Train 2024",IF(tblWorkPackages[[#This Row],[Request date serial]]&lt;HoldoutStart,"Validation H1","Holdout H2"))</f>
        <v>Validation H1</v>
      </c>
      <c r="T1297" s="51">
        <f>IF(tblWorkPackages[[#This Row],[Time split]]="Train 2024","",tblWorkPackages[[#This Row],[Estimated labor hours]]+VLOOKUP(tblWorkPackages[[#This Row],[Task type]],'Forecast validation'!$A$14:$E$25,IF(tblWorkPackages[[#This Row],[Time split]]="Validation H1",4,5),FALSE()))</f>
        <v>3.74146341463415</v>
      </c>
      <c r="U1297" s="51">
        <f>IF(tblWorkPackages[[#This Row],[Calibrated forecast hours]]="","",ABS(tblWorkPackages[[#This Row],[Actual labor hours]]-tblWorkPackages[[#This Row],[Calibrated forecast hours]]))</f>
        <v>1.24146341463415</v>
      </c>
      <c r="V1297" s="51">
        <f>IF(tblWorkPackages[[#This Row],[Time split]]="Train 2024",tblWorkPackages[[#This Row],[Estimated labor hours]],tblWorkPackages[[#This Row],[Calibrated forecast hours]])</f>
        <v>3.74146341463415</v>
      </c>
      <c r="W1297" s="64">
        <f>DATEVALUE(tblWorkPackages[[#This Row],[Request date]])</f>
        <v>45808.0</v>
      </c>
      <c r="X1297" s="64">
        <f>DATEVALUE(tblWorkPackages[[#This Row],[Due date]])</f>
        <v>45810.0</v>
      </c>
      <c r="Y1297" s="64">
        <f>DATEVALUE(tblWorkPackages[[#This Row],[Completion date]])</f>
        <v>45860.0</v>
      </c>
      <c r="Z1297" s="64">
        <f>_xlfn.MINIFS(tblLaborEntries[Work date serial],tblLaborEntries[Work package ID],tblWorkPackages[[#This Row],[Work package ID]])</f>
        <v>45856.0</v>
      </c>
      <c r="AA1297" s="64">
        <f>_xlfn.MAXIFS(tblLaborEntries[Work date serial],tblLaborEntries[Work package ID],tblWorkPackages[[#This Row],[Work package ID]])</f>
        <v>45857.0</v>
      </c>
      <c r="AB1297" s="65">
        <f>IF(tblWorkPackages[[#This Row],[Completion date serial]]&gt;tblWorkPackages[[#This Row],[Due date serial]],1,0)</f>
        <v>1</v>
      </c>
      <c r="AC1297" s="65">
        <f>MAX(0,tblWorkPackages[[#This Row],[Completion date serial]]-tblWorkPackages[[#This Row],[Due date serial]])</f>
        <v>50</v>
      </c>
      <c r="AD1297" s="65">
        <f>tblWorkPackages[[#This Row],[First labor date]]-tblWorkPackages[[#This Row],[Request date serial]]</f>
        <v>48</v>
      </c>
      <c r="AE1297" s="65">
        <f>tblWorkPackages[[#This Row],[Last labor date]]-tblWorkPackages[[#This Row],[First labor date]]</f>
        <v>1</v>
      </c>
      <c r="AF1297" s="65">
        <f>tblWorkPackages[[#This Row],[Completion date serial]]-tblWorkPackages[[#This Row],[Last labor date]]</f>
        <v>3</v>
      </c>
      <c r="AG1297" s="65">
        <f>tblWorkPackages[[#This Row],[Completion date serial]]-tblWorkPackages[[#This Row],[Request date serial]]</f>
        <v>52</v>
      </c>
      <c r="AH1297" s="65">
        <f>IFERROR(INDEX(tblParts[Delay days],MATCH(tblWorkPackages[[#This Row],[Work package ID]],tblParts[Work package ID],0)),0)</f>
        <v>0</v>
      </c>
      <c r="AI1297" s="51" t="str">
        <f>IFERROR(INDEX(tblDisruptions[Event type],MATCH(tblWorkPackages[[#This Row],[Work package ID]],tblDisruptions[Work package ID],0)),"None")</f>
        <v>None</v>
      </c>
      <c r="AJ1297" s="51" t="str">
        <f>TEXT(tblWorkPackages[[#This Row],[Due date serial]],"yyyy-mm")</f>
        <v>2025-06</v>
      </c>
    </row>
    <row r="1298" spans="1:36" ht="15" x14ac:dyDescent="0.25">
      <c r="A1298" s="53" t="s">
        <v>2205</v>
      </c>
      <c r="B1298" s="53" t="s">
        <v>235</v>
      </c>
      <c r="C1298" s="53" t="s">
        <v>1249</v>
      </c>
      <c r="D1298" s="53" t="s">
        <v>468</v>
      </c>
      <c r="E1298" s="53" t="s">
        <v>242</v>
      </c>
      <c r="F1298" s="53" t="s">
        <v>243</v>
      </c>
      <c r="G1298" s="53" t="s">
        <v>129</v>
      </c>
      <c r="H1298" s="53">
        <v>3</v>
      </c>
      <c r="I1298" s="53" t="s">
        <v>130</v>
      </c>
      <c r="J1298" s="53">
        <v>0</v>
      </c>
      <c r="K1298" s="53">
        <v>0</v>
      </c>
      <c r="L1298" s="53">
        <v>12.9</v>
      </c>
      <c r="M1298" s="53" t="s">
        <v>785</v>
      </c>
      <c r="N1298" s="53">
        <v>16.600000000000001</v>
      </c>
      <c r="O1298" s="51" t="str">
        <f>TEXT(tblWorkPackages[[#This Row],[Request date serial]]-WEEKDAY(tblWorkPackages[[#This Row],[Request date serial]],3),"yyyy-mm-dd")</f>
        <v>2025-04-14</v>
      </c>
      <c r="P1298" s="51">
        <f>ABS(tblWorkPackages[[#This Row],[Actual labor hours]]-tblWorkPackages[[#This Row],[Estimated labor hours]])</f>
        <v>3.7</v>
      </c>
      <c r="Q1298" s="51">
        <f>IF(tblWorkPackages[[#This Row],[Actual labor hours]]&gt;tblWorkPackages[[#This Row],[Estimated labor hours]],1,0)</f>
        <v>1</v>
      </c>
      <c r="R1298" s="51">
        <f>tblWorkPackages[[#This Row],[Actual labor hours]]-tblWorkPackages[[#This Row],[Estimated labor hours]]</f>
        <v>3.7</v>
      </c>
      <c r="S1298" s="51" t="str">
        <f>IF(tblWorkPackages[[#This Row],[Request date serial]]&lt;ValidationStart,"Train 2024",IF(tblWorkPackages[[#This Row],[Request date serial]]&lt;HoldoutStart,"Validation H1","Holdout H2"))</f>
        <v>Validation H1</v>
      </c>
      <c r="T1298" s="51">
        <f>IF(tblWorkPackages[[#This Row],[Time split]]="Train 2024","",tblWorkPackages[[#This Row],[Estimated labor hours]]+VLOOKUP(tblWorkPackages[[#This Row],[Task type]],'Forecast validation'!$A$14:$E$25,IF(tblWorkPackages[[#This Row],[Time split]]="Validation H1",4,5),FALSE()))</f>
        <v>13.4561224489796</v>
      </c>
      <c r="U1298" s="51">
        <f>IF(tblWorkPackages[[#This Row],[Calibrated forecast hours]]="","",ABS(tblWorkPackages[[#This Row],[Actual labor hours]]-tblWorkPackages[[#This Row],[Calibrated forecast hours]]))</f>
        <v>3.14387755102041</v>
      </c>
      <c r="V1298" s="51">
        <f>IF(tblWorkPackages[[#This Row],[Time split]]="Train 2024",tblWorkPackages[[#This Row],[Estimated labor hours]],tblWorkPackages[[#This Row],[Calibrated forecast hours]])</f>
        <v>13.4561224489796</v>
      </c>
      <c r="W1298" s="64">
        <f>DATEVALUE(tblWorkPackages[[#This Row],[Request date]])</f>
        <v>45762.0</v>
      </c>
      <c r="X1298" s="64">
        <f>DATEVALUE(tblWorkPackages[[#This Row],[Due date]])</f>
        <v>45775.0</v>
      </c>
      <c r="Y1298" s="64">
        <f>DATEVALUE(tblWorkPackages[[#This Row],[Completion date]])</f>
        <v>45771.0</v>
      </c>
      <c r="Z1298" s="64">
        <f>_xlfn.MINIFS(tblLaborEntries[Work date serial],tblLaborEntries[Work package ID],tblWorkPackages[[#This Row],[Work package ID]])</f>
        <v>45770.0</v>
      </c>
      <c r="AA1298" s="64">
        <f>_xlfn.MAXIFS(tblLaborEntries[Work date serial],tblLaborEntries[Work package ID],tblWorkPackages[[#This Row],[Work package ID]])</f>
        <v>45771.0</v>
      </c>
      <c r="AB1298" s="65">
        <f>IF(tblWorkPackages[[#This Row],[Completion date serial]]&gt;tblWorkPackages[[#This Row],[Due date serial]],1,0)</f>
        <v>0</v>
      </c>
      <c r="AC1298" s="65">
        <f>MAX(0,tblWorkPackages[[#This Row],[Completion date serial]]-tblWorkPackages[[#This Row],[Due date serial]])</f>
        <v>0</v>
      </c>
      <c r="AD1298" s="65">
        <f>tblWorkPackages[[#This Row],[First labor date]]-tblWorkPackages[[#This Row],[Request date serial]]</f>
        <v>8</v>
      </c>
      <c r="AE1298" s="65">
        <f>tblWorkPackages[[#This Row],[Last labor date]]-tblWorkPackages[[#This Row],[First labor date]]</f>
        <v>1</v>
      </c>
      <c r="AF1298" s="65">
        <f>tblWorkPackages[[#This Row],[Completion date serial]]-tblWorkPackages[[#This Row],[Last labor date]]</f>
        <v>0</v>
      </c>
      <c r="AG1298" s="65">
        <f>tblWorkPackages[[#This Row],[Completion date serial]]-tblWorkPackages[[#This Row],[Request date serial]]</f>
        <v>9</v>
      </c>
      <c r="AH1298" s="65">
        <f>IFERROR(INDEX(tblParts[Delay days],MATCH(tblWorkPackages[[#This Row],[Work package ID]],tblParts[Work package ID],0)),0)</f>
        <v>0</v>
      </c>
      <c r="AI1298" s="51" t="str">
        <f>IFERROR(INDEX(tblDisruptions[Event type],MATCH(tblWorkPackages[[#This Row],[Work package ID]],tblDisruptions[Work package ID],0)),"None")</f>
        <v>None</v>
      </c>
      <c r="AJ1298" s="51" t="str">
        <f>TEXT(tblWorkPackages[[#This Row],[Due date serial]],"yyyy-mm")</f>
        <v>2025-04</v>
      </c>
    </row>
    <row r="1299" spans="1:36" ht="15" x14ac:dyDescent="0.25">
      <c r="A1299" s="53" t="s">
        <v>2206</v>
      </c>
      <c r="B1299" s="53" t="s">
        <v>157</v>
      </c>
      <c r="C1299" s="53" t="s">
        <v>914</v>
      </c>
      <c r="D1299" s="53" t="s">
        <v>646</v>
      </c>
      <c r="E1299" s="53" t="s">
        <v>272</v>
      </c>
      <c r="F1299" s="53" t="s">
        <v>145</v>
      </c>
      <c r="G1299" s="53" t="s">
        <v>273</v>
      </c>
      <c r="H1299" s="53">
        <v>1</v>
      </c>
      <c r="I1299" s="53" t="s">
        <v>147</v>
      </c>
      <c r="J1299" s="53">
        <v>0</v>
      </c>
      <c r="K1299" s="53">
        <v>1</v>
      </c>
      <c r="L1299" s="53">
        <v>6.5</v>
      </c>
      <c r="M1299" s="53" t="s">
        <v>779</v>
      </c>
      <c r="N1299" s="53">
        <v>7.3</v>
      </c>
      <c r="O1299" s="51" t="str">
        <f>TEXT(tblWorkPackages[[#This Row],[Request date serial]]-WEEKDAY(tblWorkPackages[[#This Row],[Request date serial]],3),"yyyy-mm-dd")</f>
        <v>2025-12-22</v>
      </c>
      <c r="P1299" s="51">
        <f>ABS(tblWorkPackages[[#This Row],[Actual labor hours]]-tblWorkPackages[[#This Row],[Estimated labor hours]])</f>
        <v>0.8</v>
      </c>
      <c r="Q1299" s="51">
        <f>IF(tblWorkPackages[[#This Row],[Actual labor hours]]&gt;tblWorkPackages[[#This Row],[Estimated labor hours]],1,0)</f>
        <v>1</v>
      </c>
      <c r="R1299" s="51">
        <f>tblWorkPackages[[#This Row],[Actual labor hours]]-tblWorkPackages[[#This Row],[Estimated labor hours]]</f>
        <v>0.8</v>
      </c>
      <c r="S1299" s="51" t="str">
        <f>IF(tblWorkPackages[[#This Row],[Request date serial]]&lt;ValidationStart,"Train 2024",IF(tblWorkPackages[[#This Row],[Request date serial]]&lt;HoldoutStart,"Validation H1","Holdout H2"))</f>
        <v>Holdout H2</v>
      </c>
      <c r="T1299" s="51">
        <f>IF(tblWorkPackages[[#This Row],[Time split]]="Train 2024","",tblWorkPackages[[#This Row],[Estimated labor hours]]+VLOOKUP(tblWorkPackages[[#This Row],[Task type]],'Forecast validation'!$A$14:$E$25,IF(tblWorkPackages[[#This Row],[Time split]]="Validation H1",4,5),FALSE()))</f>
        <v>7.48515625</v>
      </c>
      <c r="U1299" s="51">
        <f>IF(tblWorkPackages[[#This Row],[Calibrated forecast hours]]="","",ABS(tblWorkPackages[[#This Row],[Actual labor hours]]-tblWorkPackages[[#This Row],[Calibrated forecast hours]]))</f>
        <v>0.18515625</v>
      </c>
      <c r="V1299" s="51">
        <f>IF(tblWorkPackages[[#This Row],[Time split]]="Train 2024",tblWorkPackages[[#This Row],[Estimated labor hours]],tblWorkPackages[[#This Row],[Calibrated forecast hours]])</f>
        <v>7.48515625</v>
      </c>
      <c r="W1299" s="64">
        <f>DATEVALUE(tblWorkPackages[[#This Row],[Request date]])</f>
        <v>46013.0</v>
      </c>
      <c r="X1299" s="64">
        <f>DATEVALUE(tblWorkPackages[[#This Row],[Due date]])</f>
        <v>46015.0</v>
      </c>
      <c r="Y1299" s="64">
        <f>DATEVALUE(tblWorkPackages[[#This Row],[Completion date]])</f>
        <v>46018.0</v>
      </c>
      <c r="Z1299" s="64">
        <f>_xlfn.MINIFS(tblLaborEntries[Work date serial],tblLaborEntries[Work package ID],tblWorkPackages[[#This Row],[Work package ID]])</f>
        <v>46015.0</v>
      </c>
      <c r="AA1299" s="64">
        <f>_xlfn.MAXIFS(tblLaborEntries[Work date serial],tblLaborEntries[Work package ID],tblWorkPackages[[#This Row],[Work package ID]])</f>
        <v>46017.0</v>
      </c>
      <c r="AB1299" s="65">
        <f>IF(tblWorkPackages[[#This Row],[Completion date serial]]&gt;tblWorkPackages[[#This Row],[Due date serial]],1,0)</f>
        <v>1</v>
      </c>
      <c r="AC1299" s="65">
        <f>MAX(0,tblWorkPackages[[#This Row],[Completion date serial]]-tblWorkPackages[[#This Row],[Due date serial]])</f>
        <v>3</v>
      </c>
      <c r="AD1299" s="65">
        <f>tblWorkPackages[[#This Row],[First labor date]]-tblWorkPackages[[#This Row],[Request date serial]]</f>
        <v>2</v>
      </c>
      <c r="AE1299" s="65">
        <f>tblWorkPackages[[#This Row],[Last labor date]]-tblWorkPackages[[#This Row],[First labor date]]</f>
        <v>2</v>
      </c>
      <c r="AF1299" s="65">
        <f>tblWorkPackages[[#This Row],[Completion date serial]]-tblWorkPackages[[#This Row],[Last labor date]]</f>
        <v>1</v>
      </c>
      <c r="AG1299" s="65">
        <f>tblWorkPackages[[#This Row],[Completion date serial]]-tblWorkPackages[[#This Row],[Request date serial]]</f>
        <v>5</v>
      </c>
      <c r="AH1299" s="65">
        <f>IFERROR(INDEX(tblParts[Delay days],MATCH(tblWorkPackages[[#This Row],[Work package ID]],tblParts[Work package ID],0)),0)</f>
        <v>0</v>
      </c>
      <c r="AI1299" s="51" t="str">
        <f>IFERROR(INDEX(tblDisruptions[Event type],MATCH(tblWorkPackages[[#This Row],[Work package ID]],tblDisruptions[Work package ID],0)),"None")</f>
        <v>None</v>
      </c>
      <c r="AJ1299" s="51" t="str">
        <f>TEXT(tblWorkPackages[[#This Row],[Due date serial]],"yyyy-mm")</f>
        <v>2025-12</v>
      </c>
    </row>
    <row r="1300" spans="1:36" ht="15" x14ac:dyDescent="0.25">
      <c r="A1300" s="53" t="s">
        <v>2207</v>
      </c>
      <c r="B1300" s="53" t="s">
        <v>250</v>
      </c>
      <c r="C1300" s="53" t="s">
        <v>661</v>
      </c>
      <c r="D1300" s="53" t="s">
        <v>734</v>
      </c>
      <c r="E1300" s="53" t="s">
        <v>272</v>
      </c>
      <c r="F1300" s="53" t="s">
        <v>145</v>
      </c>
      <c r="G1300" s="53" t="s">
        <v>273</v>
      </c>
      <c r="H1300" s="53">
        <v>2</v>
      </c>
      <c r="I1300" s="53" t="s">
        <v>130</v>
      </c>
      <c r="J1300" s="53">
        <v>1</v>
      </c>
      <c r="K1300" s="53">
        <v>0</v>
      </c>
      <c r="L1300" s="53">
        <v>10.1</v>
      </c>
      <c r="M1300" s="53" t="s">
        <v>373</v>
      </c>
      <c r="N1300" s="53">
        <v>10.3</v>
      </c>
      <c r="O1300" s="51" t="str">
        <f>TEXT(tblWorkPackages[[#This Row],[Request date serial]]-WEEKDAY(tblWorkPackages[[#This Row],[Request date serial]],3),"yyyy-mm-dd")</f>
        <v>2024-09-16</v>
      </c>
      <c r="P1300" s="51">
        <f>ABS(tblWorkPackages[[#This Row],[Actual labor hours]]-tblWorkPackages[[#This Row],[Estimated labor hours]])</f>
        <v>0.200000000000001</v>
      </c>
      <c r="Q1300" s="51">
        <f>IF(tblWorkPackages[[#This Row],[Actual labor hours]]&gt;tblWorkPackages[[#This Row],[Estimated labor hours]],1,0)</f>
        <v>1</v>
      </c>
      <c r="R1300" s="51">
        <f>tblWorkPackages[[#This Row],[Actual labor hours]]-tblWorkPackages[[#This Row],[Estimated labor hours]]</f>
        <v>0.200000000000001</v>
      </c>
      <c r="S1300" s="51" t="str">
        <f>IF(tblWorkPackages[[#This Row],[Request date serial]]&lt;ValidationStart,"Train 2024",IF(tblWorkPackages[[#This Row],[Request date serial]]&lt;HoldoutStart,"Validation H1","Holdout H2"))</f>
        <v>Train 2024</v>
      </c>
      <c r="T1300" s="51" t="str">
        <f>IF(tblWorkPackages[[#This Row],[Time split]]="Train 2024","",tblWorkPackages[[#This Row],[Estimated labor hours]]+VLOOKUP(tblWorkPackages[[#This Row],[Task type]],'Forecast validation'!$A$14:$E$25,IF(tblWorkPackages[[#This Row],[Time split]]="Validation H1",4,5),FALSE()))</f>
        <v/>
      </c>
      <c r="U1300" s="51" t="str">
        <f>IF(tblWorkPackages[[#This Row],[Calibrated forecast hours]]="","",ABS(tblWorkPackages[[#This Row],[Actual labor hours]]-tblWorkPackages[[#This Row],[Calibrated forecast hours]]))</f>
        <v/>
      </c>
      <c r="V1300" s="51">
        <f>IF(tblWorkPackages[[#This Row],[Time split]]="Train 2024",tblWorkPackages[[#This Row],[Estimated labor hours]],tblWorkPackages[[#This Row],[Calibrated forecast hours]])</f>
        <v>10.1</v>
      </c>
      <c r="W1300" s="64">
        <f>DATEVALUE(tblWorkPackages[[#This Row],[Request date]])</f>
        <v>45554.0</v>
      </c>
      <c r="X1300" s="64">
        <f>DATEVALUE(tblWorkPackages[[#This Row],[Due date]])</f>
        <v>45567.0</v>
      </c>
      <c r="Y1300" s="64">
        <f>DATEVALUE(tblWorkPackages[[#This Row],[Completion date]])</f>
        <v>45575.0</v>
      </c>
      <c r="Z1300" s="64">
        <f>_xlfn.MINIFS(tblLaborEntries[Work date serial],tblLaborEntries[Work package ID],tblWorkPackages[[#This Row],[Work package ID]])</f>
        <v>45573.0</v>
      </c>
      <c r="AA1300" s="64">
        <f>_xlfn.MAXIFS(tblLaborEntries[Work date serial],tblLaborEntries[Work package ID],tblWorkPackages[[#This Row],[Work package ID]])</f>
        <v>45573.0</v>
      </c>
      <c r="AB1300" s="65">
        <f>IF(tblWorkPackages[[#This Row],[Completion date serial]]&gt;tblWorkPackages[[#This Row],[Due date serial]],1,0)</f>
        <v>1</v>
      </c>
      <c r="AC1300" s="65">
        <f>MAX(0,tblWorkPackages[[#This Row],[Completion date serial]]-tblWorkPackages[[#This Row],[Due date serial]])</f>
        <v>8</v>
      </c>
      <c r="AD1300" s="65">
        <f>tblWorkPackages[[#This Row],[First labor date]]-tblWorkPackages[[#This Row],[Request date serial]]</f>
        <v>19</v>
      </c>
      <c r="AE1300" s="65">
        <f>tblWorkPackages[[#This Row],[Last labor date]]-tblWorkPackages[[#This Row],[First labor date]]</f>
        <v>0</v>
      </c>
      <c r="AF1300" s="65">
        <f>tblWorkPackages[[#This Row],[Completion date serial]]-tblWorkPackages[[#This Row],[Last labor date]]</f>
        <v>2</v>
      </c>
      <c r="AG1300" s="65">
        <f>tblWorkPackages[[#This Row],[Completion date serial]]-tblWorkPackages[[#This Row],[Request date serial]]</f>
        <v>21</v>
      </c>
      <c r="AH1300" s="65">
        <f>IFERROR(INDEX(tblParts[Delay days],MATCH(tblWorkPackages[[#This Row],[Work package ID]],tblParts[Work package ID],0)),0)</f>
        <v>0</v>
      </c>
      <c r="AI1300" s="51" t="str">
        <f>IFERROR(INDEX(tblDisruptions[Event type],MATCH(tblWorkPackages[[#This Row],[Work package ID]],tblDisruptions[Work package ID],0)),"None")</f>
        <v>None</v>
      </c>
      <c r="AJ1300" s="51" t="str">
        <f>TEXT(tblWorkPackages[[#This Row],[Due date serial]],"yyyy-mm")</f>
        <v>2024-10</v>
      </c>
    </row>
    <row r="1301" spans="1:36" ht="15" x14ac:dyDescent="0.25">
      <c r="A1301" s="53" t="s">
        <v>2208</v>
      </c>
      <c r="B1301" s="53" t="s">
        <v>133</v>
      </c>
      <c r="C1301" s="53" t="s">
        <v>784</v>
      </c>
      <c r="D1301" s="53" t="s">
        <v>785</v>
      </c>
      <c r="E1301" s="53" t="s">
        <v>209</v>
      </c>
      <c r="F1301" s="53" t="s">
        <v>145</v>
      </c>
      <c r="G1301" s="53" t="s">
        <v>210</v>
      </c>
      <c r="H1301" s="53">
        <v>3</v>
      </c>
      <c r="I1301" s="53" t="s">
        <v>176</v>
      </c>
      <c r="J1301" s="53">
        <v>0</v>
      </c>
      <c r="K1301" s="53">
        <v>1</v>
      </c>
      <c r="L1301" s="53">
        <v>30.6</v>
      </c>
      <c r="M1301" s="53" t="s">
        <v>1221</v>
      </c>
      <c r="N1301" s="53">
        <v>36.200000000000003</v>
      </c>
      <c r="O1301" s="51" t="str">
        <f>TEXT(tblWorkPackages[[#This Row],[Request date serial]]-WEEKDAY(tblWorkPackages[[#This Row],[Request date serial]],3),"yyyy-mm-dd")</f>
        <v>2025-04-14</v>
      </c>
      <c r="P1301" s="51">
        <f>ABS(tblWorkPackages[[#This Row],[Actual labor hours]]-tblWorkPackages[[#This Row],[Estimated labor hours]])</f>
        <v>5.6</v>
      </c>
      <c r="Q1301" s="51">
        <f>IF(tblWorkPackages[[#This Row],[Actual labor hours]]&gt;tblWorkPackages[[#This Row],[Estimated labor hours]],1,0)</f>
        <v>1</v>
      </c>
      <c r="R1301" s="51">
        <f>tblWorkPackages[[#This Row],[Actual labor hours]]-tblWorkPackages[[#This Row],[Estimated labor hours]]</f>
        <v>5.6</v>
      </c>
      <c r="S1301" s="51" t="str">
        <f>IF(tblWorkPackages[[#This Row],[Request date serial]]&lt;ValidationStart,"Train 2024",IF(tblWorkPackages[[#This Row],[Request date serial]]&lt;HoldoutStart,"Validation H1","Holdout H2"))</f>
        <v>Validation H1</v>
      </c>
      <c r="T1301" s="51">
        <f>IF(tblWorkPackages[[#This Row],[Time split]]="Train 2024","",tblWorkPackages[[#This Row],[Estimated labor hours]]+VLOOKUP(tblWorkPackages[[#This Row],[Task type]],'Forecast validation'!$A$14:$E$25,IF(tblWorkPackages[[#This Row],[Time split]]="Validation H1",4,5),FALSE()))</f>
        <v>31.7029850746269</v>
      </c>
      <c r="U1301" s="51">
        <f>IF(tblWorkPackages[[#This Row],[Calibrated forecast hours]]="","",ABS(tblWorkPackages[[#This Row],[Actual labor hours]]-tblWorkPackages[[#This Row],[Calibrated forecast hours]]))</f>
        <v>4.49701492537314</v>
      </c>
      <c r="V1301" s="51">
        <f>IF(tblWorkPackages[[#This Row],[Time split]]="Train 2024",tblWorkPackages[[#This Row],[Estimated labor hours]],tblWorkPackages[[#This Row],[Calibrated forecast hours]])</f>
        <v>31.7029850746269</v>
      </c>
      <c r="W1301" s="64">
        <f>DATEVALUE(tblWorkPackages[[#This Row],[Request date]])</f>
        <v>45765.0</v>
      </c>
      <c r="X1301" s="64">
        <f>DATEVALUE(tblWorkPackages[[#This Row],[Due date]])</f>
        <v>45771.0</v>
      </c>
      <c r="Y1301" s="64">
        <f>DATEVALUE(tblWorkPackages[[#This Row],[Completion date]])</f>
        <v>45774.0</v>
      </c>
      <c r="Z1301" s="64">
        <f>_xlfn.MINIFS(tblLaborEntries[Work date serial],tblLaborEntries[Work package ID],tblWorkPackages[[#This Row],[Work package ID]])</f>
        <v>45769.0</v>
      </c>
      <c r="AA1301" s="64">
        <f>_xlfn.MAXIFS(tblLaborEntries[Work date serial],tblLaborEntries[Work package ID],tblWorkPackages[[#This Row],[Work package ID]])</f>
        <v>45771.0</v>
      </c>
      <c r="AB1301" s="65">
        <f>IF(tblWorkPackages[[#This Row],[Completion date serial]]&gt;tblWorkPackages[[#This Row],[Due date serial]],1,0)</f>
        <v>1</v>
      </c>
      <c r="AC1301" s="65">
        <f>MAX(0,tblWorkPackages[[#This Row],[Completion date serial]]-tblWorkPackages[[#This Row],[Due date serial]])</f>
        <v>3</v>
      </c>
      <c r="AD1301" s="65">
        <f>tblWorkPackages[[#This Row],[First labor date]]-tblWorkPackages[[#This Row],[Request date serial]]</f>
        <v>4</v>
      </c>
      <c r="AE1301" s="65">
        <f>tblWorkPackages[[#This Row],[Last labor date]]-tblWorkPackages[[#This Row],[First labor date]]</f>
        <v>2</v>
      </c>
      <c r="AF1301" s="65">
        <f>tblWorkPackages[[#This Row],[Completion date serial]]-tblWorkPackages[[#This Row],[Last labor date]]</f>
        <v>3</v>
      </c>
      <c r="AG1301" s="65">
        <f>tblWorkPackages[[#This Row],[Completion date serial]]-tblWorkPackages[[#This Row],[Request date serial]]</f>
        <v>9</v>
      </c>
      <c r="AH1301" s="65">
        <f>IFERROR(INDEX(tblParts[Delay days],MATCH(tblWorkPackages[[#This Row],[Work package ID]],tblParts[Work package ID],0)),0)</f>
        <v>0</v>
      </c>
      <c r="AI1301" s="51" t="str">
        <f>IFERROR(INDEX(tblDisruptions[Event type],MATCH(tblWorkPackages[[#This Row],[Work package ID]],tblDisruptions[Work package ID],0)),"None")</f>
        <v>None</v>
      </c>
      <c r="AJ1301" s="51" t="str">
        <f>TEXT(tblWorkPackages[[#This Row],[Due date serial]],"yyyy-mm")</f>
        <v>2025-04</v>
      </c>
    </row>
    <row r="1302" spans="1:36" ht="15" x14ac:dyDescent="0.25">
      <c r="A1302" s="53" t="s">
        <v>2209</v>
      </c>
      <c r="B1302" s="53" t="s">
        <v>133</v>
      </c>
      <c r="C1302" s="53" t="s">
        <v>368</v>
      </c>
      <c r="D1302" s="53" t="s">
        <v>369</v>
      </c>
      <c r="E1302" s="53" t="s">
        <v>136</v>
      </c>
      <c r="F1302" s="53" t="s">
        <v>137</v>
      </c>
      <c r="G1302" s="53" t="s">
        <v>138</v>
      </c>
      <c r="H1302" s="53">
        <v>4</v>
      </c>
      <c r="I1302" s="53" t="s">
        <v>130</v>
      </c>
      <c r="J1302" s="53">
        <v>0</v>
      </c>
      <c r="K1302" s="53">
        <v>0</v>
      </c>
      <c r="L1302" s="53">
        <v>27.8</v>
      </c>
      <c r="M1302" s="53" t="s">
        <v>1107</v>
      </c>
      <c r="N1302" s="53">
        <v>21.6</v>
      </c>
      <c r="O1302" s="51" t="str">
        <f>TEXT(tblWorkPackages[[#This Row],[Request date serial]]-WEEKDAY(tblWorkPackages[[#This Row],[Request date serial]],3),"yyyy-mm-dd")</f>
        <v>2024-05-27</v>
      </c>
      <c r="P1302" s="51">
        <f>ABS(tblWorkPackages[[#This Row],[Actual labor hours]]-tblWorkPackages[[#This Row],[Estimated labor hours]])</f>
        <v>6.2</v>
      </c>
      <c r="Q1302" s="51">
        <f>IF(tblWorkPackages[[#This Row],[Actual labor hours]]&gt;tblWorkPackages[[#This Row],[Estimated labor hours]],1,0)</f>
        <v>0</v>
      </c>
      <c r="R1302" s="51">
        <f>tblWorkPackages[[#This Row],[Actual labor hours]]-tblWorkPackages[[#This Row],[Estimated labor hours]]</f>
        <v>-6.2</v>
      </c>
      <c r="S1302" s="51" t="str">
        <f>IF(tblWorkPackages[[#This Row],[Request date serial]]&lt;ValidationStart,"Train 2024",IF(tblWorkPackages[[#This Row],[Request date serial]]&lt;HoldoutStart,"Validation H1","Holdout H2"))</f>
        <v>Train 2024</v>
      </c>
      <c r="T1302" s="51" t="str">
        <f>IF(tblWorkPackages[[#This Row],[Time split]]="Train 2024","",tblWorkPackages[[#This Row],[Estimated labor hours]]+VLOOKUP(tblWorkPackages[[#This Row],[Task type]],'Forecast validation'!$A$14:$E$25,IF(tblWorkPackages[[#This Row],[Time split]]="Validation H1",4,5),FALSE()))</f>
        <v/>
      </c>
      <c r="U1302" s="51" t="str">
        <f>IF(tblWorkPackages[[#This Row],[Calibrated forecast hours]]="","",ABS(tblWorkPackages[[#This Row],[Actual labor hours]]-tblWorkPackages[[#This Row],[Calibrated forecast hours]]))</f>
        <v/>
      </c>
      <c r="V1302" s="51">
        <f>IF(tblWorkPackages[[#This Row],[Time split]]="Train 2024",tblWorkPackages[[#This Row],[Estimated labor hours]],tblWorkPackages[[#This Row],[Calibrated forecast hours]])</f>
        <v>27.8</v>
      </c>
      <c r="W1302" s="64">
        <f>DATEVALUE(tblWorkPackages[[#This Row],[Request date]])</f>
        <v>45442.0</v>
      </c>
      <c r="X1302" s="64">
        <f>DATEVALUE(tblWorkPackages[[#This Row],[Due date]])</f>
        <v>45455.0</v>
      </c>
      <c r="Y1302" s="64">
        <f>DATEVALUE(tblWorkPackages[[#This Row],[Completion date]])</f>
        <v>45444.0</v>
      </c>
      <c r="Z1302" s="64">
        <f>_xlfn.MINIFS(tblLaborEntries[Work date serial],tblLaborEntries[Work package ID],tblWorkPackages[[#This Row],[Work package ID]])</f>
        <v>45443.0</v>
      </c>
      <c r="AA1302" s="64">
        <f>_xlfn.MAXIFS(tblLaborEntries[Work date serial],tblLaborEntries[Work package ID],tblWorkPackages[[#This Row],[Work package ID]])</f>
        <v>45444.0</v>
      </c>
      <c r="AB1302" s="65">
        <f>IF(tblWorkPackages[[#This Row],[Completion date serial]]&gt;tblWorkPackages[[#This Row],[Due date serial]],1,0)</f>
        <v>0</v>
      </c>
      <c r="AC1302" s="65">
        <f>MAX(0,tblWorkPackages[[#This Row],[Completion date serial]]-tblWorkPackages[[#This Row],[Due date serial]])</f>
        <v>0</v>
      </c>
      <c r="AD1302" s="65">
        <f>tblWorkPackages[[#This Row],[First labor date]]-tblWorkPackages[[#This Row],[Request date serial]]</f>
        <v>1</v>
      </c>
      <c r="AE1302" s="65">
        <f>tblWorkPackages[[#This Row],[Last labor date]]-tblWorkPackages[[#This Row],[First labor date]]</f>
        <v>1</v>
      </c>
      <c r="AF1302" s="65">
        <f>tblWorkPackages[[#This Row],[Completion date serial]]-tblWorkPackages[[#This Row],[Last labor date]]</f>
        <v>0</v>
      </c>
      <c r="AG1302" s="65">
        <f>tblWorkPackages[[#This Row],[Completion date serial]]-tblWorkPackages[[#This Row],[Request date serial]]</f>
        <v>2</v>
      </c>
      <c r="AH1302" s="65">
        <f>IFERROR(INDEX(tblParts[Delay days],MATCH(tblWorkPackages[[#This Row],[Work package ID]],tblParts[Work package ID],0)),0)</f>
        <v>0</v>
      </c>
      <c r="AI1302" s="51" t="str">
        <f>IFERROR(INDEX(tblDisruptions[Event type],MATCH(tblWorkPackages[[#This Row],[Work package ID]],tblDisruptions[Work package ID],0)),"None")</f>
        <v>None</v>
      </c>
      <c r="AJ1302" s="51" t="str">
        <f>TEXT(tblWorkPackages[[#This Row],[Due date serial]],"yyyy-mm")</f>
        <v>2024-06</v>
      </c>
    </row>
    <row r="1303" spans="1:36" ht="15" x14ac:dyDescent="0.25">
      <c r="A1303" s="53" t="s">
        <v>2210</v>
      </c>
      <c r="B1303" s="53" t="s">
        <v>250</v>
      </c>
      <c r="C1303" s="53" t="s">
        <v>255</v>
      </c>
      <c r="D1303" s="53" t="s">
        <v>221</v>
      </c>
      <c r="E1303" s="53" t="s">
        <v>237</v>
      </c>
      <c r="F1303" s="53" t="s">
        <v>182</v>
      </c>
      <c r="G1303" s="53" t="s">
        <v>138</v>
      </c>
      <c r="H1303" s="53">
        <v>2</v>
      </c>
      <c r="I1303" s="53" t="s">
        <v>130</v>
      </c>
      <c r="J1303" s="53">
        <v>1</v>
      </c>
      <c r="K1303" s="53">
        <v>1</v>
      </c>
      <c r="L1303" s="53">
        <v>4.9000000000000004</v>
      </c>
      <c r="M1303" s="53" t="s">
        <v>221</v>
      </c>
      <c r="N1303" s="53">
        <v>6.7</v>
      </c>
      <c r="O1303" s="51" t="str">
        <f>TEXT(tblWorkPackages[[#This Row],[Request date serial]]-WEEKDAY(tblWorkPackages[[#This Row],[Request date serial]],3),"yyyy-mm-dd")</f>
        <v>2024-12-02</v>
      </c>
      <c r="P1303" s="51">
        <f>ABS(tblWorkPackages[[#This Row],[Actual labor hours]]-tblWorkPackages[[#This Row],[Estimated labor hours]])</f>
        <v>1.8</v>
      </c>
      <c r="Q1303" s="51">
        <f>IF(tblWorkPackages[[#This Row],[Actual labor hours]]&gt;tblWorkPackages[[#This Row],[Estimated labor hours]],1,0)</f>
        <v>1</v>
      </c>
      <c r="R1303" s="51">
        <f>tblWorkPackages[[#This Row],[Actual labor hours]]-tblWorkPackages[[#This Row],[Estimated labor hours]]</f>
        <v>1.8</v>
      </c>
      <c r="S1303" s="51" t="str">
        <f>IF(tblWorkPackages[[#This Row],[Request date serial]]&lt;ValidationStart,"Train 2024",IF(tblWorkPackages[[#This Row],[Request date serial]]&lt;HoldoutStart,"Validation H1","Holdout H2"))</f>
        <v>Train 2024</v>
      </c>
      <c r="T1303" s="51" t="str">
        <f>IF(tblWorkPackages[[#This Row],[Time split]]="Train 2024","",tblWorkPackages[[#This Row],[Estimated labor hours]]+VLOOKUP(tblWorkPackages[[#This Row],[Task type]],'Forecast validation'!$A$14:$E$25,IF(tblWorkPackages[[#This Row],[Time split]]="Validation H1",4,5),FALSE()))</f>
        <v/>
      </c>
      <c r="U1303" s="51" t="str">
        <f>IF(tblWorkPackages[[#This Row],[Calibrated forecast hours]]="","",ABS(tblWorkPackages[[#This Row],[Actual labor hours]]-tblWorkPackages[[#This Row],[Calibrated forecast hours]]))</f>
        <v/>
      </c>
      <c r="V1303" s="51">
        <f>IF(tblWorkPackages[[#This Row],[Time split]]="Train 2024",tblWorkPackages[[#This Row],[Estimated labor hours]],tblWorkPackages[[#This Row],[Calibrated forecast hours]])</f>
        <v>4.9</v>
      </c>
      <c r="W1303" s="64">
        <f>DATEVALUE(tblWorkPackages[[#This Row],[Request date]])</f>
        <v>45632.0</v>
      </c>
      <c r="X1303" s="64">
        <f>DATEVALUE(tblWorkPackages[[#This Row],[Due date]])</f>
        <v>45645.0</v>
      </c>
      <c r="Y1303" s="64">
        <f>DATEVALUE(tblWorkPackages[[#This Row],[Completion date]])</f>
        <v>45645.0</v>
      </c>
      <c r="Z1303" s="64">
        <f>_xlfn.MINIFS(tblLaborEntries[Work date serial],tblLaborEntries[Work package ID],tblWorkPackages[[#This Row],[Work package ID]])</f>
        <v>45643.0</v>
      </c>
      <c r="AA1303" s="64">
        <f>_xlfn.MAXIFS(tblLaborEntries[Work date serial],tblLaborEntries[Work package ID],tblWorkPackages[[#This Row],[Work package ID]])</f>
        <v>45644.0</v>
      </c>
      <c r="AB1303" s="65">
        <f>IF(tblWorkPackages[[#This Row],[Completion date serial]]&gt;tblWorkPackages[[#This Row],[Due date serial]],1,0)</f>
        <v>0</v>
      </c>
      <c r="AC1303" s="65">
        <f>MAX(0,tblWorkPackages[[#This Row],[Completion date serial]]-tblWorkPackages[[#This Row],[Due date serial]])</f>
        <v>0</v>
      </c>
      <c r="AD1303" s="65">
        <f>tblWorkPackages[[#This Row],[First labor date]]-tblWorkPackages[[#This Row],[Request date serial]]</f>
        <v>11</v>
      </c>
      <c r="AE1303" s="65">
        <f>tblWorkPackages[[#This Row],[Last labor date]]-tblWorkPackages[[#This Row],[First labor date]]</f>
        <v>1</v>
      </c>
      <c r="AF1303" s="65">
        <f>tblWorkPackages[[#This Row],[Completion date serial]]-tblWorkPackages[[#This Row],[Last labor date]]</f>
        <v>1</v>
      </c>
      <c r="AG1303" s="65">
        <f>tblWorkPackages[[#This Row],[Completion date serial]]-tblWorkPackages[[#This Row],[Request date serial]]</f>
        <v>13</v>
      </c>
      <c r="AH1303" s="65">
        <f>IFERROR(INDEX(tblParts[Delay days],MATCH(tblWorkPackages[[#This Row],[Work package ID]],tblParts[Work package ID],0)),0)</f>
        <v>0</v>
      </c>
      <c r="AI1303" s="51" t="str">
        <f>IFERROR(INDEX(tblDisruptions[Event type],MATCH(tblWorkPackages[[#This Row],[Work package ID]],tblDisruptions[Work package ID],0)),"None")</f>
        <v>None</v>
      </c>
      <c r="AJ1303" s="51" t="str">
        <f>TEXT(tblWorkPackages[[#This Row],[Due date serial]],"yyyy-mm")</f>
        <v>2024-12</v>
      </c>
    </row>
    <row r="1304" spans="1:36" ht="15" x14ac:dyDescent="0.25">
      <c r="A1304" s="53" t="s">
        <v>2211</v>
      </c>
      <c r="B1304" s="53" t="s">
        <v>133</v>
      </c>
      <c r="C1304" s="53" t="s">
        <v>926</v>
      </c>
      <c r="D1304" s="53" t="s">
        <v>839</v>
      </c>
      <c r="E1304" s="53" t="s">
        <v>242</v>
      </c>
      <c r="F1304" s="53" t="s">
        <v>243</v>
      </c>
      <c r="G1304" s="53" t="s">
        <v>129</v>
      </c>
      <c r="H1304" s="53">
        <v>3</v>
      </c>
      <c r="I1304" s="53" t="s">
        <v>176</v>
      </c>
      <c r="J1304" s="53">
        <v>0</v>
      </c>
      <c r="K1304" s="53">
        <v>0</v>
      </c>
      <c r="L1304" s="53">
        <v>11.8</v>
      </c>
      <c r="M1304" s="53" t="s">
        <v>839</v>
      </c>
      <c r="N1304" s="53">
        <v>13.2</v>
      </c>
      <c r="O1304" s="51" t="str">
        <f>TEXT(tblWorkPackages[[#This Row],[Request date serial]]-WEEKDAY(tblWorkPackages[[#This Row],[Request date serial]],3),"yyyy-mm-dd")</f>
        <v>2024-02-12</v>
      </c>
      <c r="P1304" s="51">
        <f>ABS(tblWorkPackages[[#This Row],[Actual labor hours]]-tblWorkPackages[[#This Row],[Estimated labor hours]])</f>
        <v>1.4</v>
      </c>
      <c r="Q1304" s="51">
        <f>IF(tblWorkPackages[[#This Row],[Actual labor hours]]&gt;tblWorkPackages[[#This Row],[Estimated labor hours]],1,0)</f>
        <v>1</v>
      </c>
      <c r="R1304" s="51">
        <f>tblWorkPackages[[#This Row],[Actual labor hours]]-tblWorkPackages[[#This Row],[Estimated labor hours]]</f>
        <v>1.4</v>
      </c>
      <c r="S1304" s="51" t="str">
        <f>IF(tblWorkPackages[[#This Row],[Request date serial]]&lt;ValidationStart,"Train 2024",IF(tblWorkPackages[[#This Row],[Request date serial]]&lt;HoldoutStart,"Validation H1","Holdout H2"))</f>
        <v>Train 2024</v>
      </c>
      <c r="T1304" s="51" t="str">
        <f>IF(tblWorkPackages[[#This Row],[Time split]]="Train 2024","",tblWorkPackages[[#This Row],[Estimated labor hours]]+VLOOKUP(tblWorkPackages[[#This Row],[Task type]],'Forecast validation'!$A$14:$E$25,IF(tblWorkPackages[[#This Row],[Time split]]="Validation H1",4,5),FALSE()))</f>
        <v/>
      </c>
      <c r="U1304" s="51" t="str">
        <f>IF(tblWorkPackages[[#This Row],[Calibrated forecast hours]]="","",ABS(tblWorkPackages[[#This Row],[Actual labor hours]]-tblWorkPackages[[#This Row],[Calibrated forecast hours]]))</f>
        <v/>
      </c>
      <c r="V1304" s="51">
        <f>IF(tblWorkPackages[[#This Row],[Time split]]="Train 2024",tblWorkPackages[[#This Row],[Estimated labor hours]],tblWorkPackages[[#This Row],[Calibrated forecast hours]])</f>
        <v>11.8</v>
      </c>
      <c r="W1304" s="64">
        <f>DATEVALUE(tblWorkPackages[[#This Row],[Request date]])</f>
        <v>45340.0</v>
      </c>
      <c r="X1304" s="64">
        <f>DATEVALUE(tblWorkPackages[[#This Row],[Due date]])</f>
        <v>45346.0</v>
      </c>
      <c r="Y1304" s="64">
        <f>DATEVALUE(tblWorkPackages[[#This Row],[Completion date]])</f>
        <v>45346.0</v>
      </c>
      <c r="Z1304" s="64">
        <f>_xlfn.MINIFS(tblLaborEntries[Work date serial],tblLaborEntries[Work package ID],tblWorkPackages[[#This Row],[Work package ID]])</f>
        <v>45343.0</v>
      </c>
      <c r="AA1304" s="64">
        <f>_xlfn.MAXIFS(tblLaborEntries[Work date serial],tblLaborEntries[Work package ID],tblWorkPackages[[#This Row],[Work package ID]])</f>
        <v>45344.0</v>
      </c>
      <c r="AB1304" s="65">
        <f>IF(tblWorkPackages[[#This Row],[Completion date serial]]&gt;tblWorkPackages[[#This Row],[Due date serial]],1,0)</f>
        <v>0</v>
      </c>
      <c r="AC1304" s="65">
        <f>MAX(0,tblWorkPackages[[#This Row],[Completion date serial]]-tblWorkPackages[[#This Row],[Due date serial]])</f>
        <v>0</v>
      </c>
      <c r="AD1304" s="65">
        <f>tblWorkPackages[[#This Row],[First labor date]]-tblWorkPackages[[#This Row],[Request date serial]]</f>
        <v>3</v>
      </c>
      <c r="AE1304" s="65">
        <f>tblWorkPackages[[#This Row],[Last labor date]]-tblWorkPackages[[#This Row],[First labor date]]</f>
        <v>1</v>
      </c>
      <c r="AF1304" s="65">
        <f>tblWorkPackages[[#This Row],[Completion date serial]]-tblWorkPackages[[#This Row],[Last labor date]]</f>
        <v>2</v>
      </c>
      <c r="AG1304" s="65">
        <f>tblWorkPackages[[#This Row],[Completion date serial]]-tblWorkPackages[[#This Row],[Request date serial]]</f>
        <v>6</v>
      </c>
      <c r="AH1304" s="65">
        <f>IFERROR(INDEX(tblParts[Delay days],MATCH(tblWorkPackages[[#This Row],[Work package ID]],tblParts[Work package ID],0)),0)</f>
        <v>0</v>
      </c>
      <c r="AI1304" s="51" t="str">
        <f>IFERROR(INDEX(tblDisruptions[Event type],MATCH(tblWorkPackages[[#This Row],[Work package ID]],tblDisruptions[Work package ID],0)),"None")</f>
        <v>None</v>
      </c>
      <c r="AJ1304" s="51" t="str">
        <f>TEXT(tblWorkPackages[[#This Row],[Due date serial]],"yyyy-mm")</f>
        <v>2024-02</v>
      </c>
    </row>
    <row r="1305" spans="1:36" ht="15" x14ac:dyDescent="0.25">
      <c r="A1305" s="53" t="s">
        <v>2212</v>
      </c>
      <c r="B1305" s="53" t="s">
        <v>185</v>
      </c>
      <c r="C1305" s="53" t="s">
        <v>576</v>
      </c>
      <c r="D1305" s="53" t="s">
        <v>451</v>
      </c>
      <c r="E1305" s="53" t="s">
        <v>127</v>
      </c>
      <c r="F1305" s="53" t="s">
        <v>128</v>
      </c>
      <c r="G1305" s="53" t="s">
        <v>129</v>
      </c>
      <c r="H1305" s="53">
        <v>3</v>
      </c>
      <c r="I1305" s="53" t="s">
        <v>130</v>
      </c>
      <c r="J1305" s="53">
        <v>0</v>
      </c>
      <c r="K1305" s="53">
        <v>0</v>
      </c>
      <c r="L1305" s="53">
        <v>10.9</v>
      </c>
      <c r="M1305" s="53" t="s">
        <v>1370</v>
      </c>
      <c r="N1305" s="53">
        <v>9.3000000000000007</v>
      </c>
      <c r="O1305" s="51" t="str">
        <f>TEXT(tblWorkPackages[[#This Row],[Request date serial]]-WEEKDAY(tblWorkPackages[[#This Row],[Request date serial]],3),"yyyy-mm-dd")</f>
        <v>2024-06-24</v>
      </c>
      <c r="P1305" s="51">
        <f>ABS(tblWorkPackages[[#This Row],[Actual labor hours]]-tblWorkPackages[[#This Row],[Estimated labor hours]])</f>
        <v>1.6</v>
      </c>
      <c r="Q1305" s="51">
        <f>IF(tblWorkPackages[[#This Row],[Actual labor hours]]&gt;tblWorkPackages[[#This Row],[Estimated labor hours]],1,0)</f>
        <v>0</v>
      </c>
      <c r="R1305" s="51">
        <f>tblWorkPackages[[#This Row],[Actual labor hours]]-tblWorkPackages[[#This Row],[Estimated labor hours]]</f>
        <v>-1.6</v>
      </c>
      <c r="S1305" s="51" t="str">
        <f>IF(tblWorkPackages[[#This Row],[Request date serial]]&lt;ValidationStart,"Train 2024",IF(tblWorkPackages[[#This Row],[Request date serial]]&lt;HoldoutStart,"Validation H1","Holdout H2"))</f>
        <v>Train 2024</v>
      </c>
      <c r="T1305" s="51" t="str">
        <f>IF(tblWorkPackages[[#This Row],[Time split]]="Train 2024","",tblWorkPackages[[#This Row],[Estimated labor hours]]+VLOOKUP(tblWorkPackages[[#This Row],[Task type]],'Forecast validation'!$A$14:$E$25,IF(tblWorkPackages[[#This Row],[Time split]]="Validation H1",4,5),FALSE()))</f>
        <v/>
      </c>
      <c r="U1305" s="51" t="str">
        <f>IF(tblWorkPackages[[#This Row],[Calibrated forecast hours]]="","",ABS(tblWorkPackages[[#This Row],[Actual labor hours]]-tblWorkPackages[[#This Row],[Calibrated forecast hours]]))</f>
        <v/>
      </c>
      <c r="V1305" s="51">
        <f>IF(tblWorkPackages[[#This Row],[Time split]]="Train 2024",tblWorkPackages[[#This Row],[Estimated labor hours]],tblWorkPackages[[#This Row],[Calibrated forecast hours]])</f>
        <v>10.9</v>
      </c>
      <c r="W1305" s="64">
        <f>DATEVALUE(tblWorkPackages[[#This Row],[Request date]])</f>
        <v>45471.0</v>
      </c>
      <c r="X1305" s="64">
        <f>DATEVALUE(tblWorkPackages[[#This Row],[Due date]])</f>
        <v>45484.0</v>
      </c>
      <c r="Y1305" s="64">
        <f>DATEVALUE(tblWorkPackages[[#This Row],[Completion date]])</f>
        <v>45507.0</v>
      </c>
      <c r="Z1305" s="64">
        <f>_xlfn.MINIFS(tblLaborEntries[Work date serial],tblLaborEntries[Work package ID],tblWorkPackages[[#This Row],[Work package ID]])</f>
        <v>45503.0</v>
      </c>
      <c r="AA1305" s="64">
        <f>_xlfn.MAXIFS(tblLaborEntries[Work date serial],tblLaborEntries[Work package ID],tblWorkPackages[[#This Row],[Work package ID]])</f>
        <v>45504.0</v>
      </c>
      <c r="AB1305" s="65">
        <f>IF(tblWorkPackages[[#This Row],[Completion date serial]]&gt;tblWorkPackages[[#This Row],[Due date serial]],1,0)</f>
        <v>1</v>
      </c>
      <c r="AC1305" s="65">
        <f>MAX(0,tblWorkPackages[[#This Row],[Completion date serial]]-tblWorkPackages[[#This Row],[Due date serial]])</f>
        <v>23</v>
      </c>
      <c r="AD1305" s="65">
        <f>tblWorkPackages[[#This Row],[First labor date]]-tblWorkPackages[[#This Row],[Request date serial]]</f>
        <v>32</v>
      </c>
      <c r="AE1305" s="65">
        <f>tblWorkPackages[[#This Row],[Last labor date]]-tblWorkPackages[[#This Row],[First labor date]]</f>
        <v>1</v>
      </c>
      <c r="AF1305" s="65">
        <f>tblWorkPackages[[#This Row],[Completion date serial]]-tblWorkPackages[[#This Row],[Last labor date]]</f>
        <v>3</v>
      </c>
      <c r="AG1305" s="65">
        <f>tblWorkPackages[[#This Row],[Completion date serial]]-tblWorkPackages[[#This Row],[Request date serial]]</f>
        <v>36</v>
      </c>
      <c r="AH1305" s="65">
        <f>IFERROR(INDEX(tblParts[Delay days],MATCH(tblWorkPackages[[#This Row],[Work package ID]],tblParts[Work package ID],0)),0)</f>
        <v>0</v>
      </c>
      <c r="AI1305" s="51" t="str">
        <f>IFERROR(INDEX(tblDisruptions[Event type],MATCH(tblWorkPackages[[#This Row],[Work package ID]],tblDisruptions[Work package ID],0)),"None")</f>
        <v>None</v>
      </c>
      <c r="AJ1305" s="51" t="str">
        <f>TEXT(tblWorkPackages[[#This Row],[Due date serial]],"yyyy-mm")</f>
        <v>2024-07</v>
      </c>
    </row>
    <row r="1306" spans="1:36" ht="15" x14ac:dyDescent="0.25">
      <c r="A1306" s="53" t="s">
        <v>2213</v>
      </c>
      <c r="B1306" s="53" t="s">
        <v>163</v>
      </c>
      <c r="C1306" s="53" t="s">
        <v>430</v>
      </c>
      <c r="D1306" s="53" t="s">
        <v>431</v>
      </c>
      <c r="E1306" s="53" t="s">
        <v>209</v>
      </c>
      <c r="F1306" s="53" t="s">
        <v>145</v>
      </c>
      <c r="G1306" s="53" t="s">
        <v>210</v>
      </c>
      <c r="H1306" s="53">
        <v>2</v>
      </c>
      <c r="I1306" s="53" t="s">
        <v>176</v>
      </c>
      <c r="J1306" s="53">
        <v>0</v>
      </c>
      <c r="K1306" s="53">
        <v>1</v>
      </c>
      <c r="L1306" s="53">
        <v>20</v>
      </c>
      <c r="M1306" s="53" t="s">
        <v>1233</v>
      </c>
      <c r="N1306" s="53">
        <v>23.4</v>
      </c>
      <c r="O1306" s="51" t="str">
        <f>TEXT(tblWorkPackages[[#This Row],[Request date serial]]-WEEKDAY(tblWorkPackages[[#This Row],[Request date serial]],3),"yyyy-mm-dd")</f>
        <v>2025-07-07</v>
      </c>
      <c r="P1306" s="51">
        <f>ABS(tblWorkPackages[[#This Row],[Actual labor hours]]-tblWorkPackages[[#This Row],[Estimated labor hours]])</f>
        <v>3.4</v>
      </c>
      <c r="Q1306" s="51">
        <f>IF(tblWorkPackages[[#This Row],[Actual labor hours]]&gt;tblWorkPackages[[#This Row],[Estimated labor hours]],1,0)</f>
        <v>1</v>
      </c>
      <c r="R1306" s="51">
        <f>tblWorkPackages[[#This Row],[Actual labor hours]]-tblWorkPackages[[#This Row],[Estimated labor hours]]</f>
        <v>3.4</v>
      </c>
      <c r="S1306" s="51" t="str">
        <f>IF(tblWorkPackages[[#This Row],[Request date serial]]&lt;ValidationStart,"Train 2024",IF(tblWorkPackages[[#This Row],[Request date serial]]&lt;HoldoutStart,"Validation H1","Holdout H2"))</f>
        <v>Holdout H2</v>
      </c>
      <c r="T1306" s="51">
        <f>IF(tblWorkPackages[[#This Row],[Time split]]="Train 2024","",tblWorkPackages[[#This Row],[Estimated labor hours]]+VLOOKUP(tblWorkPackages[[#This Row],[Task type]],'Forecast validation'!$A$14:$E$25,IF(tblWorkPackages[[#This Row],[Time split]]="Validation H1",4,5),FALSE()))</f>
        <v>21.795652173913</v>
      </c>
      <c r="U1306" s="51">
        <f>IF(tblWorkPackages[[#This Row],[Calibrated forecast hours]]="","",ABS(tblWorkPackages[[#This Row],[Actual labor hours]]-tblWorkPackages[[#This Row],[Calibrated forecast hours]]))</f>
        <v>1.60434782608695</v>
      </c>
      <c r="V1306" s="51">
        <f>IF(tblWorkPackages[[#This Row],[Time split]]="Train 2024",tblWorkPackages[[#This Row],[Estimated labor hours]],tblWorkPackages[[#This Row],[Calibrated forecast hours]])</f>
        <v>21.795652173913</v>
      </c>
      <c r="W1306" s="64">
        <f>DATEVALUE(tblWorkPackages[[#This Row],[Request date]])</f>
        <v>45846.0</v>
      </c>
      <c r="X1306" s="64">
        <f>DATEVALUE(tblWorkPackages[[#This Row],[Due date]])</f>
        <v>45852.0</v>
      </c>
      <c r="Y1306" s="64">
        <f>DATEVALUE(tblWorkPackages[[#This Row],[Completion date]])</f>
        <v>45853.0</v>
      </c>
      <c r="Z1306" s="64">
        <f>_xlfn.MINIFS(tblLaborEntries[Work date serial],tblLaborEntries[Work package ID],tblWorkPackages[[#This Row],[Work package ID]])</f>
        <v>45852.0</v>
      </c>
      <c r="AA1306" s="64">
        <f>_xlfn.MAXIFS(tblLaborEntries[Work date serial],tblLaborEntries[Work package ID],tblWorkPackages[[#This Row],[Work package ID]])</f>
        <v>45853.0</v>
      </c>
      <c r="AB1306" s="65">
        <f>IF(tblWorkPackages[[#This Row],[Completion date serial]]&gt;tblWorkPackages[[#This Row],[Due date serial]],1,0)</f>
        <v>1</v>
      </c>
      <c r="AC1306" s="65">
        <f>MAX(0,tblWorkPackages[[#This Row],[Completion date serial]]-tblWorkPackages[[#This Row],[Due date serial]])</f>
        <v>1</v>
      </c>
      <c r="AD1306" s="65">
        <f>tblWorkPackages[[#This Row],[First labor date]]-tblWorkPackages[[#This Row],[Request date serial]]</f>
        <v>6</v>
      </c>
      <c r="AE1306" s="65">
        <f>tblWorkPackages[[#This Row],[Last labor date]]-tblWorkPackages[[#This Row],[First labor date]]</f>
        <v>1</v>
      </c>
      <c r="AF1306" s="65">
        <f>tblWorkPackages[[#This Row],[Completion date serial]]-tblWorkPackages[[#This Row],[Last labor date]]</f>
        <v>0</v>
      </c>
      <c r="AG1306" s="65">
        <f>tblWorkPackages[[#This Row],[Completion date serial]]-tblWorkPackages[[#This Row],[Request date serial]]</f>
        <v>7</v>
      </c>
      <c r="AH1306" s="65">
        <f>IFERROR(INDEX(tblParts[Delay days],MATCH(tblWorkPackages[[#This Row],[Work package ID]],tblParts[Work package ID],0)),0)</f>
        <v>0</v>
      </c>
      <c r="AI1306" s="51" t="str">
        <f>IFERROR(INDEX(tblDisruptions[Event type],MATCH(tblWorkPackages[[#This Row],[Work package ID]],tblDisruptions[Work package ID],0)),"None")</f>
        <v>Equipment unavailable</v>
      </c>
      <c r="AJ1306" s="51" t="str">
        <f>TEXT(tblWorkPackages[[#This Row],[Due date serial]],"yyyy-mm")</f>
        <v>2025-07</v>
      </c>
    </row>
    <row r="1307" spans="1:36" ht="15" x14ac:dyDescent="0.25">
      <c r="A1307" s="53" t="s">
        <v>2214</v>
      </c>
      <c r="B1307" s="53" t="s">
        <v>203</v>
      </c>
      <c r="C1307" s="53" t="s">
        <v>1466</v>
      </c>
      <c r="D1307" s="53" t="s">
        <v>839</v>
      </c>
      <c r="E1307" s="53" t="s">
        <v>237</v>
      </c>
      <c r="F1307" s="53" t="s">
        <v>182</v>
      </c>
      <c r="G1307" s="53" t="s">
        <v>138</v>
      </c>
      <c r="H1307" s="53">
        <v>2</v>
      </c>
      <c r="I1307" s="53" t="s">
        <v>130</v>
      </c>
      <c r="J1307" s="53">
        <v>0</v>
      </c>
      <c r="K1307" s="53">
        <v>0</v>
      </c>
      <c r="L1307" s="53">
        <v>5.0999999999999996</v>
      </c>
      <c r="M1307" s="53" t="s">
        <v>215</v>
      </c>
      <c r="N1307" s="53">
        <v>4.7</v>
      </c>
      <c r="O1307" s="51" t="str">
        <f>TEXT(tblWorkPackages[[#This Row],[Request date serial]]-WEEKDAY(tblWorkPackages[[#This Row],[Request date serial]],3),"yyyy-mm-dd")</f>
        <v>2024-02-05</v>
      </c>
      <c r="P1307" s="51">
        <f>ABS(tblWorkPackages[[#This Row],[Actual labor hours]]-tblWorkPackages[[#This Row],[Estimated labor hours]])</f>
        <v>0.399999999999999</v>
      </c>
      <c r="Q1307" s="51">
        <f>IF(tblWorkPackages[[#This Row],[Actual labor hours]]&gt;tblWorkPackages[[#This Row],[Estimated labor hours]],1,0)</f>
        <v>0</v>
      </c>
      <c r="R1307" s="51">
        <f>tblWorkPackages[[#This Row],[Actual labor hours]]-tblWorkPackages[[#This Row],[Estimated labor hours]]</f>
        <v>-0.399999999999999</v>
      </c>
      <c r="S1307" s="51" t="str">
        <f>IF(tblWorkPackages[[#This Row],[Request date serial]]&lt;ValidationStart,"Train 2024",IF(tblWorkPackages[[#This Row],[Request date serial]]&lt;HoldoutStart,"Validation H1","Holdout H2"))</f>
        <v>Train 2024</v>
      </c>
      <c r="T1307" s="51" t="str">
        <f>IF(tblWorkPackages[[#This Row],[Time split]]="Train 2024","",tblWorkPackages[[#This Row],[Estimated labor hours]]+VLOOKUP(tblWorkPackages[[#This Row],[Task type]],'Forecast validation'!$A$14:$E$25,IF(tblWorkPackages[[#This Row],[Time split]]="Validation H1",4,5),FALSE()))</f>
        <v/>
      </c>
      <c r="U1307" s="51" t="str">
        <f>IF(tblWorkPackages[[#This Row],[Calibrated forecast hours]]="","",ABS(tblWorkPackages[[#This Row],[Actual labor hours]]-tblWorkPackages[[#This Row],[Calibrated forecast hours]]))</f>
        <v/>
      </c>
      <c r="V1307" s="51">
        <f>IF(tblWorkPackages[[#This Row],[Time split]]="Train 2024",tblWorkPackages[[#This Row],[Estimated labor hours]],tblWorkPackages[[#This Row],[Calibrated forecast hours]])</f>
        <v>5.1</v>
      </c>
      <c r="W1307" s="64">
        <f>DATEVALUE(tblWorkPackages[[#This Row],[Request date]])</f>
        <v>45333.0</v>
      </c>
      <c r="X1307" s="64">
        <f>DATEVALUE(tblWorkPackages[[#This Row],[Due date]])</f>
        <v>45346.0</v>
      </c>
      <c r="Y1307" s="64">
        <f>DATEVALUE(tblWorkPackages[[#This Row],[Completion date]])</f>
        <v>45336.0</v>
      </c>
      <c r="Z1307" s="64">
        <f>_xlfn.MINIFS(tblLaborEntries[Work date serial],tblLaborEntries[Work package ID],tblWorkPackages[[#This Row],[Work package ID]])</f>
        <v>45335.0</v>
      </c>
      <c r="AA1307" s="64">
        <f>_xlfn.MAXIFS(tblLaborEntries[Work date serial],tblLaborEntries[Work package ID],tblWorkPackages[[#This Row],[Work package ID]])</f>
        <v>45335.0</v>
      </c>
      <c r="AB1307" s="65">
        <f>IF(tblWorkPackages[[#This Row],[Completion date serial]]&gt;tblWorkPackages[[#This Row],[Due date serial]],1,0)</f>
        <v>0</v>
      </c>
      <c r="AC1307" s="65">
        <f>MAX(0,tblWorkPackages[[#This Row],[Completion date serial]]-tblWorkPackages[[#This Row],[Due date serial]])</f>
        <v>0</v>
      </c>
      <c r="AD1307" s="65">
        <f>tblWorkPackages[[#This Row],[First labor date]]-tblWorkPackages[[#This Row],[Request date serial]]</f>
        <v>2</v>
      </c>
      <c r="AE1307" s="65">
        <f>tblWorkPackages[[#This Row],[Last labor date]]-tblWorkPackages[[#This Row],[First labor date]]</f>
        <v>0</v>
      </c>
      <c r="AF1307" s="65">
        <f>tblWorkPackages[[#This Row],[Completion date serial]]-tblWorkPackages[[#This Row],[Last labor date]]</f>
        <v>1</v>
      </c>
      <c r="AG1307" s="65">
        <f>tblWorkPackages[[#This Row],[Completion date serial]]-tblWorkPackages[[#This Row],[Request date serial]]</f>
        <v>3</v>
      </c>
      <c r="AH1307" s="65">
        <f>IFERROR(INDEX(tblParts[Delay days],MATCH(tblWorkPackages[[#This Row],[Work package ID]],tblParts[Work package ID],0)),0)</f>
        <v>0</v>
      </c>
      <c r="AI1307" s="51" t="str">
        <f>IFERROR(INDEX(tblDisruptions[Event type],MATCH(tblWorkPackages[[#This Row],[Work package ID]],tblDisruptions[Work package ID],0)),"None")</f>
        <v>None</v>
      </c>
      <c r="AJ1307" s="51" t="str">
        <f>TEXT(tblWorkPackages[[#This Row],[Due date serial]],"yyyy-mm")</f>
        <v>2024-02</v>
      </c>
    </row>
    <row r="1308" spans="1:36" ht="15" x14ac:dyDescent="0.25">
      <c r="A1308" s="53" t="s">
        <v>2215</v>
      </c>
      <c r="B1308" s="53" t="s">
        <v>163</v>
      </c>
      <c r="C1308" s="53" t="s">
        <v>488</v>
      </c>
      <c r="D1308" s="53" t="s">
        <v>1457</v>
      </c>
      <c r="E1308" s="53" t="s">
        <v>242</v>
      </c>
      <c r="F1308" s="53" t="s">
        <v>243</v>
      </c>
      <c r="G1308" s="53" t="s">
        <v>129</v>
      </c>
      <c r="H1308" s="53">
        <v>1</v>
      </c>
      <c r="I1308" s="53" t="s">
        <v>176</v>
      </c>
      <c r="J1308" s="53">
        <v>0</v>
      </c>
      <c r="K1308" s="53">
        <v>1</v>
      </c>
      <c r="L1308" s="53">
        <v>5.7</v>
      </c>
      <c r="M1308" s="53" t="s">
        <v>320</v>
      </c>
      <c r="N1308" s="53">
        <v>9.1999999999999993</v>
      </c>
      <c r="O1308" s="51" t="str">
        <f>TEXT(tblWorkPackages[[#This Row],[Request date serial]]-WEEKDAY(tblWorkPackages[[#This Row],[Request date serial]],3),"yyyy-mm-dd")</f>
        <v>2024-02-05</v>
      </c>
      <c r="P1308" s="51">
        <f>ABS(tblWorkPackages[[#This Row],[Actual labor hours]]-tblWorkPackages[[#This Row],[Estimated labor hours]])</f>
        <v>3.5</v>
      </c>
      <c r="Q1308" s="51">
        <f>IF(tblWorkPackages[[#This Row],[Actual labor hours]]&gt;tblWorkPackages[[#This Row],[Estimated labor hours]],1,0)</f>
        <v>1</v>
      </c>
      <c r="R1308" s="51">
        <f>tblWorkPackages[[#This Row],[Actual labor hours]]-tblWorkPackages[[#This Row],[Estimated labor hours]]</f>
        <v>3.5</v>
      </c>
      <c r="S1308" s="51" t="str">
        <f>IF(tblWorkPackages[[#This Row],[Request date serial]]&lt;ValidationStart,"Train 2024",IF(tblWorkPackages[[#This Row],[Request date serial]]&lt;HoldoutStart,"Validation H1","Holdout H2"))</f>
        <v>Train 2024</v>
      </c>
      <c r="T1308" s="51" t="str">
        <f>IF(tblWorkPackages[[#This Row],[Time split]]="Train 2024","",tblWorkPackages[[#This Row],[Estimated labor hours]]+VLOOKUP(tblWorkPackages[[#This Row],[Task type]],'Forecast validation'!$A$14:$E$25,IF(tblWorkPackages[[#This Row],[Time split]]="Validation H1",4,5),FALSE()))</f>
        <v/>
      </c>
      <c r="U1308" s="51" t="str">
        <f>IF(tblWorkPackages[[#This Row],[Calibrated forecast hours]]="","",ABS(tblWorkPackages[[#This Row],[Actual labor hours]]-tblWorkPackages[[#This Row],[Calibrated forecast hours]]))</f>
        <v/>
      </c>
      <c r="V1308" s="51">
        <f>IF(tblWorkPackages[[#This Row],[Time split]]="Train 2024",tblWorkPackages[[#This Row],[Estimated labor hours]],tblWorkPackages[[#This Row],[Calibrated forecast hours]])</f>
        <v>5.7</v>
      </c>
      <c r="W1308" s="64">
        <f>DATEVALUE(tblWorkPackages[[#This Row],[Request date]])</f>
        <v>45328.0</v>
      </c>
      <c r="X1308" s="64">
        <f>DATEVALUE(tblWorkPackages[[#This Row],[Due date]])</f>
        <v>45334.0</v>
      </c>
      <c r="Y1308" s="64">
        <f>DATEVALUE(tblWorkPackages[[#This Row],[Completion date]])</f>
        <v>45360.0</v>
      </c>
      <c r="Z1308" s="64">
        <f>_xlfn.MINIFS(tblLaborEntries[Work date serial],tblLaborEntries[Work package ID],tblWorkPackages[[#This Row],[Work package ID]])</f>
        <v>45356.0</v>
      </c>
      <c r="AA1308" s="64">
        <f>_xlfn.MAXIFS(tblLaborEntries[Work date serial],tblLaborEntries[Work package ID],tblWorkPackages[[#This Row],[Work package ID]])</f>
        <v>45358.0</v>
      </c>
      <c r="AB1308" s="65">
        <f>IF(tblWorkPackages[[#This Row],[Completion date serial]]&gt;tblWorkPackages[[#This Row],[Due date serial]],1,0)</f>
        <v>1</v>
      </c>
      <c r="AC1308" s="65">
        <f>MAX(0,tblWorkPackages[[#This Row],[Completion date serial]]-tblWorkPackages[[#This Row],[Due date serial]])</f>
        <v>26</v>
      </c>
      <c r="AD1308" s="65">
        <f>tblWorkPackages[[#This Row],[First labor date]]-tblWorkPackages[[#This Row],[Request date serial]]</f>
        <v>28</v>
      </c>
      <c r="AE1308" s="65">
        <f>tblWorkPackages[[#This Row],[Last labor date]]-tblWorkPackages[[#This Row],[First labor date]]</f>
        <v>2</v>
      </c>
      <c r="AF1308" s="65">
        <f>tblWorkPackages[[#This Row],[Completion date serial]]-tblWorkPackages[[#This Row],[Last labor date]]</f>
        <v>2</v>
      </c>
      <c r="AG1308" s="65">
        <f>tblWorkPackages[[#This Row],[Completion date serial]]-tblWorkPackages[[#This Row],[Request date serial]]</f>
        <v>32</v>
      </c>
      <c r="AH1308" s="65">
        <f>IFERROR(INDEX(tblParts[Delay days],MATCH(tblWorkPackages[[#This Row],[Work package ID]],tblParts[Work package ID],0)),0)</f>
        <v>14</v>
      </c>
      <c r="AI1308" s="51" t="str">
        <f>IFERROR(INDEX(tblDisruptions[Event type],MATCH(tblWorkPackages[[#This Row],[Work package ID]],tblDisruptions[Work package ID],0)),"None")</f>
        <v>Part delay</v>
      </c>
      <c r="AJ1308" s="51" t="str">
        <f>TEXT(tblWorkPackages[[#This Row],[Due date serial]],"yyyy-mm")</f>
        <v>2024-02</v>
      </c>
    </row>
    <row r="1309" spans="1:36" ht="15" x14ac:dyDescent="0.25">
      <c r="A1309" s="53" t="s">
        <v>2216</v>
      </c>
      <c r="B1309" s="53" t="s">
        <v>185</v>
      </c>
      <c r="C1309" s="53" t="s">
        <v>1051</v>
      </c>
      <c r="D1309" s="53" t="s">
        <v>488</v>
      </c>
      <c r="E1309" s="53" t="s">
        <v>200</v>
      </c>
      <c r="F1309" s="53" t="s">
        <v>128</v>
      </c>
      <c r="G1309" s="53" t="s">
        <v>129</v>
      </c>
      <c r="H1309" s="53">
        <v>4</v>
      </c>
      <c r="I1309" s="53" t="s">
        <v>147</v>
      </c>
      <c r="J1309" s="53">
        <v>0</v>
      </c>
      <c r="K1309" s="53">
        <v>0</v>
      </c>
      <c r="L1309" s="53">
        <v>6.3</v>
      </c>
      <c r="M1309" s="53" t="s">
        <v>1457</v>
      </c>
      <c r="N1309" s="53">
        <v>4.9000000000000004</v>
      </c>
      <c r="O1309" s="51" t="str">
        <f>TEXT(tblWorkPackages[[#This Row],[Request date serial]]-WEEKDAY(tblWorkPackages[[#This Row],[Request date serial]],3),"yyyy-mm-dd")</f>
        <v>2024-01-29</v>
      </c>
      <c r="P1309" s="51">
        <f>ABS(tblWorkPackages[[#This Row],[Actual labor hours]]-tblWorkPackages[[#This Row],[Estimated labor hours]])</f>
        <v>1.4</v>
      </c>
      <c r="Q1309" s="51">
        <f>IF(tblWorkPackages[[#This Row],[Actual labor hours]]&gt;tblWorkPackages[[#This Row],[Estimated labor hours]],1,0)</f>
        <v>0</v>
      </c>
      <c r="R1309" s="51">
        <f>tblWorkPackages[[#This Row],[Actual labor hours]]-tblWorkPackages[[#This Row],[Estimated labor hours]]</f>
        <v>-1.4</v>
      </c>
      <c r="S1309" s="51" t="str">
        <f>IF(tblWorkPackages[[#This Row],[Request date serial]]&lt;ValidationStart,"Train 2024",IF(tblWorkPackages[[#This Row],[Request date serial]]&lt;HoldoutStart,"Validation H1","Holdout H2"))</f>
        <v>Train 2024</v>
      </c>
      <c r="T1309" s="51" t="str">
        <f>IF(tblWorkPackages[[#This Row],[Time split]]="Train 2024","",tblWorkPackages[[#This Row],[Estimated labor hours]]+VLOOKUP(tblWorkPackages[[#This Row],[Task type]],'Forecast validation'!$A$14:$E$25,IF(tblWorkPackages[[#This Row],[Time split]]="Validation H1",4,5),FALSE()))</f>
        <v/>
      </c>
      <c r="U1309" s="51" t="str">
        <f>IF(tblWorkPackages[[#This Row],[Calibrated forecast hours]]="","",ABS(tblWorkPackages[[#This Row],[Actual labor hours]]-tblWorkPackages[[#This Row],[Calibrated forecast hours]]))</f>
        <v/>
      </c>
      <c r="V1309" s="51">
        <f>IF(tblWorkPackages[[#This Row],[Time split]]="Train 2024",tblWorkPackages[[#This Row],[Estimated labor hours]],tblWorkPackages[[#This Row],[Calibrated forecast hours]])</f>
        <v>6.3</v>
      </c>
      <c r="W1309" s="64">
        <f>DATEVALUE(tblWorkPackages[[#This Row],[Request date]])</f>
        <v>45326.0</v>
      </c>
      <c r="X1309" s="64">
        <f>DATEVALUE(tblWorkPackages[[#This Row],[Due date]])</f>
        <v>45328.0</v>
      </c>
      <c r="Y1309" s="64">
        <f>DATEVALUE(tblWorkPackages[[#This Row],[Completion date]])</f>
        <v>45334.0</v>
      </c>
      <c r="Z1309" s="64">
        <f>_xlfn.MINIFS(tblLaborEntries[Work date serial],tblLaborEntries[Work package ID],tblWorkPackages[[#This Row],[Work package ID]])</f>
        <v>45330.0</v>
      </c>
      <c r="AA1309" s="64">
        <f>_xlfn.MAXIFS(tblLaborEntries[Work date serial],tblLaborEntries[Work package ID],tblWorkPackages[[#This Row],[Work package ID]])</f>
        <v>45331.0</v>
      </c>
      <c r="AB1309" s="65">
        <f>IF(tblWorkPackages[[#This Row],[Completion date serial]]&gt;tblWorkPackages[[#This Row],[Due date serial]],1,0)</f>
        <v>1</v>
      </c>
      <c r="AC1309" s="65">
        <f>MAX(0,tblWorkPackages[[#This Row],[Completion date serial]]-tblWorkPackages[[#This Row],[Due date serial]])</f>
        <v>6</v>
      </c>
      <c r="AD1309" s="65">
        <f>tblWorkPackages[[#This Row],[First labor date]]-tblWorkPackages[[#This Row],[Request date serial]]</f>
        <v>4</v>
      </c>
      <c r="AE1309" s="65">
        <f>tblWorkPackages[[#This Row],[Last labor date]]-tblWorkPackages[[#This Row],[First labor date]]</f>
        <v>1</v>
      </c>
      <c r="AF1309" s="65">
        <f>tblWorkPackages[[#This Row],[Completion date serial]]-tblWorkPackages[[#This Row],[Last labor date]]</f>
        <v>3</v>
      </c>
      <c r="AG1309" s="65">
        <f>tblWorkPackages[[#This Row],[Completion date serial]]-tblWorkPackages[[#This Row],[Request date serial]]</f>
        <v>8</v>
      </c>
      <c r="AH1309" s="65">
        <f>IFERROR(INDEX(tblParts[Delay days],MATCH(tblWorkPackages[[#This Row],[Work package ID]],tblParts[Work package ID],0)),0)</f>
        <v>0</v>
      </c>
      <c r="AI1309" s="51" t="str">
        <f>IFERROR(INDEX(tblDisruptions[Event type],MATCH(tblWorkPackages[[#This Row],[Work package ID]],tblDisruptions[Work package ID],0)),"None")</f>
        <v>None</v>
      </c>
      <c r="AJ1309" s="51" t="str">
        <f>TEXT(tblWorkPackages[[#This Row],[Due date serial]],"yyyy-mm")</f>
        <v>2024-02</v>
      </c>
    </row>
    <row r="1310" spans="1:36" ht="15" x14ac:dyDescent="0.25">
      <c r="A1310" s="53" t="s">
        <v>2217</v>
      </c>
      <c r="B1310" s="53" t="s">
        <v>230</v>
      </c>
      <c r="C1310" s="53" t="s">
        <v>555</v>
      </c>
      <c r="D1310" s="53" t="s">
        <v>556</v>
      </c>
      <c r="E1310" s="53" t="s">
        <v>209</v>
      </c>
      <c r="F1310" s="53" t="s">
        <v>145</v>
      </c>
      <c r="G1310" s="53" t="s">
        <v>210</v>
      </c>
      <c r="H1310" s="53">
        <v>1</v>
      </c>
      <c r="I1310" s="53" t="s">
        <v>130</v>
      </c>
      <c r="J1310" s="53">
        <v>0</v>
      </c>
      <c r="K1310" s="53">
        <v>1</v>
      </c>
      <c r="L1310" s="53">
        <v>13</v>
      </c>
      <c r="M1310" s="53" t="s">
        <v>877</v>
      </c>
      <c r="N1310" s="53">
        <v>15.4</v>
      </c>
      <c r="O1310" s="51" t="str">
        <f>TEXT(tblWorkPackages[[#This Row],[Request date serial]]-WEEKDAY(tblWorkPackages[[#This Row],[Request date serial]],3),"yyyy-mm-dd")</f>
        <v>2024-11-25</v>
      </c>
      <c r="P1310" s="51">
        <f>ABS(tblWorkPackages[[#This Row],[Actual labor hours]]-tblWorkPackages[[#This Row],[Estimated labor hours]])</f>
        <v>2.4</v>
      </c>
      <c r="Q1310" s="51">
        <f>IF(tblWorkPackages[[#This Row],[Actual labor hours]]&gt;tblWorkPackages[[#This Row],[Estimated labor hours]],1,0)</f>
        <v>1</v>
      </c>
      <c r="R1310" s="51">
        <f>tblWorkPackages[[#This Row],[Actual labor hours]]-tblWorkPackages[[#This Row],[Estimated labor hours]]</f>
        <v>2.4</v>
      </c>
      <c r="S1310" s="51" t="str">
        <f>IF(tblWorkPackages[[#This Row],[Request date serial]]&lt;ValidationStart,"Train 2024",IF(tblWorkPackages[[#This Row],[Request date serial]]&lt;HoldoutStart,"Validation H1","Holdout H2"))</f>
        <v>Train 2024</v>
      </c>
      <c r="T1310" s="51" t="str">
        <f>IF(tblWorkPackages[[#This Row],[Time split]]="Train 2024","",tblWorkPackages[[#This Row],[Estimated labor hours]]+VLOOKUP(tblWorkPackages[[#This Row],[Task type]],'Forecast validation'!$A$14:$E$25,IF(tblWorkPackages[[#This Row],[Time split]]="Validation H1",4,5),FALSE()))</f>
        <v/>
      </c>
      <c r="U1310" s="51" t="str">
        <f>IF(tblWorkPackages[[#This Row],[Calibrated forecast hours]]="","",ABS(tblWorkPackages[[#This Row],[Actual labor hours]]-tblWorkPackages[[#This Row],[Calibrated forecast hours]]))</f>
        <v/>
      </c>
      <c r="V1310" s="51">
        <f>IF(tblWorkPackages[[#This Row],[Time split]]="Train 2024",tblWorkPackages[[#This Row],[Estimated labor hours]],tblWorkPackages[[#This Row],[Calibrated forecast hours]])</f>
        <v>13</v>
      </c>
      <c r="W1310" s="64">
        <f>DATEVALUE(tblWorkPackages[[#This Row],[Request date]])</f>
        <v>45622.0</v>
      </c>
      <c r="X1310" s="64">
        <f>DATEVALUE(tblWorkPackages[[#This Row],[Due date]])</f>
        <v>45635.0</v>
      </c>
      <c r="Y1310" s="64">
        <f>DATEVALUE(tblWorkPackages[[#This Row],[Completion date]])</f>
        <v>45624.0</v>
      </c>
      <c r="Z1310" s="64">
        <f>_xlfn.MINIFS(tblLaborEntries[Work date serial],tblLaborEntries[Work package ID],tblWorkPackages[[#This Row],[Work package ID]])</f>
        <v>45623.0</v>
      </c>
      <c r="AA1310" s="64">
        <f>_xlfn.MAXIFS(tblLaborEntries[Work date serial],tblLaborEntries[Work package ID],tblWorkPackages[[#This Row],[Work package ID]])</f>
        <v>45624.0</v>
      </c>
      <c r="AB1310" s="65">
        <f>IF(tblWorkPackages[[#This Row],[Completion date serial]]&gt;tblWorkPackages[[#This Row],[Due date serial]],1,0)</f>
        <v>0</v>
      </c>
      <c r="AC1310" s="65">
        <f>MAX(0,tblWorkPackages[[#This Row],[Completion date serial]]-tblWorkPackages[[#This Row],[Due date serial]])</f>
        <v>0</v>
      </c>
      <c r="AD1310" s="65">
        <f>tblWorkPackages[[#This Row],[First labor date]]-tblWorkPackages[[#This Row],[Request date serial]]</f>
        <v>1</v>
      </c>
      <c r="AE1310" s="65">
        <f>tblWorkPackages[[#This Row],[Last labor date]]-tblWorkPackages[[#This Row],[First labor date]]</f>
        <v>1</v>
      </c>
      <c r="AF1310" s="65">
        <f>tblWorkPackages[[#This Row],[Completion date serial]]-tblWorkPackages[[#This Row],[Last labor date]]</f>
        <v>0</v>
      </c>
      <c r="AG1310" s="65">
        <f>tblWorkPackages[[#This Row],[Completion date serial]]-tblWorkPackages[[#This Row],[Request date serial]]</f>
        <v>2</v>
      </c>
      <c r="AH1310" s="65">
        <f>IFERROR(INDEX(tblParts[Delay days],MATCH(tblWorkPackages[[#This Row],[Work package ID]],tblParts[Work package ID],0)),0)</f>
        <v>0</v>
      </c>
      <c r="AI1310" s="51" t="str">
        <f>IFERROR(INDEX(tblDisruptions[Event type],MATCH(tblWorkPackages[[#This Row],[Work package ID]],tblDisruptions[Work package ID],0)),"None")</f>
        <v>None</v>
      </c>
      <c r="AJ1310" s="51" t="str">
        <f>TEXT(tblWorkPackages[[#This Row],[Due date serial]],"yyyy-mm")</f>
        <v>2024-12</v>
      </c>
    </row>
    <row r="1311" spans="1:36" ht="15" x14ac:dyDescent="0.25">
      <c r="A1311" s="53" t="s">
        <v>2218</v>
      </c>
      <c r="B1311" s="53" t="s">
        <v>235</v>
      </c>
      <c r="C1311" s="53" t="s">
        <v>335</v>
      </c>
      <c r="D1311" s="53" t="s">
        <v>651</v>
      </c>
      <c r="E1311" s="53" t="s">
        <v>136</v>
      </c>
      <c r="F1311" s="53" t="s">
        <v>137</v>
      </c>
      <c r="G1311" s="53" t="s">
        <v>138</v>
      </c>
      <c r="H1311" s="53">
        <v>2</v>
      </c>
      <c r="I1311" s="53" t="s">
        <v>130</v>
      </c>
      <c r="J1311" s="53">
        <v>0</v>
      </c>
      <c r="K1311" s="53">
        <v>0</v>
      </c>
      <c r="L1311" s="53">
        <v>12.7</v>
      </c>
      <c r="M1311" s="53" t="s">
        <v>1425</v>
      </c>
      <c r="N1311" s="53">
        <v>13.6</v>
      </c>
      <c r="O1311" s="51" t="str">
        <f>TEXT(tblWorkPackages[[#This Row],[Request date serial]]-WEEKDAY(tblWorkPackages[[#This Row],[Request date serial]],3),"yyyy-mm-dd")</f>
        <v>2025-11-17</v>
      </c>
      <c r="P1311" s="51">
        <f>ABS(tblWorkPackages[[#This Row],[Actual labor hours]]-tblWorkPackages[[#This Row],[Estimated labor hours]])</f>
        <v>0.9</v>
      </c>
      <c r="Q1311" s="51">
        <f>IF(tblWorkPackages[[#This Row],[Actual labor hours]]&gt;tblWorkPackages[[#This Row],[Estimated labor hours]],1,0)</f>
        <v>1</v>
      </c>
      <c r="R1311" s="51">
        <f>tblWorkPackages[[#This Row],[Actual labor hours]]-tblWorkPackages[[#This Row],[Estimated labor hours]]</f>
        <v>0.9</v>
      </c>
      <c r="S1311" s="51" t="str">
        <f>IF(tblWorkPackages[[#This Row],[Request date serial]]&lt;ValidationStart,"Train 2024",IF(tblWorkPackages[[#This Row],[Request date serial]]&lt;HoldoutStart,"Validation H1","Holdout H2"))</f>
        <v>Holdout H2</v>
      </c>
      <c r="T1311" s="51">
        <f>IF(tblWorkPackages[[#This Row],[Time split]]="Train 2024","",tblWorkPackages[[#This Row],[Estimated labor hours]]+VLOOKUP(tblWorkPackages[[#This Row],[Task type]],'Forecast validation'!$A$14:$E$25,IF(tblWorkPackages[[#This Row],[Time split]]="Validation H1",4,5),FALSE()))</f>
        <v>13.6207547169811</v>
      </c>
      <c r="U1311" s="51">
        <f>IF(tblWorkPackages[[#This Row],[Calibrated forecast hours]]="","",ABS(tblWorkPackages[[#This Row],[Actual labor hours]]-tblWorkPackages[[#This Row],[Calibrated forecast hours]]))</f>
        <v>0.0207547169811306</v>
      </c>
      <c r="V1311" s="51">
        <f>IF(tblWorkPackages[[#This Row],[Time split]]="Train 2024",tblWorkPackages[[#This Row],[Estimated labor hours]],tblWorkPackages[[#This Row],[Calibrated forecast hours]])</f>
        <v>13.6207547169811</v>
      </c>
      <c r="W1311" s="64">
        <f>DATEVALUE(tblWorkPackages[[#This Row],[Request date]])</f>
        <v>45984.0</v>
      </c>
      <c r="X1311" s="64">
        <f>DATEVALUE(tblWorkPackages[[#This Row],[Due date]])</f>
        <v>45997.0</v>
      </c>
      <c r="Y1311" s="64">
        <f>DATEVALUE(tblWorkPackages[[#This Row],[Completion date]])</f>
        <v>45994.0</v>
      </c>
      <c r="Z1311" s="64">
        <f>_xlfn.MINIFS(tblLaborEntries[Work date serial],tblLaborEntries[Work package ID],tblWorkPackages[[#This Row],[Work package ID]])</f>
        <v>45993.0</v>
      </c>
      <c r="AA1311" s="64">
        <f>_xlfn.MAXIFS(tblLaborEntries[Work date serial],tblLaborEntries[Work package ID],tblWorkPackages[[#This Row],[Work package ID]])</f>
        <v>45993.0</v>
      </c>
      <c r="AB1311" s="65">
        <f>IF(tblWorkPackages[[#This Row],[Completion date serial]]&gt;tblWorkPackages[[#This Row],[Due date serial]],1,0)</f>
        <v>0</v>
      </c>
      <c r="AC1311" s="65">
        <f>MAX(0,tblWorkPackages[[#This Row],[Completion date serial]]-tblWorkPackages[[#This Row],[Due date serial]])</f>
        <v>0</v>
      </c>
      <c r="AD1311" s="65">
        <f>tblWorkPackages[[#This Row],[First labor date]]-tblWorkPackages[[#This Row],[Request date serial]]</f>
        <v>9</v>
      </c>
      <c r="AE1311" s="65">
        <f>tblWorkPackages[[#This Row],[Last labor date]]-tblWorkPackages[[#This Row],[First labor date]]</f>
        <v>0</v>
      </c>
      <c r="AF1311" s="65">
        <f>tblWorkPackages[[#This Row],[Completion date serial]]-tblWorkPackages[[#This Row],[Last labor date]]</f>
        <v>1</v>
      </c>
      <c r="AG1311" s="65">
        <f>tblWorkPackages[[#This Row],[Completion date serial]]-tblWorkPackages[[#This Row],[Request date serial]]</f>
        <v>10</v>
      </c>
      <c r="AH1311" s="65">
        <f>IFERROR(INDEX(tblParts[Delay days],MATCH(tblWorkPackages[[#This Row],[Work package ID]],tblParts[Work package ID],0)),0)</f>
        <v>0</v>
      </c>
      <c r="AI1311" s="51" t="str">
        <f>IFERROR(INDEX(tblDisruptions[Event type],MATCH(tblWorkPackages[[#This Row],[Work package ID]],tblDisruptions[Work package ID],0)),"None")</f>
        <v>None</v>
      </c>
      <c r="AJ1311" s="51" t="str">
        <f>TEXT(tblWorkPackages[[#This Row],[Due date serial]],"yyyy-mm")</f>
        <v>2025-12</v>
      </c>
    </row>
    <row r="1312" spans="1:36" ht="15" x14ac:dyDescent="0.25">
      <c r="A1312" s="53" t="s">
        <v>2219</v>
      </c>
      <c r="B1312" s="53" t="s">
        <v>157</v>
      </c>
      <c r="C1312" s="53" t="s">
        <v>1346</v>
      </c>
      <c r="D1312" s="53" t="s">
        <v>392</v>
      </c>
      <c r="E1312" s="53" t="s">
        <v>272</v>
      </c>
      <c r="F1312" s="53" t="s">
        <v>145</v>
      </c>
      <c r="G1312" s="53" t="s">
        <v>273</v>
      </c>
      <c r="H1312" s="53">
        <v>1</v>
      </c>
      <c r="I1312" s="53" t="s">
        <v>147</v>
      </c>
      <c r="J1312" s="53">
        <v>0</v>
      </c>
      <c r="K1312" s="53">
        <v>1</v>
      </c>
      <c r="L1312" s="53">
        <v>6.5</v>
      </c>
      <c r="M1312" s="53" t="s">
        <v>265</v>
      </c>
      <c r="N1312" s="53">
        <v>5.4</v>
      </c>
      <c r="O1312" s="51" t="str">
        <f>TEXT(tblWorkPackages[[#This Row],[Request date serial]]-WEEKDAY(tblWorkPackages[[#This Row],[Request date serial]],3),"yyyy-mm-dd")</f>
        <v>2024-08-26</v>
      </c>
      <c r="P1312" s="51">
        <f>ABS(tblWorkPackages[[#This Row],[Actual labor hours]]-tblWorkPackages[[#This Row],[Estimated labor hours]])</f>
        <v>1.1</v>
      </c>
      <c r="Q1312" s="51">
        <f>IF(tblWorkPackages[[#This Row],[Actual labor hours]]&gt;tblWorkPackages[[#This Row],[Estimated labor hours]],1,0)</f>
        <v>0</v>
      </c>
      <c r="R1312" s="51">
        <f>tblWorkPackages[[#This Row],[Actual labor hours]]-tblWorkPackages[[#This Row],[Estimated labor hours]]</f>
        <v>-1.1</v>
      </c>
      <c r="S1312" s="51" t="str">
        <f>IF(tblWorkPackages[[#This Row],[Request date serial]]&lt;ValidationStart,"Train 2024",IF(tblWorkPackages[[#This Row],[Request date serial]]&lt;HoldoutStart,"Validation H1","Holdout H2"))</f>
        <v>Train 2024</v>
      </c>
      <c r="T1312" s="51" t="str">
        <f>IF(tblWorkPackages[[#This Row],[Time split]]="Train 2024","",tblWorkPackages[[#This Row],[Estimated labor hours]]+VLOOKUP(tblWorkPackages[[#This Row],[Task type]],'Forecast validation'!$A$14:$E$25,IF(tblWorkPackages[[#This Row],[Time split]]="Validation H1",4,5),FALSE()))</f>
        <v/>
      </c>
      <c r="U1312" s="51" t="str">
        <f>IF(tblWorkPackages[[#This Row],[Calibrated forecast hours]]="","",ABS(tblWorkPackages[[#This Row],[Actual labor hours]]-tblWorkPackages[[#This Row],[Calibrated forecast hours]]))</f>
        <v/>
      </c>
      <c r="V1312" s="51">
        <f>IF(tblWorkPackages[[#This Row],[Time split]]="Train 2024",tblWorkPackages[[#This Row],[Estimated labor hours]],tblWorkPackages[[#This Row],[Calibrated forecast hours]])</f>
        <v>6.5</v>
      </c>
      <c r="W1312" s="64">
        <f>DATEVALUE(tblWorkPackages[[#This Row],[Request date]])</f>
        <v>45532.0</v>
      </c>
      <c r="X1312" s="64">
        <f>DATEVALUE(tblWorkPackages[[#This Row],[Due date]])</f>
        <v>45534.0</v>
      </c>
      <c r="Y1312" s="64">
        <f>DATEVALUE(tblWorkPackages[[#This Row],[Completion date]])</f>
        <v>45536.0</v>
      </c>
      <c r="Z1312" s="64">
        <f>_xlfn.MINIFS(tblLaborEntries[Work date serial],tblLaborEntries[Work package ID],tblWorkPackages[[#This Row],[Work package ID]])</f>
        <v>45534.0</v>
      </c>
      <c r="AA1312" s="64">
        <f>_xlfn.MAXIFS(tblLaborEntries[Work date serial],tblLaborEntries[Work package ID],tblWorkPackages[[#This Row],[Work package ID]])</f>
        <v>45534.0</v>
      </c>
      <c r="AB1312" s="65">
        <f>IF(tblWorkPackages[[#This Row],[Completion date serial]]&gt;tblWorkPackages[[#This Row],[Due date serial]],1,0)</f>
        <v>1</v>
      </c>
      <c r="AC1312" s="65">
        <f>MAX(0,tblWorkPackages[[#This Row],[Completion date serial]]-tblWorkPackages[[#This Row],[Due date serial]])</f>
        <v>2</v>
      </c>
      <c r="AD1312" s="65">
        <f>tblWorkPackages[[#This Row],[First labor date]]-tblWorkPackages[[#This Row],[Request date serial]]</f>
        <v>2</v>
      </c>
      <c r="AE1312" s="65">
        <f>tblWorkPackages[[#This Row],[Last labor date]]-tblWorkPackages[[#This Row],[First labor date]]</f>
        <v>0</v>
      </c>
      <c r="AF1312" s="65">
        <f>tblWorkPackages[[#This Row],[Completion date serial]]-tblWorkPackages[[#This Row],[Last labor date]]</f>
        <v>2</v>
      </c>
      <c r="AG1312" s="65">
        <f>tblWorkPackages[[#This Row],[Completion date serial]]-tblWorkPackages[[#This Row],[Request date serial]]</f>
        <v>4</v>
      </c>
      <c r="AH1312" s="65">
        <f>IFERROR(INDEX(tblParts[Delay days],MATCH(tblWorkPackages[[#This Row],[Work package ID]],tblParts[Work package ID],0)),0)</f>
        <v>0</v>
      </c>
      <c r="AI1312" s="51" t="str">
        <f>IFERROR(INDEX(tblDisruptions[Event type],MATCH(tblWorkPackages[[#This Row],[Work package ID]],tblDisruptions[Work package ID],0)),"None")</f>
        <v>None</v>
      </c>
      <c r="AJ1312" s="51" t="str">
        <f>TEXT(tblWorkPackages[[#This Row],[Due date serial]],"yyyy-mm")</f>
        <v>2024-08</v>
      </c>
    </row>
    <row r="1313" spans="1:36" ht="15" x14ac:dyDescent="0.25">
      <c r="A1313" s="53" t="s">
        <v>2220</v>
      </c>
      <c r="B1313" s="53" t="s">
        <v>230</v>
      </c>
      <c r="C1313" s="53" t="s">
        <v>201</v>
      </c>
      <c r="D1313" s="53" t="s">
        <v>851</v>
      </c>
      <c r="E1313" s="53" t="s">
        <v>144</v>
      </c>
      <c r="F1313" s="53" t="s">
        <v>145</v>
      </c>
      <c r="G1313" s="53" t="s">
        <v>146</v>
      </c>
      <c r="H1313" s="53">
        <v>4</v>
      </c>
      <c r="I1313" s="53" t="s">
        <v>176</v>
      </c>
      <c r="J1313" s="53">
        <v>0</v>
      </c>
      <c r="K1313" s="53">
        <v>0</v>
      </c>
      <c r="L1313" s="53">
        <v>21.5</v>
      </c>
      <c r="M1313" s="53" t="s">
        <v>343</v>
      </c>
      <c r="N1313" s="53">
        <v>25.9</v>
      </c>
      <c r="O1313" s="51" t="str">
        <f>TEXT(tblWorkPackages[[#This Row],[Request date serial]]-WEEKDAY(tblWorkPackages[[#This Row],[Request date serial]],3),"yyyy-mm-dd")</f>
        <v>2025-06-23</v>
      </c>
      <c r="P1313" s="51">
        <f>ABS(tblWorkPackages[[#This Row],[Actual labor hours]]-tblWorkPackages[[#This Row],[Estimated labor hours]])</f>
        <v>4.4</v>
      </c>
      <c r="Q1313" s="51">
        <f>IF(tblWorkPackages[[#This Row],[Actual labor hours]]&gt;tblWorkPackages[[#This Row],[Estimated labor hours]],1,0)</f>
        <v>1</v>
      </c>
      <c r="R1313" s="51">
        <f>tblWorkPackages[[#This Row],[Actual labor hours]]-tblWorkPackages[[#This Row],[Estimated labor hours]]</f>
        <v>4.4</v>
      </c>
      <c r="S1313" s="51" t="str">
        <f>IF(tblWorkPackages[[#This Row],[Request date serial]]&lt;ValidationStart,"Train 2024",IF(tblWorkPackages[[#This Row],[Request date serial]]&lt;HoldoutStart,"Validation H1","Holdout H2"))</f>
        <v>Validation H1</v>
      </c>
      <c r="T1313" s="51">
        <f>IF(tblWorkPackages[[#This Row],[Time split]]="Train 2024","",tblWorkPackages[[#This Row],[Estimated labor hours]]+VLOOKUP(tblWorkPackages[[#This Row],[Task type]],'Forecast validation'!$A$14:$E$25,IF(tblWorkPackages[[#This Row],[Time split]]="Validation H1",4,5),FALSE()))</f>
        <v>22.2547368421053</v>
      </c>
      <c r="U1313" s="51">
        <f>IF(tblWorkPackages[[#This Row],[Calibrated forecast hours]]="","",ABS(tblWorkPackages[[#This Row],[Actual labor hours]]-tblWorkPackages[[#This Row],[Calibrated forecast hours]]))</f>
        <v>3.64526315789474</v>
      </c>
      <c r="V1313" s="51">
        <f>IF(tblWorkPackages[[#This Row],[Time split]]="Train 2024",tblWorkPackages[[#This Row],[Estimated labor hours]],tblWorkPackages[[#This Row],[Calibrated forecast hours]])</f>
        <v>22.2547368421053</v>
      </c>
      <c r="W1313" s="64">
        <f>DATEVALUE(tblWorkPackages[[#This Row],[Request date]])</f>
        <v>45835.0</v>
      </c>
      <c r="X1313" s="64">
        <f>DATEVALUE(tblWorkPackages[[#This Row],[Due date]])</f>
        <v>45841.0</v>
      </c>
      <c r="Y1313" s="64">
        <f>DATEVALUE(tblWorkPackages[[#This Row],[Completion date]])</f>
        <v>45862.0</v>
      </c>
      <c r="Z1313" s="64">
        <f>_xlfn.MINIFS(tblLaborEntries[Work date serial],tblLaborEntries[Work package ID],tblWorkPackages[[#This Row],[Work package ID]])</f>
        <v>45859.0</v>
      </c>
      <c r="AA1313" s="64">
        <f>_xlfn.MAXIFS(tblLaborEntries[Work date serial],tblLaborEntries[Work package ID],tblWorkPackages[[#This Row],[Work package ID]])</f>
        <v>45859.0</v>
      </c>
      <c r="AB1313" s="65">
        <f>IF(tblWorkPackages[[#This Row],[Completion date serial]]&gt;tblWorkPackages[[#This Row],[Due date serial]],1,0)</f>
        <v>1</v>
      </c>
      <c r="AC1313" s="65">
        <f>MAX(0,tblWorkPackages[[#This Row],[Completion date serial]]-tblWorkPackages[[#This Row],[Due date serial]])</f>
        <v>21</v>
      </c>
      <c r="AD1313" s="65">
        <f>tblWorkPackages[[#This Row],[First labor date]]-tblWorkPackages[[#This Row],[Request date serial]]</f>
        <v>24</v>
      </c>
      <c r="AE1313" s="65">
        <f>tblWorkPackages[[#This Row],[Last labor date]]-tblWorkPackages[[#This Row],[First labor date]]</f>
        <v>0</v>
      </c>
      <c r="AF1313" s="65">
        <f>tblWorkPackages[[#This Row],[Completion date serial]]-tblWorkPackages[[#This Row],[Last labor date]]</f>
        <v>3</v>
      </c>
      <c r="AG1313" s="65">
        <f>tblWorkPackages[[#This Row],[Completion date serial]]-tblWorkPackages[[#This Row],[Request date serial]]</f>
        <v>27</v>
      </c>
      <c r="AH1313" s="65">
        <f>IFERROR(INDEX(tblParts[Delay days],MATCH(tblWorkPackages[[#This Row],[Work package ID]],tblParts[Work package ID],0)),0)</f>
        <v>0</v>
      </c>
      <c r="AI1313" s="51" t="str">
        <f>IFERROR(INDEX(tblDisruptions[Event type],MATCH(tblWorkPackages[[#This Row],[Work package ID]],tblDisruptions[Work package ID],0)),"None")</f>
        <v>None</v>
      </c>
      <c r="AJ1313" s="51" t="str">
        <f>TEXT(tblWorkPackages[[#This Row],[Due date serial]],"yyyy-mm")</f>
        <v>2025-07</v>
      </c>
    </row>
    <row r="1314" spans="1:36" ht="15" x14ac:dyDescent="0.25">
      <c r="A1314" s="53" t="s">
        <v>2221</v>
      </c>
      <c r="B1314" s="53" t="s">
        <v>157</v>
      </c>
      <c r="C1314" s="53" t="s">
        <v>231</v>
      </c>
      <c r="D1314" s="53" t="s">
        <v>232</v>
      </c>
      <c r="E1314" s="53" t="s">
        <v>200</v>
      </c>
      <c r="F1314" s="53" t="s">
        <v>128</v>
      </c>
      <c r="G1314" s="53" t="s">
        <v>129</v>
      </c>
      <c r="H1314" s="53">
        <v>4</v>
      </c>
      <c r="I1314" s="53" t="s">
        <v>130</v>
      </c>
      <c r="J1314" s="53">
        <v>0</v>
      </c>
      <c r="K1314" s="53">
        <v>1</v>
      </c>
      <c r="L1314" s="53">
        <v>4.9000000000000004</v>
      </c>
      <c r="M1314" s="53" t="s">
        <v>1682</v>
      </c>
      <c r="N1314" s="53">
        <v>3.9</v>
      </c>
      <c r="O1314" s="51" t="str">
        <f>TEXT(tblWorkPackages[[#This Row],[Request date serial]]-WEEKDAY(tblWorkPackages[[#This Row],[Request date serial]],3),"yyyy-mm-dd")</f>
        <v>2024-12-23</v>
      </c>
      <c r="P1314" s="51">
        <f>ABS(tblWorkPackages[[#This Row],[Actual labor hours]]-tblWorkPackages[[#This Row],[Estimated labor hours]])</f>
        <v>1</v>
      </c>
      <c r="Q1314" s="51">
        <f>IF(tblWorkPackages[[#This Row],[Actual labor hours]]&gt;tblWorkPackages[[#This Row],[Estimated labor hours]],1,0)</f>
        <v>0</v>
      </c>
      <c r="R1314" s="51">
        <f>tblWorkPackages[[#This Row],[Actual labor hours]]-tblWorkPackages[[#This Row],[Estimated labor hours]]</f>
        <v>-1</v>
      </c>
      <c r="S1314" s="51" t="str">
        <f>IF(tblWorkPackages[[#This Row],[Request date serial]]&lt;ValidationStart,"Train 2024",IF(tblWorkPackages[[#This Row],[Request date serial]]&lt;HoldoutStart,"Validation H1","Holdout H2"))</f>
        <v>Train 2024</v>
      </c>
      <c r="T1314" s="51" t="str">
        <f>IF(tblWorkPackages[[#This Row],[Time split]]="Train 2024","",tblWorkPackages[[#This Row],[Estimated labor hours]]+VLOOKUP(tblWorkPackages[[#This Row],[Task type]],'Forecast validation'!$A$14:$E$25,IF(tblWorkPackages[[#This Row],[Time split]]="Validation H1",4,5),FALSE()))</f>
        <v/>
      </c>
      <c r="U1314" s="51" t="str">
        <f>IF(tblWorkPackages[[#This Row],[Calibrated forecast hours]]="","",ABS(tblWorkPackages[[#This Row],[Actual labor hours]]-tblWorkPackages[[#This Row],[Calibrated forecast hours]]))</f>
        <v/>
      </c>
      <c r="V1314" s="51">
        <f>IF(tblWorkPackages[[#This Row],[Time split]]="Train 2024",tblWorkPackages[[#This Row],[Estimated labor hours]],tblWorkPackages[[#This Row],[Calibrated forecast hours]])</f>
        <v>4.9</v>
      </c>
      <c r="W1314" s="64">
        <f>DATEVALUE(tblWorkPackages[[#This Row],[Request date]])</f>
        <v>45655.0</v>
      </c>
      <c r="X1314" s="64">
        <f>DATEVALUE(tblWorkPackages[[#This Row],[Due date]])</f>
        <v>45668.0</v>
      </c>
      <c r="Y1314" s="64">
        <f>DATEVALUE(tblWorkPackages[[#This Row],[Completion date]])</f>
        <v>45660.0</v>
      </c>
      <c r="Z1314" s="64">
        <f>_xlfn.MINIFS(tblLaborEntries[Work date serial],tblLaborEntries[Work package ID],tblWorkPackages[[#This Row],[Work package ID]])</f>
        <v>45659.0</v>
      </c>
      <c r="AA1314" s="64">
        <f>_xlfn.MAXIFS(tblLaborEntries[Work date serial],tblLaborEntries[Work package ID],tblWorkPackages[[#This Row],[Work package ID]])</f>
        <v>45660.0</v>
      </c>
      <c r="AB1314" s="65">
        <f>IF(tblWorkPackages[[#This Row],[Completion date serial]]&gt;tblWorkPackages[[#This Row],[Due date serial]],1,0)</f>
        <v>0</v>
      </c>
      <c r="AC1314" s="65">
        <f>MAX(0,tblWorkPackages[[#This Row],[Completion date serial]]-tblWorkPackages[[#This Row],[Due date serial]])</f>
        <v>0</v>
      </c>
      <c r="AD1314" s="65">
        <f>tblWorkPackages[[#This Row],[First labor date]]-tblWorkPackages[[#This Row],[Request date serial]]</f>
        <v>4</v>
      </c>
      <c r="AE1314" s="65">
        <f>tblWorkPackages[[#This Row],[Last labor date]]-tblWorkPackages[[#This Row],[First labor date]]</f>
        <v>1</v>
      </c>
      <c r="AF1314" s="65">
        <f>tblWorkPackages[[#This Row],[Completion date serial]]-tblWorkPackages[[#This Row],[Last labor date]]</f>
        <v>0</v>
      </c>
      <c r="AG1314" s="65">
        <f>tblWorkPackages[[#This Row],[Completion date serial]]-tblWorkPackages[[#This Row],[Request date serial]]</f>
        <v>5</v>
      </c>
      <c r="AH1314" s="65">
        <f>IFERROR(INDEX(tblParts[Delay days],MATCH(tblWorkPackages[[#This Row],[Work package ID]],tblParts[Work package ID],0)),0)</f>
        <v>0</v>
      </c>
      <c r="AI1314" s="51" t="str">
        <f>IFERROR(INDEX(tblDisruptions[Event type],MATCH(tblWorkPackages[[#This Row],[Work package ID]],tblDisruptions[Work package ID],0)),"None")</f>
        <v>None</v>
      </c>
      <c r="AJ1314" s="51" t="str">
        <f>TEXT(tblWorkPackages[[#This Row],[Due date serial]],"yyyy-mm")</f>
        <v>2025-01</v>
      </c>
    </row>
    <row r="1315" spans="1:36" ht="15" x14ac:dyDescent="0.25">
      <c r="A1315" s="53" t="s">
        <v>2222</v>
      </c>
      <c r="B1315" s="53" t="s">
        <v>230</v>
      </c>
      <c r="C1315" s="53" t="s">
        <v>1100</v>
      </c>
      <c r="D1315" s="53" t="s">
        <v>188</v>
      </c>
      <c r="E1315" s="53" t="s">
        <v>127</v>
      </c>
      <c r="F1315" s="53" t="s">
        <v>128</v>
      </c>
      <c r="G1315" s="53" t="s">
        <v>129</v>
      </c>
      <c r="H1315" s="53">
        <v>3</v>
      </c>
      <c r="I1315" s="53" t="s">
        <v>176</v>
      </c>
      <c r="J1315" s="53">
        <v>0</v>
      </c>
      <c r="K1315" s="53">
        <v>1</v>
      </c>
      <c r="L1315" s="53">
        <v>10.9</v>
      </c>
      <c r="M1315" s="53" t="s">
        <v>859</v>
      </c>
      <c r="N1315" s="53">
        <v>17.5</v>
      </c>
      <c r="O1315" s="51" t="str">
        <f>TEXT(tblWorkPackages[[#This Row],[Request date serial]]-WEEKDAY(tblWorkPackages[[#This Row],[Request date serial]],3),"yyyy-mm-dd")</f>
        <v>2025-02-17</v>
      </c>
      <c r="P1315" s="51">
        <f>ABS(tblWorkPackages[[#This Row],[Actual labor hours]]-tblWorkPackages[[#This Row],[Estimated labor hours]])</f>
        <v>6.6</v>
      </c>
      <c r="Q1315" s="51">
        <f>IF(tblWorkPackages[[#This Row],[Actual labor hours]]&gt;tblWorkPackages[[#This Row],[Estimated labor hours]],1,0)</f>
        <v>1</v>
      </c>
      <c r="R1315" s="51">
        <f>tblWorkPackages[[#This Row],[Actual labor hours]]-tblWorkPackages[[#This Row],[Estimated labor hours]]</f>
        <v>6.6</v>
      </c>
      <c r="S1315" s="51" t="str">
        <f>IF(tblWorkPackages[[#This Row],[Request date serial]]&lt;ValidationStart,"Train 2024",IF(tblWorkPackages[[#This Row],[Request date serial]]&lt;HoldoutStart,"Validation H1","Holdout H2"))</f>
        <v>Validation H1</v>
      </c>
      <c r="T1315" s="51">
        <f>IF(tblWorkPackages[[#This Row],[Time split]]="Train 2024","",tblWorkPackages[[#This Row],[Estimated labor hours]]+VLOOKUP(tblWorkPackages[[#This Row],[Task type]],'Forecast validation'!$A$14:$E$25,IF(tblWorkPackages[[#This Row],[Time split]]="Validation H1",4,5),FALSE()))</f>
        <v>11.375641025641</v>
      </c>
      <c r="U1315" s="51">
        <f>IF(tblWorkPackages[[#This Row],[Calibrated forecast hours]]="","",ABS(tblWorkPackages[[#This Row],[Actual labor hours]]-tblWorkPackages[[#This Row],[Calibrated forecast hours]]))</f>
        <v>6.12435897435898</v>
      </c>
      <c r="V1315" s="51">
        <f>IF(tblWorkPackages[[#This Row],[Time split]]="Train 2024",tblWorkPackages[[#This Row],[Estimated labor hours]],tblWorkPackages[[#This Row],[Calibrated forecast hours]])</f>
        <v>11.375641025641</v>
      </c>
      <c r="W1315" s="64">
        <f>DATEVALUE(tblWorkPackages[[#This Row],[Request date]])</f>
        <v>45705.0</v>
      </c>
      <c r="X1315" s="64">
        <f>DATEVALUE(tblWorkPackages[[#This Row],[Due date]])</f>
        <v>45711.0</v>
      </c>
      <c r="Y1315" s="64">
        <f>DATEVALUE(tblWorkPackages[[#This Row],[Completion date]])</f>
        <v>45719.0</v>
      </c>
      <c r="Z1315" s="64">
        <f>_xlfn.MINIFS(tblLaborEntries[Work date serial],tblLaborEntries[Work package ID],tblWorkPackages[[#This Row],[Work package ID]])</f>
        <v>45717.0</v>
      </c>
      <c r="AA1315" s="64">
        <f>_xlfn.MAXIFS(tblLaborEntries[Work date serial],tblLaborEntries[Work package ID],tblWorkPackages[[#This Row],[Work package ID]])</f>
        <v>45718.0</v>
      </c>
      <c r="AB1315" s="65">
        <f>IF(tblWorkPackages[[#This Row],[Completion date serial]]&gt;tblWorkPackages[[#This Row],[Due date serial]],1,0)</f>
        <v>1</v>
      </c>
      <c r="AC1315" s="65">
        <f>MAX(0,tblWorkPackages[[#This Row],[Completion date serial]]-tblWorkPackages[[#This Row],[Due date serial]])</f>
        <v>8</v>
      </c>
      <c r="AD1315" s="65">
        <f>tblWorkPackages[[#This Row],[First labor date]]-tblWorkPackages[[#This Row],[Request date serial]]</f>
        <v>12</v>
      </c>
      <c r="AE1315" s="65">
        <f>tblWorkPackages[[#This Row],[Last labor date]]-tblWorkPackages[[#This Row],[First labor date]]</f>
        <v>1</v>
      </c>
      <c r="AF1315" s="65">
        <f>tblWorkPackages[[#This Row],[Completion date serial]]-tblWorkPackages[[#This Row],[Last labor date]]</f>
        <v>1</v>
      </c>
      <c r="AG1315" s="65">
        <f>tblWorkPackages[[#This Row],[Completion date serial]]-tblWorkPackages[[#This Row],[Request date serial]]</f>
        <v>14</v>
      </c>
      <c r="AH1315" s="65">
        <f>IFERROR(INDEX(tblParts[Delay days],MATCH(tblWorkPackages[[#This Row],[Work package ID]],tblParts[Work package ID],0)),0)</f>
        <v>11</v>
      </c>
      <c r="AI1315" s="51" t="str">
        <f>IFERROR(INDEX(tblDisruptions[Event type],MATCH(tblWorkPackages[[#This Row],[Work package ID]],tblDisruptions[Work package ID],0)),"None")</f>
        <v>Part delay</v>
      </c>
      <c r="AJ1315" s="51" t="str">
        <f>TEXT(tblWorkPackages[[#This Row],[Due date serial]],"yyyy-mm")</f>
        <v>2025-02</v>
      </c>
    </row>
    <row r="1316" spans="1:36" ht="15" x14ac:dyDescent="0.25">
      <c r="A1316" s="53" t="s">
        <v>2223</v>
      </c>
      <c r="B1316" s="53" t="s">
        <v>150</v>
      </c>
      <c r="C1316" s="53" t="s">
        <v>134</v>
      </c>
      <c r="D1316" s="53" t="s">
        <v>886</v>
      </c>
      <c r="E1316" s="53" t="s">
        <v>223</v>
      </c>
      <c r="F1316" s="53" t="s">
        <v>182</v>
      </c>
      <c r="G1316" s="53" t="s">
        <v>154</v>
      </c>
      <c r="H1316" s="53">
        <v>2</v>
      </c>
      <c r="I1316" s="53" t="s">
        <v>147</v>
      </c>
      <c r="J1316" s="53">
        <v>0</v>
      </c>
      <c r="K1316" s="53">
        <v>0</v>
      </c>
      <c r="L1316" s="53">
        <v>11.7</v>
      </c>
      <c r="M1316" s="53" t="s">
        <v>1178</v>
      </c>
      <c r="N1316" s="53">
        <v>10.5</v>
      </c>
      <c r="O1316" s="51" t="str">
        <f>TEXT(tblWorkPackages[[#This Row],[Request date serial]]-WEEKDAY(tblWorkPackages[[#This Row],[Request date serial]],3),"yyyy-mm-dd")</f>
        <v>2025-09-01</v>
      </c>
      <c r="P1316" s="51">
        <f>ABS(tblWorkPackages[[#This Row],[Actual labor hours]]-tblWorkPackages[[#This Row],[Estimated labor hours]])</f>
        <v>1.2</v>
      </c>
      <c r="Q1316" s="51">
        <f>IF(tblWorkPackages[[#This Row],[Actual labor hours]]&gt;tblWorkPackages[[#This Row],[Estimated labor hours]],1,0)</f>
        <v>0</v>
      </c>
      <c r="R1316" s="51">
        <f>tblWorkPackages[[#This Row],[Actual labor hours]]-tblWorkPackages[[#This Row],[Estimated labor hours]]</f>
        <v>-1.2</v>
      </c>
      <c r="S1316" s="51" t="str">
        <f>IF(tblWorkPackages[[#This Row],[Request date serial]]&lt;ValidationStart,"Train 2024",IF(tblWorkPackages[[#This Row],[Request date serial]]&lt;HoldoutStart,"Validation H1","Holdout H2"))</f>
        <v>Holdout H2</v>
      </c>
      <c r="T1316" s="51">
        <f>IF(tblWorkPackages[[#This Row],[Time split]]="Train 2024","",tblWorkPackages[[#This Row],[Estimated labor hours]]+VLOOKUP(tblWorkPackages[[#This Row],[Task type]],'Forecast validation'!$A$14:$E$25,IF(tblWorkPackages[[#This Row],[Time split]]="Validation H1",4,5),FALSE()))</f>
        <v>12.6246575342466</v>
      </c>
      <c r="U1316" s="51">
        <f>IF(tblWorkPackages[[#This Row],[Calibrated forecast hours]]="","",ABS(tblWorkPackages[[#This Row],[Actual labor hours]]-tblWorkPackages[[#This Row],[Calibrated forecast hours]]))</f>
        <v>2.12465753424658</v>
      </c>
      <c r="V1316" s="51">
        <f>IF(tblWorkPackages[[#This Row],[Time split]]="Train 2024",tblWorkPackages[[#This Row],[Estimated labor hours]],tblWorkPackages[[#This Row],[Calibrated forecast hours]])</f>
        <v>12.6246575342466</v>
      </c>
      <c r="W1316" s="64">
        <f>DATEVALUE(tblWorkPackages[[#This Row],[Request date]])</f>
        <v>45905.0</v>
      </c>
      <c r="X1316" s="64">
        <f>DATEVALUE(tblWorkPackages[[#This Row],[Due date]])</f>
        <v>45907.0</v>
      </c>
      <c r="Y1316" s="64">
        <f>DATEVALUE(tblWorkPackages[[#This Row],[Completion date]])</f>
        <v>45919.0</v>
      </c>
      <c r="Z1316" s="64">
        <f>_xlfn.MINIFS(tblLaborEntries[Work date serial],tblLaborEntries[Work package ID],tblWorkPackages[[#This Row],[Work package ID]])</f>
        <v>45917.0</v>
      </c>
      <c r="AA1316" s="64">
        <f>_xlfn.MAXIFS(tblLaborEntries[Work date serial],tblLaborEntries[Work package ID],tblWorkPackages[[#This Row],[Work package ID]])</f>
        <v>45917.0</v>
      </c>
      <c r="AB1316" s="65">
        <f>IF(tblWorkPackages[[#This Row],[Completion date serial]]&gt;tblWorkPackages[[#This Row],[Due date serial]],1,0)</f>
        <v>1</v>
      </c>
      <c r="AC1316" s="65">
        <f>MAX(0,tblWorkPackages[[#This Row],[Completion date serial]]-tblWorkPackages[[#This Row],[Due date serial]])</f>
        <v>12</v>
      </c>
      <c r="AD1316" s="65">
        <f>tblWorkPackages[[#This Row],[First labor date]]-tblWorkPackages[[#This Row],[Request date serial]]</f>
        <v>12</v>
      </c>
      <c r="AE1316" s="65">
        <f>tblWorkPackages[[#This Row],[Last labor date]]-tblWorkPackages[[#This Row],[First labor date]]</f>
        <v>0</v>
      </c>
      <c r="AF1316" s="65">
        <f>tblWorkPackages[[#This Row],[Completion date serial]]-tblWorkPackages[[#This Row],[Last labor date]]</f>
        <v>2</v>
      </c>
      <c r="AG1316" s="65">
        <f>tblWorkPackages[[#This Row],[Completion date serial]]-tblWorkPackages[[#This Row],[Request date serial]]</f>
        <v>14</v>
      </c>
      <c r="AH1316" s="65">
        <f>IFERROR(INDEX(tblParts[Delay days],MATCH(tblWorkPackages[[#This Row],[Work package ID]],tblParts[Work package ID],0)),0)</f>
        <v>0</v>
      </c>
      <c r="AI1316" s="51" t="str">
        <f>IFERROR(INDEX(tblDisruptions[Event type],MATCH(tblWorkPackages[[#This Row],[Work package ID]],tblDisruptions[Work package ID],0)),"None")</f>
        <v>None</v>
      </c>
      <c r="AJ1316" s="51" t="str">
        <f>TEXT(tblWorkPackages[[#This Row],[Due date serial]],"yyyy-mm")</f>
        <v>2025-09</v>
      </c>
    </row>
    <row r="1317" spans="1:36" ht="15" x14ac:dyDescent="0.25">
      <c r="A1317" s="53" t="s">
        <v>2224</v>
      </c>
      <c r="B1317" s="53" t="s">
        <v>141</v>
      </c>
      <c r="C1317" s="53" t="s">
        <v>1344</v>
      </c>
      <c r="D1317" s="53" t="s">
        <v>1085</v>
      </c>
      <c r="E1317" s="53" t="s">
        <v>200</v>
      </c>
      <c r="F1317" s="53" t="s">
        <v>128</v>
      </c>
      <c r="G1317" s="53" t="s">
        <v>129</v>
      </c>
      <c r="H1317" s="53">
        <v>4</v>
      </c>
      <c r="I1317" s="53" t="s">
        <v>130</v>
      </c>
      <c r="J1317" s="53">
        <v>0</v>
      </c>
      <c r="K1317" s="53">
        <v>0</v>
      </c>
      <c r="L1317" s="53">
        <v>5.5</v>
      </c>
      <c r="M1317" s="53" t="s">
        <v>698</v>
      </c>
      <c r="N1317" s="53">
        <v>5.3</v>
      </c>
      <c r="O1317" s="51" t="str">
        <f>TEXT(tblWorkPackages[[#This Row],[Request date serial]]-WEEKDAY(tblWorkPackages[[#This Row],[Request date serial]],3),"yyyy-mm-dd")</f>
        <v>2025-01-27</v>
      </c>
      <c r="P1317" s="51">
        <f>ABS(tblWorkPackages[[#This Row],[Actual labor hours]]-tblWorkPackages[[#This Row],[Estimated labor hours]])</f>
        <v>0.2</v>
      </c>
      <c r="Q1317" s="51">
        <f>IF(tblWorkPackages[[#This Row],[Actual labor hours]]&gt;tblWorkPackages[[#This Row],[Estimated labor hours]],1,0)</f>
        <v>0</v>
      </c>
      <c r="R1317" s="51">
        <f>tblWorkPackages[[#This Row],[Actual labor hours]]-tblWorkPackages[[#This Row],[Estimated labor hours]]</f>
        <v>-0.2</v>
      </c>
      <c r="S1317" s="51" t="str">
        <f>IF(tblWorkPackages[[#This Row],[Request date serial]]&lt;ValidationStart,"Train 2024",IF(tblWorkPackages[[#This Row],[Request date serial]]&lt;HoldoutStart,"Validation H1","Holdout H2"))</f>
        <v>Validation H1</v>
      </c>
      <c r="T1317" s="51">
        <f>IF(tblWorkPackages[[#This Row],[Time split]]="Train 2024","",tblWorkPackages[[#This Row],[Estimated labor hours]]+VLOOKUP(tblWorkPackages[[#This Row],[Task type]],'Forecast validation'!$A$14:$E$25,IF(tblWorkPackages[[#This Row],[Time split]]="Validation H1",4,5),FALSE()))</f>
        <v>5.83069306930693</v>
      </c>
      <c r="U1317" s="51">
        <f>IF(tblWorkPackages[[#This Row],[Calibrated forecast hours]]="","",ABS(tblWorkPackages[[#This Row],[Actual labor hours]]-tblWorkPackages[[#This Row],[Calibrated forecast hours]]))</f>
        <v>0.530693069306931</v>
      </c>
      <c r="V1317" s="51">
        <f>IF(tblWorkPackages[[#This Row],[Time split]]="Train 2024",tblWorkPackages[[#This Row],[Estimated labor hours]],tblWorkPackages[[#This Row],[Calibrated forecast hours]])</f>
        <v>5.83069306930693</v>
      </c>
      <c r="W1317" s="64">
        <f>DATEVALUE(tblWorkPackages[[#This Row],[Request date]])</f>
        <v>45688.0</v>
      </c>
      <c r="X1317" s="64">
        <f>DATEVALUE(tblWorkPackages[[#This Row],[Due date]])</f>
        <v>45701.0</v>
      </c>
      <c r="Y1317" s="64">
        <f>DATEVALUE(tblWorkPackages[[#This Row],[Completion date]])</f>
        <v>45696.0</v>
      </c>
      <c r="Z1317" s="64">
        <f>_xlfn.MINIFS(tblLaborEntries[Work date serial],tblLaborEntries[Work package ID],tblWorkPackages[[#This Row],[Work package ID]])</f>
        <v>45691.0</v>
      </c>
      <c r="AA1317" s="64">
        <f>_xlfn.MAXIFS(tblLaborEntries[Work date serial],tblLaborEntries[Work package ID],tblWorkPackages[[#This Row],[Work package ID]])</f>
        <v>45693.0</v>
      </c>
      <c r="AB1317" s="65">
        <f>IF(tblWorkPackages[[#This Row],[Completion date serial]]&gt;tblWorkPackages[[#This Row],[Due date serial]],1,0)</f>
        <v>0</v>
      </c>
      <c r="AC1317" s="65">
        <f>MAX(0,tblWorkPackages[[#This Row],[Completion date serial]]-tblWorkPackages[[#This Row],[Due date serial]])</f>
        <v>0</v>
      </c>
      <c r="AD1317" s="65">
        <f>tblWorkPackages[[#This Row],[First labor date]]-tblWorkPackages[[#This Row],[Request date serial]]</f>
        <v>3</v>
      </c>
      <c r="AE1317" s="65">
        <f>tblWorkPackages[[#This Row],[Last labor date]]-tblWorkPackages[[#This Row],[First labor date]]</f>
        <v>2</v>
      </c>
      <c r="AF1317" s="65">
        <f>tblWorkPackages[[#This Row],[Completion date serial]]-tblWorkPackages[[#This Row],[Last labor date]]</f>
        <v>3</v>
      </c>
      <c r="AG1317" s="65">
        <f>tblWorkPackages[[#This Row],[Completion date serial]]-tblWorkPackages[[#This Row],[Request date serial]]</f>
        <v>8</v>
      </c>
      <c r="AH1317" s="65">
        <f>IFERROR(INDEX(tblParts[Delay days],MATCH(tblWorkPackages[[#This Row],[Work package ID]],tblParts[Work package ID],0)),0)</f>
        <v>0</v>
      </c>
      <c r="AI1317" s="51" t="str">
        <f>IFERROR(INDEX(tblDisruptions[Event type],MATCH(tblWorkPackages[[#This Row],[Work package ID]],tblDisruptions[Work package ID],0)),"None")</f>
        <v>None</v>
      </c>
      <c r="AJ1317" s="51" t="str">
        <f>TEXT(tblWorkPackages[[#This Row],[Due date serial]],"yyyy-mm")</f>
        <v>2025-02</v>
      </c>
    </row>
    <row r="1318" spans="1:36" ht="15" x14ac:dyDescent="0.25">
      <c r="A1318" s="53" t="s">
        <v>2225</v>
      </c>
      <c r="B1318" s="53" t="s">
        <v>163</v>
      </c>
      <c r="C1318" s="53" t="s">
        <v>1108</v>
      </c>
      <c r="D1318" s="53" t="s">
        <v>1728</v>
      </c>
      <c r="E1318" s="53" t="s">
        <v>237</v>
      </c>
      <c r="F1318" s="53" t="s">
        <v>182</v>
      </c>
      <c r="G1318" s="53" t="s">
        <v>138</v>
      </c>
      <c r="H1318" s="53">
        <v>4</v>
      </c>
      <c r="I1318" s="53" t="s">
        <v>176</v>
      </c>
      <c r="J1318" s="53">
        <v>0</v>
      </c>
      <c r="K1318" s="53">
        <v>0</v>
      </c>
      <c r="L1318" s="53">
        <v>10.199999999999999</v>
      </c>
      <c r="M1318" s="53" t="s">
        <v>305</v>
      </c>
      <c r="N1318" s="53">
        <v>10</v>
      </c>
      <c r="O1318" s="51" t="str">
        <f>TEXT(tblWorkPackages[[#This Row],[Request date serial]]-WEEKDAY(tblWorkPackages[[#This Row],[Request date serial]],3),"yyyy-mm-dd")</f>
        <v>2024-05-20</v>
      </c>
      <c r="P1318" s="51">
        <f>ABS(tblWorkPackages[[#This Row],[Actual labor hours]]-tblWorkPackages[[#This Row],[Estimated labor hours]])</f>
        <v>0.199999999999999</v>
      </c>
      <c r="Q1318" s="51">
        <f>IF(tblWorkPackages[[#This Row],[Actual labor hours]]&gt;tblWorkPackages[[#This Row],[Estimated labor hours]],1,0)</f>
        <v>0</v>
      </c>
      <c r="R1318" s="51">
        <f>tblWorkPackages[[#This Row],[Actual labor hours]]-tblWorkPackages[[#This Row],[Estimated labor hours]]</f>
        <v>-0.199999999999999</v>
      </c>
      <c r="S1318" s="51" t="str">
        <f>IF(tblWorkPackages[[#This Row],[Request date serial]]&lt;ValidationStart,"Train 2024",IF(tblWorkPackages[[#This Row],[Request date serial]]&lt;HoldoutStart,"Validation H1","Holdout H2"))</f>
        <v>Train 2024</v>
      </c>
      <c r="T1318" s="51" t="str">
        <f>IF(tblWorkPackages[[#This Row],[Time split]]="Train 2024","",tblWorkPackages[[#This Row],[Estimated labor hours]]+VLOOKUP(tblWorkPackages[[#This Row],[Task type]],'Forecast validation'!$A$14:$E$25,IF(tblWorkPackages[[#This Row],[Time split]]="Validation H1",4,5),FALSE()))</f>
        <v/>
      </c>
      <c r="U1318" s="51" t="str">
        <f>IF(tblWorkPackages[[#This Row],[Calibrated forecast hours]]="","",ABS(tblWorkPackages[[#This Row],[Actual labor hours]]-tblWorkPackages[[#This Row],[Calibrated forecast hours]]))</f>
        <v/>
      </c>
      <c r="V1318" s="51">
        <f>IF(tblWorkPackages[[#This Row],[Time split]]="Train 2024",tblWorkPackages[[#This Row],[Estimated labor hours]],tblWorkPackages[[#This Row],[Calibrated forecast hours]])</f>
        <v>10.2</v>
      </c>
      <c r="W1318" s="64">
        <f>DATEVALUE(tblWorkPackages[[#This Row],[Request date]])</f>
        <v>45437.0</v>
      </c>
      <c r="X1318" s="64">
        <f>DATEVALUE(tblWorkPackages[[#This Row],[Due date]])</f>
        <v>45443.0</v>
      </c>
      <c r="Y1318" s="64">
        <f>DATEVALUE(tblWorkPackages[[#This Row],[Completion date]])</f>
        <v>45475.0</v>
      </c>
      <c r="Z1318" s="64">
        <f>_xlfn.MINIFS(tblLaborEntries[Work date serial],tblLaborEntries[Work package ID],tblWorkPackages[[#This Row],[Work package ID]])</f>
        <v>45474.0</v>
      </c>
      <c r="AA1318" s="64">
        <f>_xlfn.MAXIFS(tblLaborEntries[Work date serial],tblLaborEntries[Work package ID],tblWorkPackages[[#This Row],[Work package ID]])</f>
        <v>45475.0</v>
      </c>
      <c r="AB1318" s="65">
        <f>IF(tblWorkPackages[[#This Row],[Completion date serial]]&gt;tblWorkPackages[[#This Row],[Due date serial]],1,0)</f>
        <v>1</v>
      </c>
      <c r="AC1318" s="65">
        <f>MAX(0,tblWorkPackages[[#This Row],[Completion date serial]]-tblWorkPackages[[#This Row],[Due date serial]])</f>
        <v>32</v>
      </c>
      <c r="AD1318" s="65">
        <f>tblWorkPackages[[#This Row],[First labor date]]-tblWorkPackages[[#This Row],[Request date serial]]</f>
        <v>37</v>
      </c>
      <c r="AE1318" s="65">
        <f>tblWorkPackages[[#This Row],[Last labor date]]-tblWorkPackages[[#This Row],[First labor date]]</f>
        <v>1</v>
      </c>
      <c r="AF1318" s="65">
        <f>tblWorkPackages[[#This Row],[Completion date serial]]-tblWorkPackages[[#This Row],[Last labor date]]</f>
        <v>0</v>
      </c>
      <c r="AG1318" s="65">
        <f>tblWorkPackages[[#This Row],[Completion date serial]]-tblWorkPackages[[#This Row],[Request date serial]]</f>
        <v>38</v>
      </c>
      <c r="AH1318" s="65">
        <f>IFERROR(INDEX(tblParts[Delay days],MATCH(tblWorkPackages[[#This Row],[Work package ID]],tblParts[Work package ID],0)),0)</f>
        <v>0</v>
      </c>
      <c r="AI1318" s="51" t="str">
        <f>IFERROR(INDEX(tblDisruptions[Event type],MATCH(tblWorkPackages[[#This Row],[Work package ID]],tblDisruptions[Work package ID],0)),"None")</f>
        <v>None</v>
      </c>
      <c r="AJ1318" s="51" t="str">
        <f>TEXT(tblWorkPackages[[#This Row],[Due date serial]],"yyyy-mm")</f>
        <v>2024-05</v>
      </c>
    </row>
    <row r="1319" spans="1:36" ht="15" x14ac:dyDescent="0.25">
      <c r="A1319" s="53" t="s">
        <v>2226</v>
      </c>
      <c r="B1319" s="53" t="s">
        <v>124</v>
      </c>
      <c r="C1319" s="53" t="s">
        <v>540</v>
      </c>
      <c r="D1319" s="53" t="s">
        <v>1546</v>
      </c>
      <c r="E1319" s="53" t="s">
        <v>160</v>
      </c>
      <c r="F1319" s="53" t="s">
        <v>128</v>
      </c>
      <c r="G1319" s="53" t="s">
        <v>138</v>
      </c>
      <c r="H1319" s="53">
        <v>4</v>
      </c>
      <c r="I1319" s="53" t="s">
        <v>130</v>
      </c>
      <c r="J1319" s="53">
        <v>0</v>
      </c>
      <c r="K1319" s="53">
        <v>0</v>
      </c>
      <c r="L1319" s="53">
        <v>7.7</v>
      </c>
      <c r="M1319" s="53" t="s">
        <v>387</v>
      </c>
      <c r="N1319" s="53">
        <v>6.7</v>
      </c>
      <c r="O1319" s="51" t="str">
        <f>TEXT(tblWorkPackages[[#This Row],[Request date serial]]-WEEKDAY(tblWorkPackages[[#This Row],[Request date serial]],3),"yyyy-mm-dd")</f>
        <v>2024-09-02</v>
      </c>
      <c r="P1319" s="51">
        <f>ABS(tblWorkPackages[[#This Row],[Actual labor hours]]-tblWorkPackages[[#This Row],[Estimated labor hours]])</f>
        <v>1</v>
      </c>
      <c r="Q1319" s="51">
        <f>IF(tblWorkPackages[[#This Row],[Actual labor hours]]&gt;tblWorkPackages[[#This Row],[Estimated labor hours]],1,0)</f>
        <v>0</v>
      </c>
      <c r="R1319" s="51">
        <f>tblWorkPackages[[#This Row],[Actual labor hours]]-tblWorkPackages[[#This Row],[Estimated labor hours]]</f>
        <v>-1</v>
      </c>
      <c r="S1319" s="51" t="str">
        <f>IF(tblWorkPackages[[#This Row],[Request date serial]]&lt;ValidationStart,"Train 2024",IF(tblWorkPackages[[#This Row],[Request date serial]]&lt;HoldoutStart,"Validation H1","Holdout H2"))</f>
        <v>Train 2024</v>
      </c>
      <c r="T1319" s="51" t="str">
        <f>IF(tblWorkPackages[[#This Row],[Time split]]="Train 2024","",tblWorkPackages[[#This Row],[Estimated labor hours]]+VLOOKUP(tblWorkPackages[[#This Row],[Task type]],'Forecast validation'!$A$14:$E$25,IF(tblWorkPackages[[#This Row],[Time split]]="Validation H1",4,5),FALSE()))</f>
        <v/>
      </c>
      <c r="U1319" s="51" t="str">
        <f>IF(tblWorkPackages[[#This Row],[Calibrated forecast hours]]="","",ABS(tblWorkPackages[[#This Row],[Actual labor hours]]-tblWorkPackages[[#This Row],[Calibrated forecast hours]]))</f>
        <v/>
      </c>
      <c r="V1319" s="51">
        <f>IF(tblWorkPackages[[#This Row],[Time split]]="Train 2024",tblWorkPackages[[#This Row],[Estimated labor hours]],tblWorkPackages[[#This Row],[Calibrated forecast hours]])</f>
        <v>7.7</v>
      </c>
      <c r="W1319" s="64">
        <f>DATEVALUE(tblWorkPackages[[#This Row],[Request date]])</f>
        <v>45538.0</v>
      </c>
      <c r="X1319" s="64">
        <f>DATEVALUE(tblWorkPackages[[#This Row],[Due date]])</f>
        <v>45551.0</v>
      </c>
      <c r="Y1319" s="64">
        <f>DATEVALUE(tblWorkPackages[[#This Row],[Completion date]])</f>
        <v>45546.0</v>
      </c>
      <c r="Z1319" s="64">
        <f>_xlfn.MINIFS(tblLaborEntries[Work date serial],tblLaborEntries[Work package ID],tblWorkPackages[[#This Row],[Work package ID]])</f>
        <v>45545.0</v>
      </c>
      <c r="AA1319" s="64">
        <f>_xlfn.MAXIFS(tblLaborEntries[Work date serial],tblLaborEntries[Work package ID],tblWorkPackages[[#This Row],[Work package ID]])</f>
        <v>45545.0</v>
      </c>
      <c r="AB1319" s="65">
        <f>IF(tblWorkPackages[[#This Row],[Completion date serial]]&gt;tblWorkPackages[[#This Row],[Due date serial]],1,0)</f>
        <v>0</v>
      </c>
      <c r="AC1319" s="65">
        <f>MAX(0,tblWorkPackages[[#This Row],[Completion date serial]]-tblWorkPackages[[#This Row],[Due date serial]])</f>
        <v>0</v>
      </c>
      <c r="AD1319" s="65">
        <f>tblWorkPackages[[#This Row],[First labor date]]-tblWorkPackages[[#This Row],[Request date serial]]</f>
        <v>7</v>
      </c>
      <c r="AE1319" s="65">
        <f>tblWorkPackages[[#This Row],[Last labor date]]-tblWorkPackages[[#This Row],[First labor date]]</f>
        <v>0</v>
      </c>
      <c r="AF1319" s="65">
        <f>tblWorkPackages[[#This Row],[Completion date serial]]-tblWorkPackages[[#This Row],[Last labor date]]</f>
        <v>1</v>
      </c>
      <c r="AG1319" s="65">
        <f>tblWorkPackages[[#This Row],[Completion date serial]]-tblWorkPackages[[#This Row],[Request date serial]]</f>
        <v>8</v>
      </c>
      <c r="AH1319" s="65">
        <f>IFERROR(INDEX(tblParts[Delay days],MATCH(tblWorkPackages[[#This Row],[Work package ID]],tblParts[Work package ID],0)),0)</f>
        <v>0</v>
      </c>
      <c r="AI1319" s="51" t="str">
        <f>IFERROR(INDEX(tblDisruptions[Event type],MATCH(tblWorkPackages[[#This Row],[Work package ID]],tblDisruptions[Work package ID],0)),"None")</f>
        <v>None</v>
      </c>
      <c r="AJ1319" s="51" t="str">
        <f>TEXT(tblWorkPackages[[#This Row],[Due date serial]],"yyyy-mm")</f>
        <v>2024-09</v>
      </c>
    </row>
    <row r="1320" spans="1:36" ht="15" x14ac:dyDescent="0.25">
      <c r="A1320" s="53" t="s">
        <v>2227</v>
      </c>
      <c r="B1320" s="53" t="s">
        <v>124</v>
      </c>
      <c r="C1320" s="53" t="s">
        <v>1392</v>
      </c>
      <c r="D1320" s="53" t="s">
        <v>945</v>
      </c>
      <c r="E1320" s="53" t="s">
        <v>223</v>
      </c>
      <c r="F1320" s="53" t="s">
        <v>182</v>
      </c>
      <c r="G1320" s="53" t="s">
        <v>154</v>
      </c>
      <c r="H1320" s="53">
        <v>2</v>
      </c>
      <c r="I1320" s="53" t="s">
        <v>130</v>
      </c>
      <c r="J1320" s="53">
        <v>0</v>
      </c>
      <c r="K1320" s="53">
        <v>0</v>
      </c>
      <c r="L1320" s="53">
        <v>11.9</v>
      </c>
      <c r="M1320" s="53" t="s">
        <v>1644</v>
      </c>
      <c r="N1320" s="53">
        <v>10.8</v>
      </c>
      <c r="O1320" s="51" t="str">
        <f>TEXT(tblWorkPackages[[#This Row],[Request date serial]]-WEEKDAY(tblWorkPackages[[#This Row],[Request date serial]],3),"yyyy-mm-dd")</f>
        <v>2024-07-29</v>
      </c>
      <c r="P1320" s="51">
        <f>ABS(tblWorkPackages[[#This Row],[Actual labor hours]]-tblWorkPackages[[#This Row],[Estimated labor hours]])</f>
        <v>1.1</v>
      </c>
      <c r="Q1320" s="51">
        <f>IF(tblWorkPackages[[#This Row],[Actual labor hours]]&gt;tblWorkPackages[[#This Row],[Estimated labor hours]],1,0)</f>
        <v>0</v>
      </c>
      <c r="R1320" s="51">
        <f>tblWorkPackages[[#This Row],[Actual labor hours]]-tblWorkPackages[[#This Row],[Estimated labor hours]]</f>
        <v>-1.1</v>
      </c>
      <c r="S1320" s="51" t="str">
        <f>IF(tblWorkPackages[[#This Row],[Request date serial]]&lt;ValidationStart,"Train 2024",IF(tblWorkPackages[[#This Row],[Request date serial]]&lt;HoldoutStart,"Validation H1","Holdout H2"))</f>
        <v>Train 2024</v>
      </c>
      <c r="T1320" s="51" t="str">
        <f>IF(tblWorkPackages[[#This Row],[Time split]]="Train 2024","",tblWorkPackages[[#This Row],[Estimated labor hours]]+VLOOKUP(tblWorkPackages[[#This Row],[Task type]],'Forecast validation'!$A$14:$E$25,IF(tblWorkPackages[[#This Row],[Time split]]="Validation H1",4,5),FALSE()))</f>
        <v/>
      </c>
      <c r="U1320" s="51" t="str">
        <f>IF(tblWorkPackages[[#This Row],[Calibrated forecast hours]]="","",ABS(tblWorkPackages[[#This Row],[Actual labor hours]]-tblWorkPackages[[#This Row],[Calibrated forecast hours]]))</f>
        <v/>
      </c>
      <c r="V1320" s="51">
        <f>IF(tblWorkPackages[[#This Row],[Time split]]="Train 2024",tblWorkPackages[[#This Row],[Estimated labor hours]],tblWorkPackages[[#This Row],[Calibrated forecast hours]])</f>
        <v>11.9</v>
      </c>
      <c r="W1320" s="64">
        <f>DATEVALUE(tblWorkPackages[[#This Row],[Request date]])</f>
        <v>45508.0</v>
      </c>
      <c r="X1320" s="64">
        <f>DATEVALUE(tblWorkPackages[[#This Row],[Due date]])</f>
        <v>45521.0</v>
      </c>
      <c r="Y1320" s="64">
        <f>DATEVALUE(tblWorkPackages[[#This Row],[Completion date]])</f>
        <v>45514.0</v>
      </c>
      <c r="Z1320" s="64">
        <f>_xlfn.MINIFS(tblLaborEntries[Work date serial],tblLaborEntries[Work package ID],tblWorkPackages[[#This Row],[Work package ID]])</f>
        <v>45510.0</v>
      </c>
      <c r="AA1320" s="64">
        <f>_xlfn.MAXIFS(tblLaborEntries[Work date serial],tblLaborEntries[Work package ID],tblWorkPackages[[#This Row],[Work package ID]])</f>
        <v>45512.0</v>
      </c>
      <c r="AB1320" s="65">
        <f>IF(tblWorkPackages[[#This Row],[Completion date serial]]&gt;tblWorkPackages[[#This Row],[Due date serial]],1,0)</f>
        <v>0</v>
      </c>
      <c r="AC1320" s="65">
        <f>MAX(0,tblWorkPackages[[#This Row],[Completion date serial]]-tblWorkPackages[[#This Row],[Due date serial]])</f>
        <v>0</v>
      </c>
      <c r="AD1320" s="65">
        <f>tblWorkPackages[[#This Row],[First labor date]]-tblWorkPackages[[#This Row],[Request date serial]]</f>
        <v>2</v>
      </c>
      <c r="AE1320" s="65">
        <f>tblWorkPackages[[#This Row],[Last labor date]]-tblWorkPackages[[#This Row],[First labor date]]</f>
        <v>2</v>
      </c>
      <c r="AF1320" s="65">
        <f>tblWorkPackages[[#This Row],[Completion date serial]]-tblWorkPackages[[#This Row],[Last labor date]]</f>
        <v>2</v>
      </c>
      <c r="AG1320" s="65">
        <f>tblWorkPackages[[#This Row],[Completion date serial]]-tblWorkPackages[[#This Row],[Request date serial]]</f>
        <v>6</v>
      </c>
      <c r="AH1320" s="65">
        <f>IFERROR(INDEX(tblParts[Delay days],MATCH(tblWorkPackages[[#This Row],[Work package ID]],tblParts[Work package ID],0)),0)</f>
        <v>0</v>
      </c>
      <c r="AI1320" s="51" t="str">
        <f>IFERROR(INDEX(tblDisruptions[Event type],MATCH(tblWorkPackages[[#This Row],[Work package ID]],tblDisruptions[Work package ID],0)),"None")</f>
        <v>None</v>
      </c>
      <c r="AJ1320" s="51" t="str">
        <f>TEXT(tblWorkPackages[[#This Row],[Due date serial]],"yyyy-mm")</f>
        <v>2024-08</v>
      </c>
    </row>
    <row r="1321" spans="1:36" ht="15" x14ac:dyDescent="0.25">
      <c r="A1321" s="53" t="s">
        <v>2228</v>
      </c>
      <c r="B1321" s="53" t="s">
        <v>235</v>
      </c>
      <c r="C1321" s="53" t="s">
        <v>485</v>
      </c>
      <c r="D1321" s="53" t="s">
        <v>1344</v>
      </c>
      <c r="E1321" s="53" t="s">
        <v>200</v>
      </c>
      <c r="F1321" s="53" t="s">
        <v>128</v>
      </c>
      <c r="G1321" s="53" t="s">
        <v>129</v>
      </c>
      <c r="H1321" s="53">
        <v>1</v>
      </c>
      <c r="I1321" s="53" t="s">
        <v>130</v>
      </c>
      <c r="J1321" s="53">
        <v>0</v>
      </c>
      <c r="K1321" s="53">
        <v>0</v>
      </c>
      <c r="L1321" s="53">
        <v>2</v>
      </c>
      <c r="M1321" s="53" t="s">
        <v>962</v>
      </c>
      <c r="N1321" s="53">
        <v>2.1</v>
      </c>
      <c r="O1321" s="51" t="str">
        <f>TEXT(tblWorkPackages[[#This Row],[Request date serial]]-WEEKDAY(tblWorkPackages[[#This Row],[Request date serial]],3),"yyyy-mm-dd")</f>
        <v>2025-01-13</v>
      </c>
      <c r="P1321" s="51">
        <f>ABS(tblWorkPackages[[#This Row],[Actual labor hours]]-tblWorkPackages[[#This Row],[Estimated labor hours]])</f>
        <v>0.1</v>
      </c>
      <c r="Q1321" s="51">
        <f>IF(tblWorkPackages[[#This Row],[Actual labor hours]]&gt;tblWorkPackages[[#This Row],[Estimated labor hours]],1,0)</f>
        <v>1</v>
      </c>
      <c r="R1321" s="51">
        <f>tblWorkPackages[[#This Row],[Actual labor hours]]-tblWorkPackages[[#This Row],[Estimated labor hours]]</f>
        <v>0.1</v>
      </c>
      <c r="S1321" s="51" t="str">
        <f>IF(tblWorkPackages[[#This Row],[Request date serial]]&lt;ValidationStart,"Train 2024",IF(tblWorkPackages[[#This Row],[Request date serial]]&lt;HoldoutStart,"Validation H1","Holdout H2"))</f>
        <v>Validation H1</v>
      </c>
      <c r="T1321" s="51">
        <f>IF(tblWorkPackages[[#This Row],[Time split]]="Train 2024","",tblWorkPackages[[#This Row],[Estimated labor hours]]+VLOOKUP(tblWorkPackages[[#This Row],[Task type]],'Forecast validation'!$A$14:$E$25,IF(tblWorkPackages[[#This Row],[Time split]]="Validation H1",4,5),FALSE()))</f>
        <v>2.33069306930693</v>
      </c>
      <c r="U1321" s="51">
        <f>IF(tblWorkPackages[[#This Row],[Calibrated forecast hours]]="","",ABS(tblWorkPackages[[#This Row],[Actual labor hours]]-tblWorkPackages[[#This Row],[Calibrated forecast hours]]))</f>
        <v>0.23069306930693</v>
      </c>
      <c r="V1321" s="51">
        <f>IF(tblWorkPackages[[#This Row],[Time split]]="Train 2024",tblWorkPackages[[#This Row],[Estimated labor hours]],tblWorkPackages[[#This Row],[Calibrated forecast hours]])</f>
        <v>2.33069306930693</v>
      </c>
      <c r="W1321" s="64">
        <f>DATEVALUE(tblWorkPackages[[#This Row],[Request date]])</f>
        <v>45675.0</v>
      </c>
      <c r="X1321" s="64">
        <f>DATEVALUE(tblWorkPackages[[#This Row],[Due date]])</f>
        <v>45688.0</v>
      </c>
      <c r="Y1321" s="64">
        <f>DATEVALUE(tblWorkPackages[[#This Row],[Completion date]])</f>
        <v>45694.0</v>
      </c>
      <c r="Z1321" s="64">
        <f>_xlfn.MINIFS(tblLaborEntries[Work date serial],tblLaborEntries[Work package ID],tblWorkPackages[[#This Row],[Work package ID]])</f>
        <v>45691.0</v>
      </c>
      <c r="AA1321" s="64">
        <f>_xlfn.MAXIFS(tblLaborEntries[Work date serial],tblLaborEntries[Work package ID],tblWorkPackages[[#This Row],[Work package ID]])</f>
        <v>45691.0</v>
      </c>
      <c r="AB1321" s="65">
        <f>IF(tblWorkPackages[[#This Row],[Completion date serial]]&gt;tblWorkPackages[[#This Row],[Due date serial]],1,0)</f>
        <v>1</v>
      </c>
      <c r="AC1321" s="65">
        <f>MAX(0,tblWorkPackages[[#This Row],[Completion date serial]]-tblWorkPackages[[#This Row],[Due date serial]])</f>
        <v>6</v>
      </c>
      <c r="AD1321" s="65">
        <f>tblWorkPackages[[#This Row],[First labor date]]-tblWorkPackages[[#This Row],[Request date serial]]</f>
        <v>16</v>
      </c>
      <c r="AE1321" s="65">
        <f>tblWorkPackages[[#This Row],[Last labor date]]-tblWorkPackages[[#This Row],[First labor date]]</f>
        <v>0</v>
      </c>
      <c r="AF1321" s="65">
        <f>tblWorkPackages[[#This Row],[Completion date serial]]-tblWorkPackages[[#This Row],[Last labor date]]</f>
        <v>3</v>
      </c>
      <c r="AG1321" s="65">
        <f>tblWorkPackages[[#This Row],[Completion date serial]]-tblWorkPackages[[#This Row],[Request date serial]]</f>
        <v>19</v>
      </c>
      <c r="AH1321" s="65">
        <f>IFERROR(INDEX(tblParts[Delay days],MATCH(tblWorkPackages[[#This Row],[Work package ID]],tblParts[Work package ID],0)),0)</f>
        <v>0</v>
      </c>
      <c r="AI1321" s="51" t="str">
        <f>IFERROR(INDEX(tblDisruptions[Event type],MATCH(tblWorkPackages[[#This Row],[Work package ID]],tblDisruptions[Work package ID],0)),"None")</f>
        <v>Technician absence</v>
      </c>
      <c r="AJ1321" s="51" t="str">
        <f>TEXT(tblWorkPackages[[#This Row],[Due date serial]],"yyyy-mm")</f>
        <v>2025-01</v>
      </c>
    </row>
    <row r="1322" spans="1:36" ht="15" x14ac:dyDescent="0.25">
      <c r="A1322" s="53" t="s">
        <v>2229</v>
      </c>
      <c r="B1322" s="53" t="s">
        <v>235</v>
      </c>
      <c r="C1322" s="53" t="s">
        <v>984</v>
      </c>
      <c r="D1322" s="53" t="s">
        <v>1333</v>
      </c>
      <c r="E1322" s="53" t="s">
        <v>144</v>
      </c>
      <c r="F1322" s="53" t="s">
        <v>145</v>
      </c>
      <c r="G1322" s="53" t="s">
        <v>146</v>
      </c>
      <c r="H1322" s="53">
        <v>3</v>
      </c>
      <c r="I1322" s="53" t="s">
        <v>130</v>
      </c>
      <c r="J1322" s="53">
        <v>1</v>
      </c>
      <c r="K1322" s="53">
        <v>1</v>
      </c>
      <c r="L1322" s="53">
        <v>14.1</v>
      </c>
      <c r="M1322" s="53" t="s">
        <v>1504</v>
      </c>
      <c r="N1322" s="53">
        <v>21.9</v>
      </c>
      <c r="O1322" s="51" t="str">
        <f>TEXT(tblWorkPackages[[#This Row],[Request date serial]]-WEEKDAY(tblWorkPackages[[#This Row],[Request date serial]],3),"yyyy-mm-dd")</f>
        <v>2025-07-14</v>
      </c>
      <c r="P1322" s="51">
        <f>ABS(tblWorkPackages[[#This Row],[Actual labor hours]]-tblWorkPackages[[#This Row],[Estimated labor hours]])</f>
        <v>7.8</v>
      </c>
      <c r="Q1322" s="51">
        <f>IF(tblWorkPackages[[#This Row],[Actual labor hours]]&gt;tblWorkPackages[[#This Row],[Estimated labor hours]],1,0)</f>
        <v>1</v>
      </c>
      <c r="R1322" s="51">
        <f>tblWorkPackages[[#This Row],[Actual labor hours]]-tblWorkPackages[[#This Row],[Estimated labor hours]]</f>
        <v>7.8</v>
      </c>
      <c r="S1322" s="51" t="str">
        <f>IF(tblWorkPackages[[#This Row],[Request date serial]]&lt;ValidationStart,"Train 2024",IF(tblWorkPackages[[#This Row],[Request date serial]]&lt;HoldoutStart,"Validation H1","Holdout H2"))</f>
        <v>Holdout H2</v>
      </c>
      <c r="T1322" s="51">
        <f>IF(tblWorkPackages[[#This Row],[Time split]]="Train 2024","",tblWorkPackages[[#This Row],[Estimated labor hours]]+VLOOKUP(tblWorkPackages[[#This Row],[Task type]],'Forecast validation'!$A$14:$E$25,IF(tblWorkPackages[[#This Row],[Time split]]="Validation H1",4,5),FALSE()))</f>
        <v>15.0735483870968</v>
      </c>
      <c r="U1322" s="51">
        <f>IF(tblWorkPackages[[#This Row],[Calibrated forecast hours]]="","",ABS(tblWorkPackages[[#This Row],[Actual labor hours]]-tblWorkPackages[[#This Row],[Calibrated forecast hours]]))</f>
        <v>6.82645161290322</v>
      </c>
      <c r="V1322" s="51">
        <f>IF(tblWorkPackages[[#This Row],[Time split]]="Train 2024",tblWorkPackages[[#This Row],[Estimated labor hours]],tblWorkPackages[[#This Row],[Calibrated forecast hours]])</f>
        <v>15.0735483870968</v>
      </c>
      <c r="W1322" s="64">
        <f>DATEVALUE(tblWorkPackages[[#This Row],[Request date]])</f>
        <v>45855.0</v>
      </c>
      <c r="X1322" s="64">
        <f>DATEVALUE(tblWorkPackages[[#This Row],[Due date]])</f>
        <v>45868.0</v>
      </c>
      <c r="Y1322" s="64">
        <f>DATEVALUE(tblWorkPackages[[#This Row],[Completion date]])</f>
        <v>45861.0</v>
      </c>
      <c r="Z1322" s="64">
        <f>_xlfn.MINIFS(tblLaborEntries[Work date serial],tblLaborEntries[Work package ID],tblWorkPackages[[#This Row],[Work package ID]])</f>
        <v>45859.0</v>
      </c>
      <c r="AA1322" s="64">
        <f>_xlfn.MAXIFS(tblLaborEntries[Work date serial],tblLaborEntries[Work package ID],tblWorkPackages[[#This Row],[Work package ID]])</f>
        <v>45861.0</v>
      </c>
      <c r="AB1322" s="65">
        <f>IF(tblWorkPackages[[#This Row],[Completion date serial]]&gt;tblWorkPackages[[#This Row],[Due date serial]],1,0)</f>
        <v>0</v>
      </c>
      <c r="AC1322" s="65">
        <f>MAX(0,tblWorkPackages[[#This Row],[Completion date serial]]-tblWorkPackages[[#This Row],[Due date serial]])</f>
        <v>0</v>
      </c>
      <c r="AD1322" s="65">
        <f>tblWorkPackages[[#This Row],[First labor date]]-tblWorkPackages[[#This Row],[Request date serial]]</f>
        <v>4</v>
      </c>
      <c r="AE1322" s="65">
        <f>tblWorkPackages[[#This Row],[Last labor date]]-tblWorkPackages[[#This Row],[First labor date]]</f>
        <v>2</v>
      </c>
      <c r="AF1322" s="65">
        <f>tblWorkPackages[[#This Row],[Completion date serial]]-tblWorkPackages[[#This Row],[Last labor date]]</f>
        <v>0</v>
      </c>
      <c r="AG1322" s="65">
        <f>tblWorkPackages[[#This Row],[Completion date serial]]-tblWorkPackages[[#This Row],[Request date serial]]</f>
        <v>6</v>
      </c>
      <c r="AH1322" s="65">
        <f>IFERROR(INDEX(tblParts[Delay days],MATCH(tblWorkPackages[[#This Row],[Work package ID]],tblParts[Work package ID],0)),0)</f>
        <v>0</v>
      </c>
      <c r="AI1322" s="51" t="str">
        <f>IFERROR(INDEX(tblDisruptions[Event type],MATCH(tblWorkPackages[[#This Row],[Work package ID]],tblDisruptions[Work package ID],0)),"None")</f>
        <v>None</v>
      </c>
      <c r="AJ1322" s="51" t="str">
        <f>TEXT(tblWorkPackages[[#This Row],[Due date serial]],"yyyy-mm")</f>
        <v>2025-07</v>
      </c>
    </row>
    <row r="1323" spans="1:36" ht="15" x14ac:dyDescent="0.25">
      <c r="A1323" s="53" t="s">
        <v>2230</v>
      </c>
      <c r="B1323" s="53" t="s">
        <v>133</v>
      </c>
      <c r="C1323" s="53" t="s">
        <v>719</v>
      </c>
      <c r="D1323" s="53" t="s">
        <v>320</v>
      </c>
      <c r="E1323" s="53" t="s">
        <v>153</v>
      </c>
      <c r="F1323" s="53" t="s">
        <v>128</v>
      </c>
      <c r="G1323" s="53" t="s">
        <v>154</v>
      </c>
      <c r="H1323" s="53">
        <v>2</v>
      </c>
      <c r="I1323" s="53" t="s">
        <v>176</v>
      </c>
      <c r="J1323" s="53">
        <v>0</v>
      </c>
      <c r="K1323" s="53">
        <v>1</v>
      </c>
      <c r="L1323" s="53">
        <v>10.1</v>
      </c>
      <c r="M1323" s="53" t="s">
        <v>347</v>
      </c>
      <c r="N1323" s="53">
        <v>12.1</v>
      </c>
      <c r="O1323" s="51" t="str">
        <f>TEXT(tblWorkPackages[[#This Row],[Request date serial]]-WEEKDAY(tblWorkPackages[[#This Row],[Request date serial]],3),"yyyy-mm-dd")</f>
        <v>2024-02-26</v>
      </c>
      <c r="P1323" s="51">
        <f>ABS(tblWorkPackages[[#This Row],[Actual labor hours]]-tblWorkPackages[[#This Row],[Estimated labor hours]])</f>
        <v>2</v>
      </c>
      <c r="Q1323" s="51">
        <f>IF(tblWorkPackages[[#This Row],[Actual labor hours]]&gt;tblWorkPackages[[#This Row],[Estimated labor hours]],1,0)</f>
        <v>1</v>
      </c>
      <c r="R1323" s="51">
        <f>tblWorkPackages[[#This Row],[Actual labor hours]]-tblWorkPackages[[#This Row],[Estimated labor hours]]</f>
        <v>2</v>
      </c>
      <c r="S1323" s="51" t="str">
        <f>IF(tblWorkPackages[[#This Row],[Request date serial]]&lt;ValidationStart,"Train 2024",IF(tblWorkPackages[[#This Row],[Request date serial]]&lt;HoldoutStart,"Validation H1","Holdout H2"))</f>
        <v>Train 2024</v>
      </c>
      <c r="T1323" s="51" t="str">
        <f>IF(tblWorkPackages[[#This Row],[Time split]]="Train 2024","",tblWorkPackages[[#This Row],[Estimated labor hours]]+VLOOKUP(tblWorkPackages[[#This Row],[Task type]],'Forecast validation'!$A$14:$E$25,IF(tblWorkPackages[[#This Row],[Time split]]="Validation H1",4,5),FALSE()))</f>
        <v/>
      </c>
      <c r="U1323" s="51" t="str">
        <f>IF(tblWorkPackages[[#This Row],[Calibrated forecast hours]]="","",ABS(tblWorkPackages[[#This Row],[Actual labor hours]]-tblWorkPackages[[#This Row],[Calibrated forecast hours]]))</f>
        <v/>
      </c>
      <c r="V1323" s="51">
        <f>IF(tblWorkPackages[[#This Row],[Time split]]="Train 2024",tblWorkPackages[[#This Row],[Estimated labor hours]],tblWorkPackages[[#This Row],[Calibrated forecast hours]])</f>
        <v>10.1</v>
      </c>
      <c r="W1323" s="64">
        <f>DATEVALUE(tblWorkPackages[[#This Row],[Request date]])</f>
        <v>45354.0</v>
      </c>
      <c r="X1323" s="64">
        <f>DATEVALUE(tblWorkPackages[[#This Row],[Due date]])</f>
        <v>45360.0</v>
      </c>
      <c r="Y1323" s="64">
        <f>DATEVALUE(tblWorkPackages[[#This Row],[Completion date]])</f>
        <v>45358.0</v>
      </c>
      <c r="Z1323" s="64">
        <f>_xlfn.MINIFS(tblLaborEntries[Work date serial],tblLaborEntries[Work package ID],tblWorkPackages[[#This Row],[Work package ID]])</f>
        <v>45355.0</v>
      </c>
      <c r="AA1323" s="64">
        <f>_xlfn.MAXIFS(tblLaborEntries[Work date serial],tblLaborEntries[Work package ID],tblWorkPackages[[#This Row],[Work package ID]])</f>
        <v>45357.0</v>
      </c>
      <c r="AB1323" s="65">
        <f>IF(tblWorkPackages[[#This Row],[Completion date serial]]&gt;tblWorkPackages[[#This Row],[Due date serial]],1,0)</f>
        <v>0</v>
      </c>
      <c r="AC1323" s="65">
        <f>MAX(0,tblWorkPackages[[#This Row],[Completion date serial]]-tblWorkPackages[[#This Row],[Due date serial]])</f>
        <v>0</v>
      </c>
      <c r="AD1323" s="65">
        <f>tblWorkPackages[[#This Row],[First labor date]]-tblWorkPackages[[#This Row],[Request date serial]]</f>
        <v>1</v>
      </c>
      <c r="AE1323" s="65">
        <f>tblWorkPackages[[#This Row],[Last labor date]]-tblWorkPackages[[#This Row],[First labor date]]</f>
        <v>2</v>
      </c>
      <c r="AF1323" s="65">
        <f>tblWorkPackages[[#This Row],[Completion date serial]]-tblWorkPackages[[#This Row],[Last labor date]]</f>
        <v>1</v>
      </c>
      <c r="AG1323" s="65">
        <f>tblWorkPackages[[#This Row],[Completion date serial]]-tblWorkPackages[[#This Row],[Request date serial]]</f>
        <v>4</v>
      </c>
      <c r="AH1323" s="65">
        <f>IFERROR(INDEX(tblParts[Delay days],MATCH(tblWorkPackages[[#This Row],[Work package ID]],tblParts[Work package ID],0)),0)</f>
        <v>0</v>
      </c>
      <c r="AI1323" s="51" t="str">
        <f>IFERROR(INDEX(tblDisruptions[Event type],MATCH(tblWorkPackages[[#This Row],[Work package ID]],tblDisruptions[Work package ID],0)),"None")</f>
        <v>None</v>
      </c>
      <c r="AJ1323" s="51" t="str">
        <f>TEXT(tblWorkPackages[[#This Row],[Due date serial]],"yyyy-mm")</f>
        <v>2024-03</v>
      </c>
    </row>
    <row r="1324" spans="1:36" ht="15" x14ac:dyDescent="0.25">
      <c r="A1324" s="53" t="s">
        <v>2231</v>
      </c>
      <c r="B1324" s="53" t="s">
        <v>173</v>
      </c>
      <c r="C1324" s="53" t="s">
        <v>304</v>
      </c>
      <c r="D1324" s="53" t="s">
        <v>524</v>
      </c>
      <c r="E1324" s="53" t="s">
        <v>209</v>
      </c>
      <c r="F1324" s="53" t="s">
        <v>145</v>
      </c>
      <c r="G1324" s="53" t="s">
        <v>210</v>
      </c>
      <c r="H1324" s="53">
        <v>4</v>
      </c>
      <c r="I1324" s="53" t="s">
        <v>130</v>
      </c>
      <c r="J1324" s="53">
        <v>0</v>
      </c>
      <c r="K1324" s="53">
        <v>1</v>
      </c>
      <c r="L1324" s="53">
        <v>39.1</v>
      </c>
      <c r="M1324" s="53" t="s">
        <v>166</v>
      </c>
      <c r="N1324" s="53">
        <v>49.7</v>
      </c>
      <c r="O1324" s="51" t="str">
        <f>TEXT(tblWorkPackages[[#This Row],[Request date serial]]-WEEKDAY(tblWorkPackages[[#This Row],[Request date serial]],3),"yyyy-mm-dd")</f>
        <v>2024-06-24</v>
      </c>
      <c r="P1324" s="51">
        <f>ABS(tblWorkPackages[[#This Row],[Actual labor hours]]-tblWorkPackages[[#This Row],[Estimated labor hours]])</f>
        <v>10.6</v>
      </c>
      <c r="Q1324" s="51">
        <f>IF(tblWorkPackages[[#This Row],[Actual labor hours]]&gt;tblWorkPackages[[#This Row],[Estimated labor hours]],1,0)</f>
        <v>1</v>
      </c>
      <c r="R1324" s="51">
        <f>tblWorkPackages[[#This Row],[Actual labor hours]]-tblWorkPackages[[#This Row],[Estimated labor hours]]</f>
        <v>10.6</v>
      </c>
      <c r="S1324" s="51" t="str">
        <f>IF(tblWorkPackages[[#This Row],[Request date serial]]&lt;ValidationStart,"Train 2024",IF(tblWorkPackages[[#This Row],[Request date serial]]&lt;HoldoutStart,"Validation H1","Holdout H2"))</f>
        <v>Train 2024</v>
      </c>
      <c r="T1324" s="51" t="str">
        <f>IF(tblWorkPackages[[#This Row],[Time split]]="Train 2024","",tblWorkPackages[[#This Row],[Estimated labor hours]]+VLOOKUP(tblWorkPackages[[#This Row],[Task type]],'Forecast validation'!$A$14:$E$25,IF(tblWorkPackages[[#This Row],[Time split]]="Validation H1",4,5),FALSE()))</f>
        <v/>
      </c>
      <c r="U1324" s="51" t="str">
        <f>IF(tblWorkPackages[[#This Row],[Calibrated forecast hours]]="","",ABS(tblWorkPackages[[#This Row],[Actual labor hours]]-tblWorkPackages[[#This Row],[Calibrated forecast hours]]))</f>
        <v/>
      </c>
      <c r="V1324" s="51">
        <f>IF(tblWorkPackages[[#This Row],[Time split]]="Train 2024",tblWorkPackages[[#This Row],[Estimated labor hours]],tblWorkPackages[[#This Row],[Calibrated forecast hours]])</f>
        <v>39.1</v>
      </c>
      <c r="W1324" s="64">
        <f>DATEVALUE(tblWorkPackages[[#This Row],[Request date]])</f>
        <v>45470.0</v>
      </c>
      <c r="X1324" s="64">
        <f>DATEVALUE(tblWorkPackages[[#This Row],[Due date]])</f>
        <v>45483.0</v>
      </c>
      <c r="Y1324" s="64">
        <f>DATEVALUE(tblWorkPackages[[#This Row],[Completion date]])</f>
        <v>45485.0</v>
      </c>
      <c r="Z1324" s="64">
        <f>_xlfn.MINIFS(tblLaborEntries[Work date serial],tblLaborEntries[Work package ID],tblWorkPackages[[#This Row],[Work package ID]])</f>
        <v>45482.0</v>
      </c>
      <c r="AA1324" s="64">
        <f>_xlfn.MAXIFS(tblLaborEntries[Work date serial],tblLaborEntries[Work package ID],tblWorkPackages[[#This Row],[Work package ID]])</f>
        <v>45483.0</v>
      </c>
      <c r="AB1324" s="65">
        <f>IF(tblWorkPackages[[#This Row],[Completion date serial]]&gt;tblWorkPackages[[#This Row],[Due date serial]],1,0)</f>
        <v>1</v>
      </c>
      <c r="AC1324" s="65">
        <f>MAX(0,tblWorkPackages[[#This Row],[Completion date serial]]-tblWorkPackages[[#This Row],[Due date serial]])</f>
        <v>2</v>
      </c>
      <c r="AD1324" s="65">
        <f>tblWorkPackages[[#This Row],[First labor date]]-tblWorkPackages[[#This Row],[Request date serial]]</f>
        <v>12</v>
      </c>
      <c r="AE1324" s="65">
        <f>tblWorkPackages[[#This Row],[Last labor date]]-tblWorkPackages[[#This Row],[First labor date]]</f>
        <v>1</v>
      </c>
      <c r="AF1324" s="65">
        <f>tblWorkPackages[[#This Row],[Completion date serial]]-tblWorkPackages[[#This Row],[Last labor date]]</f>
        <v>2</v>
      </c>
      <c r="AG1324" s="65">
        <f>tblWorkPackages[[#This Row],[Completion date serial]]-tblWorkPackages[[#This Row],[Request date serial]]</f>
        <v>15</v>
      </c>
      <c r="AH1324" s="65">
        <f>IFERROR(INDEX(tblParts[Delay days],MATCH(tblWorkPackages[[#This Row],[Work package ID]],tblParts[Work package ID],0)),0)</f>
        <v>2</v>
      </c>
      <c r="AI1324" s="51" t="str">
        <f>IFERROR(INDEX(tblDisruptions[Event type],MATCH(tblWorkPackages[[#This Row],[Work package ID]],tblDisruptions[Work package ID],0)),"None")</f>
        <v>Part delay</v>
      </c>
      <c r="AJ1324" s="51" t="str">
        <f>TEXT(tblWorkPackages[[#This Row],[Due date serial]],"yyyy-mm")</f>
        <v>2024-07</v>
      </c>
    </row>
    <row r="1325" spans="1:36" ht="15" x14ac:dyDescent="0.25">
      <c r="A1325" s="53" t="s">
        <v>2232</v>
      </c>
      <c r="B1325" s="53" t="s">
        <v>235</v>
      </c>
      <c r="C1325" s="53" t="s">
        <v>329</v>
      </c>
      <c r="D1325" s="53" t="s">
        <v>613</v>
      </c>
      <c r="E1325" s="53" t="s">
        <v>200</v>
      </c>
      <c r="F1325" s="53" t="s">
        <v>128</v>
      </c>
      <c r="G1325" s="53" t="s">
        <v>129</v>
      </c>
      <c r="H1325" s="53">
        <v>4</v>
      </c>
      <c r="I1325" s="53" t="s">
        <v>130</v>
      </c>
      <c r="J1325" s="53">
        <v>0</v>
      </c>
      <c r="K1325" s="53">
        <v>1</v>
      </c>
      <c r="L1325" s="53">
        <v>6.1</v>
      </c>
      <c r="M1325" s="53" t="s">
        <v>667</v>
      </c>
      <c r="N1325" s="53">
        <v>6.6</v>
      </c>
      <c r="O1325" s="51" t="str">
        <f>TEXT(tblWorkPackages[[#This Row],[Request date serial]]-WEEKDAY(tblWorkPackages[[#This Row],[Request date serial]],3),"yyyy-mm-dd")</f>
        <v>2024-03-11</v>
      </c>
      <c r="P1325" s="51">
        <f>ABS(tblWorkPackages[[#This Row],[Actual labor hours]]-tblWorkPackages[[#This Row],[Estimated labor hours]])</f>
        <v>0.5</v>
      </c>
      <c r="Q1325" s="51">
        <f>IF(tblWorkPackages[[#This Row],[Actual labor hours]]&gt;tblWorkPackages[[#This Row],[Estimated labor hours]],1,0)</f>
        <v>1</v>
      </c>
      <c r="R1325" s="51">
        <f>tblWorkPackages[[#This Row],[Actual labor hours]]-tblWorkPackages[[#This Row],[Estimated labor hours]]</f>
        <v>0.5</v>
      </c>
      <c r="S1325" s="51" t="str">
        <f>IF(tblWorkPackages[[#This Row],[Request date serial]]&lt;ValidationStart,"Train 2024",IF(tblWorkPackages[[#This Row],[Request date serial]]&lt;HoldoutStart,"Validation H1","Holdout H2"))</f>
        <v>Train 2024</v>
      </c>
      <c r="T1325" s="51" t="str">
        <f>IF(tblWorkPackages[[#This Row],[Time split]]="Train 2024","",tblWorkPackages[[#This Row],[Estimated labor hours]]+VLOOKUP(tblWorkPackages[[#This Row],[Task type]],'Forecast validation'!$A$14:$E$25,IF(tblWorkPackages[[#This Row],[Time split]]="Validation H1",4,5),FALSE()))</f>
        <v/>
      </c>
      <c r="U1325" s="51" t="str">
        <f>IF(tblWorkPackages[[#This Row],[Calibrated forecast hours]]="","",ABS(tblWorkPackages[[#This Row],[Actual labor hours]]-tblWorkPackages[[#This Row],[Calibrated forecast hours]]))</f>
        <v/>
      </c>
      <c r="V1325" s="51">
        <f>IF(tblWorkPackages[[#This Row],[Time split]]="Train 2024",tblWorkPackages[[#This Row],[Estimated labor hours]],tblWorkPackages[[#This Row],[Calibrated forecast hours]])</f>
        <v>6.1</v>
      </c>
      <c r="W1325" s="64">
        <f>DATEVALUE(tblWorkPackages[[#This Row],[Request date]])</f>
        <v>45367.0</v>
      </c>
      <c r="X1325" s="64">
        <f>DATEVALUE(tblWorkPackages[[#This Row],[Due date]])</f>
        <v>45380.0</v>
      </c>
      <c r="Y1325" s="64">
        <f>DATEVALUE(tblWorkPackages[[#This Row],[Completion date]])</f>
        <v>45373.0</v>
      </c>
      <c r="Z1325" s="64">
        <f>_xlfn.MINIFS(tblLaborEntries[Work date serial],tblLaborEntries[Work package ID],tblWorkPackages[[#This Row],[Work package ID]])</f>
        <v>45370.0</v>
      </c>
      <c r="AA1325" s="64">
        <f>_xlfn.MAXIFS(tblLaborEntries[Work date serial],tblLaborEntries[Work package ID],tblWorkPackages[[#This Row],[Work package ID]])</f>
        <v>45370.0</v>
      </c>
      <c r="AB1325" s="65">
        <f>IF(tblWorkPackages[[#This Row],[Completion date serial]]&gt;tblWorkPackages[[#This Row],[Due date serial]],1,0)</f>
        <v>0</v>
      </c>
      <c r="AC1325" s="65">
        <f>MAX(0,tblWorkPackages[[#This Row],[Completion date serial]]-tblWorkPackages[[#This Row],[Due date serial]])</f>
        <v>0</v>
      </c>
      <c r="AD1325" s="65">
        <f>tblWorkPackages[[#This Row],[First labor date]]-tblWorkPackages[[#This Row],[Request date serial]]</f>
        <v>3</v>
      </c>
      <c r="AE1325" s="65">
        <f>tblWorkPackages[[#This Row],[Last labor date]]-tblWorkPackages[[#This Row],[First labor date]]</f>
        <v>0</v>
      </c>
      <c r="AF1325" s="65">
        <f>tblWorkPackages[[#This Row],[Completion date serial]]-tblWorkPackages[[#This Row],[Last labor date]]</f>
        <v>3</v>
      </c>
      <c r="AG1325" s="65">
        <f>tblWorkPackages[[#This Row],[Completion date serial]]-tblWorkPackages[[#This Row],[Request date serial]]</f>
        <v>6</v>
      </c>
      <c r="AH1325" s="65">
        <f>IFERROR(INDEX(tblParts[Delay days],MATCH(tblWorkPackages[[#This Row],[Work package ID]],tblParts[Work package ID],0)),0)</f>
        <v>0</v>
      </c>
      <c r="AI1325" s="51" t="str">
        <f>IFERROR(INDEX(tblDisruptions[Event type],MATCH(tblWorkPackages[[#This Row],[Work package ID]],tblDisruptions[Work package ID],0)),"None")</f>
        <v>None</v>
      </c>
      <c r="AJ1325" s="51" t="str">
        <f>TEXT(tblWorkPackages[[#This Row],[Due date serial]],"yyyy-mm")</f>
        <v>2024-03</v>
      </c>
    </row>
    <row r="1326" spans="1:36" ht="15" x14ac:dyDescent="0.25">
      <c r="A1326" s="53" t="s">
        <v>2233</v>
      </c>
      <c r="B1326" s="53" t="s">
        <v>163</v>
      </c>
      <c r="C1326" s="53" t="s">
        <v>1429</v>
      </c>
      <c r="D1326" s="53" t="s">
        <v>1526</v>
      </c>
      <c r="E1326" s="53" t="s">
        <v>209</v>
      </c>
      <c r="F1326" s="53" t="s">
        <v>145</v>
      </c>
      <c r="G1326" s="53" t="s">
        <v>210</v>
      </c>
      <c r="H1326" s="53">
        <v>4</v>
      </c>
      <c r="I1326" s="53" t="s">
        <v>130</v>
      </c>
      <c r="J1326" s="53">
        <v>0</v>
      </c>
      <c r="K1326" s="53">
        <v>1</v>
      </c>
      <c r="L1326" s="53">
        <v>34.700000000000003</v>
      </c>
      <c r="M1326" s="53" t="s">
        <v>1632</v>
      </c>
      <c r="N1326" s="53">
        <v>42.9</v>
      </c>
      <c r="O1326" s="51" t="str">
        <f>TEXT(tblWorkPackages[[#This Row],[Request date serial]]-WEEKDAY(tblWorkPackages[[#This Row],[Request date serial]],3),"yyyy-mm-dd")</f>
        <v>2025-12-22</v>
      </c>
      <c r="P1326" s="51">
        <f>ABS(tblWorkPackages[[#This Row],[Actual labor hours]]-tblWorkPackages[[#This Row],[Estimated labor hours]])</f>
        <v>8.2</v>
      </c>
      <c r="Q1326" s="51">
        <f>IF(tblWorkPackages[[#This Row],[Actual labor hours]]&gt;tblWorkPackages[[#This Row],[Estimated labor hours]],1,0)</f>
        <v>1</v>
      </c>
      <c r="R1326" s="51">
        <f>tblWorkPackages[[#This Row],[Actual labor hours]]-tblWorkPackages[[#This Row],[Estimated labor hours]]</f>
        <v>8.2</v>
      </c>
      <c r="S1326" s="51" t="str">
        <f>IF(tblWorkPackages[[#This Row],[Request date serial]]&lt;ValidationStart,"Train 2024",IF(tblWorkPackages[[#This Row],[Request date serial]]&lt;HoldoutStart,"Validation H1","Holdout H2"))</f>
        <v>Holdout H2</v>
      </c>
      <c r="T1326" s="51">
        <f>IF(tblWorkPackages[[#This Row],[Time split]]="Train 2024","",tblWorkPackages[[#This Row],[Estimated labor hours]]+VLOOKUP(tblWorkPackages[[#This Row],[Task type]],'Forecast validation'!$A$14:$E$25,IF(tblWorkPackages[[#This Row],[Time split]]="Validation H1",4,5),FALSE()))</f>
        <v>36.495652173913</v>
      </c>
      <c r="U1326" s="51">
        <f>IF(tblWorkPackages[[#This Row],[Calibrated forecast hours]]="","",ABS(tblWorkPackages[[#This Row],[Actual labor hours]]-tblWorkPackages[[#This Row],[Calibrated forecast hours]]))</f>
        <v>6.40434782608696</v>
      </c>
      <c r="V1326" s="51">
        <f>IF(tblWorkPackages[[#This Row],[Time split]]="Train 2024",tblWorkPackages[[#This Row],[Estimated labor hours]],tblWorkPackages[[#This Row],[Calibrated forecast hours]])</f>
        <v>36.495652173913</v>
      </c>
      <c r="W1326" s="64">
        <f>DATEVALUE(tblWorkPackages[[#This Row],[Request date]])</f>
        <v>46016.0</v>
      </c>
      <c r="X1326" s="64">
        <f>DATEVALUE(tblWorkPackages[[#This Row],[Due date]])</f>
        <v>46029.0</v>
      </c>
      <c r="Y1326" s="64">
        <f>DATEVALUE(tblWorkPackages[[#This Row],[Completion date]])</f>
        <v>46045.0</v>
      </c>
      <c r="Z1326" s="64">
        <f>_xlfn.MINIFS(tblLaborEntries[Work date serial],tblLaborEntries[Work package ID],tblWorkPackages[[#This Row],[Work package ID]])</f>
        <v>46044.0</v>
      </c>
      <c r="AA1326" s="64">
        <f>_xlfn.MAXIFS(tblLaborEntries[Work date serial],tblLaborEntries[Work package ID],tblWorkPackages[[#This Row],[Work package ID]])</f>
        <v>46045.0</v>
      </c>
      <c r="AB1326" s="65">
        <f>IF(tblWorkPackages[[#This Row],[Completion date serial]]&gt;tblWorkPackages[[#This Row],[Due date serial]],1,0)</f>
        <v>1</v>
      </c>
      <c r="AC1326" s="65">
        <f>MAX(0,tblWorkPackages[[#This Row],[Completion date serial]]-tblWorkPackages[[#This Row],[Due date serial]])</f>
        <v>16</v>
      </c>
      <c r="AD1326" s="65">
        <f>tblWorkPackages[[#This Row],[First labor date]]-tblWorkPackages[[#This Row],[Request date serial]]</f>
        <v>28</v>
      </c>
      <c r="AE1326" s="65">
        <f>tblWorkPackages[[#This Row],[Last labor date]]-tblWorkPackages[[#This Row],[First labor date]]</f>
        <v>1</v>
      </c>
      <c r="AF1326" s="65">
        <f>tblWorkPackages[[#This Row],[Completion date serial]]-tblWorkPackages[[#This Row],[Last labor date]]</f>
        <v>0</v>
      </c>
      <c r="AG1326" s="65">
        <f>tblWorkPackages[[#This Row],[Completion date serial]]-tblWorkPackages[[#This Row],[Request date serial]]</f>
        <v>29</v>
      </c>
      <c r="AH1326" s="65">
        <f>IFERROR(INDEX(tblParts[Delay days],MATCH(tblWorkPackages[[#This Row],[Work package ID]],tblParts[Work package ID],0)),0)</f>
        <v>0</v>
      </c>
      <c r="AI1326" s="51" t="str">
        <f>IFERROR(INDEX(tblDisruptions[Event type],MATCH(tblWorkPackages[[#This Row],[Work package ID]],tblDisruptions[Work package ID],0)),"None")</f>
        <v>None</v>
      </c>
      <c r="AJ1326" s="51" t="str">
        <f>TEXT(tblWorkPackages[[#This Row],[Due date serial]],"yyyy-mm")</f>
        <v>2026-01</v>
      </c>
    </row>
    <row r="1327" spans="1:36" ht="15" x14ac:dyDescent="0.25">
      <c r="A1327" s="53" t="s">
        <v>2234</v>
      </c>
      <c r="B1327" s="53" t="s">
        <v>150</v>
      </c>
      <c r="C1327" s="53" t="s">
        <v>661</v>
      </c>
      <c r="D1327" s="53" t="s">
        <v>734</v>
      </c>
      <c r="E1327" s="53" t="s">
        <v>237</v>
      </c>
      <c r="F1327" s="53" t="s">
        <v>182</v>
      </c>
      <c r="G1327" s="53" t="s">
        <v>138</v>
      </c>
      <c r="H1327" s="53">
        <v>2</v>
      </c>
      <c r="I1327" s="53" t="s">
        <v>130</v>
      </c>
      <c r="J1327" s="53">
        <v>1</v>
      </c>
      <c r="K1327" s="53">
        <v>0</v>
      </c>
      <c r="L1327" s="53">
        <v>4.9000000000000004</v>
      </c>
      <c r="M1327" s="53" t="s">
        <v>1135</v>
      </c>
      <c r="N1327" s="53">
        <v>7.7</v>
      </c>
      <c r="O1327" s="51" t="str">
        <f>TEXT(tblWorkPackages[[#This Row],[Request date serial]]-WEEKDAY(tblWorkPackages[[#This Row],[Request date serial]],3),"yyyy-mm-dd")</f>
        <v>2024-09-16</v>
      </c>
      <c r="P1327" s="51">
        <f>ABS(tblWorkPackages[[#This Row],[Actual labor hours]]-tblWorkPackages[[#This Row],[Estimated labor hours]])</f>
        <v>2.8</v>
      </c>
      <c r="Q1327" s="51">
        <f>IF(tblWorkPackages[[#This Row],[Actual labor hours]]&gt;tblWorkPackages[[#This Row],[Estimated labor hours]],1,0)</f>
        <v>1</v>
      </c>
      <c r="R1327" s="51">
        <f>tblWorkPackages[[#This Row],[Actual labor hours]]-tblWorkPackages[[#This Row],[Estimated labor hours]]</f>
        <v>2.8</v>
      </c>
      <c r="S1327" s="51" t="str">
        <f>IF(tblWorkPackages[[#This Row],[Request date serial]]&lt;ValidationStart,"Train 2024",IF(tblWorkPackages[[#This Row],[Request date serial]]&lt;HoldoutStart,"Validation H1","Holdout H2"))</f>
        <v>Train 2024</v>
      </c>
      <c r="T1327" s="51" t="str">
        <f>IF(tblWorkPackages[[#This Row],[Time split]]="Train 2024","",tblWorkPackages[[#This Row],[Estimated labor hours]]+VLOOKUP(tblWorkPackages[[#This Row],[Task type]],'Forecast validation'!$A$14:$E$25,IF(tblWorkPackages[[#This Row],[Time split]]="Validation H1",4,5),FALSE()))</f>
        <v/>
      </c>
      <c r="U1327" s="51" t="str">
        <f>IF(tblWorkPackages[[#This Row],[Calibrated forecast hours]]="","",ABS(tblWorkPackages[[#This Row],[Actual labor hours]]-tblWorkPackages[[#This Row],[Calibrated forecast hours]]))</f>
        <v/>
      </c>
      <c r="V1327" s="51">
        <f>IF(tblWorkPackages[[#This Row],[Time split]]="Train 2024",tblWorkPackages[[#This Row],[Estimated labor hours]],tblWorkPackages[[#This Row],[Calibrated forecast hours]])</f>
        <v>4.9</v>
      </c>
      <c r="W1327" s="64">
        <f>DATEVALUE(tblWorkPackages[[#This Row],[Request date]])</f>
        <v>45554.0</v>
      </c>
      <c r="X1327" s="64">
        <f>DATEVALUE(tblWorkPackages[[#This Row],[Due date]])</f>
        <v>45567.0</v>
      </c>
      <c r="Y1327" s="64">
        <f>DATEVALUE(tblWorkPackages[[#This Row],[Completion date]])</f>
        <v>45560.0</v>
      </c>
      <c r="Z1327" s="64">
        <f>_xlfn.MINIFS(tblLaborEntries[Work date serial],tblLaborEntries[Work package ID],tblWorkPackages[[#This Row],[Work package ID]])</f>
        <v>45559.0</v>
      </c>
      <c r="AA1327" s="64">
        <f>_xlfn.MAXIFS(tblLaborEntries[Work date serial],tblLaborEntries[Work package ID],tblWorkPackages[[#This Row],[Work package ID]])</f>
        <v>45559.0</v>
      </c>
      <c r="AB1327" s="65">
        <f>IF(tblWorkPackages[[#This Row],[Completion date serial]]&gt;tblWorkPackages[[#This Row],[Due date serial]],1,0)</f>
        <v>0</v>
      </c>
      <c r="AC1327" s="65">
        <f>MAX(0,tblWorkPackages[[#This Row],[Completion date serial]]-tblWorkPackages[[#This Row],[Due date serial]])</f>
        <v>0</v>
      </c>
      <c r="AD1327" s="65">
        <f>tblWorkPackages[[#This Row],[First labor date]]-tblWorkPackages[[#This Row],[Request date serial]]</f>
        <v>5</v>
      </c>
      <c r="AE1327" s="65">
        <f>tblWorkPackages[[#This Row],[Last labor date]]-tblWorkPackages[[#This Row],[First labor date]]</f>
        <v>0</v>
      </c>
      <c r="AF1327" s="65">
        <f>tblWorkPackages[[#This Row],[Completion date serial]]-tblWorkPackages[[#This Row],[Last labor date]]</f>
        <v>1</v>
      </c>
      <c r="AG1327" s="65">
        <f>tblWorkPackages[[#This Row],[Completion date serial]]-tblWorkPackages[[#This Row],[Request date serial]]</f>
        <v>6</v>
      </c>
      <c r="AH1327" s="65">
        <f>IFERROR(INDEX(tblParts[Delay days],MATCH(tblWorkPackages[[#This Row],[Work package ID]],tblParts[Work package ID],0)),0)</f>
        <v>0</v>
      </c>
      <c r="AI1327" s="51" t="str">
        <f>IFERROR(INDEX(tblDisruptions[Event type],MATCH(tblWorkPackages[[#This Row],[Work package ID]],tblDisruptions[Work package ID],0)),"None")</f>
        <v>None</v>
      </c>
      <c r="AJ1327" s="51" t="str">
        <f>TEXT(tblWorkPackages[[#This Row],[Due date serial]],"yyyy-mm")</f>
        <v>2024-10</v>
      </c>
    </row>
    <row r="1328" spans="1:36" ht="15" x14ac:dyDescent="0.25">
      <c r="A1328" s="53" t="s">
        <v>2235</v>
      </c>
      <c r="B1328" s="53" t="s">
        <v>235</v>
      </c>
      <c r="C1328" s="53" t="s">
        <v>520</v>
      </c>
      <c r="D1328" s="53" t="s">
        <v>459</v>
      </c>
      <c r="E1328" s="53" t="s">
        <v>200</v>
      </c>
      <c r="F1328" s="53" t="s">
        <v>128</v>
      </c>
      <c r="G1328" s="53" t="s">
        <v>129</v>
      </c>
      <c r="H1328" s="53">
        <v>3</v>
      </c>
      <c r="I1328" s="53" t="s">
        <v>147</v>
      </c>
      <c r="J1328" s="53">
        <v>0</v>
      </c>
      <c r="K1328" s="53">
        <v>0</v>
      </c>
      <c r="L1328" s="53">
        <v>3.9</v>
      </c>
      <c r="M1328" s="53" t="s">
        <v>191</v>
      </c>
      <c r="N1328" s="53">
        <v>3.9</v>
      </c>
      <c r="O1328" s="51" t="str">
        <f>TEXT(tblWorkPackages[[#This Row],[Request date serial]]-WEEKDAY(tblWorkPackages[[#This Row],[Request date serial]],3),"yyyy-mm-dd")</f>
        <v>2025-08-18</v>
      </c>
      <c r="P1328" s="51">
        <f>ABS(tblWorkPackages[[#This Row],[Actual labor hours]]-tblWorkPackages[[#This Row],[Estimated labor hours]])</f>
        <v>0</v>
      </c>
      <c r="Q1328" s="51">
        <f>IF(tblWorkPackages[[#This Row],[Actual labor hours]]&gt;tblWorkPackages[[#This Row],[Estimated labor hours]],1,0)</f>
        <v>0</v>
      </c>
      <c r="R1328" s="51">
        <f>tblWorkPackages[[#This Row],[Actual labor hours]]-tblWorkPackages[[#This Row],[Estimated labor hours]]</f>
        <v>0</v>
      </c>
      <c r="S1328" s="51" t="str">
        <f>IF(tblWorkPackages[[#This Row],[Request date serial]]&lt;ValidationStart,"Train 2024",IF(tblWorkPackages[[#This Row],[Request date serial]]&lt;HoldoutStart,"Validation H1","Holdout H2"))</f>
        <v>Holdout H2</v>
      </c>
      <c r="T1328" s="51">
        <f>IF(tblWorkPackages[[#This Row],[Time split]]="Train 2024","",tblWorkPackages[[#This Row],[Estimated labor hours]]+VLOOKUP(tblWorkPackages[[#This Row],[Task type]],'Forecast validation'!$A$14:$E$25,IF(tblWorkPackages[[#This Row],[Time split]]="Validation H1",4,5),FALSE()))</f>
        <v>4.22893081761006</v>
      </c>
      <c r="U1328" s="51">
        <f>IF(tblWorkPackages[[#This Row],[Calibrated forecast hours]]="","",ABS(tblWorkPackages[[#This Row],[Actual labor hours]]-tblWorkPackages[[#This Row],[Calibrated forecast hours]]))</f>
        <v>0.328930817610063</v>
      </c>
      <c r="V1328" s="51">
        <f>IF(tblWorkPackages[[#This Row],[Time split]]="Train 2024",tblWorkPackages[[#This Row],[Estimated labor hours]],tblWorkPackages[[#This Row],[Calibrated forecast hours]])</f>
        <v>4.22893081761006</v>
      </c>
      <c r="W1328" s="64">
        <f>DATEVALUE(tblWorkPackages[[#This Row],[Request date]])</f>
        <v>45890.0</v>
      </c>
      <c r="X1328" s="64">
        <f>DATEVALUE(tblWorkPackages[[#This Row],[Due date]])</f>
        <v>45892.0</v>
      </c>
      <c r="Y1328" s="64">
        <f>DATEVALUE(tblWorkPackages[[#This Row],[Completion date]])</f>
        <v>45896.0</v>
      </c>
      <c r="Z1328" s="64">
        <f>_xlfn.MINIFS(tblLaborEntries[Work date serial],tblLaborEntries[Work package ID],tblWorkPackages[[#This Row],[Work package ID]])</f>
        <v>45892.0</v>
      </c>
      <c r="AA1328" s="64">
        <f>_xlfn.MAXIFS(tblLaborEntries[Work date serial],tblLaborEntries[Work package ID],tblWorkPackages[[#This Row],[Work package ID]])</f>
        <v>45894.0</v>
      </c>
      <c r="AB1328" s="65">
        <f>IF(tblWorkPackages[[#This Row],[Completion date serial]]&gt;tblWorkPackages[[#This Row],[Due date serial]],1,0)</f>
        <v>1</v>
      </c>
      <c r="AC1328" s="65">
        <f>MAX(0,tblWorkPackages[[#This Row],[Completion date serial]]-tblWorkPackages[[#This Row],[Due date serial]])</f>
        <v>4</v>
      </c>
      <c r="AD1328" s="65">
        <f>tblWorkPackages[[#This Row],[First labor date]]-tblWorkPackages[[#This Row],[Request date serial]]</f>
        <v>2</v>
      </c>
      <c r="AE1328" s="65">
        <f>tblWorkPackages[[#This Row],[Last labor date]]-tblWorkPackages[[#This Row],[First labor date]]</f>
        <v>2</v>
      </c>
      <c r="AF1328" s="65">
        <f>tblWorkPackages[[#This Row],[Completion date serial]]-tblWorkPackages[[#This Row],[Last labor date]]</f>
        <v>2</v>
      </c>
      <c r="AG1328" s="65">
        <f>tblWorkPackages[[#This Row],[Completion date serial]]-tblWorkPackages[[#This Row],[Request date serial]]</f>
        <v>6</v>
      </c>
      <c r="AH1328" s="65">
        <f>IFERROR(INDEX(tblParts[Delay days],MATCH(tblWorkPackages[[#This Row],[Work package ID]],tblParts[Work package ID],0)),0)</f>
        <v>0</v>
      </c>
      <c r="AI1328" s="51" t="str">
        <f>IFERROR(INDEX(tblDisruptions[Event type],MATCH(tblWorkPackages[[#This Row],[Work package ID]],tblDisruptions[Work package ID],0)),"None")</f>
        <v>Scope change</v>
      </c>
      <c r="AJ1328" s="51" t="str">
        <f>TEXT(tblWorkPackages[[#This Row],[Due date serial]],"yyyy-mm")</f>
        <v>2025-08</v>
      </c>
    </row>
    <row r="1329" spans="1:36" ht="15" x14ac:dyDescent="0.25">
      <c r="A1329" s="53" t="s">
        <v>2236</v>
      </c>
      <c r="B1329" s="53" t="s">
        <v>287</v>
      </c>
      <c r="C1329" s="53" t="s">
        <v>755</v>
      </c>
      <c r="D1329" s="53" t="s">
        <v>1136</v>
      </c>
      <c r="E1329" s="53" t="s">
        <v>144</v>
      </c>
      <c r="F1329" s="53" t="s">
        <v>145</v>
      </c>
      <c r="G1329" s="53" t="s">
        <v>146</v>
      </c>
      <c r="H1329" s="53">
        <v>4</v>
      </c>
      <c r="I1329" s="53" t="s">
        <v>147</v>
      </c>
      <c r="J1329" s="53">
        <v>0</v>
      </c>
      <c r="K1329" s="53">
        <v>1</v>
      </c>
      <c r="L1329" s="53">
        <v>17.600000000000001</v>
      </c>
      <c r="M1329" s="53" t="s">
        <v>986</v>
      </c>
      <c r="N1329" s="53">
        <v>18.600000000000001</v>
      </c>
      <c r="O1329" s="51" t="str">
        <f>TEXT(tblWorkPackages[[#This Row],[Request date serial]]-WEEKDAY(tblWorkPackages[[#This Row],[Request date serial]],3),"yyyy-mm-dd")</f>
        <v>2024-09-09</v>
      </c>
      <c r="P1329" s="51">
        <f>ABS(tblWorkPackages[[#This Row],[Actual labor hours]]-tblWorkPackages[[#This Row],[Estimated labor hours]])</f>
        <v>1</v>
      </c>
      <c r="Q1329" s="51">
        <f>IF(tblWorkPackages[[#This Row],[Actual labor hours]]&gt;tblWorkPackages[[#This Row],[Estimated labor hours]],1,0)</f>
        <v>1</v>
      </c>
      <c r="R1329" s="51">
        <f>tblWorkPackages[[#This Row],[Actual labor hours]]-tblWorkPackages[[#This Row],[Estimated labor hours]]</f>
        <v>1</v>
      </c>
      <c r="S1329" s="51" t="str">
        <f>IF(tblWorkPackages[[#This Row],[Request date serial]]&lt;ValidationStart,"Train 2024",IF(tblWorkPackages[[#This Row],[Request date serial]]&lt;HoldoutStart,"Validation H1","Holdout H2"))</f>
        <v>Train 2024</v>
      </c>
      <c r="T1329" s="51" t="str">
        <f>IF(tblWorkPackages[[#This Row],[Time split]]="Train 2024","",tblWorkPackages[[#This Row],[Estimated labor hours]]+VLOOKUP(tblWorkPackages[[#This Row],[Task type]],'Forecast validation'!$A$14:$E$25,IF(tblWorkPackages[[#This Row],[Time split]]="Validation H1",4,5),FALSE()))</f>
        <v/>
      </c>
      <c r="U1329" s="51" t="str">
        <f>IF(tblWorkPackages[[#This Row],[Calibrated forecast hours]]="","",ABS(tblWorkPackages[[#This Row],[Actual labor hours]]-tblWorkPackages[[#This Row],[Calibrated forecast hours]]))</f>
        <v/>
      </c>
      <c r="V1329" s="51">
        <f>IF(tblWorkPackages[[#This Row],[Time split]]="Train 2024",tblWorkPackages[[#This Row],[Estimated labor hours]],tblWorkPackages[[#This Row],[Calibrated forecast hours]])</f>
        <v>17.6</v>
      </c>
      <c r="W1329" s="64">
        <f>DATEVALUE(tblWorkPackages[[#This Row],[Request date]])</f>
        <v>45550.0</v>
      </c>
      <c r="X1329" s="64">
        <f>DATEVALUE(tblWorkPackages[[#This Row],[Due date]])</f>
        <v>45552.0</v>
      </c>
      <c r="Y1329" s="64">
        <f>DATEVALUE(tblWorkPackages[[#This Row],[Completion date]])</f>
        <v>45569.0</v>
      </c>
      <c r="Z1329" s="64">
        <f>_xlfn.MINIFS(tblLaborEntries[Work date serial],tblLaborEntries[Work package ID],tblWorkPackages[[#This Row],[Work package ID]])</f>
        <v>45564.0</v>
      </c>
      <c r="AA1329" s="64">
        <f>_xlfn.MAXIFS(tblLaborEntries[Work date serial],tblLaborEntries[Work package ID],tblWorkPackages[[#This Row],[Work package ID]])</f>
        <v>45566.0</v>
      </c>
      <c r="AB1329" s="65">
        <f>IF(tblWorkPackages[[#This Row],[Completion date serial]]&gt;tblWorkPackages[[#This Row],[Due date serial]],1,0)</f>
        <v>1</v>
      </c>
      <c r="AC1329" s="65">
        <f>MAX(0,tblWorkPackages[[#This Row],[Completion date serial]]-tblWorkPackages[[#This Row],[Due date serial]])</f>
        <v>17</v>
      </c>
      <c r="AD1329" s="65">
        <f>tblWorkPackages[[#This Row],[First labor date]]-tblWorkPackages[[#This Row],[Request date serial]]</f>
        <v>14</v>
      </c>
      <c r="AE1329" s="65">
        <f>tblWorkPackages[[#This Row],[Last labor date]]-tblWorkPackages[[#This Row],[First labor date]]</f>
        <v>2</v>
      </c>
      <c r="AF1329" s="65">
        <f>tblWorkPackages[[#This Row],[Completion date serial]]-tblWorkPackages[[#This Row],[Last labor date]]</f>
        <v>3</v>
      </c>
      <c r="AG1329" s="65">
        <f>tblWorkPackages[[#This Row],[Completion date serial]]-tblWorkPackages[[#This Row],[Request date serial]]</f>
        <v>19</v>
      </c>
      <c r="AH1329" s="65">
        <f>IFERROR(INDEX(tblParts[Delay days],MATCH(tblWorkPackages[[#This Row],[Work package ID]],tblParts[Work package ID],0)),0)</f>
        <v>0</v>
      </c>
      <c r="AI1329" s="51" t="str">
        <f>IFERROR(INDEX(tblDisruptions[Event type],MATCH(tblWorkPackages[[#This Row],[Work package ID]],tblDisruptions[Work package ID],0)),"None")</f>
        <v>None</v>
      </c>
      <c r="AJ1329" s="51" t="str">
        <f>TEXT(tblWorkPackages[[#This Row],[Due date serial]],"yyyy-mm")</f>
        <v>2024-09</v>
      </c>
    </row>
    <row r="1330" spans="1:36" ht="15" x14ac:dyDescent="0.25">
      <c r="A1330" s="53" t="s">
        <v>2237</v>
      </c>
      <c r="B1330" s="53" t="s">
        <v>157</v>
      </c>
      <c r="C1330" s="53" t="s">
        <v>351</v>
      </c>
      <c r="D1330" s="53" t="s">
        <v>490</v>
      </c>
      <c r="E1330" s="53" t="s">
        <v>237</v>
      </c>
      <c r="F1330" s="53" t="s">
        <v>182</v>
      </c>
      <c r="G1330" s="53" t="s">
        <v>138</v>
      </c>
      <c r="H1330" s="53">
        <v>4</v>
      </c>
      <c r="I1330" s="53" t="s">
        <v>130</v>
      </c>
      <c r="J1330" s="53">
        <v>1</v>
      </c>
      <c r="K1330" s="53">
        <v>0</v>
      </c>
      <c r="L1330" s="53">
        <v>8.9</v>
      </c>
      <c r="M1330" s="53" t="s">
        <v>350</v>
      </c>
      <c r="N1330" s="53">
        <v>10.8</v>
      </c>
      <c r="O1330" s="51" t="str">
        <f>TEXT(tblWorkPackages[[#This Row],[Request date serial]]-WEEKDAY(tblWorkPackages[[#This Row],[Request date serial]],3),"yyyy-mm-dd")</f>
        <v>2024-01-22</v>
      </c>
      <c r="P1330" s="51">
        <f>ABS(tblWorkPackages[[#This Row],[Actual labor hours]]-tblWorkPackages[[#This Row],[Estimated labor hours]])</f>
        <v>1.9</v>
      </c>
      <c r="Q1330" s="51">
        <f>IF(tblWorkPackages[[#This Row],[Actual labor hours]]&gt;tblWorkPackages[[#This Row],[Estimated labor hours]],1,0)</f>
        <v>1</v>
      </c>
      <c r="R1330" s="51">
        <f>tblWorkPackages[[#This Row],[Actual labor hours]]-tblWorkPackages[[#This Row],[Estimated labor hours]]</f>
        <v>1.9</v>
      </c>
      <c r="S1330" s="51" t="str">
        <f>IF(tblWorkPackages[[#This Row],[Request date serial]]&lt;ValidationStart,"Train 2024",IF(tblWorkPackages[[#This Row],[Request date serial]]&lt;HoldoutStart,"Validation H1","Holdout H2"))</f>
        <v>Train 2024</v>
      </c>
      <c r="T1330" s="51" t="str">
        <f>IF(tblWorkPackages[[#This Row],[Time split]]="Train 2024","",tblWorkPackages[[#This Row],[Estimated labor hours]]+VLOOKUP(tblWorkPackages[[#This Row],[Task type]],'Forecast validation'!$A$14:$E$25,IF(tblWorkPackages[[#This Row],[Time split]]="Validation H1",4,5),FALSE()))</f>
        <v/>
      </c>
      <c r="U1330" s="51" t="str">
        <f>IF(tblWorkPackages[[#This Row],[Calibrated forecast hours]]="","",ABS(tblWorkPackages[[#This Row],[Actual labor hours]]-tblWorkPackages[[#This Row],[Calibrated forecast hours]]))</f>
        <v/>
      </c>
      <c r="V1330" s="51">
        <f>IF(tblWorkPackages[[#This Row],[Time split]]="Train 2024",tblWorkPackages[[#This Row],[Estimated labor hours]],tblWorkPackages[[#This Row],[Calibrated forecast hours]])</f>
        <v>8.9</v>
      </c>
      <c r="W1330" s="64">
        <f>DATEVALUE(tblWorkPackages[[#This Row],[Request date]])</f>
        <v>45319.0</v>
      </c>
      <c r="X1330" s="64">
        <f>DATEVALUE(tblWorkPackages[[#This Row],[Due date]])</f>
        <v>45332.0</v>
      </c>
      <c r="Y1330" s="64">
        <f>DATEVALUE(tblWorkPackages[[#This Row],[Completion date]])</f>
        <v>45323.0</v>
      </c>
      <c r="Z1330" s="64">
        <f>_xlfn.MINIFS(tblLaborEntries[Work date serial],tblLaborEntries[Work package ID],tblWorkPackages[[#This Row],[Work package ID]])</f>
        <v>45322.0</v>
      </c>
      <c r="AA1330" s="64">
        <f>_xlfn.MAXIFS(tblLaborEntries[Work date serial],tblLaborEntries[Work package ID],tblWorkPackages[[#This Row],[Work package ID]])</f>
        <v>45323.0</v>
      </c>
      <c r="AB1330" s="65">
        <f>IF(tblWorkPackages[[#This Row],[Completion date serial]]&gt;tblWorkPackages[[#This Row],[Due date serial]],1,0)</f>
        <v>0</v>
      </c>
      <c r="AC1330" s="65">
        <f>MAX(0,tblWorkPackages[[#This Row],[Completion date serial]]-tblWorkPackages[[#This Row],[Due date serial]])</f>
        <v>0</v>
      </c>
      <c r="AD1330" s="65">
        <f>tblWorkPackages[[#This Row],[First labor date]]-tblWorkPackages[[#This Row],[Request date serial]]</f>
        <v>3</v>
      </c>
      <c r="AE1330" s="65">
        <f>tblWorkPackages[[#This Row],[Last labor date]]-tblWorkPackages[[#This Row],[First labor date]]</f>
        <v>1</v>
      </c>
      <c r="AF1330" s="65">
        <f>tblWorkPackages[[#This Row],[Completion date serial]]-tblWorkPackages[[#This Row],[Last labor date]]</f>
        <v>0</v>
      </c>
      <c r="AG1330" s="65">
        <f>tblWorkPackages[[#This Row],[Completion date serial]]-tblWorkPackages[[#This Row],[Request date serial]]</f>
        <v>4</v>
      </c>
      <c r="AH1330" s="65">
        <f>IFERROR(INDEX(tblParts[Delay days],MATCH(tblWorkPackages[[#This Row],[Work package ID]],tblParts[Work package ID],0)),0)</f>
        <v>0</v>
      </c>
      <c r="AI1330" s="51" t="str">
        <f>IFERROR(INDEX(tblDisruptions[Event type],MATCH(tblWorkPackages[[#This Row],[Work package ID]],tblDisruptions[Work package ID],0)),"None")</f>
        <v>None</v>
      </c>
      <c r="AJ1330" s="51" t="str">
        <f>TEXT(tblWorkPackages[[#This Row],[Due date serial]],"yyyy-mm")</f>
        <v>2024-02</v>
      </c>
    </row>
    <row r="1331" spans="1:36" ht="15" x14ac:dyDescent="0.25">
      <c r="A1331" s="53" t="s">
        <v>2238</v>
      </c>
      <c r="B1331" s="53" t="s">
        <v>133</v>
      </c>
      <c r="C1331" s="53" t="s">
        <v>161</v>
      </c>
      <c r="D1331" s="53" t="s">
        <v>512</v>
      </c>
      <c r="E1331" s="53" t="s">
        <v>127</v>
      </c>
      <c r="F1331" s="53" t="s">
        <v>128</v>
      </c>
      <c r="G1331" s="53" t="s">
        <v>129</v>
      </c>
      <c r="H1331" s="53">
        <v>1</v>
      </c>
      <c r="I1331" s="53" t="s">
        <v>130</v>
      </c>
      <c r="J1331" s="53">
        <v>0</v>
      </c>
      <c r="K1331" s="53">
        <v>1</v>
      </c>
      <c r="L1331" s="53">
        <v>4.2</v>
      </c>
      <c r="M1331" s="53" t="s">
        <v>1344</v>
      </c>
      <c r="N1331" s="53">
        <v>4.5999999999999996</v>
      </c>
      <c r="O1331" s="51" t="str">
        <f>TEXT(tblWorkPackages[[#This Row],[Request date serial]]-WEEKDAY(tblWorkPackages[[#This Row],[Request date serial]],3),"yyyy-mm-dd")</f>
        <v>2024-12-02</v>
      </c>
      <c r="P1331" s="51">
        <f>ABS(tblWorkPackages[[#This Row],[Actual labor hours]]-tblWorkPackages[[#This Row],[Estimated labor hours]])</f>
        <v>0.399999999999999</v>
      </c>
      <c r="Q1331" s="51">
        <f>IF(tblWorkPackages[[#This Row],[Actual labor hours]]&gt;tblWorkPackages[[#This Row],[Estimated labor hours]],1,0)</f>
        <v>1</v>
      </c>
      <c r="R1331" s="51">
        <f>tblWorkPackages[[#This Row],[Actual labor hours]]-tblWorkPackages[[#This Row],[Estimated labor hours]]</f>
        <v>0.399999999999999</v>
      </c>
      <c r="S1331" s="51" t="str">
        <f>IF(tblWorkPackages[[#This Row],[Request date serial]]&lt;ValidationStart,"Train 2024",IF(tblWorkPackages[[#This Row],[Request date serial]]&lt;HoldoutStart,"Validation H1","Holdout H2"))</f>
        <v>Train 2024</v>
      </c>
      <c r="T1331" s="51" t="str">
        <f>IF(tblWorkPackages[[#This Row],[Time split]]="Train 2024","",tblWorkPackages[[#This Row],[Estimated labor hours]]+VLOOKUP(tblWorkPackages[[#This Row],[Task type]],'Forecast validation'!$A$14:$E$25,IF(tblWorkPackages[[#This Row],[Time split]]="Validation H1",4,5),FALSE()))</f>
        <v/>
      </c>
      <c r="U1331" s="51" t="str">
        <f>IF(tblWorkPackages[[#This Row],[Calibrated forecast hours]]="","",ABS(tblWorkPackages[[#This Row],[Actual labor hours]]-tblWorkPackages[[#This Row],[Calibrated forecast hours]]))</f>
        <v/>
      </c>
      <c r="V1331" s="51">
        <f>IF(tblWorkPackages[[#This Row],[Time split]]="Train 2024",tblWorkPackages[[#This Row],[Estimated labor hours]],tblWorkPackages[[#This Row],[Calibrated forecast hours]])</f>
        <v>4.2</v>
      </c>
      <c r="W1331" s="64">
        <f>DATEVALUE(tblWorkPackages[[#This Row],[Request date]])</f>
        <v>45628.0</v>
      </c>
      <c r="X1331" s="64">
        <f>DATEVALUE(tblWorkPackages[[#This Row],[Due date]])</f>
        <v>45641.0</v>
      </c>
      <c r="Y1331" s="64">
        <f>DATEVALUE(tblWorkPackages[[#This Row],[Completion date]])</f>
        <v>45688.0</v>
      </c>
      <c r="Z1331" s="64">
        <f>_xlfn.MINIFS(tblLaborEntries[Work date serial],tblLaborEntries[Work package ID],tblWorkPackages[[#This Row],[Work package ID]])</f>
        <v>45685.0</v>
      </c>
      <c r="AA1331" s="64">
        <f>_xlfn.MAXIFS(tblLaborEntries[Work date serial],tblLaborEntries[Work package ID],tblWorkPackages[[#This Row],[Work package ID]])</f>
        <v>45687.0</v>
      </c>
      <c r="AB1331" s="65">
        <f>IF(tblWorkPackages[[#This Row],[Completion date serial]]&gt;tblWorkPackages[[#This Row],[Due date serial]],1,0)</f>
        <v>1</v>
      </c>
      <c r="AC1331" s="65">
        <f>MAX(0,tblWorkPackages[[#This Row],[Completion date serial]]-tblWorkPackages[[#This Row],[Due date serial]])</f>
        <v>47</v>
      </c>
      <c r="AD1331" s="65">
        <f>tblWorkPackages[[#This Row],[First labor date]]-tblWorkPackages[[#This Row],[Request date serial]]</f>
        <v>57</v>
      </c>
      <c r="AE1331" s="65">
        <f>tblWorkPackages[[#This Row],[Last labor date]]-tblWorkPackages[[#This Row],[First labor date]]</f>
        <v>2</v>
      </c>
      <c r="AF1331" s="65">
        <f>tblWorkPackages[[#This Row],[Completion date serial]]-tblWorkPackages[[#This Row],[Last labor date]]</f>
        <v>1</v>
      </c>
      <c r="AG1331" s="65">
        <f>tblWorkPackages[[#This Row],[Completion date serial]]-tblWorkPackages[[#This Row],[Request date serial]]</f>
        <v>60</v>
      </c>
      <c r="AH1331" s="65">
        <f>IFERROR(INDEX(tblParts[Delay days],MATCH(tblWorkPackages[[#This Row],[Work package ID]],tblParts[Work package ID],0)),0)</f>
        <v>3</v>
      </c>
      <c r="AI1331" s="51" t="str">
        <f>IFERROR(INDEX(tblDisruptions[Event type],MATCH(tblWorkPackages[[#This Row],[Work package ID]],tblDisruptions[Work package ID],0)),"None")</f>
        <v>Part delay</v>
      </c>
      <c r="AJ1331" s="51" t="str">
        <f>TEXT(tblWorkPackages[[#This Row],[Due date serial]],"yyyy-mm")</f>
        <v>2024-12</v>
      </c>
    </row>
    <row r="1332" spans="1:36" ht="15" x14ac:dyDescent="0.25">
      <c r="A1332" s="53" t="s">
        <v>2239</v>
      </c>
      <c r="B1332" s="53" t="s">
        <v>163</v>
      </c>
      <c r="C1332" s="53" t="s">
        <v>205</v>
      </c>
      <c r="D1332" s="53" t="s">
        <v>555</v>
      </c>
      <c r="E1332" s="53" t="s">
        <v>136</v>
      </c>
      <c r="F1332" s="53" t="s">
        <v>137</v>
      </c>
      <c r="G1332" s="53" t="s">
        <v>138</v>
      </c>
      <c r="H1332" s="53">
        <v>3</v>
      </c>
      <c r="I1332" s="53" t="s">
        <v>130</v>
      </c>
      <c r="J1332" s="53">
        <v>0</v>
      </c>
      <c r="K1332" s="53">
        <v>0</v>
      </c>
      <c r="L1332" s="53">
        <v>16.7</v>
      </c>
      <c r="M1332" s="53" t="s">
        <v>1200</v>
      </c>
      <c r="N1332" s="53">
        <v>15.1</v>
      </c>
      <c r="O1332" s="51" t="str">
        <f>TEXT(tblWorkPackages[[#This Row],[Request date serial]]-WEEKDAY(tblWorkPackages[[#This Row],[Request date serial]],3),"yyyy-mm-dd")</f>
        <v>2024-11-11</v>
      </c>
      <c r="P1332" s="51">
        <f>ABS(tblWorkPackages[[#This Row],[Actual labor hours]]-tblWorkPackages[[#This Row],[Estimated labor hours]])</f>
        <v>1.6</v>
      </c>
      <c r="Q1332" s="51">
        <f>IF(tblWorkPackages[[#This Row],[Actual labor hours]]&gt;tblWorkPackages[[#This Row],[Estimated labor hours]],1,0)</f>
        <v>0</v>
      </c>
      <c r="R1332" s="51">
        <f>tblWorkPackages[[#This Row],[Actual labor hours]]-tblWorkPackages[[#This Row],[Estimated labor hours]]</f>
        <v>-1.6</v>
      </c>
      <c r="S1332" s="51" t="str">
        <f>IF(tblWorkPackages[[#This Row],[Request date serial]]&lt;ValidationStart,"Train 2024",IF(tblWorkPackages[[#This Row],[Request date serial]]&lt;HoldoutStart,"Validation H1","Holdout H2"))</f>
        <v>Train 2024</v>
      </c>
      <c r="T1332" s="51" t="str">
        <f>IF(tblWorkPackages[[#This Row],[Time split]]="Train 2024","",tblWorkPackages[[#This Row],[Estimated labor hours]]+VLOOKUP(tblWorkPackages[[#This Row],[Task type]],'Forecast validation'!$A$14:$E$25,IF(tblWorkPackages[[#This Row],[Time split]]="Validation H1",4,5),FALSE()))</f>
        <v/>
      </c>
      <c r="U1332" s="51" t="str">
        <f>IF(tblWorkPackages[[#This Row],[Calibrated forecast hours]]="","",ABS(tblWorkPackages[[#This Row],[Actual labor hours]]-tblWorkPackages[[#This Row],[Calibrated forecast hours]]))</f>
        <v/>
      </c>
      <c r="V1332" s="51">
        <f>IF(tblWorkPackages[[#This Row],[Time split]]="Train 2024",tblWorkPackages[[#This Row],[Estimated labor hours]],tblWorkPackages[[#This Row],[Calibrated forecast hours]])</f>
        <v>16.7</v>
      </c>
      <c r="W1332" s="64">
        <f>DATEVALUE(tblWorkPackages[[#This Row],[Request date]])</f>
        <v>45609.0</v>
      </c>
      <c r="X1332" s="64">
        <f>DATEVALUE(tblWorkPackages[[#This Row],[Due date]])</f>
        <v>45622.0</v>
      </c>
      <c r="Y1332" s="64">
        <f>DATEVALUE(tblWorkPackages[[#This Row],[Completion date]])</f>
        <v>45619.0</v>
      </c>
      <c r="Z1332" s="64">
        <f>_xlfn.MINIFS(tblLaborEntries[Work date serial],tblLaborEntries[Work package ID],tblWorkPackages[[#This Row],[Work package ID]])</f>
        <v>45617.0</v>
      </c>
      <c r="AA1332" s="64">
        <f>_xlfn.MAXIFS(tblLaborEntries[Work date serial],tblLaborEntries[Work package ID],tblWorkPackages[[#This Row],[Work package ID]])</f>
        <v>45617.0</v>
      </c>
      <c r="AB1332" s="65">
        <f>IF(tblWorkPackages[[#This Row],[Completion date serial]]&gt;tblWorkPackages[[#This Row],[Due date serial]],1,0)</f>
        <v>0</v>
      </c>
      <c r="AC1332" s="65">
        <f>MAX(0,tblWorkPackages[[#This Row],[Completion date serial]]-tblWorkPackages[[#This Row],[Due date serial]])</f>
        <v>0</v>
      </c>
      <c r="AD1332" s="65">
        <f>tblWorkPackages[[#This Row],[First labor date]]-tblWorkPackages[[#This Row],[Request date serial]]</f>
        <v>8</v>
      </c>
      <c r="AE1332" s="65">
        <f>tblWorkPackages[[#This Row],[Last labor date]]-tblWorkPackages[[#This Row],[First labor date]]</f>
        <v>0</v>
      </c>
      <c r="AF1332" s="65">
        <f>tblWorkPackages[[#This Row],[Completion date serial]]-tblWorkPackages[[#This Row],[Last labor date]]</f>
        <v>2</v>
      </c>
      <c r="AG1332" s="65">
        <f>tblWorkPackages[[#This Row],[Completion date serial]]-tblWorkPackages[[#This Row],[Request date serial]]</f>
        <v>10</v>
      </c>
      <c r="AH1332" s="65">
        <f>IFERROR(INDEX(tblParts[Delay days],MATCH(tblWorkPackages[[#This Row],[Work package ID]],tblParts[Work package ID],0)),0)</f>
        <v>0</v>
      </c>
      <c r="AI1332" s="51" t="str">
        <f>IFERROR(INDEX(tblDisruptions[Event type],MATCH(tblWorkPackages[[#This Row],[Work package ID]],tblDisruptions[Work package ID],0)),"None")</f>
        <v>None</v>
      </c>
      <c r="AJ1332" s="51" t="str">
        <f>TEXT(tblWorkPackages[[#This Row],[Due date serial]],"yyyy-mm")</f>
        <v>2024-11</v>
      </c>
    </row>
    <row r="1333" spans="1:36" ht="15" x14ac:dyDescent="0.25">
      <c r="A1333" s="53" t="s">
        <v>2240</v>
      </c>
      <c r="B1333" s="53" t="s">
        <v>287</v>
      </c>
      <c r="C1333" s="53" t="s">
        <v>667</v>
      </c>
      <c r="D1333" s="53" t="s">
        <v>668</v>
      </c>
      <c r="E1333" s="53" t="s">
        <v>200</v>
      </c>
      <c r="F1333" s="53" t="s">
        <v>128</v>
      </c>
      <c r="G1333" s="53" t="s">
        <v>129</v>
      </c>
      <c r="H1333" s="53">
        <v>2</v>
      </c>
      <c r="I1333" s="53" t="s">
        <v>176</v>
      </c>
      <c r="J1333" s="53">
        <v>1</v>
      </c>
      <c r="K1333" s="53">
        <v>0</v>
      </c>
      <c r="L1333" s="53">
        <v>3.4</v>
      </c>
      <c r="M1333" s="53" t="s">
        <v>613</v>
      </c>
      <c r="N1333" s="53">
        <v>4.0999999999999996</v>
      </c>
      <c r="O1333" s="51" t="str">
        <f>TEXT(tblWorkPackages[[#This Row],[Request date serial]]-WEEKDAY(tblWorkPackages[[#This Row],[Request date serial]],3),"yyyy-mm-dd")</f>
        <v>2024-03-18</v>
      </c>
      <c r="P1333" s="51">
        <f>ABS(tblWorkPackages[[#This Row],[Actual labor hours]]-tblWorkPackages[[#This Row],[Estimated labor hours]])</f>
        <v>0.7</v>
      </c>
      <c r="Q1333" s="51">
        <f>IF(tblWorkPackages[[#This Row],[Actual labor hours]]&gt;tblWorkPackages[[#This Row],[Estimated labor hours]],1,0)</f>
        <v>1</v>
      </c>
      <c r="R1333" s="51">
        <f>tblWorkPackages[[#This Row],[Actual labor hours]]-tblWorkPackages[[#This Row],[Estimated labor hours]]</f>
        <v>0.7</v>
      </c>
      <c r="S1333" s="51" t="str">
        <f>IF(tblWorkPackages[[#This Row],[Request date serial]]&lt;ValidationStart,"Train 2024",IF(tblWorkPackages[[#This Row],[Request date serial]]&lt;HoldoutStart,"Validation H1","Holdout H2"))</f>
        <v>Train 2024</v>
      </c>
      <c r="T1333" s="51" t="str">
        <f>IF(tblWorkPackages[[#This Row],[Time split]]="Train 2024","",tblWorkPackages[[#This Row],[Estimated labor hours]]+VLOOKUP(tblWorkPackages[[#This Row],[Task type]],'Forecast validation'!$A$14:$E$25,IF(tblWorkPackages[[#This Row],[Time split]]="Validation H1",4,5),FALSE()))</f>
        <v/>
      </c>
      <c r="U1333" s="51" t="str">
        <f>IF(tblWorkPackages[[#This Row],[Calibrated forecast hours]]="","",ABS(tblWorkPackages[[#This Row],[Actual labor hours]]-tblWorkPackages[[#This Row],[Calibrated forecast hours]]))</f>
        <v/>
      </c>
      <c r="V1333" s="51">
        <f>IF(tblWorkPackages[[#This Row],[Time split]]="Train 2024",tblWorkPackages[[#This Row],[Estimated labor hours]],tblWorkPackages[[#This Row],[Calibrated forecast hours]])</f>
        <v>3.4</v>
      </c>
      <c r="W1333" s="64">
        <f>DATEVALUE(tblWorkPackages[[#This Row],[Request date]])</f>
        <v>45373.0</v>
      </c>
      <c r="X1333" s="64">
        <f>DATEVALUE(tblWorkPackages[[#This Row],[Due date]])</f>
        <v>45379.0</v>
      </c>
      <c r="Y1333" s="64">
        <f>DATEVALUE(tblWorkPackages[[#This Row],[Completion date]])</f>
        <v>45380.0</v>
      </c>
      <c r="Z1333" s="64">
        <f>_xlfn.MINIFS(tblLaborEntries[Work date serial],tblLaborEntries[Work package ID],tblWorkPackages[[#This Row],[Work package ID]])</f>
        <v>45375.0</v>
      </c>
      <c r="AA1333" s="64">
        <f>_xlfn.MAXIFS(tblLaborEntries[Work date serial],tblLaborEntries[Work package ID],tblWorkPackages[[#This Row],[Work package ID]])</f>
        <v>45377.0</v>
      </c>
      <c r="AB1333" s="65">
        <f>IF(tblWorkPackages[[#This Row],[Completion date serial]]&gt;tblWorkPackages[[#This Row],[Due date serial]],1,0)</f>
        <v>1</v>
      </c>
      <c r="AC1333" s="65">
        <f>MAX(0,tblWorkPackages[[#This Row],[Completion date serial]]-tblWorkPackages[[#This Row],[Due date serial]])</f>
        <v>1</v>
      </c>
      <c r="AD1333" s="65">
        <f>tblWorkPackages[[#This Row],[First labor date]]-tblWorkPackages[[#This Row],[Request date serial]]</f>
        <v>2</v>
      </c>
      <c r="AE1333" s="65">
        <f>tblWorkPackages[[#This Row],[Last labor date]]-tblWorkPackages[[#This Row],[First labor date]]</f>
        <v>2</v>
      </c>
      <c r="AF1333" s="65">
        <f>tblWorkPackages[[#This Row],[Completion date serial]]-tblWorkPackages[[#This Row],[Last labor date]]</f>
        <v>3</v>
      </c>
      <c r="AG1333" s="65">
        <f>tblWorkPackages[[#This Row],[Completion date serial]]-tblWorkPackages[[#This Row],[Request date serial]]</f>
        <v>7</v>
      </c>
      <c r="AH1333" s="65">
        <f>IFERROR(INDEX(tblParts[Delay days],MATCH(tblWorkPackages[[#This Row],[Work package ID]],tblParts[Work package ID],0)),0)</f>
        <v>0</v>
      </c>
      <c r="AI1333" s="51" t="str">
        <f>IFERROR(INDEX(tblDisruptions[Event type],MATCH(tblWorkPackages[[#This Row],[Work package ID]],tblDisruptions[Work package ID],0)),"None")</f>
        <v>None</v>
      </c>
      <c r="AJ1333" s="51" t="str">
        <f>TEXT(tblWorkPackages[[#This Row],[Due date serial]],"yyyy-mm")</f>
        <v>2024-03</v>
      </c>
    </row>
    <row r="1334" spans="1:36" ht="15" x14ac:dyDescent="0.25">
      <c r="A1334" s="53" t="s">
        <v>2241</v>
      </c>
      <c r="B1334" s="53" t="s">
        <v>141</v>
      </c>
      <c r="C1334" s="53" t="s">
        <v>600</v>
      </c>
      <c r="D1334" s="53" t="s">
        <v>877</v>
      </c>
      <c r="E1334" s="53" t="s">
        <v>272</v>
      </c>
      <c r="F1334" s="53" t="s">
        <v>145</v>
      </c>
      <c r="G1334" s="53" t="s">
        <v>273</v>
      </c>
      <c r="H1334" s="53">
        <v>4</v>
      </c>
      <c r="I1334" s="53" t="s">
        <v>176</v>
      </c>
      <c r="J1334" s="53">
        <v>0</v>
      </c>
      <c r="K1334" s="53">
        <v>0</v>
      </c>
      <c r="L1334" s="53">
        <v>18.600000000000001</v>
      </c>
      <c r="M1334" s="53" t="s">
        <v>512</v>
      </c>
      <c r="N1334" s="53">
        <v>20.6</v>
      </c>
      <c r="O1334" s="51" t="str">
        <f>TEXT(tblWorkPackages[[#This Row],[Request date serial]]-WEEKDAY(tblWorkPackages[[#This Row],[Request date serial]],3),"yyyy-mm-dd")</f>
        <v>2024-11-18</v>
      </c>
      <c r="P1334" s="51">
        <f>ABS(tblWorkPackages[[#This Row],[Actual labor hours]]-tblWorkPackages[[#This Row],[Estimated labor hours]])</f>
        <v>2</v>
      </c>
      <c r="Q1334" s="51">
        <f>IF(tblWorkPackages[[#This Row],[Actual labor hours]]&gt;tblWorkPackages[[#This Row],[Estimated labor hours]],1,0)</f>
        <v>1</v>
      </c>
      <c r="R1334" s="51">
        <f>tblWorkPackages[[#This Row],[Actual labor hours]]-tblWorkPackages[[#This Row],[Estimated labor hours]]</f>
        <v>2</v>
      </c>
      <c r="S1334" s="51" t="str">
        <f>IF(tblWorkPackages[[#This Row],[Request date serial]]&lt;ValidationStart,"Train 2024",IF(tblWorkPackages[[#This Row],[Request date serial]]&lt;HoldoutStart,"Validation H1","Holdout H2"))</f>
        <v>Train 2024</v>
      </c>
      <c r="T1334" s="51" t="str">
        <f>IF(tblWorkPackages[[#This Row],[Time split]]="Train 2024","",tblWorkPackages[[#This Row],[Estimated labor hours]]+VLOOKUP(tblWorkPackages[[#This Row],[Task type]],'Forecast validation'!$A$14:$E$25,IF(tblWorkPackages[[#This Row],[Time split]]="Validation H1",4,5),FALSE()))</f>
        <v/>
      </c>
      <c r="U1334" s="51" t="str">
        <f>IF(tblWorkPackages[[#This Row],[Calibrated forecast hours]]="","",ABS(tblWorkPackages[[#This Row],[Actual labor hours]]-tblWorkPackages[[#This Row],[Calibrated forecast hours]]))</f>
        <v/>
      </c>
      <c r="V1334" s="51">
        <f>IF(tblWorkPackages[[#This Row],[Time split]]="Train 2024",tblWorkPackages[[#This Row],[Estimated labor hours]],tblWorkPackages[[#This Row],[Calibrated forecast hours]])</f>
        <v>18.6</v>
      </c>
      <c r="W1334" s="64">
        <f>DATEVALUE(tblWorkPackages[[#This Row],[Request date]])</f>
        <v>45618.0</v>
      </c>
      <c r="X1334" s="64">
        <f>DATEVALUE(tblWorkPackages[[#This Row],[Due date]])</f>
        <v>45624.0</v>
      </c>
      <c r="Y1334" s="64">
        <f>DATEVALUE(tblWorkPackages[[#This Row],[Completion date]])</f>
        <v>45641.0</v>
      </c>
      <c r="Z1334" s="64">
        <f>_xlfn.MINIFS(tblLaborEntries[Work date serial],tblLaborEntries[Work package ID],tblWorkPackages[[#This Row],[Work package ID]])</f>
        <v>45639.0</v>
      </c>
      <c r="AA1334" s="64">
        <f>_xlfn.MAXIFS(tblLaborEntries[Work date serial],tblLaborEntries[Work package ID],tblWorkPackages[[#This Row],[Work package ID]])</f>
        <v>45641.0</v>
      </c>
      <c r="AB1334" s="65">
        <f>IF(tblWorkPackages[[#This Row],[Completion date serial]]&gt;tblWorkPackages[[#This Row],[Due date serial]],1,0)</f>
        <v>1</v>
      </c>
      <c r="AC1334" s="65">
        <f>MAX(0,tblWorkPackages[[#This Row],[Completion date serial]]-tblWorkPackages[[#This Row],[Due date serial]])</f>
        <v>17</v>
      </c>
      <c r="AD1334" s="65">
        <f>tblWorkPackages[[#This Row],[First labor date]]-tblWorkPackages[[#This Row],[Request date serial]]</f>
        <v>21</v>
      </c>
      <c r="AE1334" s="65">
        <f>tblWorkPackages[[#This Row],[Last labor date]]-tblWorkPackages[[#This Row],[First labor date]]</f>
        <v>2</v>
      </c>
      <c r="AF1334" s="65">
        <f>tblWorkPackages[[#This Row],[Completion date serial]]-tblWorkPackages[[#This Row],[Last labor date]]</f>
        <v>0</v>
      </c>
      <c r="AG1334" s="65">
        <f>tblWorkPackages[[#This Row],[Completion date serial]]-tblWorkPackages[[#This Row],[Request date serial]]</f>
        <v>23</v>
      </c>
      <c r="AH1334" s="65">
        <f>IFERROR(INDEX(tblParts[Delay days],MATCH(tblWorkPackages[[#This Row],[Work package ID]],tblParts[Work package ID],0)),0)</f>
        <v>0</v>
      </c>
      <c r="AI1334" s="51" t="str">
        <f>IFERROR(INDEX(tblDisruptions[Event type],MATCH(tblWorkPackages[[#This Row],[Work package ID]],tblDisruptions[Work package ID],0)),"None")</f>
        <v>Repeat inspection</v>
      </c>
      <c r="AJ1334" s="51" t="str">
        <f>TEXT(tblWorkPackages[[#This Row],[Due date serial]],"yyyy-mm")</f>
        <v>2024-11</v>
      </c>
    </row>
    <row r="1335" spans="1:36" ht="15" x14ac:dyDescent="0.25">
      <c r="A1335" s="53" t="s">
        <v>2242</v>
      </c>
      <c r="B1335" s="53" t="s">
        <v>185</v>
      </c>
      <c r="C1335" s="53" t="s">
        <v>942</v>
      </c>
      <c r="D1335" s="53" t="s">
        <v>542</v>
      </c>
      <c r="E1335" s="53" t="s">
        <v>242</v>
      </c>
      <c r="F1335" s="53" t="s">
        <v>243</v>
      </c>
      <c r="G1335" s="53" t="s">
        <v>129</v>
      </c>
      <c r="H1335" s="53">
        <v>3</v>
      </c>
      <c r="I1335" s="53" t="s">
        <v>147</v>
      </c>
      <c r="J1335" s="53">
        <v>0</v>
      </c>
      <c r="K1335" s="53">
        <v>0</v>
      </c>
      <c r="L1335" s="53">
        <v>10.8</v>
      </c>
      <c r="M1335" s="53" t="s">
        <v>1534</v>
      </c>
      <c r="N1335" s="53">
        <v>10.4</v>
      </c>
      <c r="O1335" s="51" t="str">
        <f>TEXT(tblWorkPackages[[#This Row],[Request date serial]]-WEEKDAY(tblWorkPackages[[#This Row],[Request date serial]],3),"yyyy-mm-dd")</f>
        <v>2025-10-13</v>
      </c>
      <c r="P1335" s="51">
        <f>ABS(tblWorkPackages[[#This Row],[Actual labor hours]]-tblWorkPackages[[#This Row],[Estimated labor hours]])</f>
        <v>0.4</v>
      </c>
      <c r="Q1335" s="51">
        <f>IF(tblWorkPackages[[#This Row],[Actual labor hours]]&gt;tblWorkPackages[[#This Row],[Estimated labor hours]],1,0)</f>
        <v>0</v>
      </c>
      <c r="R1335" s="51">
        <f>tblWorkPackages[[#This Row],[Actual labor hours]]-tblWorkPackages[[#This Row],[Estimated labor hours]]</f>
        <v>-0.4</v>
      </c>
      <c r="S1335" s="51" t="str">
        <f>IF(tblWorkPackages[[#This Row],[Request date serial]]&lt;ValidationStart,"Train 2024",IF(tblWorkPackages[[#This Row],[Request date serial]]&lt;HoldoutStart,"Validation H1","Holdout H2"))</f>
        <v>Holdout H2</v>
      </c>
      <c r="T1335" s="51">
        <f>IF(tblWorkPackages[[#This Row],[Time split]]="Train 2024","",tblWorkPackages[[#This Row],[Estimated labor hours]]+VLOOKUP(tblWorkPackages[[#This Row],[Task type]],'Forecast validation'!$A$14:$E$25,IF(tblWorkPackages[[#This Row],[Time split]]="Validation H1",4,5),FALSE()))</f>
        <v>11.6254545454545</v>
      </c>
      <c r="U1335" s="51">
        <f>IF(tblWorkPackages[[#This Row],[Calibrated forecast hours]]="","",ABS(tblWorkPackages[[#This Row],[Actual labor hours]]-tblWorkPackages[[#This Row],[Calibrated forecast hours]]))</f>
        <v>1.22545454545455</v>
      </c>
      <c r="V1335" s="51">
        <f>IF(tblWorkPackages[[#This Row],[Time split]]="Train 2024",tblWorkPackages[[#This Row],[Estimated labor hours]],tblWorkPackages[[#This Row],[Calibrated forecast hours]])</f>
        <v>11.6254545454545</v>
      </c>
      <c r="W1335" s="64">
        <f>DATEVALUE(tblWorkPackages[[#This Row],[Request date]])</f>
        <v>45946.0</v>
      </c>
      <c r="X1335" s="64">
        <f>DATEVALUE(tblWorkPackages[[#This Row],[Due date]])</f>
        <v>45948.0</v>
      </c>
      <c r="Y1335" s="64">
        <f>DATEVALUE(tblWorkPackages[[#This Row],[Completion date]])</f>
        <v>45951.0</v>
      </c>
      <c r="Z1335" s="64">
        <f>_xlfn.MINIFS(tblLaborEntries[Work date serial],tblLaborEntries[Work package ID],tblWorkPackages[[#This Row],[Work package ID]])</f>
        <v>45950.0</v>
      </c>
      <c r="AA1335" s="64">
        <f>_xlfn.MAXIFS(tblLaborEntries[Work date serial],tblLaborEntries[Work package ID],tblWorkPackages[[#This Row],[Work package ID]])</f>
        <v>45950.0</v>
      </c>
      <c r="AB1335" s="65">
        <f>IF(tblWorkPackages[[#This Row],[Completion date serial]]&gt;tblWorkPackages[[#This Row],[Due date serial]],1,0)</f>
        <v>1</v>
      </c>
      <c r="AC1335" s="65">
        <f>MAX(0,tblWorkPackages[[#This Row],[Completion date serial]]-tblWorkPackages[[#This Row],[Due date serial]])</f>
        <v>3</v>
      </c>
      <c r="AD1335" s="65">
        <f>tblWorkPackages[[#This Row],[First labor date]]-tblWorkPackages[[#This Row],[Request date serial]]</f>
        <v>4</v>
      </c>
      <c r="AE1335" s="65">
        <f>tblWorkPackages[[#This Row],[Last labor date]]-tblWorkPackages[[#This Row],[First labor date]]</f>
        <v>0</v>
      </c>
      <c r="AF1335" s="65">
        <f>tblWorkPackages[[#This Row],[Completion date serial]]-tblWorkPackages[[#This Row],[Last labor date]]</f>
        <v>1</v>
      </c>
      <c r="AG1335" s="65">
        <f>tblWorkPackages[[#This Row],[Completion date serial]]-tblWorkPackages[[#This Row],[Request date serial]]</f>
        <v>5</v>
      </c>
      <c r="AH1335" s="65">
        <f>IFERROR(INDEX(tblParts[Delay days],MATCH(tblWorkPackages[[#This Row],[Work package ID]],tblParts[Work package ID],0)),0)</f>
        <v>0</v>
      </c>
      <c r="AI1335" s="51" t="str">
        <f>IFERROR(INDEX(tblDisruptions[Event type],MATCH(tblWorkPackages[[#This Row],[Work package ID]],tblDisruptions[Work package ID],0)),"None")</f>
        <v>None</v>
      </c>
      <c r="AJ1335" s="51" t="str">
        <f>TEXT(tblWorkPackages[[#This Row],[Due date serial]],"yyyy-mm")</f>
        <v>2025-10</v>
      </c>
    </row>
    <row r="1336" spans="1:36" ht="15" x14ac:dyDescent="0.25">
      <c r="A1336" s="53" t="s">
        <v>2243</v>
      </c>
      <c r="B1336" s="53" t="s">
        <v>185</v>
      </c>
      <c r="C1336" s="53" t="s">
        <v>808</v>
      </c>
      <c r="D1336" s="53" t="s">
        <v>179</v>
      </c>
      <c r="E1336" s="53" t="s">
        <v>242</v>
      </c>
      <c r="F1336" s="53" t="s">
        <v>243</v>
      </c>
      <c r="G1336" s="53" t="s">
        <v>129</v>
      </c>
      <c r="H1336" s="53">
        <v>4</v>
      </c>
      <c r="I1336" s="53" t="s">
        <v>130</v>
      </c>
      <c r="J1336" s="53">
        <v>0</v>
      </c>
      <c r="K1336" s="53">
        <v>1</v>
      </c>
      <c r="L1336" s="53">
        <v>18.3</v>
      </c>
      <c r="M1336" s="53" t="s">
        <v>729</v>
      </c>
      <c r="N1336" s="53">
        <v>17</v>
      </c>
      <c r="O1336" s="51" t="str">
        <f>TEXT(tblWorkPackages[[#This Row],[Request date serial]]-WEEKDAY(tblWorkPackages[[#This Row],[Request date serial]],3),"yyyy-mm-dd")</f>
        <v>2025-04-28</v>
      </c>
      <c r="P1336" s="51">
        <f>ABS(tblWorkPackages[[#This Row],[Actual labor hours]]-tblWorkPackages[[#This Row],[Estimated labor hours]])</f>
        <v>1.3</v>
      </c>
      <c r="Q1336" s="51">
        <f>IF(tblWorkPackages[[#This Row],[Actual labor hours]]&gt;tblWorkPackages[[#This Row],[Estimated labor hours]],1,0)</f>
        <v>0</v>
      </c>
      <c r="R1336" s="51">
        <f>tblWorkPackages[[#This Row],[Actual labor hours]]-tblWorkPackages[[#This Row],[Estimated labor hours]]</f>
        <v>-1.3</v>
      </c>
      <c r="S1336" s="51" t="str">
        <f>IF(tblWorkPackages[[#This Row],[Request date serial]]&lt;ValidationStart,"Train 2024",IF(tblWorkPackages[[#This Row],[Request date serial]]&lt;HoldoutStart,"Validation H1","Holdout H2"))</f>
        <v>Validation H1</v>
      </c>
      <c r="T1336" s="51">
        <f>IF(tblWorkPackages[[#This Row],[Time split]]="Train 2024","",tblWorkPackages[[#This Row],[Estimated labor hours]]+VLOOKUP(tblWorkPackages[[#This Row],[Task type]],'Forecast validation'!$A$14:$E$25,IF(tblWorkPackages[[#This Row],[Time split]]="Validation H1",4,5),FALSE()))</f>
        <v>18.8561224489796</v>
      </c>
      <c r="U1336" s="51">
        <f>IF(tblWorkPackages[[#This Row],[Calibrated forecast hours]]="","",ABS(tblWorkPackages[[#This Row],[Actual labor hours]]-tblWorkPackages[[#This Row],[Calibrated forecast hours]]))</f>
        <v>1.85612244897959</v>
      </c>
      <c r="V1336" s="51">
        <f>IF(tblWorkPackages[[#This Row],[Time split]]="Train 2024",tblWorkPackages[[#This Row],[Estimated labor hours]],tblWorkPackages[[#This Row],[Calibrated forecast hours]])</f>
        <v>18.8561224489796</v>
      </c>
      <c r="W1336" s="64">
        <f>DATEVALUE(tblWorkPackages[[#This Row],[Request date]])</f>
        <v>45779.0</v>
      </c>
      <c r="X1336" s="64">
        <f>DATEVALUE(tblWorkPackages[[#This Row],[Due date]])</f>
        <v>45792.0</v>
      </c>
      <c r="Y1336" s="64">
        <f>DATEVALUE(tblWorkPackages[[#This Row],[Completion date]])</f>
        <v>45784.0</v>
      </c>
      <c r="Z1336" s="64">
        <f>_xlfn.MINIFS(tblLaborEntries[Work date serial],tblLaborEntries[Work package ID],tblWorkPackages[[#This Row],[Work package ID]])</f>
        <v>45780.0</v>
      </c>
      <c r="AA1336" s="64">
        <f>_xlfn.MAXIFS(tblLaborEntries[Work date serial],tblLaborEntries[Work package ID],tblWorkPackages[[#This Row],[Work package ID]])</f>
        <v>45782.0</v>
      </c>
      <c r="AB1336" s="65">
        <f>IF(tblWorkPackages[[#This Row],[Completion date serial]]&gt;tblWorkPackages[[#This Row],[Due date serial]],1,0)</f>
        <v>0</v>
      </c>
      <c r="AC1336" s="65">
        <f>MAX(0,tblWorkPackages[[#This Row],[Completion date serial]]-tblWorkPackages[[#This Row],[Due date serial]])</f>
        <v>0</v>
      </c>
      <c r="AD1336" s="65">
        <f>tblWorkPackages[[#This Row],[First labor date]]-tblWorkPackages[[#This Row],[Request date serial]]</f>
        <v>1</v>
      </c>
      <c r="AE1336" s="65">
        <f>tblWorkPackages[[#This Row],[Last labor date]]-tblWorkPackages[[#This Row],[First labor date]]</f>
        <v>2</v>
      </c>
      <c r="AF1336" s="65">
        <f>tblWorkPackages[[#This Row],[Completion date serial]]-tblWorkPackages[[#This Row],[Last labor date]]</f>
        <v>2</v>
      </c>
      <c r="AG1336" s="65">
        <f>tblWorkPackages[[#This Row],[Completion date serial]]-tblWorkPackages[[#This Row],[Request date serial]]</f>
        <v>5</v>
      </c>
      <c r="AH1336" s="65">
        <f>IFERROR(INDEX(tblParts[Delay days],MATCH(tblWorkPackages[[#This Row],[Work package ID]],tblParts[Work package ID],0)),0)</f>
        <v>0</v>
      </c>
      <c r="AI1336" s="51" t="str">
        <f>IFERROR(INDEX(tblDisruptions[Event type],MATCH(tblWorkPackages[[#This Row],[Work package ID]],tblDisruptions[Work package ID],0)),"None")</f>
        <v>None</v>
      </c>
      <c r="AJ1336" s="51" t="str">
        <f>TEXT(tblWorkPackages[[#This Row],[Due date serial]],"yyyy-mm")</f>
        <v>2025-05</v>
      </c>
    </row>
    <row r="1337" spans="1:36" ht="15" x14ac:dyDescent="0.25">
      <c r="A1337" s="53" t="s">
        <v>2244</v>
      </c>
      <c r="B1337" s="53" t="s">
        <v>287</v>
      </c>
      <c r="C1337" s="53" t="s">
        <v>417</v>
      </c>
      <c r="D1337" s="53" t="s">
        <v>301</v>
      </c>
      <c r="E1337" s="53" t="s">
        <v>153</v>
      </c>
      <c r="F1337" s="53" t="s">
        <v>128</v>
      </c>
      <c r="G1337" s="53" t="s">
        <v>154</v>
      </c>
      <c r="H1337" s="53">
        <v>3</v>
      </c>
      <c r="I1337" s="53" t="s">
        <v>176</v>
      </c>
      <c r="J1337" s="53">
        <v>0</v>
      </c>
      <c r="K1337" s="53">
        <v>0</v>
      </c>
      <c r="L1337" s="53">
        <v>14.6</v>
      </c>
      <c r="M1337" s="53" t="s">
        <v>633</v>
      </c>
      <c r="N1337" s="53">
        <v>16.100000000000001</v>
      </c>
      <c r="O1337" s="51" t="str">
        <f>TEXT(tblWorkPackages[[#This Row],[Request date serial]]-WEEKDAY(tblWorkPackages[[#This Row],[Request date serial]],3),"yyyy-mm-dd")</f>
        <v>2024-04-29</v>
      </c>
      <c r="P1337" s="51">
        <f>ABS(tblWorkPackages[[#This Row],[Actual labor hours]]-tblWorkPackages[[#This Row],[Estimated labor hours]])</f>
        <v>1.5</v>
      </c>
      <c r="Q1337" s="51">
        <f>IF(tblWorkPackages[[#This Row],[Actual labor hours]]&gt;tblWorkPackages[[#This Row],[Estimated labor hours]],1,0)</f>
        <v>1</v>
      </c>
      <c r="R1337" s="51">
        <f>tblWorkPackages[[#This Row],[Actual labor hours]]-tblWorkPackages[[#This Row],[Estimated labor hours]]</f>
        <v>1.5</v>
      </c>
      <c r="S1337" s="51" t="str">
        <f>IF(tblWorkPackages[[#This Row],[Request date serial]]&lt;ValidationStart,"Train 2024",IF(tblWorkPackages[[#This Row],[Request date serial]]&lt;HoldoutStart,"Validation H1","Holdout H2"))</f>
        <v>Train 2024</v>
      </c>
      <c r="T1337" s="51" t="str">
        <f>IF(tblWorkPackages[[#This Row],[Time split]]="Train 2024","",tblWorkPackages[[#This Row],[Estimated labor hours]]+VLOOKUP(tblWorkPackages[[#This Row],[Task type]],'Forecast validation'!$A$14:$E$25,IF(tblWorkPackages[[#This Row],[Time split]]="Validation H1",4,5),FALSE()))</f>
        <v/>
      </c>
      <c r="U1337" s="51" t="str">
        <f>IF(tblWorkPackages[[#This Row],[Calibrated forecast hours]]="","",ABS(tblWorkPackages[[#This Row],[Actual labor hours]]-tblWorkPackages[[#This Row],[Calibrated forecast hours]]))</f>
        <v/>
      </c>
      <c r="V1337" s="51">
        <f>IF(tblWorkPackages[[#This Row],[Time split]]="Train 2024",tblWorkPackages[[#This Row],[Estimated labor hours]],tblWorkPackages[[#This Row],[Calibrated forecast hours]])</f>
        <v>14.6</v>
      </c>
      <c r="W1337" s="64">
        <f>DATEVALUE(tblWorkPackages[[#This Row],[Request date]])</f>
        <v>45416.0</v>
      </c>
      <c r="X1337" s="64">
        <f>DATEVALUE(tblWorkPackages[[#This Row],[Due date]])</f>
        <v>45422.0</v>
      </c>
      <c r="Y1337" s="64">
        <f>DATEVALUE(tblWorkPackages[[#This Row],[Completion date]])</f>
        <v>45431.0</v>
      </c>
      <c r="Z1337" s="64">
        <f>_xlfn.MINIFS(tblLaborEntries[Work date serial],tblLaborEntries[Work package ID],tblWorkPackages[[#This Row],[Work package ID]])</f>
        <v>45428.0</v>
      </c>
      <c r="AA1337" s="64">
        <f>_xlfn.MAXIFS(tblLaborEntries[Work date serial],tblLaborEntries[Work package ID],tblWorkPackages[[#This Row],[Work package ID]])</f>
        <v>45428.0</v>
      </c>
      <c r="AB1337" s="65">
        <f>IF(tblWorkPackages[[#This Row],[Completion date serial]]&gt;tblWorkPackages[[#This Row],[Due date serial]],1,0)</f>
        <v>1</v>
      </c>
      <c r="AC1337" s="65">
        <f>MAX(0,tblWorkPackages[[#This Row],[Completion date serial]]-tblWorkPackages[[#This Row],[Due date serial]])</f>
        <v>9</v>
      </c>
      <c r="AD1337" s="65">
        <f>tblWorkPackages[[#This Row],[First labor date]]-tblWorkPackages[[#This Row],[Request date serial]]</f>
        <v>12</v>
      </c>
      <c r="AE1337" s="65">
        <f>tblWorkPackages[[#This Row],[Last labor date]]-tblWorkPackages[[#This Row],[First labor date]]</f>
        <v>0</v>
      </c>
      <c r="AF1337" s="65">
        <f>tblWorkPackages[[#This Row],[Completion date serial]]-tblWorkPackages[[#This Row],[Last labor date]]</f>
        <v>3</v>
      </c>
      <c r="AG1337" s="65">
        <f>tblWorkPackages[[#This Row],[Completion date serial]]-tblWorkPackages[[#This Row],[Request date serial]]</f>
        <v>15</v>
      </c>
      <c r="AH1337" s="65">
        <f>IFERROR(INDEX(tblParts[Delay days],MATCH(tblWorkPackages[[#This Row],[Work package ID]],tblParts[Work package ID],0)),0)</f>
        <v>0</v>
      </c>
      <c r="AI1337" s="51" t="str">
        <f>IFERROR(INDEX(tblDisruptions[Event type],MATCH(tblWorkPackages[[#This Row],[Work package ID]],tblDisruptions[Work package ID],0)),"None")</f>
        <v>None</v>
      </c>
      <c r="AJ1337" s="51" t="str">
        <f>TEXT(tblWorkPackages[[#This Row],[Due date serial]],"yyyy-mm")</f>
        <v>2024-05</v>
      </c>
    </row>
    <row r="1338" spans="1:36" ht="15" x14ac:dyDescent="0.25">
      <c r="A1338" s="53" t="s">
        <v>2245</v>
      </c>
      <c r="B1338" s="53" t="s">
        <v>287</v>
      </c>
      <c r="C1338" s="53" t="s">
        <v>817</v>
      </c>
      <c r="D1338" s="53" t="s">
        <v>1128</v>
      </c>
      <c r="E1338" s="53" t="s">
        <v>153</v>
      </c>
      <c r="F1338" s="53" t="s">
        <v>128</v>
      </c>
      <c r="G1338" s="53" t="s">
        <v>154</v>
      </c>
      <c r="H1338" s="53">
        <v>4</v>
      </c>
      <c r="I1338" s="53" t="s">
        <v>147</v>
      </c>
      <c r="J1338" s="53">
        <v>0</v>
      </c>
      <c r="K1338" s="53">
        <v>0</v>
      </c>
      <c r="L1338" s="53">
        <v>16.8</v>
      </c>
      <c r="M1338" s="53" t="s">
        <v>1073</v>
      </c>
      <c r="N1338" s="53">
        <v>20.9</v>
      </c>
      <c r="O1338" s="51" t="str">
        <f>TEXT(tblWorkPackages[[#This Row],[Request date serial]]-WEEKDAY(tblWorkPackages[[#This Row],[Request date serial]],3),"yyyy-mm-dd")</f>
        <v>2024-12-09</v>
      </c>
      <c r="P1338" s="51">
        <f>ABS(tblWorkPackages[[#This Row],[Actual labor hours]]-tblWorkPackages[[#This Row],[Estimated labor hours]])</f>
        <v>4.1</v>
      </c>
      <c r="Q1338" s="51">
        <f>IF(tblWorkPackages[[#This Row],[Actual labor hours]]&gt;tblWorkPackages[[#This Row],[Estimated labor hours]],1,0)</f>
        <v>1</v>
      </c>
      <c r="R1338" s="51">
        <f>tblWorkPackages[[#This Row],[Actual labor hours]]-tblWorkPackages[[#This Row],[Estimated labor hours]]</f>
        <v>4.1</v>
      </c>
      <c r="S1338" s="51" t="str">
        <f>IF(tblWorkPackages[[#This Row],[Request date serial]]&lt;ValidationStart,"Train 2024",IF(tblWorkPackages[[#This Row],[Request date serial]]&lt;HoldoutStart,"Validation H1","Holdout H2"))</f>
        <v>Train 2024</v>
      </c>
      <c r="T1338" s="51" t="str">
        <f>IF(tblWorkPackages[[#This Row],[Time split]]="Train 2024","",tblWorkPackages[[#This Row],[Estimated labor hours]]+VLOOKUP(tblWorkPackages[[#This Row],[Task type]],'Forecast validation'!$A$14:$E$25,IF(tblWorkPackages[[#This Row],[Time split]]="Validation H1",4,5),FALSE()))</f>
        <v/>
      </c>
      <c r="U1338" s="51" t="str">
        <f>IF(tblWorkPackages[[#This Row],[Calibrated forecast hours]]="","",ABS(tblWorkPackages[[#This Row],[Actual labor hours]]-tblWorkPackages[[#This Row],[Calibrated forecast hours]]))</f>
        <v/>
      </c>
      <c r="V1338" s="51">
        <f>IF(tblWorkPackages[[#This Row],[Time split]]="Train 2024",tblWorkPackages[[#This Row],[Estimated labor hours]],tblWorkPackages[[#This Row],[Calibrated forecast hours]])</f>
        <v>16.8</v>
      </c>
      <c r="W1338" s="64">
        <f>DATEVALUE(tblWorkPackages[[#This Row],[Request date]])</f>
        <v>45637.0</v>
      </c>
      <c r="X1338" s="64">
        <f>DATEVALUE(tblWorkPackages[[#This Row],[Due date]])</f>
        <v>45639.0</v>
      </c>
      <c r="Y1338" s="64">
        <f>DATEVALUE(tblWorkPackages[[#This Row],[Completion date]])</f>
        <v>45642.0</v>
      </c>
      <c r="Z1338" s="64">
        <f>_xlfn.MINIFS(tblLaborEntries[Work date serial],tblLaborEntries[Work package ID],tblWorkPackages[[#This Row],[Work package ID]])</f>
        <v>45640.0</v>
      </c>
      <c r="AA1338" s="64">
        <f>_xlfn.MAXIFS(tblLaborEntries[Work date serial],tblLaborEntries[Work package ID],tblWorkPackages[[#This Row],[Work package ID]])</f>
        <v>45642.0</v>
      </c>
      <c r="AB1338" s="65">
        <f>IF(tblWorkPackages[[#This Row],[Completion date serial]]&gt;tblWorkPackages[[#This Row],[Due date serial]],1,0)</f>
        <v>1</v>
      </c>
      <c r="AC1338" s="65">
        <f>MAX(0,tblWorkPackages[[#This Row],[Completion date serial]]-tblWorkPackages[[#This Row],[Due date serial]])</f>
        <v>3</v>
      </c>
      <c r="AD1338" s="65">
        <f>tblWorkPackages[[#This Row],[First labor date]]-tblWorkPackages[[#This Row],[Request date serial]]</f>
        <v>3</v>
      </c>
      <c r="AE1338" s="65">
        <f>tblWorkPackages[[#This Row],[Last labor date]]-tblWorkPackages[[#This Row],[First labor date]]</f>
        <v>2</v>
      </c>
      <c r="AF1338" s="65">
        <f>tblWorkPackages[[#This Row],[Completion date serial]]-tblWorkPackages[[#This Row],[Last labor date]]</f>
        <v>0</v>
      </c>
      <c r="AG1338" s="65">
        <f>tblWorkPackages[[#This Row],[Completion date serial]]-tblWorkPackages[[#This Row],[Request date serial]]</f>
        <v>5</v>
      </c>
      <c r="AH1338" s="65">
        <f>IFERROR(INDEX(tblParts[Delay days],MATCH(tblWorkPackages[[#This Row],[Work package ID]],tblParts[Work package ID],0)),0)</f>
        <v>0</v>
      </c>
      <c r="AI1338" s="51" t="str">
        <f>IFERROR(INDEX(tblDisruptions[Event type],MATCH(tblWorkPackages[[#This Row],[Work package ID]],tblDisruptions[Work package ID],0)),"None")</f>
        <v>None</v>
      </c>
      <c r="AJ1338" s="51" t="str">
        <f>TEXT(tblWorkPackages[[#This Row],[Due date serial]],"yyyy-mm")</f>
        <v>2024-12</v>
      </c>
    </row>
    <row r="1339" spans="1:36" ht="15" x14ac:dyDescent="0.25">
      <c r="A1339" s="53" t="s">
        <v>2246</v>
      </c>
      <c r="B1339" s="53" t="s">
        <v>235</v>
      </c>
      <c r="C1339" s="53" t="s">
        <v>1276</v>
      </c>
      <c r="D1339" s="53" t="s">
        <v>1256</v>
      </c>
      <c r="E1339" s="53" t="s">
        <v>200</v>
      </c>
      <c r="F1339" s="53" t="s">
        <v>128</v>
      </c>
      <c r="G1339" s="53" t="s">
        <v>129</v>
      </c>
      <c r="H1339" s="53">
        <v>2</v>
      </c>
      <c r="I1339" s="53" t="s">
        <v>176</v>
      </c>
      <c r="J1339" s="53">
        <v>0</v>
      </c>
      <c r="K1339" s="53">
        <v>1</v>
      </c>
      <c r="L1339" s="53">
        <v>3.2</v>
      </c>
      <c r="M1339" s="53" t="s">
        <v>343</v>
      </c>
      <c r="N1339" s="53">
        <v>2.7</v>
      </c>
      <c r="O1339" s="51" t="str">
        <f>TEXT(tblWorkPackages[[#This Row],[Request date serial]]-WEEKDAY(tblWorkPackages[[#This Row],[Request date serial]],3),"yyyy-mm-dd")</f>
        <v>2025-06-16</v>
      </c>
      <c r="P1339" s="51">
        <f>ABS(tblWorkPackages[[#This Row],[Actual labor hours]]-tblWorkPackages[[#This Row],[Estimated labor hours]])</f>
        <v>0.5</v>
      </c>
      <c r="Q1339" s="51">
        <f>IF(tblWorkPackages[[#This Row],[Actual labor hours]]&gt;tblWorkPackages[[#This Row],[Estimated labor hours]],1,0)</f>
        <v>0</v>
      </c>
      <c r="R1339" s="51">
        <f>tblWorkPackages[[#This Row],[Actual labor hours]]-tblWorkPackages[[#This Row],[Estimated labor hours]]</f>
        <v>-0.5</v>
      </c>
      <c r="S1339" s="51" t="str">
        <f>IF(tblWorkPackages[[#This Row],[Request date serial]]&lt;ValidationStart,"Train 2024",IF(tblWorkPackages[[#This Row],[Request date serial]]&lt;HoldoutStart,"Validation H1","Holdout H2"))</f>
        <v>Validation H1</v>
      </c>
      <c r="T1339" s="51">
        <f>IF(tblWorkPackages[[#This Row],[Time split]]="Train 2024","",tblWorkPackages[[#This Row],[Estimated labor hours]]+VLOOKUP(tblWorkPackages[[#This Row],[Task type]],'Forecast validation'!$A$14:$E$25,IF(tblWorkPackages[[#This Row],[Time split]]="Validation H1",4,5),FALSE()))</f>
        <v>3.53069306930693</v>
      </c>
      <c r="U1339" s="51">
        <f>IF(tblWorkPackages[[#This Row],[Calibrated forecast hours]]="","",ABS(tblWorkPackages[[#This Row],[Actual labor hours]]-tblWorkPackages[[#This Row],[Calibrated forecast hours]]))</f>
        <v>0.830693069306931</v>
      </c>
      <c r="V1339" s="51">
        <f>IF(tblWorkPackages[[#This Row],[Time split]]="Train 2024",tblWorkPackages[[#This Row],[Estimated labor hours]],tblWorkPackages[[#This Row],[Calibrated forecast hours]])</f>
        <v>3.53069306930693</v>
      </c>
      <c r="W1339" s="64">
        <f>DATEVALUE(tblWorkPackages[[#This Row],[Request date]])</f>
        <v>45825.0</v>
      </c>
      <c r="X1339" s="64">
        <f>DATEVALUE(tblWorkPackages[[#This Row],[Due date]])</f>
        <v>45831.0</v>
      </c>
      <c r="Y1339" s="64">
        <f>DATEVALUE(tblWorkPackages[[#This Row],[Completion date]])</f>
        <v>45862.0</v>
      </c>
      <c r="Z1339" s="64">
        <f>_xlfn.MINIFS(tblLaborEntries[Work date serial],tblLaborEntries[Work package ID],tblWorkPackages[[#This Row],[Work package ID]])</f>
        <v>45859.0</v>
      </c>
      <c r="AA1339" s="64">
        <f>_xlfn.MAXIFS(tblLaborEntries[Work date serial],tblLaborEntries[Work package ID],tblWorkPackages[[#This Row],[Work package ID]])</f>
        <v>45861.0</v>
      </c>
      <c r="AB1339" s="65">
        <f>IF(tblWorkPackages[[#This Row],[Completion date serial]]&gt;tblWorkPackages[[#This Row],[Due date serial]],1,0)</f>
        <v>1</v>
      </c>
      <c r="AC1339" s="65">
        <f>MAX(0,tblWorkPackages[[#This Row],[Completion date serial]]-tblWorkPackages[[#This Row],[Due date serial]])</f>
        <v>31</v>
      </c>
      <c r="AD1339" s="65">
        <f>tblWorkPackages[[#This Row],[First labor date]]-tblWorkPackages[[#This Row],[Request date serial]]</f>
        <v>34</v>
      </c>
      <c r="AE1339" s="65">
        <f>tblWorkPackages[[#This Row],[Last labor date]]-tblWorkPackages[[#This Row],[First labor date]]</f>
        <v>2</v>
      </c>
      <c r="AF1339" s="65">
        <f>tblWorkPackages[[#This Row],[Completion date serial]]-tblWorkPackages[[#This Row],[Last labor date]]</f>
        <v>1</v>
      </c>
      <c r="AG1339" s="65">
        <f>tblWorkPackages[[#This Row],[Completion date serial]]-tblWorkPackages[[#This Row],[Request date serial]]</f>
        <v>37</v>
      </c>
      <c r="AH1339" s="65">
        <f>IFERROR(INDEX(tblParts[Delay days],MATCH(tblWorkPackages[[#This Row],[Work package ID]],tblParts[Work package ID],0)),0)</f>
        <v>0</v>
      </c>
      <c r="AI1339" s="51" t="str">
        <f>IFERROR(INDEX(tblDisruptions[Event type],MATCH(tblWorkPackages[[#This Row],[Work package ID]],tblDisruptions[Work package ID],0)),"None")</f>
        <v>None</v>
      </c>
      <c r="AJ1339" s="51" t="str">
        <f>TEXT(tblWorkPackages[[#This Row],[Due date serial]],"yyyy-mm")</f>
        <v>2025-06</v>
      </c>
    </row>
    <row r="1340" spans="1:36" ht="15" x14ac:dyDescent="0.25">
      <c r="A1340" s="53" t="s">
        <v>2247</v>
      </c>
      <c r="B1340" s="53" t="s">
        <v>168</v>
      </c>
      <c r="C1340" s="53" t="s">
        <v>600</v>
      </c>
      <c r="D1340" s="53" t="s">
        <v>267</v>
      </c>
      <c r="E1340" s="53" t="s">
        <v>181</v>
      </c>
      <c r="F1340" s="53" t="s">
        <v>182</v>
      </c>
      <c r="G1340" s="53" t="s">
        <v>138</v>
      </c>
      <c r="H1340" s="53">
        <v>2</v>
      </c>
      <c r="I1340" s="53" t="s">
        <v>130</v>
      </c>
      <c r="J1340" s="53">
        <v>0</v>
      </c>
      <c r="K1340" s="53">
        <v>0</v>
      </c>
      <c r="L1340" s="53">
        <v>7</v>
      </c>
      <c r="M1340" s="53" t="s">
        <v>158</v>
      </c>
      <c r="N1340" s="53">
        <v>8.1999999999999993</v>
      </c>
      <c r="O1340" s="51" t="str">
        <f>TEXT(tblWorkPackages[[#This Row],[Request date serial]]-WEEKDAY(tblWorkPackages[[#This Row],[Request date serial]],3),"yyyy-mm-dd")</f>
        <v>2024-11-18</v>
      </c>
      <c r="P1340" s="51">
        <f>ABS(tblWorkPackages[[#This Row],[Actual labor hours]]-tblWorkPackages[[#This Row],[Estimated labor hours]])</f>
        <v>1.2</v>
      </c>
      <c r="Q1340" s="51">
        <f>IF(tblWorkPackages[[#This Row],[Actual labor hours]]&gt;tblWorkPackages[[#This Row],[Estimated labor hours]],1,0)</f>
        <v>1</v>
      </c>
      <c r="R1340" s="51">
        <f>tblWorkPackages[[#This Row],[Actual labor hours]]-tblWorkPackages[[#This Row],[Estimated labor hours]]</f>
        <v>1.2</v>
      </c>
      <c r="S1340" s="51" t="str">
        <f>IF(tblWorkPackages[[#This Row],[Request date serial]]&lt;ValidationStart,"Train 2024",IF(tblWorkPackages[[#This Row],[Request date serial]]&lt;HoldoutStart,"Validation H1","Holdout H2"))</f>
        <v>Train 2024</v>
      </c>
      <c r="T1340" s="51" t="str">
        <f>IF(tblWorkPackages[[#This Row],[Time split]]="Train 2024","",tblWorkPackages[[#This Row],[Estimated labor hours]]+VLOOKUP(tblWorkPackages[[#This Row],[Task type]],'Forecast validation'!$A$14:$E$25,IF(tblWorkPackages[[#This Row],[Time split]]="Validation H1",4,5),FALSE()))</f>
        <v/>
      </c>
      <c r="U1340" s="51" t="str">
        <f>IF(tblWorkPackages[[#This Row],[Calibrated forecast hours]]="","",ABS(tblWorkPackages[[#This Row],[Actual labor hours]]-tblWorkPackages[[#This Row],[Calibrated forecast hours]]))</f>
        <v/>
      </c>
      <c r="V1340" s="51">
        <f>IF(tblWorkPackages[[#This Row],[Time split]]="Train 2024",tblWorkPackages[[#This Row],[Estimated labor hours]],tblWorkPackages[[#This Row],[Calibrated forecast hours]])</f>
        <v>7</v>
      </c>
      <c r="W1340" s="64">
        <f>DATEVALUE(tblWorkPackages[[#This Row],[Request date]])</f>
        <v>45618.0</v>
      </c>
      <c r="X1340" s="64">
        <f>DATEVALUE(tblWorkPackages[[#This Row],[Due date]])</f>
        <v>45631.0</v>
      </c>
      <c r="Y1340" s="64">
        <f>DATEVALUE(tblWorkPackages[[#This Row],[Completion date]])</f>
        <v>45627.0</v>
      </c>
      <c r="Z1340" s="64">
        <f>_xlfn.MINIFS(tblLaborEntries[Work date serial],tblLaborEntries[Work package ID],tblWorkPackages[[#This Row],[Work package ID]])</f>
        <v>45624.0</v>
      </c>
      <c r="AA1340" s="64">
        <f>_xlfn.MAXIFS(tblLaborEntries[Work date serial],tblLaborEntries[Work package ID],tblWorkPackages[[#This Row],[Work package ID]])</f>
        <v>45625.0</v>
      </c>
      <c r="AB1340" s="65">
        <f>IF(tblWorkPackages[[#This Row],[Completion date serial]]&gt;tblWorkPackages[[#This Row],[Due date serial]],1,0)</f>
        <v>0</v>
      </c>
      <c r="AC1340" s="65">
        <f>MAX(0,tblWorkPackages[[#This Row],[Completion date serial]]-tblWorkPackages[[#This Row],[Due date serial]])</f>
        <v>0</v>
      </c>
      <c r="AD1340" s="65">
        <f>tblWorkPackages[[#This Row],[First labor date]]-tblWorkPackages[[#This Row],[Request date serial]]</f>
        <v>6</v>
      </c>
      <c r="AE1340" s="65">
        <f>tblWorkPackages[[#This Row],[Last labor date]]-tblWorkPackages[[#This Row],[First labor date]]</f>
        <v>1</v>
      </c>
      <c r="AF1340" s="65">
        <f>tblWorkPackages[[#This Row],[Completion date serial]]-tblWorkPackages[[#This Row],[Last labor date]]</f>
        <v>2</v>
      </c>
      <c r="AG1340" s="65">
        <f>tblWorkPackages[[#This Row],[Completion date serial]]-tblWorkPackages[[#This Row],[Request date serial]]</f>
        <v>9</v>
      </c>
      <c r="AH1340" s="65">
        <f>IFERROR(INDEX(tblParts[Delay days],MATCH(tblWorkPackages[[#This Row],[Work package ID]],tblParts[Work package ID],0)),0)</f>
        <v>0</v>
      </c>
      <c r="AI1340" s="51" t="str">
        <f>IFERROR(INDEX(tblDisruptions[Event type],MATCH(tblWorkPackages[[#This Row],[Work package ID]],tblDisruptions[Work package ID],0)),"None")</f>
        <v>None</v>
      </c>
      <c r="AJ1340" s="51" t="str">
        <f>TEXT(tblWorkPackages[[#This Row],[Due date serial]],"yyyy-mm")</f>
        <v>2024-12</v>
      </c>
    </row>
    <row r="1341" spans="1:36" ht="15" x14ac:dyDescent="0.25">
      <c r="A1341" s="53" t="s">
        <v>2248</v>
      </c>
      <c r="B1341" s="53" t="s">
        <v>163</v>
      </c>
      <c r="C1341" s="53" t="s">
        <v>1103</v>
      </c>
      <c r="D1341" s="53" t="s">
        <v>498</v>
      </c>
      <c r="E1341" s="53" t="s">
        <v>153</v>
      </c>
      <c r="F1341" s="53" t="s">
        <v>128</v>
      </c>
      <c r="G1341" s="53" t="s">
        <v>154</v>
      </c>
      <c r="H1341" s="53">
        <v>2</v>
      </c>
      <c r="I1341" s="53" t="s">
        <v>130</v>
      </c>
      <c r="J1341" s="53">
        <v>0</v>
      </c>
      <c r="K1341" s="53">
        <v>0</v>
      </c>
      <c r="L1341" s="53">
        <v>8.1999999999999993</v>
      </c>
      <c r="M1341" s="53" t="s">
        <v>559</v>
      </c>
      <c r="N1341" s="53">
        <v>6.8</v>
      </c>
      <c r="O1341" s="51" t="str">
        <f>TEXT(tblWorkPackages[[#This Row],[Request date serial]]-WEEKDAY(tblWorkPackages[[#This Row],[Request date serial]],3),"yyyy-mm-dd")</f>
        <v>2025-11-03</v>
      </c>
      <c r="P1341" s="51">
        <f>ABS(tblWorkPackages[[#This Row],[Actual labor hours]]-tblWorkPackages[[#This Row],[Estimated labor hours]])</f>
        <v>1.4</v>
      </c>
      <c r="Q1341" s="51">
        <f>IF(tblWorkPackages[[#This Row],[Actual labor hours]]&gt;tblWorkPackages[[#This Row],[Estimated labor hours]],1,0)</f>
        <v>0</v>
      </c>
      <c r="R1341" s="51">
        <f>tblWorkPackages[[#This Row],[Actual labor hours]]-tblWorkPackages[[#This Row],[Estimated labor hours]]</f>
        <v>-1.4</v>
      </c>
      <c r="S1341" s="51" t="str">
        <f>IF(tblWorkPackages[[#This Row],[Request date serial]]&lt;ValidationStart,"Train 2024",IF(tblWorkPackages[[#This Row],[Request date serial]]&lt;HoldoutStart,"Validation H1","Holdout H2"))</f>
        <v>Holdout H2</v>
      </c>
      <c r="T1341" s="51">
        <f>IF(tblWorkPackages[[#This Row],[Time split]]="Train 2024","",tblWorkPackages[[#This Row],[Estimated labor hours]]+VLOOKUP(tblWorkPackages[[#This Row],[Task type]],'Forecast validation'!$A$14:$E$25,IF(tblWorkPackages[[#This Row],[Time split]]="Validation H1",4,5),FALSE()))</f>
        <v>8.80266666666667</v>
      </c>
      <c r="U1341" s="51">
        <f>IF(tblWorkPackages[[#This Row],[Calibrated forecast hours]]="","",ABS(tblWorkPackages[[#This Row],[Actual labor hours]]-tblWorkPackages[[#This Row],[Calibrated forecast hours]]))</f>
        <v>2.00266666666667</v>
      </c>
      <c r="V1341" s="51">
        <f>IF(tblWorkPackages[[#This Row],[Time split]]="Train 2024",tblWorkPackages[[#This Row],[Estimated labor hours]],tblWorkPackages[[#This Row],[Calibrated forecast hours]])</f>
        <v>8.80266666666667</v>
      </c>
      <c r="W1341" s="64">
        <f>DATEVALUE(tblWorkPackages[[#This Row],[Request date]])</f>
        <v>45969.0</v>
      </c>
      <c r="X1341" s="64">
        <f>DATEVALUE(tblWorkPackages[[#This Row],[Due date]])</f>
        <v>45982.0</v>
      </c>
      <c r="Y1341" s="64">
        <f>DATEVALUE(tblWorkPackages[[#This Row],[Completion date]])</f>
        <v>45974.0</v>
      </c>
      <c r="Z1341" s="64">
        <f>_xlfn.MINIFS(tblLaborEntries[Work date serial],tblLaborEntries[Work package ID],tblWorkPackages[[#This Row],[Work package ID]])</f>
        <v>45971.0</v>
      </c>
      <c r="AA1341" s="64">
        <f>_xlfn.MAXIFS(tblLaborEntries[Work date serial],tblLaborEntries[Work package ID],tblWorkPackages[[#This Row],[Work package ID]])</f>
        <v>45971.0</v>
      </c>
      <c r="AB1341" s="65">
        <f>IF(tblWorkPackages[[#This Row],[Completion date serial]]&gt;tblWorkPackages[[#This Row],[Due date serial]],1,0)</f>
        <v>0</v>
      </c>
      <c r="AC1341" s="65">
        <f>MAX(0,tblWorkPackages[[#This Row],[Completion date serial]]-tblWorkPackages[[#This Row],[Due date serial]])</f>
        <v>0</v>
      </c>
      <c r="AD1341" s="65">
        <f>tblWorkPackages[[#This Row],[First labor date]]-tblWorkPackages[[#This Row],[Request date serial]]</f>
        <v>2</v>
      </c>
      <c r="AE1341" s="65">
        <f>tblWorkPackages[[#This Row],[Last labor date]]-tblWorkPackages[[#This Row],[First labor date]]</f>
        <v>0</v>
      </c>
      <c r="AF1341" s="65">
        <f>tblWorkPackages[[#This Row],[Completion date serial]]-tblWorkPackages[[#This Row],[Last labor date]]</f>
        <v>3</v>
      </c>
      <c r="AG1341" s="65">
        <f>tblWorkPackages[[#This Row],[Completion date serial]]-tblWorkPackages[[#This Row],[Request date serial]]</f>
        <v>5</v>
      </c>
      <c r="AH1341" s="65">
        <f>IFERROR(INDEX(tblParts[Delay days],MATCH(tblWorkPackages[[#This Row],[Work package ID]],tblParts[Work package ID],0)),0)</f>
        <v>0</v>
      </c>
      <c r="AI1341" s="51" t="str">
        <f>IFERROR(INDEX(tblDisruptions[Event type],MATCH(tblWorkPackages[[#This Row],[Work package ID]],tblDisruptions[Work package ID],0)),"None")</f>
        <v>None</v>
      </c>
      <c r="AJ1341" s="51" t="str">
        <f>TEXT(tblWorkPackages[[#This Row],[Due date serial]],"yyyy-mm")</f>
        <v>2025-11</v>
      </c>
    </row>
    <row r="1342" spans="1:36" ht="15" x14ac:dyDescent="0.25">
      <c r="A1342" s="53" t="s">
        <v>2249</v>
      </c>
      <c r="B1342" s="53" t="s">
        <v>287</v>
      </c>
      <c r="C1342" s="53" t="s">
        <v>329</v>
      </c>
      <c r="D1342" s="53" t="s">
        <v>667</v>
      </c>
      <c r="E1342" s="53" t="s">
        <v>242</v>
      </c>
      <c r="F1342" s="53" t="s">
        <v>243</v>
      </c>
      <c r="G1342" s="53" t="s">
        <v>129</v>
      </c>
      <c r="H1342" s="53">
        <v>2</v>
      </c>
      <c r="I1342" s="53" t="s">
        <v>176</v>
      </c>
      <c r="J1342" s="53">
        <v>0</v>
      </c>
      <c r="K1342" s="53">
        <v>0</v>
      </c>
      <c r="L1342" s="53">
        <v>9.6999999999999993</v>
      </c>
      <c r="M1342" s="53" t="s">
        <v>631</v>
      </c>
      <c r="N1342" s="53">
        <v>8.4</v>
      </c>
      <c r="O1342" s="51" t="str">
        <f>TEXT(tblWorkPackages[[#This Row],[Request date serial]]-WEEKDAY(tblWorkPackages[[#This Row],[Request date serial]],3),"yyyy-mm-dd")</f>
        <v>2024-03-11</v>
      </c>
      <c r="P1342" s="51">
        <f>ABS(tblWorkPackages[[#This Row],[Actual labor hours]]-tblWorkPackages[[#This Row],[Estimated labor hours]])</f>
        <v>1.3</v>
      </c>
      <c r="Q1342" s="51">
        <f>IF(tblWorkPackages[[#This Row],[Actual labor hours]]&gt;tblWorkPackages[[#This Row],[Estimated labor hours]],1,0)</f>
        <v>0</v>
      </c>
      <c r="R1342" s="51">
        <f>tblWorkPackages[[#This Row],[Actual labor hours]]-tblWorkPackages[[#This Row],[Estimated labor hours]]</f>
        <v>-1.3</v>
      </c>
      <c r="S1342" s="51" t="str">
        <f>IF(tblWorkPackages[[#This Row],[Request date serial]]&lt;ValidationStart,"Train 2024",IF(tblWorkPackages[[#This Row],[Request date serial]]&lt;HoldoutStart,"Validation H1","Holdout H2"))</f>
        <v>Train 2024</v>
      </c>
      <c r="T1342" s="51" t="str">
        <f>IF(tblWorkPackages[[#This Row],[Time split]]="Train 2024","",tblWorkPackages[[#This Row],[Estimated labor hours]]+VLOOKUP(tblWorkPackages[[#This Row],[Task type]],'Forecast validation'!$A$14:$E$25,IF(tblWorkPackages[[#This Row],[Time split]]="Validation H1",4,5),FALSE()))</f>
        <v/>
      </c>
      <c r="U1342" s="51" t="str">
        <f>IF(tblWorkPackages[[#This Row],[Calibrated forecast hours]]="","",ABS(tblWorkPackages[[#This Row],[Actual labor hours]]-tblWorkPackages[[#This Row],[Calibrated forecast hours]]))</f>
        <v/>
      </c>
      <c r="V1342" s="51">
        <f>IF(tblWorkPackages[[#This Row],[Time split]]="Train 2024",tblWorkPackages[[#This Row],[Estimated labor hours]],tblWorkPackages[[#This Row],[Calibrated forecast hours]])</f>
        <v>9.7</v>
      </c>
      <c r="W1342" s="64">
        <f>DATEVALUE(tblWorkPackages[[#This Row],[Request date]])</f>
        <v>45367.0</v>
      </c>
      <c r="X1342" s="64">
        <f>DATEVALUE(tblWorkPackages[[#This Row],[Due date]])</f>
        <v>45373.0</v>
      </c>
      <c r="Y1342" s="64">
        <f>DATEVALUE(tblWorkPackages[[#This Row],[Completion date]])</f>
        <v>45382.0</v>
      </c>
      <c r="Z1342" s="64">
        <f>_xlfn.MINIFS(tblLaborEntries[Work date serial],tblLaborEntries[Work package ID],tblWorkPackages[[#This Row],[Work package ID]])</f>
        <v>45382.0</v>
      </c>
      <c r="AA1342" s="64">
        <f>_xlfn.MAXIFS(tblLaborEntries[Work date serial],tblLaborEntries[Work package ID],tblWorkPackages[[#This Row],[Work package ID]])</f>
        <v>45382.0</v>
      </c>
      <c r="AB1342" s="65">
        <f>IF(tblWorkPackages[[#This Row],[Completion date serial]]&gt;tblWorkPackages[[#This Row],[Due date serial]],1,0)</f>
        <v>1</v>
      </c>
      <c r="AC1342" s="65">
        <f>MAX(0,tblWorkPackages[[#This Row],[Completion date serial]]-tblWorkPackages[[#This Row],[Due date serial]])</f>
        <v>9</v>
      </c>
      <c r="AD1342" s="65">
        <f>tblWorkPackages[[#This Row],[First labor date]]-tblWorkPackages[[#This Row],[Request date serial]]</f>
        <v>15</v>
      </c>
      <c r="AE1342" s="65">
        <f>tblWorkPackages[[#This Row],[Last labor date]]-tblWorkPackages[[#This Row],[First labor date]]</f>
        <v>0</v>
      </c>
      <c r="AF1342" s="65">
        <f>tblWorkPackages[[#This Row],[Completion date serial]]-tblWorkPackages[[#This Row],[Last labor date]]</f>
        <v>0</v>
      </c>
      <c r="AG1342" s="65">
        <f>tblWorkPackages[[#This Row],[Completion date serial]]-tblWorkPackages[[#This Row],[Request date serial]]</f>
        <v>15</v>
      </c>
      <c r="AH1342" s="65">
        <f>IFERROR(INDEX(tblParts[Delay days],MATCH(tblWorkPackages[[#This Row],[Work package ID]],tblParts[Work package ID],0)),0)</f>
        <v>0</v>
      </c>
      <c r="AI1342" s="51" t="str">
        <f>IFERROR(INDEX(tblDisruptions[Event type],MATCH(tblWorkPackages[[#This Row],[Work package ID]],tblDisruptions[Work package ID],0)),"None")</f>
        <v>None</v>
      </c>
      <c r="AJ1342" s="51" t="str">
        <f>TEXT(tblWorkPackages[[#This Row],[Due date serial]],"yyyy-mm")</f>
        <v>2024-03</v>
      </c>
    </row>
    <row r="1343" spans="1:36" ht="15" x14ac:dyDescent="0.25">
      <c r="A1343" s="53" t="s">
        <v>2250</v>
      </c>
      <c r="B1343" s="53" t="s">
        <v>150</v>
      </c>
      <c r="C1343" s="53" t="s">
        <v>289</v>
      </c>
      <c r="D1343" s="53" t="s">
        <v>941</v>
      </c>
      <c r="E1343" s="53" t="s">
        <v>136</v>
      </c>
      <c r="F1343" s="53" t="s">
        <v>137</v>
      </c>
      <c r="G1343" s="53" t="s">
        <v>138</v>
      </c>
      <c r="H1343" s="53">
        <v>2</v>
      </c>
      <c r="I1343" s="53" t="s">
        <v>130</v>
      </c>
      <c r="J1343" s="53">
        <v>1</v>
      </c>
      <c r="K1343" s="53">
        <v>0</v>
      </c>
      <c r="L1343" s="53">
        <v>13.5</v>
      </c>
      <c r="M1343" s="53" t="s">
        <v>1158</v>
      </c>
      <c r="N1343" s="53">
        <v>18</v>
      </c>
      <c r="O1343" s="51" t="str">
        <f>TEXT(tblWorkPackages[[#This Row],[Request date serial]]-WEEKDAY(tblWorkPackages[[#This Row],[Request date serial]],3),"yyyy-mm-dd")</f>
        <v>2025-09-15</v>
      </c>
      <c r="P1343" s="51">
        <f>ABS(tblWorkPackages[[#This Row],[Actual labor hours]]-tblWorkPackages[[#This Row],[Estimated labor hours]])</f>
        <v>4.5</v>
      </c>
      <c r="Q1343" s="51">
        <f>IF(tblWorkPackages[[#This Row],[Actual labor hours]]&gt;tblWorkPackages[[#This Row],[Estimated labor hours]],1,0)</f>
        <v>1</v>
      </c>
      <c r="R1343" s="51">
        <f>tblWorkPackages[[#This Row],[Actual labor hours]]-tblWorkPackages[[#This Row],[Estimated labor hours]]</f>
        <v>4.5</v>
      </c>
      <c r="S1343" s="51" t="str">
        <f>IF(tblWorkPackages[[#This Row],[Request date serial]]&lt;ValidationStart,"Train 2024",IF(tblWorkPackages[[#This Row],[Request date serial]]&lt;HoldoutStart,"Validation H1","Holdout H2"))</f>
        <v>Holdout H2</v>
      </c>
      <c r="T1343" s="51">
        <f>IF(tblWorkPackages[[#This Row],[Time split]]="Train 2024","",tblWorkPackages[[#This Row],[Estimated labor hours]]+VLOOKUP(tblWorkPackages[[#This Row],[Task type]],'Forecast validation'!$A$14:$E$25,IF(tblWorkPackages[[#This Row],[Time split]]="Validation H1",4,5),FALSE()))</f>
        <v>14.4207547169811</v>
      </c>
      <c r="U1343" s="51">
        <f>IF(tblWorkPackages[[#This Row],[Calibrated forecast hours]]="","",ABS(tblWorkPackages[[#This Row],[Actual labor hours]]-tblWorkPackages[[#This Row],[Calibrated forecast hours]]))</f>
        <v>3.57924528301887</v>
      </c>
      <c r="V1343" s="51">
        <f>IF(tblWorkPackages[[#This Row],[Time split]]="Train 2024",tblWorkPackages[[#This Row],[Estimated labor hours]],tblWorkPackages[[#This Row],[Calibrated forecast hours]])</f>
        <v>14.4207547169811</v>
      </c>
      <c r="W1343" s="64">
        <f>DATEVALUE(tblWorkPackages[[#This Row],[Request date]])</f>
        <v>45920.0</v>
      </c>
      <c r="X1343" s="64">
        <f>DATEVALUE(tblWorkPackages[[#This Row],[Due date]])</f>
        <v>45933.0</v>
      </c>
      <c r="Y1343" s="64">
        <f>DATEVALUE(tblWorkPackages[[#This Row],[Completion date]])</f>
        <v>45927.0</v>
      </c>
      <c r="Z1343" s="64">
        <f>_xlfn.MINIFS(tblLaborEntries[Work date serial],tblLaborEntries[Work package ID],tblWorkPackages[[#This Row],[Work package ID]])</f>
        <v>45924.0</v>
      </c>
      <c r="AA1343" s="64">
        <f>_xlfn.MAXIFS(tblLaborEntries[Work date serial],tblLaborEntries[Work package ID],tblWorkPackages[[#This Row],[Work package ID]])</f>
        <v>45926.0</v>
      </c>
      <c r="AB1343" s="65">
        <f>IF(tblWorkPackages[[#This Row],[Completion date serial]]&gt;tblWorkPackages[[#This Row],[Due date serial]],1,0)</f>
        <v>0</v>
      </c>
      <c r="AC1343" s="65">
        <f>MAX(0,tblWorkPackages[[#This Row],[Completion date serial]]-tblWorkPackages[[#This Row],[Due date serial]])</f>
        <v>0</v>
      </c>
      <c r="AD1343" s="65">
        <f>tblWorkPackages[[#This Row],[First labor date]]-tblWorkPackages[[#This Row],[Request date serial]]</f>
        <v>4</v>
      </c>
      <c r="AE1343" s="65">
        <f>tblWorkPackages[[#This Row],[Last labor date]]-tblWorkPackages[[#This Row],[First labor date]]</f>
        <v>2</v>
      </c>
      <c r="AF1343" s="65">
        <f>tblWorkPackages[[#This Row],[Completion date serial]]-tblWorkPackages[[#This Row],[Last labor date]]</f>
        <v>1</v>
      </c>
      <c r="AG1343" s="65">
        <f>tblWorkPackages[[#This Row],[Completion date serial]]-tblWorkPackages[[#This Row],[Request date serial]]</f>
        <v>7</v>
      </c>
      <c r="AH1343" s="65">
        <f>IFERROR(INDEX(tblParts[Delay days],MATCH(tblWorkPackages[[#This Row],[Work package ID]],tblParts[Work package ID],0)),0)</f>
        <v>0</v>
      </c>
      <c r="AI1343" s="51" t="str">
        <f>IFERROR(INDEX(tblDisruptions[Event type],MATCH(tblWorkPackages[[#This Row],[Work package ID]],tblDisruptions[Work package ID],0)),"None")</f>
        <v>None</v>
      </c>
      <c r="AJ1343" s="51" t="str">
        <f>TEXT(tblWorkPackages[[#This Row],[Due date serial]],"yyyy-mm")</f>
        <v>2025-10</v>
      </c>
    </row>
    <row r="1344" spans="1:36" ht="15" x14ac:dyDescent="0.25">
      <c r="A1344" s="53" t="s">
        <v>2251</v>
      </c>
      <c r="B1344" s="53" t="s">
        <v>185</v>
      </c>
      <c r="C1344" s="53" t="s">
        <v>844</v>
      </c>
      <c r="D1344" s="53" t="s">
        <v>1151</v>
      </c>
      <c r="E1344" s="53" t="s">
        <v>127</v>
      </c>
      <c r="F1344" s="53" t="s">
        <v>128</v>
      </c>
      <c r="G1344" s="53" t="s">
        <v>129</v>
      </c>
      <c r="H1344" s="53">
        <v>2</v>
      </c>
      <c r="I1344" s="53" t="s">
        <v>176</v>
      </c>
      <c r="J1344" s="53">
        <v>0</v>
      </c>
      <c r="K1344" s="53">
        <v>0</v>
      </c>
      <c r="L1344" s="53">
        <v>7.1</v>
      </c>
      <c r="M1344" s="53" t="s">
        <v>843</v>
      </c>
      <c r="N1344" s="53">
        <v>6.7</v>
      </c>
      <c r="O1344" s="51" t="str">
        <f>TEXT(tblWorkPackages[[#This Row],[Request date serial]]-WEEKDAY(tblWorkPackages[[#This Row],[Request date serial]],3),"yyyy-mm-dd")</f>
        <v>2025-08-04</v>
      </c>
      <c r="P1344" s="51">
        <f>ABS(tblWorkPackages[[#This Row],[Actual labor hours]]-tblWorkPackages[[#This Row],[Estimated labor hours]])</f>
        <v>0.399999999999999</v>
      </c>
      <c r="Q1344" s="51">
        <f>IF(tblWorkPackages[[#This Row],[Actual labor hours]]&gt;tblWorkPackages[[#This Row],[Estimated labor hours]],1,0)</f>
        <v>0</v>
      </c>
      <c r="R1344" s="51">
        <f>tblWorkPackages[[#This Row],[Actual labor hours]]-tblWorkPackages[[#This Row],[Estimated labor hours]]</f>
        <v>-0.399999999999999</v>
      </c>
      <c r="S1344" s="51" t="str">
        <f>IF(tblWorkPackages[[#This Row],[Request date serial]]&lt;ValidationStart,"Train 2024",IF(tblWorkPackages[[#This Row],[Request date serial]]&lt;HoldoutStart,"Validation H1","Holdout H2"))</f>
        <v>Holdout H2</v>
      </c>
      <c r="T1344" s="51">
        <f>IF(tblWorkPackages[[#This Row],[Time split]]="Train 2024","",tblWorkPackages[[#This Row],[Estimated labor hours]]+VLOOKUP(tblWorkPackages[[#This Row],[Task type]],'Forecast validation'!$A$14:$E$25,IF(tblWorkPackages[[#This Row],[Time split]]="Validation H1",4,5),FALSE()))</f>
        <v>7.64341085271318</v>
      </c>
      <c r="U1344" s="51">
        <f>IF(tblWorkPackages[[#This Row],[Calibrated forecast hours]]="","",ABS(tblWorkPackages[[#This Row],[Actual labor hours]]-tblWorkPackages[[#This Row],[Calibrated forecast hours]]))</f>
        <v>0.943410852713178</v>
      </c>
      <c r="V1344" s="51">
        <f>IF(tblWorkPackages[[#This Row],[Time split]]="Train 2024",tblWorkPackages[[#This Row],[Estimated labor hours]],tblWorkPackages[[#This Row],[Calibrated forecast hours]])</f>
        <v>7.64341085271318</v>
      </c>
      <c r="W1344" s="64">
        <f>DATEVALUE(tblWorkPackages[[#This Row],[Request date]])</f>
        <v>45874.0</v>
      </c>
      <c r="X1344" s="64">
        <f>DATEVALUE(tblWorkPackages[[#This Row],[Due date]])</f>
        <v>45880.0</v>
      </c>
      <c r="Y1344" s="64">
        <f>DATEVALUE(tblWorkPackages[[#This Row],[Completion date]])</f>
        <v>45878.0</v>
      </c>
      <c r="Z1344" s="64">
        <f>_xlfn.MINIFS(tblLaborEntries[Work date serial],tblLaborEntries[Work package ID],tblWorkPackages[[#This Row],[Work package ID]])</f>
        <v>45875.0</v>
      </c>
      <c r="AA1344" s="64">
        <f>_xlfn.MAXIFS(tblLaborEntries[Work date serial],tblLaborEntries[Work package ID],tblWorkPackages[[#This Row],[Work package ID]])</f>
        <v>45876.0</v>
      </c>
      <c r="AB1344" s="65">
        <f>IF(tblWorkPackages[[#This Row],[Completion date serial]]&gt;tblWorkPackages[[#This Row],[Due date serial]],1,0)</f>
        <v>0</v>
      </c>
      <c r="AC1344" s="65">
        <f>MAX(0,tblWorkPackages[[#This Row],[Completion date serial]]-tblWorkPackages[[#This Row],[Due date serial]])</f>
        <v>0</v>
      </c>
      <c r="AD1344" s="65">
        <f>tblWorkPackages[[#This Row],[First labor date]]-tblWorkPackages[[#This Row],[Request date serial]]</f>
        <v>1</v>
      </c>
      <c r="AE1344" s="65">
        <f>tblWorkPackages[[#This Row],[Last labor date]]-tblWorkPackages[[#This Row],[First labor date]]</f>
        <v>1</v>
      </c>
      <c r="AF1344" s="65">
        <f>tblWorkPackages[[#This Row],[Completion date serial]]-tblWorkPackages[[#This Row],[Last labor date]]</f>
        <v>2</v>
      </c>
      <c r="AG1344" s="65">
        <f>tblWorkPackages[[#This Row],[Completion date serial]]-tblWorkPackages[[#This Row],[Request date serial]]</f>
        <v>4</v>
      </c>
      <c r="AH1344" s="65">
        <f>IFERROR(INDEX(tblParts[Delay days],MATCH(tblWorkPackages[[#This Row],[Work package ID]],tblParts[Work package ID],0)),0)</f>
        <v>0</v>
      </c>
      <c r="AI1344" s="51" t="str">
        <f>IFERROR(INDEX(tblDisruptions[Event type],MATCH(tblWorkPackages[[#This Row],[Work package ID]],tblDisruptions[Work package ID],0)),"None")</f>
        <v>None</v>
      </c>
      <c r="AJ1344" s="51" t="str">
        <f>TEXT(tblWorkPackages[[#This Row],[Due date serial]],"yyyy-mm")</f>
        <v>2025-08</v>
      </c>
    </row>
    <row r="1345" spans="1:36" ht="15" x14ac:dyDescent="0.25">
      <c r="A1345" s="53" t="s">
        <v>2252</v>
      </c>
      <c r="B1345" s="53" t="s">
        <v>133</v>
      </c>
      <c r="C1345" s="53" t="s">
        <v>765</v>
      </c>
      <c r="D1345" s="53" t="s">
        <v>358</v>
      </c>
      <c r="E1345" s="53" t="s">
        <v>127</v>
      </c>
      <c r="F1345" s="53" t="s">
        <v>128</v>
      </c>
      <c r="G1345" s="53" t="s">
        <v>129</v>
      </c>
      <c r="H1345" s="53">
        <v>1</v>
      </c>
      <c r="I1345" s="53" t="s">
        <v>176</v>
      </c>
      <c r="J1345" s="53">
        <v>0</v>
      </c>
      <c r="K1345" s="53">
        <v>1</v>
      </c>
      <c r="L1345" s="53">
        <v>4.2</v>
      </c>
      <c r="M1345" s="53" t="s">
        <v>1555</v>
      </c>
      <c r="N1345" s="53">
        <v>3.3</v>
      </c>
      <c r="O1345" s="51" t="str">
        <f>TEXT(tblWorkPackages[[#This Row],[Request date serial]]-WEEKDAY(tblWorkPackages[[#This Row],[Request date serial]],3),"yyyy-mm-dd")</f>
        <v>2025-12-29</v>
      </c>
      <c r="P1345" s="51">
        <f>ABS(tblWorkPackages[[#This Row],[Actual labor hours]]-tblWorkPackages[[#This Row],[Estimated labor hours]])</f>
        <v>0.9</v>
      </c>
      <c r="Q1345" s="51">
        <f>IF(tblWorkPackages[[#This Row],[Actual labor hours]]&gt;tblWorkPackages[[#This Row],[Estimated labor hours]],1,0)</f>
        <v>0</v>
      </c>
      <c r="R1345" s="51">
        <f>tblWorkPackages[[#This Row],[Actual labor hours]]-tblWorkPackages[[#This Row],[Estimated labor hours]]</f>
        <v>-0.9</v>
      </c>
      <c r="S1345" s="51" t="str">
        <f>IF(tblWorkPackages[[#This Row],[Request date serial]]&lt;ValidationStart,"Train 2024",IF(tblWorkPackages[[#This Row],[Request date serial]]&lt;HoldoutStart,"Validation H1","Holdout H2"))</f>
        <v>Holdout H2</v>
      </c>
      <c r="T1345" s="51">
        <f>IF(tblWorkPackages[[#This Row],[Time split]]="Train 2024","",tblWorkPackages[[#This Row],[Estimated labor hours]]+VLOOKUP(tblWorkPackages[[#This Row],[Task type]],'Forecast validation'!$A$14:$E$25,IF(tblWorkPackages[[#This Row],[Time split]]="Validation H1",4,5),FALSE()))</f>
        <v>4.74341085271318</v>
      </c>
      <c r="U1345" s="51">
        <f>IF(tblWorkPackages[[#This Row],[Calibrated forecast hours]]="","",ABS(tblWorkPackages[[#This Row],[Actual labor hours]]-tblWorkPackages[[#This Row],[Calibrated forecast hours]]))</f>
        <v>1.44341085271318</v>
      </c>
      <c r="V1345" s="51">
        <f>IF(tblWorkPackages[[#This Row],[Time split]]="Train 2024",tblWorkPackages[[#This Row],[Estimated labor hours]],tblWorkPackages[[#This Row],[Calibrated forecast hours]])</f>
        <v>4.74341085271318</v>
      </c>
      <c r="W1345" s="64">
        <f>DATEVALUE(tblWorkPackages[[#This Row],[Request date]])</f>
        <v>46020.0</v>
      </c>
      <c r="X1345" s="64">
        <f>DATEVALUE(tblWorkPackages[[#This Row],[Due date]])</f>
        <v>46026.0</v>
      </c>
      <c r="Y1345" s="64">
        <f>DATEVALUE(tblWorkPackages[[#This Row],[Completion date]])</f>
        <v>46035.0</v>
      </c>
      <c r="Z1345" s="64">
        <f>_xlfn.MINIFS(tblLaborEntries[Work date serial],tblLaborEntries[Work package ID],tblWorkPackages[[#This Row],[Work package ID]])</f>
        <v>46030.0</v>
      </c>
      <c r="AA1345" s="64">
        <f>_xlfn.MAXIFS(tblLaborEntries[Work date serial],tblLaborEntries[Work package ID],tblWorkPackages[[#This Row],[Work package ID]])</f>
        <v>46032.0</v>
      </c>
      <c r="AB1345" s="65">
        <f>IF(tblWorkPackages[[#This Row],[Completion date serial]]&gt;tblWorkPackages[[#This Row],[Due date serial]],1,0)</f>
        <v>1</v>
      </c>
      <c r="AC1345" s="65">
        <f>MAX(0,tblWorkPackages[[#This Row],[Completion date serial]]-tblWorkPackages[[#This Row],[Due date serial]])</f>
        <v>9</v>
      </c>
      <c r="AD1345" s="65">
        <f>tblWorkPackages[[#This Row],[First labor date]]-tblWorkPackages[[#This Row],[Request date serial]]</f>
        <v>10</v>
      </c>
      <c r="AE1345" s="65">
        <f>tblWorkPackages[[#This Row],[Last labor date]]-tblWorkPackages[[#This Row],[First labor date]]</f>
        <v>2</v>
      </c>
      <c r="AF1345" s="65">
        <f>tblWorkPackages[[#This Row],[Completion date serial]]-tblWorkPackages[[#This Row],[Last labor date]]</f>
        <v>3</v>
      </c>
      <c r="AG1345" s="65">
        <f>tblWorkPackages[[#This Row],[Completion date serial]]-tblWorkPackages[[#This Row],[Request date serial]]</f>
        <v>15</v>
      </c>
      <c r="AH1345" s="65">
        <f>IFERROR(INDEX(tblParts[Delay days],MATCH(tblWorkPackages[[#This Row],[Work package ID]],tblParts[Work package ID],0)),0)</f>
        <v>0</v>
      </c>
      <c r="AI1345" s="51" t="str">
        <f>IFERROR(INDEX(tblDisruptions[Event type],MATCH(tblWorkPackages[[#This Row],[Work package ID]],tblDisruptions[Work package ID],0)),"None")</f>
        <v>None</v>
      </c>
      <c r="AJ1345" s="51" t="str">
        <f>TEXT(tblWorkPackages[[#This Row],[Due date serial]],"yyyy-mm")</f>
        <v>2026-01</v>
      </c>
    </row>
    <row r="1346" spans="1:36" ht="15" x14ac:dyDescent="0.25">
      <c r="A1346" s="53" t="s">
        <v>2253</v>
      </c>
      <c r="B1346" s="53" t="s">
        <v>173</v>
      </c>
      <c r="C1346" s="53" t="s">
        <v>1174</v>
      </c>
      <c r="D1346" s="53" t="s">
        <v>565</v>
      </c>
      <c r="E1346" s="53" t="s">
        <v>136</v>
      </c>
      <c r="F1346" s="53" t="s">
        <v>137</v>
      </c>
      <c r="G1346" s="53" t="s">
        <v>138</v>
      </c>
      <c r="H1346" s="53">
        <v>2</v>
      </c>
      <c r="I1346" s="53" t="s">
        <v>130</v>
      </c>
      <c r="J1346" s="53">
        <v>0</v>
      </c>
      <c r="K1346" s="53">
        <v>0</v>
      </c>
      <c r="L1346" s="53">
        <v>14.5</v>
      </c>
      <c r="M1346" s="53" t="s">
        <v>703</v>
      </c>
      <c r="N1346" s="53">
        <v>16.5</v>
      </c>
      <c r="O1346" s="51" t="str">
        <f>TEXT(tblWorkPackages[[#This Row],[Request date serial]]-WEEKDAY(tblWorkPackages[[#This Row],[Request date serial]],3),"yyyy-mm-dd")</f>
        <v>2024-06-03</v>
      </c>
      <c r="P1346" s="51">
        <f>ABS(tblWorkPackages[[#This Row],[Actual labor hours]]-tblWorkPackages[[#This Row],[Estimated labor hours]])</f>
        <v>2</v>
      </c>
      <c r="Q1346" s="51">
        <f>IF(tblWorkPackages[[#This Row],[Actual labor hours]]&gt;tblWorkPackages[[#This Row],[Estimated labor hours]],1,0)</f>
        <v>1</v>
      </c>
      <c r="R1346" s="51">
        <f>tblWorkPackages[[#This Row],[Actual labor hours]]-tblWorkPackages[[#This Row],[Estimated labor hours]]</f>
        <v>2</v>
      </c>
      <c r="S1346" s="51" t="str">
        <f>IF(tblWorkPackages[[#This Row],[Request date serial]]&lt;ValidationStart,"Train 2024",IF(tblWorkPackages[[#This Row],[Request date serial]]&lt;HoldoutStart,"Validation H1","Holdout H2"))</f>
        <v>Train 2024</v>
      </c>
      <c r="T1346" s="51" t="str">
        <f>IF(tblWorkPackages[[#This Row],[Time split]]="Train 2024","",tblWorkPackages[[#This Row],[Estimated labor hours]]+VLOOKUP(tblWorkPackages[[#This Row],[Task type]],'Forecast validation'!$A$14:$E$25,IF(tblWorkPackages[[#This Row],[Time split]]="Validation H1",4,5),FALSE()))</f>
        <v/>
      </c>
      <c r="U1346" s="51" t="str">
        <f>IF(tblWorkPackages[[#This Row],[Calibrated forecast hours]]="","",ABS(tblWorkPackages[[#This Row],[Actual labor hours]]-tblWorkPackages[[#This Row],[Calibrated forecast hours]]))</f>
        <v/>
      </c>
      <c r="V1346" s="51">
        <f>IF(tblWorkPackages[[#This Row],[Time split]]="Train 2024",tblWorkPackages[[#This Row],[Estimated labor hours]],tblWorkPackages[[#This Row],[Calibrated forecast hours]])</f>
        <v>14.5</v>
      </c>
      <c r="W1346" s="64">
        <f>DATEVALUE(tblWorkPackages[[#This Row],[Request date]])</f>
        <v>45449.0</v>
      </c>
      <c r="X1346" s="64">
        <f>DATEVALUE(tblWorkPackages[[#This Row],[Due date]])</f>
        <v>45462.0</v>
      </c>
      <c r="Y1346" s="64">
        <f>DATEVALUE(tblWorkPackages[[#This Row],[Completion date]])</f>
        <v>45454.0</v>
      </c>
      <c r="Z1346" s="64">
        <f>_xlfn.MINIFS(tblLaborEntries[Work date serial],tblLaborEntries[Work package ID],tblWorkPackages[[#This Row],[Work package ID]])</f>
        <v>45452.0</v>
      </c>
      <c r="AA1346" s="64">
        <f>_xlfn.MAXIFS(tblLaborEntries[Work date serial],tblLaborEntries[Work package ID],tblWorkPackages[[#This Row],[Work package ID]])</f>
        <v>45454.0</v>
      </c>
      <c r="AB1346" s="65">
        <f>IF(tblWorkPackages[[#This Row],[Completion date serial]]&gt;tblWorkPackages[[#This Row],[Due date serial]],1,0)</f>
        <v>0</v>
      </c>
      <c r="AC1346" s="65">
        <f>MAX(0,tblWorkPackages[[#This Row],[Completion date serial]]-tblWorkPackages[[#This Row],[Due date serial]])</f>
        <v>0</v>
      </c>
      <c r="AD1346" s="65">
        <f>tblWorkPackages[[#This Row],[First labor date]]-tblWorkPackages[[#This Row],[Request date serial]]</f>
        <v>3</v>
      </c>
      <c r="AE1346" s="65">
        <f>tblWorkPackages[[#This Row],[Last labor date]]-tblWorkPackages[[#This Row],[First labor date]]</f>
        <v>2</v>
      </c>
      <c r="AF1346" s="65">
        <f>tblWorkPackages[[#This Row],[Completion date serial]]-tblWorkPackages[[#This Row],[Last labor date]]</f>
        <v>0</v>
      </c>
      <c r="AG1346" s="65">
        <f>tblWorkPackages[[#This Row],[Completion date serial]]-tblWorkPackages[[#This Row],[Request date serial]]</f>
        <v>5</v>
      </c>
      <c r="AH1346" s="65">
        <f>IFERROR(INDEX(tblParts[Delay days],MATCH(tblWorkPackages[[#This Row],[Work package ID]],tblParts[Work package ID],0)),0)</f>
        <v>0</v>
      </c>
      <c r="AI1346" s="51" t="str">
        <f>IFERROR(INDEX(tblDisruptions[Event type],MATCH(tblWorkPackages[[#This Row],[Work package ID]],tblDisruptions[Work package ID],0)),"None")</f>
        <v>None</v>
      </c>
      <c r="AJ1346" s="51" t="str">
        <f>TEXT(tblWorkPackages[[#This Row],[Due date serial]],"yyyy-mm")</f>
        <v>2024-06</v>
      </c>
    </row>
    <row r="1347" spans="1:36" ht="15" x14ac:dyDescent="0.25">
      <c r="A1347" s="53" t="s">
        <v>2254</v>
      </c>
      <c r="B1347" s="53" t="s">
        <v>163</v>
      </c>
      <c r="C1347" s="53" t="s">
        <v>1581</v>
      </c>
      <c r="D1347" s="53" t="s">
        <v>1398</v>
      </c>
      <c r="E1347" s="53" t="s">
        <v>209</v>
      </c>
      <c r="F1347" s="53" t="s">
        <v>145</v>
      </c>
      <c r="G1347" s="53" t="s">
        <v>210</v>
      </c>
      <c r="H1347" s="53">
        <v>3</v>
      </c>
      <c r="I1347" s="53" t="s">
        <v>176</v>
      </c>
      <c r="J1347" s="53">
        <v>0</v>
      </c>
      <c r="K1347" s="53">
        <v>1</v>
      </c>
      <c r="L1347" s="53">
        <v>25.7</v>
      </c>
      <c r="M1347" s="53" t="s">
        <v>849</v>
      </c>
      <c r="N1347" s="53">
        <v>23.2</v>
      </c>
      <c r="O1347" s="51" t="str">
        <f>TEXT(tblWorkPackages[[#This Row],[Request date serial]]-WEEKDAY(tblWorkPackages[[#This Row],[Request date serial]],3),"yyyy-mm-dd")</f>
        <v>2025-12-01</v>
      </c>
      <c r="P1347" s="51">
        <f>ABS(tblWorkPackages[[#This Row],[Actual labor hours]]-tblWorkPackages[[#This Row],[Estimated labor hours]])</f>
        <v>2.5</v>
      </c>
      <c r="Q1347" s="51">
        <f>IF(tblWorkPackages[[#This Row],[Actual labor hours]]&gt;tblWorkPackages[[#This Row],[Estimated labor hours]],1,0)</f>
        <v>0</v>
      </c>
      <c r="R1347" s="51">
        <f>tblWorkPackages[[#This Row],[Actual labor hours]]-tblWorkPackages[[#This Row],[Estimated labor hours]]</f>
        <v>-2.5</v>
      </c>
      <c r="S1347" s="51" t="str">
        <f>IF(tblWorkPackages[[#This Row],[Request date serial]]&lt;ValidationStart,"Train 2024",IF(tblWorkPackages[[#This Row],[Request date serial]]&lt;HoldoutStart,"Validation H1","Holdout H2"))</f>
        <v>Holdout H2</v>
      </c>
      <c r="T1347" s="51">
        <f>IF(tblWorkPackages[[#This Row],[Time split]]="Train 2024","",tblWorkPackages[[#This Row],[Estimated labor hours]]+VLOOKUP(tblWorkPackages[[#This Row],[Task type]],'Forecast validation'!$A$14:$E$25,IF(tblWorkPackages[[#This Row],[Time split]]="Validation H1",4,5),FALSE()))</f>
        <v>27.495652173913</v>
      </c>
      <c r="U1347" s="51">
        <f>IF(tblWorkPackages[[#This Row],[Calibrated forecast hours]]="","",ABS(tblWorkPackages[[#This Row],[Actual labor hours]]-tblWorkPackages[[#This Row],[Calibrated forecast hours]]))</f>
        <v>4.29565217391304</v>
      </c>
      <c r="V1347" s="51">
        <f>IF(tblWorkPackages[[#This Row],[Time split]]="Train 2024",tblWorkPackages[[#This Row],[Estimated labor hours]],tblWorkPackages[[#This Row],[Calibrated forecast hours]])</f>
        <v>27.495652173913</v>
      </c>
      <c r="W1347" s="64">
        <f>DATEVALUE(tblWorkPackages[[#This Row],[Request date]])</f>
        <v>45992.0</v>
      </c>
      <c r="X1347" s="64">
        <f>DATEVALUE(tblWorkPackages[[#This Row],[Due date]])</f>
        <v>45998.0</v>
      </c>
      <c r="Y1347" s="64">
        <f>DATEVALUE(tblWorkPackages[[#This Row],[Completion date]])</f>
        <v>46019.0</v>
      </c>
      <c r="Z1347" s="64">
        <f>_xlfn.MINIFS(tblLaborEntries[Work date serial],tblLaborEntries[Work package ID],tblWorkPackages[[#This Row],[Work package ID]])</f>
        <v>46018.0</v>
      </c>
      <c r="AA1347" s="64">
        <f>_xlfn.MAXIFS(tblLaborEntries[Work date serial],tblLaborEntries[Work package ID],tblWorkPackages[[#This Row],[Work package ID]])</f>
        <v>46018.0</v>
      </c>
      <c r="AB1347" s="65">
        <f>IF(tblWorkPackages[[#This Row],[Completion date serial]]&gt;tblWorkPackages[[#This Row],[Due date serial]],1,0)</f>
        <v>1</v>
      </c>
      <c r="AC1347" s="65">
        <f>MAX(0,tblWorkPackages[[#This Row],[Completion date serial]]-tblWorkPackages[[#This Row],[Due date serial]])</f>
        <v>21</v>
      </c>
      <c r="AD1347" s="65">
        <f>tblWorkPackages[[#This Row],[First labor date]]-tblWorkPackages[[#This Row],[Request date serial]]</f>
        <v>26</v>
      </c>
      <c r="AE1347" s="65">
        <f>tblWorkPackages[[#This Row],[Last labor date]]-tblWorkPackages[[#This Row],[First labor date]]</f>
        <v>0</v>
      </c>
      <c r="AF1347" s="65">
        <f>tblWorkPackages[[#This Row],[Completion date serial]]-tblWorkPackages[[#This Row],[Last labor date]]</f>
        <v>1</v>
      </c>
      <c r="AG1347" s="65">
        <f>tblWorkPackages[[#This Row],[Completion date serial]]-tblWorkPackages[[#This Row],[Request date serial]]</f>
        <v>27</v>
      </c>
      <c r="AH1347" s="65">
        <f>IFERROR(INDEX(tblParts[Delay days],MATCH(tblWorkPackages[[#This Row],[Work package ID]],tblParts[Work package ID],0)),0)</f>
        <v>0</v>
      </c>
      <c r="AI1347" s="51" t="str">
        <f>IFERROR(INDEX(tblDisruptions[Event type],MATCH(tblWorkPackages[[#This Row],[Work package ID]],tblDisruptions[Work package ID],0)),"None")</f>
        <v>None</v>
      </c>
      <c r="AJ1347" s="51" t="str">
        <f>TEXT(tblWorkPackages[[#This Row],[Due date serial]],"yyyy-mm")</f>
        <v>2025-12</v>
      </c>
    </row>
    <row r="1348" spans="1:36" ht="15" x14ac:dyDescent="0.25">
      <c r="A1348" s="53" t="s">
        <v>2255</v>
      </c>
      <c r="B1348" s="53" t="s">
        <v>173</v>
      </c>
      <c r="C1348" s="53" t="s">
        <v>687</v>
      </c>
      <c r="D1348" s="53" t="s">
        <v>807</v>
      </c>
      <c r="E1348" s="53" t="s">
        <v>160</v>
      </c>
      <c r="F1348" s="53" t="s">
        <v>128</v>
      </c>
      <c r="G1348" s="53" t="s">
        <v>138</v>
      </c>
      <c r="H1348" s="53">
        <v>4</v>
      </c>
      <c r="I1348" s="53" t="s">
        <v>130</v>
      </c>
      <c r="J1348" s="53">
        <v>0</v>
      </c>
      <c r="K1348" s="53">
        <v>1</v>
      </c>
      <c r="L1348" s="53">
        <v>9</v>
      </c>
      <c r="M1348" s="53" t="s">
        <v>1218</v>
      </c>
      <c r="N1348" s="53">
        <v>8.4</v>
      </c>
      <c r="O1348" s="51" t="str">
        <f>TEXT(tblWorkPackages[[#This Row],[Request date serial]]-WEEKDAY(tblWorkPackages[[#This Row],[Request date serial]],3),"yyyy-mm-dd")</f>
        <v>2025-03-31</v>
      </c>
      <c r="P1348" s="51">
        <f>ABS(tblWorkPackages[[#This Row],[Actual labor hours]]-tblWorkPackages[[#This Row],[Estimated labor hours]])</f>
        <v>0.6</v>
      </c>
      <c r="Q1348" s="51">
        <f>IF(tblWorkPackages[[#This Row],[Actual labor hours]]&gt;tblWorkPackages[[#This Row],[Estimated labor hours]],1,0)</f>
        <v>0</v>
      </c>
      <c r="R1348" s="51">
        <f>tblWorkPackages[[#This Row],[Actual labor hours]]-tblWorkPackages[[#This Row],[Estimated labor hours]]</f>
        <v>-0.6</v>
      </c>
      <c r="S1348" s="51" t="str">
        <f>IF(tblWorkPackages[[#This Row],[Request date serial]]&lt;ValidationStart,"Train 2024",IF(tblWorkPackages[[#This Row],[Request date serial]]&lt;HoldoutStart,"Validation H1","Holdout H2"))</f>
        <v>Validation H1</v>
      </c>
      <c r="T1348" s="51">
        <f>IF(tblWorkPackages[[#This Row],[Time split]]="Train 2024","",tblWorkPackages[[#This Row],[Estimated labor hours]]+VLOOKUP(tblWorkPackages[[#This Row],[Task type]],'Forecast validation'!$A$14:$E$25,IF(tblWorkPackages[[#This Row],[Time split]]="Validation H1",4,5),FALSE()))</f>
        <v>9.44146341463415</v>
      </c>
      <c r="U1348" s="51">
        <f>IF(tblWorkPackages[[#This Row],[Calibrated forecast hours]]="","",ABS(tblWorkPackages[[#This Row],[Actual labor hours]]-tblWorkPackages[[#This Row],[Calibrated forecast hours]]))</f>
        <v>1.04146341463415</v>
      </c>
      <c r="V1348" s="51">
        <f>IF(tblWorkPackages[[#This Row],[Time split]]="Train 2024",tblWorkPackages[[#This Row],[Estimated labor hours]],tblWorkPackages[[#This Row],[Calibrated forecast hours]])</f>
        <v>9.44146341463415</v>
      </c>
      <c r="W1348" s="64">
        <f>DATEVALUE(tblWorkPackages[[#This Row],[Request date]])</f>
        <v>45753.0</v>
      </c>
      <c r="X1348" s="64">
        <f>DATEVALUE(tblWorkPackages[[#This Row],[Due date]])</f>
        <v>45766.0</v>
      </c>
      <c r="Y1348" s="64">
        <f>DATEVALUE(tblWorkPackages[[#This Row],[Completion date]])</f>
        <v>45759.0</v>
      </c>
      <c r="Z1348" s="64">
        <f>_xlfn.MINIFS(tblLaborEntries[Work date serial],tblLaborEntries[Work package ID],tblWorkPackages[[#This Row],[Work package ID]])</f>
        <v>45757.0</v>
      </c>
      <c r="AA1348" s="64">
        <f>_xlfn.MAXIFS(tblLaborEntries[Work date serial],tblLaborEntries[Work package ID],tblWorkPackages[[#This Row],[Work package ID]])</f>
        <v>45757.0</v>
      </c>
      <c r="AB1348" s="65">
        <f>IF(tblWorkPackages[[#This Row],[Completion date serial]]&gt;tblWorkPackages[[#This Row],[Due date serial]],1,0)</f>
        <v>0</v>
      </c>
      <c r="AC1348" s="65">
        <f>MAX(0,tblWorkPackages[[#This Row],[Completion date serial]]-tblWorkPackages[[#This Row],[Due date serial]])</f>
        <v>0</v>
      </c>
      <c r="AD1348" s="65">
        <f>tblWorkPackages[[#This Row],[First labor date]]-tblWorkPackages[[#This Row],[Request date serial]]</f>
        <v>4</v>
      </c>
      <c r="AE1348" s="65">
        <f>tblWorkPackages[[#This Row],[Last labor date]]-tblWorkPackages[[#This Row],[First labor date]]</f>
        <v>0</v>
      </c>
      <c r="AF1348" s="65">
        <f>tblWorkPackages[[#This Row],[Completion date serial]]-tblWorkPackages[[#This Row],[Last labor date]]</f>
        <v>2</v>
      </c>
      <c r="AG1348" s="65">
        <f>tblWorkPackages[[#This Row],[Completion date serial]]-tblWorkPackages[[#This Row],[Request date serial]]</f>
        <v>6</v>
      </c>
      <c r="AH1348" s="65">
        <f>IFERROR(INDEX(tblParts[Delay days],MATCH(tblWorkPackages[[#This Row],[Work package ID]],tblParts[Work package ID],0)),0)</f>
        <v>0</v>
      </c>
      <c r="AI1348" s="51" t="str">
        <f>IFERROR(INDEX(tblDisruptions[Event type],MATCH(tblWorkPackages[[#This Row],[Work package ID]],tblDisruptions[Work package ID],0)),"None")</f>
        <v>None</v>
      </c>
      <c r="AJ1348" s="51" t="str">
        <f>TEXT(tblWorkPackages[[#This Row],[Due date serial]],"yyyy-mm")</f>
        <v>2025-04</v>
      </c>
    </row>
    <row r="1349" spans="1:36" ht="15" x14ac:dyDescent="0.25">
      <c r="A1349" s="53" t="s">
        <v>2256</v>
      </c>
      <c r="B1349" s="53" t="s">
        <v>230</v>
      </c>
      <c r="C1349" s="53" t="s">
        <v>485</v>
      </c>
      <c r="D1349" s="53" t="s">
        <v>1344</v>
      </c>
      <c r="E1349" s="53" t="s">
        <v>153</v>
      </c>
      <c r="F1349" s="53" t="s">
        <v>128</v>
      </c>
      <c r="G1349" s="53" t="s">
        <v>154</v>
      </c>
      <c r="H1349" s="53">
        <v>2</v>
      </c>
      <c r="I1349" s="53" t="s">
        <v>130</v>
      </c>
      <c r="J1349" s="53">
        <v>0</v>
      </c>
      <c r="K1349" s="53">
        <v>0</v>
      </c>
      <c r="L1349" s="53">
        <v>10</v>
      </c>
      <c r="M1349" s="53" t="s">
        <v>1058</v>
      </c>
      <c r="N1349" s="53">
        <v>9.4</v>
      </c>
      <c r="O1349" s="51" t="str">
        <f>TEXT(tblWorkPackages[[#This Row],[Request date serial]]-WEEKDAY(tblWorkPackages[[#This Row],[Request date serial]],3),"yyyy-mm-dd")</f>
        <v>2025-01-13</v>
      </c>
      <c r="P1349" s="51">
        <f>ABS(tblWorkPackages[[#This Row],[Actual labor hours]]-tblWorkPackages[[#This Row],[Estimated labor hours]])</f>
        <v>0.6</v>
      </c>
      <c r="Q1349" s="51">
        <f>IF(tblWorkPackages[[#This Row],[Actual labor hours]]&gt;tblWorkPackages[[#This Row],[Estimated labor hours]],1,0)</f>
        <v>0</v>
      </c>
      <c r="R1349" s="51">
        <f>tblWorkPackages[[#This Row],[Actual labor hours]]-tblWorkPackages[[#This Row],[Estimated labor hours]]</f>
        <v>-0.6</v>
      </c>
      <c r="S1349" s="51" t="str">
        <f>IF(tblWorkPackages[[#This Row],[Request date serial]]&lt;ValidationStart,"Train 2024",IF(tblWorkPackages[[#This Row],[Request date serial]]&lt;HoldoutStart,"Validation H1","Holdout H2"))</f>
        <v>Validation H1</v>
      </c>
      <c r="T1349" s="51">
        <f>IF(tblWorkPackages[[#This Row],[Time split]]="Train 2024","",tblWorkPackages[[#This Row],[Estimated labor hours]]+VLOOKUP(tblWorkPackages[[#This Row],[Task type]],'Forecast validation'!$A$14:$E$25,IF(tblWorkPackages[[#This Row],[Time split]]="Validation H1",4,5),FALSE()))</f>
        <v>10.5462264150943</v>
      </c>
      <c r="U1349" s="51">
        <f>IF(tblWorkPackages[[#This Row],[Calibrated forecast hours]]="","",ABS(tblWorkPackages[[#This Row],[Actual labor hours]]-tblWorkPackages[[#This Row],[Calibrated forecast hours]]))</f>
        <v>1.14622641509434</v>
      </c>
      <c r="V1349" s="51">
        <f>IF(tblWorkPackages[[#This Row],[Time split]]="Train 2024",tblWorkPackages[[#This Row],[Estimated labor hours]],tblWorkPackages[[#This Row],[Calibrated forecast hours]])</f>
        <v>10.5462264150943</v>
      </c>
      <c r="W1349" s="64">
        <f>DATEVALUE(tblWorkPackages[[#This Row],[Request date]])</f>
        <v>45675.0</v>
      </c>
      <c r="X1349" s="64">
        <f>DATEVALUE(tblWorkPackages[[#This Row],[Due date]])</f>
        <v>45688.0</v>
      </c>
      <c r="Y1349" s="64">
        <f>DATEVALUE(tblWorkPackages[[#This Row],[Completion date]])</f>
        <v>45680.0</v>
      </c>
      <c r="Z1349" s="64">
        <f>_xlfn.MINIFS(tblLaborEntries[Work date serial],tblLaborEntries[Work package ID],tblWorkPackages[[#This Row],[Work package ID]])</f>
        <v>45676.0</v>
      </c>
      <c r="AA1349" s="64">
        <f>_xlfn.MAXIFS(tblLaborEntries[Work date serial],tblLaborEntries[Work package ID],tblWorkPackages[[#This Row],[Work package ID]])</f>
        <v>45677.0</v>
      </c>
      <c r="AB1349" s="65">
        <f>IF(tblWorkPackages[[#This Row],[Completion date serial]]&gt;tblWorkPackages[[#This Row],[Due date serial]],1,0)</f>
        <v>0</v>
      </c>
      <c r="AC1349" s="65">
        <f>MAX(0,tblWorkPackages[[#This Row],[Completion date serial]]-tblWorkPackages[[#This Row],[Due date serial]])</f>
        <v>0</v>
      </c>
      <c r="AD1349" s="65">
        <f>tblWorkPackages[[#This Row],[First labor date]]-tblWorkPackages[[#This Row],[Request date serial]]</f>
        <v>1</v>
      </c>
      <c r="AE1349" s="65">
        <f>tblWorkPackages[[#This Row],[Last labor date]]-tblWorkPackages[[#This Row],[First labor date]]</f>
        <v>1</v>
      </c>
      <c r="AF1349" s="65">
        <f>tblWorkPackages[[#This Row],[Completion date serial]]-tblWorkPackages[[#This Row],[Last labor date]]</f>
        <v>3</v>
      </c>
      <c r="AG1349" s="65">
        <f>tblWorkPackages[[#This Row],[Completion date serial]]-tblWorkPackages[[#This Row],[Request date serial]]</f>
        <v>5</v>
      </c>
      <c r="AH1349" s="65">
        <f>IFERROR(INDEX(tblParts[Delay days],MATCH(tblWorkPackages[[#This Row],[Work package ID]],tblParts[Work package ID],0)),0)</f>
        <v>0</v>
      </c>
      <c r="AI1349" s="51" t="str">
        <f>IFERROR(INDEX(tblDisruptions[Event type],MATCH(tblWorkPackages[[#This Row],[Work package ID]],tblDisruptions[Work package ID],0)),"None")</f>
        <v>Repeat inspection</v>
      </c>
      <c r="AJ1349" s="51" t="str">
        <f>TEXT(tblWorkPackages[[#This Row],[Due date serial]],"yyyy-mm")</f>
        <v>2025-01</v>
      </c>
    </row>
    <row r="1350" spans="1:36" ht="15" x14ac:dyDescent="0.25">
      <c r="A1350" s="53" t="s">
        <v>2257</v>
      </c>
      <c r="B1350" s="53" t="s">
        <v>287</v>
      </c>
      <c r="C1350" s="53" t="s">
        <v>871</v>
      </c>
      <c r="D1350" s="53" t="s">
        <v>1446</v>
      </c>
      <c r="E1350" s="53" t="s">
        <v>144</v>
      </c>
      <c r="F1350" s="53" t="s">
        <v>145</v>
      </c>
      <c r="G1350" s="53" t="s">
        <v>146</v>
      </c>
      <c r="H1350" s="53">
        <v>1</v>
      </c>
      <c r="I1350" s="53" t="s">
        <v>130</v>
      </c>
      <c r="J1350" s="53">
        <v>0</v>
      </c>
      <c r="K1350" s="53">
        <v>1</v>
      </c>
      <c r="L1350" s="53">
        <v>7.8</v>
      </c>
      <c r="M1350" s="53" t="s">
        <v>467</v>
      </c>
      <c r="N1350" s="53">
        <v>7.3</v>
      </c>
      <c r="O1350" s="51" t="str">
        <f>TEXT(tblWorkPackages[[#This Row],[Request date serial]]-WEEKDAY(tblWorkPackages[[#This Row],[Request date serial]],3),"yyyy-mm-dd")</f>
        <v>2025-03-17</v>
      </c>
      <c r="P1350" s="51">
        <f>ABS(tblWorkPackages[[#This Row],[Actual labor hours]]-tblWorkPackages[[#This Row],[Estimated labor hours]])</f>
        <v>0.5</v>
      </c>
      <c r="Q1350" s="51">
        <f>IF(tblWorkPackages[[#This Row],[Actual labor hours]]&gt;tblWorkPackages[[#This Row],[Estimated labor hours]],1,0)</f>
        <v>0</v>
      </c>
      <c r="R1350" s="51">
        <f>tblWorkPackages[[#This Row],[Actual labor hours]]-tblWorkPackages[[#This Row],[Estimated labor hours]]</f>
        <v>-0.5</v>
      </c>
      <c r="S1350" s="51" t="str">
        <f>IF(tblWorkPackages[[#This Row],[Request date serial]]&lt;ValidationStart,"Train 2024",IF(tblWorkPackages[[#This Row],[Request date serial]]&lt;HoldoutStart,"Validation H1","Holdout H2"))</f>
        <v>Validation H1</v>
      </c>
      <c r="T1350" s="51">
        <f>IF(tblWorkPackages[[#This Row],[Time split]]="Train 2024","",tblWorkPackages[[#This Row],[Estimated labor hours]]+VLOOKUP(tblWorkPackages[[#This Row],[Task type]],'Forecast validation'!$A$14:$E$25,IF(tblWorkPackages[[#This Row],[Time split]]="Validation H1",4,5),FALSE()))</f>
        <v>8.55473684210526</v>
      </c>
      <c r="U1350" s="51">
        <f>IF(tblWorkPackages[[#This Row],[Calibrated forecast hours]]="","",ABS(tblWorkPackages[[#This Row],[Actual labor hours]]-tblWorkPackages[[#This Row],[Calibrated forecast hours]]))</f>
        <v>1.25473684210526</v>
      </c>
      <c r="V1350" s="51">
        <f>IF(tblWorkPackages[[#This Row],[Time split]]="Train 2024",tblWorkPackages[[#This Row],[Estimated labor hours]],tblWorkPackages[[#This Row],[Calibrated forecast hours]])</f>
        <v>8.55473684210526</v>
      </c>
      <c r="W1350" s="64">
        <f>DATEVALUE(tblWorkPackages[[#This Row],[Request date]])</f>
        <v>45738.0</v>
      </c>
      <c r="X1350" s="64">
        <f>DATEVALUE(tblWorkPackages[[#This Row],[Due date]])</f>
        <v>45751.0</v>
      </c>
      <c r="Y1350" s="64">
        <f>DATEVALUE(tblWorkPackages[[#This Row],[Completion date]])</f>
        <v>45752.0</v>
      </c>
      <c r="Z1350" s="64">
        <f>_xlfn.MINIFS(tblLaborEntries[Work date serial],tblLaborEntries[Work package ID],tblWorkPackages[[#This Row],[Work package ID]])</f>
        <v>45751.0</v>
      </c>
      <c r="AA1350" s="64">
        <f>_xlfn.MAXIFS(tblLaborEntries[Work date serial],tblLaborEntries[Work package ID],tblWorkPackages[[#This Row],[Work package ID]])</f>
        <v>45752.0</v>
      </c>
      <c r="AB1350" s="65">
        <f>IF(tblWorkPackages[[#This Row],[Completion date serial]]&gt;tblWorkPackages[[#This Row],[Due date serial]],1,0)</f>
        <v>1</v>
      </c>
      <c r="AC1350" s="65">
        <f>MAX(0,tblWorkPackages[[#This Row],[Completion date serial]]-tblWorkPackages[[#This Row],[Due date serial]])</f>
        <v>1</v>
      </c>
      <c r="AD1350" s="65">
        <f>tblWorkPackages[[#This Row],[First labor date]]-tblWorkPackages[[#This Row],[Request date serial]]</f>
        <v>13</v>
      </c>
      <c r="AE1350" s="65">
        <f>tblWorkPackages[[#This Row],[Last labor date]]-tblWorkPackages[[#This Row],[First labor date]]</f>
        <v>1</v>
      </c>
      <c r="AF1350" s="65">
        <f>tblWorkPackages[[#This Row],[Completion date serial]]-tblWorkPackages[[#This Row],[Last labor date]]</f>
        <v>0</v>
      </c>
      <c r="AG1350" s="65">
        <f>tblWorkPackages[[#This Row],[Completion date serial]]-tblWorkPackages[[#This Row],[Request date serial]]</f>
        <v>14</v>
      </c>
      <c r="AH1350" s="65">
        <f>IFERROR(INDEX(tblParts[Delay days],MATCH(tblWorkPackages[[#This Row],[Work package ID]],tblParts[Work package ID],0)),0)</f>
        <v>0</v>
      </c>
      <c r="AI1350" s="51" t="str">
        <f>IFERROR(INDEX(tblDisruptions[Event type],MATCH(tblWorkPackages[[#This Row],[Work package ID]],tblDisruptions[Work package ID],0)),"None")</f>
        <v>None</v>
      </c>
      <c r="AJ1350" s="51" t="str">
        <f>TEXT(tblWorkPackages[[#This Row],[Due date serial]],"yyyy-mm")</f>
        <v>2025-04</v>
      </c>
    </row>
    <row r="1351" spans="1:36" ht="15" x14ac:dyDescent="0.25">
      <c r="A1351" s="53" t="s">
        <v>2258</v>
      </c>
      <c r="B1351" s="53" t="s">
        <v>157</v>
      </c>
      <c r="C1351" s="53" t="s">
        <v>1218</v>
      </c>
      <c r="D1351" s="53" t="s">
        <v>409</v>
      </c>
      <c r="E1351" s="53" t="s">
        <v>181</v>
      </c>
      <c r="F1351" s="53" t="s">
        <v>182</v>
      </c>
      <c r="G1351" s="53" t="s">
        <v>138</v>
      </c>
      <c r="H1351" s="53">
        <v>1</v>
      </c>
      <c r="I1351" s="53" t="s">
        <v>130</v>
      </c>
      <c r="J1351" s="53">
        <v>0</v>
      </c>
      <c r="K1351" s="53">
        <v>0</v>
      </c>
      <c r="L1351" s="53">
        <v>5.2</v>
      </c>
      <c r="M1351" s="53" t="s">
        <v>1172</v>
      </c>
      <c r="N1351" s="53">
        <v>4.8</v>
      </c>
      <c r="O1351" s="51" t="str">
        <f>TEXT(tblWorkPackages[[#This Row],[Request date serial]]-WEEKDAY(tblWorkPackages[[#This Row],[Request date serial]],3),"yyyy-mm-dd")</f>
        <v>2025-04-07</v>
      </c>
      <c r="P1351" s="51">
        <f>ABS(tblWorkPackages[[#This Row],[Actual labor hours]]-tblWorkPackages[[#This Row],[Estimated labor hours]])</f>
        <v>0.4</v>
      </c>
      <c r="Q1351" s="51">
        <f>IF(tblWorkPackages[[#This Row],[Actual labor hours]]&gt;tblWorkPackages[[#This Row],[Estimated labor hours]],1,0)</f>
        <v>0</v>
      </c>
      <c r="R1351" s="51">
        <f>tblWorkPackages[[#This Row],[Actual labor hours]]-tblWorkPackages[[#This Row],[Estimated labor hours]]</f>
        <v>-0.4</v>
      </c>
      <c r="S1351" s="51" t="str">
        <f>IF(tblWorkPackages[[#This Row],[Request date serial]]&lt;ValidationStart,"Train 2024",IF(tblWorkPackages[[#This Row],[Request date serial]]&lt;HoldoutStart,"Validation H1","Holdout H2"))</f>
        <v>Validation H1</v>
      </c>
      <c r="T1351" s="51">
        <f>IF(tblWorkPackages[[#This Row],[Time split]]="Train 2024","",tblWorkPackages[[#This Row],[Estimated labor hours]]+VLOOKUP(tblWorkPackages[[#This Row],[Task type]],'Forecast validation'!$A$14:$E$25,IF(tblWorkPackages[[#This Row],[Time split]]="Validation H1",4,5),FALSE()))</f>
        <v>5.78409090909091</v>
      </c>
      <c r="U1351" s="51">
        <f>IF(tblWorkPackages[[#This Row],[Calibrated forecast hours]]="","",ABS(tblWorkPackages[[#This Row],[Actual labor hours]]-tblWorkPackages[[#This Row],[Calibrated forecast hours]]))</f>
        <v>0.984090909090909</v>
      </c>
      <c r="V1351" s="51">
        <f>IF(tblWorkPackages[[#This Row],[Time split]]="Train 2024",tblWorkPackages[[#This Row],[Estimated labor hours]],tblWorkPackages[[#This Row],[Calibrated forecast hours]])</f>
        <v>5.78409090909091</v>
      </c>
      <c r="W1351" s="64">
        <f>DATEVALUE(tblWorkPackages[[#This Row],[Request date]])</f>
        <v>45759.0</v>
      </c>
      <c r="X1351" s="64">
        <f>DATEVALUE(tblWorkPackages[[#This Row],[Due date]])</f>
        <v>45772.0</v>
      </c>
      <c r="Y1351" s="64">
        <f>DATEVALUE(tblWorkPackages[[#This Row],[Completion date]])</f>
        <v>45764.0</v>
      </c>
      <c r="Z1351" s="64">
        <f>_xlfn.MINIFS(tblLaborEntries[Work date serial],tblLaborEntries[Work package ID],tblWorkPackages[[#This Row],[Work package ID]])</f>
        <v>45762.0</v>
      </c>
      <c r="AA1351" s="64">
        <f>_xlfn.MAXIFS(tblLaborEntries[Work date serial],tblLaborEntries[Work package ID],tblWorkPackages[[#This Row],[Work package ID]])</f>
        <v>45763.0</v>
      </c>
      <c r="AB1351" s="65">
        <f>IF(tblWorkPackages[[#This Row],[Completion date serial]]&gt;tblWorkPackages[[#This Row],[Due date serial]],1,0)</f>
        <v>0</v>
      </c>
      <c r="AC1351" s="65">
        <f>MAX(0,tblWorkPackages[[#This Row],[Completion date serial]]-tblWorkPackages[[#This Row],[Due date serial]])</f>
        <v>0</v>
      </c>
      <c r="AD1351" s="65">
        <f>tblWorkPackages[[#This Row],[First labor date]]-tblWorkPackages[[#This Row],[Request date serial]]</f>
        <v>3</v>
      </c>
      <c r="AE1351" s="65">
        <f>tblWorkPackages[[#This Row],[Last labor date]]-tblWorkPackages[[#This Row],[First labor date]]</f>
        <v>1</v>
      </c>
      <c r="AF1351" s="65">
        <f>tblWorkPackages[[#This Row],[Completion date serial]]-tblWorkPackages[[#This Row],[Last labor date]]</f>
        <v>1</v>
      </c>
      <c r="AG1351" s="65">
        <f>tblWorkPackages[[#This Row],[Completion date serial]]-tblWorkPackages[[#This Row],[Request date serial]]</f>
        <v>5</v>
      </c>
      <c r="AH1351" s="65">
        <f>IFERROR(INDEX(tblParts[Delay days],MATCH(tblWorkPackages[[#This Row],[Work package ID]],tblParts[Work package ID],0)),0)</f>
        <v>0</v>
      </c>
      <c r="AI1351" s="51" t="str">
        <f>IFERROR(INDEX(tblDisruptions[Event type],MATCH(tblWorkPackages[[#This Row],[Work package ID]],tblDisruptions[Work package ID],0)),"None")</f>
        <v>None</v>
      </c>
      <c r="AJ1351" s="51" t="str">
        <f>TEXT(tblWorkPackages[[#This Row],[Due date serial]],"yyyy-mm")</f>
        <v>2025-04</v>
      </c>
    </row>
    <row r="1352" spans="1:36" ht="15" x14ac:dyDescent="0.25">
      <c r="A1352" s="53" t="s">
        <v>2259</v>
      </c>
      <c r="B1352" s="53" t="s">
        <v>185</v>
      </c>
      <c r="C1352" s="53" t="s">
        <v>2012</v>
      </c>
      <c r="D1352" s="53" t="s">
        <v>1685</v>
      </c>
      <c r="E1352" s="53" t="s">
        <v>127</v>
      </c>
      <c r="F1352" s="53" t="s">
        <v>128</v>
      </c>
      <c r="G1352" s="53" t="s">
        <v>129</v>
      </c>
      <c r="H1352" s="53">
        <v>3</v>
      </c>
      <c r="I1352" s="53" t="s">
        <v>130</v>
      </c>
      <c r="J1352" s="53">
        <v>0</v>
      </c>
      <c r="K1352" s="53">
        <v>0</v>
      </c>
      <c r="L1352" s="53">
        <v>11.3</v>
      </c>
      <c r="M1352" s="53" t="s">
        <v>898</v>
      </c>
      <c r="N1352" s="53">
        <v>12</v>
      </c>
      <c r="O1352" s="51" t="str">
        <f>TEXT(tblWorkPackages[[#This Row],[Request date serial]]-WEEKDAY(tblWorkPackages[[#This Row],[Request date serial]],3),"yyyy-mm-dd")</f>
        <v>2024-03-18</v>
      </c>
      <c r="P1352" s="51">
        <f>ABS(tblWorkPackages[[#This Row],[Actual labor hours]]-tblWorkPackages[[#This Row],[Estimated labor hours]])</f>
        <v>0.699999999999999</v>
      </c>
      <c r="Q1352" s="51">
        <f>IF(tblWorkPackages[[#This Row],[Actual labor hours]]&gt;tblWorkPackages[[#This Row],[Estimated labor hours]],1,0)</f>
        <v>1</v>
      </c>
      <c r="R1352" s="51">
        <f>tblWorkPackages[[#This Row],[Actual labor hours]]-tblWorkPackages[[#This Row],[Estimated labor hours]]</f>
        <v>0.699999999999999</v>
      </c>
      <c r="S1352" s="51" t="str">
        <f>IF(tblWorkPackages[[#This Row],[Request date serial]]&lt;ValidationStart,"Train 2024",IF(tblWorkPackages[[#This Row],[Request date serial]]&lt;HoldoutStart,"Validation H1","Holdout H2"))</f>
        <v>Train 2024</v>
      </c>
      <c r="T1352" s="51" t="str">
        <f>IF(tblWorkPackages[[#This Row],[Time split]]="Train 2024","",tblWorkPackages[[#This Row],[Estimated labor hours]]+VLOOKUP(tblWorkPackages[[#This Row],[Task type]],'Forecast validation'!$A$14:$E$25,IF(tblWorkPackages[[#This Row],[Time split]]="Validation H1",4,5),FALSE()))</f>
        <v/>
      </c>
      <c r="U1352" s="51" t="str">
        <f>IF(tblWorkPackages[[#This Row],[Calibrated forecast hours]]="","",ABS(tblWorkPackages[[#This Row],[Actual labor hours]]-tblWorkPackages[[#This Row],[Calibrated forecast hours]]))</f>
        <v/>
      </c>
      <c r="V1352" s="51">
        <f>IF(tblWorkPackages[[#This Row],[Time split]]="Train 2024",tblWorkPackages[[#This Row],[Estimated labor hours]],tblWorkPackages[[#This Row],[Calibrated forecast hours]])</f>
        <v>11.3</v>
      </c>
      <c r="W1352" s="64">
        <f>DATEVALUE(tblWorkPackages[[#This Row],[Request date]])</f>
        <v>45374.0</v>
      </c>
      <c r="X1352" s="64">
        <f>DATEVALUE(tblWorkPackages[[#This Row],[Due date]])</f>
        <v>45387.0</v>
      </c>
      <c r="Y1352" s="64">
        <f>DATEVALUE(tblWorkPackages[[#This Row],[Completion date]])</f>
        <v>45420.0</v>
      </c>
      <c r="Z1352" s="64">
        <f>_xlfn.MINIFS(tblLaborEntries[Work date serial],tblLaborEntries[Work package ID],tblWorkPackages[[#This Row],[Work package ID]])</f>
        <v>45417.0</v>
      </c>
      <c r="AA1352" s="64">
        <f>_xlfn.MAXIFS(tblLaborEntries[Work date serial],tblLaborEntries[Work package ID],tblWorkPackages[[#This Row],[Work package ID]])</f>
        <v>45418.0</v>
      </c>
      <c r="AB1352" s="65">
        <f>IF(tblWorkPackages[[#This Row],[Completion date serial]]&gt;tblWorkPackages[[#This Row],[Due date serial]],1,0)</f>
        <v>1</v>
      </c>
      <c r="AC1352" s="65">
        <f>MAX(0,tblWorkPackages[[#This Row],[Completion date serial]]-tblWorkPackages[[#This Row],[Due date serial]])</f>
        <v>33</v>
      </c>
      <c r="AD1352" s="65">
        <f>tblWorkPackages[[#This Row],[First labor date]]-tblWorkPackages[[#This Row],[Request date serial]]</f>
        <v>43</v>
      </c>
      <c r="AE1352" s="65">
        <f>tblWorkPackages[[#This Row],[Last labor date]]-tblWorkPackages[[#This Row],[First labor date]]</f>
        <v>1</v>
      </c>
      <c r="AF1352" s="65">
        <f>tblWorkPackages[[#This Row],[Completion date serial]]-tblWorkPackages[[#This Row],[Last labor date]]</f>
        <v>2</v>
      </c>
      <c r="AG1352" s="65">
        <f>tblWorkPackages[[#This Row],[Completion date serial]]-tblWorkPackages[[#This Row],[Request date serial]]</f>
        <v>46</v>
      </c>
      <c r="AH1352" s="65">
        <f>IFERROR(INDEX(tblParts[Delay days],MATCH(tblWorkPackages[[#This Row],[Work package ID]],tblParts[Work package ID],0)),0)</f>
        <v>0</v>
      </c>
      <c r="AI1352" s="51" t="str">
        <f>IFERROR(INDEX(tblDisruptions[Event type],MATCH(tblWorkPackages[[#This Row],[Work package ID]],tblDisruptions[Work package ID],0)),"None")</f>
        <v>None</v>
      </c>
      <c r="AJ1352" s="51" t="str">
        <f>TEXT(tblWorkPackages[[#This Row],[Due date serial]],"yyyy-mm")</f>
        <v>2024-04</v>
      </c>
    </row>
    <row r="1353" spans="1:36" ht="15" x14ac:dyDescent="0.25">
      <c r="A1353" s="53" t="s">
        <v>2260</v>
      </c>
      <c r="B1353" s="53" t="s">
        <v>157</v>
      </c>
      <c r="C1353" s="53" t="s">
        <v>515</v>
      </c>
      <c r="D1353" s="53" t="s">
        <v>256</v>
      </c>
      <c r="E1353" s="53" t="s">
        <v>136</v>
      </c>
      <c r="F1353" s="53" t="s">
        <v>137</v>
      </c>
      <c r="G1353" s="53" t="s">
        <v>138</v>
      </c>
      <c r="H1353" s="53">
        <v>2</v>
      </c>
      <c r="I1353" s="53" t="s">
        <v>130</v>
      </c>
      <c r="J1353" s="53">
        <v>0</v>
      </c>
      <c r="K1353" s="53">
        <v>1</v>
      </c>
      <c r="L1353" s="53">
        <v>11.8</v>
      </c>
      <c r="M1353" s="53" t="s">
        <v>255</v>
      </c>
      <c r="N1353" s="53">
        <v>12.1</v>
      </c>
      <c r="O1353" s="51" t="str">
        <f>TEXT(tblWorkPackages[[#This Row],[Request date serial]]-WEEKDAY(tblWorkPackages[[#This Row],[Request date serial]],3),"yyyy-mm-dd")</f>
        <v>2024-11-25</v>
      </c>
      <c r="P1353" s="51">
        <f>ABS(tblWorkPackages[[#This Row],[Actual labor hours]]-tblWorkPackages[[#This Row],[Estimated labor hours]])</f>
        <v>0.299999999999999</v>
      </c>
      <c r="Q1353" s="51">
        <f>IF(tblWorkPackages[[#This Row],[Actual labor hours]]&gt;tblWorkPackages[[#This Row],[Estimated labor hours]],1,0)</f>
        <v>1</v>
      </c>
      <c r="R1353" s="51">
        <f>tblWorkPackages[[#This Row],[Actual labor hours]]-tblWorkPackages[[#This Row],[Estimated labor hours]]</f>
        <v>0.299999999999999</v>
      </c>
      <c r="S1353" s="51" t="str">
        <f>IF(tblWorkPackages[[#This Row],[Request date serial]]&lt;ValidationStart,"Train 2024",IF(tblWorkPackages[[#This Row],[Request date serial]]&lt;HoldoutStart,"Validation H1","Holdout H2"))</f>
        <v>Train 2024</v>
      </c>
      <c r="T1353" s="51" t="str">
        <f>IF(tblWorkPackages[[#This Row],[Time split]]="Train 2024","",tblWorkPackages[[#This Row],[Estimated labor hours]]+VLOOKUP(tblWorkPackages[[#This Row],[Task type]],'Forecast validation'!$A$14:$E$25,IF(tblWorkPackages[[#This Row],[Time split]]="Validation H1",4,5),FALSE()))</f>
        <v/>
      </c>
      <c r="U1353" s="51" t="str">
        <f>IF(tblWorkPackages[[#This Row],[Calibrated forecast hours]]="","",ABS(tblWorkPackages[[#This Row],[Actual labor hours]]-tblWorkPackages[[#This Row],[Calibrated forecast hours]]))</f>
        <v/>
      </c>
      <c r="V1353" s="51">
        <f>IF(tblWorkPackages[[#This Row],[Time split]]="Train 2024",tblWorkPackages[[#This Row],[Estimated labor hours]],tblWorkPackages[[#This Row],[Calibrated forecast hours]])</f>
        <v>11.8</v>
      </c>
      <c r="W1353" s="64">
        <f>DATEVALUE(tblWorkPackages[[#This Row],[Request date]])</f>
        <v>45621.0</v>
      </c>
      <c r="X1353" s="64">
        <f>DATEVALUE(tblWorkPackages[[#This Row],[Due date]])</f>
        <v>45634.0</v>
      </c>
      <c r="Y1353" s="64">
        <f>DATEVALUE(tblWorkPackages[[#This Row],[Completion date]])</f>
        <v>45632.0</v>
      </c>
      <c r="Z1353" s="64">
        <f>_xlfn.MINIFS(tblLaborEntries[Work date serial],tblLaborEntries[Work package ID],tblWorkPackages[[#This Row],[Work package ID]])</f>
        <v>45629.0</v>
      </c>
      <c r="AA1353" s="64">
        <f>_xlfn.MAXIFS(tblLaborEntries[Work date serial],tblLaborEntries[Work package ID],tblWorkPackages[[#This Row],[Work package ID]])</f>
        <v>45629.0</v>
      </c>
      <c r="AB1353" s="65">
        <f>IF(tblWorkPackages[[#This Row],[Completion date serial]]&gt;tblWorkPackages[[#This Row],[Due date serial]],1,0)</f>
        <v>0</v>
      </c>
      <c r="AC1353" s="65">
        <f>MAX(0,tblWorkPackages[[#This Row],[Completion date serial]]-tblWorkPackages[[#This Row],[Due date serial]])</f>
        <v>0</v>
      </c>
      <c r="AD1353" s="65">
        <f>tblWorkPackages[[#This Row],[First labor date]]-tblWorkPackages[[#This Row],[Request date serial]]</f>
        <v>8</v>
      </c>
      <c r="AE1353" s="65">
        <f>tblWorkPackages[[#This Row],[Last labor date]]-tblWorkPackages[[#This Row],[First labor date]]</f>
        <v>0</v>
      </c>
      <c r="AF1353" s="65">
        <f>tblWorkPackages[[#This Row],[Completion date serial]]-tblWorkPackages[[#This Row],[Last labor date]]</f>
        <v>3</v>
      </c>
      <c r="AG1353" s="65">
        <f>tblWorkPackages[[#This Row],[Completion date serial]]-tblWorkPackages[[#This Row],[Request date serial]]</f>
        <v>11</v>
      </c>
      <c r="AH1353" s="65">
        <f>IFERROR(INDEX(tblParts[Delay days],MATCH(tblWorkPackages[[#This Row],[Work package ID]],tblParts[Work package ID],0)),0)</f>
        <v>0</v>
      </c>
      <c r="AI1353" s="51" t="str">
        <f>IFERROR(INDEX(tblDisruptions[Event type],MATCH(tblWorkPackages[[#This Row],[Work package ID]],tblDisruptions[Work package ID],0)),"None")</f>
        <v>None</v>
      </c>
      <c r="AJ1353" s="51" t="str">
        <f>TEXT(tblWorkPackages[[#This Row],[Due date serial]],"yyyy-mm")</f>
        <v>2024-12</v>
      </c>
    </row>
    <row r="1354" spans="1:36" ht="15" x14ac:dyDescent="0.25">
      <c r="A1354" s="53" t="s">
        <v>2261</v>
      </c>
      <c r="B1354" s="53" t="s">
        <v>173</v>
      </c>
      <c r="C1354" s="53" t="s">
        <v>597</v>
      </c>
      <c r="D1354" s="53" t="s">
        <v>907</v>
      </c>
      <c r="E1354" s="53" t="s">
        <v>153</v>
      </c>
      <c r="F1354" s="53" t="s">
        <v>128</v>
      </c>
      <c r="G1354" s="53" t="s">
        <v>154</v>
      </c>
      <c r="H1354" s="53">
        <v>2</v>
      </c>
      <c r="I1354" s="53" t="s">
        <v>130</v>
      </c>
      <c r="J1354" s="53">
        <v>0</v>
      </c>
      <c r="K1354" s="53">
        <v>0</v>
      </c>
      <c r="L1354" s="53">
        <v>10.1</v>
      </c>
      <c r="M1354" s="53" t="s">
        <v>618</v>
      </c>
      <c r="N1354" s="53">
        <v>12.5</v>
      </c>
      <c r="O1354" s="51" t="str">
        <f>TEXT(tblWorkPackages[[#This Row],[Request date serial]]-WEEKDAY(tblWorkPackages[[#This Row],[Request date serial]],3),"yyyy-mm-dd")</f>
        <v>2025-05-26</v>
      </c>
      <c r="P1354" s="51">
        <f>ABS(tblWorkPackages[[#This Row],[Actual labor hours]]-tblWorkPackages[[#This Row],[Estimated labor hours]])</f>
        <v>2.4</v>
      </c>
      <c r="Q1354" s="51">
        <f>IF(tblWorkPackages[[#This Row],[Actual labor hours]]&gt;tblWorkPackages[[#This Row],[Estimated labor hours]],1,0)</f>
        <v>1</v>
      </c>
      <c r="R1354" s="51">
        <f>tblWorkPackages[[#This Row],[Actual labor hours]]-tblWorkPackages[[#This Row],[Estimated labor hours]]</f>
        <v>2.4</v>
      </c>
      <c r="S1354" s="51" t="str">
        <f>IF(tblWorkPackages[[#This Row],[Request date serial]]&lt;ValidationStart,"Train 2024",IF(tblWorkPackages[[#This Row],[Request date serial]]&lt;HoldoutStart,"Validation H1","Holdout H2"))</f>
        <v>Validation H1</v>
      </c>
      <c r="T1354" s="51">
        <f>IF(tblWorkPackages[[#This Row],[Time split]]="Train 2024","",tblWorkPackages[[#This Row],[Estimated labor hours]]+VLOOKUP(tblWorkPackages[[#This Row],[Task type]],'Forecast validation'!$A$14:$E$25,IF(tblWorkPackages[[#This Row],[Time split]]="Validation H1",4,5),FALSE()))</f>
        <v>10.6462264150943</v>
      </c>
      <c r="U1354" s="51">
        <f>IF(tblWorkPackages[[#This Row],[Calibrated forecast hours]]="","",ABS(tblWorkPackages[[#This Row],[Actual labor hours]]-tblWorkPackages[[#This Row],[Calibrated forecast hours]]))</f>
        <v>1.85377358490566</v>
      </c>
      <c r="V1354" s="51">
        <f>IF(tblWorkPackages[[#This Row],[Time split]]="Train 2024",tblWorkPackages[[#This Row],[Estimated labor hours]],tblWorkPackages[[#This Row],[Calibrated forecast hours]])</f>
        <v>10.6462264150943</v>
      </c>
      <c r="W1354" s="64">
        <f>DATEVALUE(tblWorkPackages[[#This Row],[Request date]])</f>
        <v>45803.0</v>
      </c>
      <c r="X1354" s="64">
        <f>DATEVALUE(tblWorkPackages[[#This Row],[Due date]])</f>
        <v>45816.0</v>
      </c>
      <c r="Y1354" s="64">
        <f>DATEVALUE(tblWorkPackages[[#This Row],[Completion date]])</f>
        <v>45806.0</v>
      </c>
      <c r="Z1354" s="64">
        <f>_xlfn.MINIFS(tblLaborEntries[Work date serial],tblLaborEntries[Work package ID],tblWorkPackages[[#This Row],[Work package ID]])</f>
        <v>45805.0</v>
      </c>
      <c r="AA1354" s="64">
        <f>_xlfn.MAXIFS(tblLaborEntries[Work date serial],tblLaborEntries[Work package ID],tblWorkPackages[[#This Row],[Work package ID]])</f>
        <v>45806.0</v>
      </c>
      <c r="AB1354" s="65">
        <f>IF(tblWorkPackages[[#This Row],[Completion date serial]]&gt;tblWorkPackages[[#This Row],[Due date serial]],1,0)</f>
        <v>0</v>
      </c>
      <c r="AC1354" s="65">
        <f>MAX(0,tblWorkPackages[[#This Row],[Completion date serial]]-tblWorkPackages[[#This Row],[Due date serial]])</f>
        <v>0</v>
      </c>
      <c r="AD1354" s="65">
        <f>tblWorkPackages[[#This Row],[First labor date]]-tblWorkPackages[[#This Row],[Request date serial]]</f>
        <v>2</v>
      </c>
      <c r="AE1354" s="65">
        <f>tblWorkPackages[[#This Row],[Last labor date]]-tblWorkPackages[[#This Row],[First labor date]]</f>
        <v>1</v>
      </c>
      <c r="AF1354" s="65">
        <f>tblWorkPackages[[#This Row],[Completion date serial]]-tblWorkPackages[[#This Row],[Last labor date]]</f>
        <v>0</v>
      </c>
      <c r="AG1354" s="65">
        <f>tblWorkPackages[[#This Row],[Completion date serial]]-tblWorkPackages[[#This Row],[Request date serial]]</f>
        <v>3</v>
      </c>
      <c r="AH1354" s="65">
        <f>IFERROR(INDEX(tblParts[Delay days],MATCH(tblWorkPackages[[#This Row],[Work package ID]],tblParts[Work package ID],0)),0)</f>
        <v>0</v>
      </c>
      <c r="AI1354" s="51" t="str">
        <f>IFERROR(INDEX(tblDisruptions[Event type],MATCH(tblWorkPackages[[#This Row],[Work package ID]],tblDisruptions[Work package ID],0)),"None")</f>
        <v>None</v>
      </c>
      <c r="AJ1354" s="51" t="str">
        <f>TEXT(tblWorkPackages[[#This Row],[Due date serial]],"yyyy-mm")</f>
        <v>2025-06</v>
      </c>
    </row>
    <row r="1355" spans="1:36" ht="15" x14ac:dyDescent="0.25">
      <c r="A1355" s="53" t="s">
        <v>2262</v>
      </c>
      <c r="B1355" s="53" t="s">
        <v>230</v>
      </c>
      <c r="C1355" s="53" t="s">
        <v>276</v>
      </c>
      <c r="D1355" s="53" t="s">
        <v>509</v>
      </c>
      <c r="E1355" s="53" t="s">
        <v>153</v>
      </c>
      <c r="F1355" s="53" t="s">
        <v>128</v>
      </c>
      <c r="G1355" s="53" t="s">
        <v>154</v>
      </c>
      <c r="H1355" s="53">
        <v>4</v>
      </c>
      <c r="I1355" s="53" t="s">
        <v>130</v>
      </c>
      <c r="J1355" s="53">
        <v>1</v>
      </c>
      <c r="K1355" s="53">
        <v>0</v>
      </c>
      <c r="L1355" s="53">
        <v>16.3</v>
      </c>
      <c r="M1355" s="53" t="s">
        <v>2263</v>
      </c>
      <c r="N1355" s="53">
        <v>24.5</v>
      </c>
      <c r="O1355" s="51" t="str">
        <f>TEXT(tblWorkPackages[[#This Row],[Request date serial]]-WEEKDAY(tblWorkPackages[[#This Row],[Request date serial]],3),"yyyy-mm-dd")</f>
        <v>2024-10-14</v>
      </c>
      <c r="P1355" s="51">
        <f>ABS(tblWorkPackages[[#This Row],[Actual labor hours]]-tblWorkPackages[[#This Row],[Estimated labor hours]])</f>
        <v>8.2</v>
      </c>
      <c r="Q1355" s="51">
        <f>IF(tblWorkPackages[[#This Row],[Actual labor hours]]&gt;tblWorkPackages[[#This Row],[Estimated labor hours]],1,0)</f>
        <v>1</v>
      </c>
      <c r="R1355" s="51">
        <f>tblWorkPackages[[#This Row],[Actual labor hours]]-tblWorkPackages[[#This Row],[Estimated labor hours]]</f>
        <v>8.2</v>
      </c>
      <c r="S1355" s="51" t="str">
        <f>IF(tblWorkPackages[[#This Row],[Request date serial]]&lt;ValidationStart,"Train 2024",IF(tblWorkPackages[[#This Row],[Request date serial]]&lt;HoldoutStart,"Validation H1","Holdout H2"))</f>
        <v>Train 2024</v>
      </c>
      <c r="T1355" s="51" t="str">
        <f>IF(tblWorkPackages[[#This Row],[Time split]]="Train 2024","",tblWorkPackages[[#This Row],[Estimated labor hours]]+VLOOKUP(tblWorkPackages[[#This Row],[Task type]],'Forecast validation'!$A$14:$E$25,IF(tblWorkPackages[[#This Row],[Time split]]="Validation H1",4,5),FALSE()))</f>
        <v/>
      </c>
      <c r="U1355" s="51" t="str">
        <f>IF(tblWorkPackages[[#This Row],[Calibrated forecast hours]]="","",ABS(tblWorkPackages[[#This Row],[Actual labor hours]]-tblWorkPackages[[#This Row],[Calibrated forecast hours]]))</f>
        <v/>
      </c>
      <c r="V1355" s="51">
        <f>IF(tblWorkPackages[[#This Row],[Time split]]="Train 2024",tblWorkPackages[[#This Row],[Estimated labor hours]],tblWorkPackages[[#This Row],[Calibrated forecast hours]])</f>
        <v>16.3</v>
      </c>
      <c r="W1355" s="64">
        <f>DATEVALUE(tblWorkPackages[[#This Row],[Request date]])</f>
        <v>45584.0</v>
      </c>
      <c r="X1355" s="64">
        <f>DATEVALUE(tblWorkPackages[[#This Row],[Due date]])</f>
        <v>45597.0</v>
      </c>
      <c r="Y1355" s="64">
        <f>DATEVALUE(tblWorkPackages[[#This Row],[Completion date]])</f>
        <v>45605.0</v>
      </c>
      <c r="Z1355" s="64">
        <f>_xlfn.MINIFS(tblLaborEntries[Work date serial],tblLaborEntries[Work package ID],tblWorkPackages[[#This Row],[Work package ID]])</f>
        <v>45602.0</v>
      </c>
      <c r="AA1355" s="64">
        <f>_xlfn.MAXIFS(tblLaborEntries[Work date serial],tblLaborEntries[Work package ID],tblWorkPackages[[#This Row],[Work package ID]])</f>
        <v>45604.0</v>
      </c>
      <c r="AB1355" s="65">
        <f>IF(tblWorkPackages[[#This Row],[Completion date serial]]&gt;tblWorkPackages[[#This Row],[Due date serial]],1,0)</f>
        <v>1</v>
      </c>
      <c r="AC1355" s="65">
        <f>MAX(0,tblWorkPackages[[#This Row],[Completion date serial]]-tblWorkPackages[[#This Row],[Due date serial]])</f>
        <v>8</v>
      </c>
      <c r="AD1355" s="65">
        <f>tblWorkPackages[[#This Row],[First labor date]]-tblWorkPackages[[#This Row],[Request date serial]]</f>
        <v>18</v>
      </c>
      <c r="AE1355" s="65">
        <f>tblWorkPackages[[#This Row],[Last labor date]]-tblWorkPackages[[#This Row],[First labor date]]</f>
        <v>2</v>
      </c>
      <c r="AF1355" s="65">
        <f>tblWorkPackages[[#This Row],[Completion date serial]]-tblWorkPackages[[#This Row],[Last labor date]]</f>
        <v>1</v>
      </c>
      <c r="AG1355" s="65">
        <f>tblWorkPackages[[#This Row],[Completion date serial]]-tblWorkPackages[[#This Row],[Request date serial]]</f>
        <v>21</v>
      </c>
      <c r="AH1355" s="65">
        <f>IFERROR(INDEX(tblParts[Delay days],MATCH(tblWorkPackages[[#This Row],[Work package ID]],tblParts[Work package ID],0)),0)</f>
        <v>0</v>
      </c>
      <c r="AI1355" s="51" t="str">
        <f>IFERROR(INDEX(tblDisruptions[Event type],MATCH(tblWorkPackages[[#This Row],[Work package ID]],tblDisruptions[Work package ID],0)),"None")</f>
        <v>None</v>
      </c>
      <c r="AJ1355" s="51" t="str">
        <f>TEXT(tblWorkPackages[[#This Row],[Due date serial]],"yyyy-mm")</f>
        <v>2024-11</v>
      </c>
    </row>
    <row r="1356" spans="1:36" ht="15" x14ac:dyDescent="0.25">
      <c r="A1356" s="53" t="s">
        <v>2264</v>
      </c>
      <c r="B1356" s="53" t="s">
        <v>235</v>
      </c>
      <c r="C1356" s="53" t="s">
        <v>609</v>
      </c>
      <c r="D1356" s="53" t="s">
        <v>300</v>
      </c>
      <c r="E1356" s="53" t="s">
        <v>136</v>
      </c>
      <c r="F1356" s="53" t="s">
        <v>137</v>
      </c>
      <c r="G1356" s="53" t="s">
        <v>138</v>
      </c>
      <c r="H1356" s="53">
        <v>1</v>
      </c>
      <c r="I1356" s="53" t="s">
        <v>130</v>
      </c>
      <c r="J1356" s="53">
        <v>0</v>
      </c>
      <c r="K1356" s="53">
        <v>0</v>
      </c>
      <c r="L1356" s="53">
        <v>10.4</v>
      </c>
      <c r="M1356" s="53" t="s">
        <v>1007</v>
      </c>
      <c r="N1356" s="53">
        <v>8.1</v>
      </c>
      <c r="O1356" s="51" t="str">
        <f>TEXT(tblWorkPackages[[#This Row],[Request date serial]]-WEEKDAY(tblWorkPackages[[#This Row],[Request date serial]],3),"yyyy-mm-dd")</f>
        <v>2024-04-01</v>
      </c>
      <c r="P1356" s="51">
        <f>ABS(tblWorkPackages[[#This Row],[Actual labor hours]]-tblWorkPackages[[#This Row],[Estimated labor hours]])</f>
        <v>2.3</v>
      </c>
      <c r="Q1356" s="51">
        <f>IF(tblWorkPackages[[#This Row],[Actual labor hours]]&gt;tblWorkPackages[[#This Row],[Estimated labor hours]],1,0)</f>
        <v>0</v>
      </c>
      <c r="R1356" s="51">
        <f>tblWorkPackages[[#This Row],[Actual labor hours]]-tblWorkPackages[[#This Row],[Estimated labor hours]]</f>
        <v>-2.3</v>
      </c>
      <c r="S1356" s="51" t="str">
        <f>IF(tblWorkPackages[[#This Row],[Request date serial]]&lt;ValidationStart,"Train 2024",IF(tblWorkPackages[[#This Row],[Request date serial]]&lt;HoldoutStart,"Validation H1","Holdout H2"))</f>
        <v>Train 2024</v>
      </c>
      <c r="T1356" s="51" t="str">
        <f>IF(tblWorkPackages[[#This Row],[Time split]]="Train 2024","",tblWorkPackages[[#This Row],[Estimated labor hours]]+VLOOKUP(tblWorkPackages[[#This Row],[Task type]],'Forecast validation'!$A$14:$E$25,IF(tblWorkPackages[[#This Row],[Time split]]="Validation H1",4,5),FALSE()))</f>
        <v/>
      </c>
      <c r="U1356" s="51" t="str">
        <f>IF(tblWorkPackages[[#This Row],[Calibrated forecast hours]]="","",ABS(tblWorkPackages[[#This Row],[Actual labor hours]]-tblWorkPackages[[#This Row],[Calibrated forecast hours]]))</f>
        <v/>
      </c>
      <c r="V1356" s="51">
        <f>IF(tblWorkPackages[[#This Row],[Time split]]="Train 2024",tblWorkPackages[[#This Row],[Estimated labor hours]],tblWorkPackages[[#This Row],[Calibrated forecast hours]])</f>
        <v>10.4</v>
      </c>
      <c r="W1356" s="64">
        <f>DATEVALUE(tblWorkPackages[[#This Row],[Request date]])</f>
        <v>45384.0</v>
      </c>
      <c r="X1356" s="64">
        <f>DATEVALUE(tblWorkPackages[[#This Row],[Due date]])</f>
        <v>45397.0</v>
      </c>
      <c r="Y1356" s="64">
        <f>DATEVALUE(tblWorkPackages[[#This Row],[Completion date]])</f>
        <v>45391.0</v>
      </c>
      <c r="Z1356" s="64">
        <f>_xlfn.MINIFS(tblLaborEntries[Work date serial],tblLaborEntries[Work package ID],tblWorkPackages[[#This Row],[Work package ID]])</f>
        <v>45388.0</v>
      </c>
      <c r="AA1356" s="64">
        <f>_xlfn.MAXIFS(tblLaborEntries[Work date serial],tblLaborEntries[Work package ID],tblWorkPackages[[#This Row],[Work package ID]])</f>
        <v>45389.0</v>
      </c>
      <c r="AB1356" s="65">
        <f>IF(tblWorkPackages[[#This Row],[Completion date serial]]&gt;tblWorkPackages[[#This Row],[Due date serial]],1,0)</f>
        <v>0</v>
      </c>
      <c r="AC1356" s="65">
        <f>MAX(0,tblWorkPackages[[#This Row],[Completion date serial]]-tblWorkPackages[[#This Row],[Due date serial]])</f>
        <v>0</v>
      </c>
      <c r="AD1356" s="65">
        <f>tblWorkPackages[[#This Row],[First labor date]]-tblWorkPackages[[#This Row],[Request date serial]]</f>
        <v>4</v>
      </c>
      <c r="AE1356" s="65">
        <f>tblWorkPackages[[#This Row],[Last labor date]]-tblWorkPackages[[#This Row],[First labor date]]</f>
        <v>1</v>
      </c>
      <c r="AF1356" s="65">
        <f>tblWorkPackages[[#This Row],[Completion date serial]]-tblWorkPackages[[#This Row],[Last labor date]]</f>
        <v>2</v>
      </c>
      <c r="AG1356" s="65">
        <f>tblWorkPackages[[#This Row],[Completion date serial]]-tblWorkPackages[[#This Row],[Request date serial]]</f>
        <v>7</v>
      </c>
      <c r="AH1356" s="65">
        <f>IFERROR(INDEX(tblParts[Delay days],MATCH(tblWorkPackages[[#This Row],[Work package ID]],tblParts[Work package ID],0)),0)</f>
        <v>0</v>
      </c>
      <c r="AI1356" s="51" t="str">
        <f>IFERROR(INDEX(tblDisruptions[Event type],MATCH(tblWorkPackages[[#This Row],[Work package ID]],tblDisruptions[Work package ID],0)),"None")</f>
        <v>None</v>
      </c>
      <c r="AJ1356" s="51" t="str">
        <f>TEXT(tblWorkPackages[[#This Row],[Due date serial]],"yyyy-mm")</f>
        <v>2024-04</v>
      </c>
    </row>
    <row r="1357" spans="1:36" ht="15" x14ac:dyDescent="0.25">
      <c r="A1357" s="53" t="s">
        <v>2265</v>
      </c>
      <c r="B1357" s="53" t="s">
        <v>168</v>
      </c>
      <c r="C1357" s="53" t="s">
        <v>914</v>
      </c>
      <c r="D1357" s="53" t="s">
        <v>646</v>
      </c>
      <c r="E1357" s="53" t="s">
        <v>209</v>
      </c>
      <c r="F1357" s="53" t="s">
        <v>145</v>
      </c>
      <c r="G1357" s="53" t="s">
        <v>210</v>
      </c>
      <c r="H1357" s="53">
        <v>1</v>
      </c>
      <c r="I1357" s="53" t="s">
        <v>147</v>
      </c>
      <c r="J1357" s="53">
        <v>1</v>
      </c>
      <c r="K1357" s="53">
        <v>1</v>
      </c>
      <c r="L1357" s="53">
        <v>13.3</v>
      </c>
      <c r="M1357" s="53" t="s">
        <v>849</v>
      </c>
      <c r="N1357" s="53">
        <v>19.5</v>
      </c>
      <c r="O1357" s="51" t="str">
        <f>TEXT(tblWorkPackages[[#This Row],[Request date serial]]-WEEKDAY(tblWorkPackages[[#This Row],[Request date serial]],3),"yyyy-mm-dd")</f>
        <v>2025-12-22</v>
      </c>
      <c r="P1357" s="51">
        <f>ABS(tblWorkPackages[[#This Row],[Actual labor hours]]-tblWorkPackages[[#This Row],[Estimated labor hours]])</f>
        <v>6.2</v>
      </c>
      <c r="Q1357" s="51">
        <f>IF(tblWorkPackages[[#This Row],[Actual labor hours]]&gt;tblWorkPackages[[#This Row],[Estimated labor hours]],1,0)</f>
        <v>1</v>
      </c>
      <c r="R1357" s="51">
        <f>tblWorkPackages[[#This Row],[Actual labor hours]]-tblWorkPackages[[#This Row],[Estimated labor hours]]</f>
        <v>6.2</v>
      </c>
      <c r="S1357" s="51" t="str">
        <f>IF(tblWorkPackages[[#This Row],[Request date serial]]&lt;ValidationStart,"Train 2024",IF(tblWorkPackages[[#This Row],[Request date serial]]&lt;HoldoutStart,"Validation H1","Holdout H2"))</f>
        <v>Holdout H2</v>
      </c>
      <c r="T1357" s="51">
        <f>IF(tblWorkPackages[[#This Row],[Time split]]="Train 2024","",tblWorkPackages[[#This Row],[Estimated labor hours]]+VLOOKUP(tblWorkPackages[[#This Row],[Task type]],'Forecast validation'!$A$14:$E$25,IF(tblWorkPackages[[#This Row],[Time split]]="Validation H1",4,5),FALSE()))</f>
        <v>15.095652173913</v>
      </c>
      <c r="U1357" s="51">
        <f>IF(tblWorkPackages[[#This Row],[Calibrated forecast hours]]="","",ABS(tblWorkPackages[[#This Row],[Actual labor hours]]-tblWorkPackages[[#This Row],[Calibrated forecast hours]]))</f>
        <v>4.40434782608696</v>
      </c>
      <c r="V1357" s="51">
        <f>IF(tblWorkPackages[[#This Row],[Time split]]="Train 2024",tblWorkPackages[[#This Row],[Estimated labor hours]],tblWorkPackages[[#This Row],[Calibrated forecast hours]])</f>
        <v>15.095652173913</v>
      </c>
      <c r="W1357" s="64">
        <f>DATEVALUE(tblWorkPackages[[#This Row],[Request date]])</f>
        <v>46013.0</v>
      </c>
      <c r="X1357" s="64">
        <f>DATEVALUE(tblWorkPackages[[#This Row],[Due date]])</f>
        <v>46015.0</v>
      </c>
      <c r="Y1357" s="64">
        <f>DATEVALUE(tblWorkPackages[[#This Row],[Completion date]])</f>
        <v>46019.0</v>
      </c>
      <c r="Z1357" s="64">
        <f>_xlfn.MINIFS(tblLaborEntries[Work date serial],tblLaborEntries[Work package ID],tblWorkPackages[[#This Row],[Work package ID]])</f>
        <v>46014.0</v>
      </c>
      <c r="AA1357" s="64">
        <f>_xlfn.MAXIFS(tblLaborEntries[Work date serial],tblLaborEntries[Work package ID],tblWorkPackages[[#This Row],[Work package ID]])</f>
        <v>46016.0</v>
      </c>
      <c r="AB1357" s="65">
        <f>IF(tblWorkPackages[[#This Row],[Completion date serial]]&gt;tblWorkPackages[[#This Row],[Due date serial]],1,0)</f>
        <v>1</v>
      </c>
      <c r="AC1357" s="65">
        <f>MAX(0,tblWorkPackages[[#This Row],[Completion date serial]]-tblWorkPackages[[#This Row],[Due date serial]])</f>
        <v>4</v>
      </c>
      <c r="AD1357" s="65">
        <f>tblWorkPackages[[#This Row],[First labor date]]-tblWorkPackages[[#This Row],[Request date serial]]</f>
        <v>1</v>
      </c>
      <c r="AE1357" s="65">
        <f>tblWorkPackages[[#This Row],[Last labor date]]-tblWorkPackages[[#This Row],[First labor date]]</f>
        <v>2</v>
      </c>
      <c r="AF1357" s="65">
        <f>tblWorkPackages[[#This Row],[Completion date serial]]-tblWorkPackages[[#This Row],[Last labor date]]</f>
        <v>3</v>
      </c>
      <c r="AG1357" s="65">
        <f>tblWorkPackages[[#This Row],[Completion date serial]]-tblWorkPackages[[#This Row],[Request date serial]]</f>
        <v>6</v>
      </c>
      <c r="AH1357" s="65">
        <f>IFERROR(INDEX(tblParts[Delay days],MATCH(tblWorkPackages[[#This Row],[Work package ID]],tblParts[Work package ID],0)),0)</f>
        <v>0</v>
      </c>
      <c r="AI1357" s="51" t="str">
        <f>IFERROR(INDEX(tblDisruptions[Event type],MATCH(tblWorkPackages[[#This Row],[Work package ID]],tblDisruptions[Work package ID],0)),"None")</f>
        <v>None</v>
      </c>
      <c r="AJ1357" s="51" t="str">
        <f>TEXT(tblWorkPackages[[#This Row],[Due date serial]],"yyyy-mm")</f>
        <v>2025-12</v>
      </c>
    </row>
    <row r="1358" spans="1:36" ht="15" x14ac:dyDescent="0.25">
      <c r="A1358" s="53" t="s">
        <v>2266</v>
      </c>
      <c r="B1358" s="53" t="s">
        <v>203</v>
      </c>
      <c r="C1358" s="53" t="s">
        <v>883</v>
      </c>
      <c r="D1358" s="53" t="s">
        <v>204</v>
      </c>
      <c r="E1358" s="53" t="s">
        <v>242</v>
      </c>
      <c r="F1358" s="53" t="s">
        <v>243</v>
      </c>
      <c r="G1358" s="53" t="s">
        <v>129</v>
      </c>
      <c r="H1358" s="53">
        <v>1</v>
      </c>
      <c r="I1358" s="53" t="s">
        <v>130</v>
      </c>
      <c r="J1358" s="53">
        <v>0</v>
      </c>
      <c r="K1358" s="53">
        <v>0</v>
      </c>
      <c r="L1358" s="53">
        <v>4.5999999999999996</v>
      </c>
      <c r="M1358" s="53" t="s">
        <v>960</v>
      </c>
      <c r="N1358" s="53">
        <v>4.0999999999999996</v>
      </c>
      <c r="O1358" s="51" t="str">
        <f>TEXT(tblWorkPackages[[#This Row],[Request date serial]]-WEEKDAY(tblWorkPackages[[#This Row],[Request date serial]],3),"yyyy-mm-dd")</f>
        <v>2024-10-14</v>
      </c>
      <c r="P1358" s="51">
        <f>ABS(tblWorkPackages[[#This Row],[Actual labor hours]]-tblWorkPackages[[#This Row],[Estimated labor hours]])</f>
        <v>0.5</v>
      </c>
      <c r="Q1358" s="51">
        <f>IF(tblWorkPackages[[#This Row],[Actual labor hours]]&gt;tblWorkPackages[[#This Row],[Estimated labor hours]],1,0)</f>
        <v>0</v>
      </c>
      <c r="R1358" s="51">
        <f>tblWorkPackages[[#This Row],[Actual labor hours]]-tblWorkPackages[[#This Row],[Estimated labor hours]]</f>
        <v>-0.5</v>
      </c>
      <c r="S1358" s="51" t="str">
        <f>IF(tblWorkPackages[[#This Row],[Request date serial]]&lt;ValidationStart,"Train 2024",IF(tblWorkPackages[[#This Row],[Request date serial]]&lt;HoldoutStart,"Validation H1","Holdout H2"))</f>
        <v>Train 2024</v>
      </c>
      <c r="T1358" s="51" t="str">
        <f>IF(tblWorkPackages[[#This Row],[Time split]]="Train 2024","",tblWorkPackages[[#This Row],[Estimated labor hours]]+VLOOKUP(tblWorkPackages[[#This Row],[Task type]],'Forecast validation'!$A$14:$E$25,IF(tblWorkPackages[[#This Row],[Time split]]="Validation H1",4,5),FALSE()))</f>
        <v/>
      </c>
      <c r="U1358" s="51" t="str">
        <f>IF(tblWorkPackages[[#This Row],[Calibrated forecast hours]]="","",ABS(tblWorkPackages[[#This Row],[Actual labor hours]]-tblWorkPackages[[#This Row],[Calibrated forecast hours]]))</f>
        <v/>
      </c>
      <c r="V1358" s="51">
        <f>IF(tblWorkPackages[[#This Row],[Time split]]="Train 2024",tblWorkPackages[[#This Row],[Estimated labor hours]],tblWorkPackages[[#This Row],[Calibrated forecast hours]])</f>
        <v>4.6</v>
      </c>
      <c r="W1358" s="64">
        <f>DATEVALUE(tblWorkPackages[[#This Row],[Request date]])</f>
        <v>45583.0</v>
      </c>
      <c r="X1358" s="64">
        <f>DATEVALUE(tblWorkPackages[[#This Row],[Due date]])</f>
        <v>45596.0</v>
      </c>
      <c r="Y1358" s="64">
        <f>DATEVALUE(tblWorkPackages[[#This Row],[Completion date]])</f>
        <v>45594.0</v>
      </c>
      <c r="Z1358" s="64">
        <f>_xlfn.MINIFS(tblLaborEntries[Work date serial],tblLaborEntries[Work package ID],tblWorkPackages[[#This Row],[Work package ID]])</f>
        <v>45594.0</v>
      </c>
      <c r="AA1358" s="64">
        <f>_xlfn.MAXIFS(tblLaborEntries[Work date serial],tblLaborEntries[Work package ID],tblWorkPackages[[#This Row],[Work package ID]])</f>
        <v>45594.0</v>
      </c>
      <c r="AB1358" s="65">
        <f>IF(tblWorkPackages[[#This Row],[Completion date serial]]&gt;tblWorkPackages[[#This Row],[Due date serial]],1,0)</f>
        <v>0</v>
      </c>
      <c r="AC1358" s="65">
        <f>MAX(0,tblWorkPackages[[#This Row],[Completion date serial]]-tblWorkPackages[[#This Row],[Due date serial]])</f>
        <v>0</v>
      </c>
      <c r="AD1358" s="65">
        <f>tblWorkPackages[[#This Row],[First labor date]]-tblWorkPackages[[#This Row],[Request date serial]]</f>
        <v>11</v>
      </c>
      <c r="AE1358" s="65">
        <f>tblWorkPackages[[#This Row],[Last labor date]]-tblWorkPackages[[#This Row],[First labor date]]</f>
        <v>0</v>
      </c>
      <c r="AF1358" s="65">
        <f>tblWorkPackages[[#This Row],[Completion date serial]]-tblWorkPackages[[#This Row],[Last labor date]]</f>
        <v>0</v>
      </c>
      <c r="AG1358" s="65">
        <f>tblWorkPackages[[#This Row],[Completion date serial]]-tblWorkPackages[[#This Row],[Request date serial]]</f>
        <v>11</v>
      </c>
      <c r="AH1358" s="65">
        <f>IFERROR(INDEX(tblParts[Delay days],MATCH(tblWorkPackages[[#This Row],[Work package ID]],tblParts[Work package ID],0)),0)</f>
        <v>0</v>
      </c>
      <c r="AI1358" s="51" t="str">
        <f>IFERROR(INDEX(tblDisruptions[Event type],MATCH(tblWorkPackages[[#This Row],[Work package ID]],tblDisruptions[Work package ID],0)),"None")</f>
        <v>None</v>
      </c>
      <c r="AJ1358" s="51" t="str">
        <f>TEXT(tblWorkPackages[[#This Row],[Due date serial]],"yyyy-mm")</f>
        <v>2024-10</v>
      </c>
    </row>
    <row r="1359" spans="1:36" ht="15" x14ac:dyDescent="0.25">
      <c r="A1359" s="53" t="s">
        <v>2267</v>
      </c>
      <c r="B1359" s="53" t="s">
        <v>173</v>
      </c>
      <c r="C1359" s="53" t="s">
        <v>463</v>
      </c>
      <c r="D1359" s="53" t="s">
        <v>943</v>
      </c>
      <c r="E1359" s="53" t="s">
        <v>153</v>
      </c>
      <c r="F1359" s="53" t="s">
        <v>128</v>
      </c>
      <c r="G1359" s="53" t="s">
        <v>154</v>
      </c>
      <c r="H1359" s="53">
        <v>3</v>
      </c>
      <c r="I1359" s="53" t="s">
        <v>130</v>
      </c>
      <c r="J1359" s="53">
        <v>1</v>
      </c>
      <c r="K1359" s="53">
        <v>0</v>
      </c>
      <c r="L1359" s="53">
        <v>10.9</v>
      </c>
      <c r="M1359" s="53" t="s">
        <v>1272</v>
      </c>
      <c r="N1359" s="53">
        <v>11.4</v>
      </c>
      <c r="O1359" s="51" t="str">
        <f>TEXT(tblWorkPackages[[#This Row],[Request date serial]]-WEEKDAY(tblWorkPackages[[#This Row],[Request date serial]],3),"yyyy-mm-dd")</f>
        <v>2025-09-29</v>
      </c>
      <c r="P1359" s="51">
        <f>ABS(tblWorkPackages[[#This Row],[Actual labor hours]]-tblWorkPackages[[#This Row],[Estimated labor hours]])</f>
        <v>0.5</v>
      </c>
      <c r="Q1359" s="51">
        <f>IF(tblWorkPackages[[#This Row],[Actual labor hours]]&gt;tblWorkPackages[[#This Row],[Estimated labor hours]],1,0)</f>
        <v>1</v>
      </c>
      <c r="R1359" s="51">
        <f>tblWorkPackages[[#This Row],[Actual labor hours]]-tblWorkPackages[[#This Row],[Estimated labor hours]]</f>
        <v>0.5</v>
      </c>
      <c r="S1359" s="51" t="str">
        <f>IF(tblWorkPackages[[#This Row],[Request date serial]]&lt;ValidationStart,"Train 2024",IF(tblWorkPackages[[#This Row],[Request date serial]]&lt;HoldoutStart,"Validation H1","Holdout H2"))</f>
        <v>Holdout H2</v>
      </c>
      <c r="T1359" s="51">
        <f>IF(tblWorkPackages[[#This Row],[Time split]]="Train 2024","",tblWorkPackages[[#This Row],[Estimated labor hours]]+VLOOKUP(tblWorkPackages[[#This Row],[Task type]],'Forecast validation'!$A$14:$E$25,IF(tblWorkPackages[[#This Row],[Time split]]="Validation H1",4,5),FALSE()))</f>
        <v>11.5026666666667</v>
      </c>
      <c r="U1359" s="51">
        <f>IF(tblWorkPackages[[#This Row],[Calibrated forecast hours]]="","",ABS(tblWorkPackages[[#This Row],[Actual labor hours]]-tblWorkPackages[[#This Row],[Calibrated forecast hours]]))</f>
        <v>0.102666666666666</v>
      </c>
      <c r="V1359" s="51">
        <f>IF(tblWorkPackages[[#This Row],[Time split]]="Train 2024",tblWorkPackages[[#This Row],[Estimated labor hours]],tblWorkPackages[[#This Row],[Calibrated forecast hours]])</f>
        <v>11.5026666666667</v>
      </c>
      <c r="W1359" s="64">
        <f>DATEVALUE(tblWorkPackages[[#This Row],[Request date]])</f>
        <v>45931.0</v>
      </c>
      <c r="X1359" s="64">
        <f>DATEVALUE(tblWorkPackages[[#This Row],[Due date]])</f>
        <v>45944.0</v>
      </c>
      <c r="Y1359" s="64">
        <f>DATEVALUE(tblWorkPackages[[#This Row],[Completion date]])</f>
        <v>45936.0</v>
      </c>
      <c r="Z1359" s="64">
        <f>_xlfn.MINIFS(tblLaborEntries[Work date serial],tblLaborEntries[Work package ID],tblWorkPackages[[#This Row],[Work package ID]])</f>
        <v>45934.0</v>
      </c>
      <c r="AA1359" s="64">
        <f>_xlfn.MAXIFS(tblLaborEntries[Work date serial],tblLaborEntries[Work package ID],tblWorkPackages[[#This Row],[Work package ID]])</f>
        <v>45935.0</v>
      </c>
      <c r="AB1359" s="65">
        <f>IF(tblWorkPackages[[#This Row],[Completion date serial]]&gt;tblWorkPackages[[#This Row],[Due date serial]],1,0)</f>
        <v>0</v>
      </c>
      <c r="AC1359" s="65">
        <f>MAX(0,tblWorkPackages[[#This Row],[Completion date serial]]-tblWorkPackages[[#This Row],[Due date serial]])</f>
        <v>0</v>
      </c>
      <c r="AD1359" s="65">
        <f>tblWorkPackages[[#This Row],[First labor date]]-tblWorkPackages[[#This Row],[Request date serial]]</f>
        <v>3</v>
      </c>
      <c r="AE1359" s="65">
        <f>tblWorkPackages[[#This Row],[Last labor date]]-tblWorkPackages[[#This Row],[First labor date]]</f>
        <v>1</v>
      </c>
      <c r="AF1359" s="65">
        <f>tblWorkPackages[[#This Row],[Completion date serial]]-tblWorkPackages[[#This Row],[Last labor date]]</f>
        <v>1</v>
      </c>
      <c r="AG1359" s="65">
        <f>tblWorkPackages[[#This Row],[Completion date serial]]-tblWorkPackages[[#This Row],[Request date serial]]</f>
        <v>5</v>
      </c>
      <c r="AH1359" s="65">
        <f>IFERROR(INDEX(tblParts[Delay days],MATCH(tblWorkPackages[[#This Row],[Work package ID]],tblParts[Work package ID],0)),0)</f>
        <v>0</v>
      </c>
      <c r="AI1359" s="51" t="str">
        <f>IFERROR(INDEX(tblDisruptions[Event type],MATCH(tblWorkPackages[[#This Row],[Work package ID]],tblDisruptions[Work package ID],0)),"None")</f>
        <v>None</v>
      </c>
      <c r="AJ1359" s="51" t="str">
        <f>TEXT(tblWorkPackages[[#This Row],[Due date serial]],"yyyy-mm")</f>
        <v>2025-10</v>
      </c>
    </row>
    <row r="1360" spans="1:36" ht="15" x14ac:dyDescent="0.25">
      <c r="A1360" s="53" t="s">
        <v>2268</v>
      </c>
      <c r="B1360" s="53" t="s">
        <v>235</v>
      </c>
      <c r="C1360" s="53" t="s">
        <v>1000</v>
      </c>
      <c r="D1360" s="53" t="s">
        <v>665</v>
      </c>
      <c r="E1360" s="53" t="s">
        <v>144</v>
      </c>
      <c r="F1360" s="53" t="s">
        <v>145</v>
      </c>
      <c r="G1360" s="53" t="s">
        <v>146</v>
      </c>
      <c r="H1360" s="53">
        <v>2</v>
      </c>
      <c r="I1360" s="53" t="s">
        <v>176</v>
      </c>
      <c r="J1360" s="53">
        <v>0</v>
      </c>
      <c r="K1360" s="53">
        <v>1</v>
      </c>
      <c r="L1360" s="53">
        <v>11.4</v>
      </c>
      <c r="M1360" s="53" t="s">
        <v>677</v>
      </c>
      <c r="N1360" s="53">
        <v>13.3</v>
      </c>
      <c r="O1360" s="51" t="str">
        <f>TEXT(tblWorkPackages[[#This Row],[Request date serial]]-WEEKDAY(tblWorkPackages[[#This Row],[Request date serial]],3),"yyyy-mm-dd")</f>
        <v>2024-03-18</v>
      </c>
      <c r="P1360" s="51">
        <f>ABS(tblWorkPackages[[#This Row],[Actual labor hours]]-tblWorkPackages[[#This Row],[Estimated labor hours]])</f>
        <v>1.9</v>
      </c>
      <c r="Q1360" s="51">
        <f>IF(tblWorkPackages[[#This Row],[Actual labor hours]]&gt;tblWorkPackages[[#This Row],[Estimated labor hours]],1,0)</f>
        <v>1</v>
      </c>
      <c r="R1360" s="51">
        <f>tblWorkPackages[[#This Row],[Actual labor hours]]-tblWorkPackages[[#This Row],[Estimated labor hours]]</f>
        <v>1.9</v>
      </c>
      <c r="S1360" s="51" t="str">
        <f>IF(tblWorkPackages[[#This Row],[Request date serial]]&lt;ValidationStart,"Train 2024",IF(tblWorkPackages[[#This Row],[Request date serial]]&lt;HoldoutStart,"Validation H1","Holdout H2"))</f>
        <v>Train 2024</v>
      </c>
      <c r="T1360" s="51" t="str">
        <f>IF(tblWorkPackages[[#This Row],[Time split]]="Train 2024","",tblWorkPackages[[#This Row],[Estimated labor hours]]+VLOOKUP(tblWorkPackages[[#This Row],[Task type]],'Forecast validation'!$A$14:$E$25,IF(tblWorkPackages[[#This Row],[Time split]]="Validation H1",4,5),FALSE()))</f>
        <v/>
      </c>
      <c r="U1360" s="51" t="str">
        <f>IF(tblWorkPackages[[#This Row],[Calibrated forecast hours]]="","",ABS(tblWorkPackages[[#This Row],[Actual labor hours]]-tblWorkPackages[[#This Row],[Calibrated forecast hours]]))</f>
        <v/>
      </c>
      <c r="V1360" s="51">
        <f>IF(tblWorkPackages[[#This Row],[Time split]]="Train 2024",tblWorkPackages[[#This Row],[Estimated labor hours]],tblWorkPackages[[#This Row],[Calibrated forecast hours]])</f>
        <v>11.4</v>
      </c>
      <c r="W1360" s="64">
        <f>DATEVALUE(tblWorkPackages[[#This Row],[Request date]])</f>
        <v>45372.0</v>
      </c>
      <c r="X1360" s="64">
        <f>DATEVALUE(tblWorkPackages[[#This Row],[Due date]])</f>
        <v>45378.0</v>
      </c>
      <c r="Y1360" s="64">
        <f>DATEVALUE(tblWorkPackages[[#This Row],[Completion date]])</f>
        <v>45406.0</v>
      </c>
      <c r="Z1360" s="64">
        <f>_xlfn.MINIFS(tblLaborEntries[Work date serial],tblLaborEntries[Work package ID],tblWorkPackages[[#This Row],[Work package ID]])</f>
        <v>45403.0</v>
      </c>
      <c r="AA1360" s="64">
        <f>_xlfn.MAXIFS(tblLaborEntries[Work date serial],tblLaborEntries[Work package ID],tblWorkPackages[[#This Row],[Work package ID]])</f>
        <v>45404.0</v>
      </c>
      <c r="AB1360" s="65">
        <f>IF(tblWorkPackages[[#This Row],[Completion date serial]]&gt;tblWorkPackages[[#This Row],[Due date serial]],1,0)</f>
        <v>1</v>
      </c>
      <c r="AC1360" s="65">
        <f>MAX(0,tblWorkPackages[[#This Row],[Completion date serial]]-tblWorkPackages[[#This Row],[Due date serial]])</f>
        <v>28</v>
      </c>
      <c r="AD1360" s="65">
        <f>tblWorkPackages[[#This Row],[First labor date]]-tblWorkPackages[[#This Row],[Request date serial]]</f>
        <v>31</v>
      </c>
      <c r="AE1360" s="65">
        <f>tblWorkPackages[[#This Row],[Last labor date]]-tblWorkPackages[[#This Row],[First labor date]]</f>
        <v>1</v>
      </c>
      <c r="AF1360" s="65">
        <f>tblWorkPackages[[#This Row],[Completion date serial]]-tblWorkPackages[[#This Row],[Last labor date]]</f>
        <v>2</v>
      </c>
      <c r="AG1360" s="65">
        <f>tblWorkPackages[[#This Row],[Completion date serial]]-tblWorkPackages[[#This Row],[Request date serial]]</f>
        <v>34</v>
      </c>
      <c r="AH1360" s="65">
        <f>IFERROR(INDEX(tblParts[Delay days],MATCH(tblWorkPackages[[#This Row],[Work package ID]],tblParts[Work package ID],0)),0)</f>
        <v>0</v>
      </c>
      <c r="AI1360" s="51" t="str">
        <f>IFERROR(INDEX(tblDisruptions[Event type],MATCH(tblWorkPackages[[#This Row],[Work package ID]],tblDisruptions[Work package ID],0)),"None")</f>
        <v>None</v>
      </c>
      <c r="AJ1360" s="51" t="str">
        <f>TEXT(tblWorkPackages[[#This Row],[Due date serial]],"yyyy-mm")</f>
        <v>2024-03</v>
      </c>
    </row>
    <row r="1361" spans="1:36" ht="15" x14ac:dyDescent="0.25">
      <c r="A1361" s="53" t="s">
        <v>2269</v>
      </c>
      <c r="B1361" s="53" t="s">
        <v>124</v>
      </c>
      <c r="C1361" s="53" t="s">
        <v>509</v>
      </c>
      <c r="D1361" s="53" t="s">
        <v>948</v>
      </c>
      <c r="E1361" s="53" t="s">
        <v>153</v>
      </c>
      <c r="F1361" s="53" t="s">
        <v>128</v>
      </c>
      <c r="G1361" s="53" t="s">
        <v>154</v>
      </c>
      <c r="H1361" s="53">
        <v>1</v>
      </c>
      <c r="I1361" s="53" t="s">
        <v>176</v>
      </c>
      <c r="J1361" s="53">
        <v>1</v>
      </c>
      <c r="K1361" s="53">
        <v>0</v>
      </c>
      <c r="L1361" s="53">
        <v>5.7</v>
      </c>
      <c r="M1361" s="53" t="s">
        <v>982</v>
      </c>
      <c r="N1361" s="53">
        <v>8.6</v>
      </c>
      <c r="O1361" s="51" t="str">
        <f>TEXT(tblWorkPackages[[#This Row],[Request date serial]]-WEEKDAY(tblWorkPackages[[#This Row],[Request date serial]],3),"yyyy-mm-dd")</f>
        <v>2024-10-28</v>
      </c>
      <c r="P1361" s="51">
        <f>ABS(tblWorkPackages[[#This Row],[Actual labor hours]]-tblWorkPackages[[#This Row],[Estimated labor hours]])</f>
        <v>2.9</v>
      </c>
      <c r="Q1361" s="51">
        <f>IF(tblWorkPackages[[#This Row],[Actual labor hours]]&gt;tblWorkPackages[[#This Row],[Estimated labor hours]],1,0)</f>
        <v>1</v>
      </c>
      <c r="R1361" s="51">
        <f>tblWorkPackages[[#This Row],[Actual labor hours]]-tblWorkPackages[[#This Row],[Estimated labor hours]]</f>
        <v>2.9</v>
      </c>
      <c r="S1361" s="51" t="str">
        <f>IF(tblWorkPackages[[#This Row],[Request date serial]]&lt;ValidationStart,"Train 2024",IF(tblWorkPackages[[#This Row],[Request date serial]]&lt;HoldoutStart,"Validation H1","Holdout H2"))</f>
        <v>Train 2024</v>
      </c>
      <c r="T1361" s="51" t="str">
        <f>IF(tblWorkPackages[[#This Row],[Time split]]="Train 2024","",tblWorkPackages[[#This Row],[Estimated labor hours]]+VLOOKUP(tblWorkPackages[[#This Row],[Task type]],'Forecast validation'!$A$14:$E$25,IF(tblWorkPackages[[#This Row],[Time split]]="Validation H1",4,5),FALSE()))</f>
        <v/>
      </c>
      <c r="U1361" s="51" t="str">
        <f>IF(tblWorkPackages[[#This Row],[Calibrated forecast hours]]="","",ABS(tblWorkPackages[[#This Row],[Actual labor hours]]-tblWorkPackages[[#This Row],[Calibrated forecast hours]]))</f>
        <v/>
      </c>
      <c r="V1361" s="51">
        <f>IF(tblWorkPackages[[#This Row],[Time split]]="Train 2024",tblWorkPackages[[#This Row],[Estimated labor hours]],tblWorkPackages[[#This Row],[Calibrated forecast hours]])</f>
        <v>5.7</v>
      </c>
      <c r="W1361" s="64">
        <f>DATEVALUE(tblWorkPackages[[#This Row],[Request date]])</f>
        <v>45597.0</v>
      </c>
      <c r="X1361" s="64">
        <f>DATEVALUE(tblWorkPackages[[#This Row],[Due date]])</f>
        <v>45603.0</v>
      </c>
      <c r="Y1361" s="64">
        <f>DATEVALUE(tblWorkPackages[[#This Row],[Completion date]])</f>
        <v>45606.0</v>
      </c>
      <c r="Z1361" s="64">
        <f>_xlfn.MINIFS(tblLaborEntries[Work date serial],tblLaborEntries[Work package ID],tblWorkPackages[[#This Row],[Work package ID]])</f>
        <v>45602.0</v>
      </c>
      <c r="AA1361" s="64">
        <f>_xlfn.MAXIFS(tblLaborEntries[Work date serial],tblLaborEntries[Work package ID],tblWorkPackages[[#This Row],[Work package ID]])</f>
        <v>45603.0</v>
      </c>
      <c r="AB1361" s="65">
        <f>IF(tblWorkPackages[[#This Row],[Completion date serial]]&gt;tblWorkPackages[[#This Row],[Due date serial]],1,0)</f>
        <v>1</v>
      </c>
      <c r="AC1361" s="65">
        <f>MAX(0,tblWorkPackages[[#This Row],[Completion date serial]]-tblWorkPackages[[#This Row],[Due date serial]])</f>
        <v>3</v>
      </c>
      <c r="AD1361" s="65">
        <f>tblWorkPackages[[#This Row],[First labor date]]-tblWorkPackages[[#This Row],[Request date serial]]</f>
        <v>5</v>
      </c>
      <c r="AE1361" s="65">
        <f>tblWorkPackages[[#This Row],[Last labor date]]-tblWorkPackages[[#This Row],[First labor date]]</f>
        <v>1</v>
      </c>
      <c r="AF1361" s="65">
        <f>tblWorkPackages[[#This Row],[Completion date serial]]-tblWorkPackages[[#This Row],[Last labor date]]</f>
        <v>3</v>
      </c>
      <c r="AG1361" s="65">
        <f>tblWorkPackages[[#This Row],[Completion date serial]]-tblWorkPackages[[#This Row],[Request date serial]]</f>
        <v>9</v>
      </c>
      <c r="AH1361" s="65">
        <f>IFERROR(INDEX(tblParts[Delay days],MATCH(tblWorkPackages[[#This Row],[Work package ID]],tblParts[Work package ID],0)),0)</f>
        <v>0</v>
      </c>
      <c r="AI1361" s="51" t="str">
        <f>IFERROR(INDEX(tblDisruptions[Event type],MATCH(tblWorkPackages[[#This Row],[Work package ID]],tblDisruptions[Work package ID],0)),"None")</f>
        <v>None</v>
      </c>
      <c r="AJ1361" s="51" t="str">
        <f>TEXT(tblWorkPackages[[#This Row],[Due date serial]],"yyyy-mm")</f>
        <v>2024-11</v>
      </c>
    </row>
    <row r="1362" spans="1:36" ht="15" x14ac:dyDescent="0.25">
      <c r="A1362" s="53" t="s">
        <v>2270</v>
      </c>
      <c r="B1362" s="53" t="s">
        <v>230</v>
      </c>
      <c r="C1362" s="53" t="s">
        <v>1685</v>
      </c>
      <c r="D1362" s="53" t="s">
        <v>470</v>
      </c>
      <c r="E1362" s="53" t="s">
        <v>160</v>
      </c>
      <c r="F1362" s="53" t="s">
        <v>128</v>
      </c>
      <c r="G1362" s="53" t="s">
        <v>138</v>
      </c>
      <c r="H1362" s="53">
        <v>3</v>
      </c>
      <c r="I1362" s="53" t="s">
        <v>130</v>
      </c>
      <c r="J1362" s="53">
        <v>0</v>
      </c>
      <c r="K1362" s="53">
        <v>0</v>
      </c>
      <c r="L1362" s="53">
        <v>7.4</v>
      </c>
      <c r="M1362" s="53" t="s">
        <v>1007</v>
      </c>
      <c r="N1362" s="53">
        <v>8.1</v>
      </c>
      <c r="O1362" s="51" t="str">
        <f>TEXT(tblWorkPackages[[#This Row],[Request date serial]]-WEEKDAY(tblWorkPackages[[#This Row],[Request date serial]],3),"yyyy-mm-dd")</f>
        <v>2024-04-01</v>
      </c>
      <c r="P1362" s="51">
        <f>ABS(tblWorkPackages[[#This Row],[Actual labor hours]]-tblWorkPackages[[#This Row],[Estimated labor hours]])</f>
        <v>0.699999999999999</v>
      </c>
      <c r="Q1362" s="51">
        <f>IF(tblWorkPackages[[#This Row],[Actual labor hours]]&gt;tblWorkPackages[[#This Row],[Estimated labor hours]],1,0)</f>
        <v>1</v>
      </c>
      <c r="R1362" s="51">
        <f>tblWorkPackages[[#This Row],[Actual labor hours]]-tblWorkPackages[[#This Row],[Estimated labor hours]]</f>
        <v>0.699999999999999</v>
      </c>
      <c r="S1362" s="51" t="str">
        <f>IF(tblWorkPackages[[#This Row],[Request date serial]]&lt;ValidationStart,"Train 2024",IF(tblWorkPackages[[#This Row],[Request date serial]]&lt;HoldoutStart,"Validation H1","Holdout H2"))</f>
        <v>Train 2024</v>
      </c>
      <c r="T1362" s="51" t="str">
        <f>IF(tblWorkPackages[[#This Row],[Time split]]="Train 2024","",tblWorkPackages[[#This Row],[Estimated labor hours]]+VLOOKUP(tblWorkPackages[[#This Row],[Task type]],'Forecast validation'!$A$14:$E$25,IF(tblWorkPackages[[#This Row],[Time split]]="Validation H1",4,5),FALSE()))</f>
        <v/>
      </c>
      <c r="U1362" s="51" t="str">
        <f>IF(tblWorkPackages[[#This Row],[Calibrated forecast hours]]="","",ABS(tblWorkPackages[[#This Row],[Actual labor hours]]-tblWorkPackages[[#This Row],[Calibrated forecast hours]]))</f>
        <v/>
      </c>
      <c r="V1362" s="51">
        <f>IF(tblWorkPackages[[#This Row],[Time split]]="Train 2024",tblWorkPackages[[#This Row],[Estimated labor hours]],tblWorkPackages[[#This Row],[Calibrated forecast hours]])</f>
        <v>7.4</v>
      </c>
      <c r="W1362" s="64">
        <f>DATEVALUE(tblWorkPackages[[#This Row],[Request date]])</f>
        <v>45387.0</v>
      </c>
      <c r="X1362" s="64">
        <f>DATEVALUE(tblWorkPackages[[#This Row],[Due date]])</f>
        <v>45400.0</v>
      </c>
      <c r="Y1362" s="64">
        <f>DATEVALUE(tblWorkPackages[[#This Row],[Completion date]])</f>
        <v>45391.0</v>
      </c>
      <c r="Z1362" s="64">
        <f>_xlfn.MINIFS(tblLaborEntries[Work date serial],tblLaborEntries[Work package ID],tblWorkPackages[[#This Row],[Work package ID]])</f>
        <v>45389.0</v>
      </c>
      <c r="AA1362" s="64">
        <f>_xlfn.MAXIFS(tblLaborEntries[Work date serial],tblLaborEntries[Work package ID],tblWorkPackages[[#This Row],[Work package ID]])</f>
        <v>45391.0</v>
      </c>
      <c r="AB1362" s="65">
        <f>IF(tblWorkPackages[[#This Row],[Completion date serial]]&gt;tblWorkPackages[[#This Row],[Due date serial]],1,0)</f>
        <v>0</v>
      </c>
      <c r="AC1362" s="65">
        <f>MAX(0,tblWorkPackages[[#This Row],[Completion date serial]]-tblWorkPackages[[#This Row],[Due date serial]])</f>
        <v>0</v>
      </c>
      <c r="AD1362" s="65">
        <f>tblWorkPackages[[#This Row],[First labor date]]-tblWorkPackages[[#This Row],[Request date serial]]</f>
        <v>2</v>
      </c>
      <c r="AE1362" s="65">
        <f>tblWorkPackages[[#This Row],[Last labor date]]-tblWorkPackages[[#This Row],[First labor date]]</f>
        <v>2</v>
      </c>
      <c r="AF1362" s="65">
        <f>tblWorkPackages[[#This Row],[Completion date serial]]-tblWorkPackages[[#This Row],[Last labor date]]</f>
        <v>0</v>
      </c>
      <c r="AG1362" s="65">
        <f>tblWorkPackages[[#This Row],[Completion date serial]]-tblWorkPackages[[#This Row],[Request date serial]]</f>
        <v>4</v>
      </c>
      <c r="AH1362" s="65">
        <f>IFERROR(INDEX(tblParts[Delay days],MATCH(tblWorkPackages[[#This Row],[Work package ID]],tblParts[Work package ID],0)),0)</f>
        <v>0</v>
      </c>
      <c r="AI1362" s="51" t="str">
        <f>IFERROR(INDEX(tblDisruptions[Event type],MATCH(tblWorkPackages[[#This Row],[Work package ID]],tblDisruptions[Work package ID],0)),"None")</f>
        <v>None</v>
      </c>
      <c r="AJ1362" s="51" t="str">
        <f>TEXT(tblWorkPackages[[#This Row],[Due date serial]],"yyyy-mm")</f>
        <v>2024-04</v>
      </c>
    </row>
    <row r="1363" spans="1:36" ht="15" x14ac:dyDescent="0.25">
      <c r="A1363" s="53" t="s">
        <v>2271</v>
      </c>
      <c r="B1363" s="53" t="s">
        <v>141</v>
      </c>
      <c r="C1363" s="53" t="s">
        <v>215</v>
      </c>
      <c r="D1363" s="53" t="s">
        <v>1813</v>
      </c>
      <c r="E1363" s="53" t="s">
        <v>153</v>
      </c>
      <c r="F1363" s="53" t="s">
        <v>128</v>
      </c>
      <c r="G1363" s="53" t="s">
        <v>154</v>
      </c>
      <c r="H1363" s="53">
        <v>2</v>
      </c>
      <c r="I1363" s="53" t="s">
        <v>176</v>
      </c>
      <c r="J1363" s="53">
        <v>0</v>
      </c>
      <c r="K1363" s="53">
        <v>0</v>
      </c>
      <c r="L1363" s="53">
        <v>10</v>
      </c>
      <c r="M1363" s="53" t="s">
        <v>474</v>
      </c>
      <c r="N1363" s="53">
        <v>9.9</v>
      </c>
      <c r="O1363" s="51" t="str">
        <f>TEXT(tblWorkPackages[[#This Row],[Request date serial]]-WEEKDAY(tblWorkPackages[[#This Row],[Request date serial]],3),"yyyy-mm-dd")</f>
        <v>2024-02-12</v>
      </c>
      <c r="P1363" s="51">
        <f>ABS(tblWorkPackages[[#This Row],[Actual labor hours]]-tblWorkPackages[[#This Row],[Estimated labor hours]])</f>
        <v>0.0999999999999996</v>
      </c>
      <c r="Q1363" s="51">
        <f>IF(tblWorkPackages[[#This Row],[Actual labor hours]]&gt;tblWorkPackages[[#This Row],[Estimated labor hours]],1,0)</f>
        <v>0</v>
      </c>
      <c r="R1363" s="51">
        <f>tblWorkPackages[[#This Row],[Actual labor hours]]-tblWorkPackages[[#This Row],[Estimated labor hours]]</f>
        <v>-0.0999999999999996</v>
      </c>
      <c r="S1363" s="51" t="str">
        <f>IF(tblWorkPackages[[#This Row],[Request date serial]]&lt;ValidationStart,"Train 2024",IF(tblWorkPackages[[#This Row],[Request date serial]]&lt;HoldoutStart,"Validation H1","Holdout H2"))</f>
        <v>Train 2024</v>
      </c>
      <c r="T1363" s="51" t="str">
        <f>IF(tblWorkPackages[[#This Row],[Time split]]="Train 2024","",tblWorkPackages[[#This Row],[Estimated labor hours]]+VLOOKUP(tblWorkPackages[[#This Row],[Task type]],'Forecast validation'!$A$14:$E$25,IF(tblWorkPackages[[#This Row],[Time split]]="Validation H1",4,5),FALSE()))</f>
        <v/>
      </c>
      <c r="U1363" s="51" t="str">
        <f>IF(tblWorkPackages[[#This Row],[Calibrated forecast hours]]="","",ABS(tblWorkPackages[[#This Row],[Actual labor hours]]-tblWorkPackages[[#This Row],[Calibrated forecast hours]]))</f>
        <v/>
      </c>
      <c r="V1363" s="51">
        <f>IF(tblWorkPackages[[#This Row],[Time split]]="Train 2024",tblWorkPackages[[#This Row],[Estimated labor hours]],tblWorkPackages[[#This Row],[Calibrated forecast hours]])</f>
        <v>10</v>
      </c>
      <c r="W1363" s="64">
        <f>DATEVALUE(tblWorkPackages[[#This Row],[Request date]])</f>
        <v>45336.0</v>
      </c>
      <c r="X1363" s="64">
        <f>DATEVALUE(tblWorkPackages[[#This Row],[Due date]])</f>
        <v>45342.0</v>
      </c>
      <c r="Y1363" s="64">
        <f>DATEVALUE(tblWorkPackages[[#This Row],[Completion date]])</f>
        <v>45352.0</v>
      </c>
      <c r="Z1363" s="64">
        <f>_xlfn.MINIFS(tblLaborEntries[Work date serial],tblLaborEntries[Work package ID],tblWorkPackages[[#This Row],[Work package ID]])</f>
        <v>45350.0</v>
      </c>
      <c r="AA1363" s="64">
        <f>_xlfn.MAXIFS(tblLaborEntries[Work date serial],tblLaborEntries[Work package ID],tblWorkPackages[[#This Row],[Work package ID]])</f>
        <v>45351.0</v>
      </c>
      <c r="AB1363" s="65">
        <f>IF(tblWorkPackages[[#This Row],[Completion date serial]]&gt;tblWorkPackages[[#This Row],[Due date serial]],1,0)</f>
        <v>1</v>
      </c>
      <c r="AC1363" s="65">
        <f>MAX(0,tblWorkPackages[[#This Row],[Completion date serial]]-tblWorkPackages[[#This Row],[Due date serial]])</f>
        <v>10</v>
      </c>
      <c r="AD1363" s="65">
        <f>tblWorkPackages[[#This Row],[First labor date]]-tblWorkPackages[[#This Row],[Request date serial]]</f>
        <v>14</v>
      </c>
      <c r="AE1363" s="65">
        <f>tblWorkPackages[[#This Row],[Last labor date]]-tblWorkPackages[[#This Row],[First labor date]]</f>
        <v>1</v>
      </c>
      <c r="AF1363" s="65">
        <f>tblWorkPackages[[#This Row],[Completion date serial]]-tblWorkPackages[[#This Row],[Last labor date]]</f>
        <v>1</v>
      </c>
      <c r="AG1363" s="65">
        <f>tblWorkPackages[[#This Row],[Completion date serial]]-tblWorkPackages[[#This Row],[Request date serial]]</f>
        <v>16</v>
      </c>
      <c r="AH1363" s="65">
        <f>IFERROR(INDEX(tblParts[Delay days],MATCH(tblWorkPackages[[#This Row],[Work package ID]],tblParts[Work package ID],0)),0)</f>
        <v>0</v>
      </c>
      <c r="AI1363" s="51" t="str">
        <f>IFERROR(INDEX(tblDisruptions[Event type],MATCH(tblWorkPackages[[#This Row],[Work package ID]],tblDisruptions[Work package ID],0)),"None")</f>
        <v>None</v>
      </c>
      <c r="AJ1363" s="51" t="str">
        <f>TEXT(tblWorkPackages[[#This Row],[Due date serial]],"yyyy-mm")</f>
        <v>2024-02</v>
      </c>
    </row>
    <row r="1364" spans="1:36" ht="15" x14ac:dyDescent="0.25">
      <c r="A1364" s="53" t="s">
        <v>2272</v>
      </c>
      <c r="B1364" s="53" t="s">
        <v>133</v>
      </c>
      <c r="C1364" s="53" t="s">
        <v>599</v>
      </c>
      <c r="D1364" s="53" t="s">
        <v>933</v>
      </c>
      <c r="E1364" s="53" t="s">
        <v>242</v>
      </c>
      <c r="F1364" s="53" t="s">
        <v>243</v>
      </c>
      <c r="G1364" s="53" t="s">
        <v>129</v>
      </c>
      <c r="H1364" s="53">
        <v>1</v>
      </c>
      <c r="I1364" s="53" t="s">
        <v>130</v>
      </c>
      <c r="J1364" s="53">
        <v>0</v>
      </c>
      <c r="K1364" s="53">
        <v>0</v>
      </c>
      <c r="L1364" s="53">
        <v>4.8</v>
      </c>
      <c r="M1364" s="53" t="s">
        <v>600</v>
      </c>
      <c r="N1364" s="53">
        <v>3.8</v>
      </c>
      <c r="O1364" s="51" t="str">
        <f>TEXT(tblWorkPackages[[#This Row],[Request date serial]]-WEEKDAY(tblWorkPackages[[#This Row],[Request date serial]],3),"yyyy-mm-dd")</f>
        <v>2024-11-11</v>
      </c>
      <c r="P1364" s="51">
        <f>ABS(tblWorkPackages[[#This Row],[Actual labor hours]]-tblWorkPackages[[#This Row],[Estimated labor hours]])</f>
        <v>1</v>
      </c>
      <c r="Q1364" s="51">
        <f>IF(tblWorkPackages[[#This Row],[Actual labor hours]]&gt;tblWorkPackages[[#This Row],[Estimated labor hours]],1,0)</f>
        <v>0</v>
      </c>
      <c r="R1364" s="51">
        <f>tblWorkPackages[[#This Row],[Actual labor hours]]-tblWorkPackages[[#This Row],[Estimated labor hours]]</f>
        <v>-1</v>
      </c>
      <c r="S1364" s="51" t="str">
        <f>IF(tblWorkPackages[[#This Row],[Request date serial]]&lt;ValidationStart,"Train 2024",IF(tblWorkPackages[[#This Row],[Request date serial]]&lt;HoldoutStart,"Validation H1","Holdout H2"))</f>
        <v>Train 2024</v>
      </c>
      <c r="T1364" s="51" t="str">
        <f>IF(tblWorkPackages[[#This Row],[Time split]]="Train 2024","",tblWorkPackages[[#This Row],[Estimated labor hours]]+VLOOKUP(tblWorkPackages[[#This Row],[Task type]],'Forecast validation'!$A$14:$E$25,IF(tblWorkPackages[[#This Row],[Time split]]="Validation H1",4,5),FALSE()))</f>
        <v/>
      </c>
      <c r="U1364" s="51" t="str">
        <f>IF(tblWorkPackages[[#This Row],[Calibrated forecast hours]]="","",ABS(tblWorkPackages[[#This Row],[Actual labor hours]]-tblWorkPackages[[#This Row],[Calibrated forecast hours]]))</f>
        <v/>
      </c>
      <c r="V1364" s="51">
        <f>IF(tblWorkPackages[[#This Row],[Time split]]="Train 2024",tblWorkPackages[[#This Row],[Estimated labor hours]],tblWorkPackages[[#This Row],[Calibrated forecast hours]])</f>
        <v>4.8</v>
      </c>
      <c r="W1364" s="64">
        <f>DATEVALUE(tblWorkPackages[[#This Row],[Request date]])</f>
        <v>45612.0</v>
      </c>
      <c r="X1364" s="64">
        <f>DATEVALUE(tblWorkPackages[[#This Row],[Due date]])</f>
        <v>45625.0</v>
      </c>
      <c r="Y1364" s="64">
        <f>DATEVALUE(tblWorkPackages[[#This Row],[Completion date]])</f>
        <v>45618.0</v>
      </c>
      <c r="Z1364" s="64">
        <f>_xlfn.MINIFS(tblLaborEntries[Work date serial],tblLaborEntries[Work package ID],tblWorkPackages[[#This Row],[Work package ID]])</f>
        <v>45616.0</v>
      </c>
      <c r="AA1364" s="64">
        <f>_xlfn.MAXIFS(tblLaborEntries[Work date serial],tblLaborEntries[Work package ID],tblWorkPackages[[#This Row],[Work package ID]])</f>
        <v>45616.0</v>
      </c>
      <c r="AB1364" s="65">
        <f>IF(tblWorkPackages[[#This Row],[Completion date serial]]&gt;tblWorkPackages[[#This Row],[Due date serial]],1,0)</f>
        <v>0</v>
      </c>
      <c r="AC1364" s="65">
        <f>MAX(0,tblWorkPackages[[#This Row],[Completion date serial]]-tblWorkPackages[[#This Row],[Due date serial]])</f>
        <v>0</v>
      </c>
      <c r="AD1364" s="65">
        <f>tblWorkPackages[[#This Row],[First labor date]]-tblWorkPackages[[#This Row],[Request date serial]]</f>
        <v>4</v>
      </c>
      <c r="AE1364" s="65">
        <f>tblWorkPackages[[#This Row],[Last labor date]]-tblWorkPackages[[#This Row],[First labor date]]</f>
        <v>0</v>
      </c>
      <c r="AF1364" s="65">
        <f>tblWorkPackages[[#This Row],[Completion date serial]]-tblWorkPackages[[#This Row],[Last labor date]]</f>
        <v>2</v>
      </c>
      <c r="AG1364" s="65">
        <f>tblWorkPackages[[#This Row],[Completion date serial]]-tblWorkPackages[[#This Row],[Request date serial]]</f>
        <v>6</v>
      </c>
      <c r="AH1364" s="65">
        <f>IFERROR(INDEX(tblParts[Delay days],MATCH(tblWorkPackages[[#This Row],[Work package ID]],tblParts[Work package ID],0)),0)</f>
        <v>0</v>
      </c>
      <c r="AI1364" s="51" t="str">
        <f>IFERROR(INDEX(tblDisruptions[Event type],MATCH(tblWorkPackages[[#This Row],[Work package ID]],tblDisruptions[Work package ID],0)),"None")</f>
        <v>None</v>
      </c>
      <c r="AJ1364" s="51" t="str">
        <f>TEXT(tblWorkPackages[[#This Row],[Due date serial]],"yyyy-mm")</f>
        <v>2024-11</v>
      </c>
    </row>
    <row r="1365" spans="1:36" ht="15" x14ac:dyDescent="0.25">
      <c r="A1365" s="53" t="s">
        <v>2273</v>
      </c>
      <c r="B1365" s="53" t="s">
        <v>203</v>
      </c>
      <c r="C1365" s="53" t="s">
        <v>256</v>
      </c>
      <c r="D1365" s="53" t="s">
        <v>159</v>
      </c>
      <c r="E1365" s="53" t="s">
        <v>272</v>
      </c>
      <c r="F1365" s="53" t="s">
        <v>145</v>
      </c>
      <c r="G1365" s="53" t="s">
        <v>273</v>
      </c>
      <c r="H1365" s="53">
        <v>4</v>
      </c>
      <c r="I1365" s="53" t="s">
        <v>176</v>
      </c>
      <c r="J1365" s="53">
        <v>1</v>
      </c>
      <c r="K1365" s="53">
        <v>1</v>
      </c>
      <c r="L1365" s="53">
        <v>18.3</v>
      </c>
      <c r="M1365" s="53" t="s">
        <v>1100</v>
      </c>
      <c r="N1365" s="53">
        <v>22.8</v>
      </c>
      <c r="O1365" s="51" t="str">
        <f>TEXT(tblWorkPackages[[#This Row],[Request date serial]]-WEEKDAY(tblWorkPackages[[#This Row],[Request date serial]],3),"yyyy-mm-dd")</f>
        <v>2024-12-02</v>
      </c>
      <c r="P1365" s="51">
        <f>ABS(tblWorkPackages[[#This Row],[Actual labor hours]]-tblWorkPackages[[#This Row],[Estimated labor hours]])</f>
        <v>4.5</v>
      </c>
      <c r="Q1365" s="51">
        <f>IF(tblWorkPackages[[#This Row],[Actual labor hours]]&gt;tblWorkPackages[[#This Row],[Estimated labor hours]],1,0)</f>
        <v>1</v>
      </c>
      <c r="R1365" s="51">
        <f>tblWorkPackages[[#This Row],[Actual labor hours]]-tblWorkPackages[[#This Row],[Estimated labor hours]]</f>
        <v>4.5</v>
      </c>
      <c r="S1365" s="51" t="str">
        <f>IF(tblWorkPackages[[#This Row],[Request date serial]]&lt;ValidationStart,"Train 2024",IF(tblWorkPackages[[#This Row],[Request date serial]]&lt;HoldoutStart,"Validation H1","Holdout H2"))</f>
        <v>Train 2024</v>
      </c>
      <c r="T1365" s="51" t="str">
        <f>IF(tblWorkPackages[[#This Row],[Time split]]="Train 2024","",tblWorkPackages[[#This Row],[Estimated labor hours]]+VLOOKUP(tblWorkPackages[[#This Row],[Task type]],'Forecast validation'!$A$14:$E$25,IF(tblWorkPackages[[#This Row],[Time split]]="Validation H1",4,5),FALSE()))</f>
        <v/>
      </c>
      <c r="U1365" s="51" t="str">
        <f>IF(tblWorkPackages[[#This Row],[Calibrated forecast hours]]="","",ABS(tblWorkPackages[[#This Row],[Actual labor hours]]-tblWorkPackages[[#This Row],[Calibrated forecast hours]]))</f>
        <v/>
      </c>
      <c r="V1365" s="51">
        <f>IF(tblWorkPackages[[#This Row],[Time split]]="Train 2024",tblWorkPackages[[#This Row],[Estimated labor hours]],tblWorkPackages[[#This Row],[Calibrated forecast hours]])</f>
        <v>18.3</v>
      </c>
      <c r="W1365" s="64">
        <f>DATEVALUE(tblWorkPackages[[#This Row],[Request date]])</f>
        <v>45634.0</v>
      </c>
      <c r="X1365" s="64">
        <f>DATEVALUE(tblWorkPackages[[#This Row],[Due date]])</f>
        <v>45640.0</v>
      </c>
      <c r="Y1365" s="64">
        <f>DATEVALUE(tblWorkPackages[[#This Row],[Completion date]])</f>
        <v>45705.0</v>
      </c>
      <c r="Z1365" s="64">
        <f>_xlfn.MINIFS(tblLaborEntries[Work date serial],tblLaborEntries[Work package ID],tblWorkPackages[[#This Row],[Work package ID]])</f>
        <v>45700.0</v>
      </c>
      <c r="AA1365" s="64">
        <f>_xlfn.MAXIFS(tblLaborEntries[Work date serial],tblLaborEntries[Work package ID],tblWorkPackages[[#This Row],[Work package ID]])</f>
        <v>45702.0</v>
      </c>
      <c r="AB1365" s="65">
        <f>IF(tblWorkPackages[[#This Row],[Completion date serial]]&gt;tblWorkPackages[[#This Row],[Due date serial]],1,0)</f>
        <v>1</v>
      </c>
      <c r="AC1365" s="65">
        <f>MAX(0,tblWorkPackages[[#This Row],[Completion date serial]]-tblWorkPackages[[#This Row],[Due date serial]])</f>
        <v>65</v>
      </c>
      <c r="AD1365" s="65">
        <f>tblWorkPackages[[#This Row],[First labor date]]-tblWorkPackages[[#This Row],[Request date serial]]</f>
        <v>66</v>
      </c>
      <c r="AE1365" s="65">
        <f>tblWorkPackages[[#This Row],[Last labor date]]-tblWorkPackages[[#This Row],[First labor date]]</f>
        <v>2</v>
      </c>
      <c r="AF1365" s="65">
        <f>tblWorkPackages[[#This Row],[Completion date serial]]-tblWorkPackages[[#This Row],[Last labor date]]</f>
        <v>3</v>
      </c>
      <c r="AG1365" s="65">
        <f>tblWorkPackages[[#This Row],[Completion date serial]]-tblWorkPackages[[#This Row],[Request date serial]]</f>
        <v>71</v>
      </c>
      <c r="AH1365" s="65">
        <f>IFERROR(INDEX(tblParts[Delay days],MATCH(tblWorkPackages[[#This Row],[Work package ID]],tblParts[Work package ID],0)),0)</f>
        <v>5</v>
      </c>
      <c r="AI1365" s="51" t="str">
        <f>IFERROR(INDEX(tblDisruptions[Event type],MATCH(tblWorkPackages[[#This Row],[Work package ID]],tblDisruptions[Work package ID],0)),"None")</f>
        <v>Part delay</v>
      </c>
      <c r="AJ1365" s="51" t="str">
        <f>TEXT(tblWorkPackages[[#This Row],[Due date serial]],"yyyy-mm")</f>
        <v>2024-12</v>
      </c>
    </row>
    <row r="1366" spans="1:36" ht="15" x14ac:dyDescent="0.25">
      <c r="A1366" s="53" t="s">
        <v>2274</v>
      </c>
      <c r="B1366" s="53" t="s">
        <v>173</v>
      </c>
      <c r="C1366" s="53" t="s">
        <v>341</v>
      </c>
      <c r="D1366" s="53" t="s">
        <v>342</v>
      </c>
      <c r="E1366" s="53" t="s">
        <v>127</v>
      </c>
      <c r="F1366" s="53" t="s">
        <v>128</v>
      </c>
      <c r="G1366" s="53" t="s">
        <v>129</v>
      </c>
      <c r="H1366" s="53">
        <v>4</v>
      </c>
      <c r="I1366" s="53" t="s">
        <v>130</v>
      </c>
      <c r="J1366" s="53">
        <v>0</v>
      </c>
      <c r="K1366" s="53">
        <v>0</v>
      </c>
      <c r="L1366" s="53">
        <v>12.6</v>
      </c>
      <c r="M1366" s="53" t="s">
        <v>797</v>
      </c>
      <c r="N1366" s="53">
        <v>12.5</v>
      </c>
      <c r="O1366" s="51" t="str">
        <f>TEXT(tblWorkPackages[[#This Row],[Request date serial]]-WEEKDAY(tblWorkPackages[[#This Row],[Request date serial]],3),"yyyy-mm-dd")</f>
        <v>2025-07-14</v>
      </c>
      <c r="P1366" s="51">
        <f>ABS(tblWorkPackages[[#This Row],[Actual labor hours]]-tblWorkPackages[[#This Row],[Estimated labor hours]])</f>
        <v>0.0999999999999996</v>
      </c>
      <c r="Q1366" s="51">
        <f>IF(tblWorkPackages[[#This Row],[Actual labor hours]]&gt;tblWorkPackages[[#This Row],[Estimated labor hours]],1,0)</f>
        <v>0</v>
      </c>
      <c r="R1366" s="51">
        <f>tblWorkPackages[[#This Row],[Actual labor hours]]-tblWorkPackages[[#This Row],[Estimated labor hours]]</f>
        <v>-0.0999999999999996</v>
      </c>
      <c r="S1366" s="51" t="str">
        <f>IF(tblWorkPackages[[#This Row],[Request date serial]]&lt;ValidationStart,"Train 2024",IF(tblWorkPackages[[#This Row],[Request date serial]]&lt;HoldoutStart,"Validation H1","Holdout H2"))</f>
        <v>Holdout H2</v>
      </c>
      <c r="T1366" s="51">
        <f>IF(tblWorkPackages[[#This Row],[Time split]]="Train 2024","",tblWorkPackages[[#This Row],[Estimated labor hours]]+VLOOKUP(tblWorkPackages[[#This Row],[Task type]],'Forecast validation'!$A$14:$E$25,IF(tblWorkPackages[[#This Row],[Time split]]="Validation H1",4,5),FALSE()))</f>
        <v>13.1434108527132</v>
      </c>
      <c r="U1366" s="51">
        <f>IF(tblWorkPackages[[#This Row],[Calibrated forecast hours]]="","",ABS(tblWorkPackages[[#This Row],[Actual labor hours]]-tblWorkPackages[[#This Row],[Calibrated forecast hours]]))</f>
        <v>0.643410852713178</v>
      </c>
      <c r="V1366" s="51">
        <f>IF(tblWorkPackages[[#This Row],[Time split]]="Train 2024",tblWorkPackages[[#This Row],[Estimated labor hours]],tblWorkPackages[[#This Row],[Calibrated forecast hours]])</f>
        <v>13.1434108527132</v>
      </c>
      <c r="W1366" s="64">
        <f>DATEVALUE(tblWorkPackages[[#This Row],[Request date]])</f>
        <v>45858.0</v>
      </c>
      <c r="X1366" s="64">
        <f>DATEVALUE(tblWorkPackages[[#This Row],[Due date]])</f>
        <v>45871.0</v>
      </c>
      <c r="Y1366" s="64">
        <f>DATEVALUE(tblWorkPackages[[#This Row],[Completion date]])</f>
        <v>45867.0</v>
      </c>
      <c r="Z1366" s="64">
        <f>_xlfn.MINIFS(tblLaborEntries[Work date serial],tblLaborEntries[Work package ID],tblWorkPackages[[#This Row],[Work package ID]])</f>
        <v>45867.0</v>
      </c>
      <c r="AA1366" s="64">
        <f>_xlfn.MAXIFS(tblLaborEntries[Work date serial],tblLaborEntries[Work package ID],tblWorkPackages[[#This Row],[Work package ID]])</f>
        <v>45867.0</v>
      </c>
      <c r="AB1366" s="65">
        <f>IF(tblWorkPackages[[#This Row],[Completion date serial]]&gt;tblWorkPackages[[#This Row],[Due date serial]],1,0)</f>
        <v>0</v>
      </c>
      <c r="AC1366" s="65">
        <f>MAX(0,tblWorkPackages[[#This Row],[Completion date serial]]-tblWorkPackages[[#This Row],[Due date serial]])</f>
        <v>0</v>
      </c>
      <c r="AD1366" s="65">
        <f>tblWorkPackages[[#This Row],[First labor date]]-tblWorkPackages[[#This Row],[Request date serial]]</f>
        <v>9</v>
      </c>
      <c r="AE1366" s="65">
        <f>tblWorkPackages[[#This Row],[Last labor date]]-tblWorkPackages[[#This Row],[First labor date]]</f>
        <v>0</v>
      </c>
      <c r="AF1366" s="65">
        <f>tblWorkPackages[[#This Row],[Completion date serial]]-tblWorkPackages[[#This Row],[Last labor date]]</f>
        <v>0</v>
      </c>
      <c r="AG1366" s="65">
        <f>tblWorkPackages[[#This Row],[Completion date serial]]-tblWorkPackages[[#This Row],[Request date serial]]</f>
        <v>9</v>
      </c>
      <c r="AH1366" s="65">
        <f>IFERROR(INDEX(tblParts[Delay days],MATCH(tblWorkPackages[[#This Row],[Work package ID]],tblParts[Work package ID],0)),0)</f>
        <v>0</v>
      </c>
      <c r="AI1366" s="51" t="str">
        <f>IFERROR(INDEX(tblDisruptions[Event type],MATCH(tblWorkPackages[[#This Row],[Work package ID]],tblDisruptions[Work package ID],0)),"None")</f>
        <v>None</v>
      </c>
      <c r="AJ1366" s="51" t="str">
        <f>TEXT(tblWorkPackages[[#This Row],[Due date serial]],"yyyy-mm")</f>
        <v>2025-08</v>
      </c>
    </row>
    <row r="1367" spans="1:36" ht="15" x14ac:dyDescent="0.25">
      <c r="A1367" s="53" t="s">
        <v>2275</v>
      </c>
      <c r="B1367" s="53" t="s">
        <v>203</v>
      </c>
      <c r="C1367" s="53" t="s">
        <v>192</v>
      </c>
      <c r="D1367" s="53" t="s">
        <v>1056</v>
      </c>
      <c r="E1367" s="53" t="s">
        <v>153</v>
      </c>
      <c r="F1367" s="53" t="s">
        <v>128</v>
      </c>
      <c r="G1367" s="53" t="s">
        <v>154</v>
      </c>
      <c r="H1367" s="53">
        <v>4</v>
      </c>
      <c r="I1367" s="53" t="s">
        <v>130</v>
      </c>
      <c r="J1367" s="53">
        <v>0</v>
      </c>
      <c r="K1367" s="53">
        <v>1</v>
      </c>
      <c r="L1367" s="53">
        <v>15.2</v>
      </c>
      <c r="M1367" s="53" t="s">
        <v>521</v>
      </c>
      <c r="N1367" s="53">
        <v>14</v>
      </c>
      <c r="O1367" s="51" t="str">
        <f>TEXT(tblWorkPackages[[#This Row],[Request date serial]]-WEEKDAY(tblWorkPackages[[#This Row],[Request date serial]],3),"yyyy-mm-dd")</f>
        <v>2025-08-25</v>
      </c>
      <c r="P1367" s="51">
        <f>ABS(tblWorkPackages[[#This Row],[Actual labor hours]]-tblWorkPackages[[#This Row],[Estimated labor hours]])</f>
        <v>1.2</v>
      </c>
      <c r="Q1367" s="51">
        <f>IF(tblWorkPackages[[#This Row],[Actual labor hours]]&gt;tblWorkPackages[[#This Row],[Estimated labor hours]],1,0)</f>
        <v>0</v>
      </c>
      <c r="R1367" s="51">
        <f>tblWorkPackages[[#This Row],[Actual labor hours]]-tblWorkPackages[[#This Row],[Estimated labor hours]]</f>
        <v>-1.2</v>
      </c>
      <c r="S1367" s="51" t="str">
        <f>IF(tblWorkPackages[[#This Row],[Request date serial]]&lt;ValidationStart,"Train 2024",IF(tblWorkPackages[[#This Row],[Request date serial]]&lt;HoldoutStart,"Validation H1","Holdout H2"))</f>
        <v>Holdout H2</v>
      </c>
      <c r="T1367" s="51">
        <f>IF(tblWorkPackages[[#This Row],[Time split]]="Train 2024","",tblWorkPackages[[#This Row],[Estimated labor hours]]+VLOOKUP(tblWorkPackages[[#This Row],[Task type]],'Forecast validation'!$A$14:$E$25,IF(tblWorkPackages[[#This Row],[Time split]]="Validation H1",4,5),FALSE()))</f>
        <v>15.8026666666667</v>
      </c>
      <c r="U1367" s="51">
        <f>IF(tblWorkPackages[[#This Row],[Calibrated forecast hours]]="","",ABS(tblWorkPackages[[#This Row],[Actual labor hours]]-tblWorkPackages[[#This Row],[Calibrated forecast hours]]))</f>
        <v>1.80266666666667</v>
      </c>
      <c r="V1367" s="51">
        <f>IF(tblWorkPackages[[#This Row],[Time split]]="Train 2024",tblWorkPackages[[#This Row],[Estimated labor hours]],tblWorkPackages[[#This Row],[Calibrated forecast hours]])</f>
        <v>15.8026666666667</v>
      </c>
      <c r="W1367" s="64">
        <f>DATEVALUE(tblWorkPackages[[#This Row],[Request date]])</f>
        <v>45900.0</v>
      </c>
      <c r="X1367" s="64">
        <f>DATEVALUE(tblWorkPackages[[#This Row],[Due date]])</f>
        <v>45913.0</v>
      </c>
      <c r="Y1367" s="64">
        <f>DATEVALUE(tblWorkPackages[[#This Row],[Completion date]])</f>
        <v>45903.0</v>
      </c>
      <c r="Z1367" s="64">
        <f>_xlfn.MINIFS(tblLaborEntries[Work date serial],tblLaborEntries[Work package ID],tblWorkPackages[[#This Row],[Work package ID]])</f>
        <v>45902.0</v>
      </c>
      <c r="AA1367" s="64">
        <f>_xlfn.MAXIFS(tblLaborEntries[Work date serial],tblLaborEntries[Work package ID],tblWorkPackages[[#This Row],[Work package ID]])</f>
        <v>45902.0</v>
      </c>
      <c r="AB1367" s="65">
        <f>IF(tblWorkPackages[[#This Row],[Completion date serial]]&gt;tblWorkPackages[[#This Row],[Due date serial]],1,0)</f>
        <v>0</v>
      </c>
      <c r="AC1367" s="65">
        <f>MAX(0,tblWorkPackages[[#This Row],[Completion date serial]]-tblWorkPackages[[#This Row],[Due date serial]])</f>
        <v>0</v>
      </c>
      <c r="AD1367" s="65">
        <f>tblWorkPackages[[#This Row],[First labor date]]-tblWorkPackages[[#This Row],[Request date serial]]</f>
        <v>2</v>
      </c>
      <c r="AE1367" s="65">
        <f>tblWorkPackages[[#This Row],[Last labor date]]-tblWorkPackages[[#This Row],[First labor date]]</f>
        <v>0</v>
      </c>
      <c r="AF1367" s="65">
        <f>tblWorkPackages[[#This Row],[Completion date serial]]-tblWorkPackages[[#This Row],[Last labor date]]</f>
        <v>1</v>
      </c>
      <c r="AG1367" s="65">
        <f>tblWorkPackages[[#This Row],[Completion date serial]]-tblWorkPackages[[#This Row],[Request date serial]]</f>
        <v>3</v>
      </c>
      <c r="AH1367" s="65">
        <f>IFERROR(INDEX(tblParts[Delay days],MATCH(tblWorkPackages[[#This Row],[Work package ID]],tblParts[Work package ID],0)),0)</f>
        <v>0</v>
      </c>
      <c r="AI1367" s="51" t="str">
        <f>IFERROR(INDEX(tblDisruptions[Event type],MATCH(tblWorkPackages[[#This Row],[Work package ID]],tblDisruptions[Work package ID],0)),"None")</f>
        <v>None</v>
      </c>
      <c r="AJ1367" s="51" t="str">
        <f>TEXT(tblWorkPackages[[#This Row],[Due date serial]],"yyyy-mm")</f>
        <v>2025-09</v>
      </c>
    </row>
    <row r="1368" spans="1:36" ht="15" x14ac:dyDescent="0.25">
      <c r="A1368" s="53" t="s">
        <v>2276</v>
      </c>
      <c r="B1368" s="53" t="s">
        <v>157</v>
      </c>
      <c r="C1368" s="53" t="s">
        <v>636</v>
      </c>
      <c r="D1368" s="53" t="s">
        <v>543</v>
      </c>
      <c r="E1368" s="53" t="s">
        <v>242</v>
      </c>
      <c r="F1368" s="53" t="s">
        <v>243</v>
      </c>
      <c r="G1368" s="53" t="s">
        <v>129</v>
      </c>
      <c r="H1368" s="53">
        <v>1</v>
      </c>
      <c r="I1368" s="53" t="s">
        <v>130</v>
      </c>
      <c r="J1368" s="53">
        <v>0</v>
      </c>
      <c r="K1368" s="53">
        <v>1</v>
      </c>
      <c r="L1368" s="53">
        <v>4.5999999999999996</v>
      </c>
      <c r="M1368" s="53" t="s">
        <v>832</v>
      </c>
      <c r="N1368" s="53">
        <v>5.2</v>
      </c>
      <c r="O1368" s="51" t="str">
        <f>TEXT(tblWorkPackages[[#This Row],[Request date serial]]-WEEKDAY(tblWorkPackages[[#This Row],[Request date serial]],3),"yyyy-mm-dd")</f>
        <v>2025-10-06</v>
      </c>
      <c r="P1368" s="51">
        <f>ABS(tblWorkPackages[[#This Row],[Actual labor hours]]-tblWorkPackages[[#This Row],[Estimated labor hours]])</f>
        <v>0.600000000000001</v>
      </c>
      <c r="Q1368" s="51">
        <f>IF(tblWorkPackages[[#This Row],[Actual labor hours]]&gt;tblWorkPackages[[#This Row],[Estimated labor hours]],1,0)</f>
        <v>1</v>
      </c>
      <c r="R1368" s="51">
        <f>tblWorkPackages[[#This Row],[Actual labor hours]]-tblWorkPackages[[#This Row],[Estimated labor hours]]</f>
        <v>0.600000000000001</v>
      </c>
      <c r="S1368" s="51" t="str">
        <f>IF(tblWorkPackages[[#This Row],[Request date serial]]&lt;ValidationStart,"Train 2024",IF(tblWorkPackages[[#This Row],[Request date serial]]&lt;HoldoutStart,"Validation H1","Holdout H2"))</f>
        <v>Holdout H2</v>
      </c>
      <c r="T1368" s="51">
        <f>IF(tblWorkPackages[[#This Row],[Time split]]="Train 2024","",tblWorkPackages[[#This Row],[Estimated labor hours]]+VLOOKUP(tblWorkPackages[[#This Row],[Task type]],'Forecast validation'!$A$14:$E$25,IF(tblWorkPackages[[#This Row],[Time split]]="Validation H1",4,5),FALSE()))</f>
        <v>5.42545454545455</v>
      </c>
      <c r="U1368" s="51">
        <f>IF(tblWorkPackages[[#This Row],[Calibrated forecast hours]]="","",ABS(tblWorkPackages[[#This Row],[Actual labor hours]]-tblWorkPackages[[#This Row],[Calibrated forecast hours]]))</f>
        <v>0.225454545454545</v>
      </c>
      <c r="V1368" s="51">
        <f>IF(tblWorkPackages[[#This Row],[Time split]]="Train 2024",tblWorkPackages[[#This Row],[Estimated labor hours]],tblWorkPackages[[#This Row],[Calibrated forecast hours]])</f>
        <v>5.42545454545455</v>
      </c>
      <c r="W1368" s="64">
        <f>DATEVALUE(tblWorkPackages[[#This Row],[Request date]])</f>
        <v>45937.0</v>
      </c>
      <c r="X1368" s="64">
        <f>DATEVALUE(tblWorkPackages[[#This Row],[Due date]])</f>
        <v>45950.0</v>
      </c>
      <c r="Y1368" s="64">
        <f>DATEVALUE(tblWorkPackages[[#This Row],[Completion date]])</f>
        <v>45963.0</v>
      </c>
      <c r="Z1368" s="64">
        <f>_xlfn.MINIFS(tblLaborEntries[Work date serial],tblLaborEntries[Work package ID],tblWorkPackages[[#This Row],[Work package ID]])</f>
        <v>45960.0</v>
      </c>
      <c r="AA1368" s="64">
        <f>_xlfn.MAXIFS(tblLaborEntries[Work date serial],tblLaborEntries[Work package ID],tblWorkPackages[[#This Row],[Work package ID]])</f>
        <v>45961.0</v>
      </c>
      <c r="AB1368" s="65">
        <f>IF(tblWorkPackages[[#This Row],[Completion date serial]]&gt;tblWorkPackages[[#This Row],[Due date serial]],1,0)</f>
        <v>1</v>
      </c>
      <c r="AC1368" s="65">
        <f>MAX(0,tblWorkPackages[[#This Row],[Completion date serial]]-tblWorkPackages[[#This Row],[Due date serial]])</f>
        <v>13</v>
      </c>
      <c r="AD1368" s="65">
        <f>tblWorkPackages[[#This Row],[First labor date]]-tblWorkPackages[[#This Row],[Request date serial]]</f>
        <v>23</v>
      </c>
      <c r="AE1368" s="65">
        <f>tblWorkPackages[[#This Row],[Last labor date]]-tblWorkPackages[[#This Row],[First labor date]]</f>
        <v>1</v>
      </c>
      <c r="AF1368" s="65">
        <f>tblWorkPackages[[#This Row],[Completion date serial]]-tblWorkPackages[[#This Row],[Last labor date]]</f>
        <v>2</v>
      </c>
      <c r="AG1368" s="65">
        <f>tblWorkPackages[[#This Row],[Completion date serial]]-tblWorkPackages[[#This Row],[Request date serial]]</f>
        <v>26</v>
      </c>
      <c r="AH1368" s="65">
        <f>IFERROR(INDEX(tblParts[Delay days],MATCH(tblWorkPackages[[#This Row],[Work package ID]],tblParts[Work package ID],0)),0)</f>
        <v>0</v>
      </c>
      <c r="AI1368" s="51" t="str">
        <f>IFERROR(INDEX(tblDisruptions[Event type],MATCH(tblWorkPackages[[#This Row],[Work package ID]],tblDisruptions[Work package ID],0)),"None")</f>
        <v>None</v>
      </c>
      <c r="AJ1368" s="51" t="str">
        <f>TEXT(tblWorkPackages[[#This Row],[Due date serial]],"yyyy-mm")</f>
        <v>2025-10</v>
      </c>
    </row>
    <row r="1369" spans="1:36" ht="15" x14ac:dyDescent="0.25">
      <c r="A1369" s="53" t="s">
        <v>2277</v>
      </c>
      <c r="B1369" s="53" t="s">
        <v>168</v>
      </c>
      <c r="C1369" s="53" t="s">
        <v>332</v>
      </c>
      <c r="D1369" s="53" t="s">
        <v>309</v>
      </c>
      <c r="E1369" s="53" t="s">
        <v>153</v>
      </c>
      <c r="F1369" s="53" t="s">
        <v>128</v>
      </c>
      <c r="G1369" s="53" t="s">
        <v>154</v>
      </c>
      <c r="H1369" s="53">
        <v>1</v>
      </c>
      <c r="I1369" s="53" t="s">
        <v>130</v>
      </c>
      <c r="J1369" s="53">
        <v>0</v>
      </c>
      <c r="K1369" s="53">
        <v>0</v>
      </c>
      <c r="L1369" s="53">
        <v>5.6</v>
      </c>
      <c r="M1369" s="53" t="s">
        <v>325</v>
      </c>
      <c r="N1369" s="53">
        <v>6.4</v>
      </c>
      <c r="O1369" s="51" t="str">
        <f>TEXT(tblWorkPackages[[#This Row],[Request date serial]]-WEEKDAY(tblWorkPackages[[#This Row],[Request date serial]],3),"yyyy-mm-dd")</f>
        <v>2025-10-20</v>
      </c>
      <c r="P1369" s="51">
        <f>ABS(tblWorkPackages[[#This Row],[Actual labor hours]]-tblWorkPackages[[#This Row],[Estimated labor hours]])</f>
        <v>0.800000000000001</v>
      </c>
      <c r="Q1369" s="51">
        <f>IF(tblWorkPackages[[#This Row],[Actual labor hours]]&gt;tblWorkPackages[[#This Row],[Estimated labor hours]],1,0)</f>
        <v>1</v>
      </c>
      <c r="R1369" s="51">
        <f>tblWorkPackages[[#This Row],[Actual labor hours]]-tblWorkPackages[[#This Row],[Estimated labor hours]]</f>
        <v>0.800000000000001</v>
      </c>
      <c r="S1369" s="51" t="str">
        <f>IF(tblWorkPackages[[#This Row],[Request date serial]]&lt;ValidationStart,"Train 2024",IF(tblWorkPackages[[#This Row],[Request date serial]]&lt;HoldoutStart,"Validation H1","Holdout H2"))</f>
        <v>Holdout H2</v>
      </c>
      <c r="T1369" s="51">
        <f>IF(tblWorkPackages[[#This Row],[Time split]]="Train 2024","",tblWorkPackages[[#This Row],[Estimated labor hours]]+VLOOKUP(tblWorkPackages[[#This Row],[Task type]],'Forecast validation'!$A$14:$E$25,IF(tblWorkPackages[[#This Row],[Time split]]="Validation H1",4,5),FALSE()))</f>
        <v>6.20266666666667</v>
      </c>
      <c r="U1369" s="51">
        <f>IF(tblWorkPackages[[#This Row],[Calibrated forecast hours]]="","",ABS(tblWorkPackages[[#This Row],[Actual labor hours]]-tblWorkPackages[[#This Row],[Calibrated forecast hours]]))</f>
        <v>0.197333333333334</v>
      </c>
      <c r="V1369" s="51">
        <f>IF(tblWorkPackages[[#This Row],[Time split]]="Train 2024",tblWorkPackages[[#This Row],[Estimated labor hours]],tblWorkPackages[[#This Row],[Calibrated forecast hours]])</f>
        <v>6.20266666666667</v>
      </c>
      <c r="W1369" s="64">
        <f>DATEVALUE(tblWorkPackages[[#This Row],[Request date]])</f>
        <v>45954.0</v>
      </c>
      <c r="X1369" s="64">
        <f>DATEVALUE(tblWorkPackages[[#This Row],[Due date]])</f>
        <v>45967.0</v>
      </c>
      <c r="Y1369" s="64">
        <f>DATEVALUE(tblWorkPackages[[#This Row],[Completion date]])</f>
        <v>45962.0</v>
      </c>
      <c r="Z1369" s="64">
        <f>_xlfn.MINIFS(tblLaborEntries[Work date serial],tblLaborEntries[Work package ID],tblWorkPackages[[#This Row],[Work package ID]])</f>
        <v>45958.0</v>
      </c>
      <c r="AA1369" s="64">
        <f>_xlfn.MAXIFS(tblLaborEntries[Work date serial],tblLaborEntries[Work package ID],tblWorkPackages[[#This Row],[Work package ID]])</f>
        <v>45959.0</v>
      </c>
      <c r="AB1369" s="65">
        <f>IF(tblWorkPackages[[#This Row],[Completion date serial]]&gt;tblWorkPackages[[#This Row],[Due date serial]],1,0)</f>
        <v>0</v>
      </c>
      <c r="AC1369" s="65">
        <f>MAX(0,tblWorkPackages[[#This Row],[Completion date serial]]-tblWorkPackages[[#This Row],[Due date serial]])</f>
        <v>0</v>
      </c>
      <c r="AD1369" s="65">
        <f>tblWorkPackages[[#This Row],[First labor date]]-tblWorkPackages[[#This Row],[Request date serial]]</f>
        <v>4</v>
      </c>
      <c r="AE1369" s="65">
        <f>tblWorkPackages[[#This Row],[Last labor date]]-tblWorkPackages[[#This Row],[First labor date]]</f>
        <v>1</v>
      </c>
      <c r="AF1369" s="65">
        <f>tblWorkPackages[[#This Row],[Completion date serial]]-tblWorkPackages[[#This Row],[Last labor date]]</f>
        <v>3</v>
      </c>
      <c r="AG1369" s="65">
        <f>tblWorkPackages[[#This Row],[Completion date serial]]-tblWorkPackages[[#This Row],[Request date serial]]</f>
        <v>8</v>
      </c>
      <c r="AH1369" s="65">
        <f>IFERROR(INDEX(tblParts[Delay days],MATCH(tblWorkPackages[[#This Row],[Work package ID]],tblParts[Work package ID],0)),0)</f>
        <v>0</v>
      </c>
      <c r="AI1369" s="51" t="str">
        <f>IFERROR(INDEX(tblDisruptions[Event type],MATCH(tblWorkPackages[[#This Row],[Work package ID]],tblDisruptions[Work package ID],0)),"None")</f>
        <v>None</v>
      </c>
      <c r="AJ1369" s="51" t="str">
        <f>TEXT(tblWorkPackages[[#This Row],[Due date serial]],"yyyy-mm")</f>
        <v>2025-11</v>
      </c>
    </row>
    <row r="1370" spans="1:36" ht="15" x14ac:dyDescent="0.25">
      <c r="A1370" s="53" t="s">
        <v>2278</v>
      </c>
      <c r="B1370" s="53" t="s">
        <v>203</v>
      </c>
      <c r="C1370" s="53" t="s">
        <v>180</v>
      </c>
      <c r="D1370" s="53" t="s">
        <v>569</v>
      </c>
      <c r="E1370" s="53" t="s">
        <v>136</v>
      </c>
      <c r="F1370" s="53" t="s">
        <v>137</v>
      </c>
      <c r="G1370" s="53" t="s">
        <v>138</v>
      </c>
      <c r="H1370" s="53">
        <v>2</v>
      </c>
      <c r="I1370" s="53" t="s">
        <v>147</v>
      </c>
      <c r="J1370" s="53">
        <v>1</v>
      </c>
      <c r="K1370" s="53">
        <v>0</v>
      </c>
      <c r="L1370" s="53">
        <v>14.6</v>
      </c>
      <c r="M1370" s="53" t="s">
        <v>569</v>
      </c>
      <c r="N1370" s="53">
        <v>22.5</v>
      </c>
      <c r="O1370" s="51" t="str">
        <f>TEXT(tblWorkPackages[[#This Row],[Request date serial]]-WEEKDAY(tblWorkPackages[[#This Row],[Request date serial]],3),"yyyy-mm-dd")</f>
        <v>2025-05-26</v>
      </c>
      <c r="P1370" s="51">
        <f>ABS(tblWorkPackages[[#This Row],[Actual labor hours]]-tblWorkPackages[[#This Row],[Estimated labor hours]])</f>
        <v>7.9</v>
      </c>
      <c r="Q1370" s="51">
        <f>IF(tblWorkPackages[[#This Row],[Actual labor hours]]&gt;tblWorkPackages[[#This Row],[Estimated labor hours]],1,0)</f>
        <v>1</v>
      </c>
      <c r="R1370" s="51">
        <f>tblWorkPackages[[#This Row],[Actual labor hours]]-tblWorkPackages[[#This Row],[Estimated labor hours]]</f>
        <v>7.9</v>
      </c>
      <c r="S1370" s="51" t="str">
        <f>IF(tblWorkPackages[[#This Row],[Request date serial]]&lt;ValidationStart,"Train 2024",IF(tblWorkPackages[[#This Row],[Request date serial]]&lt;HoldoutStart,"Validation H1","Holdout H2"))</f>
        <v>Validation H1</v>
      </c>
      <c r="T1370" s="51">
        <f>IF(tblWorkPackages[[#This Row],[Time split]]="Train 2024","",tblWorkPackages[[#This Row],[Estimated labor hours]]+VLOOKUP(tblWorkPackages[[#This Row],[Task type]],'Forecast validation'!$A$14:$E$25,IF(tblWorkPackages[[#This Row],[Time split]]="Validation H1",4,5),FALSE()))</f>
        <v>15.4765306122449</v>
      </c>
      <c r="U1370" s="51">
        <f>IF(tblWorkPackages[[#This Row],[Calibrated forecast hours]]="","",ABS(tblWorkPackages[[#This Row],[Actual labor hours]]-tblWorkPackages[[#This Row],[Calibrated forecast hours]]))</f>
        <v>7.0234693877551</v>
      </c>
      <c r="V1370" s="51">
        <f>IF(tblWorkPackages[[#This Row],[Time split]]="Train 2024",tblWorkPackages[[#This Row],[Estimated labor hours]],tblWorkPackages[[#This Row],[Calibrated forecast hours]])</f>
        <v>15.4765306122449</v>
      </c>
      <c r="W1370" s="64">
        <f>DATEVALUE(tblWorkPackages[[#This Row],[Request date]])</f>
        <v>45805.0</v>
      </c>
      <c r="X1370" s="64">
        <f>DATEVALUE(tblWorkPackages[[#This Row],[Due date]])</f>
        <v>45807.0</v>
      </c>
      <c r="Y1370" s="64">
        <f>DATEVALUE(tblWorkPackages[[#This Row],[Completion date]])</f>
        <v>45807.0</v>
      </c>
      <c r="Z1370" s="64">
        <f>_xlfn.MINIFS(tblLaborEntries[Work date serial],tblLaborEntries[Work package ID],tblWorkPackages[[#This Row],[Work package ID]])</f>
        <v>45806.0</v>
      </c>
      <c r="AA1370" s="64">
        <f>_xlfn.MAXIFS(tblLaborEntries[Work date serial],tblLaborEntries[Work package ID],tblWorkPackages[[#This Row],[Work package ID]])</f>
        <v>45807.0</v>
      </c>
      <c r="AB1370" s="65">
        <f>IF(tblWorkPackages[[#This Row],[Completion date serial]]&gt;tblWorkPackages[[#This Row],[Due date serial]],1,0)</f>
        <v>0</v>
      </c>
      <c r="AC1370" s="65">
        <f>MAX(0,tblWorkPackages[[#This Row],[Completion date serial]]-tblWorkPackages[[#This Row],[Due date serial]])</f>
        <v>0</v>
      </c>
      <c r="AD1370" s="65">
        <f>tblWorkPackages[[#This Row],[First labor date]]-tblWorkPackages[[#This Row],[Request date serial]]</f>
        <v>1</v>
      </c>
      <c r="AE1370" s="65">
        <f>tblWorkPackages[[#This Row],[Last labor date]]-tblWorkPackages[[#This Row],[First labor date]]</f>
        <v>1</v>
      </c>
      <c r="AF1370" s="65">
        <f>tblWorkPackages[[#This Row],[Completion date serial]]-tblWorkPackages[[#This Row],[Last labor date]]</f>
        <v>0</v>
      </c>
      <c r="AG1370" s="65">
        <f>tblWorkPackages[[#This Row],[Completion date serial]]-tblWorkPackages[[#This Row],[Request date serial]]</f>
        <v>2</v>
      </c>
      <c r="AH1370" s="65">
        <f>IFERROR(INDEX(tblParts[Delay days],MATCH(tblWorkPackages[[#This Row],[Work package ID]],tblParts[Work package ID],0)),0)</f>
        <v>0</v>
      </c>
      <c r="AI1370" s="51" t="str">
        <f>IFERROR(INDEX(tblDisruptions[Event type],MATCH(tblWorkPackages[[#This Row],[Work package ID]],tblDisruptions[Work package ID],0)),"None")</f>
        <v>None</v>
      </c>
      <c r="AJ1370" s="51" t="str">
        <f>TEXT(tblWorkPackages[[#This Row],[Due date serial]],"yyyy-mm")</f>
        <v>2025-05</v>
      </c>
    </row>
    <row r="1371" spans="1:36" ht="15" x14ac:dyDescent="0.25">
      <c r="A1371" s="53" t="s">
        <v>2279</v>
      </c>
      <c r="B1371" s="53" t="s">
        <v>124</v>
      </c>
      <c r="C1371" s="53" t="s">
        <v>459</v>
      </c>
      <c r="D1371" s="53" t="s">
        <v>1078</v>
      </c>
      <c r="E1371" s="53" t="s">
        <v>272</v>
      </c>
      <c r="F1371" s="53" t="s">
        <v>145</v>
      </c>
      <c r="G1371" s="53" t="s">
        <v>273</v>
      </c>
      <c r="H1371" s="53">
        <v>1</v>
      </c>
      <c r="I1371" s="53" t="s">
        <v>176</v>
      </c>
      <c r="J1371" s="53">
        <v>0</v>
      </c>
      <c r="K1371" s="53">
        <v>0</v>
      </c>
      <c r="L1371" s="53">
        <v>7.2</v>
      </c>
      <c r="M1371" s="53" t="s">
        <v>527</v>
      </c>
      <c r="N1371" s="53">
        <v>8.6</v>
      </c>
      <c r="O1371" s="51" t="str">
        <f>TEXT(tblWorkPackages[[#This Row],[Request date serial]]-WEEKDAY(tblWorkPackages[[#This Row],[Request date serial]],3),"yyyy-mm-dd")</f>
        <v>2025-08-18</v>
      </c>
      <c r="P1371" s="51">
        <f>ABS(tblWorkPackages[[#This Row],[Actual labor hours]]-tblWorkPackages[[#This Row],[Estimated labor hours]])</f>
        <v>1.4</v>
      </c>
      <c r="Q1371" s="51">
        <f>IF(tblWorkPackages[[#This Row],[Actual labor hours]]&gt;tblWorkPackages[[#This Row],[Estimated labor hours]],1,0)</f>
        <v>1</v>
      </c>
      <c r="R1371" s="51">
        <f>tblWorkPackages[[#This Row],[Actual labor hours]]-tblWorkPackages[[#This Row],[Estimated labor hours]]</f>
        <v>1.4</v>
      </c>
      <c r="S1371" s="51" t="str">
        <f>IF(tblWorkPackages[[#This Row],[Request date serial]]&lt;ValidationStart,"Train 2024",IF(tblWorkPackages[[#This Row],[Request date serial]]&lt;HoldoutStart,"Validation H1","Holdout H2"))</f>
        <v>Holdout H2</v>
      </c>
      <c r="T1371" s="51">
        <f>IF(tblWorkPackages[[#This Row],[Time split]]="Train 2024","",tblWorkPackages[[#This Row],[Estimated labor hours]]+VLOOKUP(tblWorkPackages[[#This Row],[Task type]],'Forecast validation'!$A$14:$E$25,IF(tblWorkPackages[[#This Row],[Time split]]="Validation H1",4,5),FALSE()))</f>
        <v>8.18515625</v>
      </c>
      <c r="U1371" s="51">
        <f>IF(tblWorkPackages[[#This Row],[Calibrated forecast hours]]="","",ABS(tblWorkPackages[[#This Row],[Actual labor hours]]-tblWorkPackages[[#This Row],[Calibrated forecast hours]]))</f>
        <v>0.414843749999999</v>
      </c>
      <c r="V1371" s="51">
        <f>IF(tblWorkPackages[[#This Row],[Time split]]="Train 2024",tblWorkPackages[[#This Row],[Estimated labor hours]],tblWorkPackages[[#This Row],[Calibrated forecast hours]])</f>
        <v>8.18515625</v>
      </c>
      <c r="W1371" s="64">
        <f>DATEVALUE(tblWorkPackages[[#This Row],[Request date]])</f>
        <v>45892.0</v>
      </c>
      <c r="X1371" s="64">
        <f>DATEVALUE(tblWorkPackages[[#This Row],[Due date]])</f>
        <v>45898.0</v>
      </c>
      <c r="Y1371" s="64">
        <f>DATEVALUE(tblWorkPackages[[#This Row],[Completion date]])</f>
        <v>45906.0</v>
      </c>
      <c r="Z1371" s="64">
        <f>_xlfn.MINIFS(tblLaborEntries[Work date serial],tblLaborEntries[Work package ID],tblWorkPackages[[#This Row],[Work package ID]])</f>
        <v>45904.0</v>
      </c>
      <c r="AA1371" s="64">
        <f>_xlfn.MAXIFS(tblLaborEntries[Work date serial],tblLaborEntries[Work package ID],tblWorkPackages[[#This Row],[Work package ID]])</f>
        <v>45905.0</v>
      </c>
      <c r="AB1371" s="65">
        <f>IF(tblWorkPackages[[#This Row],[Completion date serial]]&gt;tblWorkPackages[[#This Row],[Due date serial]],1,0)</f>
        <v>1</v>
      </c>
      <c r="AC1371" s="65">
        <f>MAX(0,tblWorkPackages[[#This Row],[Completion date serial]]-tblWorkPackages[[#This Row],[Due date serial]])</f>
        <v>8</v>
      </c>
      <c r="AD1371" s="65">
        <f>tblWorkPackages[[#This Row],[First labor date]]-tblWorkPackages[[#This Row],[Request date serial]]</f>
        <v>12</v>
      </c>
      <c r="AE1371" s="65">
        <f>tblWorkPackages[[#This Row],[Last labor date]]-tblWorkPackages[[#This Row],[First labor date]]</f>
        <v>1</v>
      </c>
      <c r="AF1371" s="65">
        <f>tblWorkPackages[[#This Row],[Completion date serial]]-tblWorkPackages[[#This Row],[Last labor date]]</f>
        <v>1</v>
      </c>
      <c r="AG1371" s="65">
        <f>tblWorkPackages[[#This Row],[Completion date serial]]-tblWorkPackages[[#This Row],[Request date serial]]</f>
        <v>14</v>
      </c>
      <c r="AH1371" s="65">
        <f>IFERROR(INDEX(tblParts[Delay days],MATCH(tblWorkPackages[[#This Row],[Work package ID]],tblParts[Work package ID],0)),0)</f>
        <v>0</v>
      </c>
      <c r="AI1371" s="51" t="str">
        <f>IFERROR(INDEX(tblDisruptions[Event type],MATCH(tblWorkPackages[[#This Row],[Work package ID]],tblDisruptions[Work package ID],0)),"None")</f>
        <v>None</v>
      </c>
      <c r="AJ1371" s="51" t="str">
        <f>TEXT(tblWorkPackages[[#This Row],[Due date serial]],"yyyy-mm")</f>
        <v>2025-08</v>
      </c>
    </row>
    <row r="1372" spans="1:36" ht="15" x14ac:dyDescent="0.25">
      <c r="A1372" s="53" t="s">
        <v>2280</v>
      </c>
      <c r="B1372" s="53" t="s">
        <v>185</v>
      </c>
      <c r="C1372" s="53" t="s">
        <v>603</v>
      </c>
      <c r="D1372" s="53" t="s">
        <v>1156</v>
      </c>
      <c r="E1372" s="53" t="s">
        <v>242</v>
      </c>
      <c r="F1372" s="53" t="s">
        <v>243</v>
      </c>
      <c r="G1372" s="53" t="s">
        <v>129</v>
      </c>
      <c r="H1372" s="53">
        <v>3</v>
      </c>
      <c r="I1372" s="53" t="s">
        <v>130</v>
      </c>
      <c r="J1372" s="53">
        <v>0</v>
      </c>
      <c r="K1372" s="53">
        <v>1</v>
      </c>
      <c r="L1372" s="53">
        <v>13.1</v>
      </c>
      <c r="M1372" s="53" t="s">
        <v>738</v>
      </c>
      <c r="N1372" s="53">
        <v>15.8</v>
      </c>
      <c r="O1372" s="51" t="str">
        <f>TEXT(tblWorkPackages[[#This Row],[Request date serial]]-WEEKDAY(tblWorkPackages[[#This Row],[Request date serial]],3),"yyyy-mm-dd")</f>
        <v>2025-06-23</v>
      </c>
      <c r="P1372" s="51">
        <f>ABS(tblWorkPackages[[#This Row],[Actual labor hours]]-tblWorkPackages[[#This Row],[Estimated labor hours]])</f>
        <v>2.7</v>
      </c>
      <c r="Q1372" s="51">
        <f>IF(tblWorkPackages[[#This Row],[Actual labor hours]]&gt;tblWorkPackages[[#This Row],[Estimated labor hours]],1,0)</f>
        <v>1</v>
      </c>
      <c r="R1372" s="51">
        <f>tblWorkPackages[[#This Row],[Actual labor hours]]-tblWorkPackages[[#This Row],[Estimated labor hours]]</f>
        <v>2.7</v>
      </c>
      <c r="S1372" s="51" t="str">
        <f>IF(tblWorkPackages[[#This Row],[Request date serial]]&lt;ValidationStart,"Train 2024",IF(tblWorkPackages[[#This Row],[Request date serial]]&lt;HoldoutStart,"Validation H1","Holdout H2"))</f>
        <v>Validation H1</v>
      </c>
      <c r="T1372" s="51">
        <f>IF(tblWorkPackages[[#This Row],[Time split]]="Train 2024","",tblWorkPackages[[#This Row],[Estimated labor hours]]+VLOOKUP(tblWorkPackages[[#This Row],[Task type]],'Forecast validation'!$A$14:$E$25,IF(tblWorkPackages[[#This Row],[Time split]]="Validation H1",4,5),FALSE()))</f>
        <v>13.6561224489796</v>
      </c>
      <c r="U1372" s="51">
        <f>IF(tblWorkPackages[[#This Row],[Calibrated forecast hours]]="","",ABS(tblWorkPackages[[#This Row],[Actual labor hours]]-tblWorkPackages[[#This Row],[Calibrated forecast hours]]))</f>
        <v>2.14387755102041</v>
      </c>
      <c r="V1372" s="51">
        <f>IF(tblWorkPackages[[#This Row],[Time split]]="Train 2024",tblWorkPackages[[#This Row],[Estimated labor hours]],tblWorkPackages[[#This Row],[Calibrated forecast hours]])</f>
        <v>13.6561224489796</v>
      </c>
      <c r="W1372" s="64">
        <f>DATEVALUE(tblWorkPackages[[#This Row],[Request date]])</f>
        <v>45834.0</v>
      </c>
      <c r="X1372" s="64">
        <f>DATEVALUE(tblWorkPackages[[#This Row],[Due date]])</f>
        <v>45847.0</v>
      </c>
      <c r="Y1372" s="64">
        <f>DATEVALUE(tblWorkPackages[[#This Row],[Completion date]])</f>
        <v>45839.0</v>
      </c>
      <c r="Z1372" s="64">
        <f>_xlfn.MINIFS(tblLaborEntries[Work date serial],tblLaborEntries[Work package ID],tblWorkPackages[[#This Row],[Work package ID]])</f>
        <v>45837.0</v>
      </c>
      <c r="AA1372" s="64">
        <f>_xlfn.MAXIFS(tblLaborEntries[Work date serial],tblLaborEntries[Work package ID],tblWorkPackages[[#This Row],[Work package ID]])</f>
        <v>45837.0</v>
      </c>
      <c r="AB1372" s="65">
        <f>IF(tblWorkPackages[[#This Row],[Completion date serial]]&gt;tblWorkPackages[[#This Row],[Due date serial]],1,0)</f>
        <v>0</v>
      </c>
      <c r="AC1372" s="65">
        <f>MAX(0,tblWorkPackages[[#This Row],[Completion date serial]]-tblWorkPackages[[#This Row],[Due date serial]])</f>
        <v>0</v>
      </c>
      <c r="AD1372" s="65">
        <f>tblWorkPackages[[#This Row],[First labor date]]-tblWorkPackages[[#This Row],[Request date serial]]</f>
        <v>3</v>
      </c>
      <c r="AE1372" s="65">
        <f>tblWorkPackages[[#This Row],[Last labor date]]-tblWorkPackages[[#This Row],[First labor date]]</f>
        <v>0</v>
      </c>
      <c r="AF1372" s="65">
        <f>tblWorkPackages[[#This Row],[Completion date serial]]-tblWorkPackages[[#This Row],[Last labor date]]</f>
        <v>2</v>
      </c>
      <c r="AG1372" s="65">
        <f>tblWorkPackages[[#This Row],[Completion date serial]]-tblWorkPackages[[#This Row],[Request date serial]]</f>
        <v>5</v>
      </c>
      <c r="AH1372" s="65">
        <f>IFERROR(INDEX(tblParts[Delay days],MATCH(tblWorkPackages[[#This Row],[Work package ID]],tblParts[Work package ID],0)),0)</f>
        <v>0</v>
      </c>
      <c r="AI1372" s="51" t="str">
        <f>IFERROR(INDEX(tblDisruptions[Event type],MATCH(tblWorkPackages[[#This Row],[Work package ID]],tblDisruptions[Work package ID],0)),"None")</f>
        <v>None</v>
      </c>
      <c r="AJ1372" s="51" t="str">
        <f>TEXT(tblWorkPackages[[#This Row],[Due date serial]],"yyyy-mm")</f>
        <v>2025-07</v>
      </c>
    </row>
    <row r="1373" spans="1:36" ht="15" x14ac:dyDescent="0.25">
      <c r="A1373" s="53" t="s">
        <v>2281</v>
      </c>
      <c r="B1373" s="53" t="s">
        <v>168</v>
      </c>
      <c r="C1373" s="53" t="s">
        <v>388</v>
      </c>
      <c r="D1373" s="53" t="s">
        <v>755</v>
      </c>
      <c r="E1373" s="53" t="s">
        <v>200</v>
      </c>
      <c r="F1373" s="53" t="s">
        <v>128</v>
      </c>
      <c r="G1373" s="53" t="s">
        <v>129</v>
      </c>
      <c r="H1373" s="53">
        <v>4</v>
      </c>
      <c r="I1373" s="53" t="s">
        <v>130</v>
      </c>
      <c r="J1373" s="53">
        <v>0</v>
      </c>
      <c r="K1373" s="53">
        <v>0</v>
      </c>
      <c r="L1373" s="53">
        <v>5.0999999999999996</v>
      </c>
      <c r="M1373" s="53" t="s">
        <v>722</v>
      </c>
      <c r="N1373" s="53">
        <v>6.7</v>
      </c>
      <c r="O1373" s="51" t="str">
        <f>TEXT(tblWorkPackages[[#This Row],[Request date serial]]-WEEKDAY(tblWorkPackages[[#This Row],[Request date serial]],3),"yyyy-mm-dd")</f>
        <v>2024-09-02</v>
      </c>
      <c r="P1373" s="51">
        <f>ABS(tblWorkPackages[[#This Row],[Actual labor hours]]-tblWorkPackages[[#This Row],[Estimated labor hours]])</f>
        <v>1.6</v>
      </c>
      <c r="Q1373" s="51">
        <f>IF(tblWorkPackages[[#This Row],[Actual labor hours]]&gt;tblWorkPackages[[#This Row],[Estimated labor hours]],1,0)</f>
        <v>1</v>
      </c>
      <c r="R1373" s="51">
        <f>tblWorkPackages[[#This Row],[Actual labor hours]]-tblWorkPackages[[#This Row],[Estimated labor hours]]</f>
        <v>1.6</v>
      </c>
      <c r="S1373" s="51" t="str">
        <f>IF(tblWorkPackages[[#This Row],[Request date serial]]&lt;ValidationStart,"Train 2024",IF(tblWorkPackages[[#This Row],[Request date serial]]&lt;HoldoutStart,"Validation H1","Holdout H2"))</f>
        <v>Train 2024</v>
      </c>
      <c r="T1373" s="51" t="str">
        <f>IF(tblWorkPackages[[#This Row],[Time split]]="Train 2024","",tblWorkPackages[[#This Row],[Estimated labor hours]]+VLOOKUP(tblWorkPackages[[#This Row],[Task type]],'Forecast validation'!$A$14:$E$25,IF(tblWorkPackages[[#This Row],[Time split]]="Validation H1",4,5),FALSE()))</f>
        <v/>
      </c>
      <c r="U1373" s="51" t="str">
        <f>IF(tblWorkPackages[[#This Row],[Calibrated forecast hours]]="","",ABS(tblWorkPackages[[#This Row],[Actual labor hours]]-tblWorkPackages[[#This Row],[Calibrated forecast hours]]))</f>
        <v/>
      </c>
      <c r="V1373" s="51">
        <f>IF(tblWorkPackages[[#This Row],[Time split]]="Train 2024",tblWorkPackages[[#This Row],[Estimated labor hours]],tblWorkPackages[[#This Row],[Calibrated forecast hours]])</f>
        <v>5.1</v>
      </c>
      <c r="W1373" s="64">
        <f>DATEVALUE(tblWorkPackages[[#This Row],[Request date]])</f>
        <v>45537.0</v>
      </c>
      <c r="X1373" s="64">
        <f>DATEVALUE(tblWorkPackages[[#This Row],[Due date]])</f>
        <v>45550.0</v>
      </c>
      <c r="Y1373" s="64">
        <f>DATEVALUE(tblWorkPackages[[#This Row],[Completion date]])</f>
        <v>45576.0</v>
      </c>
      <c r="Z1373" s="64">
        <f>_xlfn.MINIFS(tblLaborEntries[Work date serial],tblLaborEntries[Work package ID],tblWorkPackages[[#This Row],[Work package ID]])</f>
        <v>45572.0</v>
      </c>
      <c r="AA1373" s="64">
        <f>_xlfn.MAXIFS(tblLaborEntries[Work date serial],tblLaborEntries[Work package ID],tblWorkPackages[[#This Row],[Work package ID]])</f>
        <v>45573.0</v>
      </c>
      <c r="AB1373" s="65">
        <f>IF(tblWorkPackages[[#This Row],[Completion date serial]]&gt;tblWorkPackages[[#This Row],[Due date serial]],1,0)</f>
        <v>1</v>
      </c>
      <c r="AC1373" s="65">
        <f>MAX(0,tblWorkPackages[[#This Row],[Completion date serial]]-tblWorkPackages[[#This Row],[Due date serial]])</f>
        <v>26</v>
      </c>
      <c r="AD1373" s="65">
        <f>tblWorkPackages[[#This Row],[First labor date]]-tblWorkPackages[[#This Row],[Request date serial]]</f>
        <v>35</v>
      </c>
      <c r="AE1373" s="65">
        <f>tblWorkPackages[[#This Row],[Last labor date]]-tblWorkPackages[[#This Row],[First labor date]]</f>
        <v>1</v>
      </c>
      <c r="AF1373" s="65">
        <f>tblWorkPackages[[#This Row],[Completion date serial]]-tblWorkPackages[[#This Row],[Last labor date]]</f>
        <v>3</v>
      </c>
      <c r="AG1373" s="65">
        <f>tblWorkPackages[[#This Row],[Completion date serial]]-tblWorkPackages[[#This Row],[Request date serial]]</f>
        <v>39</v>
      </c>
      <c r="AH1373" s="65">
        <f>IFERROR(INDEX(tblParts[Delay days],MATCH(tblWorkPackages[[#This Row],[Work package ID]],tblParts[Work package ID],0)),0)</f>
        <v>0</v>
      </c>
      <c r="AI1373" s="51" t="str">
        <f>IFERROR(INDEX(tblDisruptions[Event type],MATCH(tblWorkPackages[[#This Row],[Work package ID]],tblDisruptions[Work package ID],0)),"None")</f>
        <v>Repeat inspection</v>
      </c>
      <c r="AJ1373" s="51" t="str">
        <f>TEXT(tblWorkPackages[[#This Row],[Due date serial]],"yyyy-mm")</f>
        <v>2024-09</v>
      </c>
    </row>
    <row r="1374" spans="1:36" ht="15" x14ac:dyDescent="0.25">
      <c r="A1374" s="53" t="s">
        <v>2282</v>
      </c>
      <c r="B1374" s="53" t="s">
        <v>150</v>
      </c>
      <c r="C1374" s="53" t="s">
        <v>271</v>
      </c>
      <c r="D1374" s="53" t="s">
        <v>1221</v>
      </c>
      <c r="E1374" s="53" t="s">
        <v>181</v>
      </c>
      <c r="F1374" s="53" t="s">
        <v>182</v>
      </c>
      <c r="G1374" s="53" t="s">
        <v>138</v>
      </c>
      <c r="H1374" s="53">
        <v>1</v>
      </c>
      <c r="I1374" s="53" t="s">
        <v>130</v>
      </c>
      <c r="J1374" s="53">
        <v>0</v>
      </c>
      <c r="K1374" s="53">
        <v>0</v>
      </c>
      <c r="L1374" s="53">
        <v>5.9</v>
      </c>
      <c r="M1374" s="53" t="s">
        <v>1081</v>
      </c>
      <c r="N1374" s="53">
        <v>5.0999999999999996</v>
      </c>
      <c r="O1374" s="51" t="str">
        <f>TEXT(tblWorkPackages[[#This Row],[Request date serial]]-WEEKDAY(tblWorkPackages[[#This Row],[Request date serial]],3),"yyyy-mm-dd")</f>
        <v>2025-04-14</v>
      </c>
      <c r="P1374" s="51">
        <f>ABS(tblWorkPackages[[#This Row],[Actual labor hours]]-tblWorkPackages[[#This Row],[Estimated labor hours]])</f>
        <v>0.800000000000001</v>
      </c>
      <c r="Q1374" s="51">
        <f>IF(tblWorkPackages[[#This Row],[Actual labor hours]]&gt;tblWorkPackages[[#This Row],[Estimated labor hours]],1,0)</f>
        <v>0</v>
      </c>
      <c r="R1374" s="51">
        <f>tblWorkPackages[[#This Row],[Actual labor hours]]-tblWorkPackages[[#This Row],[Estimated labor hours]]</f>
        <v>-0.800000000000001</v>
      </c>
      <c r="S1374" s="51" t="str">
        <f>IF(tblWorkPackages[[#This Row],[Request date serial]]&lt;ValidationStart,"Train 2024",IF(tblWorkPackages[[#This Row],[Request date serial]]&lt;HoldoutStart,"Validation H1","Holdout H2"))</f>
        <v>Validation H1</v>
      </c>
      <c r="T1374" s="51">
        <f>IF(tblWorkPackages[[#This Row],[Time split]]="Train 2024","",tblWorkPackages[[#This Row],[Estimated labor hours]]+VLOOKUP(tblWorkPackages[[#This Row],[Task type]],'Forecast validation'!$A$14:$E$25,IF(tblWorkPackages[[#This Row],[Time split]]="Validation H1",4,5),FALSE()))</f>
        <v>6.48409090909091</v>
      </c>
      <c r="U1374" s="51">
        <f>IF(tblWorkPackages[[#This Row],[Calibrated forecast hours]]="","",ABS(tblWorkPackages[[#This Row],[Actual labor hours]]-tblWorkPackages[[#This Row],[Calibrated forecast hours]]))</f>
        <v>1.38409090909091</v>
      </c>
      <c r="V1374" s="51">
        <f>IF(tblWorkPackages[[#This Row],[Time split]]="Train 2024",tblWorkPackages[[#This Row],[Estimated labor hours]],tblWorkPackages[[#This Row],[Calibrated forecast hours]])</f>
        <v>6.48409090909091</v>
      </c>
      <c r="W1374" s="64">
        <f>DATEVALUE(tblWorkPackages[[#This Row],[Request date]])</f>
        <v>45761.0</v>
      </c>
      <c r="X1374" s="64">
        <f>DATEVALUE(tblWorkPackages[[#This Row],[Due date]])</f>
        <v>45774.0</v>
      </c>
      <c r="Y1374" s="64">
        <f>DATEVALUE(tblWorkPackages[[#This Row],[Completion date]])</f>
        <v>45769.0</v>
      </c>
      <c r="Z1374" s="64">
        <f>_xlfn.MINIFS(tblLaborEntries[Work date serial],tblLaborEntries[Work package ID],tblWorkPackages[[#This Row],[Work package ID]])</f>
        <v>45768.0</v>
      </c>
      <c r="AA1374" s="64">
        <f>_xlfn.MAXIFS(tblLaborEntries[Work date serial],tblLaborEntries[Work package ID],tblWorkPackages[[#This Row],[Work package ID]])</f>
        <v>45769.0</v>
      </c>
      <c r="AB1374" s="65">
        <f>IF(tblWorkPackages[[#This Row],[Completion date serial]]&gt;tblWorkPackages[[#This Row],[Due date serial]],1,0)</f>
        <v>0</v>
      </c>
      <c r="AC1374" s="65">
        <f>MAX(0,tblWorkPackages[[#This Row],[Completion date serial]]-tblWorkPackages[[#This Row],[Due date serial]])</f>
        <v>0</v>
      </c>
      <c r="AD1374" s="65">
        <f>tblWorkPackages[[#This Row],[First labor date]]-tblWorkPackages[[#This Row],[Request date serial]]</f>
        <v>7</v>
      </c>
      <c r="AE1374" s="65">
        <f>tblWorkPackages[[#This Row],[Last labor date]]-tblWorkPackages[[#This Row],[First labor date]]</f>
        <v>1</v>
      </c>
      <c r="AF1374" s="65">
        <f>tblWorkPackages[[#This Row],[Completion date serial]]-tblWorkPackages[[#This Row],[Last labor date]]</f>
        <v>0</v>
      </c>
      <c r="AG1374" s="65">
        <f>tblWorkPackages[[#This Row],[Completion date serial]]-tblWorkPackages[[#This Row],[Request date serial]]</f>
        <v>8</v>
      </c>
      <c r="AH1374" s="65">
        <f>IFERROR(INDEX(tblParts[Delay days],MATCH(tblWorkPackages[[#This Row],[Work package ID]],tblParts[Work package ID],0)),0)</f>
        <v>0</v>
      </c>
      <c r="AI1374" s="51" t="str">
        <f>IFERROR(INDEX(tblDisruptions[Event type],MATCH(tblWorkPackages[[#This Row],[Work package ID]],tblDisruptions[Work package ID],0)),"None")</f>
        <v>None</v>
      </c>
      <c r="AJ1374" s="51" t="str">
        <f>TEXT(tblWorkPackages[[#This Row],[Due date serial]],"yyyy-mm")</f>
        <v>2025-04</v>
      </c>
    </row>
    <row r="1375" spans="1:36" ht="15" x14ac:dyDescent="0.25">
      <c r="A1375" s="53" t="s">
        <v>2283</v>
      </c>
      <c r="B1375" s="53" t="s">
        <v>124</v>
      </c>
      <c r="C1375" s="53" t="s">
        <v>422</v>
      </c>
      <c r="D1375" s="53" t="s">
        <v>537</v>
      </c>
      <c r="E1375" s="53" t="s">
        <v>200</v>
      </c>
      <c r="F1375" s="53" t="s">
        <v>128</v>
      </c>
      <c r="G1375" s="53" t="s">
        <v>129</v>
      </c>
      <c r="H1375" s="53">
        <v>4</v>
      </c>
      <c r="I1375" s="53" t="s">
        <v>176</v>
      </c>
      <c r="J1375" s="53">
        <v>0</v>
      </c>
      <c r="K1375" s="53">
        <v>0</v>
      </c>
      <c r="L1375" s="53">
        <v>5.0999999999999996</v>
      </c>
      <c r="M1375" s="53" t="s">
        <v>308</v>
      </c>
      <c r="N1375" s="53">
        <v>4.2</v>
      </c>
      <c r="O1375" s="51" t="str">
        <f>TEXT(tblWorkPackages[[#This Row],[Request date serial]]-WEEKDAY(tblWorkPackages[[#This Row],[Request date serial]],3),"yyyy-mm-dd")</f>
        <v>2025-11-10</v>
      </c>
      <c r="P1375" s="51">
        <f>ABS(tblWorkPackages[[#This Row],[Actual labor hours]]-tblWorkPackages[[#This Row],[Estimated labor hours]])</f>
        <v>0.9</v>
      </c>
      <c r="Q1375" s="51">
        <f>IF(tblWorkPackages[[#This Row],[Actual labor hours]]&gt;tblWorkPackages[[#This Row],[Estimated labor hours]],1,0)</f>
        <v>0</v>
      </c>
      <c r="R1375" s="51">
        <f>tblWorkPackages[[#This Row],[Actual labor hours]]-tblWorkPackages[[#This Row],[Estimated labor hours]]</f>
        <v>-0.9</v>
      </c>
      <c r="S1375" s="51" t="str">
        <f>IF(tblWorkPackages[[#This Row],[Request date serial]]&lt;ValidationStart,"Train 2024",IF(tblWorkPackages[[#This Row],[Request date serial]]&lt;HoldoutStart,"Validation H1","Holdout H2"))</f>
        <v>Holdout H2</v>
      </c>
      <c r="T1375" s="51">
        <f>IF(tblWorkPackages[[#This Row],[Time split]]="Train 2024","",tblWorkPackages[[#This Row],[Estimated labor hours]]+VLOOKUP(tblWorkPackages[[#This Row],[Task type]],'Forecast validation'!$A$14:$E$25,IF(tblWorkPackages[[#This Row],[Time split]]="Validation H1",4,5),FALSE()))</f>
        <v>5.42893081761006</v>
      </c>
      <c r="U1375" s="51">
        <f>IF(tblWorkPackages[[#This Row],[Calibrated forecast hours]]="","",ABS(tblWorkPackages[[#This Row],[Actual labor hours]]-tblWorkPackages[[#This Row],[Calibrated forecast hours]]))</f>
        <v>1.22893081761006</v>
      </c>
      <c r="V1375" s="51">
        <f>IF(tblWorkPackages[[#This Row],[Time split]]="Train 2024",tblWorkPackages[[#This Row],[Estimated labor hours]],tblWorkPackages[[#This Row],[Calibrated forecast hours]])</f>
        <v>5.42893081761006</v>
      </c>
      <c r="W1375" s="64">
        <f>DATEVALUE(tblWorkPackages[[#This Row],[Request date]])</f>
        <v>45973.0</v>
      </c>
      <c r="X1375" s="64">
        <f>DATEVALUE(tblWorkPackages[[#This Row],[Due date]])</f>
        <v>45979.0</v>
      </c>
      <c r="Y1375" s="64">
        <f>DATEVALUE(tblWorkPackages[[#This Row],[Completion date]])</f>
        <v>45977.0</v>
      </c>
      <c r="Z1375" s="64">
        <f>_xlfn.MINIFS(tblLaborEntries[Work date serial],tblLaborEntries[Work package ID],tblWorkPackages[[#This Row],[Work package ID]])</f>
        <v>45975.0</v>
      </c>
      <c r="AA1375" s="64">
        <f>_xlfn.MAXIFS(tblLaborEntries[Work date serial],tblLaborEntries[Work package ID],tblWorkPackages[[#This Row],[Work package ID]])</f>
        <v>45976.0</v>
      </c>
      <c r="AB1375" s="65">
        <f>IF(tblWorkPackages[[#This Row],[Completion date serial]]&gt;tblWorkPackages[[#This Row],[Due date serial]],1,0)</f>
        <v>0</v>
      </c>
      <c r="AC1375" s="65">
        <f>MAX(0,tblWorkPackages[[#This Row],[Completion date serial]]-tblWorkPackages[[#This Row],[Due date serial]])</f>
        <v>0</v>
      </c>
      <c r="AD1375" s="65">
        <f>tblWorkPackages[[#This Row],[First labor date]]-tblWorkPackages[[#This Row],[Request date serial]]</f>
        <v>2</v>
      </c>
      <c r="AE1375" s="65">
        <f>tblWorkPackages[[#This Row],[Last labor date]]-tblWorkPackages[[#This Row],[First labor date]]</f>
        <v>1</v>
      </c>
      <c r="AF1375" s="65">
        <f>tblWorkPackages[[#This Row],[Completion date serial]]-tblWorkPackages[[#This Row],[Last labor date]]</f>
        <v>1</v>
      </c>
      <c r="AG1375" s="65">
        <f>tblWorkPackages[[#This Row],[Completion date serial]]-tblWorkPackages[[#This Row],[Request date serial]]</f>
        <v>4</v>
      </c>
      <c r="AH1375" s="65">
        <f>IFERROR(INDEX(tblParts[Delay days],MATCH(tblWorkPackages[[#This Row],[Work package ID]],tblParts[Work package ID],0)),0)</f>
        <v>0</v>
      </c>
      <c r="AI1375" s="51" t="str">
        <f>IFERROR(INDEX(tblDisruptions[Event type],MATCH(tblWorkPackages[[#This Row],[Work package ID]],tblDisruptions[Work package ID],0)),"None")</f>
        <v>None</v>
      </c>
      <c r="AJ1375" s="51" t="str">
        <f>TEXT(tblWorkPackages[[#This Row],[Due date serial]],"yyyy-mm")</f>
        <v>2025-11</v>
      </c>
    </row>
    <row r="1376" spans="1:36" ht="15" x14ac:dyDescent="0.25">
      <c r="A1376" s="53" t="s">
        <v>2284</v>
      </c>
      <c r="B1376" s="53" t="s">
        <v>124</v>
      </c>
      <c r="C1376" s="53" t="s">
        <v>365</v>
      </c>
      <c r="D1376" s="53" t="s">
        <v>1184</v>
      </c>
      <c r="E1376" s="53" t="s">
        <v>127</v>
      </c>
      <c r="F1376" s="53" t="s">
        <v>128</v>
      </c>
      <c r="G1376" s="53" t="s">
        <v>129</v>
      </c>
      <c r="H1376" s="53">
        <v>2</v>
      </c>
      <c r="I1376" s="53" t="s">
        <v>176</v>
      </c>
      <c r="J1376" s="53">
        <v>0</v>
      </c>
      <c r="K1376" s="53">
        <v>1</v>
      </c>
      <c r="L1376" s="53">
        <v>8.1</v>
      </c>
      <c r="M1376" s="53" t="s">
        <v>639</v>
      </c>
      <c r="N1376" s="53">
        <v>8.1999999999999993</v>
      </c>
      <c r="O1376" s="51" t="str">
        <f>TEXT(tblWorkPackages[[#This Row],[Request date serial]]-WEEKDAY(tblWorkPackages[[#This Row],[Request date serial]],3),"yyyy-mm-dd")</f>
        <v>2025-05-19</v>
      </c>
      <c r="P1376" s="51">
        <f>ABS(tblWorkPackages[[#This Row],[Actual labor hours]]-tblWorkPackages[[#This Row],[Estimated labor hours]])</f>
        <v>0.0999999999999996</v>
      </c>
      <c r="Q1376" s="51">
        <f>IF(tblWorkPackages[[#This Row],[Actual labor hours]]&gt;tblWorkPackages[[#This Row],[Estimated labor hours]],1,0)</f>
        <v>1</v>
      </c>
      <c r="R1376" s="51">
        <f>tblWorkPackages[[#This Row],[Actual labor hours]]-tblWorkPackages[[#This Row],[Estimated labor hours]]</f>
        <v>0.0999999999999996</v>
      </c>
      <c r="S1376" s="51" t="str">
        <f>IF(tblWorkPackages[[#This Row],[Request date serial]]&lt;ValidationStart,"Train 2024",IF(tblWorkPackages[[#This Row],[Request date serial]]&lt;HoldoutStart,"Validation H1","Holdout H2"))</f>
        <v>Validation H1</v>
      </c>
      <c r="T1376" s="51">
        <f>IF(tblWorkPackages[[#This Row],[Time split]]="Train 2024","",tblWorkPackages[[#This Row],[Estimated labor hours]]+VLOOKUP(tblWorkPackages[[#This Row],[Task type]],'Forecast validation'!$A$14:$E$25,IF(tblWorkPackages[[#This Row],[Time split]]="Validation H1",4,5),FALSE()))</f>
        <v>8.57564102564102</v>
      </c>
      <c r="U1376" s="51">
        <f>IF(tblWorkPackages[[#This Row],[Calibrated forecast hours]]="","",ABS(tblWorkPackages[[#This Row],[Actual labor hours]]-tblWorkPackages[[#This Row],[Calibrated forecast hours]]))</f>
        <v>0.375641025641025</v>
      </c>
      <c r="V1376" s="51">
        <f>IF(tblWorkPackages[[#This Row],[Time split]]="Train 2024",tblWorkPackages[[#This Row],[Estimated labor hours]],tblWorkPackages[[#This Row],[Calibrated forecast hours]])</f>
        <v>8.57564102564102</v>
      </c>
      <c r="W1376" s="64">
        <f>DATEVALUE(tblWorkPackages[[#This Row],[Request date]])</f>
        <v>45796.0</v>
      </c>
      <c r="X1376" s="64">
        <f>DATEVALUE(tblWorkPackages[[#This Row],[Due date]])</f>
        <v>45802.0</v>
      </c>
      <c r="Y1376" s="64">
        <f>DATEVALUE(tblWorkPackages[[#This Row],[Completion date]])</f>
        <v>45815.0</v>
      </c>
      <c r="Z1376" s="64">
        <f>_xlfn.MINIFS(tblLaborEntries[Work date serial],tblLaborEntries[Work package ID],tblWorkPackages[[#This Row],[Work package ID]])</f>
        <v>45811.0</v>
      </c>
      <c r="AA1376" s="64">
        <f>_xlfn.MAXIFS(tblLaborEntries[Work date serial],tblLaborEntries[Work package ID],tblWorkPackages[[#This Row],[Work package ID]])</f>
        <v>45813.0</v>
      </c>
      <c r="AB1376" s="65">
        <f>IF(tblWorkPackages[[#This Row],[Completion date serial]]&gt;tblWorkPackages[[#This Row],[Due date serial]],1,0)</f>
        <v>1</v>
      </c>
      <c r="AC1376" s="65">
        <f>MAX(0,tblWorkPackages[[#This Row],[Completion date serial]]-tblWorkPackages[[#This Row],[Due date serial]])</f>
        <v>13</v>
      </c>
      <c r="AD1376" s="65">
        <f>tblWorkPackages[[#This Row],[First labor date]]-tblWorkPackages[[#This Row],[Request date serial]]</f>
        <v>15</v>
      </c>
      <c r="AE1376" s="65">
        <f>tblWorkPackages[[#This Row],[Last labor date]]-tblWorkPackages[[#This Row],[First labor date]]</f>
        <v>2</v>
      </c>
      <c r="AF1376" s="65">
        <f>tblWorkPackages[[#This Row],[Completion date serial]]-tblWorkPackages[[#This Row],[Last labor date]]</f>
        <v>2</v>
      </c>
      <c r="AG1376" s="65">
        <f>tblWorkPackages[[#This Row],[Completion date serial]]-tblWorkPackages[[#This Row],[Request date serial]]</f>
        <v>19</v>
      </c>
      <c r="AH1376" s="65">
        <f>IFERROR(INDEX(tblParts[Delay days],MATCH(tblWorkPackages[[#This Row],[Work package ID]],tblParts[Work package ID],0)),0)</f>
        <v>0</v>
      </c>
      <c r="AI1376" s="51" t="str">
        <f>IFERROR(INDEX(tblDisruptions[Event type],MATCH(tblWorkPackages[[#This Row],[Work package ID]],tblDisruptions[Work package ID],0)),"None")</f>
        <v>None</v>
      </c>
      <c r="AJ1376" s="51" t="str">
        <f>TEXT(tblWorkPackages[[#This Row],[Due date serial]],"yyyy-mm")</f>
        <v>2025-05</v>
      </c>
    </row>
    <row r="1377" spans="1:36" ht="15" x14ac:dyDescent="0.25">
      <c r="A1377" s="53" t="s">
        <v>2285</v>
      </c>
      <c r="B1377" s="53" t="s">
        <v>141</v>
      </c>
      <c r="C1377" s="53" t="s">
        <v>283</v>
      </c>
      <c r="D1377" s="53" t="s">
        <v>284</v>
      </c>
      <c r="E1377" s="53" t="s">
        <v>223</v>
      </c>
      <c r="F1377" s="53" t="s">
        <v>182</v>
      </c>
      <c r="G1377" s="53" t="s">
        <v>154</v>
      </c>
      <c r="H1377" s="53">
        <v>2</v>
      </c>
      <c r="I1377" s="53" t="s">
        <v>130</v>
      </c>
      <c r="J1377" s="53">
        <v>0</v>
      </c>
      <c r="K1377" s="53">
        <v>1</v>
      </c>
      <c r="L1377" s="53">
        <v>11.5</v>
      </c>
      <c r="M1377" s="53" t="s">
        <v>527</v>
      </c>
      <c r="N1377" s="53">
        <v>9.3000000000000007</v>
      </c>
      <c r="O1377" s="51" t="str">
        <f>TEXT(tblWorkPackages[[#This Row],[Request date serial]]-WEEKDAY(tblWorkPackages[[#This Row],[Request date serial]],3),"yyyy-mm-dd")</f>
        <v>2025-08-25</v>
      </c>
      <c r="P1377" s="51">
        <f>ABS(tblWorkPackages[[#This Row],[Actual labor hours]]-tblWorkPackages[[#This Row],[Estimated labor hours]])</f>
        <v>2.2</v>
      </c>
      <c r="Q1377" s="51">
        <f>IF(tblWorkPackages[[#This Row],[Actual labor hours]]&gt;tblWorkPackages[[#This Row],[Estimated labor hours]],1,0)</f>
        <v>0</v>
      </c>
      <c r="R1377" s="51">
        <f>tblWorkPackages[[#This Row],[Actual labor hours]]-tblWorkPackages[[#This Row],[Estimated labor hours]]</f>
        <v>-2.2</v>
      </c>
      <c r="S1377" s="51" t="str">
        <f>IF(tblWorkPackages[[#This Row],[Request date serial]]&lt;ValidationStart,"Train 2024",IF(tblWorkPackages[[#This Row],[Request date serial]]&lt;HoldoutStart,"Validation H1","Holdout H2"))</f>
        <v>Holdout H2</v>
      </c>
      <c r="T1377" s="51">
        <f>IF(tblWorkPackages[[#This Row],[Time split]]="Train 2024","",tblWorkPackages[[#This Row],[Estimated labor hours]]+VLOOKUP(tblWorkPackages[[#This Row],[Task type]],'Forecast validation'!$A$14:$E$25,IF(tblWorkPackages[[#This Row],[Time split]]="Validation H1",4,5),FALSE()))</f>
        <v>12.4246575342466</v>
      </c>
      <c r="U1377" s="51">
        <f>IF(tblWorkPackages[[#This Row],[Calibrated forecast hours]]="","",ABS(tblWorkPackages[[#This Row],[Actual labor hours]]-tblWorkPackages[[#This Row],[Calibrated forecast hours]]))</f>
        <v>3.12465753424658</v>
      </c>
      <c r="V1377" s="51">
        <f>IF(tblWorkPackages[[#This Row],[Time split]]="Train 2024",tblWorkPackages[[#This Row],[Estimated labor hours]],tblWorkPackages[[#This Row],[Calibrated forecast hours]])</f>
        <v>12.4246575342466</v>
      </c>
      <c r="W1377" s="64">
        <f>DATEVALUE(tblWorkPackages[[#This Row],[Request date]])</f>
        <v>45897.0</v>
      </c>
      <c r="X1377" s="64">
        <f>DATEVALUE(tblWorkPackages[[#This Row],[Due date]])</f>
        <v>45910.0</v>
      </c>
      <c r="Y1377" s="64">
        <f>DATEVALUE(tblWorkPackages[[#This Row],[Completion date]])</f>
        <v>45906.0</v>
      </c>
      <c r="Z1377" s="64">
        <f>_xlfn.MINIFS(tblLaborEntries[Work date serial],tblLaborEntries[Work package ID],tblWorkPackages[[#This Row],[Work package ID]])</f>
        <v>45901.0</v>
      </c>
      <c r="AA1377" s="64">
        <f>_xlfn.MAXIFS(tblLaborEntries[Work date serial],tblLaborEntries[Work package ID],tblWorkPackages[[#This Row],[Work package ID]])</f>
        <v>45903.0</v>
      </c>
      <c r="AB1377" s="65">
        <f>IF(tblWorkPackages[[#This Row],[Completion date serial]]&gt;tblWorkPackages[[#This Row],[Due date serial]],1,0)</f>
        <v>0</v>
      </c>
      <c r="AC1377" s="65">
        <f>MAX(0,tblWorkPackages[[#This Row],[Completion date serial]]-tblWorkPackages[[#This Row],[Due date serial]])</f>
        <v>0</v>
      </c>
      <c r="AD1377" s="65">
        <f>tblWorkPackages[[#This Row],[First labor date]]-tblWorkPackages[[#This Row],[Request date serial]]</f>
        <v>4</v>
      </c>
      <c r="AE1377" s="65">
        <f>tblWorkPackages[[#This Row],[Last labor date]]-tblWorkPackages[[#This Row],[First labor date]]</f>
        <v>2</v>
      </c>
      <c r="AF1377" s="65">
        <f>tblWorkPackages[[#This Row],[Completion date serial]]-tblWorkPackages[[#This Row],[Last labor date]]</f>
        <v>3</v>
      </c>
      <c r="AG1377" s="65">
        <f>tblWorkPackages[[#This Row],[Completion date serial]]-tblWorkPackages[[#This Row],[Request date serial]]</f>
        <v>9</v>
      </c>
      <c r="AH1377" s="65">
        <f>IFERROR(INDEX(tblParts[Delay days],MATCH(tblWorkPackages[[#This Row],[Work package ID]],tblParts[Work package ID],0)),0)</f>
        <v>0</v>
      </c>
      <c r="AI1377" s="51" t="str">
        <f>IFERROR(INDEX(tblDisruptions[Event type],MATCH(tblWorkPackages[[#This Row],[Work package ID]],tblDisruptions[Work package ID],0)),"None")</f>
        <v>None</v>
      </c>
      <c r="AJ1377" s="51" t="str">
        <f>TEXT(tblWorkPackages[[#This Row],[Due date serial]],"yyyy-mm")</f>
        <v>2025-09</v>
      </c>
    </row>
    <row r="1378" spans="1:36" ht="15" x14ac:dyDescent="0.25">
      <c r="A1378" s="53" t="s">
        <v>2286</v>
      </c>
      <c r="B1378" s="53" t="s">
        <v>133</v>
      </c>
      <c r="C1378" s="53" t="s">
        <v>299</v>
      </c>
      <c r="D1378" s="53" t="s">
        <v>920</v>
      </c>
      <c r="E1378" s="53" t="s">
        <v>144</v>
      </c>
      <c r="F1378" s="53" t="s">
        <v>145</v>
      </c>
      <c r="G1378" s="53" t="s">
        <v>146</v>
      </c>
      <c r="H1378" s="53">
        <v>1</v>
      </c>
      <c r="I1378" s="53" t="s">
        <v>176</v>
      </c>
      <c r="J1378" s="53">
        <v>0</v>
      </c>
      <c r="K1378" s="53">
        <v>1</v>
      </c>
      <c r="L1378" s="53">
        <v>7.4</v>
      </c>
      <c r="M1378" s="53" t="s">
        <v>427</v>
      </c>
      <c r="N1378" s="53">
        <v>6.1</v>
      </c>
      <c r="O1378" s="51" t="str">
        <f>TEXT(tblWorkPackages[[#This Row],[Request date serial]]-WEEKDAY(tblWorkPackages[[#This Row],[Request date serial]],3),"yyyy-mm-dd")</f>
        <v>2024-04-08</v>
      </c>
      <c r="P1378" s="51">
        <f>ABS(tblWorkPackages[[#This Row],[Actual labor hours]]-tblWorkPackages[[#This Row],[Estimated labor hours]])</f>
        <v>1.3</v>
      </c>
      <c r="Q1378" s="51">
        <f>IF(tblWorkPackages[[#This Row],[Actual labor hours]]&gt;tblWorkPackages[[#This Row],[Estimated labor hours]],1,0)</f>
        <v>0</v>
      </c>
      <c r="R1378" s="51">
        <f>tblWorkPackages[[#This Row],[Actual labor hours]]-tblWorkPackages[[#This Row],[Estimated labor hours]]</f>
        <v>-1.3</v>
      </c>
      <c r="S1378" s="51" t="str">
        <f>IF(tblWorkPackages[[#This Row],[Request date serial]]&lt;ValidationStart,"Train 2024",IF(tblWorkPackages[[#This Row],[Request date serial]]&lt;HoldoutStart,"Validation H1","Holdout H2"))</f>
        <v>Train 2024</v>
      </c>
      <c r="T1378" s="51" t="str">
        <f>IF(tblWorkPackages[[#This Row],[Time split]]="Train 2024","",tblWorkPackages[[#This Row],[Estimated labor hours]]+VLOOKUP(tblWorkPackages[[#This Row],[Task type]],'Forecast validation'!$A$14:$E$25,IF(tblWorkPackages[[#This Row],[Time split]]="Validation H1",4,5),FALSE()))</f>
        <v/>
      </c>
      <c r="U1378" s="51" t="str">
        <f>IF(tblWorkPackages[[#This Row],[Calibrated forecast hours]]="","",ABS(tblWorkPackages[[#This Row],[Actual labor hours]]-tblWorkPackages[[#This Row],[Calibrated forecast hours]]))</f>
        <v/>
      </c>
      <c r="V1378" s="51">
        <f>IF(tblWorkPackages[[#This Row],[Time split]]="Train 2024",tblWorkPackages[[#This Row],[Estimated labor hours]],tblWorkPackages[[#This Row],[Calibrated forecast hours]])</f>
        <v>7.4</v>
      </c>
      <c r="W1378" s="64">
        <f>DATEVALUE(tblWorkPackages[[#This Row],[Request date]])</f>
        <v>45395.0</v>
      </c>
      <c r="X1378" s="64">
        <f>DATEVALUE(tblWorkPackages[[#This Row],[Due date]])</f>
        <v>45401.0</v>
      </c>
      <c r="Y1378" s="64">
        <f>DATEVALUE(tblWorkPackages[[#This Row],[Completion date]])</f>
        <v>45396.0</v>
      </c>
      <c r="Z1378" s="64">
        <f>_xlfn.MINIFS(tblLaborEntries[Work date serial],tblLaborEntries[Work package ID],tblWorkPackages[[#This Row],[Work package ID]])</f>
        <v>45396.0</v>
      </c>
      <c r="AA1378" s="64">
        <f>_xlfn.MAXIFS(tblLaborEntries[Work date serial],tblLaborEntries[Work package ID],tblWorkPackages[[#This Row],[Work package ID]])</f>
        <v>45396.0</v>
      </c>
      <c r="AB1378" s="65">
        <f>IF(tblWorkPackages[[#This Row],[Completion date serial]]&gt;tblWorkPackages[[#This Row],[Due date serial]],1,0)</f>
        <v>0</v>
      </c>
      <c r="AC1378" s="65">
        <f>MAX(0,tblWorkPackages[[#This Row],[Completion date serial]]-tblWorkPackages[[#This Row],[Due date serial]])</f>
        <v>0</v>
      </c>
      <c r="AD1378" s="65">
        <f>tblWorkPackages[[#This Row],[First labor date]]-tblWorkPackages[[#This Row],[Request date serial]]</f>
        <v>1</v>
      </c>
      <c r="AE1378" s="65">
        <f>tblWorkPackages[[#This Row],[Last labor date]]-tblWorkPackages[[#This Row],[First labor date]]</f>
        <v>0</v>
      </c>
      <c r="AF1378" s="65">
        <f>tblWorkPackages[[#This Row],[Completion date serial]]-tblWorkPackages[[#This Row],[Last labor date]]</f>
        <v>0</v>
      </c>
      <c r="AG1378" s="65">
        <f>tblWorkPackages[[#This Row],[Completion date serial]]-tblWorkPackages[[#This Row],[Request date serial]]</f>
        <v>1</v>
      </c>
      <c r="AH1378" s="65">
        <f>IFERROR(INDEX(tblParts[Delay days],MATCH(tblWorkPackages[[#This Row],[Work package ID]],tblParts[Work package ID],0)),0)</f>
        <v>0</v>
      </c>
      <c r="AI1378" s="51" t="str">
        <f>IFERROR(INDEX(tblDisruptions[Event type],MATCH(tblWorkPackages[[#This Row],[Work package ID]],tblDisruptions[Work package ID],0)),"None")</f>
        <v>None</v>
      </c>
      <c r="AJ1378" s="51" t="str">
        <f>TEXT(tblWorkPackages[[#This Row],[Due date serial]],"yyyy-mm")</f>
        <v>2024-04</v>
      </c>
    </row>
    <row r="1379" spans="1:36" ht="15" x14ac:dyDescent="0.25">
      <c r="A1379" s="53" t="s">
        <v>2287</v>
      </c>
      <c r="B1379" s="53" t="s">
        <v>250</v>
      </c>
      <c r="C1379" s="53" t="s">
        <v>1966</v>
      </c>
      <c r="D1379" s="53" t="s">
        <v>2092</v>
      </c>
      <c r="E1379" s="53" t="s">
        <v>127</v>
      </c>
      <c r="F1379" s="53" t="s">
        <v>128</v>
      </c>
      <c r="G1379" s="53" t="s">
        <v>129</v>
      </c>
      <c r="H1379" s="53">
        <v>3</v>
      </c>
      <c r="I1379" s="53" t="s">
        <v>130</v>
      </c>
      <c r="J1379" s="53">
        <v>0</v>
      </c>
      <c r="K1379" s="53">
        <v>0</v>
      </c>
      <c r="L1379" s="53">
        <v>9.6</v>
      </c>
      <c r="M1379" s="53" t="s">
        <v>1237</v>
      </c>
      <c r="N1379" s="53">
        <v>8.9</v>
      </c>
      <c r="O1379" s="51" t="str">
        <f>TEXT(tblWorkPackages[[#This Row],[Request date serial]]-WEEKDAY(tblWorkPackages[[#This Row],[Request date serial]],3),"yyyy-mm-dd")</f>
        <v>2024-01-08</v>
      </c>
      <c r="P1379" s="51">
        <f>ABS(tblWorkPackages[[#This Row],[Actual labor hours]]-tblWorkPackages[[#This Row],[Estimated labor hours]])</f>
        <v>0.699999999999999</v>
      </c>
      <c r="Q1379" s="51">
        <f>IF(tblWorkPackages[[#This Row],[Actual labor hours]]&gt;tblWorkPackages[[#This Row],[Estimated labor hours]],1,0)</f>
        <v>0</v>
      </c>
      <c r="R1379" s="51">
        <f>tblWorkPackages[[#This Row],[Actual labor hours]]-tblWorkPackages[[#This Row],[Estimated labor hours]]</f>
        <v>-0.699999999999999</v>
      </c>
      <c r="S1379" s="51" t="str">
        <f>IF(tblWorkPackages[[#This Row],[Request date serial]]&lt;ValidationStart,"Train 2024",IF(tblWorkPackages[[#This Row],[Request date serial]]&lt;HoldoutStart,"Validation H1","Holdout H2"))</f>
        <v>Train 2024</v>
      </c>
      <c r="T1379" s="51" t="str">
        <f>IF(tblWorkPackages[[#This Row],[Time split]]="Train 2024","",tblWorkPackages[[#This Row],[Estimated labor hours]]+VLOOKUP(tblWorkPackages[[#This Row],[Task type]],'Forecast validation'!$A$14:$E$25,IF(tblWorkPackages[[#This Row],[Time split]]="Validation H1",4,5),FALSE()))</f>
        <v/>
      </c>
      <c r="U1379" s="51" t="str">
        <f>IF(tblWorkPackages[[#This Row],[Calibrated forecast hours]]="","",ABS(tblWorkPackages[[#This Row],[Actual labor hours]]-tblWorkPackages[[#This Row],[Calibrated forecast hours]]))</f>
        <v/>
      </c>
      <c r="V1379" s="51">
        <f>IF(tblWorkPackages[[#This Row],[Time split]]="Train 2024",tblWorkPackages[[#This Row],[Estimated labor hours]],tblWorkPackages[[#This Row],[Calibrated forecast hours]])</f>
        <v>9.6</v>
      </c>
      <c r="W1379" s="64">
        <f>DATEVALUE(tblWorkPackages[[#This Row],[Request date]])</f>
        <v>45300.0</v>
      </c>
      <c r="X1379" s="64">
        <f>DATEVALUE(tblWorkPackages[[#This Row],[Due date]])</f>
        <v>45313.0</v>
      </c>
      <c r="Y1379" s="64">
        <f>DATEVALUE(tblWorkPackages[[#This Row],[Completion date]])</f>
        <v>45312.0</v>
      </c>
      <c r="Z1379" s="64">
        <f>_xlfn.MINIFS(tblLaborEntries[Work date serial],tblLaborEntries[Work package ID],tblWorkPackages[[#This Row],[Work package ID]])</f>
        <v>45310.0</v>
      </c>
      <c r="AA1379" s="64">
        <f>_xlfn.MAXIFS(tblLaborEntries[Work date serial],tblLaborEntries[Work package ID],tblWorkPackages[[#This Row],[Work package ID]])</f>
        <v>45311.0</v>
      </c>
      <c r="AB1379" s="65">
        <f>IF(tblWorkPackages[[#This Row],[Completion date serial]]&gt;tblWorkPackages[[#This Row],[Due date serial]],1,0)</f>
        <v>0</v>
      </c>
      <c r="AC1379" s="65">
        <f>MAX(0,tblWorkPackages[[#This Row],[Completion date serial]]-tblWorkPackages[[#This Row],[Due date serial]])</f>
        <v>0</v>
      </c>
      <c r="AD1379" s="65">
        <f>tblWorkPackages[[#This Row],[First labor date]]-tblWorkPackages[[#This Row],[Request date serial]]</f>
        <v>10</v>
      </c>
      <c r="AE1379" s="65">
        <f>tblWorkPackages[[#This Row],[Last labor date]]-tblWorkPackages[[#This Row],[First labor date]]</f>
        <v>1</v>
      </c>
      <c r="AF1379" s="65">
        <f>tblWorkPackages[[#This Row],[Completion date serial]]-tblWorkPackages[[#This Row],[Last labor date]]</f>
        <v>1</v>
      </c>
      <c r="AG1379" s="65">
        <f>tblWorkPackages[[#This Row],[Completion date serial]]-tblWorkPackages[[#This Row],[Request date serial]]</f>
        <v>12</v>
      </c>
      <c r="AH1379" s="65">
        <f>IFERROR(INDEX(tblParts[Delay days],MATCH(tblWorkPackages[[#This Row],[Work package ID]],tblParts[Work package ID],0)),0)</f>
        <v>0</v>
      </c>
      <c r="AI1379" s="51" t="str">
        <f>IFERROR(INDEX(tblDisruptions[Event type],MATCH(tblWorkPackages[[#This Row],[Work package ID]],tblDisruptions[Work package ID],0)),"None")</f>
        <v>None</v>
      </c>
      <c r="AJ1379" s="51" t="str">
        <f>TEXT(tblWorkPackages[[#This Row],[Due date serial]],"yyyy-mm")</f>
        <v>2024-01</v>
      </c>
    </row>
    <row r="1380" spans="1:36" ht="15" x14ac:dyDescent="0.25">
      <c r="A1380" s="53" t="s">
        <v>2288</v>
      </c>
      <c r="B1380" s="53" t="s">
        <v>173</v>
      </c>
      <c r="C1380" s="53" t="s">
        <v>1023</v>
      </c>
      <c r="D1380" s="53" t="s">
        <v>1024</v>
      </c>
      <c r="E1380" s="53" t="s">
        <v>160</v>
      </c>
      <c r="F1380" s="53" t="s">
        <v>128</v>
      </c>
      <c r="G1380" s="53" t="s">
        <v>138</v>
      </c>
      <c r="H1380" s="53">
        <v>3</v>
      </c>
      <c r="I1380" s="53" t="s">
        <v>130</v>
      </c>
      <c r="J1380" s="53">
        <v>0</v>
      </c>
      <c r="K1380" s="53">
        <v>0</v>
      </c>
      <c r="L1380" s="53">
        <v>6</v>
      </c>
      <c r="M1380" s="53" t="s">
        <v>166</v>
      </c>
      <c r="N1380" s="53">
        <v>5.3</v>
      </c>
      <c r="O1380" s="51" t="str">
        <f>TEXT(tblWorkPackages[[#This Row],[Request date serial]]-WEEKDAY(tblWorkPackages[[#This Row],[Request date serial]],3),"yyyy-mm-dd")</f>
        <v>2024-07-01</v>
      </c>
      <c r="P1380" s="51">
        <f>ABS(tblWorkPackages[[#This Row],[Actual labor hours]]-tblWorkPackages[[#This Row],[Estimated labor hours]])</f>
        <v>0.7</v>
      </c>
      <c r="Q1380" s="51">
        <f>IF(tblWorkPackages[[#This Row],[Actual labor hours]]&gt;tblWorkPackages[[#This Row],[Estimated labor hours]],1,0)</f>
        <v>0</v>
      </c>
      <c r="R1380" s="51">
        <f>tblWorkPackages[[#This Row],[Actual labor hours]]-tblWorkPackages[[#This Row],[Estimated labor hours]]</f>
        <v>-0.7</v>
      </c>
      <c r="S1380" s="51" t="str">
        <f>IF(tblWorkPackages[[#This Row],[Request date serial]]&lt;ValidationStart,"Train 2024",IF(tblWorkPackages[[#This Row],[Request date serial]]&lt;HoldoutStart,"Validation H1","Holdout H2"))</f>
        <v>Train 2024</v>
      </c>
      <c r="T1380" s="51" t="str">
        <f>IF(tblWorkPackages[[#This Row],[Time split]]="Train 2024","",tblWorkPackages[[#This Row],[Estimated labor hours]]+VLOOKUP(tblWorkPackages[[#This Row],[Task type]],'Forecast validation'!$A$14:$E$25,IF(tblWorkPackages[[#This Row],[Time split]]="Validation H1",4,5),FALSE()))</f>
        <v/>
      </c>
      <c r="U1380" s="51" t="str">
        <f>IF(tblWorkPackages[[#This Row],[Calibrated forecast hours]]="","",ABS(tblWorkPackages[[#This Row],[Actual labor hours]]-tblWorkPackages[[#This Row],[Calibrated forecast hours]]))</f>
        <v/>
      </c>
      <c r="V1380" s="51">
        <f>IF(tblWorkPackages[[#This Row],[Time split]]="Train 2024",tblWorkPackages[[#This Row],[Estimated labor hours]],tblWorkPackages[[#This Row],[Calibrated forecast hours]])</f>
        <v>6</v>
      </c>
      <c r="W1380" s="64">
        <f>DATEVALUE(tblWorkPackages[[#This Row],[Request date]])</f>
        <v>45478.0</v>
      </c>
      <c r="X1380" s="64">
        <f>DATEVALUE(tblWorkPackages[[#This Row],[Due date]])</f>
        <v>45491.0</v>
      </c>
      <c r="Y1380" s="64">
        <f>DATEVALUE(tblWorkPackages[[#This Row],[Completion date]])</f>
        <v>45485.0</v>
      </c>
      <c r="Z1380" s="64">
        <f>_xlfn.MINIFS(tblLaborEntries[Work date serial],tblLaborEntries[Work package ID],tblWorkPackages[[#This Row],[Work package ID]])</f>
        <v>45481.0</v>
      </c>
      <c r="AA1380" s="64">
        <f>_xlfn.MAXIFS(tblLaborEntries[Work date serial],tblLaborEntries[Work package ID],tblWorkPackages[[#This Row],[Work package ID]])</f>
        <v>45483.0</v>
      </c>
      <c r="AB1380" s="65">
        <f>IF(tblWorkPackages[[#This Row],[Completion date serial]]&gt;tblWorkPackages[[#This Row],[Due date serial]],1,0)</f>
        <v>0</v>
      </c>
      <c r="AC1380" s="65">
        <f>MAX(0,tblWorkPackages[[#This Row],[Completion date serial]]-tblWorkPackages[[#This Row],[Due date serial]])</f>
        <v>0</v>
      </c>
      <c r="AD1380" s="65">
        <f>tblWorkPackages[[#This Row],[First labor date]]-tblWorkPackages[[#This Row],[Request date serial]]</f>
        <v>3</v>
      </c>
      <c r="AE1380" s="65">
        <f>tblWorkPackages[[#This Row],[Last labor date]]-tblWorkPackages[[#This Row],[First labor date]]</f>
        <v>2</v>
      </c>
      <c r="AF1380" s="65">
        <f>tblWorkPackages[[#This Row],[Completion date serial]]-tblWorkPackages[[#This Row],[Last labor date]]</f>
        <v>2</v>
      </c>
      <c r="AG1380" s="65">
        <f>tblWorkPackages[[#This Row],[Completion date serial]]-tblWorkPackages[[#This Row],[Request date serial]]</f>
        <v>7</v>
      </c>
      <c r="AH1380" s="65">
        <f>IFERROR(INDEX(tblParts[Delay days],MATCH(tblWorkPackages[[#This Row],[Work package ID]],tblParts[Work package ID],0)),0)</f>
        <v>0</v>
      </c>
      <c r="AI1380" s="51" t="str">
        <f>IFERROR(INDEX(tblDisruptions[Event type],MATCH(tblWorkPackages[[#This Row],[Work package ID]],tblDisruptions[Work package ID],0)),"None")</f>
        <v>None</v>
      </c>
      <c r="AJ1380" s="51" t="str">
        <f>TEXT(tblWorkPackages[[#This Row],[Due date serial]],"yyyy-mm")</f>
        <v>2024-07</v>
      </c>
    </row>
    <row r="1381" spans="1:36" ht="15" x14ac:dyDescent="0.25">
      <c r="A1381" s="53" t="s">
        <v>2289</v>
      </c>
      <c r="B1381" s="53" t="s">
        <v>185</v>
      </c>
      <c r="C1381" s="53" t="s">
        <v>594</v>
      </c>
      <c r="D1381" s="53" t="s">
        <v>982</v>
      </c>
      <c r="E1381" s="53" t="s">
        <v>272</v>
      </c>
      <c r="F1381" s="53" t="s">
        <v>145</v>
      </c>
      <c r="G1381" s="53" t="s">
        <v>273</v>
      </c>
      <c r="H1381" s="53">
        <v>2</v>
      </c>
      <c r="I1381" s="53" t="s">
        <v>130</v>
      </c>
      <c r="J1381" s="53">
        <v>0</v>
      </c>
      <c r="K1381" s="53">
        <v>1</v>
      </c>
      <c r="L1381" s="53">
        <v>10.6</v>
      </c>
      <c r="M1381" s="53" t="s">
        <v>161</v>
      </c>
      <c r="N1381" s="53">
        <v>12.4</v>
      </c>
      <c r="O1381" s="51" t="str">
        <f>TEXT(tblWorkPackages[[#This Row],[Request date serial]]-WEEKDAY(tblWorkPackages[[#This Row],[Request date serial]],3),"yyyy-mm-dd")</f>
        <v>2024-10-28</v>
      </c>
      <c r="P1381" s="51">
        <f>ABS(tblWorkPackages[[#This Row],[Actual labor hours]]-tblWorkPackages[[#This Row],[Estimated labor hours]])</f>
        <v>1.8</v>
      </c>
      <c r="Q1381" s="51">
        <f>IF(tblWorkPackages[[#This Row],[Actual labor hours]]&gt;tblWorkPackages[[#This Row],[Estimated labor hours]],1,0)</f>
        <v>1</v>
      </c>
      <c r="R1381" s="51">
        <f>tblWorkPackages[[#This Row],[Actual labor hours]]-tblWorkPackages[[#This Row],[Estimated labor hours]]</f>
        <v>1.8</v>
      </c>
      <c r="S1381" s="51" t="str">
        <f>IF(tblWorkPackages[[#This Row],[Request date serial]]&lt;ValidationStart,"Train 2024",IF(tblWorkPackages[[#This Row],[Request date serial]]&lt;HoldoutStart,"Validation H1","Holdout H2"))</f>
        <v>Train 2024</v>
      </c>
      <c r="T1381" s="51" t="str">
        <f>IF(tblWorkPackages[[#This Row],[Time split]]="Train 2024","",tblWorkPackages[[#This Row],[Estimated labor hours]]+VLOOKUP(tblWorkPackages[[#This Row],[Task type]],'Forecast validation'!$A$14:$E$25,IF(tblWorkPackages[[#This Row],[Time split]]="Validation H1",4,5),FALSE()))</f>
        <v/>
      </c>
      <c r="U1381" s="51" t="str">
        <f>IF(tblWorkPackages[[#This Row],[Calibrated forecast hours]]="","",ABS(tblWorkPackages[[#This Row],[Actual labor hours]]-tblWorkPackages[[#This Row],[Calibrated forecast hours]]))</f>
        <v/>
      </c>
      <c r="V1381" s="51">
        <f>IF(tblWorkPackages[[#This Row],[Time split]]="Train 2024",tblWorkPackages[[#This Row],[Estimated labor hours]],tblWorkPackages[[#This Row],[Calibrated forecast hours]])</f>
        <v>10.6</v>
      </c>
      <c r="W1381" s="64">
        <f>DATEVALUE(tblWorkPackages[[#This Row],[Request date]])</f>
        <v>45593.0</v>
      </c>
      <c r="X1381" s="64">
        <f>DATEVALUE(tblWorkPackages[[#This Row],[Due date]])</f>
        <v>45606.0</v>
      </c>
      <c r="Y1381" s="64">
        <f>DATEVALUE(tblWorkPackages[[#This Row],[Completion date]])</f>
        <v>45628.0</v>
      </c>
      <c r="Z1381" s="64">
        <f>_xlfn.MINIFS(tblLaborEntries[Work date serial],tblLaborEntries[Work package ID],tblWorkPackages[[#This Row],[Work package ID]])</f>
        <v>45624.0</v>
      </c>
      <c r="AA1381" s="64">
        <f>_xlfn.MAXIFS(tblLaborEntries[Work date serial],tblLaborEntries[Work package ID],tblWorkPackages[[#This Row],[Work package ID]])</f>
        <v>45625.0</v>
      </c>
      <c r="AB1381" s="65">
        <f>IF(tblWorkPackages[[#This Row],[Completion date serial]]&gt;tblWorkPackages[[#This Row],[Due date serial]],1,0)</f>
        <v>1</v>
      </c>
      <c r="AC1381" s="65">
        <f>MAX(0,tblWorkPackages[[#This Row],[Completion date serial]]-tblWorkPackages[[#This Row],[Due date serial]])</f>
        <v>22</v>
      </c>
      <c r="AD1381" s="65">
        <f>tblWorkPackages[[#This Row],[First labor date]]-tblWorkPackages[[#This Row],[Request date serial]]</f>
        <v>31</v>
      </c>
      <c r="AE1381" s="65">
        <f>tblWorkPackages[[#This Row],[Last labor date]]-tblWorkPackages[[#This Row],[First labor date]]</f>
        <v>1</v>
      </c>
      <c r="AF1381" s="65">
        <f>tblWorkPackages[[#This Row],[Completion date serial]]-tblWorkPackages[[#This Row],[Last labor date]]</f>
        <v>3</v>
      </c>
      <c r="AG1381" s="65">
        <f>tblWorkPackages[[#This Row],[Completion date serial]]-tblWorkPackages[[#This Row],[Request date serial]]</f>
        <v>35</v>
      </c>
      <c r="AH1381" s="65">
        <f>IFERROR(INDEX(tblParts[Delay days],MATCH(tblWorkPackages[[#This Row],[Work package ID]],tblParts[Work package ID],0)),0)</f>
        <v>3</v>
      </c>
      <c r="AI1381" s="51" t="str">
        <f>IFERROR(INDEX(tblDisruptions[Event type],MATCH(tblWorkPackages[[#This Row],[Work package ID]],tblDisruptions[Work package ID],0)),"None")</f>
        <v>Part delay</v>
      </c>
      <c r="AJ1381" s="51" t="str">
        <f>TEXT(tblWorkPackages[[#This Row],[Due date serial]],"yyyy-mm")</f>
        <v>2024-11</v>
      </c>
    </row>
    <row r="1382" spans="1:36" ht="15" x14ac:dyDescent="0.25">
      <c r="A1382" s="53" t="s">
        <v>2290</v>
      </c>
      <c r="B1382" s="53" t="s">
        <v>141</v>
      </c>
      <c r="C1382" s="53" t="s">
        <v>1204</v>
      </c>
      <c r="D1382" s="53" t="s">
        <v>1321</v>
      </c>
      <c r="E1382" s="53" t="s">
        <v>153</v>
      </c>
      <c r="F1382" s="53" t="s">
        <v>128</v>
      </c>
      <c r="G1382" s="53" t="s">
        <v>154</v>
      </c>
      <c r="H1382" s="53">
        <v>2</v>
      </c>
      <c r="I1382" s="53" t="s">
        <v>130</v>
      </c>
      <c r="J1382" s="53">
        <v>0</v>
      </c>
      <c r="K1382" s="53">
        <v>1</v>
      </c>
      <c r="L1382" s="53">
        <v>9.4</v>
      </c>
      <c r="M1382" s="53" t="s">
        <v>1138</v>
      </c>
      <c r="N1382" s="53">
        <v>7.3</v>
      </c>
      <c r="O1382" s="51" t="str">
        <f>TEXT(tblWorkPackages[[#This Row],[Request date serial]]-WEEKDAY(tblWorkPackages[[#This Row],[Request date serial]],3),"yyyy-mm-dd")</f>
        <v>2024-07-29</v>
      </c>
      <c r="P1382" s="51">
        <f>ABS(tblWorkPackages[[#This Row],[Actual labor hours]]-tblWorkPackages[[#This Row],[Estimated labor hours]])</f>
        <v>2.1</v>
      </c>
      <c r="Q1382" s="51">
        <f>IF(tblWorkPackages[[#This Row],[Actual labor hours]]&gt;tblWorkPackages[[#This Row],[Estimated labor hours]],1,0)</f>
        <v>0</v>
      </c>
      <c r="R1382" s="51">
        <f>tblWorkPackages[[#This Row],[Actual labor hours]]-tblWorkPackages[[#This Row],[Estimated labor hours]]</f>
        <v>-2.1</v>
      </c>
      <c r="S1382" s="51" t="str">
        <f>IF(tblWorkPackages[[#This Row],[Request date serial]]&lt;ValidationStart,"Train 2024",IF(tblWorkPackages[[#This Row],[Request date serial]]&lt;HoldoutStart,"Validation H1","Holdout H2"))</f>
        <v>Train 2024</v>
      </c>
      <c r="T1382" s="51" t="str">
        <f>IF(tblWorkPackages[[#This Row],[Time split]]="Train 2024","",tblWorkPackages[[#This Row],[Estimated labor hours]]+VLOOKUP(tblWorkPackages[[#This Row],[Task type]],'Forecast validation'!$A$14:$E$25,IF(tblWorkPackages[[#This Row],[Time split]]="Validation H1",4,5),FALSE()))</f>
        <v/>
      </c>
      <c r="U1382" s="51" t="str">
        <f>IF(tblWorkPackages[[#This Row],[Calibrated forecast hours]]="","",ABS(tblWorkPackages[[#This Row],[Actual labor hours]]-tblWorkPackages[[#This Row],[Calibrated forecast hours]]))</f>
        <v/>
      </c>
      <c r="V1382" s="51">
        <f>IF(tblWorkPackages[[#This Row],[Time split]]="Train 2024",tblWorkPackages[[#This Row],[Estimated labor hours]],tblWorkPackages[[#This Row],[Calibrated forecast hours]])</f>
        <v>9.4</v>
      </c>
      <c r="W1382" s="64">
        <f>DATEVALUE(tblWorkPackages[[#This Row],[Request date]])</f>
        <v>45503.0</v>
      </c>
      <c r="X1382" s="64">
        <f>DATEVALUE(tblWorkPackages[[#This Row],[Due date]])</f>
        <v>45516.0</v>
      </c>
      <c r="Y1382" s="64">
        <f>DATEVALUE(tblWorkPackages[[#This Row],[Completion date]])</f>
        <v>45509.0</v>
      </c>
      <c r="Z1382" s="64">
        <f>_xlfn.MINIFS(tblLaborEntries[Work date serial],tblLaborEntries[Work package ID],tblWorkPackages[[#This Row],[Work package ID]])</f>
        <v>45508.0</v>
      </c>
      <c r="AA1382" s="64">
        <f>_xlfn.MAXIFS(tblLaborEntries[Work date serial],tblLaborEntries[Work package ID],tblWorkPackages[[#This Row],[Work package ID]])</f>
        <v>45509.0</v>
      </c>
      <c r="AB1382" s="65">
        <f>IF(tblWorkPackages[[#This Row],[Completion date serial]]&gt;tblWorkPackages[[#This Row],[Due date serial]],1,0)</f>
        <v>0</v>
      </c>
      <c r="AC1382" s="65">
        <f>MAX(0,tblWorkPackages[[#This Row],[Completion date serial]]-tblWorkPackages[[#This Row],[Due date serial]])</f>
        <v>0</v>
      </c>
      <c r="AD1382" s="65">
        <f>tblWorkPackages[[#This Row],[First labor date]]-tblWorkPackages[[#This Row],[Request date serial]]</f>
        <v>5</v>
      </c>
      <c r="AE1382" s="65">
        <f>tblWorkPackages[[#This Row],[Last labor date]]-tblWorkPackages[[#This Row],[First labor date]]</f>
        <v>1</v>
      </c>
      <c r="AF1382" s="65">
        <f>tblWorkPackages[[#This Row],[Completion date serial]]-tblWorkPackages[[#This Row],[Last labor date]]</f>
        <v>0</v>
      </c>
      <c r="AG1382" s="65">
        <f>tblWorkPackages[[#This Row],[Completion date serial]]-tblWorkPackages[[#This Row],[Request date serial]]</f>
        <v>6</v>
      </c>
      <c r="AH1382" s="65">
        <f>IFERROR(INDEX(tblParts[Delay days],MATCH(tblWorkPackages[[#This Row],[Work package ID]],tblParts[Work package ID],0)),0)</f>
        <v>0</v>
      </c>
      <c r="AI1382" s="51" t="str">
        <f>IFERROR(INDEX(tblDisruptions[Event type],MATCH(tblWorkPackages[[#This Row],[Work package ID]],tblDisruptions[Work package ID],0)),"None")</f>
        <v>None</v>
      </c>
      <c r="AJ1382" s="51" t="str">
        <f>TEXT(tblWorkPackages[[#This Row],[Due date serial]],"yyyy-mm")</f>
        <v>2024-08</v>
      </c>
    </row>
    <row r="1383" spans="1:36" ht="15" x14ac:dyDescent="0.25">
      <c r="A1383" s="53" t="s">
        <v>2291</v>
      </c>
      <c r="B1383" s="53" t="s">
        <v>150</v>
      </c>
      <c r="C1383" s="53" t="s">
        <v>914</v>
      </c>
      <c r="D1383" s="53" t="s">
        <v>358</v>
      </c>
      <c r="E1383" s="53" t="s">
        <v>153</v>
      </c>
      <c r="F1383" s="53" t="s">
        <v>128</v>
      </c>
      <c r="G1383" s="53" t="s">
        <v>154</v>
      </c>
      <c r="H1383" s="53">
        <v>3</v>
      </c>
      <c r="I1383" s="53" t="s">
        <v>130</v>
      </c>
      <c r="J1383" s="53">
        <v>0</v>
      </c>
      <c r="K1383" s="53">
        <v>0</v>
      </c>
      <c r="L1383" s="53">
        <v>12.9</v>
      </c>
      <c r="M1383" s="53" t="s">
        <v>218</v>
      </c>
      <c r="N1383" s="53">
        <v>13.6</v>
      </c>
      <c r="O1383" s="51" t="str">
        <f>TEXT(tblWorkPackages[[#This Row],[Request date serial]]-WEEKDAY(tblWorkPackages[[#This Row],[Request date serial]],3),"yyyy-mm-dd")</f>
        <v>2025-12-22</v>
      </c>
      <c r="P1383" s="51">
        <f>ABS(tblWorkPackages[[#This Row],[Actual labor hours]]-tblWorkPackages[[#This Row],[Estimated labor hours]])</f>
        <v>0.699999999999999</v>
      </c>
      <c r="Q1383" s="51">
        <f>IF(tblWorkPackages[[#This Row],[Actual labor hours]]&gt;tblWorkPackages[[#This Row],[Estimated labor hours]],1,0)</f>
        <v>1</v>
      </c>
      <c r="R1383" s="51">
        <f>tblWorkPackages[[#This Row],[Actual labor hours]]-tblWorkPackages[[#This Row],[Estimated labor hours]]</f>
        <v>0.699999999999999</v>
      </c>
      <c r="S1383" s="51" t="str">
        <f>IF(tblWorkPackages[[#This Row],[Request date serial]]&lt;ValidationStart,"Train 2024",IF(tblWorkPackages[[#This Row],[Request date serial]]&lt;HoldoutStart,"Validation H1","Holdout H2"))</f>
        <v>Holdout H2</v>
      </c>
      <c r="T1383" s="51">
        <f>IF(tblWorkPackages[[#This Row],[Time split]]="Train 2024","",tblWorkPackages[[#This Row],[Estimated labor hours]]+VLOOKUP(tblWorkPackages[[#This Row],[Task type]],'Forecast validation'!$A$14:$E$25,IF(tblWorkPackages[[#This Row],[Time split]]="Validation H1",4,5),FALSE()))</f>
        <v>13.5026666666667</v>
      </c>
      <c r="U1383" s="51">
        <f>IF(tblWorkPackages[[#This Row],[Calibrated forecast hours]]="","",ABS(tblWorkPackages[[#This Row],[Actual labor hours]]-tblWorkPackages[[#This Row],[Calibrated forecast hours]]))</f>
        <v>0.0973333333333333</v>
      </c>
      <c r="V1383" s="51">
        <f>IF(tblWorkPackages[[#This Row],[Time split]]="Train 2024",tblWorkPackages[[#This Row],[Estimated labor hours]],tblWorkPackages[[#This Row],[Calibrated forecast hours]])</f>
        <v>13.5026666666667</v>
      </c>
      <c r="W1383" s="64">
        <f>DATEVALUE(tblWorkPackages[[#This Row],[Request date]])</f>
        <v>46013.0</v>
      </c>
      <c r="X1383" s="64">
        <f>DATEVALUE(tblWorkPackages[[#This Row],[Due date]])</f>
        <v>46026.0</v>
      </c>
      <c r="Y1383" s="64">
        <f>DATEVALUE(tblWorkPackages[[#This Row],[Completion date]])</f>
        <v>46017.0</v>
      </c>
      <c r="Z1383" s="64">
        <f>_xlfn.MINIFS(tblLaborEntries[Work date serial],tblLaborEntries[Work package ID],tblWorkPackages[[#This Row],[Work package ID]])</f>
        <v>46014.0</v>
      </c>
      <c r="AA1383" s="64">
        <f>_xlfn.MAXIFS(tblLaborEntries[Work date serial],tblLaborEntries[Work package ID],tblWorkPackages[[#This Row],[Work package ID]])</f>
        <v>46016.0</v>
      </c>
      <c r="AB1383" s="65">
        <f>IF(tblWorkPackages[[#This Row],[Completion date serial]]&gt;tblWorkPackages[[#This Row],[Due date serial]],1,0)</f>
        <v>0</v>
      </c>
      <c r="AC1383" s="65">
        <f>MAX(0,tblWorkPackages[[#This Row],[Completion date serial]]-tblWorkPackages[[#This Row],[Due date serial]])</f>
        <v>0</v>
      </c>
      <c r="AD1383" s="65">
        <f>tblWorkPackages[[#This Row],[First labor date]]-tblWorkPackages[[#This Row],[Request date serial]]</f>
        <v>1</v>
      </c>
      <c r="AE1383" s="65">
        <f>tblWorkPackages[[#This Row],[Last labor date]]-tblWorkPackages[[#This Row],[First labor date]]</f>
        <v>2</v>
      </c>
      <c r="AF1383" s="65">
        <f>tblWorkPackages[[#This Row],[Completion date serial]]-tblWorkPackages[[#This Row],[Last labor date]]</f>
        <v>1</v>
      </c>
      <c r="AG1383" s="65">
        <f>tblWorkPackages[[#This Row],[Completion date serial]]-tblWorkPackages[[#This Row],[Request date serial]]</f>
        <v>4</v>
      </c>
      <c r="AH1383" s="65">
        <f>IFERROR(INDEX(tblParts[Delay days],MATCH(tblWorkPackages[[#This Row],[Work package ID]],tblParts[Work package ID],0)),0)</f>
        <v>0</v>
      </c>
      <c r="AI1383" s="51" t="str">
        <f>IFERROR(INDEX(tblDisruptions[Event type],MATCH(tblWorkPackages[[#This Row],[Work package ID]],tblDisruptions[Work package ID],0)),"None")</f>
        <v>None</v>
      </c>
      <c r="AJ1383" s="51" t="str">
        <f>TEXT(tblWorkPackages[[#This Row],[Due date serial]],"yyyy-mm")</f>
        <v>2026-01</v>
      </c>
    </row>
    <row r="1384" spans="1:36" ht="15" x14ac:dyDescent="0.25">
      <c r="A1384" s="53" t="s">
        <v>2292</v>
      </c>
      <c r="B1384" s="53" t="s">
        <v>141</v>
      </c>
      <c r="C1384" s="53" t="s">
        <v>372</v>
      </c>
      <c r="D1384" s="53" t="s">
        <v>277</v>
      </c>
      <c r="E1384" s="53" t="s">
        <v>223</v>
      </c>
      <c r="F1384" s="53" t="s">
        <v>182</v>
      </c>
      <c r="G1384" s="53" t="s">
        <v>154</v>
      </c>
      <c r="H1384" s="53">
        <v>1</v>
      </c>
      <c r="I1384" s="53" t="s">
        <v>176</v>
      </c>
      <c r="J1384" s="53">
        <v>0</v>
      </c>
      <c r="K1384" s="53">
        <v>0</v>
      </c>
      <c r="L1384" s="53">
        <v>7.1</v>
      </c>
      <c r="M1384" s="53" t="s">
        <v>981</v>
      </c>
      <c r="N1384" s="53">
        <v>8.6</v>
      </c>
      <c r="O1384" s="51" t="str">
        <f>TEXT(tblWorkPackages[[#This Row],[Request date serial]]-WEEKDAY(tblWorkPackages[[#This Row],[Request date serial]],3),"yyyy-mm-dd")</f>
        <v>2024-10-21</v>
      </c>
      <c r="P1384" s="51">
        <f>ABS(tblWorkPackages[[#This Row],[Actual labor hours]]-tblWorkPackages[[#This Row],[Estimated labor hours]])</f>
        <v>1.5</v>
      </c>
      <c r="Q1384" s="51">
        <f>IF(tblWorkPackages[[#This Row],[Actual labor hours]]&gt;tblWorkPackages[[#This Row],[Estimated labor hours]],1,0)</f>
        <v>1</v>
      </c>
      <c r="R1384" s="51">
        <f>tblWorkPackages[[#This Row],[Actual labor hours]]-tblWorkPackages[[#This Row],[Estimated labor hours]]</f>
        <v>1.5</v>
      </c>
      <c r="S1384" s="51" t="str">
        <f>IF(tblWorkPackages[[#This Row],[Request date serial]]&lt;ValidationStart,"Train 2024",IF(tblWorkPackages[[#This Row],[Request date serial]]&lt;HoldoutStart,"Validation H1","Holdout H2"))</f>
        <v>Train 2024</v>
      </c>
      <c r="T1384" s="51" t="str">
        <f>IF(tblWorkPackages[[#This Row],[Time split]]="Train 2024","",tblWorkPackages[[#This Row],[Estimated labor hours]]+VLOOKUP(tblWorkPackages[[#This Row],[Task type]],'Forecast validation'!$A$14:$E$25,IF(tblWorkPackages[[#This Row],[Time split]]="Validation H1",4,5),FALSE()))</f>
        <v/>
      </c>
      <c r="U1384" s="51" t="str">
        <f>IF(tblWorkPackages[[#This Row],[Calibrated forecast hours]]="","",ABS(tblWorkPackages[[#This Row],[Actual labor hours]]-tblWorkPackages[[#This Row],[Calibrated forecast hours]]))</f>
        <v/>
      </c>
      <c r="V1384" s="51">
        <f>IF(tblWorkPackages[[#This Row],[Time split]]="Train 2024",tblWorkPackages[[#This Row],[Estimated labor hours]],tblWorkPackages[[#This Row],[Calibrated forecast hours]])</f>
        <v>7.1</v>
      </c>
      <c r="W1384" s="64">
        <f>DATEVALUE(tblWorkPackages[[#This Row],[Request date]])</f>
        <v>45586.0</v>
      </c>
      <c r="X1384" s="64">
        <f>DATEVALUE(tblWorkPackages[[#This Row],[Due date]])</f>
        <v>45592.0</v>
      </c>
      <c r="Y1384" s="64">
        <f>DATEVALUE(tblWorkPackages[[#This Row],[Completion date]])</f>
        <v>45601.0</v>
      </c>
      <c r="Z1384" s="64">
        <f>_xlfn.MINIFS(tblLaborEntries[Work date serial],tblLaborEntries[Work package ID],tblWorkPackages[[#This Row],[Work package ID]])</f>
        <v>45599.0</v>
      </c>
      <c r="AA1384" s="64">
        <f>_xlfn.MAXIFS(tblLaborEntries[Work date serial],tblLaborEntries[Work package ID],tblWorkPackages[[#This Row],[Work package ID]])</f>
        <v>45599.0</v>
      </c>
      <c r="AB1384" s="65">
        <f>IF(tblWorkPackages[[#This Row],[Completion date serial]]&gt;tblWorkPackages[[#This Row],[Due date serial]],1,0)</f>
        <v>1</v>
      </c>
      <c r="AC1384" s="65">
        <f>MAX(0,tblWorkPackages[[#This Row],[Completion date serial]]-tblWorkPackages[[#This Row],[Due date serial]])</f>
        <v>9</v>
      </c>
      <c r="AD1384" s="65">
        <f>tblWorkPackages[[#This Row],[First labor date]]-tblWorkPackages[[#This Row],[Request date serial]]</f>
        <v>13</v>
      </c>
      <c r="AE1384" s="65">
        <f>tblWorkPackages[[#This Row],[Last labor date]]-tblWorkPackages[[#This Row],[First labor date]]</f>
        <v>0</v>
      </c>
      <c r="AF1384" s="65">
        <f>tblWorkPackages[[#This Row],[Completion date serial]]-tblWorkPackages[[#This Row],[Last labor date]]</f>
        <v>2</v>
      </c>
      <c r="AG1384" s="65">
        <f>tblWorkPackages[[#This Row],[Completion date serial]]-tblWorkPackages[[#This Row],[Request date serial]]</f>
        <v>15</v>
      </c>
      <c r="AH1384" s="65">
        <f>IFERROR(INDEX(tblParts[Delay days],MATCH(tblWorkPackages[[#This Row],[Work package ID]],tblParts[Work package ID],0)),0)</f>
        <v>0</v>
      </c>
      <c r="AI1384" s="51" t="str">
        <f>IFERROR(INDEX(tblDisruptions[Event type],MATCH(tblWorkPackages[[#This Row],[Work package ID]],tblDisruptions[Work package ID],0)),"None")</f>
        <v>None</v>
      </c>
      <c r="AJ1384" s="51" t="str">
        <f>TEXT(tblWorkPackages[[#This Row],[Due date serial]],"yyyy-mm")</f>
        <v>2024-10</v>
      </c>
    </row>
    <row r="1385" spans="1:36" ht="15" x14ac:dyDescent="0.25">
      <c r="A1385" s="53" t="s">
        <v>2293</v>
      </c>
      <c r="B1385" s="53" t="s">
        <v>173</v>
      </c>
      <c r="C1385" s="53" t="s">
        <v>637</v>
      </c>
      <c r="D1385" s="53" t="s">
        <v>1016</v>
      </c>
      <c r="E1385" s="53" t="s">
        <v>209</v>
      </c>
      <c r="F1385" s="53" t="s">
        <v>145</v>
      </c>
      <c r="G1385" s="53" t="s">
        <v>210</v>
      </c>
      <c r="H1385" s="53">
        <v>4</v>
      </c>
      <c r="I1385" s="53" t="s">
        <v>130</v>
      </c>
      <c r="J1385" s="53">
        <v>0</v>
      </c>
      <c r="K1385" s="53">
        <v>1</v>
      </c>
      <c r="L1385" s="53">
        <v>32.5</v>
      </c>
      <c r="M1385" s="53" t="s">
        <v>1016</v>
      </c>
      <c r="N1385" s="53">
        <v>41.3</v>
      </c>
      <c r="O1385" s="51" t="str">
        <f>TEXT(tblWorkPackages[[#This Row],[Request date serial]]-WEEKDAY(tblWorkPackages[[#This Row],[Request date serial]],3),"yyyy-mm-dd")</f>
        <v>2025-10-06</v>
      </c>
      <c r="P1385" s="51">
        <f>ABS(tblWorkPackages[[#This Row],[Actual labor hours]]-tblWorkPackages[[#This Row],[Estimated labor hours]])</f>
        <v>8.8</v>
      </c>
      <c r="Q1385" s="51">
        <f>IF(tblWorkPackages[[#This Row],[Actual labor hours]]&gt;tblWorkPackages[[#This Row],[Estimated labor hours]],1,0)</f>
        <v>1</v>
      </c>
      <c r="R1385" s="51">
        <f>tblWorkPackages[[#This Row],[Actual labor hours]]-tblWorkPackages[[#This Row],[Estimated labor hours]]</f>
        <v>8.8</v>
      </c>
      <c r="S1385" s="51" t="str">
        <f>IF(tblWorkPackages[[#This Row],[Request date serial]]&lt;ValidationStart,"Train 2024",IF(tblWorkPackages[[#This Row],[Request date serial]]&lt;HoldoutStart,"Validation H1","Holdout H2"))</f>
        <v>Holdout H2</v>
      </c>
      <c r="T1385" s="51">
        <f>IF(tblWorkPackages[[#This Row],[Time split]]="Train 2024","",tblWorkPackages[[#This Row],[Estimated labor hours]]+VLOOKUP(tblWorkPackages[[#This Row],[Task type]],'Forecast validation'!$A$14:$E$25,IF(tblWorkPackages[[#This Row],[Time split]]="Validation H1",4,5),FALSE()))</f>
        <v>34.295652173913</v>
      </c>
      <c r="U1385" s="51">
        <f>IF(tblWorkPackages[[#This Row],[Calibrated forecast hours]]="","",ABS(tblWorkPackages[[#This Row],[Actual labor hours]]-tblWorkPackages[[#This Row],[Calibrated forecast hours]]))</f>
        <v>7.00434782608696</v>
      </c>
      <c r="V1385" s="51">
        <f>IF(tblWorkPackages[[#This Row],[Time split]]="Train 2024",tblWorkPackages[[#This Row],[Estimated labor hours]],tblWorkPackages[[#This Row],[Calibrated forecast hours]])</f>
        <v>34.295652173913</v>
      </c>
      <c r="W1385" s="64">
        <f>DATEVALUE(tblWorkPackages[[#This Row],[Request date]])</f>
        <v>45939.0</v>
      </c>
      <c r="X1385" s="64">
        <f>DATEVALUE(tblWorkPackages[[#This Row],[Due date]])</f>
        <v>45952.0</v>
      </c>
      <c r="Y1385" s="64">
        <f>DATEVALUE(tblWorkPackages[[#This Row],[Completion date]])</f>
        <v>45952.0</v>
      </c>
      <c r="Z1385" s="64">
        <f>_xlfn.MINIFS(tblLaborEntries[Work date serial],tblLaborEntries[Work package ID],tblWorkPackages[[#This Row],[Work package ID]])</f>
        <v>45948.0</v>
      </c>
      <c r="AA1385" s="64">
        <f>_xlfn.MAXIFS(tblLaborEntries[Work date serial],tblLaborEntries[Work package ID],tblWorkPackages[[#This Row],[Work package ID]])</f>
        <v>45949.0</v>
      </c>
      <c r="AB1385" s="65">
        <f>IF(tblWorkPackages[[#This Row],[Completion date serial]]&gt;tblWorkPackages[[#This Row],[Due date serial]],1,0)</f>
        <v>0</v>
      </c>
      <c r="AC1385" s="65">
        <f>MAX(0,tblWorkPackages[[#This Row],[Completion date serial]]-tblWorkPackages[[#This Row],[Due date serial]])</f>
        <v>0</v>
      </c>
      <c r="AD1385" s="65">
        <f>tblWorkPackages[[#This Row],[First labor date]]-tblWorkPackages[[#This Row],[Request date serial]]</f>
        <v>9</v>
      </c>
      <c r="AE1385" s="65">
        <f>tblWorkPackages[[#This Row],[Last labor date]]-tblWorkPackages[[#This Row],[First labor date]]</f>
        <v>1</v>
      </c>
      <c r="AF1385" s="65">
        <f>tblWorkPackages[[#This Row],[Completion date serial]]-tblWorkPackages[[#This Row],[Last labor date]]</f>
        <v>3</v>
      </c>
      <c r="AG1385" s="65">
        <f>tblWorkPackages[[#This Row],[Completion date serial]]-tblWorkPackages[[#This Row],[Request date serial]]</f>
        <v>13</v>
      </c>
      <c r="AH1385" s="65">
        <f>IFERROR(INDEX(tblParts[Delay days],MATCH(tblWorkPackages[[#This Row],[Work package ID]],tblParts[Work package ID],0)),0)</f>
        <v>6</v>
      </c>
      <c r="AI1385" s="51" t="str">
        <f>IFERROR(INDEX(tblDisruptions[Event type],MATCH(tblWorkPackages[[#This Row],[Work package ID]],tblDisruptions[Work package ID],0)),"None")</f>
        <v>Part delay</v>
      </c>
      <c r="AJ1385" s="51" t="str">
        <f>TEXT(tblWorkPackages[[#This Row],[Due date serial]],"yyyy-mm")</f>
        <v>2025-10</v>
      </c>
    </row>
    <row r="1386" spans="1:36" ht="15" x14ac:dyDescent="0.25">
      <c r="A1386" s="53" t="s">
        <v>2294</v>
      </c>
      <c r="B1386" s="53" t="s">
        <v>163</v>
      </c>
      <c r="C1386" s="53" t="s">
        <v>1170</v>
      </c>
      <c r="D1386" s="53" t="s">
        <v>1453</v>
      </c>
      <c r="E1386" s="53" t="s">
        <v>127</v>
      </c>
      <c r="F1386" s="53" t="s">
        <v>128</v>
      </c>
      <c r="G1386" s="53" t="s">
        <v>129</v>
      </c>
      <c r="H1386" s="53">
        <v>4</v>
      </c>
      <c r="I1386" s="53" t="s">
        <v>147</v>
      </c>
      <c r="J1386" s="53">
        <v>0</v>
      </c>
      <c r="K1386" s="53">
        <v>1</v>
      </c>
      <c r="L1386" s="53">
        <v>12.6</v>
      </c>
      <c r="M1386" s="53" t="s">
        <v>540</v>
      </c>
      <c r="N1386" s="53">
        <v>14.5</v>
      </c>
      <c r="O1386" s="51" t="str">
        <f>TEXT(tblWorkPackages[[#This Row],[Request date serial]]-WEEKDAY(tblWorkPackages[[#This Row],[Request date serial]],3),"yyyy-mm-dd")</f>
        <v>2024-07-01</v>
      </c>
      <c r="P1386" s="51">
        <f>ABS(tblWorkPackages[[#This Row],[Actual labor hours]]-tblWorkPackages[[#This Row],[Estimated labor hours]])</f>
        <v>1.9</v>
      </c>
      <c r="Q1386" s="51">
        <f>IF(tblWorkPackages[[#This Row],[Actual labor hours]]&gt;tblWorkPackages[[#This Row],[Estimated labor hours]],1,0)</f>
        <v>1</v>
      </c>
      <c r="R1386" s="51">
        <f>tblWorkPackages[[#This Row],[Actual labor hours]]-tblWorkPackages[[#This Row],[Estimated labor hours]]</f>
        <v>1.9</v>
      </c>
      <c r="S1386" s="51" t="str">
        <f>IF(tblWorkPackages[[#This Row],[Request date serial]]&lt;ValidationStart,"Train 2024",IF(tblWorkPackages[[#This Row],[Request date serial]]&lt;HoldoutStart,"Validation H1","Holdout H2"))</f>
        <v>Train 2024</v>
      </c>
      <c r="T1386" s="51" t="str">
        <f>IF(tblWorkPackages[[#This Row],[Time split]]="Train 2024","",tblWorkPackages[[#This Row],[Estimated labor hours]]+VLOOKUP(tblWorkPackages[[#This Row],[Task type]],'Forecast validation'!$A$14:$E$25,IF(tblWorkPackages[[#This Row],[Time split]]="Validation H1",4,5),FALSE()))</f>
        <v/>
      </c>
      <c r="U1386" s="51" t="str">
        <f>IF(tblWorkPackages[[#This Row],[Calibrated forecast hours]]="","",ABS(tblWorkPackages[[#This Row],[Actual labor hours]]-tblWorkPackages[[#This Row],[Calibrated forecast hours]]))</f>
        <v/>
      </c>
      <c r="V1386" s="51">
        <f>IF(tblWorkPackages[[#This Row],[Time split]]="Train 2024",tblWorkPackages[[#This Row],[Estimated labor hours]],tblWorkPackages[[#This Row],[Calibrated forecast hours]])</f>
        <v>12.6</v>
      </c>
      <c r="W1386" s="64">
        <f>DATEVALUE(tblWorkPackages[[#This Row],[Request date]])</f>
        <v>45477.0</v>
      </c>
      <c r="X1386" s="64">
        <f>DATEVALUE(tblWorkPackages[[#This Row],[Due date]])</f>
        <v>45479.0</v>
      </c>
      <c r="Y1386" s="64">
        <f>DATEVALUE(tblWorkPackages[[#This Row],[Completion date]])</f>
        <v>45538.0</v>
      </c>
      <c r="Z1386" s="64">
        <f>_xlfn.MINIFS(tblLaborEntries[Work date serial],tblLaborEntries[Work package ID],tblWorkPackages[[#This Row],[Work package ID]])</f>
        <v>45536.0</v>
      </c>
      <c r="AA1386" s="64">
        <f>_xlfn.MAXIFS(tblLaborEntries[Work date serial],tblLaborEntries[Work package ID],tblWorkPackages[[#This Row],[Work package ID]])</f>
        <v>45538.0</v>
      </c>
      <c r="AB1386" s="65">
        <f>IF(tblWorkPackages[[#This Row],[Completion date serial]]&gt;tblWorkPackages[[#This Row],[Due date serial]],1,0)</f>
        <v>1</v>
      </c>
      <c r="AC1386" s="65">
        <f>MAX(0,tblWorkPackages[[#This Row],[Completion date serial]]-tblWorkPackages[[#This Row],[Due date serial]])</f>
        <v>59</v>
      </c>
      <c r="AD1386" s="65">
        <f>tblWorkPackages[[#This Row],[First labor date]]-tblWorkPackages[[#This Row],[Request date serial]]</f>
        <v>59</v>
      </c>
      <c r="AE1386" s="65">
        <f>tblWorkPackages[[#This Row],[Last labor date]]-tblWorkPackages[[#This Row],[First labor date]]</f>
        <v>2</v>
      </c>
      <c r="AF1386" s="65">
        <f>tblWorkPackages[[#This Row],[Completion date serial]]-tblWorkPackages[[#This Row],[Last labor date]]</f>
        <v>0</v>
      </c>
      <c r="AG1386" s="65">
        <f>tblWorkPackages[[#This Row],[Completion date serial]]-tblWorkPackages[[#This Row],[Request date serial]]</f>
        <v>61</v>
      </c>
      <c r="AH1386" s="65">
        <f>IFERROR(INDEX(tblParts[Delay days],MATCH(tblWorkPackages[[#This Row],[Work package ID]],tblParts[Work package ID],0)),0)</f>
        <v>9</v>
      </c>
      <c r="AI1386" s="51" t="str">
        <f>IFERROR(INDEX(tblDisruptions[Event type],MATCH(tblWorkPackages[[#This Row],[Work package ID]],tblDisruptions[Work package ID],0)),"None")</f>
        <v>Part delay</v>
      </c>
      <c r="AJ1386" s="51" t="str">
        <f>TEXT(tblWorkPackages[[#This Row],[Due date serial]],"yyyy-mm")</f>
        <v>2024-07</v>
      </c>
    </row>
    <row r="1387" spans="1:36" ht="15" x14ac:dyDescent="0.25">
      <c r="A1387" s="53" t="s">
        <v>2295</v>
      </c>
      <c r="B1387" s="53" t="s">
        <v>230</v>
      </c>
      <c r="C1387" s="53" t="s">
        <v>683</v>
      </c>
      <c r="D1387" s="53" t="s">
        <v>991</v>
      </c>
      <c r="E1387" s="53" t="s">
        <v>127</v>
      </c>
      <c r="F1387" s="53" t="s">
        <v>128</v>
      </c>
      <c r="G1387" s="53" t="s">
        <v>129</v>
      </c>
      <c r="H1387" s="53">
        <v>2</v>
      </c>
      <c r="I1387" s="53" t="s">
        <v>130</v>
      </c>
      <c r="J1387" s="53">
        <v>0</v>
      </c>
      <c r="K1387" s="53">
        <v>1</v>
      </c>
      <c r="L1387" s="53">
        <v>6.6</v>
      </c>
      <c r="M1387" s="53" t="s">
        <v>378</v>
      </c>
      <c r="N1387" s="53">
        <v>6.6</v>
      </c>
      <c r="O1387" s="51" t="str">
        <f>TEXT(tblWorkPackages[[#This Row],[Request date serial]]-WEEKDAY(tblWorkPackages[[#This Row],[Request date serial]],3),"yyyy-mm-dd")</f>
        <v>2025-09-29</v>
      </c>
      <c r="P1387" s="51">
        <f>ABS(tblWorkPackages[[#This Row],[Actual labor hours]]-tblWorkPackages[[#This Row],[Estimated labor hours]])</f>
        <v>0</v>
      </c>
      <c r="Q1387" s="51">
        <f>IF(tblWorkPackages[[#This Row],[Actual labor hours]]&gt;tblWorkPackages[[#This Row],[Estimated labor hours]],1,0)</f>
        <v>0</v>
      </c>
      <c r="R1387" s="51">
        <f>tblWorkPackages[[#This Row],[Actual labor hours]]-tblWorkPackages[[#This Row],[Estimated labor hours]]</f>
        <v>0</v>
      </c>
      <c r="S1387" s="51" t="str">
        <f>IF(tblWorkPackages[[#This Row],[Request date serial]]&lt;ValidationStart,"Train 2024",IF(tblWorkPackages[[#This Row],[Request date serial]]&lt;HoldoutStart,"Validation H1","Holdout H2"))</f>
        <v>Holdout H2</v>
      </c>
      <c r="T1387" s="51">
        <f>IF(tblWorkPackages[[#This Row],[Time split]]="Train 2024","",tblWorkPackages[[#This Row],[Estimated labor hours]]+VLOOKUP(tblWorkPackages[[#This Row],[Task type]],'Forecast validation'!$A$14:$E$25,IF(tblWorkPackages[[#This Row],[Time split]]="Validation H1",4,5),FALSE()))</f>
        <v>7.14341085271318</v>
      </c>
      <c r="U1387" s="51">
        <f>IF(tblWorkPackages[[#This Row],[Calibrated forecast hours]]="","",ABS(tblWorkPackages[[#This Row],[Actual labor hours]]-tblWorkPackages[[#This Row],[Calibrated forecast hours]]))</f>
        <v>0.543410852713178</v>
      </c>
      <c r="V1387" s="51">
        <f>IF(tblWorkPackages[[#This Row],[Time split]]="Train 2024",tblWorkPackages[[#This Row],[Estimated labor hours]],tblWorkPackages[[#This Row],[Calibrated forecast hours]])</f>
        <v>7.14341085271318</v>
      </c>
      <c r="W1387" s="64">
        <f>DATEVALUE(tblWorkPackages[[#This Row],[Request date]])</f>
        <v>45932.0</v>
      </c>
      <c r="X1387" s="64">
        <f>DATEVALUE(tblWorkPackages[[#This Row],[Due date]])</f>
        <v>45945.0</v>
      </c>
      <c r="Y1387" s="64">
        <f>DATEVALUE(tblWorkPackages[[#This Row],[Completion date]])</f>
        <v>45943.0</v>
      </c>
      <c r="Z1387" s="64">
        <f>_xlfn.MINIFS(tblLaborEntries[Work date serial],tblLaborEntries[Work package ID],tblWorkPackages[[#This Row],[Work package ID]])</f>
        <v>45942.0</v>
      </c>
      <c r="AA1387" s="64">
        <f>_xlfn.MAXIFS(tblLaborEntries[Work date serial],tblLaborEntries[Work package ID],tblWorkPackages[[#This Row],[Work package ID]])</f>
        <v>45942.0</v>
      </c>
      <c r="AB1387" s="65">
        <f>IF(tblWorkPackages[[#This Row],[Completion date serial]]&gt;tblWorkPackages[[#This Row],[Due date serial]],1,0)</f>
        <v>0</v>
      </c>
      <c r="AC1387" s="65">
        <f>MAX(0,tblWorkPackages[[#This Row],[Completion date serial]]-tblWorkPackages[[#This Row],[Due date serial]])</f>
        <v>0</v>
      </c>
      <c r="AD1387" s="65">
        <f>tblWorkPackages[[#This Row],[First labor date]]-tblWorkPackages[[#This Row],[Request date serial]]</f>
        <v>10</v>
      </c>
      <c r="AE1387" s="65">
        <f>tblWorkPackages[[#This Row],[Last labor date]]-tblWorkPackages[[#This Row],[First labor date]]</f>
        <v>0</v>
      </c>
      <c r="AF1387" s="65">
        <f>tblWorkPackages[[#This Row],[Completion date serial]]-tblWorkPackages[[#This Row],[Last labor date]]</f>
        <v>1</v>
      </c>
      <c r="AG1387" s="65">
        <f>tblWorkPackages[[#This Row],[Completion date serial]]-tblWorkPackages[[#This Row],[Request date serial]]</f>
        <v>11</v>
      </c>
      <c r="AH1387" s="65">
        <f>IFERROR(INDEX(tblParts[Delay days],MATCH(tblWorkPackages[[#This Row],[Work package ID]],tblParts[Work package ID],0)),0)</f>
        <v>2</v>
      </c>
      <c r="AI1387" s="51" t="str">
        <f>IFERROR(INDEX(tblDisruptions[Event type],MATCH(tblWorkPackages[[#This Row],[Work package ID]],tblDisruptions[Work package ID],0)),"None")</f>
        <v>Part delay</v>
      </c>
      <c r="AJ1387" s="51" t="str">
        <f>TEXT(tblWorkPackages[[#This Row],[Due date serial]],"yyyy-mm")</f>
        <v>2025-10</v>
      </c>
    </row>
    <row r="1388" spans="1:36" ht="15" x14ac:dyDescent="0.25">
      <c r="A1388" s="53" t="s">
        <v>2296</v>
      </c>
      <c r="B1388" s="53" t="s">
        <v>203</v>
      </c>
      <c r="C1388" s="53" t="s">
        <v>1471</v>
      </c>
      <c r="D1388" s="53" t="s">
        <v>1446</v>
      </c>
      <c r="E1388" s="53" t="s">
        <v>237</v>
      </c>
      <c r="F1388" s="53" t="s">
        <v>182</v>
      </c>
      <c r="G1388" s="53" t="s">
        <v>138</v>
      </c>
      <c r="H1388" s="53">
        <v>3</v>
      </c>
      <c r="I1388" s="53" t="s">
        <v>147</v>
      </c>
      <c r="J1388" s="53">
        <v>0</v>
      </c>
      <c r="K1388" s="53">
        <v>0</v>
      </c>
      <c r="L1388" s="53">
        <v>7.4</v>
      </c>
      <c r="M1388" s="53" t="s">
        <v>687</v>
      </c>
      <c r="N1388" s="53">
        <v>6.6</v>
      </c>
      <c r="O1388" s="51" t="str">
        <f>TEXT(tblWorkPackages[[#This Row],[Request date serial]]-WEEKDAY(tblWorkPackages[[#This Row],[Request date serial]],3),"yyyy-mm-dd")</f>
        <v>2025-03-31</v>
      </c>
      <c r="P1388" s="51">
        <f>ABS(tblWorkPackages[[#This Row],[Actual labor hours]]-tblWorkPackages[[#This Row],[Estimated labor hours]])</f>
        <v>0.800000000000001</v>
      </c>
      <c r="Q1388" s="51">
        <f>IF(tblWorkPackages[[#This Row],[Actual labor hours]]&gt;tblWorkPackages[[#This Row],[Estimated labor hours]],1,0)</f>
        <v>0</v>
      </c>
      <c r="R1388" s="51">
        <f>tblWorkPackages[[#This Row],[Actual labor hours]]-tblWorkPackages[[#This Row],[Estimated labor hours]]</f>
        <v>-0.800000000000001</v>
      </c>
      <c r="S1388" s="51" t="str">
        <f>IF(tblWorkPackages[[#This Row],[Request date serial]]&lt;ValidationStart,"Train 2024",IF(tblWorkPackages[[#This Row],[Request date serial]]&lt;HoldoutStart,"Validation H1","Holdout H2"))</f>
        <v>Validation H1</v>
      </c>
      <c r="T1388" s="51">
        <f>IF(tblWorkPackages[[#This Row],[Time split]]="Train 2024","",tblWorkPackages[[#This Row],[Estimated labor hours]]+VLOOKUP(tblWorkPackages[[#This Row],[Task type]],'Forecast validation'!$A$14:$E$25,IF(tblWorkPackages[[#This Row],[Time split]]="Validation H1",4,5),FALSE()))</f>
        <v>7.9037037037037</v>
      </c>
      <c r="U1388" s="51">
        <f>IF(tblWorkPackages[[#This Row],[Calibrated forecast hours]]="","",ABS(tblWorkPackages[[#This Row],[Actual labor hours]]-tblWorkPackages[[#This Row],[Calibrated forecast hours]]))</f>
        <v>1.3037037037037</v>
      </c>
      <c r="V1388" s="51">
        <f>IF(tblWorkPackages[[#This Row],[Time split]]="Train 2024",tblWorkPackages[[#This Row],[Estimated labor hours]],tblWorkPackages[[#This Row],[Calibrated forecast hours]])</f>
        <v>7.9037037037037</v>
      </c>
      <c r="W1388" s="64">
        <f>DATEVALUE(tblWorkPackages[[#This Row],[Request date]])</f>
        <v>45749.0</v>
      </c>
      <c r="X1388" s="64">
        <f>DATEVALUE(tblWorkPackages[[#This Row],[Due date]])</f>
        <v>45751.0</v>
      </c>
      <c r="Y1388" s="64">
        <f>DATEVALUE(tblWorkPackages[[#This Row],[Completion date]])</f>
        <v>45753.0</v>
      </c>
      <c r="Z1388" s="64">
        <f>_xlfn.MINIFS(tblLaborEntries[Work date serial],tblLaborEntries[Work package ID],tblWorkPackages[[#This Row],[Work package ID]])</f>
        <v>45751.0</v>
      </c>
      <c r="AA1388" s="64">
        <f>_xlfn.MAXIFS(tblLaborEntries[Work date serial],tblLaborEntries[Work package ID],tblWorkPackages[[#This Row],[Work package ID]])</f>
        <v>45751.0</v>
      </c>
      <c r="AB1388" s="65">
        <f>IF(tblWorkPackages[[#This Row],[Completion date serial]]&gt;tblWorkPackages[[#This Row],[Due date serial]],1,0)</f>
        <v>1</v>
      </c>
      <c r="AC1388" s="65">
        <f>MAX(0,tblWorkPackages[[#This Row],[Completion date serial]]-tblWorkPackages[[#This Row],[Due date serial]])</f>
        <v>2</v>
      </c>
      <c r="AD1388" s="65">
        <f>tblWorkPackages[[#This Row],[First labor date]]-tblWorkPackages[[#This Row],[Request date serial]]</f>
        <v>2</v>
      </c>
      <c r="AE1388" s="65">
        <f>tblWorkPackages[[#This Row],[Last labor date]]-tblWorkPackages[[#This Row],[First labor date]]</f>
        <v>0</v>
      </c>
      <c r="AF1388" s="65">
        <f>tblWorkPackages[[#This Row],[Completion date serial]]-tblWorkPackages[[#This Row],[Last labor date]]</f>
        <v>2</v>
      </c>
      <c r="AG1388" s="65">
        <f>tblWorkPackages[[#This Row],[Completion date serial]]-tblWorkPackages[[#This Row],[Request date serial]]</f>
        <v>4</v>
      </c>
      <c r="AH1388" s="65">
        <f>IFERROR(INDEX(tblParts[Delay days],MATCH(tblWorkPackages[[#This Row],[Work package ID]],tblParts[Work package ID],0)),0)</f>
        <v>0</v>
      </c>
      <c r="AI1388" s="51" t="str">
        <f>IFERROR(INDEX(tblDisruptions[Event type],MATCH(tblWorkPackages[[#This Row],[Work package ID]],tblDisruptions[Work package ID],0)),"None")</f>
        <v>None</v>
      </c>
      <c r="AJ1388" s="51" t="str">
        <f>TEXT(tblWorkPackages[[#This Row],[Due date serial]],"yyyy-mm")</f>
        <v>2025-04</v>
      </c>
    </row>
    <row r="1389" spans="1:36" ht="15" x14ac:dyDescent="0.25">
      <c r="A1389" s="53" t="s">
        <v>2297</v>
      </c>
      <c r="B1389" s="53" t="s">
        <v>141</v>
      </c>
      <c r="C1389" s="53" t="s">
        <v>270</v>
      </c>
      <c r="D1389" s="53" t="s">
        <v>271</v>
      </c>
      <c r="E1389" s="53" t="s">
        <v>237</v>
      </c>
      <c r="F1389" s="53" t="s">
        <v>182</v>
      </c>
      <c r="G1389" s="53" t="s">
        <v>138</v>
      </c>
      <c r="H1389" s="53">
        <v>1</v>
      </c>
      <c r="I1389" s="53" t="s">
        <v>130</v>
      </c>
      <c r="J1389" s="53">
        <v>0</v>
      </c>
      <c r="K1389" s="53">
        <v>0</v>
      </c>
      <c r="L1389" s="53">
        <v>3.8</v>
      </c>
      <c r="M1389" s="53" t="s">
        <v>409</v>
      </c>
      <c r="N1389" s="53">
        <v>4.0999999999999996</v>
      </c>
      <c r="O1389" s="51" t="str">
        <f>TEXT(tblWorkPackages[[#This Row],[Request date serial]]-WEEKDAY(tblWorkPackages[[#This Row],[Request date serial]],3),"yyyy-mm-dd")</f>
        <v>2025-03-31</v>
      </c>
      <c r="P1389" s="51">
        <f>ABS(tblWorkPackages[[#This Row],[Actual labor hours]]-tblWorkPackages[[#This Row],[Estimated labor hours]])</f>
        <v>0.3</v>
      </c>
      <c r="Q1389" s="51">
        <f>IF(tblWorkPackages[[#This Row],[Actual labor hours]]&gt;tblWorkPackages[[#This Row],[Estimated labor hours]],1,0)</f>
        <v>1</v>
      </c>
      <c r="R1389" s="51">
        <f>tblWorkPackages[[#This Row],[Actual labor hours]]-tblWorkPackages[[#This Row],[Estimated labor hours]]</f>
        <v>0.3</v>
      </c>
      <c r="S1389" s="51" t="str">
        <f>IF(tblWorkPackages[[#This Row],[Request date serial]]&lt;ValidationStart,"Train 2024",IF(tblWorkPackages[[#This Row],[Request date serial]]&lt;HoldoutStart,"Validation H1","Holdout H2"))</f>
        <v>Validation H1</v>
      </c>
      <c r="T1389" s="51">
        <f>IF(tblWorkPackages[[#This Row],[Time split]]="Train 2024","",tblWorkPackages[[#This Row],[Estimated labor hours]]+VLOOKUP(tblWorkPackages[[#This Row],[Task type]],'Forecast validation'!$A$14:$E$25,IF(tblWorkPackages[[#This Row],[Time split]]="Validation H1",4,5),FALSE()))</f>
        <v>4.3037037037037</v>
      </c>
      <c r="U1389" s="51">
        <f>IF(tblWorkPackages[[#This Row],[Calibrated forecast hours]]="","",ABS(tblWorkPackages[[#This Row],[Actual labor hours]]-tblWorkPackages[[#This Row],[Calibrated forecast hours]]))</f>
        <v>0.203703703703704</v>
      </c>
      <c r="V1389" s="51">
        <f>IF(tblWorkPackages[[#This Row],[Time split]]="Train 2024",tblWorkPackages[[#This Row],[Estimated labor hours]],tblWorkPackages[[#This Row],[Calibrated forecast hours]])</f>
        <v>4.3037037037037</v>
      </c>
      <c r="W1389" s="64">
        <f>DATEVALUE(tblWorkPackages[[#This Row],[Request date]])</f>
        <v>45748.0</v>
      </c>
      <c r="X1389" s="64">
        <f>DATEVALUE(tblWorkPackages[[#This Row],[Due date]])</f>
        <v>45761.0</v>
      </c>
      <c r="Y1389" s="64">
        <f>DATEVALUE(tblWorkPackages[[#This Row],[Completion date]])</f>
        <v>45772.0</v>
      </c>
      <c r="Z1389" s="64">
        <f>_xlfn.MINIFS(tblLaborEntries[Work date serial],tblLaborEntries[Work package ID],tblWorkPackages[[#This Row],[Work package ID]])</f>
        <v>45768.0</v>
      </c>
      <c r="AA1389" s="64">
        <f>_xlfn.MAXIFS(tblLaborEntries[Work date serial],tblLaborEntries[Work package ID],tblWorkPackages[[#This Row],[Work package ID]])</f>
        <v>45769.0</v>
      </c>
      <c r="AB1389" s="65">
        <f>IF(tblWorkPackages[[#This Row],[Completion date serial]]&gt;tblWorkPackages[[#This Row],[Due date serial]],1,0)</f>
        <v>1</v>
      </c>
      <c r="AC1389" s="65">
        <f>MAX(0,tblWorkPackages[[#This Row],[Completion date serial]]-tblWorkPackages[[#This Row],[Due date serial]])</f>
        <v>11</v>
      </c>
      <c r="AD1389" s="65">
        <f>tblWorkPackages[[#This Row],[First labor date]]-tblWorkPackages[[#This Row],[Request date serial]]</f>
        <v>20</v>
      </c>
      <c r="AE1389" s="65">
        <f>tblWorkPackages[[#This Row],[Last labor date]]-tblWorkPackages[[#This Row],[First labor date]]</f>
        <v>1</v>
      </c>
      <c r="AF1389" s="65">
        <f>tblWorkPackages[[#This Row],[Completion date serial]]-tblWorkPackages[[#This Row],[Last labor date]]</f>
        <v>3</v>
      </c>
      <c r="AG1389" s="65">
        <f>tblWorkPackages[[#This Row],[Completion date serial]]-tblWorkPackages[[#This Row],[Request date serial]]</f>
        <v>24</v>
      </c>
      <c r="AH1389" s="65">
        <f>IFERROR(INDEX(tblParts[Delay days],MATCH(tblWorkPackages[[#This Row],[Work package ID]],tblParts[Work package ID],0)),0)</f>
        <v>0</v>
      </c>
      <c r="AI1389" s="51" t="str">
        <f>IFERROR(INDEX(tblDisruptions[Event type],MATCH(tblWorkPackages[[#This Row],[Work package ID]],tblDisruptions[Work package ID],0)),"None")</f>
        <v>None</v>
      </c>
      <c r="AJ1389" s="51" t="str">
        <f>TEXT(tblWorkPackages[[#This Row],[Due date serial]],"yyyy-mm")</f>
        <v>2025-04</v>
      </c>
    </row>
    <row r="1390" spans="1:36" ht="15" x14ac:dyDescent="0.25">
      <c r="A1390" s="53" t="s">
        <v>2298</v>
      </c>
      <c r="B1390" s="53" t="s">
        <v>168</v>
      </c>
      <c r="C1390" s="53" t="s">
        <v>236</v>
      </c>
      <c r="D1390" s="53" t="s">
        <v>517</v>
      </c>
      <c r="E1390" s="53" t="s">
        <v>272</v>
      </c>
      <c r="F1390" s="53" t="s">
        <v>145</v>
      </c>
      <c r="G1390" s="53" t="s">
        <v>273</v>
      </c>
      <c r="H1390" s="53">
        <v>2</v>
      </c>
      <c r="I1390" s="53" t="s">
        <v>176</v>
      </c>
      <c r="J1390" s="53">
        <v>0</v>
      </c>
      <c r="K1390" s="53">
        <v>0</v>
      </c>
      <c r="L1390" s="53">
        <v>12.9</v>
      </c>
      <c r="M1390" s="53" t="s">
        <v>1087</v>
      </c>
      <c r="N1390" s="53">
        <v>14.3</v>
      </c>
      <c r="O1390" s="51" t="str">
        <f>TEXT(tblWorkPackages[[#This Row],[Request date serial]]-WEEKDAY(tblWorkPackages[[#This Row],[Request date serial]],3),"yyyy-mm-dd")</f>
        <v>2025-05-05</v>
      </c>
      <c r="P1390" s="51">
        <f>ABS(tblWorkPackages[[#This Row],[Actual labor hours]]-tblWorkPackages[[#This Row],[Estimated labor hours]])</f>
        <v>1.4</v>
      </c>
      <c r="Q1390" s="51">
        <f>IF(tblWorkPackages[[#This Row],[Actual labor hours]]&gt;tblWorkPackages[[#This Row],[Estimated labor hours]],1,0)</f>
        <v>1</v>
      </c>
      <c r="R1390" s="51">
        <f>tblWorkPackages[[#This Row],[Actual labor hours]]-tblWorkPackages[[#This Row],[Estimated labor hours]]</f>
        <v>1.4</v>
      </c>
      <c r="S1390" s="51" t="str">
        <f>IF(tblWorkPackages[[#This Row],[Request date serial]]&lt;ValidationStart,"Train 2024",IF(tblWorkPackages[[#This Row],[Request date serial]]&lt;HoldoutStart,"Validation H1","Holdout H2"))</f>
        <v>Validation H1</v>
      </c>
      <c r="T1390" s="51">
        <f>IF(tblWorkPackages[[#This Row],[Time split]]="Train 2024","",tblWorkPackages[[#This Row],[Estimated labor hours]]+VLOOKUP(tblWorkPackages[[#This Row],[Task type]],'Forecast validation'!$A$14:$E$25,IF(tblWorkPackages[[#This Row],[Time split]]="Validation H1",4,5),FALSE()))</f>
        <v>13.9320512820513</v>
      </c>
      <c r="U1390" s="51">
        <f>IF(tblWorkPackages[[#This Row],[Calibrated forecast hours]]="","",ABS(tblWorkPackages[[#This Row],[Actual labor hours]]-tblWorkPackages[[#This Row],[Calibrated forecast hours]]))</f>
        <v>0.367948717948718</v>
      </c>
      <c r="V1390" s="51">
        <f>IF(tblWorkPackages[[#This Row],[Time split]]="Train 2024",tblWorkPackages[[#This Row],[Estimated labor hours]],tblWorkPackages[[#This Row],[Calibrated forecast hours]])</f>
        <v>13.9320512820513</v>
      </c>
      <c r="W1390" s="64">
        <f>DATEVALUE(tblWorkPackages[[#This Row],[Request date]])</f>
        <v>45782.0</v>
      </c>
      <c r="X1390" s="64">
        <f>DATEVALUE(tblWorkPackages[[#This Row],[Due date]])</f>
        <v>45788.0</v>
      </c>
      <c r="Y1390" s="64">
        <f>DATEVALUE(tblWorkPackages[[#This Row],[Completion date]])</f>
        <v>45787.0</v>
      </c>
      <c r="Z1390" s="64">
        <f>_xlfn.MINIFS(tblLaborEntries[Work date serial],tblLaborEntries[Work package ID],tblWorkPackages[[#This Row],[Work package ID]])</f>
        <v>45786.0</v>
      </c>
      <c r="AA1390" s="64">
        <f>_xlfn.MAXIFS(tblLaborEntries[Work date serial],tblLaborEntries[Work package ID],tblWorkPackages[[#This Row],[Work package ID]])</f>
        <v>45787.0</v>
      </c>
      <c r="AB1390" s="65">
        <f>IF(tblWorkPackages[[#This Row],[Completion date serial]]&gt;tblWorkPackages[[#This Row],[Due date serial]],1,0)</f>
        <v>0</v>
      </c>
      <c r="AC1390" s="65">
        <f>MAX(0,tblWorkPackages[[#This Row],[Completion date serial]]-tblWorkPackages[[#This Row],[Due date serial]])</f>
        <v>0</v>
      </c>
      <c r="AD1390" s="65">
        <f>tblWorkPackages[[#This Row],[First labor date]]-tblWorkPackages[[#This Row],[Request date serial]]</f>
        <v>4</v>
      </c>
      <c r="AE1390" s="65">
        <f>tblWorkPackages[[#This Row],[Last labor date]]-tblWorkPackages[[#This Row],[First labor date]]</f>
        <v>1</v>
      </c>
      <c r="AF1390" s="65">
        <f>tblWorkPackages[[#This Row],[Completion date serial]]-tblWorkPackages[[#This Row],[Last labor date]]</f>
        <v>0</v>
      </c>
      <c r="AG1390" s="65">
        <f>tblWorkPackages[[#This Row],[Completion date serial]]-tblWorkPackages[[#This Row],[Request date serial]]</f>
        <v>5</v>
      </c>
      <c r="AH1390" s="65">
        <f>IFERROR(INDEX(tblParts[Delay days],MATCH(tblWorkPackages[[#This Row],[Work package ID]],tblParts[Work package ID],0)),0)</f>
        <v>0</v>
      </c>
      <c r="AI1390" s="51" t="str">
        <f>IFERROR(INDEX(tblDisruptions[Event type],MATCH(tblWorkPackages[[#This Row],[Work package ID]],tblDisruptions[Work package ID],0)),"None")</f>
        <v>None</v>
      </c>
      <c r="AJ1390" s="51" t="str">
        <f>TEXT(tblWorkPackages[[#This Row],[Due date serial]],"yyyy-mm")</f>
        <v>2025-05</v>
      </c>
    </row>
    <row r="1391" spans="1:36" ht="15" x14ac:dyDescent="0.25">
      <c r="A1391" s="53" t="s">
        <v>2299</v>
      </c>
      <c r="B1391" s="53" t="s">
        <v>163</v>
      </c>
      <c r="C1391" s="53" t="s">
        <v>1195</v>
      </c>
      <c r="D1391" s="53" t="s">
        <v>480</v>
      </c>
      <c r="E1391" s="53" t="s">
        <v>242</v>
      </c>
      <c r="F1391" s="53" t="s">
        <v>243</v>
      </c>
      <c r="G1391" s="53" t="s">
        <v>129</v>
      </c>
      <c r="H1391" s="53">
        <v>2</v>
      </c>
      <c r="I1391" s="53" t="s">
        <v>147</v>
      </c>
      <c r="J1391" s="53">
        <v>0</v>
      </c>
      <c r="K1391" s="53">
        <v>0</v>
      </c>
      <c r="L1391" s="53">
        <v>7.2</v>
      </c>
      <c r="M1391" s="53" t="s">
        <v>480</v>
      </c>
      <c r="N1391" s="53">
        <v>5.9</v>
      </c>
      <c r="O1391" s="51" t="str">
        <f>TEXT(tblWorkPackages[[#This Row],[Request date serial]]-WEEKDAY(tblWorkPackages[[#This Row],[Request date serial]],3),"yyyy-mm-dd")</f>
        <v>2025-10-20</v>
      </c>
      <c r="P1391" s="51">
        <f>ABS(tblWorkPackages[[#This Row],[Actual labor hours]]-tblWorkPackages[[#This Row],[Estimated labor hours]])</f>
        <v>1.3</v>
      </c>
      <c r="Q1391" s="51">
        <f>IF(tblWorkPackages[[#This Row],[Actual labor hours]]&gt;tblWorkPackages[[#This Row],[Estimated labor hours]],1,0)</f>
        <v>0</v>
      </c>
      <c r="R1391" s="51">
        <f>tblWorkPackages[[#This Row],[Actual labor hours]]-tblWorkPackages[[#This Row],[Estimated labor hours]]</f>
        <v>-1.3</v>
      </c>
      <c r="S1391" s="51" t="str">
        <f>IF(tblWorkPackages[[#This Row],[Request date serial]]&lt;ValidationStart,"Train 2024",IF(tblWorkPackages[[#This Row],[Request date serial]]&lt;HoldoutStart,"Validation H1","Holdout H2"))</f>
        <v>Holdout H2</v>
      </c>
      <c r="T1391" s="51">
        <f>IF(tblWorkPackages[[#This Row],[Time split]]="Train 2024","",tblWorkPackages[[#This Row],[Estimated labor hours]]+VLOOKUP(tblWorkPackages[[#This Row],[Task type]],'Forecast validation'!$A$14:$E$25,IF(tblWorkPackages[[#This Row],[Time split]]="Validation H1",4,5),FALSE()))</f>
        <v>8.02545454545455</v>
      </c>
      <c r="U1391" s="51">
        <f>IF(tblWorkPackages[[#This Row],[Calibrated forecast hours]]="","",ABS(tblWorkPackages[[#This Row],[Actual labor hours]]-tblWorkPackages[[#This Row],[Calibrated forecast hours]]))</f>
        <v>2.12545454545455</v>
      </c>
      <c r="V1391" s="51">
        <f>IF(tblWorkPackages[[#This Row],[Time split]]="Train 2024",tblWorkPackages[[#This Row],[Estimated labor hours]],tblWorkPackages[[#This Row],[Calibrated forecast hours]])</f>
        <v>8.02545454545455</v>
      </c>
      <c r="W1391" s="64">
        <f>DATEVALUE(tblWorkPackages[[#This Row],[Request date]])</f>
        <v>45953.0</v>
      </c>
      <c r="X1391" s="64">
        <f>DATEVALUE(tblWorkPackages[[#This Row],[Due date]])</f>
        <v>45955.0</v>
      </c>
      <c r="Y1391" s="64">
        <f>DATEVALUE(tblWorkPackages[[#This Row],[Completion date]])</f>
        <v>45955.0</v>
      </c>
      <c r="Z1391" s="64">
        <f>_xlfn.MINIFS(tblLaborEntries[Work date serial],tblLaborEntries[Work package ID],tblWorkPackages[[#This Row],[Work package ID]])</f>
        <v>45954.0</v>
      </c>
      <c r="AA1391" s="64">
        <f>_xlfn.MAXIFS(tblLaborEntries[Work date serial],tblLaborEntries[Work package ID],tblWorkPackages[[#This Row],[Work package ID]])</f>
        <v>45954.0</v>
      </c>
      <c r="AB1391" s="65">
        <f>IF(tblWorkPackages[[#This Row],[Completion date serial]]&gt;tblWorkPackages[[#This Row],[Due date serial]],1,0)</f>
        <v>0</v>
      </c>
      <c r="AC1391" s="65">
        <f>MAX(0,tblWorkPackages[[#This Row],[Completion date serial]]-tblWorkPackages[[#This Row],[Due date serial]])</f>
        <v>0</v>
      </c>
      <c r="AD1391" s="65">
        <f>tblWorkPackages[[#This Row],[First labor date]]-tblWorkPackages[[#This Row],[Request date serial]]</f>
        <v>1</v>
      </c>
      <c r="AE1391" s="65">
        <f>tblWorkPackages[[#This Row],[Last labor date]]-tblWorkPackages[[#This Row],[First labor date]]</f>
        <v>0</v>
      </c>
      <c r="AF1391" s="65">
        <f>tblWorkPackages[[#This Row],[Completion date serial]]-tblWorkPackages[[#This Row],[Last labor date]]</f>
        <v>1</v>
      </c>
      <c r="AG1391" s="65">
        <f>tblWorkPackages[[#This Row],[Completion date serial]]-tblWorkPackages[[#This Row],[Request date serial]]</f>
        <v>2</v>
      </c>
      <c r="AH1391" s="65">
        <f>IFERROR(INDEX(tblParts[Delay days],MATCH(tblWorkPackages[[#This Row],[Work package ID]],tblParts[Work package ID],0)),0)</f>
        <v>0</v>
      </c>
      <c r="AI1391" s="51" t="str">
        <f>IFERROR(INDEX(tblDisruptions[Event type],MATCH(tblWorkPackages[[#This Row],[Work package ID]],tblDisruptions[Work package ID],0)),"None")</f>
        <v>None</v>
      </c>
      <c r="AJ1391" s="51" t="str">
        <f>TEXT(tblWorkPackages[[#This Row],[Due date serial]],"yyyy-mm")</f>
        <v>2025-10</v>
      </c>
    </row>
    <row r="1392" spans="1:36" ht="15" x14ac:dyDescent="0.25">
      <c r="A1392" s="53" t="s">
        <v>2300</v>
      </c>
      <c r="B1392" s="53" t="s">
        <v>235</v>
      </c>
      <c r="C1392" s="53" t="s">
        <v>525</v>
      </c>
      <c r="D1392" s="53" t="s">
        <v>1644</v>
      </c>
      <c r="E1392" s="53" t="s">
        <v>153</v>
      </c>
      <c r="F1392" s="53" t="s">
        <v>128</v>
      </c>
      <c r="G1392" s="53" t="s">
        <v>154</v>
      </c>
      <c r="H1392" s="53">
        <v>4</v>
      </c>
      <c r="I1392" s="53" t="s">
        <v>130</v>
      </c>
      <c r="J1392" s="53">
        <v>0</v>
      </c>
      <c r="K1392" s="53">
        <v>0</v>
      </c>
      <c r="L1392" s="53">
        <v>17.3</v>
      </c>
      <c r="M1392" s="53" t="s">
        <v>1321</v>
      </c>
      <c r="N1392" s="53">
        <v>14.6</v>
      </c>
      <c r="O1392" s="51" t="str">
        <f>TEXT(tblWorkPackages[[#This Row],[Request date serial]]-WEEKDAY(tblWorkPackages[[#This Row],[Request date serial]],3),"yyyy-mm-dd")</f>
        <v>2024-07-22</v>
      </c>
      <c r="P1392" s="51">
        <f>ABS(tblWorkPackages[[#This Row],[Actual labor hours]]-tblWorkPackages[[#This Row],[Estimated labor hours]])</f>
        <v>2.7</v>
      </c>
      <c r="Q1392" s="51">
        <f>IF(tblWorkPackages[[#This Row],[Actual labor hours]]&gt;tblWorkPackages[[#This Row],[Estimated labor hours]],1,0)</f>
        <v>0</v>
      </c>
      <c r="R1392" s="51">
        <f>tblWorkPackages[[#This Row],[Actual labor hours]]-tblWorkPackages[[#This Row],[Estimated labor hours]]</f>
        <v>-2.7</v>
      </c>
      <c r="S1392" s="51" t="str">
        <f>IF(tblWorkPackages[[#This Row],[Request date serial]]&lt;ValidationStart,"Train 2024",IF(tblWorkPackages[[#This Row],[Request date serial]]&lt;HoldoutStart,"Validation H1","Holdout H2"))</f>
        <v>Train 2024</v>
      </c>
      <c r="T1392" s="51" t="str">
        <f>IF(tblWorkPackages[[#This Row],[Time split]]="Train 2024","",tblWorkPackages[[#This Row],[Estimated labor hours]]+VLOOKUP(tblWorkPackages[[#This Row],[Task type]],'Forecast validation'!$A$14:$E$25,IF(tblWorkPackages[[#This Row],[Time split]]="Validation H1",4,5),FALSE()))</f>
        <v/>
      </c>
      <c r="U1392" s="51" t="str">
        <f>IF(tblWorkPackages[[#This Row],[Calibrated forecast hours]]="","",ABS(tblWorkPackages[[#This Row],[Actual labor hours]]-tblWorkPackages[[#This Row],[Calibrated forecast hours]]))</f>
        <v/>
      </c>
      <c r="V1392" s="51">
        <f>IF(tblWorkPackages[[#This Row],[Time split]]="Train 2024",tblWorkPackages[[#This Row],[Estimated labor hours]],tblWorkPackages[[#This Row],[Calibrated forecast hours]])</f>
        <v>17.3</v>
      </c>
      <c r="W1392" s="64">
        <f>DATEVALUE(tblWorkPackages[[#This Row],[Request date]])</f>
        <v>45501.0</v>
      </c>
      <c r="X1392" s="64">
        <f>DATEVALUE(tblWorkPackages[[#This Row],[Due date]])</f>
        <v>45514.0</v>
      </c>
      <c r="Y1392" s="64">
        <f>DATEVALUE(tblWorkPackages[[#This Row],[Completion date]])</f>
        <v>45516.0</v>
      </c>
      <c r="Z1392" s="64">
        <f>_xlfn.MINIFS(tblLaborEntries[Work date serial],tblLaborEntries[Work package ID],tblWorkPackages[[#This Row],[Work package ID]])</f>
        <v>45512.0</v>
      </c>
      <c r="AA1392" s="64">
        <f>_xlfn.MAXIFS(tblLaborEntries[Work date serial],tblLaborEntries[Work package ID],tblWorkPackages[[#This Row],[Work package ID]])</f>
        <v>45514.0</v>
      </c>
      <c r="AB1392" s="65">
        <f>IF(tblWorkPackages[[#This Row],[Completion date serial]]&gt;tblWorkPackages[[#This Row],[Due date serial]],1,0)</f>
        <v>1</v>
      </c>
      <c r="AC1392" s="65">
        <f>MAX(0,tblWorkPackages[[#This Row],[Completion date serial]]-tblWorkPackages[[#This Row],[Due date serial]])</f>
        <v>2</v>
      </c>
      <c r="AD1392" s="65">
        <f>tblWorkPackages[[#This Row],[First labor date]]-tblWorkPackages[[#This Row],[Request date serial]]</f>
        <v>11</v>
      </c>
      <c r="AE1392" s="65">
        <f>tblWorkPackages[[#This Row],[Last labor date]]-tblWorkPackages[[#This Row],[First labor date]]</f>
        <v>2</v>
      </c>
      <c r="AF1392" s="65">
        <f>tblWorkPackages[[#This Row],[Completion date serial]]-tblWorkPackages[[#This Row],[Last labor date]]</f>
        <v>2</v>
      </c>
      <c r="AG1392" s="65">
        <f>tblWorkPackages[[#This Row],[Completion date serial]]-tblWorkPackages[[#This Row],[Request date serial]]</f>
        <v>15</v>
      </c>
      <c r="AH1392" s="65">
        <f>IFERROR(INDEX(tblParts[Delay days],MATCH(tblWorkPackages[[#This Row],[Work package ID]],tblParts[Work package ID],0)),0)</f>
        <v>0</v>
      </c>
      <c r="AI1392" s="51" t="str">
        <f>IFERROR(INDEX(tblDisruptions[Event type],MATCH(tblWorkPackages[[#This Row],[Work package ID]],tblDisruptions[Work package ID],0)),"None")</f>
        <v>None</v>
      </c>
      <c r="AJ1392" s="51" t="str">
        <f>TEXT(tblWorkPackages[[#This Row],[Due date serial]],"yyyy-mm")</f>
        <v>2024-08</v>
      </c>
    </row>
    <row r="1393" spans="1:36" ht="15" x14ac:dyDescent="0.25">
      <c r="A1393" s="53" t="s">
        <v>2301</v>
      </c>
      <c r="B1393" s="53" t="s">
        <v>133</v>
      </c>
      <c r="C1393" s="53" t="s">
        <v>1167</v>
      </c>
      <c r="D1393" s="53" t="s">
        <v>962</v>
      </c>
      <c r="E1393" s="53" t="s">
        <v>209</v>
      </c>
      <c r="F1393" s="53" t="s">
        <v>145</v>
      </c>
      <c r="G1393" s="53" t="s">
        <v>210</v>
      </c>
      <c r="H1393" s="53">
        <v>2</v>
      </c>
      <c r="I1393" s="53" t="s">
        <v>147</v>
      </c>
      <c r="J1393" s="53">
        <v>0</v>
      </c>
      <c r="K1393" s="53">
        <v>1</v>
      </c>
      <c r="L1393" s="53">
        <v>21.2</v>
      </c>
      <c r="M1393" s="53" t="s">
        <v>477</v>
      </c>
      <c r="N1393" s="53">
        <v>27.1</v>
      </c>
      <c r="O1393" s="51" t="str">
        <f>TEXT(tblWorkPackages[[#This Row],[Request date serial]]-WEEKDAY(tblWorkPackages[[#This Row],[Request date serial]],3),"yyyy-mm-dd")</f>
        <v>2025-02-03</v>
      </c>
      <c r="P1393" s="51">
        <f>ABS(tblWorkPackages[[#This Row],[Actual labor hours]]-tblWorkPackages[[#This Row],[Estimated labor hours]])</f>
        <v>5.9</v>
      </c>
      <c r="Q1393" s="51">
        <f>IF(tblWorkPackages[[#This Row],[Actual labor hours]]&gt;tblWorkPackages[[#This Row],[Estimated labor hours]],1,0)</f>
        <v>1</v>
      </c>
      <c r="R1393" s="51">
        <f>tblWorkPackages[[#This Row],[Actual labor hours]]-tblWorkPackages[[#This Row],[Estimated labor hours]]</f>
        <v>5.9</v>
      </c>
      <c r="S1393" s="51" t="str">
        <f>IF(tblWorkPackages[[#This Row],[Request date serial]]&lt;ValidationStart,"Train 2024",IF(tblWorkPackages[[#This Row],[Request date serial]]&lt;HoldoutStart,"Validation H1","Holdout H2"))</f>
        <v>Validation H1</v>
      </c>
      <c r="T1393" s="51">
        <f>IF(tblWorkPackages[[#This Row],[Time split]]="Train 2024","",tblWorkPackages[[#This Row],[Estimated labor hours]]+VLOOKUP(tblWorkPackages[[#This Row],[Task type]],'Forecast validation'!$A$14:$E$25,IF(tblWorkPackages[[#This Row],[Time split]]="Validation H1",4,5),FALSE()))</f>
        <v>22.3029850746269</v>
      </c>
      <c r="U1393" s="51">
        <f>IF(tblWorkPackages[[#This Row],[Calibrated forecast hours]]="","",ABS(tblWorkPackages[[#This Row],[Actual labor hours]]-tblWorkPackages[[#This Row],[Calibrated forecast hours]]))</f>
        <v>4.79701492537314</v>
      </c>
      <c r="V1393" s="51">
        <f>IF(tblWorkPackages[[#This Row],[Time split]]="Train 2024",tblWorkPackages[[#This Row],[Estimated labor hours]],tblWorkPackages[[#This Row],[Calibrated forecast hours]])</f>
        <v>22.3029850746269</v>
      </c>
      <c r="W1393" s="64">
        <f>DATEVALUE(tblWorkPackages[[#This Row],[Request date]])</f>
        <v>45692.0</v>
      </c>
      <c r="X1393" s="64">
        <f>DATEVALUE(tblWorkPackages[[#This Row],[Due date]])</f>
        <v>45694.0</v>
      </c>
      <c r="Y1393" s="64">
        <f>DATEVALUE(tblWorkPackages[[#This Row],[Completion date]])</f>
        <v>45699.0</v>
      </c>
      <c r="Z1393" s="64">
        <f>_xlfn.MINIFS(tblLaborEntries[Work date serial],tblLaborEntries[Work package ID],tblWorkPackages[[#This Row],[Work package ID]])</f>
        <v>45695.0</v>
      </c>
      <c r="AA1393" s="64">
        <f>_xlfn.MAXIFS(tblLaborEntries[Work date serial],tblLaborEntries[Work package ID],tblWorkPackages[[#This Row],[Work package ID]])</f>
        <v>45696.0</v>
      </c>
      <c r="AB1393" s="65">
        <f>IF(tblWorkPackages[[#This Row],[Completion date serial]]&gt;tblWorkPackages[[#This Row],[Due date serial]],1,0)</f>
        <v>1</v>
      </c>
      <c r="AC1393" s="65">
        <f>MAX(0,tblWorkPackages[[#This Row],[Completion date serial]]-tblWorkPackages[[#This Row],[Due date serial]])</f>
        <v>5</v>
      </c>
      <c r="AD1393" s="65">
        <f>tblWorkPackages[[#This Row],[First labor date]]-tblWorkPackages[[#This Row],[Request date serial]]</f>
        <v>3</v>
      </c>
      <c r="AE1393" s="65">
        <f>tblWorkPackages[[#This Row],[Last labor date]]-tblWorkPackages[[#This Row],[First labor date]]</f>
        <v>1</v>
      </c>
      <c r="AF1393" s="65">
        <f>tblWorkPackages[[#This Row],[Completion date serial]]-tblWorkPackages[[#This Row],[Last labor date]]</f>
        <v>3</v>
      </c>
      <c r="AG1393" s="65">
        <f>tblWorkPackages[[#This Row],[Completion date serial]]-tblWorkPackages[[#This Row],[Request date serial]]</f>
        <v>7</v>
      </c>
      <c r="AH1393" s="65">
        <f>IFERROR(INDEX(tblParts[Delay days],MATCH(tblWorkPackages[[#This Row],[Work package ID]],tblParts[Work package ID],0)),0)</f>
        <v>0</v>
      </c>
      <c r="AI1393" s="51" t="str">
        <f>IFERROR(INDEX(tblDisruptions[Event type],MATCH(tblWorkPackages[[#This Row],[Work package ID]],tblDisruptions[Work package ID],0)),"None")</f>
        <v>None</v>
      </c>
      <c r="AJ1393" s="51" t="str">
        <f>TEXT(tblWorkPackages[[#This Row],[Due date serial]],"yyyy-mm")</f>
        <v>2025-02</v>
      </c>
    </row>
    <row r="1394" spans="1:36" ht="15" x14ac:dyDescent="0.25">
      <c r="A1394" s="53" t="s">
        <v>2302</v>
      </c>
      <c r="B1394" s="53" t="s">
        <v>141</v>
      </c>
      <c r="C1394" s="53" t="s">
        <v>376</v>
      </c>
      <c r="D1394" s="53" t="s">
        <v>236</v>
      </c>
      <c r="E1394" s="53" t="s">
        <v>153</v>
      </c>
      <c r="F1394" s="53" t="s">
        <v>128</v>
      </c>
      <c r="G1394" s="53" t="s">
        <v>154</v>
      </c>
      <c r="H1394" s="53">
        <v>3</v>
      </c>
      <c r="I1394" s="53" t="s">
        <v>176</v>
      </c>
      <c r="J1394" s="53">
        <v>1</v>
      </c>
      <c r="K1394" s="53">
        <v>1</v>
      </c>
      <c r="L1394" s="53">
        <v>14.4</v>
      </c>
      <c r="M1394" s="53" t="s">
        <v>709</v>
      </c>
      <c r="N1394" s="53">
        <v>19.2</v>
      </c>
      <c r="O1394" s="51" t="str">
        <f>TEXT(tblWorkPackages[[#This Row],[Request date serial]]-WEEKDAY(tblWorkPackages[[#This Row],[Request date serial]],3),"yyyy-mm-dd")</f>
        <v>2025-04-28</v>
      </c>
      <c r="P1394" s="51">
        <f>ABS(tblWorkPackages[[#This Row],[Actual labor hours]]-tblWorkPackages[[#This Row],[Estimated labor hours]])</f>
        <v>4.8</v>
      </c>
      <c r="Q1394" s="51">
        <f>IF(tblWorkPackages[[#This Row],[Actual labor hours]]&gt;tblWorkPackages[[#This Row],[Estimated labor hours]],1,0)</f>
        <v>1</v>
      </c>
      <c r="R1394" s="51">
        <f>tblWorkPackages[[#This Row],[Actual labor hours]]-tblWorkPackages[[#This Row],[Estimated labor hours]]</f>
        <v>4.8</v>
      </c>
      <c r="S1394" s="51" t="str">
        <f>IF(tblWorkPackages[[#This Row],[Request date serial]]&lt;ValidationStart,"Train 2024",IF(tblWorkPackages[[#This Row],[Request date serial]]&lt;HoldoutStart,"Validation H1","Holdout H2"))</f>
        <v>Validation H1</v>
      </c>
      <c r="T1394" s="51">
        <f>IF(tblWorkPackages[[#This Row],[Time split]]="Train 2024","",tblWorkPackages[[#This Row],[Estimated labor hours]]+VLOOKUP(tblWorkPackages[[#This Row],[Task type]],'Forecast validation'!$A$14:$E$25,IF(tblWorkPackages[[#This Row],[Time split]]="Validation H1",4,5),FALSE()))</f>
        <v>14.9462264150943</v>
      </c>
      <c r="U1394" s="51">
        <f>IF(tblWorkPackages[[#This Row],[Calibrated forecast hours]]="","",ABS(tblWorkPackages[[#This Row],[Actual labor hours]]-tblWorkPackages[[#This Row],[Calibrated forecast hours]]))</f>
        <v>4.25377358490566</v>
      </c>
      <c r="V1394" s="51">
        <f>IF(tblWorkPackages[[#This Row],[Time split]]="Train 2024",tblWorkPackages[[#This Row],[Estimated labor hours]],tblWorkPackages[[#This Row],[Calibrated forecast hours]])</f>
        <v>14.9462264150943</v>
      </c>
      <c r="W1394" s="64">
        <f>DATEVALUE(tblWorkPackages[[#This Row],[Request date]])</f>
        <v>45776.0</v>
      </c>
      <c r="X1394" s="64">
        <f>DATEVALUE(tblWorkPackages[[#This Row],[Due date]])</f>
        <v>45782.0</v>
      </c>
      <c r="Y1394" s="64">
        <f>DATEVALUE(tblWorkPackages[[#This Row],[Completion date]])</f>
        <v>45808.0</v>
      </c>
      <c r="Z1394" s="64">
        <f>_xlfn.MINIFS(tblLaborEntries[Work date serial],tblLaborEntries[Work package ID],tblWorkPackages[[#This Row],[Work package ID]])</f>
        <v>45808.0</v>
      </c>
      <c r="AA1394" s="64">
        <f>_xlfn.MAXIFS(tblLaborEntries[Work date serial],tblLaborEntries[Work package ID],tblWorkPackages[[#This Row],[Work package ID]])</f>
        <v>45808.0</v>
      </c>
      <c r="AB1394" s="65">
        <f>IF(tblWorkPackages[[#This Row],[Completion date serial]]&gt;tblWorkPackages[[#This Row],[Due date serial]],1,0)</f>
        <v>1</v>
      </c>
      <c r="AC1394" s="65">
        <f>MAX(0,tblWorkPackages[[#This Row],[Completion date serial]]-tblWorkPackages[[#This Row],[Due date serial]])</f>
        <v>26</v>
      </c>
      <c r="AD1394" s="65">
        <f>tblWorkPackages[[#This Row],[First labor date]]-tblWorkPackages[[#This Row],[Request date serial]]</f>
        <v>32</v>
      </c>
      <c r="AE1394" s="65">
        <f>tblWorkPackages[[#This Row],[Last labor date]]-tblWorkPackages[[#This Row],[First labor date]]</f>
        <v>0</v>
      </c>
      <c r="AF1394" s="65">
        <f>tblWorkPackages[[#This Row],[Completion date serial]]-tblWorkPackages[[#This Row],[Last labor date]]</f>
        <v>0</v>
      </c>
      <c r="AG1394" s="65">
        <f>tblWorkPackages[[#This Row],[Completion date serial]]-tblWorkPackages[[#This Row],[Request date serial]]</f>
        <v>32</v>
      </c>
      <c r="AH1394" s="65">
        <f>IFERROR(INDEX(tblParts[Delay days],MATCH(tblWorkPackages[[#This Row],[Work package ID]],tblParts[Work package ID],0)),0)</f>
        <v>0</v>
      </c>
      <c r="AI1394" s="51" t="str">
        <f>IFERROR(INDEX(tblDisruptions[Event type],MATCH(tblWorkPackages[[#This Row],[Work package ID]],tblDisruptions[Work package ID],0)),"None")</f>
        <v>None</v>
      </c>
      <c r="AJ1394" s="51" t="str">
        <f>TEXT(tblWorkPackages[[#This Row],[Due date serial]],"yyyy-mm")</f>
        <v>2025-05</v>
      </c>
    </row>
    <row r="1395" spans="1:36" ht="15" x14ac:dyDescent="0.25">
      <c r="A1395" s="53" t="s">
        <v>2303</v>
      </c>
      <c r="B1395" s="53" t="s">
        <v>150</v>
      </c>
      <c r="C1395" s="53" t="s">
        <v>768</v>
      </c>
      <c r="D1395" s="53" t="s">
        <v>856</v>
      </c>
      <c r="E1395" s="53" t="s">
        <v>237</v>
      </c>
      <c r="F1395" s="53" t="s">
        <v>182</v>
      </c>
      <c r="G1395" s="53" t="s">
        <v>138</v>
      </c>
      <c r="H1395" s="53">
        <v>3</v>
      </c>
      <c r="I1395" s="53" t="s">
        <v>130</v>
      </c>
      <c r="J1395" s="53">
        <v>0</v>
      </c>
      <c r="K1395" s="53">
        <v>0</v>
      </c>
      <c r="L1395" s="53">
        <v>7.1</v>
      </c>
      <c r="M1395" s="53" t="s">
        <v>780</v>
      </c>
      <c r="N1395" s="53">
        <v>5.5</v>
      </c>
      <c r="O1395" s="51" t="str">
        <f>TEXT(tblWorkPackages[[#This Row],[Request date serial]]-WEEKDAY(tblWorkPackages[[#This Row],[Request date serial]],3),"yyyy-mm-dd")</f>
        <v>2025-12-08</v>
      </c>
      <c r="P1395" s="51">
        <f>ABS(tblWorkPackages[[#This Row],[Actual labor hours]]-tblWorkPackages[[#This Row],[Estimated labor hours]])</f>
        <v>1.6</v>
      </c>
      <c r="Q1395" s="51">
        <f>IF(tblWorkPackages[[#This Row],[Actual labor hours]]&gt;tblWorkPackages[[#This Row],[Estimated labor hours]],1,0)</f>
        <v>0</v>
      </c>
      <c r="R1395" s="51">
        <f>tblWorkPackages[[#This Row],[Actual labor hours]]-tblWorkPackages[[#This Row],[Estimated labor hours]]</f>
        <v>-1.6</v>
      </c>
      <c r="S1395" s="51" t="str">
        <f>IF(tblWorkPackages[[#This Row],[Request date serial]]&lt;ValidationStart,"Train 2024",IF(tblWorkPackages[[#This Row],[Request date serial]]&lt;HoldoutStart,"Validation H1","Holdout H2"))</f>
        <v>Holdout H2</v>
      </c>
      <c r="T1395" s="51">
        <f>IF(tblWorkPackages[[#This Row],[Time split]]="Train 2024","",tblWorkPackages[[#This Row],[Estimated labor hours]]+VLOOKUP(tblWorkPackages[[#This Row],[Task type]],'Forecast validation'!$A$14:$E$25,IF(tblWorkPackages[[#This Row],[Time split]]="Validation H1",4,5),FALSE()))</f>
        <v>7.553125</v>
      </c>
      <c r="U1395" s="51">
        <f>IF(tblWorkPackages[[#This Row],[Calibrated forecast hours]]="","",ABS(tblWorkPackages[[#This Row],[Actual labor hours]]-tblWorkPackages[[#This Row],[Calibrated forecast hours]]))</f>
        <v>2.053125</v>
      </c>
      <c r="V1395" s="51">
        <f>IF(tblWorkPackages[[#This Row],[Time split]]="Train 2024",tblWorkPackages[[#This Row],[Estimated labor hours]],tblWorkPackages[[#This Row],[Calibrated forecast hours]])</f>
        <v>7.553125</v>
      </c>
      <c r="W1395" s="64">
        <f>DATEVALUE(tblWorkPackages[[#This Row],[Request date]])</f>
        <v>46001.0</v>
      </c>
      <c r="X1395" s="64">
        <f>DATEVALUE(tblWorkPackages[[#This Row],[Due date]])</f>
        <v>46014.0</v>
      </c>
      <c r="Y1395" s="64">
        <f>DATEVALUE(tblWorkPackages[[#This Row],[Completion date]])</f>
        <v>46009.0</v>
      </c>
      <c r="Z1395" s="64">
        <f>_xlfn.MINIFS(tblLaborEntries[Work date serial],tblLaborEntries[Work package ID],tblWorkPackages[[#This Row],[Work package ID]])</f>
        <v>46007.0</v>
      </c>
      <c r="AA1395" s="64">
        <f>_xlfn.MAXIFS(tblLaborEntries[Work date serial],tblLaborEntries[Work package ID],tblWorkPackages[[#This Row],[Work package ID]])</f>
        <v>46008.0</v>
      </c>
      <c r="AB1395" s="65">
        <f>IF(tblWorkPackages[[#This Row],[Completion date serial]]&gt;tblWorkPackages[[#This Row],[Due date serial]],1,0)</f>
        <v>0</v>
      </c>
      <c r="AC1395" s="65">
        <f>MAX(0,tblWorkPackages[[#This Row],[Completion date serial]]-tblWorkPackages[[#This Row],[Due date serial]])</f>
        <v>0</v>
      </c>
      <c r="AD1395" s="65">
        <f>tblWorkPackages[[#This Row],[First labor date]]-tblWorkPackages[[#This Row],[Request date serial]]</f>
        <v>6</v>
      </c>
      <c r="AE1395" s="65">
        <f>tblWorkPackages[[#This Row],[Last labor date]]-tblWorkPackages[[#This Row],[First labor date]]</f>
        <v>1</v>
      </c>
      <c r="AF1395" s="65">
        <f>tblWorkPackages[[#This Row],[Completion date serial]]-tblWorkPackages[[#This Row],[Last labor date]]</f>
        <v>1</v>
      </c>
      <c r="AG1395" s="65">
        <f>tblWorkPackages[[#This Row],[Completion date serial]]-tblWorkPackages[[#This Row],[Request date serial]]</f>
        <v>8</v>
      </c>
      <c r="AH1395" s="65">
        <f>IFERROR(INDEX(tblParts[Delay days],MATCH(tblWorkPackages[[#This Row],[Work package ID]],tblParts[Work package ID],0)),0)</f>
        <v>0</v>
      </c>
      <c r="AI1395" s="51" t="str">
        <f>IFERROR(INDEX(tblDisruptions[Event type],MATCH(tblWorkPackages[[#This Row],[Work package ID]],tblDisruptions[Work package ID],0)),"None")</f>
        <v>None</v>
      </c>
      <c r="AJ1395" s="51" t="str">
        <f>TEXT(tblWorkPackages[[#This Row],[Due date serial]],"yyyy-mm")</f>
        <v>2025-12</v>
      </c>
    </row>
    <row r="1396" spans="1:36" ht="15" x14ac:dyDescent="0.25">
      <c r="A1396" s="53" t="s">
        <v>2304</v>
      </c>
      <c r="B1396" s="53" t="s">
        <v>250</v>
      </c>
      <c r="C1396" s="53" t="s">
        <v>277</v>
      </c>
      <c r="D1396" s="53" t="s">
        <v>2263</v>
      </c>
      <c r="E1396" s="53" t="s">
        <v>153</v>
      </c>
      <c r="F1396" s="53" t="s">
        <v>128</v>
      </c>
      <c r="G1396" s="53" t="s">
        <v>154</v>
      </c>
      <c r="H1396" s="53">
        <v>1</v>
      </c>
      <c r="I1396" s="53" t="s">
        <v>130</v>
      </c>
      <c r="J1396" s="53">
        <v>0</v>
      </c>
      <c r="K1396" s="53">
        <v>0</v>
      </c>
      <c r="L1396" s="53">
        <v>5.5</v>
      </c>
      <c r="M1396" s="53" t="s">
        <v>1419</v>
      </c>
      <c r="N1396" s="53">
        <v>5.3</v>
      </c>
      <c r="O1396" s="51" t="str">
        <f>TEXT(tblWorkPackages[[#This Row],[Request date serial]]-WEEKDAY(tblWorkPackages[[#This Row],[Request date serial]],3),"yyyy-mm-dd")</f>
        <v>2024-10-21</v>
      </c>
      <c r="P1396" s="51">
        <f>ABS(tblWorkPackages[[#This Row],[Actual labor hours]]-tblWorkPackages[[#This Row],[Estimated labor hours]])</f>
        <v>0.2</v>
      </c>
      <c r="Q1396" s="51">
        <f>IF(tblWorkPackages[[#This Row],[Actual labor hours]]&gt;tblWorkPackages[[#This Row],[Estimated labor hours]],1,0)</f>
        <v>0</v>
      </c>
      <c r="R1396" s="51">
        <f>tblWorkPackages[[#This Row],[Actual labor hours]]-tblWorkPackages[[#This Row],[Estimated labor hours]]</f>
        <v>-0.2</v>
      </c>
      <c r="S1396" s="51" t="str">
        <f>IF(tblWorkPackages[[#This Row],[Request date serial]]&lt;ValidationStart,"Train 2024",IF(tblWorkPackages[[#This Row],[Request date serial]]&lt;HoldoutStart,"Validation H1","Holdout H2"))</f>
        <v>Train 2024</v>
      </c>
      <c r="T1396" s="51" t="str">
        <f>IF(tblWorkPackages[[#This Row],[Time split]]="Train 2024","",tblWorkPackages[[#This Row],[Estimated labor hours]]+VLOOKUP(tblWorkPackages[[#This Row],[Task type]],'Forecast validation'!$A$14:$E$25,IF(tblWorkPackages[[#This Row],[Time split]]="Validation H1",4,5),FALSE()))</f>
        <v/>
      </c>
      <c r="U1396" s="51" t="str">
        <f>IF(tblWorkPackages[[#This Row],[Calibrated forecast hours]]="","",ABS(tblWorkPackages[[#This Row],[Actual labor hours]]-tblWorkPackages[[#This Row],[Calibrated forecast hours]]))</f>
        <v/>
      </c>
      <c r="V1396" s="51">
        <f>IF(tblWorkPackages[[#This Row],[Time split]]="Train 2024",tblWorkPackages[[#This Row],[Estimated labor hours]],tblWorkPackages[[#This Row],[Calibrated forecast hours]])</f>
        <v>5.5</v>
      </c>
      <c r="W1396" s="64">
        <f>DATEVALUE(tblWorkPackages[[#This Row],[Request date]])</f>
        <v>45592.0</v>
      </c>
      <c r="X1396" s="64">
        <f>DATEVALUE(tblWorkPackages[[#This Row],[Due date]])</f>
        <v>45605.0</v>
      </c>
      <c r="Y1396" s="64">
        <f>DATEVALUE(tblWorkPackages[[#This Row],[Completion date]])</f>
        <v>45598.0</v>
      </c>
      <c r="Z1396" s="64">
        <f>_xlfn.MINIFS(tblLaborEntries[Work date serial],tblLaborEntries[Work package ID],tblWorkPackages[[#This Row],[Work package ID]])</f>
        <v>45594.0</v>
      </c>
      <c r="AA1396" s="64">
        <f>_xlfn.MAXIFS(tblLaborEntries[Work date serial],tblLaborEntries[Work package ID],tblWorkPackages[[#This Row],[Work package ID]])</f>
        <v>45596.0</v>
      </c>
      <c r="AB1396" s="65">
        <f>IF(tblWorkPackages[[#This Row],[Completion date serial]]&gt;tblWorkPackages[[#This Row],[Due date serial]],1,0)</f>
        <v>0</v>
      </c>
      <c r="AC1396" s="65">
        <f>MAX(0,tblWorkPackages[[#This Row],[Completion date serial]]-tblWorkPackages[[#This Row],[Due date serial]])</f>
        <v>0</v>
      </c>
      <c r="AD1396" s="65">
        <f>tblWorkPackages[[#This Row],[First labor date]]-tblWorkPackages[[#This Row],[Request date serial]]</f>
        <v>2</v>
      </c>
      <c r="AE1396" s="65">
        <f>tblWorkPackages[[#This Row],[Last labor date]]-tblWorkPackages[[#This Row],[First labor date]]</f>
        <v>2</v>
      </c>
      <c r="AF1396" s="65">
        <f>tblWorkPackages[[#This Row],[Completion date serial]]-tblWorkPackages[[#This Row],[Last labor date]]</f>
        <v>2</v>
      </c>
      <c r="AG1396" s="65">
        <f>tblWorkPackages[[#This Row],[Completion date serial]]-tblWorkPackages[[#This Row],[Request date serial]]</f>
        <v>6</v>
      </c>
      <c r="AH1396" s="65">
        <f>IFERROR(INDEX(tblParts[Delay days],MATCH(tblWorkPackages[[#This Row],[Work package ID]],tblParts[Work package ID],0)),0)</f>
        <v>0</v>
      </c>
      <c r="AI1396" s="51" t="str">
        <f>IFERROR(INDEX(tblDisruptions[Event type],MATCH(tblWorkPackages[[#This Row],[Work package ID]],tblDisruptions[Work package ID],0)),"None")</f>
        <v>None</v>
      </c>
      <c r="AJ1396" s="51" t="str">
        <f>TEXT(tblWorkPackages[[#This Row],[Due date serial]],"yyyy-mm")</f>
        <v>2024-11</v>
      </c>
    </row>
    <row r="1397" spans="1:36" ht="15" x14ac:dyDescent="0.25">
      <c r="A1397" s="53" t="s">
        <v>2305</v>
      </c>
      <c r="B1397" s="53" t="s">
        <v>250</v>
      </c>
      <c r="C1397" s="53" t="s">
        <v>1370</v>
      </c>
      <c r="D1397" s="53" t="s">
        <v>1138</v>
      </c>
      <c r="E1397" s="53" t="s">
        <v>237</v>
      </c>
      <c r="F1397" s="53" t="s">
        <v>182</v>
      </c>
      <c r="G1397" s="53" t="s">
        <v>138</v>
      </c>
      <c r="H1397" s="53">
        <v>3</v>
      </c>
      <c r="I1397" s="53" t="s">
        <v>147</v>
      </c>
      <c r="J1397" s="53">
        <v>0</v>
      </c>
      <c r="K1397" s="53">
        <v>0</v>
      </c>
      <c r="L1397" s="53">
        <v>6.6</v>
      </c>
      <c r="M1397" s="53" t="s">
        <v>151</v>
      </c>
      <c r="N1397" s="53">
        <v>5.6</v>
      </c>
      <c r="O1397" s="51" t="str">
        <f>TEXT(tblWorkPackages[[#This Row],[Request date serial]]-WEEKDAY(tblWorkPackages[[#This Row],[Request date serial]],3),"yyyy-mm-dd")</f>
        <v>2024-07-29</v>
      </c>
      <c r="P1397" s="51">
        <f>ABS(tblWorkPackages[[#This Row],[Actual labor hours]]-tblWorkPackages[[#This Row],[Estimated labor hours]])</f>
        <v>1</v>
      </c>
      <c r="Q1397" s="51">
        <f>IF(tblWorkPackages[[#This Row],[Actual labor hours]]&gt;tblWorkPackages[[#This Row],[Estimated labor hours]],1,0)</f>
        <v>0</v>
      </c>
      <c r="R1397" s="51">
        <f>tblWorkPackages[[#This Row],[Actual labor hours]]-tblWorkPackages[[#This Row],[Estimated labor hours]]</f>
        <v>-1</v>
      </c>
      <c r="S1397" s="51" t="str">
        <f>IF(tblWorkPackages[[#This Row],[Request date serial]]&lt;ValidationStart,"Train 2024",IF(tblWorkPackages[[#This Row],[Request date serial]]&lt;HoldoutStart,"Validation H1","Holdout H2"))</f>
        <v>Train 2024</v>
      </c>
      <c r="T1397" s="51" t="str">
        <f>IF(tblWorkPackages[[#This Row],[Time split]]="Train 2024","",tblWorkPackages[[#This Row],[Estimated labor hours]]+VLOOKUP(tblWorkPackages[[#This Row],[Task type]],'Forecast validation'!$A$14:$E$25,IF(tblWorkPackages[[#This Row],[Time split]]="Validation H1",4,5),FALSE()))</f>
        <v/>
      </c>
      <c r="U1397" s="51" t="str">
        <f>IF(tblWorkPackages[[#This Row],[Calibrated forecast hours]]="","",ABS(tblWorkPackages[[#This Row],[Actual labor hours]]-tblWorkPackages[[#This Row],[Calibrated forecast hours]]))</f>
        <v/>
      </c>
      <c r="V1397" s="51">
        <f>IF(tblWorkPackages[[#This Row],[Time split]]="Train 2024",tblWorkPackages[[#This Row],[Estimated labor hours]],tblWorkPackages[[#This Row],[Calibrated forecast hours]])</f>
        <v>6.6</v>
      </c>
      <c r="W1397" s="64">
        <f>DATEVALUE(tblWorkPackages[[#This Row],[Request date]])</f>
        <v>45507.0</v>
      </c>
      <c r="X1397" s="64">
        <f>DATEVALUE(tblWorkPackages[[#This Row],[Due date]])</f>
        <v>45509.0</v>
      </c>
      <c r="Y1397" s="64">
        <f>DATEVALUE(tblWorkPackages[[#This Row],[Completion date]])</f>
        <v>45527.0</v>
      </c>
      <c r="Z1397" s="64">
        <f>_xlfn.MINIFS(tblLaborEntries[Work date serial],tblLaborEntries[Work package ID],tblWorkPackages[[#This Row],[Work package ID]])</f>
        <v>45522.0</v>
      </c>
      <c r="AA1397" s="64">
        <f>_xlfn.MAXIFS(tblLaborEntries[Work date serial],tblLaborEntries[Work package ID],tblWorkPackages[[#This Row],[Work package ID]])</f>
        <v>45524.0</v>
      </c>
      <c r="AB1397" s="65">
        <f>IF(tblWorkPackages[[#This Row],[Completion date serial]]&gt;tblWorkPackages[[#This Row],[Due date serial]],1,0)</f>
        <v>1</v>
      </c>
      <c r="AC1397" s="65">
        <f>MAX(0,tblWorkPackages[[#This Row],[Completion date serial]]-tblWorkPackages[[#This Row],[Due date serial]])</f>
        <v>18</v>
      </c>
      <c r="AD1397" s="65">
        <f>tblWorkPackages[[#This Row],[First labor date]]-tblWorkPackages[[#This Row],[Request date serial]]</f>
        <v>15</v>
      </c>
      <c r="AE1397" s="65">
        <f>tblWorkPackages[[#This Row],[Last labor date]]-tblWorkPackages[[#This Row],[First labor date]]</f>
        <v>2</v>
      </c>
      <c r="AF1397" s="65">
        <f>tblWorkPackages[[#This Row],[Completion date serial]]-tblWorkPackages[[#This Row],[Last labor date]]</f>
        <v>3</v>
      </c>
      <c r="AG1397" s="65">
        <f>tblWorkPackages[[#This Row],[Completion date serial]]-tblWorkPackages[[#This Row],[Request date serial]]</f>
        <v>20</v>
      </c>
      <c r="AH1397" s="65">
        <f>IFERROR(INDEX(tblParts[Delay days],MATCH(tblWorkPackages[[#This Row],[Work package ID]],tblParts[Work package ID],0)),0)</f>
        <v>0</v>
      </c>
      <c r="AI1397" s="51" t="str">
        <f>IFERROR(INDEX(tblDisruptions[Event type],MATCH(tblWorkPackages[[#This Row],[Work package ID]],tblDisruptions[Work package ID],0)),"None")</f>
        <v>None</v>
      </c>
      <c r="AJ1397" s="51" t="str">
        <f>TEXT(tblWorkPackages[[#This Row],[Due date serial]],"yyyy-mm")</f>
        <v>2024-08</v>
      </c>
    </row>
    <row r="1398" spans="1:36" ht="15" x14ac:dyDescent="0.25">
      <c r="A1398" s="53" t="s">
        <v>2306</v>
      </c>
      <c r="B1398" s="53" t="s">
        <v>287</v>
      </c>
      <c r="C1398" s="53" t="s">
        <v>572</v>
      </c>
      <c r="D1398" s="53" t="s">
        <v>280</v>
      </c>
      <c r="E1398" s="53" t="s">
        <v>153</v>
      </c>
      <c r="F1398" s="53" t="s">
        <v>128</v>
      </c>
      <c r="G1398" s="53" t="s">
        <v>154</v>
      </c>
      <c r="H1398" s="53">
        <v>3</v>
      </c>
      <c r="I1398" s="53" t="s">
        <v>130</v>
      </c>
      <c r="J1398" s="53">
        <v>0</v>
      </c>
      <c r="K1398" s="53">
        <v>0</v>
      </c>
      <c r="L1398" s="53">
        <v>13.3</v>
      </c>
      <c r="M1398" s="53" t="s">
        <v>261</v>
      </c>
      <c r="N1398" s="53">
        <v>15.9</v>
      </c>
      <c r="O1398" s="51" t="str">
        <f>TEXT(tblWorkPackages[[#This Row],[Request date serial]]-WEEKDAY(tblWorkPackages[[#This Row],[Request date serial]],3),"yyyy-mm-dd")</f>
        <v>2025-01-13</v>
      </c>
      <c r="P1398" s="51">
        <f>ABS(tblWorkPackages[[#This Row],[Actual labor hours]]-tblWorkPackages[[#This Row],[Estimated labor hours]])</f>
        <v>2.6</v>
      </c>
      <c r="Q1398" s="51">
        <f>IF(tblWorkPackages[[#This Row],[Actual labor hours]]&gt;tblWorkPackages[[#This Row],[Estimated labor hours]],1,0)</f>
        <v>1</v>
      </c>
      <c r="R1398" s="51">
        <f>tblWorkPackages[[#This Row],[Actual labor hours]]-tblWorkPackages[[#This Row],[Estimated labor hours]]</f>
        <v>2.6</v>
      </c>
      <c r="S1398" s="51" t="str">
        <f>IF(tblWorkPackages[[#This Row],[Request date serial]]&lt;ValidationStart,"Train 2024",IF(tblWorkPackages[[#This Row],[Request date serial]]&lt;HoldoutStart,"Validation H1","Holdout H2"))</f>
        <v>Validation H1</v>
      </c>
      <c r="T1398" s="51">
        <f>IF(tblWorkPackages[[#This Row],[Time split]]="Train 2024","",tblWorkPackages[[#This Row],[Estimated labor hours]]+VLOOKUP(tblWorkPackages[[#This Row],[Task type]],'Forecast validation'!$A$14:$E$25,IF(tblWorkPackages[[#This Row],[Time split]]="Validation H1",4,5),FALSE()))</f>
        <v>13.8462264150943</v>
      </c>
      <c r="U1398" s="51">
        <f>IF(tblWorkPackages[[#This Row],[Calibrated forecast hours]]="","",ABS(tblWorkPackages[[#This Row],[Actual labor hours]]-tblWorkPackages[[#This Row],[Calibrated forecast hours]]))</f>
        <v>2.05377358490566</v>
      </c>
      <c r="V1398" s="51">
        <f>IF(tblWorkPackages[[#This Row],[Time split]]="Train 2024",tblWorkPackages[[#This Row],[Estimated labor hours]],tblWorkPackages[[#This Row],[Calibrated forecast hours]])</f>
        <v>13.8462264150943</v>
      </c>
      <c r="W1398" s="64">
        <f>DATEVALUE(tblWorkPackages[[#This Row],[Request date]])</f>
        <v>45672.0</v>
      </c>
      <c r="X1398" s="64">
        <f>DATEVALUE(tblWorkPackages[[#This Row],[Due date]])</f>
        <v>45685.0</v>
      </c>
      <c r="Y1398" s="64">
        <f>DATEVALUE(tblWorkPackages[[#This Row],[Completion date]])</f>
        <v>45676.0</v>
      </c>
      <c r="Z1398" s="64">
        <f>_xlfn.MINIFS(tblLaborEntries[Work date serial],tblLaborEntries[Work package ID],tblWorkPackages[[#This Row],[Work package ID]])</f>
        <v>45676.0</v>
      </c>
      <c r="AA1398" s="64">
        <f>_xlfn.MAXIFS(tblLaborEntries[Work date serial],tblLaborEntries[Work package ID],tblWorkPackages[[#This Row],[Work package ID]])</f>
        <v>45676.0</v>
      </c>
      <c r="AB1398" s="65">
        <f>IF(tblWorkPackages[[#This Row],[Completion date serial]]&gt;tblWorkPackages[[#This Row],[Due date serial]],1,0)</f>
        <v>0</v>
      </c>
      <c r="AC1398" s="65">
        <f>MAX(0,tblWorkPackages[[#This Row],[Completion date serial]]-tblWorkPackages[[#This Row],[Due date serial]])</f>
        <v>0</v>
      </c>
      <c r="AD1398" s="65">
        <f>tblWorkPackages[[#This Row],[First labor date]]-tblWorkPackages[[#This Row],[Request date serial]]</f>
        <v>4</v>
      </c>
      <c r="AE1398" s="65">
        <f>tblWorkPackages[[#This Row],[Last labor date]]-tblWorkPackages[[#This Row],[First labor date]]</f>
        <v>0</v>
      </c>
      <c r="AF1398" s="65">
        <f>tblWorkPackages[[#This Row],[Completion date serial]]-tblWorkPackages[[#This Row],[Last labor date]]</f>
        <v>0</v>
      </c>
      <c r="AG1398" s="65">
        <f>tblWorkPackages[[#This Row],[Completion date serial]]-tblWorkPackages[[#This Row],[Request date serial]]</f>
        <v>4</v>
      </c>
      <c r="AH1398" s="65">
        <f>IFERROR(INDEX(tblParts[Delay days],MATCH(tblWorkPackages[[#This Row],[Work package ID]],tblParts[Work package ID],0)),0)</f>
        <v>0</v>
      </c>
      <c r="AI1398" s="51" t="str">
        <f>IFERROR(INDEX(tblDisruptions[Event type],MATCH(tblWorkPackages[[#This Row],[Work package ID]],tblDisruptions[Work package ID],0)),"None")</f>
        <v>None</v>
      </c>
      <c r="AJ1398" s="51" t="str">
        <f>TEXT(tblWorkPackages[[#This Row],[Due date serial]],"yyyy-mm")</f>
        <v>2025-01</v>
      </c>
    </row>
    <row r="1399" spans="1:36" ht="15" x14ac:dyDescent="0.25">
      <c r="A1399" s="53" t="s">
        <v>2307</v>
      </c>
      <c r="B1399" s="53" t="s">
        <v>157</v>
      </c>
      <c r="C1399" s="53" t="s">
        <v>265</v>
      </c>
      <c r="D1399" s="53" t="s">
        <v>846</v>
      </c>
      <c r="E1399" s="53" t="s">
        <v>181</v>
      </c>
      <c r="F1399" s="53" t="s">
        <v>182</v>
      </c>
      <c r="G1399" s="53" t="s">
        <v>138</v>
      </c>
      <c r="H1399" s="53">
        <v>3</v>
      </c>
      <c r="I1399" s="53" t="s">
        <v>176</v>
      </c>
      <c r="J1399" s="53">
        <v>0</v>
      </c>
      <c r="K1399" s="53">
        <v>0</v>
      </c>
      <c r="L1399" s="53">
        <v>8.6</v>
      </c>
      <c r="M1399" s="53" t="s">
        <v>540</v>
      </c>
      <c r="N1399" s="53">
        <v>9.1999999999999993</v>
      </c>
      <c r="O1399" s="51" t="str">
        <f>TEXT(tblWorkPackages[[#This Row],[Request date serial]]-WEEKDAY(tblWorkPackages[[#This Row],[Request date serial]],3),"yyyy-mm-dd")</f>
        <v>2024-08-26</v>
      </c>
      <c r="P1399" s="51">
        <f>ABS(tblWorkPackages[[#This Row],[Actual labor hours]]-tblWorkPackages[[#This Row],[Estimated labor hours]])</f>
        <v>0.6</v>
      </c>
      <c r="Q1399" s="51">
        <f>IF(tblWorkPackages[[#This Row],[Actual labor hours]]&gt;tblWorkPackages[[#This Row],[Estimated labor hours]],1,0)</f>
        <v>1</v>
      </c>
      <c r="R1399" s="51">
        <f>tblWorkPackages[[#This Row],[Actual labor hours]]-tblWorkPackages[[#This Row],[Estimated labor hours]]</f>
        <v>0.6</v>
      </c>
      <c r="S1399" s="51" t="str">
        <f>IF(tblWorkPackages[[#This Row],[Request date serial]]&lt;ValidationStart,"Train 2024",IF(tblWorkPackages[[#This Row],[Request date serial]]&lt;HoldoutStart,"Validation H1","Holdout H2"))</f>
        <v>Train 2024</v>
      </c>
      <c r="T1399" s="51" t="str">
        <f>IF(tblWorkPackages[[#This Row],[Time split]]="Train 2024","",tblWorkPackages[[#This Row],[Estimated labor hours]]+VLOOKUP(tblWorkPackages[[#This Row],[Task type]],'Forecast validation'!$A$14:$E$25,IF(tblWorkPackages[[#This Row],[Time split]]="Validation H1",4,5),FALSE()))</f>
        <v/>
      </c>
      <c r="U1399" s="51" t="str">
        <f>IF(tblWorkPackages[[#This Row],[Calibrated forecast hours]]="","",ABS(tblWorkPackages[[#This Row],[Actual labor hours]]-tblWorkPackages[[#This Row],[Calibrated forecast hours]]))</f>
        <v/>
      </c>
      <c r="V1399" s="51">
        <f>IF(tblWorkPackages[[#This Row],[Time split]]="Train 2024",tblWorkPackages[[#This Row],[Estimated labor hours]],tblWorkPackages[[#This Row],[Calibrated forecast hours]])</f>
        <v>8.6</v>
      </c>
      <c r="W1399" s="64">
        <f>DATEVALUE(tblWorkPackages[[#This Row],[Request date]])</f>
        <v>45536.0</v>
      </c>
      <c r="X1399" s="64">
        <f>DATEVALUE(tblWorkPackages[[#This Row],[Due date]])</f>
        <v>45542.0</v>
      </c>
      <c r="Y1399" s="64">
        <f>DATEVALUE(tblWorkPackages[[#This Row],[Completion date]])</f>
        <v>45538.0</v>
      </c>
      <c r="Z1399" s="64">
        <f>_xlfn.MINIFS(tblLaborEntries[Work date serial],tblLaborEntries[Work package ID],tblWorkPackages[[#This Row],[Work package ID]])</f>
        <v>45537.0</v>
      </c>
      <c r="AA1399" s="64">
        <f>_xlfn.MAXIFS(tblLaborEntries[Work date serial],tblLaborEntries[Work package ID],tblWorkPackages[[#This Row],[Work package ID]])</f>
        <v>45537.0</v>
      </c>
      <c r="AB1399" s="65">
        <f>IF(tblWorkPackages[[#This Row],[Completion date serial]]&gt;tblWorkPackages[[#This Row],[Due date serial]],1,0)</f>
        <v>0</v>
      </c>
      <c r="AC1399" s="65">
        <f>MAX(0,tblWorkPackages[[#This Row],[Completion date serial]]-tblWorkPackages[[#This Row],[Due date serial]])</f>
        <v>0</v>
      </c>
      <c r="AD1399" s="65">
        <f>tblWorkPackages[[#This Row],[First labor date]]-tblWorkPackages[[#This Row],[Request date serial]]</f>
        <v>1</v>
      </c>
      <c r="AE1399" s="65">
        <f>tblWorkPackages[[#This Row],[Last labor date]]-tblWorkPackages[[#This Row],[First labor date]]</f>
        <v>0</v>
      </c>
      <c r="AF1399" s="65">
        <f>tblWorkPackages[[#This Row],[Completion date serial]]-tblWorkPackages[[#This Row],[Last labor date]]</f>
        <v>1</v>
      </c>
      <c r="AG1399" s="65">
        <f>tblWorkPackages[[#This Row],[Completion date serial]]-tblWorkPackages[[#This Row],[Request date serial]]</f>
        <v>2</v>
      </c>
      <c r="AH1399" s="65">
        <f>IFERROR(INDEX(tblParts[Delay days],MATCH(tblWorkPackages[[#This Row],[Work package ID]],tblParts[Work package ID],0)),0)</f>
        <v>0</v>
      </c>
      <c r="AI1399" s="51" t="str">
        <f>IFERROR(INDEX(tblDisruptions[Event type],MATCH(tblWorkPackages[[#This Row],[Work package ID]],tblDisruptions[Work package ID],0)),"None")</f>
        <v>None</v>
      </c>
      <c r="AJ1399" s="51" t="str">
        <f>TEXT(tblWorkPackages[[#This Row],[Due date serial]],"yyyy-mm")</f>
        <v>2024-09</v>
      </c>
    </row>
    <row r="1400" spans="1:36" ht="15" x14ac:dyDescent="0.25">
      <c r="A1400" s="53" t="s">
        <v>2308</v>
      </c>
      <c r="B1400" s="53" t="s">
        <v>163</v>
      </c>
      <c r="C1400" s="53" t="s">
        <v>748</v>
      </c>
      <c r="D1400" s="53" t="s">
        <v>474</v>
      </c>
      <c r="E1400" s="53" t="s">
        <v>144</v>
      </c>
      <c r="F1400" s="53" t="s">
        <v>145</v>
      </c>
      <c r="G1400" s="53" t="s">
        <v>146</v>
      </c>
      <c r="H1400" s="53">
        <v>4</v>
      </c>
      <c r="I1400" s="53" t="s">
        <v>130</v>
      </c>
      <c r="J1400" s="53">
        <v>0</v>
      </c>
      <c r="K1400" s="53">
        <v>0</v>
      </c>
      <c r="L1400" s="53">
        <v>19.600000000000001</v>
      </c>
      <c r="M1400" s="53" t="s">
        <v>474</v>
      </c>
      <c r="N1400" s="53">
        <v>23.6</v>
      </c>
      <c r="O1400" s="51" t="str">
        <f>TEXT(tblWorkPackages[[#This Row],[Request date serial]]-WEEKDAY(tblWorkPackages[[#This Row],[Request date serial]],3),"yyyy-mm-dd")</f>
        <v>2024-02-12</v>
      </c>
      <c r="P1400" s="51">
        <f>ABS(tblWorkPackages[[#This Row],[Actual labor hours]]-tblWorkPackages[[#This Row],[Estimated labor hours]])</f>
        <v>4</v>
      </c>
      <c r="Q1400" s="51">
        <f>IF(tblWorkPackages[[#This Row],[Actual labor hours]]&gt;tblWorkPackages[[#This Row],[Estimated labor hours]],1,0)</f>
        <v>1</v>
      </c>
      <c r="R1400" s="51">
        <f>tblWorkPackages[[#This Row],[Actual labor hours]]-tblWorkPackages[[#This Row],[Estimated labor hours]]</f>
        <v>4</v>
      </c>
      <c r="S1400" s="51" t="str">
        <f>IF(tblWorkPackages[[#This Row],[Request date serial]]&lt;ValidationStart,"Train 2024",IF(tblWorkPackages[[#This Row],[Request date serial]]&lt;HoldoutStart,"Validation H1","Holdout H2"))</f>
        <v>Train 2024</v>
      </c>
      <c r="T1400" s="51" t="str">
        <f>IF(tblWorkPackages[[#This Row],[Time split]]="Train 2024","",tblWorkPackages[[#This Row],[Estimated labor hours]]+VLOOKUP(tblWorkPackages[[#This Row],[Task type]],'Forecast validation'!$A$14:$E$25,IF(tblWorkPackages[[#This Row],[Time split]]="Validation H1",4,5),FALSE()))</f>
        <v/>
      </c>
      <c r="U1400" s="51" t="str">
        <f>IF(tblWorkPackages[[#This Row],[Calibrated forecast hours]]="","",ABS(tblWorkPackages[[#This Row],[Actual labor hours]]-tblWorkPackages[[#This Row],[Calibrated forecast hours]]))</f>
        <v/>
      </c>
      <c r="V1400" s="51">
        <f>IF(tblWorkPackages[[#This Row],[Time split]]="Train 2024",tblWorkPackages[[#This Row],[Estimated labor hours]],tblWorkPackages[[#This Row],[Calibrated forecast hours]])</f>
        <v>19.6</v>
      </c>
      <c r="W1400" s="64">
        <f>DATEVALUE(tblWorkPackages[[#This Row],[Request date]])</f>
        <v>45339.0</v>
      </c>
      <c r="X1400" s="64">
        <f>DATEVALUE(tblWorkPackages[[#This Row],[Due date]])</f>
        <v>45352.0</v>
      </c>
      <c r="Y1400" s="64">
        <f>DATEVALUE(tblWorkPackages[[#This Row],[Completion date]])</f>
        <v>45352.0</v>
      </c>
      <c r="Z1400" s="64">
        <f>_xlfn.MINIFS(tblLaborEntries[Work date serial],tblLaborEntries[Work package ID],tblWorkPackages[[#This Row],[Work package ID]])</f>
        <v>45348.0</v>
      </c>
      <c r="AA1400" s="64">
        <f>_xlfn.MAXIFS(tblLaborEntries[Work date serial],tblLaborEntries[Work package ID],tblWorkPackages[[#This Row],[Work package ID]])</f>
        <v>45350.0</v>
      </c>
      <c r="AB1400" s="65">
        <f>IF(tblWorkPackages[[#This Row],[Completion date serial]]&gt;tblWorkPackages[[#This Row],[Due date serial]],1,0)</f>
        <v>0</v>
      </c>
      <c r="AC1400" s="65">
        <f>MAX(0,tblWorkPackages[[#This Row],[Completion date serial]]-tblWorkPackages[[#This Row],[Due date serial]])</f>
        <v>0</v>
      </c>
      <c r="AD1400" s="65">
        <f>tblWorkPackages[[#This Row],[First labor date]]-tblWorkPackages[[#This Row],[Request date serial]]</f>
        <v>9</v>
      </c>
      <c r="AE1400" s="65">
        <f>tblWorkPackages[[#This Row],[Last labor date]]-tblWorkPackages[[#This Row],[First labor date]]</f>
        <v>2</v>
      </c>
      <c r="AF1400" s="65">
        <f>tblWorkPackages[[#This Row],[Completion date serial]]-tblWorkPackages[[#This Row],[Last labor date]]</f>
        <v>2</v>
      </c>
      <c r="AG1400" s="65">
        <f>tblWorkPackages[[#This Row],[Completion date serial]]-tblWorkPackages[[#This Row],[Request date serial]]</f>
        <v>13</v>
      </c>
      <c r="AH1400" s="65">
        <f>IFERROR(INDEX(tblParts[Delay days],MATCH(tblWorkPackages[[#This Row],[Work package ID]],tblParts[Work package ID],0)),0)</f>
        <v>0</v>
      </c>
      <c r="AI1400" s="51" t="str">
        <f>IFERROR(INDEX(tblDisruptions[Event type],MATCH(tblWorkPackages[[#This Row],[Work package ID]],tblDisruptions[Work package ID],0)),"None")</f>
        <v>None</v>
      </c>
      <c r="AJ1400" s="51" t="str">
        <f>TEXT(tblWorkPackages[[#This Row],[Due date serial]],"yyyy-mm")</f>
        <v>2024-03</v>
      </c>
    </row>
    <row r="1401" spans="1:36" ht="15" x14ac:dyDescent="0.25">
      <c r="A1401" s="53" t="s">
        <v>2309</v>
      </c>
      <c r="B1401" s="53" t="s">
        <v>287</v>
      </c>
      <c r="C1401" s="53" t="s">
        <v>171</v>
      </c>
      <c r="D1401" s="53" t="s">
        <v>948</v>
      </c>
      <c r="E1401" s="53" t="s">
        <v>181</v>
      </c>
      <c r="F1401" s="53" t="s">
        <v>182</v>
      </c>
      <c r="G1401" s="53" t="s">
        <v>138</v>
      </c>
      <c r="H1401" s="53">
        <v>4</v>
      </c>
      <c r="I1401" s="53" t="s">
        <v>130</v>
      </c>
      <c r="J1401" s="53">
        <v>0</v>
      </c>
      <c r="K1401" s="53">
        <v>0</v>
      </c>
      <c r="L1401" s="53">
        <v>12.6</v>
      </c>
      <c r="M1401" s="53" t="s">
        <v>736</v>
      </c>
      <c r="N1401" s="53">
        <v>12.5</v>
      </c>
      <c r="O1401" s="51" t="str">
        <f>TEXT(tblWorkPackages[[#This Row],[Request date serial]]-WEEKDAY(tblWorkPackages[[#This Row],[Request date serial]],3),"yyyy-mm-dd")</f>
        <v>2024-10-21</v>
      </c>
      <c r="P1401" s="51">
        <f>ABS(tblWorkPackages[[#This Row],[Actual labor hours]]-tblWorkPackages[[#This Row],[Estimated labor hours]])</f>
        <v>0.0999999999999996</v>
      </c>
      <c r="Q1401" s="51">
        <f>IF(tblWorkPackages[[#This Row],[Actual labor hours]]&gt;tblWorkPackages[[#This Row],[Estimated labor hours]],1,0)</f>
        <v>0</v>
      </c>
      <c r="R1401" s="51">
        <f>tblWorkPackages[[#This Row],[Actual labor hours]]-tblWorkPackages[[#This Row],[Estimated labor hours]]</f>
        <v>-0.0999999999999996</v>
      </c>
      <c r="S1401" s="51" t="str">
        <f>IF(tblWorkPackages[[#This Row],[Request date serial]]&lt;ValidationStart,"Train 2024",IF(tblWorkPackages[[#This Row],[Request date serial]]&lt;HoldoutStart,"Validation H1","Holdout H2"))</f>
        <v>Train 2024</v>
      </c>
      <c r="T1401" s="51" t="str">
        <f>IF(tblWorkPackages[[#This Row],[Time split]]="Train 2024","",tblWorkPackages[[#This Row],[Estimated labor hours]]+VLOOKUP(tblWorkPackages[[#This Row],[Task type]],'Forecast validation'!$A$14:$E$25,IF(tblWorkPackages[[#This Row],[Time split]]="Validation H1",4,5),FALSE()))</f>
        <v/>
      </c>
      <c r="U1401" s="51" t="str">
        <f>IF(tblWorkPackages[[#This Row],[Calibrated forecast hours]]="","",ABS(tblWorkPackages[[#This Row],[Actual labor hours]]-tblWorkPackages[[#This Row],[Calibrated forecast hours]]))</f>
        <v/>
      </c>
      <c r="V1401" s="51">
        <f>IF(tblWorkPackages[[#This Row],[Time split]]="Train 2024",tblWorkPackages[[#This Row],[Estimated labor hours]],tblWorkPackages[[#This Row],[Calibrated forecast hours]])</f>
        <v>12.6</v>
      </c>
      <c r="W1401" s="64">
        <f>DATEVALUE(tblWorkPackages[[#This Row],[Request date]])</f>
        <v>45590.0</v>
      </c>
      <c r="X1401" s="64">
        <f>DATEVALUE(tblWorkPackages[[#This Row],[Due date]])</f>
        <v>45603.0</v>
      </c>
      <c r="Y1401" s="64">
        <f>DATEVALUE(tblWorkPackages[[#This Row],[Completion date]])</f>
        <v>45595.0</v>
      </c>
      <c r="Z1401" s="64">
        <f>_xlfn.MINIFS(tblLaborEntries[Work date serial],tblLaborEntries[Work package ID],tblWorkPackages[[#This Row],[Work package ID]])</f>
        <v>45592.0</v>
      </c>
      <c r="AA1401" s="64">
        <f>_xlfn.MAXIFS(tblLaborEntries[Work date serial],tblLaborEntries[Work package ID],tblWorkPackages[[#This Row],[Work package ID]])</f>
        <v>45592.0</v>
      </c>
      <c r="AB1401" s="65">
        <f>IF(tblWorkPackages[[#This Row],[Completion date serial]]&gt;tblWorkPackages[[#This Row],[Due date serial]],1,0)</f>
        <v>0</v>
      </c>
      <c r="AC1401" s="65">
        <f>MAX(0,tblWorkPackages[[#This Row],[Completion date serial]]-tblWorkPackages[[#This Row],[Due date serial]])</f>
        <v>0</v>
      </c>
      <c r="AD1401" s="65">
        <f>tblWorkPackages[[#This Row],[First labor date]]-tblWorkPackages[[#This Row],[Request date serial]]</f>
        <v>2</v>
      </c>
      <c r="AE1401" s="65">
        <f>tblWorkPackages[[#This Row],[Last labor date]]-tblWorkPackages[[#This Row],[First labor date]]</f>
        <v>0</v>
      </c>
      <c r="AF1401" s="65">
        <f>tblWorkPackages[[#This Row],[Completion date serial]]-tblWorkPackages[[#This Row],[Last labor date]]</f>
        <v>3</v>
      </c>
      <c r="AG1401" s="65">
        <f>tblWorkPackages[[#This Row],[Completion date serial]]-tblWorkPackages[[#This Row],[Request date serial]]</f>
        <v>5</v>
      </c>
      <c r="AH1401" s="65">
        <f>IFERROR(INDEX(tblParts[Delay days],MATCH(tblWorkPackages[[#This Row],[Work package ID]],tblParts[Work package ID],0)),0)</f>
        <v>0</v>
      </c>
      <c r="AI1401" s="51" t="str">
        <f>IFERROR(INDEX(tblDisruptions[Event type],MATCH(tblWorkPackages[[#This Row],[Work package ID]],tblDisruptions[Work package ID],0)),"None")</f>
        <v>None</v>
      </c>
      <c r="AJ1401" s="51" t="str">
        <f>TEXT(tblWorkPackages[[#This Row],[Due date serial]],"yyyy-mm")</f>
        <v>2024-11</v>
      </c>
    </row>
    <row r="1402" spans="1:36" ht="15" x14ac:dyDescent="0.25">
      <c r="A1402" s="53" t="s">
        <v>2310</v>
      </c>
      <c r="B1402" s="53" t="s">
        <v>173</v>
      </c>
      <c r="C1402" s="53" t="s">
        <v>244</v>
      </c>
      <c r="D1402" s="53" t="s">
        <v>1776</v>
      </c>
      <c r="E1402" s="53" t="s">
        <v>144</v>
      </c>
      <c r="F1402" s="53" t="s">
        <v>145</v>
      </c>
      <c r="G1402" s="53" t="s">
        <v>146</v>
      </c>
      <c r="H1402" s="53">
        <v>1</v>
      </c>
      <c r="I1402" s="53" t="s">
        <v>147</v>
      </c>
      <c r="J1402" s="53">
        <v>0</v>
      </c>
      <c r="K1402" s="53">
        <v>1</v>
      </c>
      <c r="L1402" s="53">
        <v>5.9</v>
      </c>
      <c r="M1402" s="53" t="s">
        <v>159</v>
      </c>
      <c r="N1402" s="53">
        <v>6.3</v>
      </c>
      <c r="O1402" s="51" t="str">
        <f>TEXT(tblWorkPackages[[#This Row],[Request date serial]]-WEEKDAY(tblWorkPackages[[#This Row],[Request date serial]],3),"yyyy-mm-dd")</f>
        <v>2024-11-18</v>
      </c>
      <c r="P1402" s="51">
        <f>ABS(tblWorkPackages[[#This Row],[Actual labor hours]]-tblWorkPackages[[#This Row],[Estimated labor hours]])</f>
        <v>0.399999999999999</v>
      </c>
      <c r="Q1402" s="51">
        <f>IF(tblWorkPackages[[#This Row],[Actual labor hours]]&gt;tblWorkPackages[[#This Row],[Estimated labor hours]],1,0)</f>
        <v>1</v>
      </c>
      <c r="R1402" s="51">
        <f>tblWorkPackages[[#This Row],[Actual labor hours]]-tblWorkPackages[[#This Row],[Estimated labor hours]]</f>
        <v>0.399999999999999</v>
      </c>
      <c r="S1402" s="51" t="str">
        <f>IF(tblWorkPackages[[#This Row],[Request date serial]]&lt;ValidationStart,"Train 2024",IF(tblWorkPackages[[#This Row],[Request date serial]]&lt;HoldoutStart,"Validation H1","Holdout H2"))</f>
        <v>Train 2024</v>
      </c>
      <c r="T1402" s="51" t="str">
        <f>IF(tblWorkPackages[[#This Row],[Time split]]="Train 2024","",tblWorkPackages[[#This Row],[Estimated labor hours]]+VLOOKUP(tblWorkPackages[[#This Row],[Task type]],'Forecast validation'!$A$14:$E$25,IF(tblWorkPackages[[#This Row],[Time split]]="Validation H1",4,5),FALSE()))</f>
        <v/>
      </c>
      <c r="U1402" s="51" t="str">
        <f>IF(tblWorkPackages[[#This Row],[Calibrated forecast hours]]="","",ABS(tblWorkPackages[[#This Row],[Actual labor hours]]-tblWorkPackages[[#This Row],[Calibrated forecast hours]]))</f>
        <v/>
      </c>
      <c r="V1402" s="51">
        <f>IF(tblWorkPackages[[#This Row],[Time split]]="Train 2024",tblWorkPackages[[#This Row],[Estimated labor hours]],tblWorkPackages[[#This Row],[Calibrated forecast hours]])</f>
        <v>5.9</v>
      </c>
      <c r="W1402" s="64">
        <f>DATEVALUE(tblWorkPackages[[#This Row],[Request date]])</f>
        <v>45614.0</v>
      </c>
      <c r="X1402" s="64">
        <f>DATEVALUE(tblWorkPackages[[#This Row],[Due date]])</f>
        <v>45616.0</v>
      </c>
      <c r="Y1402" s="64">
        <f>DATEVALUE(tblWorkPackages[[#This Row],[Completion date]])</f>
        <v>45640.0</v>
      </c>
      <c r="Z1402" s="64">
        <f>_xlfn.MINIFS(tblLaborEntries[Work date serial],tblLaborEntries[Work package ID],tblWorkPackages[[#This Row],[Work package ID]])</f>
        <v>45639.0</v>
      </c>
      <c r="AA1402" s="64">
        <f>_xlfn.MAXIFS(tblLaborEntries[Work date serial],tblLaborEntries[Work package ID],tblWorkPackages[[#This Row],[Work package ID]])</f>
        <v>45640.0</v>
      </c>
      <c r="AB1402" s="65">
        <f>IF(tblWorkPackages[[#This Row],[Completion date serial]]&gt;tblWorkPackages[[#This Row],[Due date serial]],1,0)</f>
        <v>1</v>
      </c>
      <c r="AC1402" s="65">
        <f>MAX(0,tblWorkPackages[[#This Row],[Completion date serial]]-tblWorkPackages[[#This Row],[Due date serial]])</f>
        <v>24</v>
      </c>
      <c r="AD1402" s="65">
        <f>tblWorkPackages[[#This Row],[First labor date]]-tblWorkPackages[[#This Row],[Request date serial]]</f>
        <v>25</v>
      </c>
      <c r="AE1402" s="65">
        <f>tblWorkPackages[[#This Row],[Last labor date]]-tblWorkPackages[[#This Row],[First labor date]]</f>
        <v>1</v>
      </c>
      <c r="AF1402" s="65">
        <f>tblWorkPackages[[#This Row],[Completion date serial]]-tblWorkPackages[[#This Row],[Last labor date]]</f>
        <v>0</v>
      </c>
      <c r="AG1402" s="65">
        <f>tblWorkPackages[[#This Row],[Completion date serial]]-tblWorkPackages[[#This Row],[Request date serial]]</f>
        <v>26</v>
      </c>
      <c r="AH1402" s="65">
        <f>IFERROR(INDEX(tblParts[Delay days],MATCH(tblWorkPackages[[#This Row],[Work package ID]],tblParts[Work package ID],0)),0)</f>
        <v>0</v>
      </c>
      <c r="AI1402" s="51" t="str">
        <f>IFERROR(INDEX(tblDisruptions[Event type],MATCH(tblWorkPackages[[#This Row],[Work package ID]],tblDisruptions[Work package ID],0)),"None")</f>
        <v>None</v>
      </c>
      <c r="AJ1402" s="51" t="str">
        <f>TEXT(tblWorkPackages[[#This Row],[Due date serial]],"yyyy-mm")</f>
        <v>2024-11</v>
      </c>
    </row>
    <row r="1403" spans="1:36" ht="15" x14ac:dyDescent="0.25">
      <c r="A1403" s="53" t="s">
        <v>2311</v>
      </c>
      <c r="B1403" s="53" t="s">
        <v>250</v>
      </c>
      <c r="C1403" s="53" t="s">
        <v>1036</v>
      </c>
      <c r="D1403" s="53" t="s">
        <v>673</v>
      </c>
      <c r="E1403" s="53" t="s">
        <v>144</v>
      </c>
      <c r="F1403" s="53" t="s">
        <v>145</v>
      </c>
      <c r="G1403" s="53" t="s">
        <v>146</v>
      </c>
      <c r="H1403" s="53">
        <v>2</v>
      </c>
      <c r="I1403" s="53" t="s">
        <v>130</v>
      </c>
      <c r="J1403" s="53">
        <v>0</v>
      </c>
      <c r="K1403" s="53">
        <v>0</v>
      </c>
      <c r="L1403" s="53">
        <v>11</v>
      </c>
      <c r="M1403" s="53" t="s">
        <v>1044</v>
      </c>
      <c r="N1403" s="53">
        <v>12.6</v>
      </c>
      <c r="O1403" s="51" t="str">
        <f>TEXT(tblWorkPackages[[#This Row],[Request date serial]]-WEEKDAY(tblWorkPackages[[#This Row],[Request date serial]],3),"yyyy-mm-dd")</f>
        <v>2025-06-09</v>
      </c>
      <c r="P1403" s="51">
        <f>ABS(tblWorkPackages[[#This Row],[Actual labor hours]]-tblWorkPackages[[#This Row],[Estimated labor hours]])</f>
        <v>1.6</v>
      </c>
      <c r="Q1403" s="51">
        <f>IF(tblWorkPackages[[#This Row],[Actual labor hours]]&gt;tblWorkPackages[[#This Row],[Estimated labor hours]],1,0)</f>
        <v>1</v>
      </c>
      <c r="R1403" s="51">
        <f>tblWorkPackages[[#This Row],[Actual labor hours]]-tblWorkPackages[[#This Row],[Estimated labor hours]]</f>
        <v>1.6</v>
      </c>
      <c r="S1403" s="51" t="str">
        <f>IF(tblWorkPackages[[#This Row],[Request date serial]]&lt;ValidationStart,"Train 2024",IF(tblWorkPackages[[#This Row],[Request date serial]]&lt;HoldoutStart,"Validation H1","Holdout H2"))</f>
        <v>Validation H1</v>
      </c>
      <c r="T1403" s="51">
        <f>IF(tblWorkPackages[[#This Row],[Time split]]="Train 2024","",tblWorkPackages[[#This Row],[Estimated labor hours]]+VLOOKUP(tblWorkPackages[[#This Row],[Task type]],'Forecast validation'!$A$14:$E$25,IF(tblWorkPackages[[#This Row],[Time split]]="Validation H1",4,5),FALSE()))</f>
        <v>11.7547368421053</v>
      </c>
      <c r="U1403" s="51">
        <f>IF(tblWorkPackages[[#This Row],[Calibrated forecast hours]]="","",ABS(tblWorkPackages[[#This Row],[Actual labor hours]]-tblWorkPackages[[#This Row],[Calibrated forecast hours]]))</f>
        <v>0.845263157894737</v>
      </c>
      <c r="V1403" s="51">
        <f>IF(tblWorkPackages[[#This Row],[Time split]]="Train 2024",tblWorkPackages[[#This Row],[Estimated labor hours]],tblWorkPackages[[#This Row],[Calibrated forecast hours]])</f>
        <v>11.7547368421053</v>
      </c>
      <c r="W1403" s="64">
        <f>DATEVALUE(tblWorkPackages[[#This Row],[Request date]])</f>
        <v>45817.0</v>
      </c>
      <c r="X1403" s="64">
        <f>DATEVALUE(tblWorkPackages[[#This Row],[Due date]])</f>
        <v>45830.0</v>
      </c>
      <c r="Y1403" s="64">
        <f>DATEVALUE(tblWorkPackages[[#This Row],[Completion date]])</f>
        <v>45822.0</v>
      </c>
      <c r="Z1403" s="64">
        <f>_xlfn.MINIFS(tblLaborEntries[Work date serial],tblLaborEntries[Work package ID],tblWorkPackages[[#This Row],[Work package ID]])</f>
        <v>45821.0</v>
      </c>
      <c r="AA1403" s="64">
        <f>_xlfn.MAXIFS(tblLaborEntries[Work date serial],tblLaborEntries[Work package ID],tblWorkPackages[[#This Row],[Work package ID]])</f>
        <v>45821.0</v>
      </c>
      <c r="AB1403" s="65">
        <f>IF(tblWorkPackages[[#This Row],[Completion date serial]]&gt;tblWorkPackages[[#This Row],[Due date serial]],1,0)</f>
        <v>0</v>
      </c>
      <c r="AC1403" s="65">
        <f>MAX(0,tblWorkPackages[[#This Row],[Completion date serial]]-tblWorkPackages[[#This Row],[Due date serial]])</f>
        <v>0</v>
      </c>
      <c r="AD1403" s="65">
        <f>tblWorkPackages[[#This Row],[First labor date]]-tblWorkPackages[[#This Row],[Request date serial]]</f>
        <v>4</v>
      </c>
      <c r="AE1403" s="65">
        <f>tblWorkPackages[[#This Row],[Last labor date]]-tblWorkPackages[[#This Row],[First labor date]]</f>
        <v>0</v>
      </c>
      <c r="AF1403" s="65">
        <f>tblWorkPackages[[#This Row],[Completion date serial]]-tblWorkPackages[[#This Row],[Last labor date]]</f>
        <v>1</v>
      </c>
      <c r="AG1403" s="65">
        <f>tblWorkPackages[[#This Row],[Completion date serial]]-tblWorkPackages[[#This Row],[Request date serial]]</f>
        <v>5</v>
      </c>
      <c r="AH1403" s="65">
        <f>IFERROR(INDEX(tblParts[Delay days],MATCH(tblWorkPackages[[#This Row],[Work package ID]],tblParts[Work package ID],0)),0)</f>
        <v>0</v>
      </c>
      <c r="AI1403" s="51" t="str">
        <f>IFERROR(INDEX(tblDisruptions[Event type],MATCH(tblWorkPackages[[#This Row],[Work package ID]],tblDisruptions[Work package ID],0)),"None")</f>
        <v>None</v>
      </c>
      <c r="AJ1403" s="51" t="str">
        <f>TEXT(tblWorkPackages[[#This Row],[Due date serial]],"yyyy-mm")</f>
        <v>2025-06</v>
      </c>
    </row>
    <row r="1404" spans="1:36" ht="15" x14ac:dyDescent="0.25">
      <c r="A1404" s="53" t="s">
        <v>2312</v>
      </c>
      <c r="B1404" s="53" t="s">
        <v>230</v>
      </c>
      <c r="C1404" s="53" t="s">
        <v>568</v>
      </c>
      <c r="D1404" s="53" t="s">
        <v>672</v>
      </c>
      <c r="E1404" s="53" t="s">
        <v>181</v>
      </c>
      <c r="F1404" s="53" t="s">
        <v>182</v>
      </c>
      <c r="G1404" s="53" t="s">
        <v>138</v>
      </c>
      <c r="H1404" s="53">
        <v>4</v>
      </c>
      <c r="I1404" s="53" t="s">
        <v>130</v>
      </c>
      <c r="J1404" s="53">
        <v>1</v>
      </c>
      <c r="K1404" s="53">
        <v>1</v>
      </c>
      <c r="L1404" s="53">
        <v>15.7</v>
      </c>
      <c r="M1404" s="53" t="s">
        <v>1211</v>
      </c>
      <c r="N1404" s="53">
        <v>18</v>
      </c>
      <c r="O1404" s="51" t="str">
        <f>TEXT(tblWorkPackages[[#This Row],[Request date serial]]-WEEKDAY(tblWorkPackages[[#This Row],[Request date serial]],3),"yyyy-mm-dd")</f>
        <v>2025-06-02</v>
      </c>
      <c r="P1404" s="51">
        <f>ABS(tblWorkPackages[[#This Row],[Actual labor hours]]-tblWorkPackages[[#This Row],[Estimated labor hours]])</f>
        <v>2.3</v>
      </c>
      <c r="Q1404" s="51">
        <f>IF(tblWorkPackages[[#This Row],[Actual labor hours]]&gt;tblWorkPackages[[#This Row],[Estimated labor hours]],1,0)</f>
        <v>1</v>
      </c>
      <c r="R1404" s="51">
        <f>tblWorkPackages[[#This Row],[Actual labor hours]]-tblWorkPackages[[#This Row],[Estimated labor hours]]</f>
        <v>2.3</v>
      </c>
      <c r="S1404" s="51" t="str">
        <f>IF(tblWorkPackages[[#This Row],[Request date serial]]&lt;ValidationStart,"Train 2024",IF(tblWorkPackages[[#This Row],[Request date serial]]&lt;HoldoutStart,"Validation H1","Holdout H2"))</f>
        <v>Validation H1</v>
      </c>
      <c r="T1404" s="51">
        <f>IF(tblWorkPackages[[#This Row],[Time split]]="Train 2024","",tblWorkPackages[[#This Row],[Estimated labor hours]]+VLOOKUP(tblWorkPackages[[#This Row],[Task type]],'Forecast validation'!$A$14:$E$25,IF(tblWorkPackages[[#This Row],[Time split]]="Validation H1",4,5),FALSE()))</f>
        <v>16.2840909090909</v>
      </c>
      <c r="U1404" s="51">
        <f>IF(tblWorkPackages[[#This Row],[Calibrated forecast hours]]="","",ABS(tblWorkPackages[[#This Row],[Actual labor hours]]-tblWorkPackages[[#This Row],[Calibrated forecast hours]]))</f>
        <v>1.71590909090909</v>
      </c>
      <c r="V1404" s="51">
        <f>IF(tblWorkPackages[[#This Row],[Time split]]="Train 2024",tblWorkPackages[[#This Row],[Estimated labor hours]],tblWorkPackages[[#This Row],[Calibrated forecast hours]])</f>
        <v>16.2840909090909</v>
      </c>
      <c r="W1404" s="64">
        <f>DATEVALUE(tblWorkPackages[[#This Row],[Request date]])</f>
        <v>45813.0</v>
      </c>
      <c r="X1404" s="64">
        <f>DATEVALUE(tblWorkPackages[[#This Row],[Due date]])</f>
        <v>45826.0</v>
      </c>
      <c r="Y1404" s="64">
        <f>DATEVALUE(tblWorkPackages[[#This Row],[Completion date]])</f>
        <v>45818.0</v>
      </c>
      <c r="Z1404" s="64">
        <f>_xlfn.MINIFS(tblLaborEntries[Work date serial],tblLaborEntries[Work package ID],tblWorkPackages[[#This Row],[Work package ID]])</f>
        <v>45814.0</v>
      </c>
      <c r="AA1404" s="64">
        <f>_xlfn.MAXIFS(tblLaborEntries[Work date serial],tblLaborEntries[Work package ID],tblWorkPackages[[#This Row],[Work package ID]])</f>
        <v>45816.0</v>
      </c>
      <c r="AB1404" s="65">
        <f>IF(tblWorkPackages[[#This Row],[Completion date serial]]&gt;tblWorkPackages[[#This Row],[Due date serial]],1,0)</f>
        <v>0</v>
      </c>
      <c r="AC1404" s="65">
        <f>MAX(0,tblWorkPackages[[#This Row],[Completion date serial]]-tblWorkPackages[[#This Row],[Due date serial]])</f>
        <v>0</v>
      </c>
      <c r="AD1404" s="65">
        <f>tblWorkPackages[[#This Row],[First labor date]]-tblWorkPackages[[#This Row],[Request date serial]]</f>
        <v>1</v>
      </c>
      <c r="AE1404" s="65">
        <f>tblWorkPackages[[#This Row],[Last labor date]]-tblWorkPackages[[#This Row],[First labor date]]</f>
        <v>2</v>
      </c>
      <c r="AF1404" s="65">
        <f>tblWorkPackages[[#This Row],[Completion date serial]]-tblWorkPackages[[#This Row],[Last labor date]]</f>
        <v>2</v>
      </c>
      <c r="AG1404" s="65">
        <f>tblWorkPackages[[#This Row],[Completion date serial]]-tblWorkPackages[[#This Row],[Request date serial]]</f>
        <v>5</v>
      </c>
      <c r="AH1404" s="65">
        <f>IFERROR(INDEX(tblParts[Delay days],MATCH(tblWorkPackages[[#This Row],[Work package ID]],tblParts[Work package ID],0)),0)</f>
        <v>0</v>
      </c>
      <c r="AI1404" s="51" t="str">
        <f>IFERROR(INDEX(tblDisruptions[Event type],MATCH(tblWorkPackages[[#This Row],[Work package ID]],tblDisruptions[Work package ID],0)),"None")</f>
        <v>None</v>
      </c>
      <c r="AJ1404" s="51" t="str">
        <f>TEXT(tblWorkPackages[[#This Row],[Due date serial]],"yyyy-mm")</f>
        <v>2025-06</v>
      </c>
    </row>
    <row r="1405" spans="1:36" ht="15" x14ac:dyDescent="0.25">
      <c r="A1405" s="53" t="s">
        <v>2313</v>
      </c>
      <c r="B1405" s="53" t="s">
        <v>250</v>
      </c>
      <c r="C1405" s="53" t="s">
        <v>642</v>
      </c>
      <c r="D1405" s="53" t="s">
        <v>362</v>
      </c>
      <c r="E1405" s="53" t="s">
        <v>144</v>
      </c>
      <c r="F1405" s="53" t="s">
        <v>145</v>
      </c>
      <c r="G1405" s="53" t="s">
        <v>146</v>
      </c>
      <c r="H1405" s="53">
        <v>4</v>
      </c>
      <c r="I1405" s="53" t="s">
        <v>176</v>
      </c>
      <c r="J1405" s="53">
        <v>0</v>
      </c>
      <c r="K1405" s="53">
        <v>1</v>
      </c>
      <c r="L1405" s="53">
        <v>19.100000000000001</v>
      </c>
      <c r="M1405" s="53" t="s">
        <v>1354</v>
      </c>
      <c r="N1405" s="53">
        <v>20.6</v>
      </c>
      <c r="O1405" s="51" t="str">
        <f>TEXT(tblWorkPackages[[#This Row],[Request date serial]]-WEEKDAY(tblWorkPackages[[#This Row],[Request date serial]],3),"yyyy-mm-dd")</f>
        <v>2024-07-15</v>
      </c>
      <c r="P1405" s="51">
        <f>ABS(tblWorkPackages[[#This Row],[Actual labor hours]]-tblWorkPackages[[#This Row],[Estimated labor hours]])</f>
        <v>1.5</v>
      </c>
      <c r="Q1405" s="51">
        <f>IF(tblWorkPackages[[#This Row],[Actual labor hours]]&gt;tblWorkPackages[[#This Row],[Estimated labor hours]],1,0)</f>
        <v>1</v>
      </c>
      <c r="R1405" s="51">
        <f>tblWorkPackages[[#This Row],[Actual labor hours]]-tblWorkPackages[[#This Row],[Estimated labor hours]]</f>
        <v>1.5</v>
      </c>
      <c r="S1405" s="51" t="str">
        <f>IF(tblWorkPackages[[#This Row],[Request date serial]]&lt;ValidationStart,"Train 2024",IF(tblWorkPackages[[#This Row],[Request date serial]]&lt;HoldoutStart,"Validation H1","Holdout H2"))</f>
        <v>Train 2024</v>
      </c>
      <c r="T1405" s="51" t="str">
        <f>IF(tblWorkPackages[[#This Row],[Time split]]="Train 2024","",tblWorkPackages[[#This Row],[Estimated labor hours]]+VLOOKUP(tblWorkPackages[[#This Row],[Task type]],'Forecast validation'!$A$14:$E$25,IF(tblWorkPackages[[#This Row],[Time split]]="Validation H1",4,5),FALSE()))</f>
        <v/>
      </c>
      <c r="U1405" s="51" t="str">
        <f>IF(tblWorkPackages[[#This Row],[Calibrated forecast hours]]="","",ABS(tblWorkPackages[[#This Row],[Actual labor hours]]-tblWorkPackages[[#This Row],[Calibrated forecast hours]]))</f>
        <v/>
      </c>
      <c r="V1405" s="51">
        <f>IF(tblWorkPackages[[#This Row],[Time split]]="Train 2024",tblWorkPackages[[#This Row],[Estimated labor hours]],tblWorkPackages[[#This Row],[Calibrated forecast hours]])</f>
        <v>19.1</v>
      </c>
      <c r="W1405" s="64">
        <f>DATEVALUE(tblWorkPackages[[#This Row],[Request date]])</f>
        <v>45488.0</v>
      </c>
      <c r="X1405" s="64">
        <f>DATEVALUE(tblWorkPackages[[#This Row],[Due date]])</f>
        <v>45494.0</v>
      </c>
      <c r="Y1405" s="64">
        <f>DATEVALUE(tblWorkPackages[[#This Row],[Completion date]])</f>
        <v>45504.0</v>
      </c>
      <c r="Z1405" s="64">
        <f>_xlfn.MINIFS(tblLaborEntries[Work date serial],tblLaborEntries[Work package ID],tblWorkPackages[[#This Row],[Work package ID]])</f>
        <v>45501.0</v>
      </c>
      <c r="AA1405" s="64">
        <f>_xlfn.MAXIFS(tblLaborEntries[Work date serial],tblLaborEntries[Work package ID],tblWorkPackages[[#This Row],[Work package ID]])</f>
        <v>45501.0</v>
      </c>
      <c r="AB1405" s="65">
        <f>IF(tblWorkPackages[[#This Row],[Completion date serial]]&gt;tblWorkPackages[[#This Row],[Due date serial]],1,0)</f>
        <v>1</v>
      </c>
      <c r="AC1405" s="65">
        <f>MAX(0,tblWorkPackages[[#This Row],[Completion date serial]]-tblWorkPackages[[#This Row],[Due date serial]])</f>
        <v>10</v>
      </c>
      <c r="AD1405" s="65">
        <f>tblWorkPackages[[#This Row],[First labor date]]-tblWorkPackages[[#This Row],[Request date serial]]</f>
        <v>13</v>
      </c>
      <c r="AE1405" s="65">
        <f>tblWorkPackages[[#This Row],[Last labor date]]-tblWorkPackages[[#This Row],[First labor date]]</f>
        <v>0</v>
      </c>
      <c r="AF1405" s="65">
        <f>tblWorkPackages[[#This Row],[Completion date serial]]-tblWorkPackages[[#This Row],[Last labor date]]</f>
        <v>3</v>
      </c>
      <c r="AG1405" s="65">
        <f>tblWorkPackages[[#This Row],[Completion date serial]]-tblWorkPackages[[#This Row],[Request date serial]]</f>
        <v>16</v>
      </c>
      <c r="AH1405" s="65">
        <f>IFERROR(INDEX(tblParts[Delay days],MATCH(tblWorkPackages[[#This Row],[Work package ID]],tblParts[Work package ID],0)),0)</f>
        <v>0</v>
      </c>
      <c r="AI1405" s="51" t="str">
        <f>IFERROR(INDEX(tblDisruptions[Event type],MATCH(tblWorkPackages[[#This Row],[Work package ID]],tblDisruptions[Work package ID],0)),"None")</f>
        <v>None</v>
      </c>
      <c r="AJ1405" s="51" t="str">
        <f>TEXT(tblWorkPackages[[#This Row],[Due date serial]],"yyyy-mm")</f>
        <v>2024-07</v>
      </c>
    </row>
    <row r="1406" spans="1:36" ht="15" x14ac:dyDescent="0.25">
      <c r="A1406" s="53" t="s">
        <v>2314</v>
      </c>
      <c r="B1406" s="53" t="s">
        <v>133</v>
      </c>
      <c r="C1406" s="53" t="s">
        <v>524</v>
      </c>
      <c r="D1406" s="53" t="s">
        <v>621</v>
      </c>
      <c r="E1406" s="53" t="s">
        <v>223</v>
      </c>
      <c r="F1406" s="53" t="s">
        <v>182</v>
      </c>
      <c r="G1406" s="53" t="s">
        <v>154</v>
      </c>
      <c r="H1406" s="53">
        <v>1</v>
      </c>
      <c r="I1406" s="53" t="s">
        <v>130</v>
      </c>
      <c r="J1406" s="53">
        <v>1</v>
      </c>
      <c r="K1406" s="53">
        <v>0</v>
      </c>
      <c r="L1406" s="53">
        <v>7.8</v>
      </c>
      <c r="M1406" s="53" t="s">
        <v>1540</v>
      </c>
      <c r="N1406" s="53">
        <v>8.6</v>
      </c>
      <c r="O1406" s="51" t="str">
        <f>TEXT(tblWorkPackages[[#This Row],[Request date serial]]-WEEKDAY(tblWorkPackages[[#This Row],[Request date serial]],3),"yyyy-mm-dd")</f>
        <v>2024-07-08</v>
      </c>
      <c r="P1406" s="51">
        <f>ABS(tblWorkPackages[[#This Row],[Actual labor hours]]-tblWorkPackages[[#This Row],[Estimated labor hours]])</f>
        <v>0.8</v>
      </c>
      <c r="Q1406" s="51">
        <f>IF(tblWorkPackages[[#This Row],[Actual labor hours]]&gt;tblWorkPackages[[#This Row],[Estimated labor hours]],1,0)</f>
        <v>1</v>
      </c>
      <c r="R1406" s="51">
        <f>tblWorkPackages[[#This Row],[Actual labor hours]]-tblWorkPackages[[#This Row],[Estimated labor hours]]</f>
        <v>0.8</v>
      </c>
      <c r="S1406" s="51" t="str">
        <f>IF(tblWorkPackages[[#This Row],[Request date serial]]&lt;ValidationStart,"Train 2024",IF(tblWorkPackages[[#This Row],[Request date serial]]&lt;HoldoutStart,"Validation H1","Holdout H2"))</f>
        <v>Train 2024</v>
      </c>
      <c r="T1406" s="51" t="str">
        <f>IF(tblWorkPackages[[#This Row],[Time split]]="Train 2024","",tblWorkPackages[[#This Row],[Estimated labor hours]]+VLOOKUP(tblWorkPackages[[#This Row],[Task type]],'Forecast validation'!$A$14:$E$25,IF(tblWorkPackages[[#This Row],[Time split]]="Validation H1",4,5),FALSE()))</f>
        <v/>
      </c>
      <c r="U1406" s="51" t="str">
        <f>IF(tblWorkPackages[[#This Row],[Calibrated forecast hours]]="","",ABS(tblWorkPackages[[#This Row],[Actual labor hours]]-tblWorkPackages[[#This Row],[Calibrated forecast hours]]))</f>
        <v/>
      </c>
      <c r="V1406" s="51">
        <f>IF(tblWorkPackages[[#This Row],[Time split]]="Train 2024",tblWorkPackages[[#This Row],[Estimated labor hours]],tblWorkPackages[[#This Row],[Calibrated forecast hours]])</f>
        <v>7.8</v>
      </c>
      <c r="W1406" s="64">
        <f>DATEVALUE(tblWorkPackages[[#This Row],[Request date]])</f>
        <v>45483.0</v>
      </c>
      <c r="X1406" s="64">
        <f>DATEVALUE(tblWorkPackages[[#This Row],[Due date]])</f>
        <v>45496.0</v>
      </c>
      <c r="Y1406" s="64">
        <f>DATEVALUE(tblWorkPackages[[#This Row],[Completion date]])</f>
        <v>45486.0</v>
      </c>
      <c r="Z1406" s="64">
        <f>_xlfn.MINIFS(tblLaborEntries[Work date serial],tblLaborEntries[Work package ID],tblWorkPackages[[#This Row],[Work package ID]])</f>
        <v>45486.0</v>
      </c>
      <c r="AA1406" s="64">
        <f>_xlfn.MAXIFS(tblLaborEntries[Work date serial],tblLaborEntries[Work package ID],tblWorkPackages[[#This Row],[Work package ID]])</f>
        <v>45486.0</v>
      </c>
      <c r="AB1406" s="65">
        <f>IF(tblWorkPackages[[#This Row],[Completion date serial]]&gt;tblWorkPackages[[#This Row],[Due date serial]],1,0)</f>
        <v>0</v>
      </c>
      <c r="AC1406" s="65">
        <f>MAX(0,tblWorkPackages[[#This Row],[Completion date serial]]-tblWorkPackages[[#This Row],[Due date serial]])</f>
        <v>0</v>
      </c>
      <c r="AD1406" s="65">
        <f>tblWorkPackages[[#This Row],[First labor date]]-tblWorkPackages[[#This Row],[Request date serial]]</f>
        <v>3</v>
      </c>
      <c r="AE1406" s="65">
        <f>tblWorkPackages[[#This Row],[Last labor date]]-tblWorkPackages[[#This Row],[First labor date]]</f>
        <v>0</v>
      </c>
      <c r="AF1406" s="65">
        <f>tblWorkPackages[[#This Row],[Completion date serial]]-tblWorkPackages[[#This Row],[Last labor date]]</f>
        <v>0</v>
      </c>
      <c r="AG1406" s="65">
        <f>tblWorkPackages[[#This Row],[Completion date serial]]-tblWorkPackages[[#This Row],[Request date serial]]</f>
        <v>3</v>
      </c>
      <c r="AH1406" s="65">
        <f>IFERROR(INDEX(tblParts[Delay days],MATCH(tblWorkPackages[[#This Row],[Work package ID]],tblParts[Work package ID],0)),0)</f>
        <v>0</v>
      </c>
      <c r="AI1406" s="51" t="str">
        <f>IFERROR(INDEX(tblDisruptions[Event type],MATCH(tblWorkPackages[[#This Row],[Work package ID]],tblDisruptions[Work package ID],0)),"None")</f>
        <v>None</v>
      </c>
      <c r="AJ1406" s="51" t="str">
        <f>TEXT(tblWorkPackages[[#This Row],[Due date serial]],"yyyy-mm")</f>
        <v>2024-07</v>
      </c>
    </row>
    <row r="1407" spans="1:36" ht="15" x14ac:dyDescent="0.25">
      <c r="A1407" s="53" t="s">
        <v>2315</v>
      </c>
      <c r="B1407" s="53" t="s">
        <v>185</v>
      </c>
      <c r="C1407" s="53" t="s">
        <v>981</v>
      </c>
      <c r="D1407" s="53" t="s">
        <v>244</v>
      </c>
      <c r="E1407" s="53" t="s">
        <v>200</v>
      </c>
      <c r="F1407" s="53" t="s">
        <v>128</v>
      </c>
      <c r="G1407" s="53" t="s">
        <v>129</v>
      </c>
      <c r="H1407" s="53">
        <v>2</v>
      </c>
      <c r="I1407" s="53" t="s">
        <v>130</v>
      </c>
      <c r="J1407" s="53">
        <v>0</v>
      </c>
      <c r="K1407" s="53">
        <v>0</v>
      </c>
      <c r="L1407" s="53">
        <v>2.9</v>
      </c>
      <c r="M1407" s="53" t="s">
        <v>1073</v>
      </c>
      <c r="N1407" s="53">
        <v>3.1</v>
      </c>
      <c r="O1407" s="51" t="str">
        <f>TEXT(tblWorkPackages[[#This Row],[Request date serial]]-WEEKDAY(tblWorkPackages[[#This Row],[Request date serial]],3),"yyyy-mm-dd")</f>
        <v>2024-11-04</v>
      </c>
      <c r="P1407" s="51">
        <f>ABS(tblWorkPackages[[#This Row],[Actual labor hours]]-tblWorkPackages[[#This Row],[Estimated labor hours]])</f>
        <v>0.2</v>
      </c>
      <c r="Q1407" s="51">
        <f>IF(tblWorkPackages[[#This Row],[Actual labor hours]]&gt;tblWorkPackages[[#This Row],[Estimated labor hours]],1,0)</f>
        <v>1</v>
      </c>
      <c r="R1407" s="51">
        <f>tblWorkPackages[[#This Row],[Actual labor hours]]-tblWorkPackages[[#This Row],[Estimated labor hours]]</f>
        <v>0.2</v>
      </c>
      <c r="S1407" s="51" t="str">
        <f>IF(tblWorkPackages[[#This Row],[Request date serial]]&lt;ValidationStart,"Train 2024",IF(tblWorkPackages[[#This Row],[Request date serial]]&lt;HoldoutStart,"Validation H1","Holdout H2"))</f>
        <v>Train 2024</v>
      </c>
      <c r="T1407" s="51" t="str">
        <f>IF(tblWorkPackages[[#This Row],[Time split]]="Train 2024","",tblWorkPackages[[#This Row],[Estimated labor hours]]+VLOOKUP(tblWorkPackages[[#This Row],[Task type]],'Forecast validation'!$A$14:$E$25,IF(tblWorkPackages[[#This Row],[Time split]]="Validation H1",4,5),FALSE()))</f>
        <v/>
      </c>
      <c r="U1407" s="51" t="str">
        <f>IF(tblWorkPackages[[#This Row],[Calibrated forecast hours]]="","",ABS(tblWorkPackages[[#This Row],[Actual labor hours]]-tblWorkPackages[[#This Row],[Calibrated forecast hours]]))</f>
        <v/>
      </c>
      <c r="V1407" s="51">
        <f>IF(tblWorkPackages[[#This Row],[Time split]]="Train 2024",tblWorkPackages[[#This Row],[Estimated labor hours]],tblWorkPackages[[#This Row],[Calibrated forecast hours]])</f>
        <v>2.9</v>
      </c>
      <c r="W1407" s="64">
        <f>DATEVALUE(tblWorkPackages[[#This Row],[Request date]])</f>
        <v>45601.0</v>
      </c>
      <c r="X1407" s="64">
        <f>DATEVALUE(tblWorkPackages[[#This Row],[Due date]])</f>
        <v>45614.0</v>
      </c>
      <c r="Y1407" s="64">
        <f>DATEVALUE(tblWorkPackages[[#This Row],[Completion date]])</f>
        <v>45642.0</v>
      </c>
      <c r="Z1407" s="64">
        <f>_xlfn.MINIFS(tblLaborEntries[Work date serial],tblLaborEntries[Work package ID],tblWorkPackages[[#This Row],[Work package ID]])</f>
        <v>45640.0</v>
      </c>
      <c r="AA1407" s="64">
        <f>_xlfn.MAXIFS(tblLaborEntries[Work date serial],tblLaborEntries[Work package ID],tblWorkPackages[[#This Row],[Work package ID]])</f>
        <v>45641.0</v>
      </c>
      <c r="AB1407" s="65">
        <f>IF(tblWorkPackages[[#This Row],[Completion date serial]]&gt;tblWorkPackages[[#This Row],[Due date serial]],1,0)</f>
        <v>1</v>
      </c>
      <c r="AC1407" s="65">
        <f>MAX(0,tblWorkPackages[[#This Row],[Completion date serial]]-tblWorkPackages[[#This Row],[Due date serial]])</f>
        <v>28</v>
      </c>
      <c r="AD1407" s="65">
        <f>tblWorkPackages[[#This Row],[First labor date]]-tblWorkPackages[[#This Row],[Request date serial]]</f>
        <v>39</v>
      </c>
      <c r="AE1407" s="65">
        <f>tblWorkPackages[[#This Row],[Last labor date]]-tblWorkPackages[[#This Row],[First labor date]]</f>
        <v>1</v>
      </c>
      <c r="AF1407" s="65">
        <f>tblWorkPackages[[#This Row],[Completion date serial]]-tblWorkPackages[[#This Row],[Last labor date]]</f>
        <v>1</v>
      </c>
      <c r="AG1407" s="65">
        <f>tblWorkPackages[[#This Row],[Completion date serial]]-tblWorkPackages[[#This Row],[Request date serial]]</f>
        <v>41</v>
      </c>
      <c r="AH1407" s="65">
        <f>IFERROR(INDEX(tblParts[Delay days],MATCH(tblWorkPackages[[#This Row],[Work package ID]],tblParts[Work package ID],0)),0)</f>
        <v>0</v>
      </c>
      <c r="AI1407" s="51" t="str">
        <f>IFERROR(INDEX(tblDisruptions[Event type],MATCH(tblWorkPackages[[#This Row],[Work package ID]],tblDisruptions[Work package ID],0)),"None")</f>
        <v>Technician absence</v>
      </c>
      <c r="AJ1407" s="51" t="str">
        <f>TEXT(tblWorkPackages[[#This Row],[Due date serial]],"yyyy-mm")</f>
        <v>2024-11</v>
      </c>
    </row>
    <row r="1408" spans="1:36" ht="15" x14ac:dyDescent="0.25">
      <c r="A1408" s="53" t="s">
        <v>2316</v>
      </c>
      <c r="B1408" s="53" t="s">
        <v>124</v>
      </c>
      <c r="C1408" s="53" t="s">
        <v>729</v>
      </c>
      <c r="D1408" s="53" t="s">
        <v>740</v>
      </c>
      <c r="E1408" s="53" t="s">
        <v>200</v>
      </c>
      <c r="F1408" s="53" t="s">
        <v>128</v>
      </c>
      <c r="G1408" s="53" t="s">
        <v>129</v>
      </c>
      <c r="H1408" s="53">
        <v>3</v>
      </c>
      <c r="I1408" s="53" t="s">
        <v>130</v>
      </c>
      <c r="J1408" s="53">
        <v>0</v>
      </c>
      <c r="K1408" s="53">
        <v>0</v>
      </c>
      <c r="L1408" s="53">
        <v>4.7</v>
      </c>
      <c r="M1408" s="53" t="s">
        <v>126</v>
      </c>
      <c r="N1408" s="53">
        <v>4.0999999999999996</v>
      </c>
      <c r="O1408" s="51" t="str">
        <f>TEXT(tblWorkPackages[[#This Row],[Request date serial]]-WEEKDAY(tblWorkPackages[[#This Row],[Request date serial]],3),"yyyy-mm-dd")</f>
        <v>2025-05-05</v>
      </c>
      <c r="P1408" s="51">
        <f>ABS(tblWorkPackages[[#This Row],[Actual labor hours]]-tblWorkPackages[[#This Row],[Estimated labor hours]])</f>
        <v>0.600000000000001</v>
      </c>
      <c r="Q1408" s="51">
        <f>IF(tblWorkPackages[[#This Row],[Actual labor hours]]&gt;tblWorkPackages[[#This Row],[Estimated labor hours]],1,0)</f>
        <v>0</v>
      </c>
      <c r="R1408" s="51">
        <f>tblWorkPackages[[#This Row],[Actual labor hours]]-tblWorkPackages[[#This Row],[Estimated labor hours]]</f>
        <v>-0.600000000000001</v>
      </c>
      <c r="S1408" s="51" t="str">
        <f>IF(tblWorkPackages[[#This Row],[Request date serial]]&lt;ValidationStart,"Train 2024",IF(tblWorkPackages[[#This Row],[Request date serial]]&lt;HoldoutStart,"Validation H1","Holdout H2"))</f>
        <v>Validation H1</v>
      </c>
      <c r="T1408" s="51">
        <f>IF(tblWorkPackages[[#This Row],[Time split]]="Train 2024","",tblWorkPackages[[#This Row],[Estimated labor hours]]+VLOOKUP(tblWorkPackages[[#This Row],[Task type]],'Forecast validation'!$A$14:$E$25,IF(tblWorkPackages[[#This Row],[Time split]]="Validation H1",4,5),FALSE()))</f>
        <v>5.03069306930693</v>
      </c>
      <c r="U1408" s="51">
        <f>IF(tblWorkPackages[[#This Row],[Calibrated forecast hours]]="","",ABS(tblWorkPackages[[#This Row],[Actual labor hours]]-tblWorkPackages[[#This Row],[Calibrated forecast hours]]))</f>
        <v>0.930693069306932</v>
      </c>
      <c r="V1408" s="51">
        <f>IF(tblWorkPackages[[#This Row],[Time split]]="Train 2024",tblWorkPackages[[#This Row],[Estimated labor hours]],tblWorkPackages[[#This Row],[Calibrated forecast hours]])</f>
        <v>5.03069306930693</v>
      </c>
      <c r="W1408" s="64">
        <f>DATEVALUE(tblWorkPackages[[#This Row],[Request date]])</f>
        <v>45784.0</v>
      </c>
      <c r="X1408" s="64">
        <f>DATEVALUE(tblWorkPackages[[#This Row],[Due date]])</f>
        <v>45797.0</v>
      </c>
      <c r="Y1408" s="64">
        <f>DATEVALUE(tblWorkPackages[[#This Row],[Completion date]])</f>
        <v>45793.0</v>
      </c>
      <c r="Z1408" s="64">
        <f>_xlfn.MINIFS(tblLaborEntries[Work date serial],tblLaborEntries[Work package ID],tblWorkPackages[[#This Row],[Work package ID]])</f>
        <v>45791.0</v>
      </c>
      <c r="AA1408" s="64">
        <f>_xlfn.MAXIFS(tblLaborEntries[Work date serial],tblLaborEntries[Work package ID],tblWorkPackages[[#This Row],[Work package ID]])</f>
        <v>45791.0</v>
      </c>
      <c r="AB1408" s="65">
        <f>IF(tblWorkPackages[[#This Row],[Completion date serial]]&gt;tblWorkPackages[[#This Row],[Due date serial]],1,0)</f>
        <v>0</v>
      </c>
      <c r="AC1408" s="65">
        <f>MAX(0,tblWorkPackages[[#This Row],[Completion date serial]]-tblWorkPackages[[#This Row],[Due date serial]])</f>
        <v>0</v>
      </c>
      <c r="AD1408" s="65">
        <f>tblWorkPackages[[#This Row],[First labor date]]-tblWorkPackages[[#This Row],[Request date serial]]</f>
        <v>7</v>
      </c>
      <c r="AE1408" s="65">
        <f>tblWorkPackages[[#This Row],[Last labor date]]-tblWorkPackages[[#This Row],[First labor date]]</f>
        <v>0</v>
      </c>
      <c r="AF1408" s="65">
        <f>tblWorkPackages[[#This Row],[Completion date serial]]-tblWorkPackages[[#This Row],[Last labor date]]</f>
        <v>2</v>
      </c>
      <c r="AG1408" s="65">
        <f>tblWorkPackages[[#This Row],[Completion date serial]]-tblWorkPackages[[#This Row],[Request date serial]]</f>
        <v>9</v>
      </c>
      <c r="AH1408" s="65">
        <f>IFERROR(INDEX(tblParts[Delay days],MATCH(tblWorkPackages[[#This Row],[Work package ID]],tblParts[Work package ID],0)),0)</f>
        <v>0</v>
      </c>
      <c r="AI1408" s="51" t="str">
        <f>IFERROR(INDEX(tblDisruptions[Event type],MATCH(tblWorkPackages[[#This Row],[Work package ID]],tblDisruptions[Work package ID],0)),"None")</f>
        <v>None</v>
      </c>
      <c r="AJ1408" s="51" t="str">
        <f>TEXT(tblWorkPackages[[#This Row],[Due date serial]],"yyyy-mm")</f>
        <v>2025-05</v>
      </c>
    </row>
    <row r="1409" spans="1:36" ht="15" x14ac:dyDescent="0.25">
      <c r="A1409" s="53" t="s">
        <v>2317</v>
      </c>
      <c r="B1409" s="53" t="s">
        <v>173</v>
      </c>
      <c r="C1409" s="53" t="s">
        <v>685</v>
      </c>
      <c r="D1409" s="53" t="s">
        <v>686</v>
      </c>
      <c r="E1409" s="53" t="s">
        <v>181</v>
      </c>
      <c r="F1409" s="53" t="s">
        <v>182</v>
      </c>
      <c r="G1409" s="53" t="s">
        <v>138</v>
      </c>
      <c r="H1409" s="53">
        <v>4</v>
      </c>
      <c r="I1409" s="53" t="s">
        <v>130</v>
      </c>
      <c r="J1409" s="53">
        <v>0</v>
      </c>
      <c r="K1409" s="53">
        <v>0</v>
      </c>
      <c r="L1409" s="53">
        <v>14.8</v>
      </c>
      <c r="M1409" s="53" t="s">
        <v>446</v>
      </c>
      <c r="N1409" s="53">
        <v>12.3</v>
      </c>
      <c r="O1409" s="51" t="str">
        <f>TEXT(tblWorkPackages[[#This Row],[Request date serial]]-WEEKDAY(tblWorkPackages[[#This Row],[Request date serial]],3),"yyyy-mm-dd")</f>
        <v>2025-03-10</v>
      </c>
      <c r="P1409" s="51">
        <f>ABS(tblWorkPackages[[#This Row],[Actual labor hours]]-tblWorkPackages[[#This Row],[Estimated labor hours]])</f>
        <v>2.5</v>
      </c>
      <c r="Q1409" s="51">
        <f>IF(tblWorkPackages[[#This Row],[Actual labor hours]]&gt;tblWorkPackages[[#This Row],[Estimated labor hours]],1,0)</f>
        <v>0</v>
      </c>
      <c r="R1409" s="51">
        <f>tblWorkPackages[[#This Row],[Actual labor hours]]-tblWorkPackages[[#This Row],[Estimated labor hours]]</f>
        <v>-2.5</v>
      </c>
      <c r="S1409" s="51" t="str">
        <f>IF(tblWorkPackages[[#This Row],[Request date serial]]&lt;ValidationStart,"Train 2024",IF(tblWorkPackages[[#This Row],[Request date serial]]&lt;HoldoutStart,"Validation H1","Holdout H2"))</f>
        <v>Validation H1</v>
      </c>
      <c r="T1409" s="51">
        <f>IF(tblWorkPackages[[#This Row],[Time split]]="Train 2024","",tblWorkPackages[[#This Row],[Estimated labor hours]]+VLOOKUP(tblWorkPackages[[#This Row],[Task type]],'Forecast validation'!$A$14:$E$25,IF(tblWorkPackages[[#This Row],[Time split]]="Validation H1",4,5),FALSE()))</f>
        <v>15.3840909090909</v>
      </c>
      <c r="U1409" s="51">
        <f>IF(tblWorkPackages[[#This Row],[Calibrated forecast hours]]="","",ABS(tblWorkPackages[[#This Row],[Actual labor hours]]-tblWorkPackages[[#This Row],[Calibrated forecast hours]]))</f>
        <v>3.08409090909091</v>
      </c>
      <c r="V1409" s="51">
        <f>IF(tblWorkPackages[[#This Row],[Time split]]="Train 2024",tblWorkPackages[[#This Row],[Estimated labor hours]],tblWorkPackages[[#This Row],[Calibrated forecast hours]])</f>
        <v>15.3840909090909</v>
      </c>
      <c r="W1409" s="64">
        <f>DATEVALUE(tblWorkPackages[[#This Row],[Request date]])</f>
        <v>45730.0</v>
      </c>
      <c r="X1409" s="64">
        <f>DATEVALUE(tblWorkPackages[[#This Row],[Due date]])</f>
        <v>45743.0</v>
      </c>
      <c r="Y1409" s="64">
        <f>DATEVALUE(tblWorkPackages[[#This Row],[Completion date]])</f>
        <v>45737.0</v>
      </c>
      <c r="Z1409" s="64">
        <f>_xlfn.MINIFS(tblLaborEntries[Work date serial],tblLaborEntries[Work package ID],tblWorkPackages[[#This Row],[Work package ID]])</f>
        <v>45732.0</v>
      </c>
      <c r="AA1409" s="64">
        <f>_xlfn.MAXIFS(tblLaborEntries[Work date serial],tblLaborEntries[Work package ID],tblWorkPackages[[#This Row],[Work package ID]])</f>
        <v>45734.0</v>
      </c>
      <c r="AB1409" s="65">
        <f>IF(tblWorkPackages[[#This Row],[Completion date serial]]&gt;tblWorkPackages[[#This Row],[Due date serial]],1,0)</f>
        <v>0</v>
      </c>
      <c r="AC1409" s="65">
        <f>MAX(0,tblWorkPackages[[#This Row],[Completion date serial]]-tblWorkPackages[[#This Row],[Due date serial]])</f>
        <v>0</v>
      </c>
      <c r="AD1409" s="65">
        <f>tblWorkPackages[[#This Row],[First labor date]]-tblWorkPackages[[#This Row],[Request date serial]]</f>
        <v>2</v>
      </c>
      <c r="AE1409" s="65">
        <f>tblWorkPackages[[#This Row],[Last labor date]]-tblWorkPackages[[#This Row],[First labor date]]</f>
        <v>2</v>
      </c>
      <c r="AF1409" s="65">
        <f>tblWorkPackages[[#This Row],[Completion date serial]]-tblWorkPackages[[#This Row],[Last labor date]]</f>
        <v>3</v>
      </c>
      <c r="AG1409" s="65">
        <f>tblWorkPackages[[#This Row],[Completion date serial]]-tblWorkPackages[[#This Row],[Request date serial]]</f>
        <v>7</v>
      </c>
      <c r="AH1409" s="65">
        <f>IFERROR(INDEX(tblParts[Delay days],MATCH(tblWorkPackages[[#This Row],[Work package ID]],tblParts[Work package ID],0)),0)</f>
        <v>0</v>
      </c>
      <c r="AI1409" s="51" t="str">
        <f>IFERROR(INDEX(tblDisruptions[Event type],MATCH(tblWorkPackages[[#This Row],[Work package ID]],tblDisruptions[Work package ID],0)),"None")</f>
        <v>None</v>
      </c>
      <c r="AJ1409" s="51" t="str">
        <f>TEXT(tblWorkPackages[[#This Row],[Due date serial]],"yyyy-mm")</f>
        <v>2025-03</v>
      </c>
    </row>
    <row r="1410" spans="1:36" ht="15" x14ac:dyDescent="0.25">
      <c r="A1410" s="53" t="s">
        <v>2318</v>
      </c>
      <c r="B1410" s="53" t="s">
        <v>287</v>
      </c>
      <c r="C1410" s="53" t="s">
        <v>600</v>
      </c>
      <c r="D1410" s="53" t="s">
        <v>877</v>
      </c>
      <c r="E1410" s="53" t="s">
        <v>223</v>
      </c>
      <c r="F1410" s="53" t="s">
        <v>182</v>
      </c>
      <c r="G1410" s="53" t="s">
        <v>154</v>
      </c>
      <c r="H1410" s="53">
        <v>2</v>
      </c>
      <c r="I1410" s="53" t="s">
        <v>176</v>
      </c>
      <c r="J1410" s="53">
        <v>0</v>
      </c>
      <c r="K1410" s="53">
        <v>0</v>
      </c>
      <c r="L1410" s="53">
        <v>11.3</v>
      </c>
      <c r="M1410" s="53" t="s">
        <v>817</v>
      </c>
      <c r="N1410" s="53">
        <v>13.9</v>
      </c>
      <c r="O1410" s="51" t="str">
        <f>TEXT(tblWorkPackages[[#This Row],[Request date serial]]-WEEKDAY(tblWorkPackages[[#This Row],[Request date serial]],3),"yyyy-mm-dd")</f>
        <v>2024-11-18</v>
      </c>
      <c r="P1410" s="51">
        <f>ABS(tblWorkPackages[[#This Row],[Actual labor hours]]-tblWorkPackages[[#This Row],[Estimated labor hours]])</f>
        <v>2.6</v>
      </c>
      <c r="Q1410" s="51">
        <f>IF(tblWorkPackages[[#This Row],[Actual labor hours]]&gt;tblWorkPackages[[#This Row],[Estimated labor hours]],1,0)</f>
        <v>1</v>
      </c>
      <c r="R1410" s="51">
        <f>tblWorkPackages[[#This Row],[Actual labor hours]]-tblWorkPackages[[#This Row],[Estimated labor hours]]</f>
        <v>2.6</v>
      </c>
      <c r="S1410" s="51" t="str">
        <f>IF(tblWorkPackages[[#This Row],[Request date serial]]&lt;ValidationStart,"Train 2024",IF(tblWorkPackages[[#This Row],[Request date serial]]&lt;HoldoutStart,"Validation H1","Holdout H2"))</f>
        <v>Train 2024</v>
      </c>
      <c r="T1410" s="51" t="str">
        <f>IF(tblWorkPackages[[#This Row],[Time split]]="Train 2024","",tblWorkPackages[[#This Row],[Estimated labor hours]]+VLOOKUP(tblWorkPackages[[#This Row],[Task type]],'Forecast validation'!$A$14:$E$25,IF(tblWorkPackages[[#This Row],[Time split]]="Validation H1",4,5),FALSE()))</f>
        <v/>
      </c>
      <c r="U1410" s="51" t="str">
        <f>IF(tblWorkPackages[[#This Row],[Calibrated forecast hours]]="","",ABS(tblWorkPackages[[#This Row],[Actual labor hours]]-tblWorkPackages[[#This Row],[Calibrated forecast hours]]))</f>
        <v/>
      </c>
      <c r="V1410" s="51">
        <f>IF(tblWorkPackages[[#This Row],[Time split]]="Train 2024",tblWorkPackages[[#This Row],[Estimated labor hours]],tblWorkPackages[[#This Row],[Calibrated forecast hours]])</f>
        <v>11.3</v>
      </c>
      <c r="W1410" s="64">
        <f>DATEVALUE(tblWorkPackages[[#This Row],[Request date]])</f>
        <v>45618.0</v>
      </c>
      <c r="X1410" s="64">
        <f>DATEVALUE(tblWorkPackages[[#This Row],[Due date]])</f>
        <v>45624.0</v>
      </c>
      <c r="Y1410" s="64">
        <f>DATEVALUE(tblWorkPackages[[#This Row],[Completion date]])</f>
        <v>45637.0</v>
      </c>
      <c r="Z1410" s="64">
        <f>_xlfn.MINIFS(tblLaborEntries[Work date serial],tblLaborEntries[Work package ID],tblWorkPackages[[#This Row],[Work package ID]])</f>
        <v>45635.0</v>
      </c>
      <c r="AA1410" s="64">
        <f>_xlfn.MAXIFS(tblLaborEntries[Work date serial],tblLaborEntries[Work package ID],tblWorkPackages[[#This Row],[Work package ID]])</f>
        <v>45637.0</v>
      </c>
      <c r="AB1410" s="65">
        <f>IF(tblWorkPackages[[#This Row],[Completion date serial]]&gt;tblWorkPackages[[#This Row],[Due date serial]],1,0)</f>
        <v>1</v>
      </c>
      <c r="AC1410" s="65">
        <f>MAX(0,tblWorkPackages[[#This Row],[Completion date serial]]-tblWorkPackages[[#This Row],[Due date serial]])</f>
        <v>13</v>
      </c>
      <c r="AD1410" s="65">
        <f>tblWorkPackages[[#This Row],[First labor date]]-tblWorkPackages[[#This Row],[Request date serial]]</f>
        <v>17</v>
      </c>
      <c r="AE1410" s="65">
        <f>tblWorkPackages[[#This Row],[Last labor date]]-tblWorkPackages[[#This Row],[First labor date]]</f>
        <v>2</v>
      </c>
      <c r="AF1410" s="65">
        <f>tblWorkPackages[[#This Row],[Completion date serial]]-tblWorkPackages[[#This Row],[Last labor date]]</f>
        <v>0</v>
      </c>
      <c r="AG1410" s="65">
        <f>tblWorkPackages[[#This Row],[Completion date serial]]-tblWorkPackages[[#This Row],[Request date serial]]</f>
        <v>19</v>
      </c>
      <c r="AH1410" s="65">
        <f>IFERROR(INDEX(tblParts[Delay days],MATCH(tblWorkPackages[[#This Row],[Work package ID]],tblParts[Work package ID],0)),0)</f>
        <v>0</v>
      </c>
      <c r="AI1410" s="51" t="str">
        <f>IFERROR(INDEX(tblDisruptions[Event type],MATCH(tblWorkPackages[[#This Row],[Work package ID]],tblDisruptions[Work package ID],0)),"None")</f>
        <v>None</v>
      </c>
      <c r="AJ1410" s="51" t="str">
        <f>TEXT(tblWorkPackages[[#This Row],[Due date serial]],"yyyy-mm")</f>
        <v>2024-11</v>
      </c>
    </row>
    <row r="1411" spans="1:36" ht="15" x14ac:dyDescent="0.25">
      <c r="A1411" s="53" t="s">
        <v>2319</v>
      </c>
      <c r="B1411" s="53" t="s">
        <v>150</v>
      </c>
      <c r="C1411" s="53" t="s">
        <v>945</v>
      </c>
      <c r="D1411" s="53" t="s">
        <v>296</v>
      </c>
      <c r="E1411" s="53" t="s">
        <v>223</v>
      </c>
      <c r="F1411" s="53" t="s">
        <v>182</v>
      </c>
      <c r="G1411" s="53" t="s">
        <v>154</v>
      </c>
      <c r="H1411" s="53">
        <v>1</v>
      </c>
      <c r="I1411" s="53" t="s">
        <v>147</v>
      </c>
      <c r="J1411" s="53">
        <v>0</v>
      </c>
      <c r="K1411" s="53">
        <v>0</v>
      </c>
      <c r="L1411" s="53">
        <v>8.1</v>
      </c>
      <c r="M1411" s="53" t="s">
        <v>264</v>
      </c>
      <c r="N1411" s="53">
        <v>6.9</v>
      </c>
      <c r="O1411" s="51" t="str">
        <f>TEXT(tblWorkPackages[[#This Row],[Request date serial]]-WEEKDAY(tblWorkPackages[[#This Row],[Request date serial]],3),"yyyy-mm-dd")</f>
        <v>2024-08-12</v>
      </c>
      <c r="P1411" s="51">
        <f>ABS(tblWorkPackages[[#This Row],[Actual labor hours]]-tblWorkPackages[[#This Row],[Estimated labor hours]])</f>
        <v>1.2</v>
      </c>
      <c r="Q1411" s="51">
        <f>IF(tblWorkPackages[[#This Row],[Actual labor hours]]&gt;tblWorkPackages[[#This Row],[Estimated labor hours]],1,0)</f>
        <v>0</v>
      </c>
      <c r="R1411" s="51">
        <f>tblWorkPackages[[#This Row],[Actual labor hours]]-tblWorkPackages[[#This Row],[Estimated labor hours]]</f>
        <v>-1.2</v>
      </c>
      <c r="S1411" s="51" t="str">
        <f>IF(tblWorkPackages[[#This Row],[Request date serial]]&lt;ValidationStart,"Train 2024",IF(tblWorkPackages[[#This Row],[Request date serial]]&lt;HoldoutStart,"Validation H1","Holdout H2"))</f>
        <v>Train 2024</v>
      </c>
      <c r="T1411" s="51" t="str">
        <f>IF(tblWorkPackages[[#This Row],[Time split]]="Train 2024","",tblWorkPackages[[#This Row],[Estimated labor hours]]+VLOOKUP(tblWorkPackages[[#This Row],[Task type]],'Forecast validation'!$A$14:$E$25,IF(tblWorkPackages[[#This Row],[Time split]]="Validation H1",4,5),FALSE()))</f>
        <v/>
      </c>
      <c r="U1411" s="51" t="str">
        <f>IF(tblWorkPackages[[#This Row],[Calibrated forecast hours]]="","",ABS(tblWorkPackages[[#This Row],[Actual labor hours]]-tblWorkPackages[[#This Row],[Calibrated forecast hours]]))</f>
        <v/>
      </c>
      <c r="V1411" s="51">
        <f>IF(tblWorkPackages[[#This Row],[Time split]]="Train 2024",tblWorkPackages[[#This Row],[Estimated labor hours]],tblWorkPackages[[#This Row],[Calibrated forecast hours]])</f>
        <v>8.1</v>
      </c>
      <c r="W1411" s="64">
        <f>DATEVALUE(tblWorkPackages[[#This Row],[Request date]])</f>
        <v>45521.0</v>
      </c>
      <c r="X1411" s="64">
        <f>DATEVALUE(tblWorkPackages[[#This Row],[Due date]])</f>
        <v>45523.0</v>
      </c>
      <c r="Y1411" s="64">
        <f>DATEVALUE(tblWorkPackages[[#This Row],[Completion date]])</f>
        <v>45528.0</v>
      </c>
      <c r="Z1411" s="64">
        <f>_xlfn.MINIFS(tblLaborEntries[Work date serial],tblLaborEntries[Work package ID],tblWorkPackages[[#This Row],[Work package ID]])</f>
        <v>45525.0</v>
      </c>
      <c r="AA1411" s="64">
        <f>_xlfn.MAXIFS(tblLaborEntries[Work date serial],tblLaborEntries[Work package ID],tblWorkPackages[[#This Row],[Work package ID]])</f>
        <v>45527.0</v>
      </c>
      <c r="AB1411" s="65">
        <f>IF(tblWorkPackages[[#This Row],[Completion date serial]]&gt;tblWorkPackages[[#This Row],[Due date serial]],1,0)</f>
        <v>1</v>
      </c>
      <c r="AC1411" s="65">
        <f>MAX(0,tblWorkPackages[[#This Row],[Completion date serial]]-tblWorkPackages[[#This Row],[Due date serial]])</f>
        <v>5</v>
      </c>
      <c r="AD1411" s="65">
        <f>tblWorkPackages[[#This Row],[First labor date]]-tblWorkPackages[[#This Row],[Request date serial]]</f>
        <v>4</v>
      </c>
      <c r="AE1411" s="65">
        <f>tblWorkPackages[[#This Row],[Last labor date]]-tblWorkPackages[[#This Row],[First labor date]]</f>
        <v>2</v>
      </c>
      <c r="AF1411" s="65">
        <f>tblWorkPackages[[#This Row],[Completion date serial]]-tblWorkPackages[[#This Row],[Last labor date]]</f>
        <v>1</v>
      </c>
      <c r="AG1411" s="65">
        <f>tblWorkPackages[[#This Row],[Completion date serial]]-tblWorkPackages[[#This Row],[Request date serial]]</f>
        <v>7</v>
      </c>
      <c r="AH1411" s="65">
        <f>IFERROR(INDEX(tblParts[Delay days],MATCH(tblWorkPackages[[#This Row],[Work package ID]],tblParts[Work package ID],0)),0)</f>
        <v>0</v>
      </c>
      <c r="AI1411" s="51" t="str">
        <f>IFERROR(INDEX(tblDisruptions[Event type],MATCH(tblWorkPackages[[#This Row],[Work package ID]],tblDisruptions[Work package ID],0)),"None")</f>
        <v>None</v>
      </c>
      <c r="AJ1411" s="51" t="str">
        <f>TEXT(tblWorkPackages[[#This Row],[Due date serial]],"yyyy-mm")</f>
        <v>2024-08</v>
      </c>
    </row>
    <row r="1412" spans="1:36" ht="15" x14ac:dyDescent="0.25">
      <c r="A1412" s="53" t="s">
        <v>2320</v>
      </c>
      <c r="B1412" s="53" t="s">
        <v>250</v>
      </c>
      <c r="C1412" s="53" t="s">
        <v>346</v>
      </c>
      <c r="D1412" s="53" t="s">
        <v>443</v>
      </c>
      <c r="E1412" s="53" t="s">
        <v>144</v>
      </c>
      <c r="F1412" s="53" t="s">
        <v>145</v>
      </c>
      <c r="G1412" s="53" t="s">
        <v>146</v>
      </c>
      <c r="H1412" s="53">
        <v>3</v>
      </c>
      <c r="I1412" s="53" t="s">
        <v>130</v>
      </c>
      <c r="J1412" s="53">
        <v>0</v>
      </c>
      <c r="K1412" s="53">
        <v>1</v>
      </c>
      <c r="L1412" s="53">
        <v>15</v>
      </c>
      <c r="M1412" s="53" t="s">
        <v>1813</v>
      </c>
      <c r="N1412" s="53">
        <v>17.8</v>
      </c>
      <c r="O1412" s="51" t="str">
        <f>TEXT(tblWorkPackages[[#This Row],[Request date serial]]-WEEKDAY(tblWorkPackages[[#This Row],[Request date serial]],3),"yyyy-mm-dd")</f>
        <v>2024-02-12</v>
      </c>
      <c r="P1412" s="51">
        <f>ABS(tblWorkPackages[[#This Row],[Actual labor hours]]-tblWorkPackages[[#This Row],[Estimated labor hours]])</f>
        <v>2.8</v>
      </c>
      <c r="Q1412" s="51">
        <f>IF(tblWorkPackages[[#This Row],[Actual labor hours]]&gt;tblWorkPackages[[#This Row],[Estimated labor hours]],1,0)</f>
        <v>1</v>
      </c>
      <c r="R1412" s="51">
        <f>tblWorkPackages[[#This Row],[Actual labor hours]]-tblWorkPackages[[#This Row],[Estimated labor hours]]</f>
        <v>2.8</v>
      </c>
      <c r="S1412" s="51" t="str">
        <f>IF(tblWorkPackages[[#This Row],[Request date serial]]&lt;ValidationStart,"Train 2024",IF(tblWorkPackages[[#This Row],[Request date serial]]&lt;HoldoutStart,"Validation H1","Holdout H2"))</f>
        <v>Train 2024</v>
      </c>
      <c r="T1412" s="51" t="str">
        <f>IF(tblWorkPackages[[#This Row],[Time split]]="Train 2024","",tblWorkPackages[[#This Row],[Estimated labor hours]]+VLOOKUP(tblWorkPackages[[#This Row],[Task type]],'Forecast validation'!$A$14:$E$25,IF(tblWorkPackages[[#This Row],[Time split]]="Validation H1",4,5),FALSE()))</f>
        <v/>
      </c>
      <c r="U1412" s="51" t="str">
        <f>IF(tblWorkPackages[[#This Row],[Calibrated forecast hours]]="","",ABS(tblWorkPackages[[#This Row],[Actual labor hours]]-tblWorkPackages[[#This Row],[Calibrated forecast hours]]))</f>
        <v/>
      </c>
      <c r="V1412" s="51">
        <f>IF(tblWorkPackages[[#This Row],[Time split]]="Train 2024",tblWorkPackages[[#This Row],[Estimated labor hours]],tblWorkPackages[[#This Row],[Calibrated forecast hours]])</f>
        <v>15</v>
      </c>
      <c r="W1412" s="64">
        <f>DATEVALUE(tblWorkPackages[[#This Row],[Request date]])</f>
        <v>45338.0</v>
      </c>
      <c r="X1412" s="64">
        <f>DATEVALUE(tblWorkPackages[[#This Row],[Due date]])</f>
        <v>45351.0</v>
      </c>
      <c r="Y1412" s="64">
        <f>DATEVALUE(tblWorkPackages[[#This Row],[Completion date]])</f>
        <v>45342.0</v>
      </c>
      <c r="Z1412" s="64">
        <f>_xlfn.MINIFS(tblLaborEntries[Work date serial],tblLaborEntries[Work package ID],tblWorkPackages[[#This Row],[Work package ID]])</f>
        <v>45339.0</v>
      </c>
      <c r="AA1412" s="64">
        <f>_xlfn.MAXIFS(tblLaborEntries[Work date serial],tblLaborEntries[Work package ID],tblWorkPackages[[#This Row],[Work package ID]])</f>
        <v>45340.0</v>
      </c>
      <c r="AB1412" s="65">
        <f>IF(tblWorkPackages[[#This Row],[Completion date serial]]&gt;tblWorkPackages[[#This Row],[Due date serial]],1,0)</f>
        <v>0</v>
      </c>
      <c r="AC1412" s="65">
        <f>MAX(0,tblWorkPackages[[#This Row],[Completion date serial]]-tblWorkPackages[[#This Row],[Due date serial]])</f>
        <v>0</v>
      </c>
      <c r="AD1412" s="65">
        <f>tblWorkPackages[[#This Row],[First labor date]]-tblWorkPackages[[#This Row],[Request date serial]]</f>
        <v>1</v>
      </c>
      <c r="AE1412" s="65">
        <f>tblWorkPackages[[#This Row],[Last labor date]]-tblWorkPackages[[#This Row],[First labor date]]</f>
        <v>1</v>
      </c>
      <c r="AF1412" s="65">
        <f>tblWorkPackages[[#This Row],[Completion date serial]]-tblWorkPackages[[#This Row],[Last labor date]]</f>
        <v>2</v>
      </c>
      <c r="AG1412" s="65">
        <f>tblWorkPackages[[#This Row],[Completion date serial]]-tblWorkPackages[[#This Row],[Request date serial]]</f>
        <v>4</v>
      </c>
      <c r="AH1412" s="65">
        <f>IFERROR(INDEX(tblParts[Delay days],MATCH(tblWorkPackages[[#This Row],[Work package ID]],tblParts[Work package ID],0)),0)</f>
        <v>0</v>
      </c>
      <c r="AI1412" s="51" t="str">
        <f>IFERROR(INDEX(tblDisruptions[Event type],MATCH(tblWorkPackages[[#This Row],[Work package ID]],tblDisruptions[Work package ID],0)),"None")</f>
        <v>None</v>
      </c>
      <c r="AJ1412" s="51" t="str">
        <f>TEXT(tblWorkPackages[[#This Row],[Due date serial]],"yyyy-mm")</f>
        <v>2024-02</v>
      </c>
    </row>
    <row r="1413" spans="1:36" ht="15" x14ac:dyDescent="0.25">
      <c r="A1413" s="53" t="s">
        <v>2321</v>
      </c>
      <c r="B1413" s="53" t="s">
        <v>157</v>
      </c>
      <c r="C1413" s="53" t="s">
        <v>1042</v>
      </c>
      <c r="D1413" s="53" t="s">
        <v>830</v>
      </c>
      <c r="E1413" s="53" t="s">
        <v>160</v>
      </c>
      <c r="F1413" s="53" t="s">
        <v>128</v>
      </c>
      <c r="G1413" s="53" t="s">
        <v>138</v>
      </c>
      <c r="H1413" s="53">
        <v>4</v>
      </c>
      <c r="I1413" s="53" t="s">
        <v>176</v>
      </c>
      <c r="J1413" s="53">
        <v>0</v>
      </c>
      <c r="K1413" s="53">
        <v>0</v>
      </c>
      <c r="L1413" s="53">
        <v>7.3</v>
      </c>
      <c r="M1413" s="53" t="s">
        <v>1346</v>
      </c>
      <c r="N1413" s="53">
        <v>9.3000000000000007</v>
      </c>
      <c r="O1413" s="51" t="str">
        <f>TEXT(tblWorkPackages[[#This Row],[Request date serial]]-WEEKDAY(tblWorkPackages[[#This Row],[Request date serial]],3),"yyyy-mm-dd")</f>
        <v>2024-08-12</v>
      </c>
      <c r="P1413" s="51">
        <f>ABS(tblWorkPackages[[#This Row],[Actual labor hours]]-tblWorkPackages[[#This Row],[Estimated labor hours]])</f>
        <v>2</v>
      </c>
      <c r="Q1413" s="51">
        <f>IF(tblWorkPackages[[#This Row],[Actual labor hours]]&gt;tblWorkPackages[[#This Row],[Estimated labor hours]],1,0)</f>
        <v>1</v>
      </c>
      <c r="R1413" s="51">
        <f>tblWorkPackages[[#This Row],[Actual labor hours]]-tblWorkPackages[[#This Row],[Estimated labor hours]]</f>
        <v>2</v>
      </c>
      <c r="S1413" s="51" t="str">
        <f>IF(tblWorkPackages[[#This Row],[Request date serial]]&lt;ValidationStart,"Train 2024",IF(tblWorkPackages[[#This Row],[Request date serial]]&lt;HoldoutStart,"Validation H1","Holdout H2"))</f>
        <v>Train 2024</v>
      </c>
      <c r="T1413" s="51" t="str">
        <f>IF(tblWorkPackages[[#This Row],[Time split]]="Train 2024","",tblWorkPackages[[#This Row],[Estimated labor hours]]+VLOOKUP(tblWorkPackages[[#This Row],[Task type]],'Forecast validation'!$A$14:$E$25,IF(tblWorkPackages[[#This Row],[Time split]]="Validation H1",4,5),FALSE()))</f>
        <v/>
      </c>
      <c r="U1413" s="51" t="str">
        <f>IF(tblWorkPackages[[#This Row],[Calibrated forecast hours]]="","",ABS(tblWorkPackages[[#This Row],[Actual labor hours]]-tblWorkPackages[[#This Row],[Calibrated forecast hours]]))</f>
        <v/>
      </c>
      <c r="V1413" s="51">
        <f>IF(tblWorkPackages[[#This Row],[Time split]]="Train 2024",tblWorkPackages[[#This Row],[Estimated labor hours]],tblWorkPackages[[#This Row],[Calibrated forecast hours]])</f>
        <v>7.3</v>
      </c>
      <c r="W1413" s="64">
        <f>DATEVALUE(tblWorkPackages[[#This Row],[Request date]])</f>
        <v>45518.0</v>
      </c>
      <c r="X1413" s="64">
        <f>DATEVALUE(tblWorkPackages[[#This Row],[Due date]])</f>
        <v>45524.0</v>
      </c>
      <c r="Y1413" s="64">
        <f>DATEVALUE(tblWorkPackages[[#This Row],[Completion date]])</f>
        <v>45532.0</v>
      </c>
      <c r="Z1413" s="64">
        <f>_xlfn.MINIFS(tblLaborEntries[Work date serial],tblLaborEntries[Work package ID],tblWorkPackages[[#This Row],[Work package ID]])</f>
        <v>45529.0</v>
      </c>
      <c r="AA1413" s="64">
        <f>_xlfn.MAXIFS(tblLaborEntries[Work date serial],tblLaborEntries[Work package ID],tblWorkPackages[[#This Row],[Work package ID]])</f>
        <v>45529.0</v>
      </c>
      <c r="AB1413" s="65">
        <f>IF(tblWorkPackages[[#This Row],[Completion date serial]]&gt;tblWorkPackages[[#This Row],[Due date serial]],1,0)</f>
        <v>1</v>
      </c>
      <c r="AC1413" s="65">
        <f>MAX(0,tblWorkPackages[[#This Row],[Completion date serial]]-tblWorkPackages[[#This Row],[Due date serial]])</f>
        <v>8</v>
      </c>
      <c r="AD1413" s="65">
        <f>tblWorkPackages[[#This Row],[First labor date]]-tblWorkPackages[[#This Row],[Request date serial]]</f>
        <v>11</v>
      </c>
      <c r="AE1413" s="65">
        <f>tblWorkPackages[[#This Row],[Last labor date]]-tblWorkPackages[[#This Row],[First labor date]]</f>
        <v>0</v>
      </c>
      <c r="AF1413" s="65">
        <f>tblWorkPackages[[#This Row],[Completion date serial]]-tblWorkPackages[[#This Row],[Last labor date]]</f>
        <v>3</v>
      </c>
      <c r="AG1413" s="65">
        <f>tblWorkPackages[[#This Row],[Completion date serial]]-tblWorkPackages[[#This Row],[Request date serial]]</f>
        <v>14</v>
      </c>
      <c r="AH1413" s="65">
        <f>IFERROR(INDEX(tblParts[Delay days],MATCH(tblWorkPackages[[#This Row],[Work package ID]],tblParts[Work package ID],0)),0)</f>
        <v>0</v>
      </c>
      <c r="AI1413" s="51" t="str">
        <f>IFERROR(INDEX(tblDisruptions[Event type],MATCH(tblWorkPackages[[#This Row],[Work package ID]],tblDisruptions[Work package ID],0)),"None")</f>
        <v>None</v>
      </c>
      <c r="AJ1413" s="51" t="str">
        <f>TEXT(tblWorkPackages[[#This Row],[Due date serial]],"yyyy-mm")</f>
        <v>2024-08</v>
      </c>
    </row>
    <row r="1414" spans="1:36" ht="15" x14ac:dyDescent="0.25">
      <c r="A1414" s="53" t="s">
        <v>2322</v>
      </c>
      <c r="B1414" s="53" t="s">
        <v>133</v>
      </c>
      <c r="C1414" s="53" t="s">
        <v>492</v>
      </c>
      <c r="D1414" s="53" t="s">
        <v>886</v>
      </c>
      <c r="E1414" s="53" t="s">
        <v>237</v>
      </c>
      <c r="F1414" s="53" t="s">
        <v>182</v>
      </c>
      <c r="G1414" s="53" t="s">
        <v>138</v>
      </c>
      <c r="H1414" s="53">
        <v>2</v>
      </c>
      <c r="I1414" s="53" t="s">
        <v>130</v>
      </c>
      <c r="J1414" s="53">
        <v>0</v>
      </c>
      <c r="K1414" s="53">
        <v>1</v>
      </c>
      <c r="L1414" s="53">
        <v>4.7</v>
      </c>
      <c r="M1414" s="53" t="s">
        <v>313</v>
      </c>
      <c r="N1414" s="53">
        <v>4.5</v>
      </c>
      <c r="O1414" s="51" t="str">
        <f>TEXT(tblWorkPackages[[#This Row],[Request date serial]]-WEEKDAY(tblWorkPackages[[#This Row],[Request date serial]],3),"yyyy-mm-dd")</f>
        <v>2025-08-25</v>
      </c>
      <c r="P1414" s="51">
        <f>ABS(tblWorkPackages[[#This Row],[Actual labor hours]]-tblWorkPackages[[#This Row],[Estimated labor hours]])</f>
        <v>0.2</v>
      </c>
      <c r="Q1414" s="51">
        <f>IF(tblWorkPackages[[#This Row],[Actual labor hours]]&gt;tblWorkPackages[[#This Row],[Estimated labor hours]],1,0)</f>
        <v>0</v>
      </c>
      <c r="R1414" s="51">
        <f>tblWorkPackages[[#This Row],[Actual labor hours]]-tblWorkPackages[[#This Row],[Estimated labor hours]]</f>
        <v>-0.2</v>
      </c>
      <c r="S1414" s="51" t="str">
        <f>IF(tblWorkPackages[[#This Row],[Request date serial]]&lt;ValidationStart,"Train 2024",IF(tblWorkPackages[[#This Row],[Request date serial]]&lt;HoldoutStart,"Validation H1","Holdout H2"))</f>
        <v>Holdout H2</v>
      </c>
      <c r="T1414" s="51">
        <f>IF(tblWorkPackages[[#This Row],[Time split]]="Train 2024","",tblWorkPackages[[#This Row],[Estimated labor hours]]+VLOOKUP(tblWorkPackages[[#This Row],[Task type]],'Forecast validation'!$A$14:$E$25,IF(tblWorkPackages[[#This Row],[Time split]]="Validation H1",4,5),FALSE()))</f>
        <v>5.153125</v>
      </c>
      <c r="U1414" s="51">
        <f>IF(tblWorkPackages[[#This Row],[Calibrated forecast hours]]="","",ABS(tblWorkPackages[[#This Row],[Actual labor hours]]-tblWorkPackages[[#This Row],[Calibrated forecast hours]]))</f>
        <v>0.653125</v>
      </c>
      <c r="V1414" s="51">
        <f>IF(tblWorkPackages[[#This Row],[Time split]]="Train 2024",tblWorkPackages[[#This Row],[Estimated labor hours]],tblWorkPackages[[#This Row],[Calibrated forecast hours]])</f>
        <v>5.153125</v>
      </c>
      <c r="W1414" s="64">
        <f>DATEVALUE(tblWorkPackages[[#This Row],[Request date]])</f>
        <v>45894.0</v>
      </c>
      <c r="X1414" s="64">
        <f>DATEVALUE(tblWorkPackages[[#This Row],[Due date]])</f>
        <v>45907.0</v>
      </c>
      <c r="Y1414" s="64">
        <f>DATEVALUE(tblWorkPackages[[#This Row],[Completion date]])</f>
        <v>45899.0</v>
      </c>
      <c r="Z1414" s="64">
        <f>_xlfn.MINIFS(tblLaborEntries[Work date serial],tblLaborEntries[Work package ID],tblWorkPackages[[#This Row],[Work package ID]])</f>
        <v>45897.0</v>
      </c>
      <c r="AA1414" s="64">
        <f>_xlfn.MAXIFS(tblLaborEntries[Work date serial],tblLaborEntries[Work package ID],tblWorkPackages[[#This Row],[Work package ID]])</f>
        <v>45899.0</v>
      </c>
      <c r="AB1414" s="65">
        <f>IF(tblWorkPackages[[#This Row],[Completion date serial]]&gt;tblWorkPackages[[#This Row],[Due date serial]],1,0)</f>
        <v>0</v>
      </c>
      <c r="AC1414" s="65">
        <f>MAX(0,tblWorkPackages[[#This Row],[Completion date serial]]-tblWorkPackages[[#This Row],[Due date serial]])</f>
        <v>0</v>
      </c>
      <c r="AD1414" s="65">
        <f>tblWorkPackages[[#This Row],[First labor date]]-tblWorkPackages[[#This Row],[Request date serial]]</f>
        <v>3</v>
      </c>
      <c r="AE1414" s="65">
        <f>tblWorkPackages[[#This Row],[Last labor date]]-tblWorkPackages[[#This Row],[First labor date]]</f>
        <v>2</v>
      </c>
      <c r="AF1414" s="65">
        <f>tblWorkPackages[[#This Row],[Completion date serial]]-tblWorkPackages[[#This Row],[Last labor date]]</f>
        <v>0</v>
      </c>
      <c r="AG1414" s="65">
        <f>tblWorkPackages[[#This Row],[Completion date serial]]-tblWorkPackages[[#This Row],[Request date serial]]</f>
        <v>5</v>
      </c>
      <c r="AH1414" s="65">
        <f>IFERROR(INDEX(tblParts[Delay days],MATCH(tblWorkPackages[[#This Row],[Work package ID]],tblParts[Work package ID],0)),0)</f>
        <v>0</v>
      </c>
      <c r="AI1414" s="51" t="str">
        <f>IFERROR(INDEX(tblDisruptions[Event type],MATCH(tblWorkPackages[[#This Row],[Work package ID]],tblDisruptions[Work package ID],0)),"None")</f>
        <v>Repeat inspection</v>
      </c>
      <c r="AJ1414" s="51" t="str">
        <f>TEXT(tblWorkPackages[[#This Row],[Due date serial]],"yyyy-mm")</f>
        <v>2025-09</v>
      </c>
    </row>
    <row r="1415" spans="1:36" ht="15" x14ac:dyDescent="0.25">
      <c r="A1415" s="53" t="s">
        <v>2323</v>
      </c>
      <c r="B1415" s="53" t="s">
        <v>168</v>
      </c>
      <c r="C1415" s="53" t="s">
        <v>1191</v>
      </c>
      <c r="D1415" s="53" t="s">
        <v>466</v>
      </c>
      <c r="E1415" s="53" t="s">
        <v>136</v>
      </c>
      <c r="F1415" s="53" t="s">
        <v>137</v>
      </c>
      <c r="G1415" s="53" t="s">
        <v>138</v>
      </c>
      <c r="H1415" s="53">
        <v>4</v>
      </c>
      <c r="I1415" s="53" t="s">
        <v>176</v>
      </c>
      <c r="J1415" s="53">
        <v>0</v>
      </c>
      <c r="K1415" s="53">
        <v>0</v>
      </c>
      <c r="L1415" s="53">
        <v>29.6</v>
      </c>
      <c r="M1415" s="53" t="s">
        <v>409</v>
      </c>
      <c r="N1415" s="53">
        <v>22.9</v>
      </c>
      <c r="O1415" s="51" t="str">
        <f>TEXT(tblWorkPackages[[#This Row],[Request date serial]]-WEEKDAY(tblWorkPackages[[#This Row],[Request date serial]],3),"yyyy-mm-dd")</f>
        <v>2025-03-24</v>
      </c>
      <c r="P1415" s="51">
        <f>ABS(tblWorkPackages[[#This Row],[Actual labor hours]]-tblWorkPackages[[#This Row],[Estimated labor hours]])</f>
        <v>6.7</v>
      </c>
      <c r="Q1415" s="51">
        <f>IF(tblWorkPackages[[#This Row],[Actual labor hours]]&gt;tblWorkPackages[[#This Row],[Estimated labor hours]],1,0)</f>
        <v>0</v>
      </c>
      <c r="R1415" s="51">
        <f>tblWorkPackages[[#This Row],[Actual labor hours]]-tblWorkPackages[[#This Row],[Estimated labor hours]]</f>
        <v>-6.7</v>
      </c>
      <c r="S1415" s="51" t="str">
        <f>IF(tblWorkPackages[[#This Row],[Request date serial]]&lt;ValidationStart,"Train 2024",IF(tblWorkPackages[[#This Row],[Request date serial]]&lt;HoldoutStart,"Validation H1","Holdout H2"))</f>
        <v>Validation H1</v>
      </c>
      <c r="T1415" s="51">
        <f>IF(tblWorkPackages[[#This Row],[Time split]]="Train 2024","",tblWorkPackages[[#This Row],[Estimated labor hours]]+VLOOKUP(tblWorkPackages[[#This Row],[Task type]],'Forecast validation'!$A$14:$E$25,IF(tblWorkPackages[[#This Row],[Time split]]="Validation H1",4,5),FALSE()))</f>
        <v>30.4765306122449</v>
      </c>
      <c r="U1415" s="51">
        <f>IF(tblWorkPackages[[#This Row],[Calibrated forecast hours]]="","",ABS(tblWorkPackages[[#This Row],[Actual labor hours]]-tblWorkPackages[[#This Row],[Calibrated forecast hours]]))</f>
        <v>7.5765306122449</v>
      </c>
      <c r="V1415" s="51">
        <f>IF(tblWorkPackages[[#This Row],[Time split]]="Train 2024",tblWorkPackages[[#This Row],[Estimated labor hours]],tblWorkPackages[[#This Row],[Calibrated forecast hours]])</f>
        <v>30.4765306122449</v>
      </c>
      <c r="W1415" s="64">
        <f>DATEVALUE(tblWorkPackages[[#This Row],[Request date]])</f>
        <v>45740.0</v>
      </c>
      <c r="X1415" s="64">
        <f>DATEVALUE(tblWorkPackages[[#This Row],[Due date]])</f>
        <v>45746.0</v>
      </c>
      <c r="Y1415" s="64">
        <f>DATEVALUE(tblWorkPackages[[#This Row],[Completion date]])</f>
        <v>45772.0</v>
      </c>
      <c r="Z1415" s="64">
        <f>_xlfn.MINIFS(tblLaborEntries[Work date serial],tblLaborEntries[Work package ID],tblWorkPackages[[#This Row],[Work package ID]])</f>
        <v>45770.0</v>
      </c>
      <c r="AA1415" s="64">
        <f>_xlfn.MAXIFS(tblLaborEntries[Work date serial],tblLaborEntries[Work package ID],tblWorkPackages[[#This Row],[Work package ID]])</f>
        <v>45771.0</v>
      </c>
      <c r="AB1415" s="65">
        <f>IF(tblWorkPackages[[#This Row],[Completion date serial]]&gt;tblWorkPackages[[#This Row],[Due date serial]],1,0)</f>
        <v>1</v>
      </c>
      <c r="AC1415" s="65">
        <f>MAX(0,tblWorkPackages[[#This Row],[Completion date serial]]-tblWorkPackages[[#This Row],[Due date serial]])</f>
        <v>26</v>
      </c>
      <c r="AD1415" s="65">
        <f>tblWorkPackages[[#This Row],[First labor date]]-tblWorkPackages[[#This Row],[Request date serial]]</f>
        <v>30</v>
      </c>
      <c r="AE1415" s="65">
        <f>tblWorkPackages[[#This Row],[Last labor date]]-tblWorkPackages[[#This Row],[First labor date]]</f>
        <v>1</v>
      </c>
      <c r="AF1415" s="65">
        <f>tblWorkPackages[[#This Row],[Completion date serial]]-tblWorkPackages[[#This Row],[Last labor date]]</f>
        <v>1</v>
      </c>
      <c r="AG1415" s="65">
        <f>tblWorkPackages[[#This Row],[Completion date serial]]-tblWorkPackages[[#This Row],[Request date serial]]</f>
        <v>32</v>
      </c>
      <c r="AH1415" s="65">
        <f>IFERROR(INDEX(tblParts[Delay days],MATCH(tblWorkPackages[[#This Row],[Work package ID]],tblParts[Work package ID],0)),0)</f>
        <v>0</v>
      </c>
      <c r="AI1415" s="51" t="str">
        <f>IFERROR(INDEX(tblDisruptions[Event type],MATCH(tblWorkPackages[[#This Row],[Work package ID]],tblDisruptions[Work package ID],0)),"None")</f>
        <v>None</v>
      </c>
      <c r="AJ1415" s="51" t="str">
        <f>TEXT(tblWorkPackages[[#This Row],[Due date serial]],"yyyy-mm")</f>
        <v>2025-03</v>
      </c>
    </row>
    <row r="1416" spans="1:36" ht="15" x14ac:dyDescent="0.25">
      <c r="A1416" s="53" t="s">
        <v>2324</v>
      </c>
      <c r="B1416" s="53" t="s">
        <v>168</v>
      </c>
      <c r="C1416" s="53" t="s">
        <v>1272</v>
      </c>
      <c r="D1416" s="53" t="s">
        <v>495</v>
      </c>
      <c r="E1416" s="53" t="s">
        <v>181</v>
      </c>
      <c r="F1416" s="53" t="s">
        <v>182</v>
      </c>
      <c r="G1416" s="53" t="s">
        <v>138</v>
      </c>
      <c r="H1416" s="53">
        <v>1</v>
      </c>
      <c r="I1416" s="53" t="s">
        <v>147</v>
      </c>
      <c r="J1416" s="53">
        <v>0</v>
      </c>
      <c r="K1416" s="53">
        <v>0</v>
      </c>
      <c r="L1416" s="53">
        <v>4.5</v>
      </c>
      <c r="M1416" s="53" t="s">
        <v>378</v>
      </c>
      <c r="N1416" s="53">
        <v>5.2</v>
      </c>
      <c r="O1416" s="51" t="str">
        <f>TEXT(tblWorkPackages[[#This Row],[Request date serial]]-WEEKDAY(tblWorkPackages[[#This Row],[Request date serial]],3),"yyyy-mm-dd")</f>
        <v>2025-10-06</v>
      </c>
      <c r="P1416" s="51">
        <f>ABS(tblWorkPackages[[#This Row],[Actual labor hours]]-tblWorkPackages[[#This Row],[Estimated labor hours]])</f>
        <v>0.7</v>
      </c>
      <c r="Q1416" s="51">
        <f>IF(tblWorkPackages[[#This Row],[Actual labor hours]]&gt;tblWorkPackages[[#This Row],[Estimated labor hours]],1,0)</f>
        <v>1</v>
      </c>
      <c r="R1416" s="51">
        <f>tblWorkPackages[[#This Row],[Actual labor hours]]-tblWorkPackages[[#This Row],[Estimated labor hours]]</f>
        <v>0.7</v>
      </c>
      <c r="S1416" s="51" t="str">
        <f>IF(tblWorkPackages[[#This Row],[Request date serial]]&lt;ValidationStart,"Train 2024",IF(tblWorkPackages[[#This Row],[Request date serial]]&lt;HoldoutStart,"Validation H1","Holdout H2"))</f>
        <v>Holdout H2</v>
      </c>
      <c r="T1416" s="51">
        <f>IF(tblWorkPackages[[#This Row],[Time split]]="Train 2024","",tblWorkPackages[[#This Row],[Estimated labor hours]]+VLOOKUP(tblWorkPackages[[#This Row],[Task type]],'Forecast validation'!$A$14:$E$25,IF(tblWorkPackages[[#This Row],[Time split]]="Validation H1",4,5),FALSE()))</f>
        <v>5.09160839160839</v>
      </c>
      <c r="U1416" s="51">
        <f>IF(tblWorkPackages[[#This Row],[Calibrated forecast hours]]="","",ABS(tblWorkPackages[[#This Row],[Actual labor hours]]-tblWorkPackages[[#This Row],[Calibrated forecast hours]]))</f>
        <v>0.108391608391608</v>
      </c>
      <c r="V1416" s="51">
        <f>IF(tblWorkPackages[[#This Row],[Time split]]="Train 2024",tblWorkPackages[[#This Row],[Estimated labor hours]],tblWorkPackages[[#This Row],[Calibrated forecast hours]])</f>
        <v>5.09160839160839</v>
      </c>
      <c r="W1416" s="64">
        <f>DATEVALUE(tblWorkPackages[[#This Row],[Request date]])</f>
        <v>45936.0</v>
      </c>
      <c r="X1416" s="64">
        <f>DATEVALUE(tblWorkPackages[[#This Row],[Due date]])</f>
        <v>45938.0</v>
      </c>
      <c r="Y1416" s="64">
        <f>DATEVALUE(tblWorkPackages[[#This Row],[Completion date]])</f>
        <v>45943.0</v>
      </c>
      <c r="Z1416" s="64">
        <f>_xlfn.MINIFS(tblLaborEntries[Work date serial],tblLaborEntries[Work package ID],tblWorkPackages[[#This Row],[Work package ID]])</f>
        <v>45941.0</v>
      </c>
      <c r="AA1416" s="64">
        <f>_xlfn.MAXIFS(tblLaborEntries[Work date serial],tblLaborEntries[Work package ID],tblWorkPackages[[#This Row],[Work package ID]])</f>
        <v>45941.0</v>
      </c>
      <c r="AB1416" s="65">
        <f>IF(tblWorkPackages[[#This Row],[Completion date serial]]&gt;tblWorkPackages[[#This Row],[Due date serial]],1,0)</f>
        <v>1</v>
      </c>
      <c r="AC1416" s="65">
        <f>MAX(0,tblWorkPackages[[#This Row],[Completion date serial]]-tblWorkPackages[[#This Row],[Due date serial]])</f>
        <v>5</v>
      </c>
      <c r="AD1416" s="65">
        <f>tblWorkPackages[[#This Row],[First labor date]]-tblWorkPackages[[#This Row],[Request date serial]]</f>
        <v>5</v>
      </c>
      <c r="AE1416" s="65">
        <f>tblWorkPackages[[#This Row],[Last labor date]]-tblWorkPackages[[#This Row],[First labor date]]</f>
        <v>0</v>
      </c>
      <c r="AF1416" s="65">
        <f>tblWorkPackages[[#This Row],[Completion date serial]]-tblWorkPackages[[#This Row],[Last labor date]]</f>
        <v>2</v>
      </c>
      <c r="AG1416" s="65">
        <f>tblWorkPackages[[#This Row],[Completion date serial]]-tblWorkPackages[[#This Row],[Request date serial]]</f>
        <v>7</v>
      </c>
      <c r="AH1416" s="65">
        <f>IFERROR(INDEX(tblParts[Delay days],MATCH(tblWorkPackages[[#This Row],[Work package ID]],tblParts[Work package ID],0)),0)</f>
        <v>0</v>
      </c>
      <c r="AI1416" s="51" t="str">
        <f>IFERROR(INDEX(tblDisruptions[Event type],MATCH(tblWorkPackages[[#This Row],[Work package ID]],tblDisruptions[Work package ID],0)),"None")</f>
        <v>None</v>
      </c>
      <c r="AJ1416" s="51" t="str">
        <f>TEXT(tblWorkPackages[[#This Row],[Due date serial]],"yyyy-mm")</f>
        <v>2025-10</v>
      </c>
    </row>
    <row r="1417" spans="1:36" ht="15" x14ac:dyDescent="0.25">
      <c r="A1417" s="53" t="s">
        <v>2325</v>
      </c>
      <c r="B1417" s="53" t="s">
        <v>230</v>
      </c>
      <c r="C1417" s="53" t="s">
        <v>646</v>
      </c>
      <c r="D1417" s="53" t="s">
        <v>579</v>
      </c>
      <c r="E1417" s="53" t="s">
        <v>209</v>
      </c>
      <c r="F1417" s="53" t="s">
        <v>145</v>
      </c>
      <c r="G1417" s="53" t="s">
        <v>210</v>
      </c>
      <c r="H1417" s="53">
        <v>2</v>
      </c>
      <c r="I1417" s="53" t="s">
        <v>176</v>
      </c>
      <c r="J1417" s="53">
        <v>0</v>
      </c>
      <c r="K1417" s="53">
        <v>1</v>
      </c>
      <c r="L1417" s="53">
        <v>20.7</v>
      </c>
      <c r="M1417" s="53" t="s">
        <v>976</v>
      </c>
      <c r="N1417" s="53">
        <v>20.8</v>
      </c>
      <c r="O1417" s="51" t="str">
        <f>TEXT(tblWorkPackages[[#This Row],[Request date serial]]-WEEKDAY(tblWorkPackages[[#This Row],[Request date serial]],3),"yyyy-mm-dd")</f>
        <v>2025-12-22</v>
      </c>
      <c r="P1417" s="51">
        <f>ABS(tblWorkPackages[[#This Row],[Actual labor hours]]-tblWorkPackages[[#This Row],[Estimated labor hours]])</f>
        <v>0.100000000000001</v>
      </c>
      <c r="Q1417" s="51">
        <f>IF(tblWorkPackages[[#This Row],[Actual labor hours]]&gt;tblWorkPackages[[#This Row],[Estimated labor hours]],1,0)</f>
        <v>1</v>
      </c>
      <c r="R1417" s="51">
        <f>tblWorkPackages[[#This Row],[Actual labor hours]]-tblWorkPackages[[#This Row],[Estimated labor hours]]</f>
        <v>0.100000000000001</v>
      </c>
      <c r="S1417" s="51" t="str">
        <f>IF(tblWorkPackages[[#This Row],[Request date serial]]&lt;ValidationStart,"Train 2024",IF(tblWorkPackages[[#This Row],[Request date serial]]&lt;HoldoutStart,"Validation H1","Holdout H2"))</f>
        <v>Holdout H2</v>
      </c>
      <c r="T1417" s="51">
        <f>IF(tblWorkPackages[[#This Row],[Time split]]="Train 2024","",tblWorkPackages[[#This Row],[Estimated labor hours]]+VLOOKUP(tblWorkPackages[[#This Row],[Task type]],'Forecast validation'!$A$14:$E$25,IF(tblWorkPackages[[#This Row],[Time split]]="Validation H1",4,5),FALSE()))</f>
        <v>22.495652173913</v>
      </c>
      <c r="U1417" s="51">
        <f>IF(tblWorkPackages[[#This Row],[Calibrated forecast hours]]="","",ABS(tblWorkPackages[[#This Row],[Actual labor hours]]-tblWorkPackages[[#This Row],[Calibrated forecast hours]]))</f>
        <v>1.69565217391304</v>
      </c>
      <c r="V1417" s="51">
        <f>IF(tblWorkPackages[[#This Row],[Time split]]="Train 2024",tblWorkPackages[[#This Row],[Estimated labor hours]],tblWorkPackages[[#This Row],[Calibrated forecast hours]])</f>
        <v>22.495652173913</v>
      </c>
      <c r="W1417" s="64">
        <f>DATEVALUE(tblWorkPackages[[#This Row],[Request date]])</f>
        <v>46015.0</v>
      </c>
      <c r="X1417" s="64">
        <f>DATEVALUE(tblWorkPackages[[#This Row],[Due date]])</f>
        <v>46021.0</v>
      </c>
      <c r="Y1417" s="64">
        <f>DATEVALUE(tblWorkPackages[[#This Row],[Completion date]])</f>
        <v>46022.0</v>
      </c>
      <c r="Z1417" s="64">
        <f>_xlfn.MINIFS(tblLaborEntries[Work date serial],tblLaborEntries[Work package ID],tblWorkPackages[[#This Row],[Work package ID]])</f>
        <v>46017.0</v>
      </c>
      <c r="AA1417" s="64">
        <f>_xlfn.MAXIFS(tblLaborEntries[Work date serial],tblLaborEntries[Work package ID],tblWorkPackages[[#This Row],[Work package ID]])</f>
        <v>46019.0</v>
      </c>
      <c r="AB1417" s="65">
        <f>IF(tblWorkPackages[[#This Row],[Completion date serial]]&gt;tblWorkPackages[[#This Row],[Due date serial]],1,0)</f>
        <v>1</v>
      </c>
      <c r="AC1417" s="65">
        <f>MAX(0,tblWorkPackages[[#This Row],[Completion date serial]]-tblWorkPackages[[#This Row],[Due date serial]])</f>
        <v>1</v>
      </c>
      <c r="AD1417" s="65">
        <f>tblWorkPackages[[#This Row],[First labor date]]-tblWorkPackages[[#This Row],[Request date serial]]</f>
        <v>2</v>
      </c>
      <c r="AE1417" s="65">
        <f>tblWorkPackages[[#This Row],[Last labor date]]-tblWorkPackages[[#This Row],[First labor date]]</f>
        <v>2</v>
      </c>
      <c r="AF1417" s="65">
        <f>tblWorkPackages[[#This Row],[Completion date serial]]-tblWorkPackages[[#This Row],[Last labor date]]</f>
        <v>3</v>
      </c>
      <c r="AG1417" s="65">
        <f>tblWorkPackages[[#This Row],[Completion date serial]]-tblWorkPackages[[#This Row],[Request date serial]]</f>
        <v>7</v>
      </c>
      <c r="AH1417" s="65">
        <f>IFERROR(INDEX(tblParts[Delay days],MATCH(tblWorkPackages[[#This Row],[Work package ID]],tblParts[Work package ID],0)),0)</f>
        <v>0</v>
      </c>
      <c r="AI1417" s="51" t="str">
        <f>IFERROR(INDEX(tblDisruptions[Event type],MATCH(tblWorkPackages[[#This Row],[Work package ID]],tblDisruptions[Work package ID],0)),"None")</f>
        <v>None</v>
      </c>
      <c r="AJ1417" s="51" t="str">
        <f>TEXT(tblWorkPackages[[#This Row],[Due date serial]],"yyyy-mm")</f>
        <v>2025-12</v>
      </c>
    </row>
    <row r="1418" spans="1:36" ht="15" x14ac:dyDescent="0.25">
      <c r="A1418" s="53" t="s">
        <v>2326</v>
      </c>
      <c r="B1418" s="53" t="s">
        <v>230</v>
      </c>
      <c r="C1418" s="53" t="s">
        <v>1026</v>
      </c>
      <c r="D1418" s="53" t="s">
        <v>667</v>
      </c>
      <c r="E1418" s="53" t="s">
        <v>242</v>
      </c>
      <c r="F1418" s="53" t="s">
        <v>243</v>
      </c>
      <c r="G1418" s="53" t="s">
        <v>129</v>
      </c>
      <c r="H1418" s="53">
        <v>3</v>
      </c>
      <c r="I1418" s="53" t="s">
        <v>147</v>
      </c>
      <c r="J1418" s="53">
        <v>0</v>
      </c>
      <c r="K1418" s="53">
        <v>0</v>
      </c>
      <c r="L1418" s="53">
        <v>13.6</v>
      </c>
      <c r="M1418" s="53" t="s">
        <v>1685</v>
      </c>
      <c r="N1418" s="53">
        <v>10.4</v>
      </c>
      <c r="O1418" s="51" t="str">
        <f>TEXT(tblWorkPackages[[#This Row],[Request date serial]]-WEEKDAY(tblWorkPackages[[#This Row],[Request date serial]],3),"yyyy-mm-dd")</f>
        <v>2024-03-18</v>
      </c>
      <c r="P1418" s="51">
        <f>ABS(tblWorkPackages[[#This Row],[Actual labor hours]]-tblWorkPackages[[#This Row],[Estimated labor hours]])</f>
        <v>3.2</v>
      </c>
      <c r="Q1418" s="51">
        <f>IF(tblWorkPackages[[#This Row],[Actual labor hours]]&gt;tblWorkPackages[[#This Row],[Estimated labor hours]],1,0)</f>
        <v>0</v>
      </c>
      <c r="R1418" s="51">
        <f>tblWorkPackages[[#This Row],[Actual labor hours]]-tblWorkPackages[[#This Row],[Estimated labor hours]]</f>
        <v>-3.2</v>
      </c>
      <c r="S1418" s="51" t="str">
        <f>IF(tblWorkPackages[[#This Row],[Request date serial]]&lt;ValidationStart,"Train 2024",IF(tblWorkPackages[[#This Row],[Request date serial]]&lt;HoldoutStart,"Validation H1","Holdout H2"))</f>
        <v>Train 2024</v>
      </c>
      <c r="T1418" s="51" t="str">
        <f>IF(tblWorkPackages[[#This Row],[Time split]]="Train 2024","",tblWorkPackages[[#This Row],[Estimated labor hours]]+VLOOKUP(tblWorkPackages[[#This Row],[Task type]],'Forecast validation'!$A$14:$E$25,IF(tblWorkPackages[[#This Row],[Time split]]="Validation H1",4,5),FALSE()))</f>
        <v/>
      </c>
      <c r="U1418" s="51" t="str">
        <f>IF(tblWorkPackages[[#This Row],[Calibrated forecast hours]]="","",ABS(tblWorkPackages[[#This Row],[Actual labor hours]]-tblWorkPackages[[#This Row],[Calibrated forecast hours]]))</f>
        <v/>
      </c>
      <c r="V1418" s="51">
        <f>IF(tblWorkPackages[[#This Row],[Time split]]="Train 2024",tblWorkPackages[[#This Row],[Estimated labor hours]],tblWorkPackages[[#This Row],[Calibrated forecast hours]])</f>
        <v>13.6</v>
      </c>
      <c r="W1418" s="64">
        <f>DATEVALUE(tblWorkPackages[[#This Row],[Request date]])</f>
        <v>45371.0</v>
      </c>
      <c r="X1418" s="64">
        <f>DATEVALUE(tblWorkPackages[[#This Row],[Due date]])</f>
        <v>45373.0</v>
      </c>
      <c r="Y1418" s="64">
        <f>DATEVALUE(tblWorkPackages[[#This Row],[Completion date]])</f>
        <v>45387.0</v>
      </c>
      <c r="Z1418" s="64">
        <f>_xlfn.MINIFS(tblLaborEntries[Work date serial],tblLaborEntries[Work package ID],tblWorkPackages[[#This Row],[Work package ID]])</f>
        <v>45385.0</v>
      </c>
      <c r="AA1418" s="64">
        <f>_xlfn.MAXIFS(tblLaborEntries[Work date serial],tblLaborEntries[Work package ID],tblWorkPackages[[#This Row],[Work package ID]])</f>
        <v>45387.0</v>
      </c>
      <c r="AB1418" s="65">
        <f>IF(tblWorkPackages[[#This Row],[Completion date serial]]&gt;tblWorkPackages[[#This Row],[Due date serial]],1,0)</f>
        <v>1</v>
      </c>
      <c r="AC1418" s="65">
        <f>MAX(0,tblWorkPackages[[#This Row],[Completion date serial]]-tblWorkPackages[[#This Row],[Due date serial]])</f>
        <v>14</v>
      </c>
      <c r="AD1418" s="65">
        <f>tblWorkPackages[[#This Row],[First labor date]]-tblWorkPackages[[#This Row],[Request date serial]]</f>
        <v>14</v>
      </c>
      <c r="AE1418" s="65">
        <f>tblWorkPackages[[#This Row],[Last labor date]]-tblWorkPackages[[#This Row],[First labor date]]</f>
        <v>2</v>
      </c>
      <c r="AF1418" s="65">
        <f>tblWorkPackages[[#This Row],[Completion date serial]]-tblWorkPackages[[#This Row],[Last labor date]]</f>
        <v>0</v>
      </c>
      <c r="AG1418" s="65">
        <f>tblWorkPackages[[#This Row],[Completion date serial]]-tblWorkPackages[[#This Row],[Request date serial]]</f>
        <v>16</v>
      </c>
      <c r="AH1418" s="65">
        <f>IFERROR(INDEX(tblParts[Delay days],MATCH(tblWorkPackages[[#This Row],[Work package ID]],tblParts[Work package ID],0)),0)</f>
        <v>0</v>
      </c>
      <c r="AI1418" s="51" t="str">
        <f>IFERROR(INDEX(tblDisruptions[Event type],MATCH(tblWorkPackages[[#This Row],[Work package ID]],tblDisruptions[Work package ID],0)),"None")</f>
        <v>None</v>
      </c>
      <c r="AJ1418" s="51" t="str">
        <f>TEXT(tblWorkPackages[[#This Row],[Due date serial]],"yyyy-mm")</f>
        <v>2024-03</v>
      </c>
    </row>
    <row r="1419" spans="1:36" ht="15" x14ac:dyDescent="0.25">
      <c r="A1419" s="53" t="s">
        <v>2327</v>
      </c>
      <c r="B1419" s="53" t="s">
        <v>133</v>
      </c>
      <c r="C1419" s="53" t="s">
        <v>1299</v>
      </c>
      <c r="D1419" s="53" t="s">
        <v>1393</v>
      </c>
      <c r="E1419" s="53" t="s">
        <v>153</v>
      </c>
      <c r="F1419" s="53" t="s">
        <v>128</v>
      </c>
      <c r="G1419" s="53" t="s">
        <v>154</v>
      </c>
      <c r="H1419" s="53">
        <v>2</v>
      </c>
      <c r="I1419" s="53" t="s">
        <v>130</v>
      </c>
      <c r="J1419" s="53">
        <v>0</v>
      </c>
      <c r="K1419" s="53">
        <v>0</v>
      </c>
      <c r="L1419" s="53">
        <v>9.1</v>
      </c>
      <c r="M1419" s="53" t="s">
        <v>1320</v>
      </c>
      <c r="N1419" s="53">
        <v>9.9</v>
      </c>
      <c r="O1419" s="51" t="str">
        <f>TEXT(tblWorkPackages[[#This Row],[Request date serial]]-WEEKDAY(tblWorkPackages[[#This Row],[Request date serial]],3),"yyyy-mm-dd")</f>
        <v>2024-07-15</v>
      </c>
      <c r="P1419" s="51">
        <f>ABS(tblWorkPackages[[#This Row],[Actual labor hours]]-tblWorkPackages[[#This Row],[Estimated labor hours]])</f>
        <v>0.800000000000001</v>
      </c>
      <c r="Q1419" s="51">
        <f>IF(tblWorkPackages[[#This Row],[Actual labor hours]]&gt;tblWorkPackages[[#This Row],[Estimated labor hours]],1,0)</f>
        <v>1</v>
      </c>
      <c r="R1419" s="51">
        <f>tblWorkPackages[[#This Row],[Actual labor hours]]-tblWorkPackages[[#This Row],[Estimated labor hours]]</f>
        <v>0.800000000000001</v>
      </c>
      <c r="S1419" s="51" t="str">
        <f>IF(tblWorkPackages[[#This Row],[Request date serial]]&lt;ValidationStart,"Train 2024",IF(tblWorkPackages[[#This Row],[Request date serial]]&lt;HoldoutStart,"Validation H1","Holdout H2"))</f>
        <v>Train 2024</v>
      </c>
      <c r="T1419" s="51" t="str">
        <f>IF(tblWorkPackages[[#This Row],[Time split]]="Train 2024","",tblWorkPackages[[#This Row],[Estimated labor hours]]+VLOOKUP(tblWorkPackages[[#This Row],[Task type]],'Forecast validation'!$A$14:$E$25,IF(tblWorkPackages[[#This Row],[Time split]]="Validation H1",4,5),FALSE()))</f>
        <v/>
      </c>
      <c r="U1419" s="51" t="str">
        <f>IF(tblWorkPackages[[#This Row],[Calibrated forecast hours]]="","",ABS(tblWorkPackages[[#This Row],[Actual labor hours]]-tblWorkPackages[[#This Row],[Calibrated forecast hours]]))</f>
        <v/>
      </c>
      <c r="V1419" s="51">
        <f>IF(tblWorkPackages[[#This Row],[Time split]]="Train 2024",tblWorkPackages[[#This Row],[Estimated labor hours]],tblWorkPackages[[#This Row],[Calibrated forecast hours]])</f>
        <v>9.1</v>
      </c>
      <c r="W1419" s="64">
        <f>DATEVALUE(tblWorkPackages[[#This Row],[Request date]])</f>
        <v>45493.0</v>
      </c>
      <c r="X1419" s="64">
        <f>DATEVALUE(tblWorkPackages[[#This Row],[Due date]])</f>
        <v>45506.0</v>
      </c>
      <c r="Y1419" s="64">
        <f>DATEVALUE(tblWorkPackages[[#This Row],[Completion date]])</f>
        <v>45499.0</v>
      </c>
      <c r="Z1419" s="64">
        <f>_xlfn.MINIFS(tblLaborEntries[Work date serial],tblLaborEntries[Work package ID],tblWorkPackages[[#This Row],[Work package ID]])</f>
        <v>45496.0</v>
      </c>
      <c r="AA1419" s="64">
        <f>_xlfn.MAXIFS(tblLaborEntries[Work date serial],tblLaborEntries[Work package ID],tblWorkPackages[[#This Row],[Work package ID]])</f>
        <v>45498.0</v>
      </c>
      <c r="AB1419" s="65">
        <f>IF(tblWorkPackages[[#This Row],[Completion date serial]]&gt;tblWorkPackages[[#This Row],[Due date serial]],1,0)</f>
        <v>0</v>
      </c>
      <c r="AC1419" s="65">
        <f>MAX(0,tblWorkPackages[[#This Row],[Completion date serial]]-tblWorkPackages[[#This Row],[Due date serial]])</f>
        <v>0</v>
      </c>
      <c r="AD1419" s="65">
        <f>tblWorkPackages[[#This Row],[First labor date]]-tblWorkPackages[[#This Row],[Request date serial]]</f>
        <v>3</v>
      </c>
      <c r="AE1419" s="65">
        <f>tblWorkPackages[[#This Row],[Last labor date]]-tblWorkPackages[[#This Row],[First labor date]]</f>
        <v>2</v>
      </c>
      <c r="AF1419" s="65">
        <f>tblWorkPackages[[#This Row],[Completion date serial]]-tblWorkPackages[[#This Row],[Last labor date]]</f>
        <v>1</v>
      </c>
      <c r="AG1419" s="65">
        <f>tblWorkPackages[[#This Row],[Completion date serial]]-tblWorkPackages[[#This Row],[Request date serial]]</f>
        <v>6</v>
      </c>
      <c r="AH1419" s="65">
        <f>IFERROR(INDEX(tblParts[Delay days],MATCH(tblWorkPackages[[#This Row],[Work package ID]],tblParts[Work package ID],0)),0)</f>
        <v>0</v>
      </c>
      <c r="AI1419" s="51" t="str">
        <f>IFERROR(INDEX(tblDisruptions[Event type],MATCH(tblWorkPackages[[#This Row],[Work package ID]],tblDisruptions[Work package ID],0)),"None")</f>
        <v>None</v>
      </c>
      <c r="AJ1419" s="51" t="str">
        <f>TEXT(tblWorkPackages[[#This Row],[Due date serial]],"yyyy-mm")</f>
        <v>2024-08</v>
      </c>
    </row>
    <row r="1420" spans="1:36" ht="15" x14ac:dyDescent="0.25">
      <c r="A1420" s="53" t="s">
        <v>2328</v>
      </c>
      <c r="B1420" s="53" t="s">
        <v>235</v>
      </c>
      <c r="C1420" s="53" t="s">
        <v>350</v>
      </c>
      <c r="D1420" s="53" t="s">
        <v>616</v>
      </c>
      <c r="E1420" s="53" t="s">
        <v>223</v>
      </c>
      <c r="F1420" s="53" t="s">
        <v>182</v>
      </c>
      <c r="G1420" s="53" t="s">
        <v>154</v>
      </c>
      <c r="H1420" s="53">
        <v>1</v>
      </c>
      <c r="I1420" s="53" t="s">
        <v>176</v>
      </c>
      <c r="J1420" s="53">
        <v>0</v>
      </c>
      <c r="K1420" s="53">
        <v>0</v>
      </c>
      <c r="L1420" s="53">
        <v>8.6</v>
      </c>
      <c r="M1420" s="53" t="s">
        <v>631</v>
      </c>
      <c r="N1420" s="53">
        <v>7.4</v>
      </c>
      <c r="O1420" s="51" t="str">
        <f>TEXT(tblWorkPackages[[#This Row],[Request date serial]]-WEEKDAY(tblWorkPackages[[#This Row],[Request date serial]],3),"yyyy-mm-dd")</f>
        <v>2024-01-29</v>
      </c>
      <c r="P1420" s="51">
        <f>ABS(tblWorkPackages[[#This Row],[Actual labor hours]]-tblWorkPackages[[#This Row],[Estimated labor hours]])</f>
        <v>1.2</v>
      </c>
      <c r="Q1420" s="51">
        <f>IF(tblWorkPackages[[#This Row],[Actual labor hours]]&gt;tblWorkPackages[[#This Row],[Estimated labor hours]],1,0)</f>
        <v>0</v>
      </c>
      <c r="R1420" s="51">
        <f>tblWorkPackages[[#This Row],[Actual labor hours]]-tblWorkPackages[[#This Row],[Estimated labor hours]]</f>
        <v>-1.2</v>
      </c>
      <c r="S1420" s="51" t="str">
        <f>IF(tblWorkPackages[[#This Row],[Request date serial]]&lt;ValidationStart,"Train 2024",IF(tblWorkPackages[[#This Row],[Request date serial]]&lt;HoldoutStart,"Validation H1","Holdout H2"))</f>
        <v>Train 2024</v>
      </c>
      <c r="T1420" s="51" t="str">
        <f>IF(tblWorkPackages[[#This Row],[Time split]]="Train 2024","",tblWorkPackages[[#This Row],[Estimated labor hours]]+VLOOKUP(tblWorkPackages[[#This Row],[Task type]],'Forecast validation'!$A$14:$E$25,IF(tblWorkPackages[[#This Row],[Time split]]="Validation H1",4,5),FALSE()))</f>
        <v/>
      </c>
      <c r="U1420" s="51" t="str">
        <f>IF(tblWorkPackages[[#This Row],[Calibrated forecast hours]]="","",ABS(tblWorkPackages[[#This Row],[Actual labor hours]]-tblWorkPackages[[#This Row],[Calibrated forecast hours]]))</f>
        <v/>
      </c>
      <c r="V1420" s="51">
        <f>IF(tblWorkPackages[[#This Row],[Time split]]="Train 2024",tblWorkPackages[[#This Row],[Estimated labor hours]],tblWorkPackages[[#This Row],[Calibrated forecast hours]])</f>
        <v>8.6</v>
      </c>
      <c r="W1420" s="64">
        <f>DATEVALUE(tblWorkPackages[[#This Row],[Request date]])</f>
        <v>45323.0</v>
      </c>
      <c r="X1420" s="64">
        <f>DATEVALUE(tblWorkPackages[[#This Row],[Due date]])</f>
        <v>45329.0</v>
      </c>
      <c r="Y1420" s="64">
        <f>DATEVALUE(tblWorkPackages[[#This Row],[Completion date]])</f>
        <v>45382.0</v>
      </c>
      <c r="Z1420" s="64">
        <f>_xlfn.MINIFS(tblLaborEntries[Work date serial],tblLaborEntries[Work package ID],tblWorkPackages[[#This Row],[Work package ID]])</f>
        <v>45380.0</v>
      </c>
      <c r="AA1420" s="64">
        <f>_xlfn.MAXIFS(tblLaborEntries[Work date serial],tblLaborEntries[Work package ID],tblWorkPackages[[#This Row],[Work package ID]])</f>
        <v>45380.0</v>
      </c>
      <c r="AB1420" s="65">
        <f>IF(tblWorkPackages[[#This Row],[Completion date serial]]&gt;tblWorkPackages[[#This Row],[Due date serial]],1,0)</f>
        <v>1</v>
      </c>
      <c r="AC1420" s="65">
        <f>MAX(0,tblWorkPackages[[#This Row],[Completion date serial]]-tblWorkPackages[[#This Row],[Due date serial]])</f>
        <v>53</v>
      </c>
      <c r="AD1420" s="65">
        <f>tblWorkPackages[[#This Row],[First labor date]]-tblWorkPackages[[#This Row],[Request date serial]]</f>
        <v>57</v>
      </c>
      <c r="AE1420" s="65">
        <f>tblWorkPackages[[#This Row],[Last labor date]]-tblWorkPackages[[#This Row],[First labor date]]</f>
        <v>0</v>
      </c>
      <c r="AF1420" s="65">
        <f>tblWorkPackages[[#This Row],[Completion date serial]]-tblWorkPackages[[#This Row],[Last labor date]]</f>
        <v>2</v>
      </c>
      <c r="AG1420" s="65">
        <f>tblWorkPackages[[#This Row],[Completion date serial]]-tblWorkPackages[[#This Row],[Request date serial]]</f>
        <v>59</v>
      </c>
      <c r="AH1420" s="65">
        <f>IFERROR(INDEX(tblParts[Delay days],MATCH(tblWorkPackages[[#This Row],[Work package ID]],tblParts[Work package ID],0)),0)</f>
        <v>0</v>
      </c>
      <c r="AI1420" s="51" t="str">
        <f>IFERROR(INDEX(tblDisruptions[Event type],MATCH(tblWorkPackages[[#This Row],[Work package ID]],tblDisruptions[Work package ID],0)),"None")</f>
        <v>None</v>
      </c>
      <c r="AJ1420" s="51" t="str">
        <f>TEXT(tblWorkPackages[[#This Row],[Due date serial]],"yyyy-mm")</f>
        <v>2024-02</v>
      </c>
    </row>
    <row r="1421" spans="1:36" ht="15" x14ac:dyDescent="0.25">
      <c r="A1421" s="53" t="s">
        <v>2329</v>
      </c>
      <c r="B1421" s="53" t="s">
        <v>230</v>
      </c>
      <c r="C1421" s="53" t="s">
        <v>488</v>
      </c>
      <c r="D1421" s="53" t="s">
        <v>1457</v>
      </c>
      <c r="E1421" s="53" t="s">
        <v>272</v>
      </c>
      <c r="F1421" s="53" t="s">
        <v>145</v>
      </c>
      <c r="G1421" s="53" t="s">
        <v>273</v>
      </c>
      <c r="H1421" s="53">
        <v>3</v>
      </c>
      <c r="I1421" s="53" t="s">
        <v>176</v>
      </c>
      <c r="J1421" s="53">
        <v>0</v>
      </c>
      <c r="K1421" s="53">
        <v>1</v>
      </c>
      <c r="L1421" s="53">
        <v>17.399999999999999</v>
      </c>
      <c r="M1421" s="53" t="s">
        <v>926</v>
      </c>
      <c r="N1421" s="53">
        <v>19.100000000000001</v>
      </c>
      <c r="O1421" s="51" t="str">
        <f>TEXT(tblWorkPackages[[#This Row],[Request date serial]]-WEEKDAY(tblWorkPackages[[#This Row],[Request date serial]],3),"yyyy-mm-dd")</f>
        <v>2024-02-05</v>
      </c>
      <c r="P1421" s="51">
        <f>ABS(tblWorkPackages[[#This Row],[Actual labor hours]]-tblWorkPackages[[#This Row],[Estimated labor hours]])</f>
        <v>1.7</v>
      </c>
      <c r="Q1421" s="51">
        <f>IF(tblWorkPackages[[#This Row],[Actual labor hours]]&gt;tblWorkPackages[[#This Row],[Estimated labor hours]],1,0)</f>
        <v>1</v>
      </c>
      <c r="R1421" s="51">
        <f>tblWorkPackages[[#This Row],[Actual labor hours]]-tblWorkPackages[[#This Row],[Estimated labor hours]]</f>
        <v>1.7</v>
      </c>
      <c r="S1421" s="51" t="str">
        <f>IF(tblWorkPackages[[#This Row],[Request date serial]]&lt;ValidationStart,"Train 2024",IF(tblWorkPackages[[#This Row],[Request date serial]]&lt;HoldoutStart,"Validation H1","Holdout H2"))</f>
        <v>Train 2024</v>
      </c>
      <c r="T1421" s="51" t="str">
        <f>IF(tblWorkPackages[[#This Row],[Time split]]="Train 2024","",tblWorkPackages[[#This Row],[Estimated labor hours]]+VLOOKUP(tblWorkPackages[[#This Row],[Task type]],'Forecast validation'!$A$14:$E$25,IF(tblWorkPackages[[#This Row],[Time split]]="Validation H1",4,5),FALSE()))</f>
        <v/>
      </c>
      <c r="U1421" s="51" t="str">
        <f>IF(tblWorkPackages[[#This Row],[Calibrated forecast hours]]="","",ABS(tblWorkPackages[[#This Row],[Actual labor hours]]-tblWorkPackages[[#This Row],[Calibrated forecast hours]]))</f>
        <v/>
      </c>
      <c r="V1421" s="51">
        <f>IF(tblWorkPackages[[#This Row],[Time split]]="Train 2024",tblWorkPackages[[#This Row],[Estimated labor hours]],tblWorkPackages[[#This Row],[Calibrated forecast hours]])</f>
        <v>17.4</v>
      </c>
      <c r="W1421" s="64">
        <f>DATEVALUE(tblWorkPackages[[#This Row],[Request date]])</f>
        <v>45328.0</v>
      </c>
      <c r="X1421" s="64">
        <f>DATEVALUE(tblWorkPackages[[#This Row],[Due date]])</f>
        <v>45334.0</v>
      </c>
      <c r="Y1421" s="64">
        <f>DATEVALUE(tblWorkPackages[[#This Row],[Completion date]])</f>
        <v>45340.0</v>
      </c>
      <c r="Z1421" s="64">
        <f>_xlfn.MINIFS(tblLaborEntries[Work date serial],tblLaborEntries[Work package ID],tblWorkPackages[[#This Row],[Work package ID]])</f>
        <v>45336.0</v>
      </c>
      <c r="AA1421" s="64">
        <f>_xlfn.MAXIFS(tblLaborEntries[Work date serial],tblLaborEntries[Work package ID],tblWorkPackages[[#This Row],[Work package ID]])</f>
        <v>45337.0</v>
      </c>
      <c r="AB1421" s="65">
        <f>IF(tblWorkPackages[[#This Row],[Completion date serial]]&gt;tblWorkPackages[[#This Row],[Due date serial]],1,0)</f>
        <v>1</v>
      </c>
      <c r="AC1421" s="65">
        <f>MAX(0,tblWorkPackages[[#This Row],[Completion date serial]]-tblWorkPackages[[#This Row],[Due date serial]])</f>
        <v>6</v>
      </c>
      <c r="AD1421" s="65">
        <f>tblWorkPackages[[#This Row],[First labor date]]-tblWorkPackages[[#This Row],[Request date serial]]</f>
        <v>8</v>
      </c>
      <c r="AE1421" s="65">
        <f>tblWorkPackages[[#This Row],[Last labor date]]-tblWorkPackages[[#This Row],[First labor date]]</f>
        <v>1</v>
      </c>
      <c r="AF1421" s="65">
        <f>tblWorkPackages[[#This Row],[Completion date serial]]-tblWorkPackages[[#This Row],[Last labor date]]</f>
        <v>3</v>
      </c>
      <c r="AG1421" s="65">
        <f>tblWorkPackages[[#This Row],[Completion date serial]]-tblWorkPackages[[#This Row],[Request date serial]]</f>
        <v>12</v>
      </c>
      <c r="AH1421" s="65">
        <f>IFERROR(INDEX(tblParts[Delay days],MATCH(tblWorkPackages[[#This Row],[Work package ID]],tblParts[Work package ID],0)),0)</f>
        <v>0</v>
      </c>
      <c r="AI1421" s="51" t="str">
        <f>IFERROR(INDEX(tblDisruptions[Event type],MATCH(tblWorkPackages[[#This Row],[Work package ID]],tblDisruptions[Work package ID],0)),"None")</f>
        <v>None</v>
      </c>
      <c r="AJ1421" s="51" t="str">
        <f>TEXT(tblWorkPackages[[#This Row],[Due date serial]],"yyyy-mm")</f>
        <v>2024-02</v>
      </c>
    </row>
    <row r="1422" spans="1:36" ht="15" x14ac:dyDescent="0.25">
      <c r="A1422" s="53" t="s">
        <v>2330</v>
      </c>
      <c r="B1422" s="53" t="s">
        <v>250</v>
      </c>
      <c r="C1422" s="53" t="s">
        <v>1419</v>
      </c>
      <c r="D1422" s="53" t="s">
        <v>1741</v>
      </c>
      <c r="E1422" s="53" t="s">
        <v>153</v>
      </c>
      <c r="F1422" s="53" t="s">
        <v>128</v>
      </c>
      <c r="G1422" s="53" t="s">
        <v>154</v>
      </c>
      <c r="H1422" s="53">
        <v>3</v>
      </c>
      <c r="I1422" s="53" t="s">
        <v>147</v>
      </c>
      <c r="J1422" s="53">
        <v>0</v>
      </c>
      <c r="K1422" s="53">
        <v>0</v>
      </c>
      <c r="L1422" s="53">
        <v>11.5</v>
      </c>
      <c r="M1422" s="53" t="s">
        <v>535</v>
      </c>
      <c r="N1422" s="53">
        <v>13</v>
      </c>
      <c r="O1422" s="51" t="str">
        <f>TEXT(tblWorkPackages[[#This Row],[Request date serial]]-WEEKDAY(tblWorkPackages[[#This Row],[Request date serial]],3),"yyyy-mm-dd")</f>
        <v>2024-10-28</v>
      </c>
      <c r="P1422" s="51">
        <f>ABS(tblWorkPackages[[#This Row],[Actual labor hours]]-tblWorkPackages[[#This Row],[Estimated labor hours]])</f>
        <v>1.5</v>
      </c>
      <c r="Q1422" s="51">
        <f>IF(tblWorkPackages[[#This Row],[Actual labor hours]]&gt;tblWorkPackages[[#This Row],[Estimated labor hours]],1,0)</f>
        <v>1</v>
      </c>
      <c r="R1422" s="51">
        <f>tblWorkPackages[[#This Row],[Actual labor hours]]-tblWorkPackages[[#This Row],[Estimated labor hours]]</f>
        <v>1.5</v>
      </c>
      <c r="S1422" s="51" t="str">
        <f>IF(tblWorkPackages[[#This Row],[Request date serial]]&lt;ValidationStart,"Train 2024",IF(tblWorkPackages[[#This Row],[Request date serial]]&lt;HoldoutStart,"Validation H1","Holdout H2"))</f>
        <v>Train 2024</v>
      </c>
      <c r="T1422" s="51" t="str">
        <f>IF(tblWorkPackages[[#This Row],[Time split]]="Train 2024","",tblWorkPackages[[#This Row],[Estimated labor hours]]+VLOOKUP(tblWorkPackages[[#This Row],[Task type]],'Forecast validation'!$A$14:$E$25,IF(tblWorkPackages[[#This Row],[Time split]]="Validation H1",4,5),FALSE()))</f>
        <v/>
      </c>
      <c r="U1422" s="51" t="str">
        <f>IF(tblWorkPackages[[#This Row],[Calibrated forecast hours]]="","",ABS(tblWorkPackages[[#This Row],[Actual labor hours]]-tblWorkPackages[[#This Row],[Calibrated forecast hours]]))</f>
        <v/>
      </c>
      <c r="V1422" s="51">
        <f>IF(tblWorkPackages[[#This Row],[Time split]]="Train 2024",tblWorkPackages[[#This Row],[Estimated labor hours]],tblWorkPackages[[#This Row],[Calibrated forecast hours]])</f>
        <v>11.5</v>
      </c>
      <c r="W1422" s="64">
        <f>DATEVALUE(tblWorkPackages[[#This Row],[Request date]])</f>
        <v>45598.0</v>
      </c>
      <c r="X1422" s="64">
        <f>DATEVALUE(tblWorkPackages[[#This Row],[Due date]])</f>
        <v>45600.0</v>
      </c>
      <c r="Y1422" s="64">
        <f>DATEVALUE(tblWorkPackages[[#This Row],[Completion date]])</f>
        <v>45602.0</v>
      </c>
      <c r="Z1422" s="64">
        <f>_xlfn.MINIFS(tblLaborEntries[Work date serial],tblLaborEntries[Work package ID],tblWorkPackages[[#This Row],[Work package ID]])</f>
        <v>45600.0</v>
      </c>
      <c r="AA1422" s="64">
        <f>_xlfn.MAXIFS(tblLaborEntries[Work date serial],tblLaborEntries[Work package ID],tblWorkPackages[[#This Row],[Work package ID]])</f>
        <v>45602.0</v>
      </c>
      <c r="AB1422" s="65">
        <f>IF(tblWorkPackages[[#This Row],[Completion date serial]]&gt;tblWorkPackages[[#This Row],[Due date serial]],1,0)</f>
        <v>1</v>
      </c>
      <c r="AC1422" s="65">
        <f>MAX(0,tblWorkPackages[[#This Row],[Completion date serial]]-tblWorkPackages[[#This Row],[Due date serial]])</f>
        <v>2</v>
      </c>
      <c r="AD1422" s="65">
        <f>tblWorkPackages[[#This Row],[First labor date]]-tblWorkPackages[[#This Row],[Request date serial]]</f>
        <v>2</v>
      </c>
      <c r="AE1422" s="65">
        <f>tblWorkPackages[[#This Row],[Last labor date]]-tblWorkPackages[[#This Row],[First labor date]]</f>
        <v>2</v>
      </c>
      <c r="AF1422" s="65">
        <f>tblWorkPackages[[#This Row],[Completion date serial]]-tblWorkPackages[[#This Row],[Last labor date]]</f>
        <v>0</v>
      </c>
      <c r="AG1422" s="65">
        <f>tblWorkPackages[[#This Row],[Completion date serial]]-tblWorkPackages[[#This Row],[Request date serial]]</f>
        <v>4</v>
      </c>
      <c r="AH1422" s="65">
        <f>IFERROR(INDEX(tblParts[Delay days],MATCH(tblWorkPackages[[#This Row],[Work package ID]],tblParts[Work package ID],0)),0)</f>
        <v>0</v>
      </c>
      <c r="AI1422" s="51" t="str">
        <f>IFERROR(INDEX(tblDisruptions[Event type],MATCH(tblWorkPackages[[#This Row],[Work package ID]],tblDisruptions[Work package ID],0)),"None")</f>
        <v>None</v>
      </c>
      <c r="AJ1422" s="51" t="str">
        <f>TEXT(tblWorkPackages[[#This Row],[Due date serial]],"yyyy-mm")</f>
        <v>2024-11</v>
      </c>
    </row>
    <row r="1423" spans="1:36" ht="15" x14ac:dyDescent="0.25">
      <c r="A1423" s="53" t="s">
        <v>2331</v>
      </c>
      <c r="B1423" s="53" t="s">
        <v>173</v>
      </c>
      <c r="C1423" s="53" t="s">
        <v>521</v>
      </c>
      <c r="D1423" s="53" t="s">
        <v>134</v>
      </c>
      <c r="E1423" s="53" t="s">
        <v>223</v>
      </c>
      <c r="F1423" s="53" t="s">
        <v>182</v>
      </c>
      <c r="G1423" s="53" t="s">
        <v>154</v>
      </c>
      <c r="H1423" s="53">
        <v>2</v>
      </c>
      <c r="I1423" s="53" t="s">
        <v>147</v>
      </c>
      <c r="J1423" s="53">
        <v>0</v>
      </c>
      <c r="K1423" s="53">
        <v>0</v>
      </c>
      <c r="L1423" s="53">
        <v>10.6</v>
      </c>
      <c r="M1423" s="53" t="s">
        <v>1158</v>
      </c>
      <c r="N1423" s="53">
        <v>8.1</v>
      </c>
      <c r="O1423" s="51" t="str">
        <f>TEXT(tblWorkPackages[[#This Row],[Request date serial]]-WEEKDAY(tblWorkPackages[[#This Row],[Request date serial]],3),"yyyy-mm-dd")</f>
        <v>2025-09-01</v>
      </c>
      <c r="P1423" s="51">
        <f>ABS(tblWorkPackages[[#This Row],[Actual labor hours]]-tblWorkPackages[[#This Row],[Estimated labor hours]])</f>
        <v>2.5</v>
      </c>
      <c r="Q1423" s="51">
        <f>IF(tblWorkPackages[[#This Row],[Actual labor hours]]&gt;tblWorkPackages[[#This Row],[Estimated labor hours]],1,0)</f>
        <v>0</v>
      </c>
      <c r="R1423" s="51">
        <f>tblWorkPackages[[#This Row],[Actual labor hours]]-tblWorkPackages[[#This Row],[Estimated labor hours]]</f>
        <v>-2.5</v>
      </c>
      <c r="S1423" s="51" t="str">
        <f>IF(tblWorkPackages[[#This Row],[Request date serial]]&lt;ValidationStart,"Train 2024",IF(tblWorkPackages[[#This Row],[Request date serial]]&lt;HoldoutStart,"Validation H1","Holdout H2"))</f>
        <v>Holdout H2</v>
      </c>
      <c r="T1423" s="51">
        <f>IF(tblWorkPackages[[#This Row],[Time split]]="Train 2024","",tblWorkPackages[[#This Row],[Estimated labor hours]]+VLOOKUP(tblWorkPackages[[#This Row],[Task type]],'Forecast validation'!$A$14:$E$25,IF(tblWorkPackages[[#This Row],[Time split]]="Validation H1",4,5),FALSE()))</f>
        <v>11.5246575342466</v>
      </c>
      <c r="U1423" s="51">
        <f>IF(tblWorkPackages[[#This Row],[Calibrated forecast hours]]="","",ABS(tblWorkPackages[[#This Row],[Actual labor hours]]-tblWorkPackages[[#This Row],[Calibrated forecast hours]]))</f>
        <v>3.42465753424658</v>
      </c>
      <c r="V1423" s="51">
        <f>IF(tblWorkPackages[[#This Row],[Time split]]="Train 2024",tblWorkPackages[[#This Row],[Estimated labor hours]],tblWorkPackages[[#This Row],[Calibrated forecast hours]])</f>
        <v>11.5246575342466</v>
      </c>
      <c r="W1423" s="64">
        <f>DATEVALUE(tblWorkPackages[[#This Row],[Request date]])</f>
        <v>45903.0</v>
      </c>
      <c r="X1423" s="64">
        <f>DATEVALUE(tblWorkPackages[[#This Row],[Due date]])</f>
        <v>45905.0</v>
      </c>
      <c r="Y1423" s="64">
        <f>DATEVALUE(tblWorkPackages[[#This Row],[Completion date]])</f>
        <v>45927.0</v>
      </c>
      <c r="Z1423" s="64">
        <f>_xlfn.MINIFS(tblLaborEntries[Work date serial],tblLaborEntries[Work package ID],tblWorkPackages[[#This Row],[Work package ID]])</f>
        <v>45925.0</v>
      </c>
      <c r="AA1423" s="64">
        <f>_xlfn.MAXIFS(tblLaborEntries[Work date serial],tblLaborEntries[Work package ID],tblWorkPackages[[#This Row],[Work package ID]])</f>
        <v>45926.0</v>
      </c>
      <c r="AB1423" s="65">
        <f>IF(tblWorkPackages[[#This Row],[Completion date serial]]&gt;tblWorkPackages[[#This Row],[Due date serial]],1,0)</f>
        <v>1</v>
      </c>
      <c r="AC1423" s="65">
        <f>MAX(0,tblWorkPackages[[#This Row],[Completion date serial]]-tblWorkPackages[[#This Row],[Due date serial]])</f>
        <v>22</v>
      </c>
      <c r="AD1423" s="65">
        <f>tblWorkPackages[[#This Row],[First labor date]]-tblWorkPackages[[#This Row],[Request date serial]]</f>
        <v>22</v>
      </c>
      <c r="AE1423" s="65">
        <f>tblWorkPackages[[#This Row],[Last labor date]]-tblWorkPackages[[#This Row],[First labor date]]</f>
        <v>1</v>
      </c>
      <c r="AF1423" s="65">
        <f>tblWorkPackages[[#This Row],[Completion date serial]]-tblWorkPackages[[#This Row],[Last labor date]]</f>
        <v>1</v>
      </c>
      <c r="AG1423" s="65">
        <f>tblWorkPackages[[#This Row],[Completion date serial]]-tblWorkPackages[[#This Row],[Request date serial]]</f>
        <v>24</v>
      </c>
      <c r="AH1423" s="65">
        <f>IFERROR(INDEX(tblParts[Delay days],MATCH(tblWorkPackages[[#This Row],[Work package ID]],tblParts[Work package ID],0)),0)</f>
        <v>0</v>
      </c>
      <c r="AI1423" s="51" t="str">
        <f>IFERROR(INDEX(tblDisruptions[Event type],MATCH(tblWorkPackages[[#This Row],[Work package ID]],tblDisruptions[Work package ID],0)),"None")</f>
        <v>None</v>
      </c>
      <c r="AJ1423" s="51" t="str">
        <f>TEXT(tblWorkPackages[[#This Row],[Due date serial]],"yyyy-mm")</f>
        <v>2025-09</v>
      </c>
    </row>
    <row r="1424" spans="1:36" ht="15" x14ac:dyDescent="0.25">
      <c r="A1424" s="53" t="s">
        <v>2332</v>
      </c>
      <c r="B1424" s="53" t="s">
        <v>150</v>
      </c>
      <c r="C1424" s="53" t="s">
        <v>681</v>
      </c>
      <c r="D1424" s="53" t="s">
        <v>1455</v>
      </c>
      <c r="E1424" s="53" t="s">
        <v>272</v>
      </c>
      <c r="F1424" s="53" t="s">
        <v>145</v>
      </c>
      <c r="G1424" s="53" t="s">
        <v>273</v>
      </c>
      <c r="H1424" s="53">
        <v>3</v>
      </c>
      <c r="I1424" s="53" t="s">
        <v>176</v>
      </c>
      <c r="J1424" s="53">
        <v>0</v>
      </c>
      <c r="K1424" s="53">
        <v>1</v>
      </c>
      <c r="L1424" s="53">
        <v>16.399999999999999</v>
      </c>
      <c r="M1424" s="53" t="s">
        <v>1344</v>
      </c>
      <c r="N1424" s="53">
        <v>15.2</v>
      </c>
      <c r="O1424" s="51" t="str">
        <f>TEXT(tblWorkPackages[[#This Row],[Request date serial]]-WEEKDAY(tblWorkPackages[[#This Row],[Request date serial]],3),"yyyy-mm-dd")</f>
        <v>2025-01-20</v>
      </c>
      <c r="P1424" s="51">
        <f>ABS(tblWorkPackages[[#This Row],[Actual labor hours]]-tblWorkPackages[[#This Row],[Estimated labor hours]])</f>
        <v>1.2</v>
      </c>
      <c r="Q1424" s="51">
        <f>IF(tblWorkPackages[[#This Row],[Actual labor hours]]&gt;tblWorkPackages[[#This Row],[Estimated labor hours]],1,0)</f>
        <v>0</v>
      </c>
      <c r="R1424" s="51">
        <f>tblWorkPackages[[#This Row],[Actual labor hours]]-tblWorkPackages[[#This Row],[Estimated labor hours]]</f>
        <v>-1.2</v>
      </c>
      <c r="S1424" s="51" t="str">
        <f>IF(tblWorkPackages[[#This Row],[Request date serial]]&lt;ValidationStart,"Train 2024",IF(tblWorkPackages[[#This Row],[Request date serial]]&lt;HoldoutStart,"Validation H1","Holdout H2"))</f>
        <v>Validation H1</v>
      </c>
      <c r="T1424" s="51">
        <f>IF(tblWorkPackages[[#This Row],[Time split]]="Train 2024","",tblWorkPackages[[#This Row],[Estimated labor hours]]+VLOOKUP(tblWorkPackages[[#This Row],[Task type]],'Forecast validation'!$A$14:$E$25,IF(tblWorkPackages[[#This Row],[Time split]]="Validation H1",4,5),FALSE()))</f>
        <v>17.4320512820513</v>
      </c>
      <c r="U1424" s="51">
        <f>IF(tblWorkPackages[[#This Row],[Calibrated forecast hours]]="","",ABS(tblWorkPackages[[#This Row],[Actual labor hours]]-tblWorkPackages[[#This Row],[Calibrated forecast hours]]))</f>
        <v>2.23205128205128</v>
      </c>
      <c r="V1424" s="51">
        <f>IF(tblWorkPackages[[#This Row],[Time split]]="Train 2024",tblWorkPackages[[#This Row],[Estimated labor hours]],tblWorkPackages[[#This Row],[Calibrated forecast hours]])</f>
        <v>17.4320512820513</v>
      </c>
      <c r="W1424" s="64">
        <f>DATEVALUE(tblWorkPackages[[#This Row],[Request date]])</f>
        <v>45681.0</v>
      </c>
      <c r="X1424" s="64">
        <f>DATEVALUE(tblWorkPackages[[#This Row],[Due date]])</f>
        <v>45687.0</v>
      </c>
      <c r="Y1424" s="64">
        <f>DATEVALUE(tblWorkPackages[[#This Row],[Completion date]])</f>
        <v>45688.0</v>
      </c>
      <c r="Z1424" s="64">
        <f>_xlfn.MINIFS(tblLaborEntries[Work date serial],tblLaborEntries[Work package ID],tblWorkPackages[[#This Row],[Work package ID]])</f>
        <v>45685.0</v>
      </c>
      <c r="AA1424" s="64">
        <f>_xlfn.MAXIFS(tblLaborEntries[Work date serial],tblLaborEntries[Work package ID],tblWorkPackages[[#This Row],[Work package ID]])</f>
        <v>45686.0</v>
      </c>
      <c r="AB1424" s="65">
        <f>IF(tblWorkPackages[[#This Row],[Completion date serial]]&gt;tblWorkPackages[[#This Row],[Due date serial]],1,0)</f>
        <v>1</v>
      </c>
      <c r="AC1424" s="65">
        <f>MAX(0,tblWorkPackages[[#This Row],[Completion date serial]]-tblWorkPackages[[#This Row],[Due date serial]])</f>
        <v>1</v>
      </c>
      <c r="AD1424" s="65">
        <f>tblWorkPackages[[#This Row],[First labor date]]-tblWorkPackages[[#This Row],[Request date serial]]</f>
        <v>4</v>
      </c>
      <c r="AE1424" s="65">
        <f>tblWorkPackages[[#This Row],[Last labor date]]-tblWorkPackages[[#This Row],[First labor date]]</f>
        <v>1</v>
      </c>
      <c r="AF1424" s="65">
        <f>tblWorkPackages[[#This Row],[Completion date serial]]-tblWorkPackages[[#This Row],[Last labor date]]</f>
        <v>2</v>
      </c>
      <c r="AG1424" s="65">
        <f>tblWorkPackages[[#This Row],[Completion date serial]]-tblWorkPackages[[#This Row],[Request date serial]]</f>
        <v>7</v>
      </c>
      <c r="AH1424" s="65">
        <f>IFERROR(INDEX(tblParts[Delay days],MATCH(tblWorkPackages[[#This Row],[Work package ID]],tblParts[Work package ID],0)),0)</f>
        <v>0</v>
      </c>
      <c r="AI1424" s="51" t="str">
        <f>IFERROR(INDEX(tblDisruptions[Event type],MATCH(tblWorkPackages[[#This Row],[Work package ID]],tblDisruptions[Work package ID],0)),"None")</f>
        <v>None</v>
      </c>
      <c r="AJ1424" s="51" t="str">
        <f>TEXT(tblWorkPackages[[#This Row],[Due date serial]],"yyyy-mm")</f>
        <v>2025-01</v>
      </c>
    </row>
    <row r="1425" spans="1:36" ht="15" x14ac:dyDescent="0.25">
      <c r="A1425" s="53" t="s">
        <v>2333</v>
      </c>
      <c r="B1425" s="53" t="s">
        <v>250</v>
      </c>
      <c r="C1425" s="53" t="s">
        <v>771</v>
      </c>
      <c r="D1425" s="53" t="s">
        <v>276</v>
      </c>
      <c r="E1425" s="53" t="s">
        <v>209</v>
      </c>
      <c r="F1425" s="53" t="s">
        <v>145</v>
      </c>
      <c r="G1425" s="53" t="s">
        <v>210</v>
      </c>
      <c r="H1425" s="53">
        <v>2</v>
      </c>
      <c r="I1425" s="53" t="s">
        <v>130</v>
      </c>
      <c r="J1425" s="53">
        <v>0</v>
      </c>
      <c r="K1425" s="53">
        <v>1</v>
      </c>
      <c r="L1425" s="53">
        <v>18.2</v>
      </c>
      <c r="M1425" s="53" t="s">
        <v>373</v>
      </c>
      <c r="N1425" s="53">
        <v>17.7</v>
      </c>
      <c r="O1425" s="51" t="str">
        <f>TEXT(tblWorkPackages[[#This Row],[Request date serial]]-WEEKDAY(tblWorkPackages[[#This Row],[Request date serial]],3),"yyyy-mm-dd")</f>
        <v>2024-09-30</v>
      </c>
      <c r="P1425" s="51">
        <f>ABS(tblWorkPackages[[#This Row],[Actual labor hours]]-tblWorkPackages[[#This Row],[Estimated labor hours]])</f>
        <v>0.5</v>
      </c>
      <c r="Q1425" s="51">
        <f>IF(tblWorkPackages[[#This Row],[Actual labor hours]]&gt;tblWorkPackages[[#This Row],[Estimated labor hours]],1,0)</f>
        <v>0</v>
      </c>
      <c r="R1425" s="51">
        <f>tblWorkPackages[[#This Row],[Actual labor hours]]-tblWorkPackages[[#This Row],[Estimated labor hours]]</f>
        <v>-0.5</v>
      </c>
      <c r="S1425" s="51" t="str">
        <f>IF(tblWorkPackages[[#This Row],[Request date serial]]&lt;ValidationStart,"Train 2024",IF(tblWorkPackages[[#This Row],[Request date serial]]&lt;HoldoutStart,"Validation H1","Holdout H2"))</f>
        <v>Train 2024</v>
      </c>
      <c r="T1425" s="51" t="str">
        <f>IF(tblWorkPackages[[#This Row],[Time split]]="Train 2024","",tblWorkPackages[[#This Row],[Estimated labor hours]]+VLOOKUP(tblWorkPackages[[#This Row],[Task type]],'Forecast validation'!$A$14:$E$25,IF(tblWorkPackages[[#This Row],[Time split]]="Validation H1",4,5),FALSE()))</f>
        <v/>
      </c>
      <c r="U1425" s="51" t="str">
        <f>IF(tblWorkPackages[[#This Row],[Calibrated forecast hours]]="","",ABS(tblWorkPackages[[#This Row],[Actual labor hours]]-tblWorkPackages[[#This Row],[Calibrated forecast hours]]))</f>
        <v/>
      </c>
      <c r="V1425" s="51">
        <f>IF(tblWorkPackages[[#This Row],[Time split]]="Train 2024",tblWorkPackages[[#This Row],[Estimated labor hours]],tblWorkPackages[[#This Row],[Calibrated forecast hours]])</f>
        <v>18.2</v>
      </c>
      <c r="W1425" s="64">
        <f>DATEVALUE(tblWorkPackages[[#This Row],[Request date]])</f>
        <v>45571.0</v>
      </c>
      <c r="X1425" s="64">
        <f>DATEVALUE(tblWorkPackages[[#This Row],[Due date]])</f>
        <v>45584.0</v>
      </c>
      <c r="Y1425" s="64">
        <f>DATEVALUE(tblWorkPackages[[#This Row],[Completion date]])</f>
        <v>45575.0</v>
      </c>
      <c r="Z1425" s="64">
        <f>_xlfn.MINIFS(tblLaborEntries[Work date serial],tblLaborEntries[Work package ID],tblWorkPackages[[#This Row],[Work package ID]])</f>
        <v>45572.0</v>
      </c>
      <c r="AA1425" s="64">
        <f>_xlfn.MAXIFS(tblLaborEntries[Work date serial],tblLaborEntries[Work package ID],tblWorkPackages[[#This Row],[Work package ID]])</f>
        <v>45572.0</v>
      </c>
      <c r="AB1425" s="65">
        <f>IF(tblWorkPackages[[#This Row],[Completion date serial]]&gt;tblWorkPackages[[#This Row],[Due date serial]],1,0)</f>
        <v>0</v>
      </c>
      <c r="AC1425" s="65">
        <f>MAX(0,tblWorkPackages[[#This Row],[Completion date serial]]-tblWorkPackages[[#This Row],[Due date serial]])</f>
        <v>0</v>
      </c>
      <c r="AD1425" s="65">
        <f>tblWorkPackages[[#This Row],[First labor date]]-tblWorkPackages[[#This Row],[Request date serial]]</f>
        <v>1</v>
      </c>
      <c r="AE1425" s="65">
        <f>tblWorkPackages[[#This Row],[Last labor date]]-tblWorkPackages[[#This Row],[First labor date]]</f>
        <v>0</v>
      </c>
      <c r="AF1425" s="65">
        <f>tblWorkPackages[[#This Row],[Completion date serial]]-tblWorkPackages[[#This Row],[Last labor date]]</f>
        <v>3</v>
      </c>
      <c r="AG1425" s="65">
        <f>tblWorkPackages[[#This Row],[Completion date serial]]-tblWorkPackages[[#This Row],[Request date serial]]</f>
        <v>4</v>
      </c>
      <c r="AH1425" s="65">
        <f>IFERROR(INDEX(tblParts[Delay days],MATCH(tblWorkPackages[[#This Row],[Work package ID]],tblParts[Work package ID],0)),0)</f>
        <v>0</v>
      </c>
      <c r="AI1425" s="51" t="str">
        <f>IFERROR(INDEX(tblDisruptions[Event type],MATCH(tblWorkPackages[[#This Row],[Work package ID]],tblDisruptions[Work package ID],0)),"None")</f>
        <v>None</v>
      </c>
      <c r="AJ1425" s="51" t="str">
        <f>TEXT(tblWorkPackages[[#This Row],[Due date serial]],"yyyy-mm")</f>
        <v>2024-10</v>
      </c>
    </row>
    <row r="1426" spans="1:36" ht="15" x14ac:dyDescent="0.25">
      <c r="A1426" s="53" t="s">
        <v>2334</v>
      </c>
      <c r="B1426" s="53" t="s">
        <v>157</v>
      </c>
      <c r="C1426" s="53" t="s">
        <v>253</v>
      </c>
      <c r="D1426" s="53" t="s">
        <v>1383</v>
      </c>
      <c r="E1426" s="53" t="s">
        <v>144</v>
      </c>
      <c r="F1426" s="53" t="s">
        <v>145</v>
      </c>
      <c r="G1426" s="53" t="s">
        <v>146</v>
      </c>
      <c r="H1426" s="53">
        <v>3</v>
      </c>
      <c r="I1426" s="53" t="s">
        <v>176</v>
      </c>
      <c r="J1426" s="53">
        <v>0</v>
      </c>
      <c r="K1426" s="53">
        <v>0</v>
      </c>
      <c r="L1426" s="53">
        <v>13.2</v>
      </c>
      <c r="M1426" s="53" t="s">
        <v>504</v>
      </c>
      <c r="N1426" s="53">
        <v>12</v>
      </c>
      <c r="O1426" s="51" t="str">
        <f>TEXT(tblWorkPackages[[#This Row],[Request date serial]]-WEEKDAY(tblWorkPackages[[#This Row],[Request date serial]],3),"yyyy-mm-dd")</f>
        <v>2025-01-20</v>
      </c>
      <c r="P1426" s="51">
        <f>ABS(tblWorkPackages[[#This Row],[Actual labor hours]]-tblWorkPackages[[#This Row],[Estimated labor hours]])</f>
        <v>1.2</v>
      </c>
      <c r="Q1426" s="51">
        <f>IF(tblWorkPackages[[#This Row],[Actual labor hours]]&gt;tblWorkPackages[[#This Row],[Estimated labor hours]],1,0)</f>
        <v>0</v>
      </c>
      <c r="R1426" s="51">
        <f>tblWorkPackages[[#This Row],[Actual labor hours]]-tblWorkPackages[[#This Row],[Estimated labor hours]]</f>
        <v>-1.2</v>
      </c>
      <c r="S1426" s="51" t="str">
        <f>IF(tblWorkPackages[[#This Row],[Request date serial]]&lt;ValidationStart,"Train 2024",IF(tblWorkPackages[[#This Row],[Request date serial]]&lt;HoldoutStart,"Validation H1","Holdout H2"))</f>
        <v>Validation H1</v>
      </c>
      <c r="T1426" s="51">
        <f>IF(tblWorkPackages[[#This Row],[Time split]]="Train 2024","",tblWorkPackages[[#This Row],[Estimated labor hours]]+VLOOKUP(tblWorkPackages[[#This Row],[Task type]],'Forecast validation'!$A$14:$E$25,IF(tblWorkPackages[[#This Row],[Time split]]="Validation H1",4,5),FALSE()))</f>
        <v>13.9547368421053</v>
      </c>
      <c r="U1426" s="51">
        <f>IF(tblWorkPackages[[#This Row],[Calibrated forecast hours]]="","",ABS(tblWorkPackages[[#This Row],[Actual labor hours]]-tblWorkPackages[[#This Row],[Calibrated forecast hours]]))</f>
        <v>1.95473684210526</v>
      </c>
      <c r="V1426" s="51">
        <f>IF(tblWorkPackages[[#This Row],[Time split]]="Train 2024",tblWorkPackages[[#This Row],[Estimated labor hours]],tblWorkPackages[[#This Row],[Calibrated forecast hours]])</f>
        <v>13.9547368421053</v>
      </c>
      <c r="W1426" s="64">
        <f>DATEVALUE(tblWorkPackages[[#This Row],[Request date]])</f>
        <v>45677.0</v>
      </c>
      <c r="X1426" s="64">
        <f>DATEVALUE(tblWorkPackages[[#This Row],[Due date]])</f>
        <v>45683.0</v>
      </c>
      <c r="Y1426" s="64">
        <f>DATEVALUE(tblWorkPackages[[#This Row],[Completion date]])</f>
        <v>45689.0</v>
      </c>
      <c r="Z1426" s="64">
        <f>_xlfn.MINIFS(tblLaborEntries[Work date serial],tblLaborEntries[Work package ID],tblWorkPackages[[#This Row],[Work package ID]])</f>
        <v>45689.0</v>
      </c>
      <c r="AA1426" s="64">
        <f>_xlfn.MAXIFS(tblLaborEntries[Work date serial],tblLaborEntries[Work package ID],tblWorkPackages[[#This Row],[Work package ID]])</f>
        <v>45689.0</v>
      </c>
      <c r="AB1426" s="65">
        <f>IF(tblWorkPackages[[#This Row],[Completion date serial]]&gt;tblWorkPackages[[#This Row],[Due date serial]],1,0)</f>
        <v>1</v>
      </c>
      <c r="AC1426" s="65">
        <f>MAX(0,tblWorkPackages[[#This Row],[Completion date serial]]-tblWorkPackages[[#This Row],[Due date serial]])</f>
        <v>6</v>
      </c>
      <c r="AD1426" s="65">
        <f>tblWorkPackages[[#This Row],[First labor date]]-tblWorkPackages[[#This Row],[Request date serial]]</f>
        <v>12</v>
      </c>
      <c r="AE1426" s="65">
        <f>tblWorkPackages[[#This Row],[Last labor date]]-tblWorkPackages[[#This Row],[First labor date]]</f>
        <v>0</v>
      </c>
      <c r="AF1426" s="65">
        <f>tblWorkPackages[[#This Row],[Completion date serial]]-tblWorkPackages[[#This Row],[Last labor date]]</f>
        <v>0</v>
      </c>
      <c r="AG1426" s="65">
        <f>tblWorkPackages[[#This Row],[Completion date serial]]-tblWorkPackages[[#This Row],[Request date serial]]</f>
        <v>12</v>
      </c>
      <c r="AH1426" s="65">
        <f>IFERROR(INDEX(tblParts[Delay days],MATCH(tblWorkPackages[[#This Row],[Work package ID]],tblParts[Work package ID],0)),0)</f>
        <v>0</v>
      </c>
      <c r="AI1426" s="51" t="str">
        <f>IFERROR(INDEX(tblDisruptions[Event type],MATCH(tblWorkPackages[[#This Row],[Work package ID]],tblDisruptions[Work package ID],0)),"None")</f>
        <v>None</v>
      </c>
      <c r="AJ1426" s="51" t="str">
        <f>TEXT(tblWorkPackages[[#This Row],[Due date serial]],"yyyy-mm")</f>
        <v>2025-01</v>
      </c>
    </row>
    <row r="1427" spans="1:36" ht="15" x14ac:dyDescent="0.25">
      <c r="A1427" s="53" t="s">
        <v>2335</v>
      </c>
      <c r="B1427" s="53" t="s">
        <v>235</v>
      </c>
      <c r="C1427" s="53" t="s">
        <v>356</v>
      </c>
      <c r="D1427" s="53" t="s">
        <v>779</v>
      </c>
      <c r="E1427" s="53" t="s">
        <v>127</v>
      </c>
      <c r="F1427" s="53" t="s">
        <v>128</v>
      </c>
      <c r="G1427" s="53" t="s">
        <v>129</v>
      </c>
      <c r="H1427" s="53">
        <v>1</v>
      </c>
      <c r="I1427" s="53" t="s">
        <v>176</v>
      </c>
      <c r="J1427" s="53">
        <v>0</v>
      </c>
      <c r="K1427" s="53">
        <v>0</v>
      </c>
      <c r="L1427" s="53">
        <v>4.4000000000000004</v>
      </c>
      <c r="M1427" s="53" t="s">
        <v>779</v>
      </c>
      <c r="N1427" s="53">
        <v>4.2</v>
      </c>
      <c r="O1427" s="51" t="str">
        <f>TEXT(tblWorkPackages[[#This Row],[Request date serial]]-WEEKDAY(tblWorkPackages[[#This Row],[Request date serial]],3),"yyyy-mm-dd")</f>
        <v>2025-12-15</v>
      </c>
      <c r="P1427" s="51">
        <f>ABS(tblWorkPackages[[#This Row],[Actual labor hours]]-tblWorkPackages[[#This Row],[Estimated labor hours]])</f>
        <v>0.2</v>
      </c>
      <c r="Q1427" s="51">
        <f>IF(tblWorkPackages[[#This Row],[Actual labor hours]]&gt;tblWorkPackages[[#This Row],[Estimated labor hours]],1,0)</f>
        <v>0</v>
      </c>
      <c r="R1427" s="51">
        <f>tblWorkPackages[[#This Row],[Actual labor hours]]-tblWorkPackages[[#This Row],[Estimated labor hours]]</f>
        <v>-0.2</v>
      </c>
      <c r="S1427" s="51" t="str">
        <f>IF(tblWorkPackages[[#This Row],[Request date serial]]&lt;ValidationStart,"Train 2024",IF(tblWorkPackages[[#This Row],[Request date serial]]&lt;HoldoutStart,"Validation H1","Holdout H2"))</f>
        <v>Holdout H2</v>
      </c>
      <c r="T1427" s="51">
        <f>IF(tblWorkPackages[[#This Row],[Time split]]="Train 2024","",tblWorkPackages[[#This Row],[Estimated labor hours]]+VLOOKUP(tblWorkPackages[[#This Row],[Task type]],'Forecast validation'!$A$14:$E$25,IF(tblWorkPackages[[#This Row],[Time split]]="Validation H1",4,5),FALSE()))</f>
        <v>4.94341085271318</v>
      </c>
      <c r="U1427" s="51">
        <f>IF(tblWorkPackages[[#This Row],[Calibrated forecast hours]]="","",ABS(tblWorkPackages[[#This Row],[Actual labor hours]]-tblWorkPackages[[#This Row],[Calibrated forecast hours]]))</f>
        <v>0.743410852713178</v>
      </c>
      <c r="V1427" s="51">
        <f>IF(tblWorkPackages[[#This Row],[Time split]]="Train 2024",tblWorkPackages[[#This Row],[Estimated labor hours]],tblWorkPackages[[#This Row],[Calibrated forecast hours]])</f>
        <v>4.94341085271318</v>
      </c>
      <c r="W1427" s="64">
        <f>DATEVALUE(tblWorkPackages[[#This Row],[Request date]])</f>
        <v>46012.0</v>
      </c>
      <c r="X1427" s="64">
        <f>DATEVALUE(tblWorkPackages[[#This Row],[Due date]])</f>
        <v>46018.0</v>
      </c>
      <c r="Y1427" s="64">
        <f>DATEVALUE(tblWorkPackages[[#This Row],[Completion date]])</f>
        <v>46018.0</v>
      </c>
      <c r="Z1427" s="64">
        <f>_xlfn.MINIFS(tblLaborEntries[Work date serial],tblLaborEntries[Work package ID],tblWorkPackages[[#This Row],[Work package ID]])</f>
        <v>46015.0</v>
      </c>
      <c r="AA1427" s="64">
        <f>_xlfn.MAXIFS(tblLaborEntries[Work date serial],tblLaborEntries[Work package ID],tblWorkPackages[[#This Row],[Work package ID]])</f>
        <v>46017.0</v>
      </c>
      <c r="AB1427" s="65">
        <f>IF(tblWorkPackages[[#This Row],[Completion date serial]]&gt;tblWorkPackages[[#This Row],[Due date serial]],1,0)</f>
        <v>0</v>
      </c>
      <c r="AC1427" s="65">
        <f>MAX(0,tblWorkPackages[[#This Row],[Completion date serial]]-tblWorkPackages[[#This Row],[Due date serial]])</f>
        <v>0</v>
      </c>
      <c r="AD1427" s="65">
        <f>tblWorkPackages[[#This Row],[First labor date]]-tblWorkPackages[[#This Row],[Request date serial]]</f>
        <v>3</v>
      </c>
      <c r="AE1427" s="65">
        <f>tblWorkPackages[[#This Row],[Last labor date]]-tblWorkPackages[[#This Row],[First labor date]]</f>
        <v>2</v>
      </c>
      <c r="AF1427" s="65">
        <f>tblWorkPackages[[#This Row],[Completion date serial]]-tblWorkPackages[[#This Row],[Last labor date]]</f>
        <v>1</v>
      </c>
      <c r="AG1427" s="65">
        <f>tblWorkPackages[[#This Row],[Completion date serial]]-tblWorkPackages[[#This Row],[Request date serial]]</f>
        <v>6</v>
      </c>
      <c r="AH1427" s="65">
        <f>IFERROR(INDEX(tblParts[Delay days],MATCH(tblWorkPackages[[#This Row],[Work package ID]],tblParts[Work package ID],0)),0)</f>
        <v>0</v>
      </c>
      <c r="AI1427" s="51" t="str">
        <f>IFERROR(INDEX(tblDisruptions[Event type],MATCH(tblWorkPackages[[#This Row],[Work package ID]],tblDisruptions[Work package ID],0)),"None")</f>
        <v>None</v>
      </c>
      <c r="AJ1427" s="51" t="str">
        <f>TEXT(tblWorkPackages[[#This Row],[Due date serial]],"yyyy-mm")</f>
        <v>2025-12</v>
      </c>
    </row>
    <row r="1428" spans="1:36" ht="15" x14ac:dyDescent="0.25">
      <c r="A1428" s="53" t="s">
        <v>2336</v>
      </c>
      <c r="B1428" s="53" t="s">
        <v>173</v>
      </c>
      <c r="C1428" s="53" t="s">
        <v>267</v>
      </c>
      <c r="D1428" s="53" t="s">
        <v>817</v>
      </c>
      <c r="E1428" s="53" t="s">
        <v>209</v>
      </c>
      <c r="F1428" s="53" t="s">
        <v>145</v>
      </c>
      <c r="G1428" s="53" t="s">
        <v>210</v>
      </c>
      <c r="H1428" s="53">
        <v>1</v>
      </c>
      <c r="I1428" s="53" t="s">
        <v>176</v>
      </c>
      <c r="J1428" s="53">
        <v>0</v>
      </c>
      <c r="K1428" s="53">
        <v>1</v>
      </c>
      <c r="L1428" s="53">
        <v>12.4</v>
      </c>
      <c r="M1428" s="53" t="s">
        <v>457</v>
      </c>
      <c r="N1428" s="53">
        <v>10.1</v>
      </c>
      <c r="O1428" s="51" t="str">
        <f>TEXT(tblWorkPackages[[#This Row],[Request date serial]]-WEEKDAY(tblWorkPackages[[#This Row],[Request date serial]],3),"yyyy-mm-dd")</f>
        <v>2024-12-02</v>
      </c>
      <c r="P1428" s="51">
        <f>ABS(tblWorkPackages[[#This Row],[Actual labor hours]]-tblWorkPackages[[#This Row],[Estimated labor hours]])</f>
        <v>2.3</v>
      </c>
      <c r="Q1428" s="51">
        <f>IF(tblWorkPackages[[#This Row],[Actual labor hours]]&gt;tblWorkPackages[[#This Row],[Estimated labor hours]],1,0)</f>
        <v>0</v>
      </c>
      <c r="R1428" s="51">
        <f>tblWorkPackages[[#This Row],[Actual labor hours]]-tblWorkPackages[[#This Row],[Estimated labor hours]]</f>
        <v>-2.3</v>
      </c>
      <c r="S1428" s="51" t="str">
        <f>IF(tblWorkPackages[[#This Row],[Request date serial]]&lt;ValidationStart,"Train 2024",IF(tblWorkPackages[[#This Row],[Request date serial]]&lt;HoldoutStart,"Validation H1","Holdout H2"))</f>
        <v>Train 2024</v>
      </c>
      <c r="T1428" s="51" t="str">
        <f>IF(tblWorkPackages[[#This Row],[Time split]]="Train 2024","",tblWorkPackages[[#This Row],[Estimated labor hours]]+VLOOKUP(tblWorkPackages[[#This Row],[Task type]],'Forecast validation'!$A$14:$E$25,IF(tblWorkPackages[[#This Row],[Time split]]="Validation H1",4,5),FALSE()))</f>
        <v/>
      </c>
      <c r="U1428" s="51" t="str">
        <f>IF(tblWorkPackages[[#This Row],[Calibrated forecast hours]]="","",ABS(tblWorkPackages[[#This Row],[Actual labor hours]]-tblWorkPackages[[#This Row],[Calibrated forecast hours]]))</f>
        <v/>
      </c>
      <c r="V1428" s="51">
        <f>IF(tblWorkPackages[[#This Row],[Time split]]="Train 2024",tblWorkPackages[[#This Row],[Estimated labor hours]],tblWorkPackages[[#This Row],[Calibrated forecast hours]])</f>
        <v>12.4</v>
      </c>
      <c r="W1428" s="64">
        <f>DATEVALUE(tblWorkPackages[[#This Row],[Request date]])</f>
        <v>45631.0</v>
      </c>
      <c r="X1428" s="64">
        <f>DATEVALUE(tblWorkPackages[[#This Row],[Due date]])</f>
        <v>45637.0</v>
      </c>
      <c r="Y1428" s="64">
        <f>DATEVALUE(tblWorkPackages[[#This Row],[Completion date]])</f>
        <v>45669.0</v>
      </c>
      <c r="Z1428" s="64">
        <f>_xlfn.MINIFS(tblLaborEntries[Work date serial],tblLaborEntries[Work package ID],tblWorkPackages[[#This Row],[Work package ID]])</f>
        <v>45665.0</v>
      </c>
      <c r="AA1428" s="64">
        <f>_xlfn.MAXIFS(tblLaborEntries[Work date serial],tblLaborEntries[Work package ID],tblWorkPackages[[#This Row],[Work package ID]])</f>
        <v>45667.0</v>
      </c>
      <c r="AB1428" s="65">
        <f>IF(tblWorkPackages[[#This Row],[Completion date serial]]&gt;tblWorkPackages[[#This Row],[Due date serial]],1,0)</f>
        <v>1</v>
      </c>
      <c r="AC1428" s="65">
        <f>MAX(0,tblWorkPackages[[#This Row],[Completion date serial]]-tblWorkPackages[[#This Row],[Due date serial]])</f>
        <v>32</v>
      </c>
      <c r="AD1428" s="65">
        <f>tblWorkPackages[[#This Row],[First labor date]]-tblWorkPackages[[#This Row],[Request date serial]]</f>
        <v>34</v>
      </c>
      <c r="AE1428" s="65">
        <f>tblWorkPackages[[#This Row],[Last labor date]]-tblWorkPackages[[#This Row],[First labor date]]</f>
        <v>2</v>
      </c>
      <c r="AF1428" s="65">
        <f>tblWorkPackages[[#This Row],[Completion date serial]]-tblWorkPackages[[#This Row],[Last labor date]]</f>
        <v>2</v>
      </c>
      <c r="AG1428" s="65">
        <f>tblWorkPackages[[#This Row],[Completion date serial]]-tblWorkPackages[[#This Row],[Request date serial]]</f>
        <v>38</v>
      </c>
      <c r="AH1428" s="65">
        <f>IFERROR(INDEX(tblParts[Delay days],MATCH(tblWorkPackages[[#This Row],[Work package ID]],tblParts[Work package ID],0)),0)</f>
        <v>0</v>
      </c>
      <c r="AI1428" s="51" t="str">
        <f>IFERROR(INDEX(tblDisruptions[Event type],MATCH(tblWorkPackages[[#This Row],[Work package ID]],tblDisruptions[Work package ID],0)),"None")</f>
        <v>None</v>
      </c>
      <c r="AJ1428" s="51" t="str">
        <f>TEXT(tblWorkPackages[[#This Row],[Due date serial]],"yyyy-mm")</f>
        <v>2024-12</v>
      </c>
    </row>
    <row r="1429" spans="1:36" ht="15" x14ac:dyDescent="0.25">
      <c r="A1429" s="53" t="s">
        <v>2337</v>
      </c>
      <c r="B1429" s="53" t="s">
        <v>163</v>
      </c>
      <c r="C1429" s="53" t="s">
        <v>716</v>
      </c>
      <c r="D1429" s="53" t="s">
        <v>717</v>
      </c>
      <c r="E1429" s="53" t="s">
        <v>127</v>
      </c>
      <c r="F1429" s="53" t="s">
        <v>128</v>
      </c>
      <c r="G1429" s="53" t="s">
        <v>129</v>
      </c>
      <c r="H1429" s="53">
        <v>2</v>
      </c>
      <c r="I1429" s="53" t="s">
        <v>130</v>
      </c>
      <c r="J1429" s="53">
        <v>0</v>
      </c>
      <c r="K1429" s="53">
        <v>1</v>
      </c>
      <c r="L1429" s="53">
        <v>7.2</v>
      </c>
      <c r="M1429" s="53" t="s">
        <v>1063</v>
      </c>
      <c r="N1429" s="53">
        <v>6.6</v>
      </c>
      <c r="O1429" s="51" t="str">
        <f>TEXT(tblWorkPackages[[#This Row],[Request date serial]]-WEEKDAY(tblWorkPackages[[#This Row],[Request date serial]],3),"yyyy-mm-dd")</f>
        <v>2025-02-17</v>
      </c>
      <c r="P1429" s="51">
        <f>ABS(tblWorkPackages[[#This Row],[Actual labor hours]]-tblWorkPackages[[#This Row],[Estimated labor hours]])</f>
        <v>0.600000000000001</v>
      </c>
      <c r="Q1429" s="51">
        <f>IF(tblWorkPackages[[#This Row],[Actual labor hours]]&gt;tblWorkPackages[[#This Row],[Estimated labor hours]],1,0)</f>
        <v>0</v>
      </c>
      <c r="R1429" s="51">
        <f>tblWorkPackages[[#This Row],[Actual labor hours]]-tblWorkPackages[[#This Row],[Estimated labor hours]]</f>
        <v>-0.600000000000001</v>
      </c>
      <c r="S1429" s="51" t="str">
        <f>IF(tblWorkPackages[[#This Row],[Request date serial]]&lt;ValidationStart,"Train 2024",IF(tblWorkPackages[[#This Row],[Request date serial]]&lt;HoldoutStart,"Validation H1","Holdout H2"))</f>
        <v>Validation H1</v>
      </c>
      <c r="T1429" s="51">
        <f>IF(tblWorkPackages[[#This Row],[Time split]]="Train 2024","",tblWorkPackages[[#This Row],[Estimated labor hours]]+VLOOKUP(tblWorkPackages[[#This Row],[Task type]],'Forecast validation'!$A$14:$E$25,IF(tblWorkPackages[[#This Row],[Time split]]="Validation H1",4,5),FALSE()))</f>
        <v>7.67564102564103</v>
      </c>
      <c r="U1429" s="51">
        <f>IF(tblWorkPackages[[#This Row],[Calibrated forecast hours]]="","",ABS(tblWorkPackages[[#This Row],[Actual labor hours]]-tblWorkPackages[[#This Row],[Calibrated forecast hours]]))</f>
        <v>1.07564102564103</v>
      </c>
      <c r="V1429" s="51">
        <f>IF(tblWorkPackages[[#This Row],[Time split]]="Train 2024",tblWorkPackages[[#This Row],[Estimated labor hours]],tblWorkPackages[[#This Row],[Calibrated forecast hours]])</f>
        <v>7.67564102564103</v>
      </c>
      <c r="W1429" s="64">
        <f>DATEVALUE(tblWorkPackages[[#This Row],[Request date]])</f>
        <v>45710.0</v>
      </c>
      <c r="X1429" s="64">
        <f>DATEVALUE(tblWorkPackages[[#This Row],[Due date]])</f>
        <v>45723.0</v>
      </c>
      <c r="Y1429" s="64">
        <f>DATEVALUE(tblWorkPackages[[#This Row],[Completion date]])</f>
        <v>45727.0</v>
      </c>
      <c r="Z1429" s="64">
        <f>_xlfn.MINIFS(tblLaborEntries[Work date serial],tblLaborEntries[Work package ID],tblWorkPackages[[#This Row],[Work package ID]])</f>
        <v>45722.0</v>
      </c>
      <c r="AA1429" s="64">
        <f>_xlfn.MAXIFS(tblLaborEntries[Work date serial],tblLaborEntries[Work package ID],tblWorkPackages[[#This Row],[Work package ID]])</f>
        <v>45724.0</v>
      </c>
      <c r="AB1429" s="65">
        <f>IF(tblWorkPackages[[#This Row],[Completion date serial]]&gt;tblWorkPackages[[#This Row],[Due date serial]],1,0)</f>
        <v>1</v>
      </c>
      <c r="AC1429" s="65">
        <f>MAX(0,tblWorkPackages[[#This Row],[Completion date serial]]-tblWorkPackages[[#This Row],[Due date serial]])</f>
        <v>4</v>
      </c>
      <c r="AD1429" s="65">
        <f>tblWorkPackages[[#This Row],[First labor date]]-tblWorkPackages[[#This Row],[Request date serial]]</f>
        <v>12</v>
      </c>
      <c r="AE1429" s="65">
        <f>tblWorkPackages[[#This Row],[Last labor date]]-tblWorkPackages[[#This Row],[First labor date]]</f>
        <v>2</v>
      </c>
      <c r="AF1429" s="65">
        <f>tblWorkPackages[[#This Row],[Completion date serial]]-tblWorkPackages[[#This Row],[Last labor date]]</f>
        <v>3</v>
      </c>
      <c r="AG1429" s="65">
        <f>tblWorkPackages[[#This Row],[Completion date serial]]-tblWorkPackages[[#This Row],[Request date serial]]</f>
        <v>17</v>
      </c>
      <c r="AH1429" s="65">
        <f>IFERROR(INDEX(tblParts[Delay days],MATCH(tblWorkPackages[[#This Row],[Work package ID]],tblParts[Work package ID],0)),0)</f>
        <v>6</v>
      </c>
      <c r="AI1429" s="51" t="str">
        <f>IFERROR(INDEX(tblDisruptions[Event type],MATCH(tblWorkPackages[[#This Row],[Work package ID]],tblDisruptions[Work package ID],0)),"None")</f>
        <v>Part delay</v>
      </c>
      <c r="AJ1429" s="51" t="str">
        <f>TEXT(tblWorkPackages[[#This Row],[Due date serial]],"yyyy-mm")</f>
        <v>2025-03</v>
      </c>
    </row>
    <row r="1430" spans="1:36" ht="15" x14ac:dyDescent="0.25">
      <c r="A1430" s="53" t="s">
        <v>2338</v>
      </c>
      <c r="B1430" s="53" t="s">
        <v>141</v>
      </c>
      <c r="C1430" s="53" t="s">
        <v>962</v>
      </c>
      <c r="D1430" s="53" t="s">
        <v>186</v>
      </c>
      <c r="E1430" s="53" t="s">
        <v>144</v>
      </c>
      <c r="F1430" s="53" t="s">
        <v>145</v>
      </c>
      <c r="G1430" s="53" t="s">
        <v>146</v>
      </c>
      <c r="H1430" s="53">
        <v>4</v>
      </c>
      <c r="I1430" s="53" t="s">
        <v>130</v>
      </c>
      <c r="J1430" s="53">
        <v>0</v>
      </c>
      <c r="K1430" s="53">
        <v>0</v>
      </c>
      <c r="L1430" s="53">
        <v>20.2</v>
      </c>
      <c r="M1430" s="53" t="s">
        <v>964</v>
      </c>
      <c r="N1430" s="53">
        <v>23.3</v>
      </c>
      <c r="O1430" s="51" t="str">
        <f>TEXT(tblWorkPackages[[#This Row],[Request date serial]]-WEEKDAY(tblWorkPackages[[#This Row],[Request date serial]],3),"yyyy-mm-dd")</f>
        <v>2025-02-03</v>
      </c>
      <c r="P1430" s="51">
        <f>ABS(tblWorkPackages[[#This Row],[Actual labor hours]]-tblWorkPackages[[#This Row],[Estimated labor hours]])</f>
        <v>3.1</v>
      </c>
      <c r="Q1430" s="51">
        <f>IF(tblWorkPackages[[#This Row],[Actual labor hours]]&gt;tblWorkPackages[[#This Row],[Estimated labor hours]],1,0)</f>
        <v>1</v>
      </c>
      <c r="R1430" s="51">
        <f>tblWorkPackages[[#This Row],[Actual labor hours]]-tblWorkPackages[[#This Row],[Estimated labor hours]]</f>
        <v>3.1</v>
      </c>
      <c r="S1430" s="51" t="str">
        <f>IF(tblWorkPackages[[#This Row],[Request date serial]]&lt;ValidationStart,"Train 2024",IF(tblWorkPackages[[#This Row],[Request date serial]]&lt;HoldoutStart,"Validation H1","Holdout H2"))</f>
        <v>Validation H1</v>
      </c>
      <c r="T1430" s="51">
        <f>IF(tblWorkPackages[[#This Row],[Time split]]="Train 2024","",tblWorkPackages[[#This Row],[Estimated labor hours]]+VLOOKUP(tblWorkPackages[[#This Row],[Task type]],'Forecast validation'!$A$14:$E$25,IF(tblWorkPackages[[#This Row],[Time split]]="Validation H1",4,5),FALSE()))</f>
        <v>20.9547368421053</v>
      </c>
      <c r="U1430" s="51">
        <f>IF(tblWorkPackages[[#This Row],[Calibrated forecast hours]]="","",ABS(tblWorkPackages[[#This Row],[Actual labor hours]]-tblWorkPackages[[#This Row],[Calibrated forecast hours]]))</f>
        <v>2.34526315789474</v>
      </c>
      <c r="V1430" s="51">
        <f>IF(tblWorkPackages[[#This Row],[Time split]]="Train 2024",tblWorkPackages[[#This Row],[Estimated labor hours]],tblWorkPackages[[#This Row],[Calibrated forecast hours]])</f>
        <v>20.9547368421053</v>
      </c>
      <c r="W1430" s="64">
        <f>DATEVALUE(tblWorkPackages[[#This Row],[Request date]])</f>
        <v>45694.0</v>
      </c>
      <c r="X1430" s="64">
        <f>DATEVALUE(tblWorkPackages[[#This Row],[Due date]])</f>
        <v>45707.0</v>
      </c>
      <c r="Y1430" s="64">
        <f>DATEVALUE(tblWorkPackages[[#This Row],[Completion date]])</f>
        <v>45697.0</v>
      </c>
      <c r="Z1430" s="64">
        <f>_xlfn.MINIFS(tblLaborEntries[Work date serial],tblLaborEntries[Work package ID],tblWorkPackages[[#This Row],[Work package ID]])</f>
        <v>45696.0</v>
      </c>
      <c r="AA1430" s="64">
        <f>_xlfn.MAXIFS(tblLaborEntries[Work date serial],tblLaborEntries[Work package ID],tblWorkPackages[[#This Row],[Work package ID]])</f>
        <v>45697.0</v>
      </c>
      <c r="AB1430" s="65">
        <f>IF(tblWorkPackages[[#This Row],[Completion date serial]]&gt;tblWorkPackages[[#This Row],[Due date serial]],1,0)</f>
        <v>0</v>
      </c>
      <c r="AC1430" s="65">
        <f>MAX(0,tblWorkPackages[[#This Row],[Completion date serial]]-tblWorkPackages[[#This Row],[Due date serial]])</f>
        <v>0</v>
      </c>
      <c r="AD1430" s="65">
        <f>tblWorkPackages[[#This Row],[First labor date]]-tblWorkPackages[[#This Row],[Request date serial]]</f>
        <v>2</v>
      </c>
      <c r="AE1430" s="65">
        <f>tblWorkPackages[[#This Row],[Last labor date]]-tblWorkPackages[[#This Row],[First labor date]]</f>
        <v>1</v>
      </c>
      <c r="AF1430" s="65">
        <f>tblWorkPackages[[#This Row],[Completion date serial]]-tblWorkPackages[[#This Row],[Last labor date]]</f>
        <v>0</v>
      </c>
      <c r="AG1430" s="65">
        <f>tblWorkPackages[[#This Row],[Completion date serial]]-tblWorkPackages[[#This Row],[Request date serial]]</f>
        <v>3</v>
      </c>
      <c r="AH1430" s="65">
        <f>IFERROR(INDEX(tblParts[Delay days],MATCH(tblWorkPackages[[#This Row],[Work package ID]],tblParts[Work package ID],0)),0)</f>
        <v>0</v>
      </c>
      <c r="AI1430" s="51" t="str">
        <f>IFERROR(INDEX(tblDisruptions[Event type],MATCH(tblWorkPackages[[#This Row],[Work package ID]],tblDisruptions[Work package ID],0)),"None")</f>
        <v>None</v>
      </c>
      <c r="AJ1430" s="51" t="str">
        <f>TEXT(tblWorkPackages[[#This Row],[Due date serial]],"yyyy-mm")</f>
        <v>2025-02</v>
      </c>
    </row>
    <row r="1431" spans="1:36" ht="15" x14ac:dyDescent="0.25">
      <c r="A1431" s="53" t="s">
        <v>2339</v>
      </c>
      <c r="B1431" s="53" t="s">
        <v>150</v>
      </c>
      <c r="C1431" s="53" t="s">
        <v>1017</v>
      </c>
      <c r="D1431" s="53" t="s">
        <v>559</v>
      </c>
      <c r="E1431" s="53" t="s">
        <v>136</v>
      </c>
      <c r="F1431" s="53" t="s">
        <v>137</v>
      </c>
      <c r="G1431" s="53" t="s">
        <v>138</v>
      </c>
      <c r="H1431" s="53">
        <v>3</v>
      </c>
      <c r="I1431" s="53" t="s">
        <v>147</v>
      </c>
      <c r="J1431" s="53">
        <v>0</v>
      </c>
      <c r="K1431" s="53">
        <v>0</v>
      </c>
      <c r="L1431" s="53">
        <v>18.399999999999999</v>
      </c>
      <c r="M1431" s="53" t="s">
        <v>334</v>
      </c>
      <c r="N1431" s="53">
        <v>14.2</v>
      </c>
      <c r="O1431" s="51" t="str">
        <f>TEXT(tblWorkPackages[[#This Row],[Request date serial]]-WEEKDAY(tblWorkPackages[[#This Row],[Request date serial]],3),"yyyy-mm-dd")</f>
        <v>2025-11-10</v>
      </c>
      <c r="P1431" s="51">
        <f>ABS(tblWorkPackages[[#This Row],[Actual labor hours]]-tblWorkPackages[[#This Row],[Estimated labor hours]])</f>
        <v>4.2</v>
      </c>
      <c r="Q1431" s="51">
        <f>IF(tblWorkPackages[[#This Row],[Actual labor hours]]&gt;tblWorkPackages[[#This Row],[Estimated labor hours]],1,0)</f>
        <v>0</v>
      </c>
      <c r="R1431" s="51">
        <f>tblWorkPackages[[#This Row],[Actual labor hours]]-tblWorkPackages[[#This Row],[Estimated labor hours]]</f>
        <v>-4.2</v>
      </c>
      <c r="S1431" s="51" t="str">
        <f>IF(tblWorkPackages[[#This Row],[Request date serial]]&lt;ValidationStart,"Train 2024",IF(tblWorkPackages[[#This Row],[Request date serial]]&lt;HoldoutStart,"Validation H1","Holdout H2"))</f>
        <v>Holdout H2</v>
      </c>
      <c r="T1431" s="51">
        <f>IF(tblWorkPackages[[#This Row],[Time split]]="Train 2024","",tblWorkPackages[[#This Row],[Estimated labor hours]]+VLOOKUP(tblWorkPackages[[#This Row],[Task type]],'Forecast validation'!$A$14:$E$25,IF(tblWorkPackages[[#This Row],[Time split]]="Validation H1",4,5),FALSE()))</f>
        <v>19.3207547169811</v>
      </c>
      <c r="U1431" s="51">
        <f>IF(tblWorkPackages[[#This Row],[Calibrated forecast hours]]="","",ABS(tblWorkPackages[[#This Row],[Actual labor hours]]-tblWorkPackages[[#This Row],[Calibrated forecast hours]]))</f>
        <v>5.12075471698113</v>
      </c>
      <c r="V1431" s="51">
        <f>IF(tblWorkPackages[[#This Row],[Time split]]="Train 2024",tblWorkPackages[[#This Row],[Estimated labor hours]],tblWorkPackages[[#This Row],[Calibrated forecast hours]])</f>
        <v>19.3207547169811</v>
      </c>
      <c r="W1431" s="64">
        <f>DATEVALUE(tblWorkPackages[[#This Row],[Request date]])</f>
        <v>45972.0</v>
      </c>
      <c r="X1431" s="64">
        <f>DATEVALUE(tblWorkPackages[[#This Row],[Due date]])</f>
        <v>45974.0</v>
      </c>
      <c r="Y1431" s="64">
        <f>DATEVALUE(tblWorkPackages[[#This Row],[Completion date]])</f>
        <v>45990.0</v>
      </c>
      <c r="Z1431" s="64">
        <f>_xlfn.MINIFS(tblLaborEntries[Work date serial],tblLaborEntries[Work package ID],tblWorkPackages[[#This Row],[Work package ID]])</f>
        <v>45987.0</v>
      </c>
      <c r="AA1431" s="64">
        <f>_xlfn.MAXIFS(tblLaborEntries[Work date serial],tblLaborEntries[Work package ID],tblWorkPackages[[#This Row],[Work package ID]])</f>
        <v>45989.0</v>
      </c>
      <c r="AB1431" s="65">
        <f>IF(tblWorkPackages[[#This Row],[Completion date serial]]&gt;tblWorkPackages[[#This Row],[Due date serial]],1,0)</f>
        <v>1</v>
      </c>
      <c r="AC1431" s="65">
        <f>MAX(0,tblWorkPackages[[#This Row],[Completion date serial]]-tblWorkPackages[[#This Row],[Due date serial]])</f>
        <v>16</v>
      </c>
      <c r="AD1431" s="65">
        <f>tblWorkPackages[[#This Row],[First labor date]]-tblWorkPackages[[#This Row],[Request date serial]]</f>
        <v>15</v>
      </c>
      <c r="AE1431" s="65">
        <f>tblWorkPackages[[#This Row],[Last labor date]]-tblWorkPackages[[#This Row],[First labor date]]</f>
        <v>2</v>
      </c>
      <c r="AF1431" s="65">
        <f>tblWorkPackages[[#This Row],[Completion date serial]]-tblWorkPackages[[#This Row],[Last labor date]]</f>
        <v>1</v>
      </c>
      <c r="AG1431" s="65">
        <f>tblWorkPackages[[#This Row],[Completion date serial]]-tblWorkPackages[[#This Row],[Request date serial]]</f>
        <v>18</v>
      </c>
      <c r="AH1431" s="65">
        <f>IFERROR(INDEX(tblParts[Delay days],MATCH(tblWorkPackages[[#This Row],[Work package ID]],tblParts[Work package ID],0)),0)</f>
        <v>0</v>
      </c>
      <c r="AI1431" s="51" t="str">
        <f>IFERROR(INDEX(tblDisruptions[Event type],MATCH(tblWorkPackages[[#This Row],[Work package ID]],tblDisruptions[Work package ID],0)),"None")</f>
        <v>None</v>
      </c>
      <c r="AJ1431" s="51" t="str">
        <f>TEXT(tblWorkPackages[[#This Row],[Due date serial]],"yyyy-mm")</f>
        <v>2025-11</v>
      </c>
    </row>
    <row r="1432" spans="1:36" ht="15" x14ac:dyDescent="0.25">
      <c r="A1432" s="53" t="s">
        <v>2340</v>
      </c>
      <c r="B1432" s="53" t="s">
        <v>150</v>
      </c>
      <c r="C1432" s="53" t="s">
        <v>886</v>
      </c>
      <c r="D1432" s="53" t="s">
        <v>289</v>
      </c>
      <c r="E1432" s="53" t="s">
        <v>237</v>
      </c>
      <c r="F1432" s="53" t="s">
        <v>182</v>
      </c>
      <c r="G1432" s="53" t="s">
        <v>138</v>
      </c>
      <c r="H1432" s="53">
        <v>3</v>
      </c>
      <c r="I1432" s="53" t="s">
        <v>130</v>
      </c>
      <c r="J1432" s="53">
        <v>0</v>
      </c>
      <c r="K1432" s="53">
        <v>1</v>
      </c>
      <c r="L1432" s="53">
        <v>6.7</v>
      </c>
      <c r="M1432" s="53" t="s">
        <v>791</v>
      </c>
      <c r="N1432" s="53">
        <v>7</v>
      </c>
      <c r="O1432" s="51" t="str">
        <f>TEXT(tblWorkPackages[[#This Row],[Request date serial]]-WEEKDAY(tblWorkPackages[[#This Row],[Request date serial]],3),"yyyy-mm-dd")</f>
        <v>2025-09-01</v>
      </c>
      <c r="P1432" s="51">
        <f>ABS(tblWorkPackages[[#This Row],[Actual labor hours]]-tblWorkPackages[[#This Row],[Estimated labor hours]])</f>
        <v>0.3</v>
      </c>
      <c r="Q1432" s="51">
        <f>IF(tblWorkPackages[[#This Row],[Actual labor hours]]&gt;tblWorkPackages[[#This Row],[Estimated labor hours]],1,0)</f>
        <v>1</v>
      </c>
      <c r="R1432" s="51">
        <f>tblWorkPackages[[#This Row],[Actual labor hours]]-tblWorkPackages[[#This Row],[Estimated labor hours]]</f>
        <v>0.3</v>
      </c>
      <c r="S1432" s="51" t="str">
        <f>IF(tblWorkPackages[[#This Row],[Request date serial]]&lt;ValidationStart,"Train 2024",IF(tblWorkPackages[[#This Row],[Request date serial]]&lt;HoldoutStart,"Validation H1","Holdout H2"))</f>
        <v>Holdout H2</v>
      </c>
      <c r="T1432" s="51">
        <f>IF(tblWorkPackages[[#This Row],[Time split]]="Train 2024","",tblWorkPackages[[#This Row],[Estimated labor hours]]+VLOOKUP(tblWorkPackages[[#This Row],[Task type]],'Forecast validation'!$A$14:$E$25,IF(tblWorkPackages[[#This Row],[Time split]]="Validation H1",4,5),FALSE()))</f>
        <v>7.153125</v>
      </c>
      <c r="U1432" s="51">
        <f>IF(tblWorkPackages[[#This Row],[Calibrated forecast hours]]="","",ABS(tblWorkPackages[[#This Row],[Actual labor hours]]-tblWorkPackages[[#This Row],[Calibrated forecast hours]]))</f>
        <v>0.153125</v>
      </c>
      <c r="V1432" s="51">
        <f>IF(tblWorkPackages[[#This Row],[Time split]]="Train 2024",tblWorkPackages[[#This Row],[Estimated labor hours]],tblWorkPackages[[#This Row],[Calibrated forecast hours]])</f>
        <v>7.153125</v>
      </c>
      <c r="W1432" s="64">
        <f>DATEVALUE(tblWorkPackages[[#This Row],[Request date]])</f>
        <v>45907.0</v>
      </c>
      <c r="X1432" s="64">
        <f>DATEVALUE(tblWorkPackages[[#This Row],[Due date]])</f>
        <v>45920.0</v>
      </c>
      <c r="Y1432" s="64">
        <f>DATEVALUE(tblWorkPackages[[#This Row],[Completion date]])</f>
        <v>45922.0</v>
      </c>
      <c r="Z1432" s="64">
        <f>_xlfn.MINIFS(tblLaborEntries[Work date serial],tblLaborEntries[Work package ID],tblWorkPackages[[#This Row],[Work package ID]])</f>
        <v>45918.0</v>
      </c>
      <c r="AA1432" s="64">
        <f>_xlfn.MAXIFS(tblLaborEntries[Work date serial],tblLaborEntries[Work package ID],tblWorkPackages[[#This Row],[Work package ID]])</f>
        <v>45920.0</v>
      </c>
      <c r="AB1432" s="65">
        <f>IF(tblWorkPackages[[#This Row],[Completion date serial]]&gt;tblWorkPackages[[#This Row],[Due date serial]],1,0)</f>
        <v>1</v>
      </c>
      <c r="AC1432" s="65">
        <f>MAX(0,tblWorkPackages[[#This Row],[Completion date serial]]-tblWorkPackages[[#This Row],[Due date serial]])</f>
        <v>2</v>
      </c>
      <c r="AD1432" s="65">
        <f>tblWorkPackages[[#This Row],[First labor date]]-tblWorkPackages[[#This Row],[Request date serial]]</f>
        <v>11</v>
      </c>
      <c r="AE1432" s="65">
        <f>tblWorkPackages[[#This Row],[Last labor date]]-tblWorkPackages[[#This Row],[First labor date]]</f>
        <v>2</v>
      </c>
      <c r="AF1432" s="65">
        <f>tblWorkPackages[[#This Row],[Completion date serial]]-tblWorkPackages[[#This Row],[Last labor date]]</f>
        <v>2</v>
      </c>
      <c r="AG1432" s="65">
        <f>tblWorkPackages[[#This Row],[Completion date serial]]-tblWorkPackages[[#This Row],[Request date serial]]</f>
        <v>15</v>
      </c>
      <c r="AH1432" s="65">
        <f>IFERROR(INDEX(tblParts[Delay days],MATCH(tblWorkPackages[[#This Row],[Work package ID]],tblParts[Work package ID],0)),0)</f>
        <v>7</v>
      </c>
      <c r="AI1432" s="51" t="str">
        <f>IFERROR(INDEX(tblDisruptions[Event type],MATCH(tblWorkPackages[[#This Row],[Work package ID]],tblDisruptions[Work package ID],0)),"None")</f>
        <v>Part delay</v>
      </c>
      <c r="AJ1432" s="51" t="str">
        <f>TEXT(tblWorkPackages[[#This Row],[Due date serial]],"yyyy-mm")</f>
        <v>2025-09</v>
      </c>
    </row>
    <row r="1433" spans="1:36" ht="15" x14ac:dyDescent="0.25">
      <c r="A1433" s="53" t="s">
        <v>2341</v>
      </c>
      <c r="B1433" s="53" t="s">
        <v>250</v>
      </c>
      <c r="C1433" s="53" t="s">
        <v>885</v>
      </c>
      <c r="D1433" s="53" t="s">
        <v>903</v>
      </c>
      <c r="E1433" s="53" t="s">
        <v>181</v>
      </c>
      <c r="F1433" s="53" t="s">
        <v>182</v>
      </c>
      <c r="G1433" s="53" t="s">
        <v>138</v>
      </c>
      <c r="H1433" s="53">
        <v>2</v>
      </c>
      <c r="I1433" s="53" t="s">
        <v>130</v>
      </c>
      <c r="J1433" s="53">
        <v>0</v>
      </c>
      <c r="K1433" s="53">
        <v>1</v>
      </c>
      <c r="L1433" s="53">
        <v>6.7</v>
      </c>
      <c r="M1433" s="53" t="s">
        <v>790</v>
      </c>
      <c r="N1433" s="53">
        <v>8.6999999999999993</v>
      </c>
      <c r="O1433" s="51" t="str">
        <f>TEXT(tblWorkPackages[[#This Row],[Request date serial]]-WEEKDAY(tblWorkPackages[[#This Row],[Request date serial]],3),"yyyy-mm-dd")</f>
        <v>2025-09-01</v>
      </c>
      <c r="P1433" s="51">
        <f>ABS(tblWorkPackages[[#This Row],[Actual labor hours]]-tblWorkPackages[[#This Row],[Estimated labor hours]])</f>
        <v>2</v>
      </c>
      <c r="Q1433" s="51">
        <f>IF(tblWorkPackages[[#This Row],[Actual labor hours]]&gt;tblWorkPackages[[#This Row],[Estimated labor hours]],1,0)</f>
        <v>1</v>
      </c>
      <c r="R1433" s="51">
        <f>tblWorkPackages[[#This Row],[Actual labor hours]]-tblWorkPackages[[#This Row],[Estimated labor hours]]</f>
        <v>2</v>
      </c>
      <c r="S1433" s="51" t="str">
        <f>IF(tblWorkPackages[[#This Row],[Request date serial]]&lt;ValidationStart,"Train 2024",IF(tblWorkPackages[[#This Row],[Request date serial]]&lt;HoldoutStart,"Validation H1","Holdout H2"))</f>
        <v>Holdout H2</v>
      </c>
      <c r="T1433" s="51">
        <f>IF(tblWorkPackages[[#This Row],[Time split]]="Train 2024","",tblWorkPackages[[#This Row],[Estimated labor hours]]+VLOOKUP(tblWorkPackages[[#This Row],[Task type]],'Forecast validation'!$A$14:$E$25,IF(tblWorkPackages[[#This Row],[Time split]]="Validation H1",4,5),FALSE()))</f>
        <v>7.29160839160839</v>
      </c>
      <c r="U1433" s="51">
        <f>IF(tblWorkPackages[[#This Row],[Calibrated forecast hours]]="","",ABS(tblWorkPackages[[#This Row],[Actual labor hours]]-tblWorkPackages[[#This Row],[Calibrated forecast hours]]))</f>
        <v>1.40839160839161</v>
      </c>
      <c r="V1433" s="51">
        <f>IF(tblWorkPackages[[#This Row],[Time split]]="Train 2024",tblWorkPackages[[#This Row],[Estimated labor hours]],tblWorkPackages[[#This Row],[Calibrated forecast hours]])</f>
        <v>7.29160839160839</v>
      </c>
      <c r="W1433" s="64">
        <f>DATEVALUE(tblWorkPackages[[#This Row],[Request date]])</f>
        <v>45901.0</v>
      </c>
      <c r="X1433" s="64">
        <f>DATEVALUE(tblWorkPackages[[#This Row],[Due date]])</f>
        <v>45914.0</v>
      </c>
      <c r="Y1433" s="64">
        <f>DATEVALUE(tblWorkPackages[[#This Row],[Completion date]])</f>
        <v>45916.0</v>
      </c>
      <c r="Z1433" s="64">
        <f>_xlfn.MINIFS(tblLaborEntries[Work date serial],tblLaborEntries[Work package ID],tblWorkPackages[[#This Row],[Work package ID]])</f>
        <v>45912.0</v>
      </c>
      <c r="AA1433" s="64">
        <f>_xlfn.MAXIFS(tblLaborEntries[Work date serial],tblLaborEntries[Work package ID],tblWorkPackages[[#This Row],[Work package ID]])</f>
        <v>45913.0</v>
      </c>
      <c r="AB1433" s="65">
        <f>IF(tblWorkPackages[[#This Row],[Completion date serial]]&gt;tblWorkPackages[[#This Row],[Due date serial]],1,0)</f>
        <v>1</v>
      </c>
      <c r="AC1433" s="65">
        <f>MAX(0,tblWorkPackages[[#This Row],[Completion date serial]]-tblWorkPackages[[#This Row],[Due date serial]])</f>
        <v>2</v>
      </c>
      <c r="AD1433" s="65">
        <f>tblWorkPackages[[#This Row],[First labor date]]-tblWorkPackages[[#This Row],[Request date serial]]</f>
        <v>11</v>
      </c>
      <c r="AE1433" s="65">
        <f>tblWorkPackages[[#This Row],[Last labor date]]-tblWorkPackages[[#This Row],[First labor date]]</f>
        <v>1</v>
      </c>
      <c r="AF1433" s="65">
        <f>tblWorkPackages[[#This Row],[Completion date serial]]-tblWorkPackages[[#This Row],[Last labor date]]</f>
        <v>3</v>
      </c>
      <c r="AG1433" s="65">
        <f>tblWorkPackages[[#This Row],[Completion date serial]]-tblWorkPackages[[#This Row],[Request date serial]]</f>
        <v>15</v>
      </c>
      <c r="AH1433" s="65">
        <f>IFERROR(INDEX(tblParts[Delay days],MATCH(tblWorkPackages[[#This Row],[Work package ID]],tblParts[Work package ID],0)),0)</f>
        <v>10</v>
      </c>
      <c r="AI1433" s="51" t="str">
        <f>IFERROR(INDEX(tblDisruptions[Event type],MATCH(tblWorkPackages[[#This Row],[Work package ID]],tblDisruptions[Work package ID],0)),"None")</f>
        <v>Part delay</v>
      </c>
      <c r="AJ1433" s="51" t="str">
        <f>TEXT(tblWorkPackages[[#This Row],[Due date serial]],"yyyy-mm")</f>
        <v>2025-09</v>
      </c>
    </row>
    <row r="1434" spans="1:36" ht="15" x14ac:dyDescent="0.25">
      <c r="A1434" s="53" t="s">
        <v>2342</v>
      </c>
      <c r="B1434" s="53" t="s">
        <v>173</v>
      </c>
      <c r="C1434" s="53" t="s">
        <v>824</v>
      </c>
      <c r="D1434" s="53" t="s">
        <v>555</v>
      </c>
      <c r="E1434" s="53" t="s">
        <v>200</v>
      </c>
      <c r="F1434" s="53" t="s">
        <v>128</v>
      </c>
      <c r="G1434" s="53" t="s">
        <v>129</v>
      </c>
      <c r="H1434" s="53">
        <v>3</v>
      </c>
      <c r="I1434" s="53" t="s">
        <v>147</v>
      </c>
      <c r="J1434" s="53">
        <v>0</v>
      </c>
      <c r="K1434" s="53">
        <v>0</v>
      </c>
      <c r="L1434" s="53">
        <v>3.6</v>
      </c>
      <c r="M1434" s="53" t="s">
        <v>1072</v>
      </c>
      <c r="N1434" s="53">
        <v>4.2</v>
      </c>
      <c r="O1434" s="51" t="str">
        <f>TEXT(tblWorkPackages[[#This Row],[Request date serial]]-WEEKDAY(tblWorkPackages[[#This Row],[Request date serial]],3),"yyyy-mm-dd")</f>
        <v>2024-11-18</v>
      </c>
      <c r="P1434" s="51">
        <f>ABS(tblWorkPackages[[#This Row],[Actual labor hours]]-tblWorkPackages[[#This Row],[Estimated labor hours]])</f>
        <v>0.6</v>
      </c>
      <c r="Q1434" s="51">
        <f>IF(tblWorkPackages[[#This Row],[Actual labor hours]]&gt;tblWorkPackages[[#This Row],[Estimated labor hours]],1,0)</f>
        <v>1</v>
      </c>
      <c r="R1434" s="51">
        <f>tblWorkPackages[[#This Row],[Actual labor hours]]-tblWorkPackages[[#This Row],[Estimated labor hours]]</f>
        <v>0.6</v>
      </c>
      <c r="S1434" s="51" t="str">
        <f>IF(tblWorkPackages[[#This Row],[Request date serial]]&lt;ValidationStart,"Train 2024",IF(tblWorkPackages[[#This Row],[Request date serial]]&lt;HoldoutStart,"Validation H1","Holdout H2"))</f>
        <v>Train 2024</v>
      </c>
      <c r="T1434" s="51" t="str">
        <f>IF(tblWorkPackages[[#This Row],[Time split]]="Train 2024","",tblWorkPackages[[#This Row],[Estimated labor hours]]+VLOOKUP(tblWorkPackages[[#This Row],[Task type]],'Forecast validation'!$A$14:$E$25,IF(tblWorkPackages[[#This Row],[Time split]]="Validation H1",4,5),FALSE()))</f>
        <v/>
      </c>
      <c r="U1434" s="51" t="str">
        <f>IF(tblWorkPackages[[#This Row],[Calibrated forecast hours]]="","",ABS(tblWorkPackages[[#This Row],[Actual labor hours]]-tblWorkPackages[[#This Row],[Calibrated forecast hours]]))</f>
        <v/>
      </c>
      <c r="V1434" s="51">
        <f>IF(tblWorkPackages[[#This Row],[Time split]]="Train 2024",tblWorkPackages[[#This Row],[Estimated labor hours]],tblWorkPackages[[#This Row],[Calibrated forecast hours]])</f>
        <v>3.6</v>
      </c>
      <c r="W1434" s="64">
        <f>DATEVALUE(tblWorkPackages[[#This Row],[Request date]])</f>
        <v>45620.0</v>
      </c>
      <c r="X1434" s="64">
        <f>DATEVALUE(tblWorkPackages[[#This Row],[Due date]])</f>
        <v>45622.0</v>
      </c>
      <c r="Y1434" s="64">
        <f>DATEVALUE(tblWorkPackages[[#This Row],[Completion date]])</f>
        <v>45630.0</v>
      </c>
      <c r="Z1434" s="64">
        <f>_xlfn.MINIFS(tblLaborEntries[Work date serial],tblLaborEntries[Work package ID],tblWorkPackages[[#This Row],[Work package ID]])</f>
        <v>45630.0</v>
      </c>
      <c r="AA1434" s="64">
        <f>_xlfn.MAXIFS(tblLaborEntries[Work date serial],tblLaborEntries[Work package ID],tblWorkPackages[[#This Row],[Work package ID]])</f>
        <v>45630.0</v>
      </c>
      <c r="AB1434" s="65">
        <f>IF(tblWorkPackages[[#This Row],[Completion date serial]]&gt;tblWorkPackages[[#This Row],[Due date serial]],1,0)</f>
        <v>1</v>
      </c>
      <c r="AC1434" s="65">
        <f>MAX(0,tblWorkPackages[[#This Row],[Completion date serial]]-tblWorkPackages[[#This Row],[Due date serial]])</f>
        <v>8</v>
      </c>
      <c r="AD1434" s="65">
        <f>tblWorkPackages[[#This Row],[First labor date]]-tblWorkPackages[[#This Row],[Request date serial]]</f>
        <v>10</v>
      </c>
      <c r="AE1434" s="65">
        <f>tblWorkPackages[[#This Row],[Last labor date]]-tblWorkPackages[[#This Row],[First labor date]]</f>
        <v>0</v>
      </c>
      <c r="AF1434" s="65">
        <f>tblWorkPackages[[#This Row],[Completion date serial]]-tblWorkPackages[[#This Row],[Last labor date]]</f>
        <v>0</v>
      </c>
      <c r="AG1434" s="65">
        <f>tblWorkPackages[[#This Row],[Completion date serial]]-tblWorkPackages[[#This Row],[Request date serial]]</f>
        <v>10</v>
      </c>
      <c r="AH1434" s="65">
        <f>IFERROR(INDEX(tblParts[Delay days],MATCH(tblWorkPackages[[#This Row],[Work package ID]],tblParts[Work package ID],0)),0)</f>
        <v>0</v>
      </c>
      <c r="AI1434" s="51" t="str">
        <f>IFERROR(INDEX(tblDisruptions[Event type],MATCH(tblWorkPackages[[#This Row],[Work package ID]],tblDisruptions[Work package ID],0)),"None")</f>
        <v>Repeat inspection</v>
      </c>
      <c r="AJ1434" s="51" t="str">
        <f>TEXT(tblWorkPackages[[#This Row],[Due date serial]],"yyyy-mm")</f>
        <v>2024-11</v>
      </c>
    </row>
    <row r="1435" spans="1:36" ht="15" x14ac:dyDescent="0.25">
      <c r="A1435" s="53" t="s">
        <v>2343</v>
      </c>
      <c r="B1435" s="53" t="s">
        <v>287</v>
      </c>
      <c r="C1435" s="53" t="s">
        <v>833</v>
      </c>
      <c r="D1435" s="53" t="s">
        <v>753</v>
      </c>
      <c r="E1435" s="53" t="s">
        <v>127</v>
      </c>
      <c r="F1435" s="53" t="s">
        <v>128</v>
      </c>
      <c r="G1435" s="53" t="s">
        <v>129</v>
      </c>
      <c r="H1435" s="53">
        <v>2</v>
      </c>
      <c r="I1435" s="53" t="s">
        <v>130</v>
      </c>
      <c r="J1435" s="53">
        <v>0</v>
      </c>
      <c r="K1435" s="53">
        <v>1</v>
      </c>
      <c r="L1435" s="53">
        <v>6.5</v>
      </c>
      <c r="M1435" s="53" t="s">
        <v>939</v>
      </c>
      <c r="N1435" s="53">
        <v>5</v>
      </c>
      <c r="O1435" s="51" t="str">
        <f>TEXT(tblWorkPackages[[#This Row],[Request date serial]]-WEEKDAY(tblWorkPackages[[#This Row],[Request date serial]],3),"yyyy-mm-dd")</f>
        <v>2025-11-10</v>
      </c>
      <c r="P1435" s="51">
        <f>ABS(tblWorkPackages[[#This Row],[Actual labor hours]]-tblWorkPackages[[#This Row],[Estimated labor hours]])</f>
        <v>1.5</v>
      </c>
      <c r="Q1435" s="51">
        <f>IF(tblWorkPackages[[#This Row],[Actual labor hours]]&gt;tblWorkPackages[[#This Row],[Estimated labor hours]],1,0)</f>
        <v>0</v>
      </c>
      <c r="R1435" s="51">
        <f>tblWorkPackages[[#This Row],[Actual labor hours]]-tblWorkPackages[[#This Row],[Estimated labor hours]]</f>
        <v>-1.5</v>
      </c>
      <c r="S1435" s="51" t="str">
        <f>IF(tblWorkPackages[[#This Row],[Request date serial]]&lt;ValidationStart,"Train 2024",IF(tblWorkPackages[[#This Row],[Request date serial]]&lt;HoldoutStart,"Validation H1","Holdout H2"))</f>
        <v>Holdout H2</v>
      </c>
      <c r="T1435" s="51">
        <f>IF(tblWorkPackages[[#This Row],[Time split]]="Train 2024","",tblWorkPackages[[#This Row],[Estimated labor hours]]+VLOOKUP(tblWorkPackages[[#This Row],[Task type]],'Forecast validation'!$A$14:$E$25,IF(tblWorkPackages[[#This Row],[Time split]]="Validation H1",4,5),FALSE()))</f>
        <v>7.04341085271318</v>
      </c>
      <c r="U1435" s="51">
        <f>IF(tblWorkPackages[[#This Row],[Calibrated forecast hours]]="","",ABS(tblWorkPackages[[#This Row],[Actual labor hours]]-tblWorkPackages[[#This Row],[Calibrated forecast hours]]))</f>
        <v>2.04341085271318</v>
      </c>
      <c r="V1435" s="51">
        <f>IF(tblWorkPackages[[#This Row],[Time split]]="Train 2024",tblWorkPackages[[#This Row],[Estimated labor hours]],tblWorkPackages[[#This Row],[Calibrated forecast hours]])</f>
        <v>7.04341085271318</v>
      </c>
      <c r="W1435" s="64">
        <f>DATEVALUE(tblWorkPackages[[#This Row],[Request date]])</f>
        <v>45976.0</v>
      </c>
      <c r="X1435" s="64">
        <f>DATEVALUE(tblWorkPackages[[#This Row],[Due date]])</f>
        <v>45989.0</v>
      </c>
      <c r="Y1435" s="64">
        <f>DATEVALUE(tblWorkPackages[[#This Row],[Completion date]])</f>
        <v>45980.0</v>
      </c>
      <c r="Z1435" s="64">
        <f>_xlfn.MINIFS(tblLaborEntries[Work date serial],tblLaborEntries[Work package ID],tblWorkPackages[[#This Row],[Work package ID]])</f>
        <v>45979.0</v>
      </c>
      <c r="AA1435" s="64">
        <f>_xlfn.MAXIFS(tblLaborEntries[Work date serial],tblLaborEntries[Work package ID],tblWorkPackages[[#This Row],[Work package ID]])</f>
        <v>45979.0</v>
      </c>
      <c r="AB1435" s="65">
        <f>IF(tblWorkPackages[[#This Row],[Completion date serial]]&gt;tblWorkPackages[[#This Row],[Due date serial]],1,0)</f>
        <v>0</v>
      </c>
      <c r="AC1435" s="65">
        <f>MAX(0,tblWorkPackages[[#This Row],[Completion date serial]]-tblWorkPackages[[#This Row],[Due date serial]])</f>
        <v>0</v>
      </c>
      <c r="AD1435" s="65">
        <f>tblWorkPackages[[#This Row],[First labor date]]-tblWorkPackages[[#This Row],[Request date serial]]</f>
        <v>3</v>
      </c>
      <c r="AE1435" s="65">
        <f>tblWorkPackages[[#This Row],[Last labor date]]-tblWorkPackages[[#This Row],[First labor date]]</f>
        <v>0</v>
      </c>
      <c r="AF1435" s="65">
        <f>tblWorkPackages[[#This Row],[Completion date serial]]-tblWorkPackages[[#This Row],[Last labor date]]</f>
        <v>1</v>
      </c>
      <c r="AG1435" s="65">
        <f>tblWorkPackages[[#This Row],[Completion date serial]]-tblWorkPackages[[#This Row],[Request date serial]]</f>
        <v>4</v>
      </c>
      <c r="AH1435" s="65">
        <f>IFERROR(INDEX(tblParts[Delay days],MATCH(tblWorkPackages[[#This Row],[Work package ID]],tblParts[Work package ID],0)),0)</f>
        <v>0</v>
      </c>
      <c r="AI1435" s="51" t="str">
        <f>IFERROR(INDEX(tblDisruptions[Event type],MATCH(tblWorkPackages[[#This Row],[Work package ID]],tblDisruptions[Work package ID],0)),"None")</f>
        <v>None</v>
      </c>
      <c r="AJ1435" s="51" t="str">
        <f>TEXT(tblWorkPackages[[#This Row],[Due date serial]],"yyyy-mm")</f>
        <v>2025-11</v>
      </c>
    </row>
    <row r="1436" spans="1:36" ht="15" x14ac:dyDescent="0.25">
      <c r="A1436" s="53" t="s">
        <v>2344</v>
      </c>
      <c r="B1436" s="53" t="s">
        <v>250</v>
      </c>
      <c r="C1436" s="53" t="s">
        <v>658</v>
      </c>
      <c r="D1436" s="53" t="s">
        <v>584</v>
      </c>
      <c r="E1436" s="53" t="s">
        <v>160</v>
      </c>
      <c r="F1436" s="53" t="s">
        <v>128</v>
      </c>
      <c r="G1436" s="53" t="s">
        <v>138</v>
      </c>
      <c r="H1436" s="53">
        <v>4</v>
      </c>
      <c r="I1436" s="53" t="s">
        <v>176</v>
      </c>
      <c r="J1436" s="53">
        <v>1</v>
      </c>
      <c r="K1436" s="53">
        <v>0</v>
      </c>
      <c r="L1436" s="53">
        <v>7.8</v>
      </c>
      <c r="M1436" s="53" t="s">
        <v>521</v>
      </c>
      <c r="N1436" s="53">
        <v>9.4</v>
      </c>
      <c r="O1436" s="51" t="str">
        <f>TEXT(tblWorkPackages[[#This Row],[Request date serial]]-WEEKDAY(tblWorkPackages[[#This Row],[Request date serial]],3),"yyyy-mm-dd")</f>
        <v>2025-08-04</v>
      </c>
      <c r="P1436" s="51">
        <f>ABS(tblWorkPackages[[#This Row],[Actual labor hours]]-tblWorkPackages[[#This Row],[Estimated labor hours]])</f>
        <v>1.6</v>
      </c>
      <c r="Q1436" s="51">
        <f>IF(tblWorkPackages[[#This Row],[Actual labor hours]]&gt;tblWorkPackages[[#This Row],[Estimated labor hours]],1,0)</f>
        <v>1</v>
      </c>
      <c r="R1436" s="51">
        <f>tblWorkPackages[[#This Row],[Actual labor hours]]-tblWorkPackages[[#This Row],[Estimated labor hours]]</f>
        <v>1.6</v>
      </c>
      <c r="S1436" s="51" t="str">
        <f>IF(tblWorkPackages[[#This Row],[Request date serial]]&lt;ValidationStart,"Train 2024",IF(tblWorkPackages[[#This Row],[Request date serial]]&lt;HoldoutStart,"Validation H1","Holdout H2"))</f>
        <v>Holdout H2</v>
      </c>
      <c r="T1436" s="51">
        <f>IF(tblWorkPackages[[#This Row],[Time split]]="Train 2024","",tblWorkPackages[[#This Row],[Estimated labor hours]]+VLOOKUP(tblWorkPackages[[#This Row],[Task type]],'Forecast validation'!$A$14:$E$25,IF(tblWorkPackages[[#This Row],[Time split]]="Validation H1",4,5),FALSE()))</f>
        <v>8.23739837398374</v>
      </c>
      <c r="U1436" s="51">
        <f>IF(tblWorkPackages[[#This Row],[Calibrated forecast hours]]="","",ABS(tblWorkPackages[[#This Row],[Actual labor hours]]-tblWorkPackages[[#This Row],[Calibrated forecast hours]]))</f>
        <v>1.16260162601626</v>
      </c>
      <c r="V1436" s="51">
        <f>IF(tblWorkPackages[[#This Row],[Time split]]="Train 2024",tblWorkPackages[[#This Row],[Estimated labor hours]],tblWorkPackages[[#This Row],[Calibrated forecast hours]])</f>
        <v>8.23739837398374</v>
      </c>
      <c r="W1436" s="64">
        <f>DATEVALUE(tblWorkPackages[[#This Row],[Request date]])</f>
        <v>45873.0</v>
      </c>
      <c r="X1436" s="64">
        <f>DATEVALUE(tblWorkPackages[[#This Row],[Due date]])</f>
        <v>45879.0</v>
      </c>
      <c r="Y1436" s="64">
        <f>DATEVALUE(tblWorkPackages[[#This Row],[Completion date]])</f>
        <v>45903.0</v>
      </c>
      <c r="Z1436" s="64">
        <f>_xlfn.MINIFS(tblLaborEntries[Work date serial],tblLaborEntries[Work package ID],tblWorkPackages[[#This Row],[Work package ID]])</f>
        <v>45900.0</v>
      </c>
      <c r="AA1436" s="64">
        <f>_xlfn.MAXIFS(tblLaborEntries[Work date serial],tblLaborEntries[Work package ID],tblWorkPackages[[#This Row],[Work package ID]])</f>
        <v>45901.0</v>
      </c>
      <c r="AB1436" s="65">
        <f>IF(tblWorkPackages[[#This Row],[Completion date serial]]&gt;tblWorkPackages[[#This Row],[Due date serial]],1,0)</f>
        <v>1</v>
      </c>
      <c r="AC1436" s="65">
        <f>MAX(0,tblWorkPackages[[#This Row],[Completion date serial]]-tblWorkPackages[[#This Row],[Due date serial]])</f>
        <v>24</v>
      </c>
      <c r="AD1436" s="65">
        <f>tblWorkPackages[[#This Row],[First labor date]]-tblWorkPackages[[#This Row],[Request date serial]]</f>
        <v>27</v>
      </c>
      <c r="AE1436" s="65">
        <f>tblWorkPackages[[#This Row],[Last labor date]]-tblWorkPackages[[#This Row],[First labor date]]</f>
        <v>1</v>
      </c>
      <c r="AF1436" s="65">
        <f>tblWorkPackages[[#This Row],[Completion date serial]]-tblWorkPackages[[#This Row],[Last labor date]]</f>
        <v>2</v>
      </c>
      <c r="AG1436" s="65">
        <f>tblWorkPackages[[#This Row],[Completion date serial]]-tblWorkPackages[[#This Row],[Request date serial]]</f>
        <v>30</v>
      </c>
      <c r="AH1436" s="65">
        <f>IFERROR(INDEX(tblParts[Delay days],MATCH(tblWorkPackages[[#This Row],[Work package ID]],tblParts[Work package ID],0)),0)</f>
        <v>0</v>
      </c>
      <c r="AI1436" s="51" t="str">
        <f>IFERROR(INDEX(tblDisruptions[Event type],MATCH(tblWorkPackages[[#This Row],[Work package ID]],tblDisruptions[Work package ID],0)),"None")</f>
        <v>None</v>
      </c>
      <c r="AJ1436" s="51" t="str">
        <f>TEXT(tblWorkPackages[[#This Row],[Due date serial]],"yyyy-mm")</f>
        <v>2025-08</v>
      </c>
    </row>
    <row r="1437" spans="1:36" ht="15" x14ac:dyDescent="0.25">
      <c r="A1437" s="53" t="s">
        <v>2345</v>
      </c>
      <c r="B1437" s="53" t="s">
        <v>287</v>
      </c>
      <c r="C1437" s="53" t="s">
        <v>1138</v>
      </c>
      <c r="D1437" s="53" t="s">
        <v>263</v>
      </c>
      <c r="E1437" s="53" t="s">
        <v>153</v>
      </c>
      <c r="F1437" s="53" t="s">
        <v>128</v>
      </c>
      <c r="G1437" s="53" t="s">
        <v>154</v>
      </c>
      <c r="H1437" s="53">
        <v>4</v>
      </c>
      <c r="I1437" s="53" t="s">
        <v>130</v>
      </c>
      <c r="J1437" s="53">
        <v>0</v>
      </c>
      <c r="K1437" s="53">
        <v>0</v>
      </c>
      <c r="L1437" s="53">
        <v>16.8</v>
      </c>
      <c r="M1437" s="53" t="s">
        <v>1042</v>
      </c>
      <c r="N1437" s="53">
        <v>21</v>
      </c>
      <c r="O1437" s="51" t="str">
        <f>TEXT(tblWorkPackages[[#This Row],[Request date serial]]-WEEKDAY(tblWorkPackages[[#This Row],[Request date serial]],3),"yyyy-mm-dd")</f>
        <v>2024-08-05</v>
      </c>
      <c r="P1437" s="51">
        <f>ABS(tblWorkPackages[[#This Row],[Actual labor hours]]-tblWorkPackages[[#This Row],[Estimated labor hours]])</f>
        <v>4.2</v>
      </c>
      <c r="Q1437" s="51">
        <f>IF(tblWorkPackages[[#This Row],[Actual labor hours]]&gt;tblWorkPackages[[#This Row],[Estimated labor hours]],1,0)</f>
        <v>1</v>
      </c>
      <c r="R1437" s="51">
        <f>tblWorkPackages[[#This Row],[Actual labor hours]]-tblWorkPackages[[#This Row],[Estimated labor hours]]</f>
        <v>4.2</v>
      </c>
      <c r="S1437" s="51" t="str">
        <f>IF(tblWorkPackages[[#This Row],[Request date serial]]&lt;ValidationStart,"Train 2024",IF(tblWorkPackages[[#This Row],[Request date serial]]&lt;HoldoutStart,"Validation H1","Holdout H2"))</f>
        <v>Train 2024</v>
      </c>
      <c r="T1437" s="51" t="str">
        <f>IF(tblWorkPackages[[#This Row],[Time split]]="Train 2024","",tblWorkPackages[[#This Row],[Estimated labor hours]]+VLOOKUP(tblWorkPackages[[#This Row],[Task type]],'Forecast validation'!$A$14:$E$25,IF(tblWorkPackages[[#This Row],[Time split]]="Validation H1",4,5),FALSE()))</f>
        <v/>
      </c>
      <c r="U1437" s="51" t="str">
        <f>IF(tblWorkPackages[[#This Row],[Calibrated forecast hours]]="","",ABS(tblWorkPackages[[#This Row],[Actual labor hours]]-tblWorkPackages[[#This Row],[Calibrated forecast hours]]))</f>
        <v/>
      </c>
      <c r="V1437" s="51">
        <f>IF(tblWorkPackages[[#This Row],[Time split]]="Train 2024",tblWorkPackages[[#This Row],[Estimated labor hours]],tblWorkPackages[[#This Row],[Calibrated forecast hours]])</f>
        <v>16.8</v>
      </c>
      <c r="W1437" s="64">
        <f>DATEVALUE(tblWorkPackages[[#This Row],[Request date]])</f>
        <v>45509.0</v>
      </c>
      <c r="X1437" s="64">
        <f>DATEVALUE(tblWorkPackages[[#This Row],[Due date]])</f>
        <v>45522.0</v>
      </c>
      <c r="Y1437" s="64">
        <f>DATEVALUE(tblWorkPackages[[#This Row],[Completion date]])</f>
        <v>45518.0</v>
      </c>
      <c r="Z1437" s="64">
        <f>_xlfn.MINIFS(tblLaborEntries[Work date serial],tblLaborEntries[Work package ID],tblWorkPackages[[#This Row],[Work package ID]])</f>
        <v>45513.0</v>
      </c>
      <c r="AA1437" s="64">
        <f>_xlfn.MAXIFS(tblLaborEntries[Work date serial],tblLaborEntries[Work package ID],tblWorkPackages[[#This Row],[Work package ID]])</f>
        <v>45515.0</v>
      </c>
      <c r="AB1437" s="65">
        <f>IF(tblWorkPackages[[#This Row],[Completion date serial]]&gt;tblWorkPackages[[#This Row],[Due date serial]],1,0)</f>
        <v>0</v>
      </c>
      <c r="AC1437" s="65">
        <f>MAX(0,tblWorkPackages[[#This Row],[Completion date serial]]-tblWorkPackages[[#This Row],[Due date serial]])</f>
        <v>0</v>
      </c>
      <c r="AD1437" s="65">
        <f>tblWorkPackages[[#This Row],[First labor date]]-tblWorkPackages[[#This Row],[Request date serial]]</f>
        <v>4</v>
      </c>
      <c r="AE1437" s="65">
        <f>tblWorkPackages[[#This Row],[Last labor date]]-tblWorkPackages[[#This Row],[First labor date]]</f>
        <v>2</v>
      </c>
      <c r="AF1437" s="65">
        <f>tblWorkPackages[[#This Row],[Completion date serial]]-tblWorkPackages[[#This Row],[Last labor date]]</f>
        <v>3</v>
      </c>
      <c r="AG1437" s="65">
        <f>tblWorkPackages[[#This Row],[Completion date serial]]-tblWorkPackages[[#This Row],[Request date serial]]</f>
        <v>9</v>
      </c>
      <c r="AH1437" s="65">
        <f>IFERROR(INDEX(tblParts[Delay days],MATCH(tblWorkPackages[[#This Row],[Work package ID]],tblParts[Work package ID],0)),0)</f>
        <v>0</v>
      </c>
      <c r="AI1437" s="51" t="str">
        <f>IFERROR(INDEX(tblDisruptions[Event type],MATCH(tblWorkPackages[[#This Row],[Work package ID]],tblDisruptions[Work package ID],0)),"None")</f>
        <v>None</v>
      </c>
      <c r="AJ1437" s="51" t="str">
        <f>TEXT(tblWorkPackages[[#This Row],[Due date serial]],"yyyy-mm")</f>
        <v>2024-08</v>
      </c>
    </row>
    <row r="1438" spans="1:36" ht="15" x14ac:dyDescent="0.25">
      <c r="A1438" s="53" t="s">
        <v>2346</v>
      </c>
      <c r="B1438" s="53" t="s">
        <v>133</v>
      </c>
      <c r="C1438" s="53" t="s">
        <v>170</v>
      </c>
      <c r="D1438" s="53" t="s">
        <v>594</v>
      </c>
      <c r="E1438" s="53" t="s">
        <v>242</v>
      </c>
      <c r="F1438" s="53" t="s">
        <v>243</v>
      </c>
      <c r="G1438" s="53" t="s">
        <v>129</v>
      </c>
      <c r="H1438" s="53">
        <v>3</v>
      </c>
      <c r="I1438" s="53" t="s">
        <v>176</v>
      </c>
      <c r="J1438" s="53">
        <v>0</v>
      </c>
      <c r="K1438" s="53">
        <v>1</v>
      </c>
      <c r="L1438" s="53">
        <v>9.8000000000000007</v>
      </c>
      <c r="M1438" s="53" t="s">
        <v>277</v>
      </c>
      <c r="N1438" s="53">
        <v>8.3000000000000007</v>
      </c>
      <c r="O1438" s="51" t="str">
        <f>TEXT(tblWorkPackages[[#This Row],[Request date serial]]-WEEKDAY(tblWorkPackages[[#This Row],[Request date serial]],3),"yyyy-mm-dd")</f>
        <v>2024-10-21</v>
      </c>
      <c r="P1438" s="51">
        <f>ABS(tblWorkPackages[[#This Row],[Actual labor hours]]-tblWorkPackages[[#This Row],[Estimated labor hours]])</f>
        <v>1.5</v>
      </c>
      <c r="Q1438" s="51">
        <f>IF(tblWorkPackages[[#This Row],[Actual labor hours]]&gt;tblWorkPackages[[#This Row],[Estimated labor hours]],1,0)</f>
        <v>0</v>
      </c>
      <c r="R1438" s="51">
        <f>tblWorkPackages[[#This Row],[Actual labor hours]]-tblWorkPackages[[#This Row],[Estimated labor hours]]</f>
        <v>-1.5</v>
      </c>
      <c r="S1438" s="51" t="str">
        <f>IF(tblWorkPackages[[#This Row],[Request date serial]]&lt;ValidationStart,"Train 2024",IF(tblWorkPackages[[#This Row],[Request date serial]]&lt;HoldoutStart,"Validation H1","Holdout H2"))</f>
        <v>Train 2024</v>
      </c>
      <c r="T1438" s="51" t="str">
        <f>IF(tblWorkPackages[[#This Row],[Time split]]="Train 2024","",tblWorkPackages[[#This Row],[Estimated labor hours]]+VLOOKUP(tblWorkPackages[[#This Row],[Task type]],'Forecast validation'!$A$14:$E$25,IF(tblWorkPackages[[#This Row],[Time split]]="Validation H1",4,5),FALSE()))</f>
        <v/>
      </c>
      <c r="U1438" s="51" t="str">
        <f>IF(tblWorkPackages[[#This Row],[Calibrated forecast hours]]="","",ABS(tblWorkPackages[[#This Row],[Actual labor hours]]-tblWorkPackages[[#This Row],[Calibrated forecast hours]]))</f>
        <v/>
      </c>
      <c r="V1438" s="51">
        <f>IF(tblWorkPackages[[#This Row],[Time split]]="Train 2024",tblWorkPackages[[#This Row],[Estimated labor hours]],tblWorkPackages[[#This Row],[Calibrated forecast hours]])</f>
        <v>9.8</v>
      </c>
      <c r="W1438" s="64">
        <f>DATEVALUE(tblWorkPackages[[#This Row],[Request date]])</f>
        <v>45587.0</v>
      </c>
      <c r="X1438" s="64">
        <f>DATEVALUE(tblWorkPackages[[#This Row],[Due date]])</f>
        <v>45593.0</v>
      </c>
      <c r="Y1438" s="64">
        <f>DATEVALUE(tblWorkPackages[[#This Row],[Completion date]])</f>
        <v>45592.0</v>
      </c>
      <c r="Z1438" s="64">
        <f>_xlfn.MINIFS(tblLaborEntries[Work date serial],tblLaborEntries[Work package ID],tblWorkPackages[[#This Row],[Work package ID]])</f>
        <v>45590.0</v>
      </c>
      <c r="AA1438" s="64">
        <f>_xlfn.MAXIFS(tblLaborEntries[Work date serial],tblLaborEntries[Work package ID],tblWorkPackages[[#This Row],[Work package ID]])</f>
        <v>45592.0</v>
      </c>
      <c r="AB1438" s="65">
        <f>IF(tblWorkPackages[[#This Row],[Completion date serial]]&gt;tblWorkPackages[[#This Row],[Due date serial]],1,0)</f>
        <v>0</v>
      </c>
      <c r="AC1438" s="65">
        <f>MAX(0,tblWorkPackages[[#This Row],[Completion date serial]]-tblWorkPackages[[#This Row],[Due date serial]])</f>
        <v>0</v>
      </c>
      <c r="AD1438" s="65">
        <f>tblWorkPackages[[#This Row],[First labor date]]-tblWorkPackages[[#This Row],[Request date serial]]</f>
        <v>3</v>
      </c>
      <c r="AE1438" s="65">
        <f>tblWorkPackages[[#This Row],[Last labor date]]-tblWorkPackages[[#This Row],[First labor date]]</f>
        <v>2</v>
      </c>
      <c r="AF1438" s="65">
        <f>tblWorkPackages[[#This Row],[Completion date serial]]-tblWorkPackages[[#This Row],[Last labor date]]</f>
        <v>0</v>
      </c>
      <c r="AG1438" s="65">
        <f>tblWorkPackages[[#This Row],[Completion date serial]]-tblWorkPackages[[#This Row],[Request date serial]]</f>
        <v>5</v>
      </c>
      <c r="AH1438" s="65">
        <f>IFERROR(INDEX(tblParts[Delay days],MATCH(tblWorkPackages[[#This Row],[Work package ID]],tblParts[Work package ID],0)),0)</f>
        <v>2</v>
      </c>
      <c r="AI1438" s="51" t="str">
        <f>IFERROR(INDEX(tblDisruptions[Event type],MATCH(tblWorkPackages[[#This Row],[Work package ID]],tblDisruptions[Work package ID],0)),"None")</f>
        <v>Part delay</v>
      </c>
      <c r="AJ1438" s="51" t="str">
        <f>TEXT(tblWorkPackages[[#This Row],[Due date serial]],"yyyy-mm")</f>
        <v>2024-10</v>
      </c>
    </row>
    <row r="1439" spans="1:36" ht="15" x14ac:dyDescent="0.25">
      <c r="A1439" s="53" t="s">
        <v>2347</v>
      </c>
      <c r="B1439" s="53" t="s">
        <v>133</v>
      </c>
      <c r="C1439" s="53" t="s">
        <v>1238</v>
      </c>
      <c r="D1439" s="53" t="s">
        <v>615</v>
      </c>
      <c r="E1439" s="53" t="s">
        <v>272</v>
      </c>
      <c r="F1439" s="53" t="s">
        <v>145</v>
      </c>
      <c r="G1439" s="53" t="s">
        <v>273</v>
      </c>
      <c r="H1439" s="53">
        <v>1</v>
      </c>
      <c r="I1439" s="53" t="s">
        <v>130</v>
      </c>
      <c r="J1439" s="53">
        <v>0</v>
      </c>
      <c r="K1439" s="53">
        <v>0</v>
      </c>
      <c r="L1439" s="53">
        <v>7.2</v>
      </c>
      <c r="M1439" s="53" t="s">
        <v>454</v>
      </c>
      <c r="N1439" s="53">
        <v>8.4</v>
      </c>
      <c r="O1439" s="51" t="str">
        <f>TEXT(tblWorkPackages[[#This Row],[Request date serial]]-WEEKDAY(tblWorkPackages[[#This Row],[Request date serial]],3),"yyyy-mm-dd")</f>
        <v>2024-01-08</v>
      </c>
      <c r="P1439" s="51">
        <f>ABS(tblWorkPackages[[#This Row],[Actual labor hours]]-tblWorkPackages[[#This Row],[Estimated labor hours]])</f>
        <v>1.2</v>
      </c>
      <c r="Q1439" s="51">
        <f>IF(tblWorkPackages[[#This Row],[Actual labor hours]]&gt;tblWorkPackages[[#This Row],[Estimated labor hours]],1,0)</f>
        <v>1</v>
      </c>
      <c r="R1439" s="51">
        <f>tblWorkPackages[[#This Row],[Actual labor hours]]-tblWorkPackages[[#This Row],[Estimated labor hours]]</f>
        <v>1.2</v>
      </c>
      <c r="S1439" s="51" t="str">
        <f>IF(tblWorkPackages[[#This Row],[Request date serial]]&lt;ValidationStart,"Train 2024",IF(tblWorkPackages[[#This Row],[Request date serial]]&lt;HoldoutStart,"Validation H1","Holdout H2"))</f>
        <v>Train 2024</v>
      </c>
      <c r="T1439" s="51" t="str">
        <f>IF(tblWorkPackages[[#This Row],[Time split]]="Train 2024","",tblWorkPackages[[#This Row],[Estimated labor hours]]+VLOOKUP(tblWorkPackages[[#This Row],[Task type]],'Forecast validation'!$A$14:$E$25,IF(tblWorkPackages[[#This Row],[Time split]]="Validation H1",4,5),FALSE()))</f>
        <v/>
      </c>
      <c r="U1439" s="51" t="str">
        <f>IF(tblWorkPackages[[#This Row],[Calibrated forecast hours]]="","",ABS(tblWorkPackages[[#This Row],[Actual labor hours]]-tblWorkPackages[[#This Row],[Calibrated forecast hours]]))</f>
        <v/>
      </c>
      <c r="V1439" s="51">
        <f>IF(tblWorkPackages[[#This Row],[Time split]]="Train 2024",tblWorkPackages[[#This Row],[Estimated labor hours]],tblWorkPackages[[#This Row],[Calibrated forecast hours]])</f>
        <v>7.2</v>
      </c>
      <c r="W1439" s="64">
        <f>DATEVALUE(tblWorkPackages[[#This Row],[Request date]])</f>
        <v>45303.0</v>
      </c>
      <c r="X1439" s="64">
        <f>DATEVALUE(tblWorkPackages[[#This Row],[Due date]])</f>
        <v>45316.0</v>
      </c>
      <c r="Y1439" s="64">
        <f>DATEVALUE(tblWorkPackages[[#This Row],[Completion date]])</f>
        <v>45318.0</v>
      </c>
      <c r="Z1439" s="64">
        <f>_xlfn.MINIFS(tblLaborEntries[Work date serial],tblLaborEntries[Work package ID],tblWorkPackages[[#This Row],[Work package ID]])</f>
        <v>45316.0</v>
      </c>
      <c r="AA1439" s="64">
        <f>_xlfn.MAXIFS(tblLaborEntries[Work date serial],tblLaborEntries[Work package ID],tblWorkPackages[[#This Row],[Work package ID]])</f>
        <v>45317.0</v>
      </c>
      <c r="AB1439" s="65">
        <f>IF(tblWorkPackages[[#This Row],[Completion date serial]]&gt;tblWorkPackages[[#This Row],[Due date serial]],1,0)</f>
        <v>1</v>
      </c>
      <c r="AC1439" s="65">
        <f>MAX(0,tblWorkPackages[[#This Row],[Completion date serial]]-tblWorkPackages[[#This Row],[Due date serial]])</f>
        <v>2</v>
      </c>
      <c r="AD1439" s="65">
        <f>tblWorkPackages[[#This Row],[First labor date]]-tblWorkPackages[[#This Row],[Request date serial]]</f>
        <v>13</v>
      </c>
      <c r="AE1439" s="65">
        <f>tblWorkPackages[[#This Row],[Last labor date]]-tblWorkPackages[[#This Row],[First labor date]]</f>
        <v>1</v>
      </c>
      <c r="AF1439" s="65">
        <f>tblWorkPackages[[#This Row],[Completion date serial]]-tblWorkPackages[[#This Row],[Last labor date]]</f>
        <v>1</v>
      </c>
      <c r="AG1439" s="65">
        <f>tblWorkPackages[[#This Row],[Completion date serial]]-tblWorkPackages[[#This Row],[Request date serial]]</f>
        <v>15</v>
      </c>
      <c r="AH1439" s="65">
        <f>IFERROR(INDEX(tblParts[Delay days],MATCH(tblWorkPackages[[#This Row],[Work package ID]],tblParts[Work package ID],0)),0)</f>
        <v>0</v>
      </c>
      <c r="AI1439" s="51" t="str">
        <f>IFERROR(INDEX(tblDisruptions[Event type],MATCH(tblWorkPackages[[#This Row],[Work package ID]],tblDisruptions[Work package ID],0)),"None")</f>
        <v>None</v>
      </c>
      <c r="AJ1439" s="51" t="str">
        <f>TEXT(tblWorkPackages[[#This Row],[Due date serial]],"yyyy-mm")</f>
        <v>2024-01</v>
      </c>
    </row>
    <row r="1440" spans="1:36" ht="15" x14ac:dyDescent="0.25">
      <c r="A1440" s="53" t="s">
        <v>2348</v>
      </c>
      <c r="B1440" s="53" t="s">
        <v>157</v>
      </c>
      <c r="C1440" s="53" t="s">
        <v>221</v>
      </c>
      <c r="D1440" s="53" t="s">
        <v>922</v>
      </c>
      <c r="E1440" s="53" t="s">
        <v>237</v>
      </c>
      <c r="F1440" s="53" t="s">
        <v>182</v>
      </c>
      <c r="G1440" s="53" t="s">
        <v>138</v>
      </c>
      <c r="H1440" s="53">
        <v>3</v>
      </c>
      <c r="I1440" s="53" t="s">
        <v>176</v>
      </c>
      <c r="J1440" s="53">
        <v>0</v>
      </c>
      <c r="K1440" s="53">
        <v>0</v>
      </c>
      <c r="L1440" s="53">
        <v>6.2</v>
      </c>
      <c r="M1440" s="53" t="s">
        <v>922</v>
      </c>
      <c r="N1440" s="53">
        <v>7</v>
      </c>
      <c r="O1440" s="51" t="str">
        <f>TEXT(tblWorkPackages[[#This Row],[Request date serial]]-WEEKDAY(tblWorkPackages[[#This Row],[Request date serial]],3),"yyyy-mm-dd")</f>
        <v>2024-12-16</v>
      </c>
      <c r="P1440" s="51">
        <f>ABS(tblWorkPackages[[#This Row],[Actual labor hours]]-tblWorkPackages[[#This Row],[Estimated labor hours]])</f>
        <v>0.8</v>
      </c>
      <c r="Q1440" s="51">
        <f>IF(tblWorkPackages[[#This Row],[Actual labor hours]]&gt;tblWorkPackages[[#This Row],[Estimated labor hours]],1,0)</f>
        <v>1</v>
      </c>
      <c r="R1440" s="51">
        <f>tblWorkPackages[[#This Row],[Actual labor hours]]-tblWorkPackages[[#This Row],[Estimated labor hours]]</f>
        <v>0.8</v>
      </c>
      <c r="S1440" s="51" t="str">
        <f>IF(tblWorkPackages[[#This Row],[Request date serial]]&lt;ValidationStart,"Train 2024",IF(tblWorkPackages[[#This Row],[Request date serial]]&lt;HoldoutStart,"Validation H1","Holdout H2"))</f>
        <v>Train 2024</v>
      </c>
      <c r="T1440" s="51" t="str">
        <f>IF(tblWorkPackages[[#This Row],[Time split]]="Train 2024","",tblWorkPackages[[#This Row],[Estimated labor hours]]+VLOOKUP(tblWorkPackages[[#This Row],[Task type]],'Forecast validation'!$A$14:$E$25,IF(tblWorkPackages[[#This Row],[Time split]]="Validation H1",4,5),FALSE()))</f>
        <v/>
      </c>
      <c r="U1440" s="51" t="str">
        <f>IF(tblWorkPackages[[#This Row],[Calibrated forecast hours]]="","",ABS(tblWorkPackages[[#This Row],[Actual labor hours]]-tblWorkPackages[[#This Row],[Calibrated forecast hours]]))</f>
        <v/>
      </c>
      <c r="V1440" s="51">
        <f>IF(tblWorkPackages[[#This Row],[Time split]]="Train 2024",tblWorkPackages[[#This Row],[Estimated labor hours]],tblWorkPackages[[#This Row],[Calibrated forecast hours]])</f>
        <v>6.2</v>
      </c>
      <c r="W1440" s="64">
        <f>DATEVALUE(tblWorkPackages[[#This Row],[Request date]])</f>
        <v>45645.0</v>
      </c>
      <c r="X1440" s="64">
        <f>DATEVALUE(tblWorkPackages[[#This Row],[Due date]])</f>
        <v>45651.0</v>
      </c>
      <c r="Y1440" s="64">
        <f>DATEVALUE(tblWorkPackages[[#This Row],[Completion date]])</f>
        <v>45651.0</v>
      </c>
      <c r="Z1440" s="64">
        <f>_xlfn.MINIFS(tblLaborEntries[Work date serial],tblLaborEntries[Work package ID],tblWorkPackages[[#This Row],[Work package ID]])</f>
        <v>45648.0</v>
      </c>
      <c r="AA1440" s="64">
        <f>_xlfn.MAXIFS(tblLaborEntries[Work date serial],tblLaborEntries[Work package ID],tblWorkPackages[[#This Row],[Work package ID]])</f>
        <v>45649.0</v>
      </c>
      <c r="AB1440" s="65">
        <f>IF(tblWorkPackages[[#This Row],[Completion date serial]]&gt;tblWorkPackages[[#This Row],[Due date serial]],1,0)</f>
        <v>0</v>
      </c>
      <c r="AC1440" s="65">
        <f>MAX(0,tblWorkPackages[[#This Row],[Completion date serial]]-tblWorkPackages[[#This Row],[Due date serial]])</f>
        <v>0</v>
      </c>
      <c r="AD1440" s="65">
        <f>tblWorkPackages[[#This Row],[First labor date]]-tblWorkPackages[[#This Row],[Request date serial]]</f>
        <v>3</v>
      </c>
      <c r="AE1440" s="65">
        <f>tblWorkPackages[[#This Row],[Last labor date]]-tblWorkPackages[[#This Row],[First labor date]]</f>
        <v>1</v>
      </c>
      <c r="AF1440" s="65">
        <f>tblWorkPackages[[#This Row],[Completion date serial]]-tblWorkPackages[[#This Row],[Last labor date]]</f>
        <v>2</v>
      </c>
      <c r="AG1440" s="65">
        <f>tblWorkPackages[[#This Row],[Completion date serial]]-tblWorkPackages[[#This Row],[Request date serial]]</f>
        <v>6</v>
      </c>
      <c r="AH1440" s="65">
        <f>IFERROR(INDEX(tblParts[Delay days],MATCH(tblWorkPackages[[#This Row],[Work package ID]],tblParts[Work package ID],0)),0)</f>
        <v>0</v>
      </c>
      <c r="AI1440" s="51" t="str">
        <f>IFERROR(INDEX(tblDisruptions[Event type],MATCH(tblWorkPackages[[#This Row],[Work package ID]],tblDisruptions[Work package ID],0)),"None")</f>
        <v>None</v>
      </c>
      <c r="AJ1440" s="51" t="str">
        <f>TEXT(tblWorkPackages[[#This Row],[Due date serial]],"yyyy-mm")</f>
        <v>2024-12</v>
      </c>
    </row>
    <row r="1441" spans="1:36" ht="15" x14ac:dyDescent="0.25">
      <c r="A1441" s="53" t="s">
        <v>2349</v>
      </c>
      <c r="B1441" s="53" t="s">
        <v>141</v>
      </c>
      <c r="C1441" s="53" t="s">
        <v>205</v>
      </c>
      <c r="D1441" s="53" t="s">
        <v>1230</v>
      </c>
      <c r="E1441" s="53" t="s">
        <v>237</v>
      </c>
      <c r="F1441" s="53" t="s">
        <v>182</v>
      </c>
      <c r="G1441" s="53" t="s">
        <v>138</v>
      </c>
      <c r="H1441" s="53">
        <v>1</v>
      </c>
      <c r="I1441" s="53" t="s">
        <v>176</v>
      </c>
      <c r="J1441" s="53">
        <v>0</v>
      </c>
      <c r="K1441" s="53">
        <v>0</v>
      </c>
      <c r="L1441" s="53">
        <v>3.1</v>
      </c>
      <c r="M1441" s="53" t="s">
        <v>586</v>
      </c>
      <c r="N1441" s="53">
        <v>3.1</v>
      </c>
      <c r="O1441" s="51" t="str">
        <f>TEXT(tblWorkPackages[[#This Row],[Request date serial]]-WEEKDAY(tblWorkPackages[[#This Row],[Request date serial]],3),"yyyy-mm-dd")</f>
        <v>2024-11-11</v>
      </c>
      <c r="P1441" s="51">
        <f>ABS(tblWorkPackages[[#This Row],[Actual labor hours]]-tblWorkPackages[[#This Row],[Estimated labor hours]])</f>
        <v>0</v>
      </c>
      <c r="Q1441" s="51">
        <f>IF(tblWorkPackages[[#This Row],[Actual labor hours]]&gt;tblWorkPackages[[#This Row],[Estimated labor hours]],1,0)</f>
        <v>0</v>
      </c>
      <c r="R1441" s="51">
        <f>tblWorkPackages[[#This Row],[Actual labor hours]]-tblWorkPackages[[#This Row],[Estimated labor hours]]</f>
        <v>0</v>
      </c>
      <c r="S1441" s="51" t="str">
        <f>IF(tblWorkPackages[[#This Row],[Request date serial]]&lt;ValidationStart,"Train 2024",IF(tblWorkPackages[[#This Row],[Request date serial]]&lt;HoldoutStart,"Validation H1","Holdout H2"))</f>
        <v>Train 2024</v>
      </c>
      <c r="T1441" s="51" t="str">
        <f>IF(tblWorkPackages[[#This Row],[Time split]]="Train 2024","",tblWorkPackages[[#This Row],[Estimated labor hours]]+VLOOKUP(tblWorkPackages[[#This Row],[Task type]],'Forecast validation'!$A$14:$E$25,IF(tblWorkPackages[[#This Row],[Time split]]="Validation H1",4,5),FALSE()))</f>
        <v/>
      </c>
      <c r="U1441" s="51" t="str">
        <f>IF(tblWorkPackages[[#This Row],[Calibrated forecast hours]]="","",ABS(tblWorkPackages[[#This Row],[Actual labor hours]]-tblWorkPackages[[#This Row],[Calibrated forecast hours]]))</f>
        <v/>
      </c>
      <c r="V1441" s="51">
        <f>IF(tblWorkPackages[[#This Row],[Time split]]="Train 2024",tblWorkPackages[[#This Row],[Estimated labor hours]],tblWorkPackages[[#This Row],[Calibrated forecast hours]])</f>
        <v>3.1</v>
      </c>
      <c r="W1441" s="64">
        <f>DATEVALUE(tblWorkPackages[[#This Row],[Request date]])</f>
        <v>45609.0</v>
      </c>
      <c r="X1441" s="64">
        <f>DATEVALUE(tblWorkPackages[[#This Row],[Due date]])</f>
        <v>45615.0</v>
      </c>
      <c r="Y1441" s="64">
        <f>DATEVALUE(tblWorkPackages[[#This Row],[Completion date]])</f>
        <v>45658.0</v>
      </c>
      <c r="Z1441" s="64">
        <f>_xlfn.MINIFS(tblLaborEntries[Work date serial],tblLaborEntries[Work package ID],tblWorkPackages[[#This Row],[Work package ID]])</f>
        <v>45655.0</v>
      </c>
      <c r="AA1441" s="64">
        <f>_xlfn.MAXIFS(tblLaborEntries[Work date serial],tblLaborEntries[Work package ID],tblWorkPackages[[#This Row],[Work package ID]])</f>
        <v>45655.0</v>
      </c>
      <c r="AB1441" s="65">
        <f>IF(tblWorkPackages[[#This Row],[Completion date serial]]&gt;tblWorkPackages[[#This Row],[Due date serial]],1,0)</f>
        <v>1</v>
      </c>
      <c r="AC1441" s="65">
        <f>MAX(0,tblWorkPackages[[#This Row],[Completion date serial]]-tblWorkPackages[[#This Row],[Due date serial]])</f>
        <v>43</v>
      </c>
      <c r="AD1441" s="65">
        <f>tblWorkPackages[[#This Row],[First labor date]]-tblWorkPackages[[#This Row],[Request date serial]]</f>
        <v>46</v>
      </c>
      <c r="AE1441" s="65">
        <f>tblWorkPackages[[#This Row],[Last labor date]]-tblWorkPackages[[#This Row],[First labor date]]</f>
        <v>0</v>
      </c>
      <c r="AF1441" s="65">
        <f>tblWorkPackages[[#This Row],[Completion date serial]]-tblWorkPackages[[#This Row],[Last labor date]]</f>
        <v>3</v>
      </c>
      <c r="AG1441" s="65">
        <f>tblWorkPackages[[#This Row],[Completion date serial]]-tblWorkPackages[[#This Row],[Request date serial]]</f>
        <v>49</v>
      </c>
      <c r="AH1441" s="65">
        <f>IFERROR(INDEX(tblParts[Delay days],MATCH(tblWorkPackages[[#This Row],[Work package ID]],tblParts[Work package ID],0)),0)</f>
        <v>0</v>
      </c>
      <c r="AI1441" s="51" t="str">
        <f>IFERROR(INDEX(tblDisruptions[Event type],MATCH(tblWorkPackages[[#This Row],[Work package ID]],tblDisruptions[Work package ID],0)),"None")</f>
        <v>None</v>
      </c>
      <c r="AJ1441" s="51" t="str">
        <f>TEXT(tblWorkPackages[[#This Row],[Due date serial]],"yyyy-mm")</f>
        <v>2024-11</v>
      </c>
    </row>
    <row r="1442" spans="1:36" ht="15" x14ac:dyDescent="0.25">
      <c r="A1442" s="53" t="s">
        <v>2350</v>
      </c>
      <c r="B1442" s="53" t="s">
        <v>250</v>
      </c>
      <c r="C1442" s="53" t="s">
        <v>187</v>
      </c>
      <c r="D1442" s="53" t="s">
        <v>1318</v>
      </c>
      <c r="E1442" s="53" t="s">
        <v>237</v>
      </c>
      <c r="F1442" s="53" t="s">
        <v>182</v>
      </c>
      <c r="G1442" s="53" t="s">
        <v>138</v>
      </c>
      <c r="H1442" s="53">
        <v>2</v>
      </c>
      <c r="I1442" s="53" t="s">
        <v>130</v>
      </c>
      <c r="J1442" s="53">
        <v>0</v>
      </c>
      <c r="K1442" s="53">
        <v>0</v>
      </c>
      <c r="L1442" s="53">
        <v>5.5</v>
      </c>
      <c r="M1442" s="53" t="s">
        <v>1289</v>
      </c>
      <c r="N1442" s="53">
        <v>4.5999999999999996</v>
      </c>
      <c r="O1442" s="51" t="str">
        <f>TEXT(tblWorkPackages[[#This Row],[Request date serial]]-WEEKDAY(tblWorkPackages[[#This Row],[Request date serial]],3),"yyyy-mm-dd")</f>
        <v>2025-02-24</v>
      </c>
      <c r="P1442" s="51">
        <f>ABS(tblWorkPackages[[#This Row],[Actual labor hours]]-tblWorkPackages[[#This Row],[Estimated labor hours]])</f>
        <v>0.9</v>
      </c>
      <c r="Q1442" s="51">
        <f>IF(tblWorkPackages[[#This Row],[Actual labor hours]]&gt;tblWorkPackages[[#This Row],[Estimated labor hours]],1,0)</f>
        <v>0</v>
      </c>
      <c r="R1442" s="51">
        <f>tblWorkPackages[[#This Row],[Actual labor hours]]-tblWorkPackages[[#This Row],[Estimated labor hours]]</f>
        <v>-0.9</v>
      </c>
      <c r="S1442" s="51" t="str">
        <f>IF(tblWorkPackages[[#This Row],[Request date serial]]&lt;ValidationStart,"Train 2024",IF(tblWorkPackages[[#This Row],[Request date serial]]&lt;HoldoutStart,"Validation H1","Holdout H2"))</f>
        <v>Validation H1</v>
      </c>
      <c r="T1442" s="51">
        <f>IF(tblWorkPackages[[#This Row],[Time split]]="Train 2024","",tblWorkPackages[[#This Row],[Estimated labor hours]]+VLOOKUP(tblWorkPackages[[#This Row],[Task type]],'Forecast validation'!$A$14:$E$25,IF(tblWorkPackages[[#This Row],[Time split]]="Validation H1",4,5),FALSE()))</f>
        <v>6.0037037037037</v>
      </c>
      <c r="U1442" s="51">
        <f>IF(tblWorkPackages[[#This Row],[Calibrated forecast hours]]="","",ABS(tblWorkPackages[[#This Row],[Actual labor hours]]-tblWorkPackages[[#This Row],[Calibrated forecast hours]]))</f>
        <v>1.4037037037037</v>
      </c>
      <c r="V1442" s="51">
        <f>IF(tblWorkPackages[[#This Row],[Time split]]="Train 2024",tblWorkPackages[[#This Row],[Estimated labor hours]],tblWorkPackages[[#This Row],[Calibrated forecast hours]])</f>
        <v>6.0037037037037</v>
      </c>
      <c r="W1442" s="64">
        <f>DATEVALUE(tblWorkPackages[[#This Row],[Request date]])</f>
        <v>45713.0</v>
      </c>
      <c r="X1442" s="64">
        <f>DATEVALUE(tblWorkPackages[[#This Row],[Due date]])</f>
        <v>45726.0</v>
      </c>
      <c r="Y1442" s="64">
        <f>DATEVALUE(tblWorkPackages[[#This Row],[Completion date]])</f>
        <v>45722.0</v>
      </c>
      <c r="Z1442" s="64">
        <f>_xlfn.MINIFS(tblLaborEntries[Work date serial],tblLaborEntries[Work package ID],tblWorkPackages[[#This Row],[Work package ID]])</f>
        <v>45721.0</v>
      </c>
      <c r="AA1442" s="64">
        <f>_xlfn.MAXIFS(tblLaborEntries[Work date serial],tblLaborEntries[Work package ID],tblWorkPackages[[#This Row],[Work package ID]])</f>
        <v>45722.0</v>
      </c>
      <c r="AB1442" s="65">
        <f>IF(tblWorkPackages[[#This Row],[Completion date serial]]&gt;tblWorkPackages[[#This Row],[Due date serial]],1,0)</f>
        <v>0</v>
      </c>
      <c r="AC1442" s="65">
        <f>MAX(0,tblWorkPackages[[#This Row],[Completion date serial]]-tblWorkPackages[[#This Row],[Due date serial]])</f>
        <v>0</v>
      </c>
      <c r="AD1442" s="65">
        <f>tblWorkPackages[[#This Row],[First labor date]]-tblWorkPackages[[#This Row],[Request date serial]]</f>
        <v>8</v>
      </c>
      <c r="AE1442" s="65">
        <f>tblWorkPackages[[#This Row],[Last labor date]]-tblWorkPackages[[#This Row],[First labor date]]</f>
        <v>1</v>
      </c>
      <c r="AF1442" s="65">
        <f>tblWorkPackages[[#This Row],[Completion date serial]]-tblWorkPackages[[#This Row],[Last labor date]]</f>
        <v>0</v>
      </c>
      <c r="AG1442" s="65">
        <f>tblWorkPackages[[#This Row],[Completion date serial]]-tblWorkPackages[[#This Row],[Request date serial]]</f>
        <v>9</v>
      </c>
      <c r="AH1442" s="65">
        <f>IFERROR(INDEX(tblParts[Delay days],MATCH(tblWorkPackages[[#This Row],[Work package ID]],tblParts[Work package ID],0)),0)</f>
        <v>0</v>
      </c>
      <c r="AI1442" s="51" t="str">
        <f>IFERROR(INDEX(tblDisruptions[Event type],MATCH(tblWorkPackages[[#This Row],[Work package ID]],tblDisruptions[Work package ID],0)),"None")</f>
        <v>None</v>
      </c>
      <c r="AJ1442" s="51" t="str">
        <f>TEXT(tblWorkPackages[[#This Row],[Due date serial]],"yyyy-mm")</f>
        <v>2025-03</v>
      </c>
    </row>
    <row r="1443" spans="1:36" ht="15" x14ac:dyDescent="0.25">
      <c r="A1443" s="53" t="s">
        <v>2351</v>
      </c>
      <c r="B1443" s="53" t="s">
        <v>141</v>
      </c>
      <c r="C1443" s="53" t="s">
        <v>597</v>
      </c>
      <c r="D1443" s="53" t="s">
        <v>907</v>
      </c>
      <c r="E1443" s="53" t="s">
        <v>181</v>
      </c>
      <c r="F1443" s="53" t="s">
        <v>182</v>
      </c>
      <c r="G1443" s="53" t="s">
        <v>138</v>
      </c>
      <c r="H1443" s="53">
        <v>1</v>
      </c>
      <c r="I1443" s="53" t="s">
        <v>130</v>
      </c>
      <c r="J1443" s="53">
        <v>0</v>
      </c>
      <c r="K1443" s="53">
        <v>0</v>
      </c>
      <c r="L1443" s="53">
        <v>5.5</v>
      </c>
      <c r="M1443" s="53" t="s">
        <v>569</v>
      </c>
      <c r="N1443" s="53">
        <v>5.9</v>
      </c>
      <c r="O1443" s="51" t="str">
        <f>TEXT(tblWorkPackages[[#This Row],[Request date serial]]-WEEKDAY(tblWorkPackages[[#This Row],[Request date serial]],3),"yyyy-mm-dd")</f>
        <v>2025-05-26</v>
      </c>
      <c r="P1443" s="51">
        <f>ABS(tblWorkPackages[[#This Row],[Actual labor hours]]-tblWorkPackages[[#This Row],[Estimated labor hours]])</f>
        <v>0.4</v>
      </c>
      <c r="Q1443" s="51">
        <f>IF(tblWorkPackages[[#This Row],[Actual labor hours]]&gt;tblWorkPackages[[#This Row],[Estimated labor hours]],1,0)</f>
        <v>1</v>
      </c>
      <c r="R1443" s="51">
        <f>tblWorkPackages[[#This Row],[Actual labor hours]]-tblWorkPackages[[#This Row],[Estimated labor hours]]</f>
        <v>0.4</v>
      </c>
      <c r="S1443" s="51" t="str">
        <f>IF(tblWorkPackages[[#This Row],[Request date serial]]&lt;ValidationStart,"Train 2024",IF(tblWorkPackages[[#This Row],[Request date serial]]&lt;HoldoutStart,"Validation H1","Holdout H2"))</f>
        <v>Validation H1</v>
      </c>
      <c r="T1443" s="51">
        <f>IF(tblWorkPackages[[#This Row],[Time split]]="Train 2024","",tblWorkPackages[[#This Row],[Estimated labor hours]]+VLOOKUP(tblWorkPackages[[#This Row],[Task type]],'Forecast validation'!$A$14:$E$25,IF(tblWorkPackages[[#This Row],[Time split]]="Validation H1",4,5),FALSE()))</f>
        <v>6.08409090909091</v>
      </c>
      <c r="U1443" s="51">
        <f>IF(tblWorkPackages[[#This Row],[Calibrated forecast hours]]="","",ABS(tblWorkPackages[[#This Row],[Actual labor hours]]-tblWorkPackages[[#This Row],[Calibrated forecast hours]]))</f>
        <v>0.184090909090909</v>
      </c>
      <c r="V1443" s="51">
        <f>IF(tblWorkPackages[[#This Row],[Time split]]="Train 2024",tblWorkPackages[[#This Row],[Estimated labor hours]],tblWorkPackages[[#This Row],[Calibrated forecast hours]])</f>
        <v>6.08409090909091</v>
      </c>
      <c r="W1443" s="64">
        <f>DATEVALUE(tblWorkPackages[[#This Row],[Request date]])</f>
        <v>45803.0</v>
      </c>
      <c r="X1443" s="64">
        <f>DATEVALUE(tblWorkPackages[[#This Row],[Due date]])</f>
        <v>45816.0</v>
      </c>
      <c r="Y1443" s="64">
        <f>DATEVALUE(tblWorkPackages[[#This Row],[Completion date]])</f>
        <v>45807.0</v>
      </c>
      <c r="Z1443" s="64">
        <f>_xlfn.MINIFS(tblLaborEntries[Work date serial],tblLaborEntries[Work package ID],tblWorkPackages[[#This Row],[Work package ID]])</f>
        <v>45805.0</v>
      </c>
      <c r="AA1443" s="64">
        <f>_xlfn.MAXIFS(tblLaborEntries[Work date serial],tblLaborEntries[Work package ID],tblWorkPackages[[#This Row],[Work package ID]])</f>
        <v>45806.0</v>
      </c>
      <c r="AB1443" s="65">
        <f>IF(tblWorkPackages[[#This Row],[Completion date serial]]&gt;tblWorkPackages[[#This Row],[Due date serial]],1,0)</f>
        <v>0</v>
      </c>
      <c r="AC1443" s="65">
        <f>MAX(0,tblWorkPackages[[#This Row],[Completion date serial]]-tblWorkPackages[[#This Row],[Due date serial]])</f>
        <v>0</v>
      </c>
      <c r="AD1443" s="65">
        <f>tblWorkPackages[[#This Row],[First labor date]]-tblWorkPackages[[#This Row],[Request date serial]]</f>
        <v>2</v>
      </c>
      <c r="AE1443" s="65">
        <f>tblWorkPackages[[#This Row],[Last labor date]]-tblWorkPackages[[#This Row],[First labor date]]</f>
        <v>1</v>
      </c>
      <c r="AF1443" s="65">
        <f>tblWorkPackages[[#This Row],[Completion date serial]]-tblWorkPackages[[#This Row],[Last labor date]]</f>
        <v>1</v>
      </c>
      <c r="AG1443" s="65">
        <f>tblWorkPackages[[#This Row],[Completion date serial]]-tblWorkPackages[[#This Row],[Request date serial]]</f>
        <v>4</v>
      </c>
      <c r="AH1443" s="65">
        <f>IFERROR(INDEX(tblParts[Delay days],MATCH(tblWorkPackages[[#This Row],[Work package ID]],tblParts[Work package ID],0)),0)</f>
        <v>0</v>
      </c>
      <c r="AI1443" s="51" t="str">
        <f>IFERROR(INDEX(tblDisruptions[Event type],MATCH(tblWorkPackages[[#This Row],[Work package ID]],tblDisruptions[Work package ID],0)),"None")</f>
        <v>None</v>
      </c>
      <c r="AJ1443" s="51" t="str">
        <f>TEXT(tblWorkPackages[[#This Row],[Due date serial]],"yyyy-mm")</f>
        <v>2025-06</v>
      </c>
    </row>
    <row r="1444" spans="1:36" ht="15" x14ac:dyDescent="0.25">
      <c r="A1444" s="53" t="s">
        <v>2352</v>
      </c>
      <c r="B1444" s="53" t="s">
        <v>141</v>
      </c>
      <c r="C1444" s="53" t="s">
        <v>456</v>
      </c>
      <c r="D1444" s="53" t="s">
        <v>253</v>
      </c>
      <c r="E1444" s="53" t="s">
        <v>127</v>
      </c>
      <c r="F1444" s="53" t="s">
        <v>128</v>
      </c>
      <c r="G1444" s="53" t="s">
        <v>129</v>
      </c>
      <c r="H1444" s="53">
        <v>4</v>
      </c>
      <c r="I1444" s="53" t="s">
        <v>130</v>
      </c>
      <c r="J1444" s="53">
        <v>0</v>
      </c>
      <c r="K1444" s="53">
        <v>1</v>
      </c>
      <c r="L1444" s="53">
        <v>13</v>
      </c>
      <c r="M1444" s="53" t="s">
        <v>477</v>
      </c>
      <c r="N1444" s="53">
        <v>13.9</v>
      </c>
      <c r="O1444" s="51" t="str">
        <f>TEXT(tblWorkPackages[[#This Row],[Request date serial]]-WEEKDAY(tblWorkPackages[[#This Row],[Request date serial]],3),"yyyy-mm-dd")</f>
        <v>2025-01-06</v>
      </c>
      <c r="P1444" s="51">
        <f>ABS(tblWorkPackages[[#This Row],[Actual labor hours]]-tblWorkPackages[[#This Row],[Estimated labor hours]])</f>
        <v>0.9</v>
      </c>
      <c r="Q1444" s="51">
        <f>IF(tblWorkPackages[[#This Row],[Actual labor hours]]&gt;tblWorkPackages[[#This Row],[Estimated labor hours]],1,0)</f>
        <v>1</v>
      </c>
      <c r="R1444" s="51">
        <f>tblWorkPackages[[#This Row],[Actual labor hours]]-tblWorkPackages[[#This Row],[Estimated labor hours]]</f>
        <v>0.9</v>
      </c>
      <c r="S1444" s="51" t="str">
        <f>IF(tblWorkPackages[[#This Row],[Request date serial]]&lt;ValidationStart,"Train 2024",IF(tblWorkPackages[[#This Row],[Request date serial]]&lt;HoldoutStart,"Validation H1","Holdout H2"))</f>
        <v>Validation H1</v>
      </c>
      <c r="T1444" s="51">
        <f>IF(tblWorkPackages[[#This Row],[Time split]]="Train 2024","",tblWorkPackages[[#This Row],[Estimated labor hours]]+VLOOKUP(tblWorkPackages[[#This Row],[Task type]],'Forecast validation'!$A$14:$E$25,IF(tblWorkPackages[[#This Row],[Time split]]="Validation H1",4,5),FALSE()))</f>
        <v>13.475641025641</v>
      </c>
      <c r="U1444" s="51">
        <f>IF(tblWorkPackages[[#This Row],[Calibrated forecast hours]]="","",ABS(tblWorkPackages[[#This Row],[Actual labor hours]]-tblWorkPackages[[#This Row],[Calibrated forecast hours]]))</f>
        <v>0.424358974358976</v>
      </c>
      <c r="V1444" s="51">
        <f>IF(tblWorkPackages[[#This Row],[Time split]]="Train 2024",tblWorkPackages[[#This Row],[Estimated labor hours]],tblWorkPackages[[#This Row],[Calibrated forecast hours]])</f>
        <v>13.475641025641</v>
      </c>
      <c r="W1444" s="64">
        <f>DATEVALUE(tblWorkPackages[[#This Row],[Request date]])</f>
        <v>45664.0</v>
      </c>
      <c r="X1444" s="64">
        <f>DATEVALUE(tblWorkPackages[[#This Row],[Due date]])</f>
        <v>45677.0</v>
      </c>
      <c r="Y1444" s="64">
        <f>DATEVALUE(tblWorkPackages[[#This Row],[Completion date]])</f>
        <v>45699.0</v>
      </c>
      <c r="Z1444" s="64">
        <f>_xlfn.MINIFS(tblLaborEntries[Work date serial],tblLaborEntries[Work package ID],tblWorkPackages[[#This Row],[Work package ID]])</f>
        <v>45696.0</v>
      </c>
      <c r="AA1444" s="64">
        <f>_xlfn.MAXIFS(tblLaborEntries[Work date serial],tblLaborEntries[Work package ID],tblWorkPackages[[#This Row],[Work package ID]])</f>
        <v>45697.0</v>
      </c>
      <c r="AB1444" s="65">
        <f>IF(tblWorkPackages[[#This Row],[Completion date serial]]&gt;tblWorkPackages[[#This Row],[Due date serial]],1,0)</f>
        <v>1</v>
      </c>
      <c r="AC1444" s="65">
        <f>MAX(0,tblWorkPackages[[#This Row],[Completion date serial]]-tblWorkPackages[[#This Row],[Due date serial]])</f>
        <v>22</v>
      </c>
      <c r="AD1444" s="65">
        <f>tblWorkPackages[[#This Row],[First labor date]]-tblWorkPackages[[#This Row],[Request date serial]]</f>
        <v>32</v>
      </c>
      <c r="AE1444" s="65">
        <f>tblWorkPackages[[#This Row],[Last labor date]]-tblWorkPackages[[#This Row],[First labor date]]</f>
        <v>1</v>
      </c>
      <c r="AF1444" s="65">
        <f>tblWorkPackages[[#This Row],[Completion date serial]]-tblWorkPackages[[#This Row],[Last labor date]]</f>
        <v>2</v>
      </c>
      <c r="AG1444" s="65">
        <f>tblWorkPackages[[#This Row],[Completion date serial]]-tblWorkPackages[[#This Row],[Request date serial]]</f>
        <v>35</v>
      </c>
      <c r="AH1444" s="65">
        <f>IFERROR(INDEX(tblParts[Delay days],MATCH(tblWorkPackages[[#This Row],[Work package ID]],tblParts[Work package ID],0)),0)</f>
        <v>13</v>
      </c>
      <c r="AI1444" s="51" t="str">
        <f>IFERROR(INDEX(tblDisruptions[Event type],MATCH(tblWorkPackages[[#This Row],[Work package ID]],tblDisruptions[Work package ID],0)),"None")</f>
        <v>Part delay</v>
      </c>
      <c r="AJ1444" s="51" t="str">
        <f>TEXT(tblWorkPackages[[#This Row],[Due date serial]],"yyyy-mm")</f>
        <v>2025-01</v>
      </c>
    </row>
    <row r="1445" spans="1:36" ht="15" x14ac:dyDescent="0.25">
      <c r="A1445" s="53" t="s">
        <v>2353</v>
      </c>
      <c r="B1445" s="53" t="s">
        <v>185</v>
      </c>
      <c r="C1445" s="53" t="s">
        <v>1063</v>
      </c>
      <c r="D1445" s="53" t="s">
        <v>1191</v>
      </c>
      <c r="E1445" s="53" t="s">
        <v>237</v>
      </c>
      <c r="F1445" s="53" t="s">
        <v>182</v>
      </c>
      <c r="G1445" s="53" t="s">
        <v>138</v>
      </c>
      <c r="H1445" s="53">
        <v>1</v>
      </c>
      <c r="I1445" s="53" t="s">
        <v>130</v>
      </c>
      <c r="J1445" s="53">
        <v>0</v>
      </c>
      <c r="K1445" s="53">
        <v>0</v>
      </c>
      <c r="L1445" s="53">
        <v>4</v>
      </c>
      <c r="M1445" s="53" t="s">
        <v>607</v>
      </c>
      <c r="N1445" s="53">
        <v>4.5</v>
      </c>
      <c r="O1445" s="51" t="str">
        <f>TEXT(tblWorkPackages[[#This Row],[Request date serial]]-WEEKDAY(tblWorkPackages[[#This Row],[Request date serial]],3),"yyyy-mm-dd")</f>
        <v>2025-03-10</v>
      </c>
      <c r="P1445" s="51">
        <f>ABS(tblWorkPackages[[#This Row],[Actual labor hours]]-tblWorkPackages[[#This Row],[Estimated labor hours]])</f>
        <v>0.5</v>
      </c>
      <c r="Q1445" s="51">
        <f>IF(tblWorkPackages[[#This Row],[Actual labor hours]]&gt;tblWorkPackages[[#This Row],[Estimated labor hours]],1,0)</f>
        <v>1</v>
      </c>
      <c r="R1445" s="51">
        <f>tblWorkPackages[[#This Row],[Actual labor hours]]-tblWorkPackages[[#This Row],[Estimated labor hours]]</f>
        <v>0.5</v>
      </c>
      <c r="S1445" s="51" t="str">
        <f>IF(tblWorkPackages[[#This Row],[Request date serial]]&lt;ValidationStart,"Train 2024",IF(tblWorkPackages[[#This Row],[Request date serial]]&lt;HoldoutStart,"Validation H1","Holdout H2"))</f>
        <v>Validation H1</v>
      </c>
      <c r="T1445" s="51">
        <f>IF(tblWorkPackages[[#This Row],[Time split]]="Train 2024","",tblWorkPackages[[#This Row],[Estimated labor hours]]+VLOOKUP(tblWorkPackages[[#This Row],[Task type]],'Forecast validation'!$A$14:$E$25,IF(tblWorkPackages[[#This Row],[Time split]]="Validation H1",4,5),FALSE()))</f>
        <v>4.5037037037037</v>
      </c>
      <c r="U1445" s="51">
        <f>IF(tblWorkPackages[[#This Row],[Calibrated forecast hours]]="","",ABS(tblWorkPackages[[#This Row],[Actual labor hours]]-tblWorkPackages[[#This Row],[Calibrated forecast hours]]))</f>
        <v>0.00370370370370399</v>
      </c>
      <c r="V1445" s="51">
        <f>IF(tblWorkPackages[[#This Row],[Time split]]="Train 2024",tblWorkPackages[[#This Row],[Estimated labor hours]],tblWorkPackages[[#This Row],[Calibrated forecast hours]])</f>
        <v>4.5037037037037</v>
      </c>
      <c r="W1445" s="64">
        <f>DATEVALUE(tblWorkPackages[[#This Row],[Request date]])</f>
        <v>45727.0</v>
      </c>
      <c r="X1445" s="64">
        <f>DATEVALUE(tblWorkPackages[[#This Row],[Due date]])</f>
        <v>45740.0</v>
      </c>
      <c r="Y1445" s="64">
        <f>DATEVALUE(tblWorkPackages[[#This Row],[Completion date]])</f>
        <v>45734.0</v>
      </c>
      <c r="Z1445" s="64">
        <f>_xlfn.MINIFS(tblLaborEntries[Work date serial],tblLaborEntries[Work package ID],tblWorkPackages[[#This Row],[Work package ID]])</f>
        <v>45731.0</v>
      </c>
      <c r="AA1445" s="64">
        <f>_xlfn.MAXIFS(tblLaborEntries[Work date serial],tblLaborEntries[Work package ID],tblWorkPackages[[#This Row],[Work package ID]])</f>
        <v>45731.0</v>
      </c>
      <c r="AB1445" s="65">
        <f>IF(tblWorkPackages[[#This Row],[Completion date serial]]&gt;tblWorkPackages[[#This Row],[Due date serial]],1,0)</f>
        <v>0</v>
      </c>
      <c r="AC1445" s="65">
        <f>MAX(0,tblWorkPackages[[#This Row],[Completion date serial]]-tblWorkPackages[[#This Row],[Due date serial]])</f>
        <v>0</v>
      </c>
      <c r="AD1445" s="65">
        <f>tblWorkPackages[[#This Row],[First labor date]]-tblWorkPackages[[#This Row],[Request date serial]]</f>
        <v>4</v>
      </c>
      <c r="AE1445" s="65">
        <f>tblWorkPackages[[#This Row],[Last labor date]]-tblWorkPackages[[#This Row],[First labor date]]</f>
        <v>0</v>
      </c>
      <c r="AF1445" s="65">
        <f>tblWorkPackages[[#This Row],[Completion date serial]]-tblWorkPackages[[#This Row],[Last labor date]]</f>
        <v>3</v>
      </c>
      <c r="AG1445" s="65">
        <f>tblWorkPackages[[#This Row],[Completion date serial]]-tblWorkPackages[[#This Row],[Request date serial]]</f>
        <v>7</v>
      </c>
      <c r="AH1445" s="65">
        <f>IFERROR(INDEX(tblParts[Delay days],MATCH(tblWorkPackages[[#This Row],[Work package ID]],tblParts[Work package ID],0)),0)</f>
        <v>0</v>
      </c>
      <c r="AI1445" s="51" t="str">
        <f>IFERROR(INDEX(tblDisruptions[Event type],MATCH(tblWorkPackages[[#This Row],[Work package ID]],tblDisruptions[Work package ID],0)),"None")</f>
        <v>None</v>
      </c>
      <c r="AJ1445" s="51" t="str">
        <f>TEXT(tblWorkPackages[[#This Row],[Due date serial]],"yyyy-mm")</f>
        <v>2025-03</v>
      </c>
    </row>
    <row r="1446" spans="1:36" ht="15" x14ac:dyDescent="0.25">
      <c r="A1446" s="53" t="s">
        <v>2354</v>
      </c>
      <c r="B1446" s="53" t="s">
        <v>133</v>
      </c>
      <c r="C1446" s="53" t="s">
        <v>768</v>
      </c>
      <c r="D1446" s="53" t="s">
        <v>856</v>
      </c>
      <c r="E1446" s="53" t="s">
        <v>272</v>
      </c>
      <c r="F1446" s="53" t="s">
        <v>145</v>
      </c>
      <c r="G1446" s="53" t="s">
        <v>273</v>
      </c>
      <c r="H1446" s="53">
        <v>2</v>
      </c>
      <c r="I1446" s="53" t="s">
        <v>130</v>
      </c>
      <c r="J1446" s="53">
        <v>0</v>
      </c>
      <c r="K1446" s="53">
        <v>0</v>
      </c>
      <c r="L1446" s="53">
        <v>10.3</v>
      </c>
      <c r="M1446" s="53" t="s">
        <v>645</v>
      </c>
      <c r="N1446" s="53">
        <v>11.3</v>
      </c>
      <c r="O1446" s="51" t="str">
        <f>TEXT(tblWorkPackages[[#This Row],[Request date serial]]-WEEKDAY(tblWorkPackages[[#This Row],[Request date serial]],3),"yyyy-mm-dd")</f>
        <v>2025-12-08</v>
      </c>
      <c r="P1446" s="51">
        <f>ABS(tblWorkPackages[[#This Row],[Actual labor hours]]-tblWorkPackages[[#This Row],[Estimated labor hours]])</f>
        <v>1</v>
      </c>
      <c r="Q1446" s="51">
        <f>IF(tblWorkPackages[[#This Row],[Actual labor hours]]&gt;tblWorkPackages[[#This Row],[Estimated labor hours]],1,0)</f>
        <v>1</v>
      </c>
      <c r="R1446" s="51">
        <f>tblWorkPackages[[#This Row],[Actual labor hours]]-tblWorkPackages[[#This Row],[Estimated labor hours]]</f>
        <v>1</v>
      </c>
      <c r="S1446" s="51" t="str">
        <f>IF(tblWorkPackages[[#This Row],[Request date serial]]&lt;ValidationStart,"Train 2024",IF(tblWorkPackages[[#This Row],[Request date serial]]&lt;HoldoutStart,"Validation H1","Holdout H2"))</f>
        <v>Holdout H2</v>
      </c>
      <c r="T1446" s="51">
        <f>IF(tblWorkPackages[[#This Row],[Time split]]="Train 2024","",tblWorkPackages[[#This Row],[Estimated labor hours]]+VLOOKUP(tblWorkPackages[[#This Row],[Task type]],'Forecast validation'!$A$14:$E$25,IF(tblWorkPackages[[#This Row],[Time split]]="Validation H1",4,5),FALSE()))</f>
        <v>11.28515625</v>
      </c>
      <c r="U1446" s="51">
        <f>IF(tblWorkPackages[[#This Row],[Calibrated forecast hours]]="","",ABS(tblWorkPackages[[#This Row],[Actual labor hours]]-tblWorkPackages[[#This Row],[Calibrated forecast hours]]))</f>
        <v>0.0148437500000007</v>
      </c>
      <c r="V1446" s="51">
        <f>IF(tblWorkPackages[[#This Row],[Time split]]="Train 2024",tblWorkPackages[[#This Row],[Estimated labor hours]],tblWorkPackages[[#This Row],[Calibrated forecast hours]])</f>
        <v>11.28515625</v>
      </c>
      <c r="W1446" s="64">
        <f>DATEVALUE(tblWorkPackages[[#This Row],[Request date]])</f>
        <v>46001.0</v>
      </c>
      <c r="X1446" s="64">
        <f>DATEVALUE(tblWorkPackages[[#This Row],[Due date]])</f>
        <v>46014.0</v>
      </c>
      <c r="Y1446" s="64">
        <f>DATEVALUE(tblWorkPackages[[#This Row],[Completion date]])</f>
        <v>46002.0</v>
      </c>
      <c r="Z1446" s="64">
        <f>_xlfn.MINIFS(tblLaborEntries[Work date serial],tblLaborEntries[Work package ID],tblWorkPackages[[#This Row],[Work package ID]])</f>
        <v>46002.0</v>
      </c>
      <c r="AA1446" s="64">
        <f>_xlfn.MAXIFS(tblLaborEntries[Work date serial],tblLaborEntries[Work package ID],tblWorkPackages[[#This Row],[Work package ID]])</f>
        <v>46002.0</v>
      </c>
      <c r="AB1446" s="65">
        <f>IF(tblWorkPackages[[#This Row],[Completion date serial]]&gt;tblWorkPackages[[#This Row],[Due date serial]],1,0)</f>
        <v>0</v>
      </c>
      <c r="AC1446" s="65">
        <f>MAX(0,tblWorkPackages[[#This Row],[Completion date serial]]-tblWorkPackages[[#This Row],[Due date serial]])</f>
        <v>0</v>
      </c>
      <c r="AD1446" s="65">
        <f>tblWorkPackages[[#This Row],[First labor date]]-tblWorkPackages[[#This Row],[Request date serial]]</f>
        <v>1</v>
      </c>
      <c r="AE1446" s="65">
        <f>tblWorkPackages[[#This Row],[Last labor date]]-tblWorkPackages[[#This Row],[First labor date]]</f>
        <v>0</v>
      </c>
      <c r="AF1446" s="65">
        <f>tblWorkPackages[[#This Row],[Completion date serial]]-tblWorkPackages[[#This Row],[Last labor date]]</f>
        <v>0</v>
      </c>
      <c r="AG1446" s="65">
        <f>tblWorkPackages[[#This Row],[Completion date serial]]-tblWorkPackages[[#This Row],[Request date serial]]</f>
        <v>1</v>
      </c>
      <c r="AH1446" s="65">
        <f>IFERROR(INDEX(tblParts[Delay days],MATCH(tblWorkPackages[[#This Row],[Work package ID]],tblParts[Work package ID],0)),0)</f>
        <v>0</v>
      </c>
      <c r="AI1446" s="51" t="str">
        <f>IFERROR(INDEX(tblDisruptions[Event type],MATCH(tblWorkPackages[[#This Row],[Work package ID]],tblDisruptions[Work package ID],0)),"None")</f>
        <v>None</v>
      </c>
      <c r="AJ1446" s="51" t="str">
        <f>TEXT(tblWorkPackages[[#This Row],[Due date serial]],"yyyy-mm")</f>
        <v>2025-12</v>
      </c>
    </row>
    <row r="1447" spans="1:36" ht="15" x14ac:dyDescent="0.25">
      <c r="A1447" s="53" t="s">
        <v>2355</v>
      </c>
      <c r="B1447" s="53" t="s">
        <v>133</v>
      </c>
      <c r="C1447" s="53" t="s">
        <v>1024</v>
      </c>
      <c r="D1447" s="53" t="s">
        <v>1354</v>
      </c>
      <c r="E1447" s="53" t="s">
        <v>136</v>
      </c>
      <c r="F1447" s="53" t="s">
        <v>137</v>
      </c>
      <c r="G1447" s="53" t="s">
        <v>138</v>
      </c>
      <c r="H1447" s="53">
        <v>3</v>
      </c>
      <c r="I1447" s="53" t="s">
        <v>130</v>
      </c>
      <c r="J1447" s="53">
        <v>0</v>
      </c>
      <c r="K1447" s="53">
        <v>0</v>
      </c>
      <c r="L1447" s="53">
        <v>18.600000000000001</v>
      </c>
      <c r="M1447" s="53" t="s">
        <v>1204</v>
      </c>
      <c r="N1447" s="53">
        <v>25.9</v>
      </c>
      <c r="O1447" s="51" t="str">
        <f>TEXT(tblWorkPackages[[#This Row],[Request date serial]]-WEEKDAY(tblWorkPackages[[#This Row],[Request date serial]],3),"yyyy-mm-dd")</f>
        <v>2024-07-15</v>
      </c>
      <c r="P1447" s="51">
        <f>ABS(tblWorkPackages[[#This Row],[Actual labor hours]]-tblWorkPackages[[#This Row],[Estimated labor hours]])</f>
        <v>7.3</v>
      </c>
      <c r="Q1447" s="51">
        <f>IF(tblWorkPackages[[#This Row],[Actual labor hours]]&gt;tblWorkPackages[[#This Row],[Estimated labor hours]],1,0)</f>
        <v>1</v>
      </c>
      <c r="R1447" s="51">
        <f>tblWorkPackages[[#This Row],[Actual labor hours]]-tblWorkPackages[[#This Row],[Estimated labor hours]]</f>
        <v>7.3</v>
      </c>
      <c r="S1447" s="51" t="str">
        <f>IF(tblWorkPackages[[#This Row],[Request date serial]]&lt;ValidationStart,"Train 2024",IF(tblWorkPackages[[#This Row],[Request date serial]]&lt;HoldoutStart,"Validation H1","Holdout H2"))</f>
        <v>Train 2024</v>
      </c>
      <c r="T1447" s="51" t="str">
        <f>IF(tblWorkPackages[[#This Row],[Time split]]="Train 2024","",tblWorkPackages[[#This Row],[Estimated labor hours]]+VLOOKUP(tblWorkPackages[[#This Row],[Task type]],'Forecast validation'!$A$14:$E$25,IF(tblWorkPackages[[#This Row],[Time split]]="Validation H1",4,5),FALSE()))</f>
        <v/>
      </c>
      <c r="U1447" s="51" t="str">
        <f>IF(tblWorkPackages[[#This Row],[Calibrated forecast hours]]="","",ABS(tblWorkPackages[[#This Row],[Actual labor hours]]-tblWorkPackages[[#This Row],[Calibrated forecast hours]]))</f>
        <v/>
      </c>
      <c r="V1447" s="51">
        <f>IF(tblWorkPackages[[#This Row],[Time split]]="Train 2024",tblWorkPackages[[#This Row],[Estimated labor hours]],tblWorkPackages[[#This Row],[Calibrated forecast hours]])</f>
        <v>18.6</v>
      </c>
      <c r="W1447" s="64">
        <f>DATEVALUE(tblWorkPackages[[#This Row],[Request date]])</f>
        <v>45491.0</v>
      </c>
      <c r="X1447" s="64">
        <f>DATEVALUE(tblWorkPackages[[#This Row],[Due date]])</f>
        <v>45504.0</v>
      </c>
      <c r="Y1447" s="64">
        <f>DATEVALUE(tblWorkPackages[[#This Row],[Completion date]])</f>
        <v>45503.0</v>
      </c>
      <c r="Z1447" s="64">
        <f>_xlfn.MINIFS(tblLaborEntries[Work date serial],tblLaborEntries[Work package ID],tblWorkPackages[[#This Row],[Work package ID]])</f>
        <v>45502.0</v>
      </c>
      <c r="AA1447" s="64">
        <f>_xlfn.MAXIFS(tblLaborEntries[Work date serial],tblLaborEntries[Work package ID],tblWorkPackages[[#This Row],[Work package ID]])</f>
        <v>45502.0</v>
      </c>
      <c r="AB1447" s="65">
        <f>IF(tblWorkPackages[[#This Row],[Completion date serial]]&gt;tblWorkPackages[[#This Row],[Due date serial]],1,0)</f>
        <v>0</v>
      </c>
      <c r="AC1447" s="65">
        <f>MAX(0,tblWorkPackages[[#This Row],[Completion date serial]]-tblWorkPackages[[#This Row],[Due date serial]])</f>
        <v>0</v>
      </c>
      <c r="AD1447" s="65">
        <f>tblWorkPackages[[#This Row],[First labor date]]-tblWorkPackages[[#This Row],[Request date serial]]</f>
        <v>11</v>
      </c>
      <c r="AE1447" s="65">
        <f>tblWorkPackages[[#This Row],[Last labor date]]-tblWorkPackages[[#This Row],[First labor date]]</f>
        <v>0</v>
      </c>
      <c r="AF1447" s="65">
        <f>tblWorkPackages[[#This Row],[Completion date serial]]-tblWorkPackages[[#This Row],[Last labor date]]</f>
        <v>1</v>
      </c>
      <c r="AG1447" s="65">
        <f>tblWorkPackages[[#This Row],[Completion date serial]]-tblWorkPackages[[#This Row],[Request date serial]]</f>
        <v>12</v>
      </c>
      <c r="AH1447" s="65">
        <f>IFERROR(INDEX(tblParts[Delay days],MATCH(tblWorkPackages[[#This Row],[Work package ID]],tblParts[Work package ID],0)),0)</f>
        <v>0</v>
      </c>
      <c r="AI1447" s="51" t="str">
        <f>IFERROR(INDEX(tblDisruptions[Event type],MATCH(tblWorkPackages[[#This Row],[Work package ID]],tblDisruptions[Work package ID],0)),"None")</f>
        <v>Equipment unavailable</v>
      </c>
      <c r="AJ1447" s="51" t="str">
        <f>TEXT(tblWorkPackages[[#This Row],[Due date serial]],"yyyy-mm")</f>
        <v>2024-07</v>
      </c>
    </row>
    <row r="1448" spans="1:36" ht="15" x14ac:dyDescent="0.25">
      <c r="A1448" s="53" t="s">
        <v>2356</v>
      </c>
      <c r="B1448" s="53" t="s">
        <v>235</v>
      </c>
      <c r="C1448" s="53" t="s">
        <v>764</v>
      </c>
      <c r="D1448" s="53" t="s">
        <v>765</v>
      </c>
      <c r="E1448" s="53" t="s">
        <v>272</v>
      </c>
      <c r="F1448" s="53" t="s">
        <v>145</v>
      </c>
      <c r="G1448" s="53" t="s">
        <v>273</v>
      </c>
      <c r="H1448" s="53">
        <v>2</v>
      </c>
      <c r="I1448" s="53" t="s">
        <v>130</v>
      </c>
      <c r="J1448" s="53">
        <v>0</v>
      </c>
      <c r="K1448" s="53">
        <v>0</v>
      </c>
      <c r="L1448" s="53">
        <v>10.6</v>
      </c>
      <c r="M1448" s="53" t="s">
        <v>856</v>
      </c>
      <c r="N1448" s="53">
        <v>11.3</v>
      </c>
      <c r="O1448" s="51" t="str">
        <f>TEXT(tblWorkPackages[[#This Row],[Request date serial]]-WEEKDAY(tblWorkPackages[[#This Row],[Request date serial]],3),"yyyy-mm-dd")</f>
        <v>2025-12-15</v>
      </c>
      <c r="P1448" s="51">
        <f>ABS(tblWorkPackages[[#This Row],[Actual labor hours]]-tblWorkPackages[[#This Row],[Estimated labor hours]])</f>
        <v>0.700000000000001</v>
      </c>
      <c r="Q1448" s="51">
        <f>IF(tblWorkPackages[[#This Row],[Actual labor hours]]&gt;tblWorkPackages[[#This Row],[Estimated labor hours]],1,0)</f>
        <v>1</v>
      </c>
      <c r="R1448" s="51">
        <f>tblWorkPackages[[#This Row],[Actual labor hours]]-tblWorkPackages[[#This Row],[Estimated labor hours]]</f>
        <v>0.700000000000001</v>
      </c>
      <c r="S1448" s="51" t="str">
        <f>IF(tblWorkPackages[[#This Row],[Request date serial]]&lt;ValidationStart,"Train 2024",IF(tblWorkPackages[[#This Row],[Request date serial]]&lt;HoldoutStart,"Validation H1","Holdout H2"))</f>
        <v>Holdout H2</v>
      </c>
      <c r="T1448" s="51">
        <f>IF(tblWorkPackages[[#This Row],[Time split]]="Train 2024","",tblWorkPackages[[#This Row],[Estimated labor hours]]+VLOOKUP(tblWorkPackages[[#This Row],[Task type]],'Forecast validation'!$A$14:$E$25,IF(tblWorkPackages[[#This Row],[Time split]]="Validation H1",4,5),FALSE()))</f>
        <v>11.58515625</v>
      </c>
      <c r="U1448" s="51">
        <f>IF(tblWorkPackages[[#This Row],[Calibrated forecast hours]]="","",ABS(tblWorkPackages[[#This Row],[Actual labor hours]]-tblWorkPackages[[#This Row],[Calibrated forecast hours]]))</f>
        <v>0.285156249999998</v>
      </c>
      <c r="V1448" s="51">
        <f>IF(tblWorkPackages[[#This Row],[Time split]]="Train 2024",tblWorkPackages[[#This Row],[Estimated labor hours]],tblWorkPackages[[#This Row],[Calibrated forecast hours]])</f>
        <v>11.58515625</v>
      </c>
      <c r="W1448" s="64">
        <f>DATEVALUE(tblWorkPackages[[#This Row],[Request date]])</f>
        <v>46007.0</v>
      </c>
      <c r="X1448" s="64">
        <f>DATEVALUE(tblWorkPackages[[#This Row],[Due date]])</f>
        <v>46020.0</v>
      </c>
      <c r="Y1448" s="64">
        <f>DATEVALUE(tblWorkPackages[[#This Row],[Completion date]])</f>
        <v>46014.0</v>
      </c>
      <c r="Z1448" s="64">
        <f>_xlfn.MINIFS(tblLaborEntries[Work date serial],tblLaborEntries[Work package ID],tblWorkPackages[[#This Row],[Work package ID]])</f>
        <v>46010.0</v>
      </c>
      <c r="AA1448" s="64">
        <f>_xlfn.MAXIFS(tblLaborEntries[Work date serial],tblLaborEntries[Work package ID],tblWorkPackages[[#This Row],[Work package ID]])</f>
        <v>46012.0</v>
      </c>
      <c r="AB1448" s="65">
        <f>IF(tblWorkPackages[[#This Row],[Completion date serial]]&gt;tblWorkPackages[[#This Row],[Due date serial]],1,0)</f>
        <v>0</v>
      </c>
      <c r="AC1448" s="65">
        <f>MAX(0,tblWorkPackages[[#This Row],[Completion date serial]]-tblWorkPackages[[#This Row],[Due date serial]])</f>
        <v>0</v>
      </c>
      <c r="AD1448" s="65">
        <f>tblWorkPackages[[#This Row],[First labor date]]-tblWorkPackages[[#This Row],[Request date serial]]</f>
        <v>3</v>
      </c>
      <c r="AE1448" s="65">
        <f>tblWorkPackages[[#This Row],[Last labor date]]-tblWorkPackages[[#This Row],[First labor date]]</f>
        <v>2</v>
      </c>
      <c r="AF1448" s="65">
        <f>tblWorkPackages[[#This Row],[Completion date serial]]-tblWorkPackages[[#This Row],[Last labor date]]</f>
        <v>2</v>
      </c>
      <c r="AG1448" s="65">
        <f>tblWorkPackages[[#This Row],[Completion date serial]]-tblWorkPackages[[#This Row],[Request date serial]]</f>
        <v>7</v>
      </c>
      <c r="AH1448" s="65">
        <f>IFERROR(INDEX(tblParts[Delay days],MATCH(tblWorkPackages[[#This Row],[Work package ID]],tblParts[Work package ID],0)),0)</f>
        <v>0</v>
      </c>
      <c r="AI1448" s="51" t="str">
        <f>IFERROR(INDEX(tblDisruptions[Event type],MATCH(tblWorkPackages[[#This Row],[Work package ID]],tblDisruptions[Work package ID],0)),"None")</f>
        <v>None</v>
      </c>
      <c r="AJ1448" s="51" t="str">
        <f>TEXT(tblWorkPackages[[#This Row],[Due date serial]],"yyyy-mm")</f>
        <v>2025-12</v>
      </c>
    </row>
    <row r="1449" spans="1:36" ht="15" x14ac:dyDescent="0.25">
      <c r="A1449" s="53" t="s">
        <v>2357</v>
      </c>
      <c r="B1449" s="53" t="s">
        <v>185</v>
      </c>
      <c r="C1449" s="53" t="s">
        <v>375</v>
      </c>
      <c r="D1449" s="53" t="s">
        <v>274</v>
      </c>
      <c r="E1449" s="53" t="s">
        <v>242</v>
      </c>
      <c r="F1449" s="53" t="s">
        <v>243</v>
      </c>
      <c r="G1449" s="53" t="s">
        <v>129</v>
      </c>
      <c r="H1449" s="53">
        <v>1</v>
      </c>
      <c r="I1449" s="53" t="s">
        <v>130</v>
      </c>
      <c r="J1449" s="53">
        <v>0</v>
      </c>
      <c r="K1449" s="53">
        <v>0</v>
      </c>
      <c r="L1449" s="53">
        <v>6.7</v>
      </c>
      <c r="M1449" s="53" t="s">
        <v>1076</v>
      </c>
      <c r="N1449" s="53">
        <v>6.3</v>
      </c>
      <c r="O1449" s="51" t="str">
        <f>TEXT(tblWorkPackages[[#This Row],[Request date serial]]-WEEKDAY(tblWorkPackages[[#This Row],[Request date serial]],3),"yyyy-mm-dd")</f>
        <v>2025-04-21</v>
      </c>
      <c r="P1449" s="51">
        <f>ABS(tblWorkPackages[[#This Row],[Actual labor hours]]-tblWorkPackages[[#This Row],[Estimated labor hours]])</f>
        <v>0.4</v>
      </c>
      <c r="Q1449" s="51">
        <f>IF(tblWorkPackages[[#This Row],[Actual labor hours]]&gt;tblWorkPackages[[#This Row],[Estimated labor hours]],1,0)</f>
        <v>0</v>
      </c>
      <c r="R1449" s="51">
        <f>tblWorkPackages[[#This Row],[Actual labor hours]]-tblWorkPackages[[#This Row],[Estimated labor hours]]</f>
        <v>-0.4</v>
      </c>
      <c r="S1449" s="51" t="str">
        <f>IF(tblWorkPackages[[#This Row],[Request date serial]]&lt;ValidationStart,"Train 2024",IF(tblWorkPackages[[#This Row],[Request date serial]]&lt;HoldoutStart,"Validation H1","Holdout H2"))</f>
        <v>Validation H1</v>
      </c>
      <c r="T1449" s="51">
        <f>IF(tblWorkPackages[[#This Row],[Time split]]="Train 2024","",tblWorkPackages[[#This Row],[Estimated labor hours]]+VLOOKUP(tblWorkPackages[[#This Row],[Task type]],'Forecast validation'!$A$14:$E$25,IF(tblWorkPackages[[#This Row],[Time split]]="Validation H1",4,5),FALSE()))</f>
        <v>7.25612244897959</v>
      </c>
      <c r="U1449" s="51">
        <f>IF(tblWorkPackages[[#This Row],[Calibrated forecast hours]]="","",ABS(tblWorkPackages[[#This Row],[Actual labor hours]]-tblWorkPackages[[#This Row],[Calibrated forecast hours]]))</f>
        <v>0.956122448979593</v>
      </c>
      <c r="V1449" s="51">
        <f>IF(tblWorkPackages[[#This Row],[Time split]]="Train 2024",tblWorkPackages[[#This Row],[Estimated labor hours]],tblWorkPackages[[#This Row],[Calibrated forecast hours]])</f>
        <v>7.25612244897959</v>
      </c>
      <c r="W1449" s="64">
        <f>DATEVALUE(tblWorkPackages[[#This Row],[Request date]])</f>
        <v>45770.0</v>
      </c>
      <c r="X1449" s="64">
        <f>DATEVALUE(tblWorkPackages[[#This Row],[Due date]])</f>
        <v>45783.0</v>
      </c>
      <c r="Y1449" s="64">
        <f>DATEVALUE(tblWorkPackages[[#This Row],[Completion date]])</f>
        <v>45804.0</v>
      </c>
      <c r="Z1449" s="64">
        <f>_xlfn.MINIFS(tblLaborEntries[Work date serial],tblLaborEntries[Work package ID],tblWorkPackages[[#This Row],[Work package ID]])</f>
        <v>45801.0</v>
      </c>
      <c r="AA1449" s="64">
        <f>_xlfn.MAXIFS(tblLaborEntries[Work date serial],tblLaborEntries[Work package ID],tblWorkPackages[[#This Row],[Work package ID]])</f>
        <v>45801.0</v>
      </c>
      <c r="AB1449" s="65">
        <f>IF(tblWorkPackages[[#This Row],[Completion date serial]]&gt;tblWorkPackages[[#This Row],[Due date serial]],1,0)</f>
        <v>1</v>
      </c>
      <c r="AC1449" s="65">
        <f>MAX(0,tblWorkPackages[[#This Row],[Completion date serial]]-tblWorkPackages[[#This Row],[Due date serial]])</f>
        <v>21</v>
      </c>
      <c r="AD1449" s="65">
        <f>tblWorkPackages[[#This Row],[First labor date]]-tblWorkPackages[[#This Row],[Request date serial]]</f>
        <v>31</v>
      </c>
      <c r="AE1449" s="65">
        <f>tblWorkPackages[[#This Row],[Last labor date]]-tblWorkPackages[[#This Row],[First labor date]]</f>
        <v>0</v>
      </c>
      <c r="AF1449" s="65">
        <f>tblWorkPackages[[#This Row],[Completion date serial]]-tblWorkPackages[[#This Row],[Last labor date]]</f>
        <v>3</v>
      </c>
      <c r="AG1449" s="65">
        <f>tblWorkPackages[[#This Row],[Completion date serial]]-tblWorkPackages[[#This Row],[Request date serial]]</f>
        <v>34</v>
      </c>
      <c r="AH1449" s="65">
        <f>IFERROR(INDEX(tblParts[Delay days],MATCH(tblWorkPackages[[#This Row],[Work package ID]],tblParts[Work package ID],0)),0)</f>
        <v>0</v>
      </c>
      <c r="AI1449" s="51" t="str">
        <f>IFERROR(INDEX(tblDisruptions[Event type],MATCH(tblWorkPackages[[#This Row],[Work package ID]],tblDisruptions[Work package ID],0)),"None")</f>
        <v>None</v>
      </c>
      <c r="AJ1449" s="51" t="str">
        <f>TEXT(tblWorkPackages[[#This Row],[Due date serial]],"yyyy-mm")</f>
        <v>2025-05</v>
      </c>
    </row>
    <row r="1450" spans="1:36" ht="15" x14ac:dyDescent="0.25">
      <c r="A1450" s="53" t="s">
        <v>2358</v>
      </c>
      <c r="B1450" s="53" t="s">
        <v>250</v>
      </c>
      <c r="C1450" s="53" t="s">
        <v>422</v>
      </c>
      <c r="D1450" s="53" t="s">
        <v>1301</v>
      </c>
      <c r="E1450" s="53" t="s">
        <v>127</v>
      </c>
      <c r="F1450" s="53" t="s">
        <v>128</v>
      </c>
      <c r="G1450" s="53" t="s">
        <v>129</v>
      </c>
      <c r="H1450" s="53">
        <v>1</v>
      </c>
      <c r="I1450" s="53" t="s">
        <v>130</v>
      </c>
      <c r="J1450" s="53">
        <v>0</v>
      </c>
      <c r="K1450" s="53">
        <v>0</v>
      </c>
      <c r="L1450" s="53">
        <v>4.2</v>
      </c>
      <c r="M1450" s="53" t="s">
        <v>1028</v>
      </c>
      <c r="N1450" s="53">
        <v>5.2</v>
      </c>
      <c r="O1450" s="51" t="str">
        <f>TEXT(tblWorkPackages[[#This Row],[Request date serial]]-WEEKDAY(tblWorkPackages[[#This Row],[Request date serial]],3),"yyyy-mm-dd")</f>
        <v>2025-11-10</v>
      </c>
      <c r="P1450" s="51">
        <f>ABS(tblWorkPackages[[#This Row],[Actual labor hours]]-tblWorkPackages[[#This Row],[Estimated labor hours]])</f>
        <v>1</v>
      </c>
      <c r="Q1450" s="51">
        <f>IF(tblWorkPackages[[#This Row],[Actual labor hours]]&gt;tblWorkPackages[[#This Row],[Estimated labor hours]],1,0)</f>
        <v>1</v>
      </c>
      <c r="R1450" s="51">
        <f>tblWorkPackages[[#This Row],[Actual labor hours]]-tblWorkPackages[[#This Row],[Estimated labor hours]]</f>
        <v>1</v>
      </c>
      <c r="S1450" s="51" t="str">
        <f>IF(tblWorkPackages[[#This Row],[Request date serial]]&lt;ValidationStart,"Train 2024",IF(tblWorkPackages[[#This Row],[Request date serial]]&lt;HoldoutStart,"Validation H1","Holdout H2"))</f>
        <v>Holdout H2</v>
      </c>
      <c r="T1450" s="51">
        <f>IF(tblWorkPackages[[#This Row],[Time split]]="Train 2024","",tblWorkPackages[[#This Row],[Estimated labor hours]]+VLOOKUP(tblWorkPackages[[#This Row],[Task type]],'Forecast validation'!$A$14:$E$25,IF(tblWorkPackages[[#This Row],[Time split]]="Validation H1",4,5),FALSE()))</f>
        <v>4.74341085271318</v>
      </c>
      <c r="U1450" s="51">
        <f>IF(tblWorkPackages[[#This Row],[Calibrated forecast hours]]="","",ABS(tblWorkPackages[[#This Row],[Actual labor hours]]-tblWorkPackages[[#This Row],[Calibrated forecast hours]]))</f>
        <v>0.456589147286822</v>
      </c>
      <c r="V1450" s="51">
        <f>IF(tblWorkPackages[[#This Row],[Time split]]="Train 2024",tblWorkPackages[[#This Row],[Estimated labor hours]],tblWorkPackages[[#This Row],[Calibrated forecast hours]])</f>
        <v>4.74341085271318</v>
      </c>
      <c r="W1450" s="64">
        <f>DATEVALUE(tblWorkPackages[[#This Row],[Request date]])</f>
        <v>45973.0</v>
      </c>
      <c r="X1450" s="64">
        <f>DATEVALUE(tblWorkPackages[[#This Row],[Due date]])</f>
        <v>45986.0</v>
      </c>
      <c r="Y1450" s="64">
        <f>DATEVALUE(tblWorkPackages[[#This Row],[Completion date]])</f>
        <v>45981.0</v>
      </c>
      <c r="Z1450" s="64">
        <f>_xlfn.MINIFS(tblLaborEntries[Work date serial],tblLaborEntries[Work package ID],tblWorkPackages[[#This Row],[Work package ID]])</f>
        <v>45979.0</v>
      </c>
      <c r="AA1450" s="64">
        <f>_xlfn.MAXIFS(tblLaborEntries[Work date serial],tblLaborEntries[Work package ID],tblWorkPackages[[#This Row],[Work package ID]])</f>
        <v>45981.0</v>
      </c>
      <c r="AB1450" s="65">
        <f>IF(tblWorkPackages[[#This Row],[Completion date serial]]&gt;tblWorkPackages[[#This Row],[Due date serial]],1,0)</f>
        <v>0</v>
      </c>
      <c r="AC1450" s="65">
        <f>MAX(0,tblWorkPackages[[#This Row],[Completion date serial]]-tblWorkPackages[[#This Row],[Due date serial]])</f>
        <v>0</v>
      </c>
      <c r="AD1450" s="65">
        <f>tblWorkPackages[[#This Row],[First labor date]]-tblWorkPackages[[#This Row],[Request date serial]]</f>
        <v>6</v>
      </c>
      <c r="AE1450" s="65">
        <f>tblWorkPackages[[#This Row],[Last labor date]]-tblWorkPackages[[#This Row],[First labor date]]</f>
        <v>2</v>
      </c>
      <c r="AF1450" s="65">
        <f>tblWorkPackages[[#This Row],[Completion date serial]]-tblWorkPackages[[#This Row],[Last labor date]]</f>
        <v>0</v>
      </c>
      <c r="AG1450" s="65">
        <f>tblWorkPackages[[#This Row],[Completion date serial]]-tblWorkPackages[[#This Row],[Request date serial]]</f>
        <v>8</v>
      </c>
      <c r="AH1450" s="65">
        <f>IFERROR(INDEX(tblParts[Delay days],MATCH(tblWorkPackages[[#This Row],[Work package ID]],tblParts[Work package ID],0)),0)</f>
        <v>0</v>
      </c>
      <c r="AI1450" s="51" t="str">
        <f>IFERROR(INDEX(tblDisruptions[Event type],MATCH(tblWorkPackages[[#This Row],[Work package ID]],tblDisruptions[Work package ID],0)),"None")</f>
        <v>Repeat inspection</v>
      </c>
      <c r="AJ1450" s="51" t="str">
        <f>TEXT(tblWorkPackages[[#This Row],[Due date serial]],"yyyy-mm")</f>
        <v>2025-11</v>
      </c>
    </row>
    <row r="1451" spans="1:36" ht="15" x14ac:dyDescent="0.25">
      <c r="A1451" s="53" t="s">
        <v>2359</v>
      </c>
      <c r="B1451" s="53" t="s">
        <v>168</v>
      </c>
      <c r="C1451" s="53" t="s">
        <v>502</v>
      </c>
      <c r="D1451" s="53" t="s">
        <v>430</v>
      </c>
      <c r="E1451" s="53" t="s">
        <v>144</v>
      </c>
      <c r="F1451" s="53" t="s">
        <v>145</v>
      </c>
      <c r="G1451" s="53" t="s">
        <v>146</v>
      </c>
      <c r="H1451" s="53">
        <v>3</v>
      </c>
      <c r="I1451" s="53" t="s">
        <v>176</v>
      </c>
      <c r="J1451" s="53">
        <v>0</v>
      </c>
      <c r="K1451" s="53">
        <v>1</v>
      </c>
      <c r="L1451" s="53">
        <v>14.6</v>
      </c>
      <c r="M1451" s="53" t="s">
        <v>627</v>
      </c>
      <c r="N1451" s="53">
        <v>17.2</v>
      </c>
      <c r="O1451" s="51" t="str">
        <f>TEXT(tblWorkPackages[[#This Row],[Request date serial]]-WEEKDAY(tblWorkPackages[[#This Row],[Request date serial]],3),"yyyy-mm-dd")</f>
        <v>2025-06-30</v>
      </c>
      <c r="P1451" s="51">
        <f>ABS(tblWorkPackages[[#This Row],[Actual labor hours]]-tblWorkPackages[[#This Row],[Estimated labor hours]])</f>
        <v>2.6</v>
      </c>
      <c r="Q1451" s="51">
        <f>IF(tblWorkPackages[[#This Row],[Actual labor hours]]&gt;tblWorkPackages[[#This Row],[Estimated labor hours]],1,0)</f>
        <v>1</v>
      </c>
      <c r="R1451" s="51">
        <f>tblWorkPackages[[#This Row],[Actual labor hours]]-tblWorkPackages[[#This Row],[Estimated labor hours]]</f>
        <v>2.6</v>
      </c>
      <c r="S1451" s="51" t="str">
        <f>IF(tblWorkPackages[[#This Row],[Request date serial]]&lt;ValidationStart,"Train 2024",IF(tblWorkPackages[[#This Row],[Request date serial]]&lt;HoldoutStart,"Validation H1","Holdout H2"))</f>
        <v>Holdout H2</v>
      </c>
      <c r="T1451" s="51">
        <f>IF(tblWorkPackages[[#This Row],[Time split]]="Train 2024","",tblWorkPackages[[#This Row],[Estimated labor hours]]+VLOOKUP(tblWorkPackages[[#This Row],[Task type]],'Forecast validation'!$A$14:$E$25,IF(tblWorkPackages[[#This Row],[Time split]]="Validation H1",4,5),FALSE()))</f>
        <v>15.5735483870968</v>
      </c>
      <c r="U1451" s="51">
        <f>IF(tblWorkPackages[[#This Row],[Calibrated forecast hours]]="","",ABS(tblWorkPackages[[#This Row],[Actual labor hours]]-tblWorkPackages[[#This Row],[Calibrated forecast hours]]))</f>
        <v>1.62645161290322</v>
      </c>
      <c r="V1451" s="51">
        <f>IF(tblWorkPackages[[#This Row],[Time split]]="Train 2024",tblWorkPackages[[#This Row],[Estimated labor hours]],tblWorkPackages[[#This Row],[Calibrated forecast hours]])</f>
        <v>15.5735483870968</v>
      </c>
      <c r="W1451" s="64">
        <f>DATEVALUE(tblWorkPackages[[#This Row],[Request date]])</f>
        <v>45840.0</v>
      </c>
      <c r="X1451" s="64">
        <f>DATEVALUE(tblWorkPackages[[#This Row],[Due date]])</f>
        <v>45846.0</v>
      </c>
      <c r="Y1451" s="64">
        <f>DATEVALUE(tblWorkPackages[[#This Row],[Completion date]])</f>
        <v>45843.0</v>
      </c>
      <c r="Z1451" s="64">
        <f>_xlfn.MINIFS(tblLaborEntries[Work date serial],tblLaborEntries[Work package ID],tblWorkPackages[[#This Row],[Work package ID]])</f>
        <v>45842.0</v>
      </c>
      <c r="AA1451" s="64">
        <f>_xlfn.MAXIFS(tblLaborEntries[Work date serial],tblLaborEntries[Work package ID],tblWorkPackages[[#This Row],[Work package ID]])</f>
        <v>45842.0</v>
      </c>
      <c r="AB1451" s="65">
        <f>IF(tblWorkPackages[[#This Row],[Completion date serial]]&gt;tblWorkPackages[[#This Row],[Due date serial]],1,0)</f>
        <v>0</v>
      </c>
      <c r="AC1451" s="65">
        <f>MAX(0,tblWorkPackages[[#This Row],[Completion date serial]]-tblWorkPackages[[#This Row],[Due date serial]])</f>
        <v>0</v>
      </c>
      <c r="AD1451" s="65">
        <f>tblWorkPackages[[#This Row],[First labor date]]-tblWorkPackages[[#This Row],[Request date serial]]</f>
        <v>2</v>
      </c>
      <c r="AE1451" s="65">
        <f>tblWorkPackages[[#This Row],[Last labor date]]-tblWorkPackages[[#This Row],[First labor date]]</f>
        <v>0</v>
      </c>
      <c r="AF1451" s="65">
        <f>tblWorkPackages[[#This Row],[Completion date serial]]-tblWorkPackages[[#This Row],[Last labor date]]</f>
        <v>1</v>
      </c>
      <c r="AG1451" s="65">
        <f>tblWorkPackages[[#This Row],[Completion date serial]]-tblWorkPackages[[#This Row],[Request date serial]]</f>
        <v>3</v>
      </c>
      <c r="AH1451" s="65">
        <f>IFERROR(INDEX(tblParts[Delay days],MATCH(tblWorkPackages[[#This Row],[Work package ID]],tblParts[Work package ID],0)),0)</f>
        <v>0</v>
      </c>
      <c r="AI1451" s="51" t="str">
        <f>IFERROR(INDEX(tblDisruptions[Event type],MATCH(tblWorkPackages[[#This Row],[Work package ID]],tblDisruptions[Work package ID],0)),"None")</f>
        <v>None</v>
      </c>
      <c r="AJ1451" s="51" t="str">
        <f>TEXT(tblWorkPackages[[#This Row],[Due date serial]],"yyyy-mm")</f>
        <v>2025-07</v>
      </c>
    </row>
    <row r="1452" spans="1:36" ht="15" x14ac:dyDescent="0.25">
      <c r="A1452" s="53" t="s">
        <v>2360</v>
      </c>
      <c r="B1452" s="53" t="s">
        <v>185</v>
      </c>
      <c r="C1452" s="53" t="s">
        <v>2012</v>
      </c>
      <c r="D1452" s="53" t="s">
        <v>613</v>
      </c>
      <c r="E1452" s="53" t="s">
        <v>160</v>
      </c>
      <c r="F1452" s="53" t="s">
        <v>128</v>
      </c>
      <c r="G1452" s="53" t="s">
        <v>138</v>
      </c>
      <c r="H1452" s="53">
        <v>4</v>
      </c>
      <c r="I1452" s="53" t="s">
        <v>176</v>
      </c>
      <c r="J1452" s="53">
        <v>0</v>
      </c>
      <c r="K1452" s="53">
        <v>0</v>
      </c>
      <c r="L1452" s="53">
        <v>9.8000000000000007</v>
      </c>
      <c r="M1452" s="53" t="s">
        <v>880</v>
      </c>
      <c r="N1452" s="53">
        <v>10.199999999999999</v>
      </c>
      <c r="O1452" s="51" t="str">
        <f>TEXT(tblWorkPackages[[#This Row],[Request date serial]]-WEEKDAY(tblWorkPackages[[#This Row],[Request date serial]],3),"yyyy-mm-dd")</f>
        <v>2024-03-18</v>
      </c>
      <c r="P1452" s="51">
        <f>ABS(tblWorkPackages[[#This Row],[Actual labor hours]]-tblWorkPackages[[#This Row],[Estimated labor hours]])</f>
        <v>0.399999999999999</v>
      </c>
      <c r="Q1452" s="51">
        <f>IF(tblWorkPackages[[#This Row],[Actual labor hours]]&gt;tblWorkPackages[[#This Row],[Estimated labor hours]],1,0)</f>
        <v>1</v>
      </c>
      <c r="R1452" s="51">
        <f>tblWorkPackages[[#This Row],[Actual labor hours]]-tblWorkPackages[[#This Row],[Estimated labor hours]]</f>
        <v>0.399999999999999</v>
      </c>
      <c r="S1452" s="51" t="str">
        <f>IF(tblWorkPackages[[#This Row],[Request date serial]]&lt;ValidationStart,"Train 2024",IF(tblWorkPackages[[#This Row],[Request date serial]]&lt;HoldoutStart,"Validation H1","Holdout H2"))</f>
        <v>Train 2024</v>
      </c>
      <c r="T1452" s="51" t="str">
        <f>IF(tblWorkPackages[[#This Row],[Time split]]="Train 2024","",tblWorkPackages[[#This Row],[Estimated labor hours]]+VLOOKUP(tblWorkPackages[[#This Row],[Task type]],'Forecast validation'!$A$14:$E$25,IF(tblWorkPackages[[#This Row],[Time split]]="Validation H1",4,5),FALSE()))</f>
        <v/>
      </c>
      <c r="U1452" s="51" t="str">
        <f>IF(tblWorkPackages[[#This Row],[Calibrated forecast hours]]="","",ABS(tblWorkPackages[[#This Row],[Actual labor hours]]-tblWorkPackages[[#This Row],[Calibrated forecast hours]]))</f>
        <v/>
      </c>
      <c r="V1452" s="51">
        <f>IF(tblWorkPackages[[#This Row],[Time split]]="Train 2024",tblWorkPackages[[#This Row],[Estimated labor hours]],tblWorkPackages[[#This Row],[Calibrated forecast hours]])</f>
        <v>9.8</v>
      </c>
      <c r="W1452" s="64">
        <f>DATEVALUE(tblWorkPackages[[#This Row],[Request date]])</f>
        <v>45374.0</v>
      </c>
      <c r="X1452" s="64">
        <f>DATEVALUE(tblWorkPackages[[#This Row],[Due date]])</f>
        <v>45380.0</v>
      </c>
      <c r="Y1452" s="64">
        <f>DATEVALUE(tblWorkPackages[[#This Row],[Completion date]])</f>
        <v>45392.0</v>
      </c>
      <c r="Z1452" s="64">
        <f>_xlfn.MINIFS(tblLaborEntries[Work date serial],tblLaborEntries[Work package ID],tblWorkPackages[[#This Row],[Work package ID]])</f>
        <v>45388.0</v>
      </c>
      <c r="AA1452" s="64">
        <f>_xlfn.MAXIFS(tblLaborEntries[Work date serial],tblLaborEntries[Work package ID],tblWorkPackages[[#This Row],[Work package ID]])</f>
        <v>45390.0</v>
      </c>
      <c r="AB1452" s="65">
        <f>IF(tblWorkPackages[[#This Row],[Completion date serial]]&gt;tblWorkPackages[[#This Row],[Due date serial]],1,0)</f>
        <v>1</v>
      </c>
      <c r="AC1452" s="65">
        <f>MAX(0,tblWorkPackages[[#This Row],[Completion date serial]]-tblWorkPackages[[#This Row],[Due date serial]])</f>
        <v>12</v>
      </c>
      <c r="AD1452" s="65">
        <f>tblWorkPackages[[#This Row],[First labor date]]-tblWorkPackages[[#This Row],[Request date serial]]</f>
        <v>14</v>
      </c>
      <c r="AE1452" s="65">
        <f>tblWorkPackages[[#This Row],[Last labor date]]-tblWorkPackages[[#This Row],[First labor date]]</f>
        <v>2</v>
      </c>
      <c r="AF1452" s="65">
        <f>tblWorkPackages[[#This Row],[Completion date serial]]-tblWorkPackages[[#This Row],[Last labor date]]</f>
        <v>2</v>
      </c>
      <c r="AG1452" s="65">
        <f>tblWorkPackages[[#This Row],[Completion date serial]]-tblWorkPackages[[#This Row],[Request date serial]]</f>
        <v>18</v>
      </c>
      <c r="AH1452" s="65">
        <f>IFERROR(INDEX(tblParts[Delay days],MATCH(tblWorkPackages[[#This Row],[Work package ID]],tblParts[Work package ID],0)),0)</f>
        <v>0</v>
      </c>
      <c r="AI1452" s="51" t="str">
        <f>IFERROR(INDEX(tblDisruptions[Event type],MATCH(tblWorkPackages[[#This Row],[Work package ID]],tblDisruptions[Work package ID],0)),"None")</f>
        <v>None</v>
      </c>
      <c r="AJ1452" s="51" t="str">
        <f>TEXT(tblWorkPackages[[#This Row],[Due date serial]],"yyyy-mm")</f>
        <v>2024-03</v>
      </c>
    </row>
    <row r="1453" spans="1:36" ht="15" x14ac:dyDescent="0.25">
      <c r="A1453" s="53" t="s">
        <v>2361</v>
      </c>
      <c r="B1453" s="53" t="s">
        <v>250</v>
      </c>
      <c r="C1453" s="53" t="s">
        <v>569</v>
      </c>
      <c r="D1453" s="53" t="s">
        <v>568</v>
      </c>
      <c r="E1453" s="53" t="s">
        <v>144</v>
      </c>
      <c r="F1453" s="53" t="s">
        <v>145</v>
      </c>
      <c r="G1453" s="53" t="s">
        <v>146</v>
      </c>
      <c r="H1453" s="53">
        <v>2</v>
      </c>
      <c r="I1453" s="53" t="s">
        <v>176</v>
      </c>
      <c r="J1453" s="53">
        <v>1</v>
      </c>
      <c r="K1453" s="53">
        <v>1</v>
      </c>
      <c r="L1453" s="53">
        <v>11.4</v>
      </c>
      <c r="M1453" s="53" t="s">
        <v>1211</v>
      </c>
      <c r="N1453" s="53">
        <v>19.100000000000001</v>
      </c>
      <c r="O1453" s="51" t="str">
        <f>TEXT(tblWorkPackages[[#This Row],[Request date serial]]-WEEKDAY(tblWorkPackages[[#This Row],[Request date serial]],3),"yyyy-mm-dd")</f>
        <v>2025-05-26</v>
      </c>
      <c r="P1453" s="51">
        <f>ABS(tblWorkPackages[[#This Row],[Actual labor hours]]-tblWorkPackages[[#This Row],[Estimated labor hours]])</f>
        <v>7.7</v>
      </c>
      <c r="Q1453" s="51">
        <f>IF(tblWorkPackages[[#This Row],[Actual labor hours]]&gt;tblWorkPackages[[#This Row],[Estimated labor hours]],1,0)</f>
        <v>1</v>
      </c>
      <c r="R1453" s="51">
        <f>tblWorkPackages[[#This Row],[Actual labor hours]]-tblWorkPackages[[#This Row],[Estimated labor hours]]</f>
        <v>7.7</v>
      </c>
      <c r="S1453" s="51" t="str">
        <f>IF(tblWorkPackages[[#This Row],[Request date serial]]&lt;ValidationStart,"Train 2024",IF(tblWorkPackages[[#This Row],[Request date serial]]&lt;HoldoutStart,"Validation H1","Holdout H2"))</f>
        <v>Validation H1</v>
      </c>
      <c r="T1453" s="51">
        <f>IF(tblWorkPackages[[#This Row],[Time split]]="Train 2024","",tblWorkPackages[[#This Row],[Estimated labor hours]]+VLOOKUP(tblWorkPackages[[#This Row],[Task type]],'Forecast validation'!$A$14:$E$25,IF(tblWorkPackages[[#This Row],[Time split]]="Validation H1",4,5),FALSE()))</f>
        <v>12.1547368421053</v>
      </c>
      <c r="U1453" s="51">
        <f>IF(tblWorkPackages[[#This Row],[Calibrated forecast hours]]="","",ABS(tblWorkPackages[[#This Row],[Actual labor hours]]-tblWorkPackages[[#This Row],[Calibrated forecast hours]]))</f>
        <v>6.94526315789474</v>
      </c>
      <c r="V1453" s="51">
        <f>IF(tblWorkPackages[[#This Row],[Time split]]="Train 2024",tblWorkPackages[[#This Row],[Estimated labor hours]],tblWorkPackages[[#This Row],[Calibrated forecast hours]])</f>
        <v>12.1547368421053</v>
      </c>
      <c r="W1453" s="64">
        <f>DATEVALUE(tblWorkPackages[[#This Row],[Request date]])</f>
        <v>45807.0</v>
      </c>
      <c r="X1453" s="64">
        <f>DATEVALUE(tblWorkPackages[[#This Row],[Due date]])</f>
        <v>45813.0</v>
      </c>
      <c r="Y1453" s="64">
        <f>DATEVALUE(tblWorkPackages[[#This Row],[Completion date]])</f>
        <v>45818.0</v>
      </c>
      <c r="Z1453" s="64">
        <f>_xlfn.MINIFS(tblLaborEntries[Work date serial],tblLaborEntries[Work package ID],tblWorkPackages[[#This Row],[Work package ID]])</f>
        <v>45814.0</v>
      </c>
      <c r="AA1453" s="64">
        <f>_xlfn.MAXIFS(tblLaborEntries[Work date serial],tblLaborEntries[Work package ID],tblWorkPackages[[#This Row],[Work package ID]])</f>
        <v>45815.0</v>
      </c>
      <c r="AB1453" s="65">
        <f>IF(tblWorkPackages[[#This Row],[Completion date serial]]&gt;tblWorkPackages[[#This Row],[Due date serial]],1,0)</f>
        <v>1</v>
      </c>
      <c r="AC1453" s="65">
        <f>MAX(0,tblWorkPackages[[#This Row],[Completion date serial]]-tblWorkPackages[[#This Row],[Due date serial]])</f>
        <v>5</v>
      </c>
      <c r="AD1453" s="65">
        <f>tblWorkPackages[[#This Row],[First labor date]]-tblWorkPackages[[#This Row],[Request date serial]]</f>
        <v>7</v>
      </c>
      <c r="AE1453" s="65">
        <f>tblWorkPackages[[#This Row],[Last labor date]]-tblWorkPackages[[#This Row],[First labor date]]</f>
        <v>1</v>
      </c>
      <c r="AF1453" s="65">
        <f>tblWorkPackages[[#This Row],[Completion date serial]]-tblWorkPackages[[#This Row],[Last labor date]]</f>
        <v>3</v>
      </c>
      <c r="AG1453" s="65">
        <f>tblWorkPackages[[#This Row],[Completion date serial]]-tblWorkPackages[[#This Row],[Request date serial]]</f>
        <v>11</v>
      </c>
      <c r="AH1453" s="65">
        <f>IFERROR(INDEX(tblParts[Delay days],MATCH(tblWorkPackages[[#This Row],[Work package ID]],tblParts[Work package ID],0)),0)</f>
        <v>3</v>
      </c>
      <c r="AI1453" s="51" t="str">
        <f>IFERROR(INDEX(tblDisruptions[Event type],MATCH(tblWorkPackages[[#This Row],[Work package ID]],tblDisruptions[Work package ID],0)),"None")</f>
        <v>Part delay</v>
      </c>
      <c r="AJ1453" s="51" t="str">
        <f>TEXT(tblWorkPackages[[#This Row],[Due date serial]],"yyyy-mm")</f>
        <v>2025-06</v>
      </c>
    </row>
    <row r="1454" spans="1:36" ht="15" x14ac:dyDescent="0.25">
      <c r="A1454" s="53" t="s">
        <v>2362</v>
      </c>
      <c r="B1454" s="53" t="s">
        <v>150</v>
      </c>
      <c r="C1454" s="53" t="s">
        <v>1262</v>
      </c>
      <c r="D1454" s="53" t="s">
        <v>1263</v>
      </c>
      <c r="E1454" s="53" t="s">
        <v>237</v>
      </c>
      <c r="F1454" s="53" t="s">
        <v>182</v>
      </c>
      <c r="G1454" s="53" t="s">
        <v>138</v>
      </c>
      <c r="H1454" s="53">
        <v>3</v>
      </c>
      <c r="I1454" s="53" t="s">
        <v>130</v>
      </c>
      <c r="J1454" s="53">
        <v>0</v>
      </c>
      <c r="K1454" s="53">
        <v>0</v>
      </c>
      <c r="L1454" s="53">
        <v>8</v>
      </c>
      <c r="M1454" s="53" t="s">
        <v>748</v>
      </c>
      <c r="N1454" s="53">
        <v>9.6</v>
      </c>
      <c r="O1454" s="51" t="str">
        <f>TEXT(tblWorkPackages[[#This Row],[Request date serial]]-WEEKDAY(tblWorkPackages[[#This Row],[Request date serial]],3),"yyyy-mm-dd")</f>
        <v>2024-02-12</v>
      </c>
      <c r="P1454" s="51">
        <f>ABS(tblWorkPackages[[#This Row],[Actual labor hours]]-tblWorkPackages[[#This Row],[Estimated labor hours]])</f>
        <v>1.6</v>
      </c>
      <c r="Q1454" s="51">
        <f>IF(tblWorkPackages[[#This Row],[Actual labor hours]]&gt;tblWorkPackages[[#This Row],[Estimated labor hours]],1,0)</f>
        <v>1</v>
      </c>
      <c r="R1454" s="51">
        <f>tblWorkPackages[[#This Row],[Actual labor hours]]-tblWorkPackages[[#This Row],[Estimated labor hours]]</f>
        <v>1.6</v>
      </c>
      <c r="S1454" s="51" t="str">
        <f>IF(tblWorkPackages[[#This Row],[Request date serial]]&lt;ValidationStart,"Train 2024",IF(tblWorkPackages[[#This Row],[Request date serial]]&lt;HoldoutStart,"Validation H1","Holdout H2"))</f>
        <v>Train 2024</v>
      </c>
      <c r="T1454" s="51" t="str">
        <f>IF(tblWorkPackages[[#This Row],[Time split]]="Train 2024","",tblWorkPackages[[#This Row],[Estimated labor hours]]+VLOOKUP(tblWorkPackages[[#This Row],[Task type]],'Forecast validation'!$A$14:$E$25,IF(tblWorkPackages[[#This Row],[Time split]]="Validation H1",4,5),FALSE()))</f>
        <v/>
      </c>
      <c r="U1454" s="51" t="str">
        <f>IF(tblWorkPackages[[#This Row],[Calibrated forecast hours]]="","",ABS(tblWorkPackages[[#This Row],[Actual labor hours]]-tblWorkPackages[[#This Row],[Calibrated forecast hours]]))</f>
        <v/>
      </c>
      <c r="V1454" s="51">
        <f>IF(tblWorkPackages[[#This Row],[Time split]]="Train 2024",tblWorkPackages[[#This Row],[Estimated labor hours]],tblWorkPackages[[#This Row],[Calibrated forecast hours]])</f>
        <v>8</v>
      </c>
      <c r="W1454" s="64">
        <f>DATEVALUE(tblWorkPackages[[#This Row],[Request date]])</f>
        <v>45337.0</v>
      </c>
      <c r="X1454" s="64">
        <f>DATEVALUE(tblWorkPackages[[#This Row],[Due date]])</f>
        <v>45350.0</v>
      </c>
      <c r="Y1454" s="64">
        <f>DATEVALUE(tblWorkPackages[[#This Row],[Completion date]])</f>
        <v>45339.0</v>
      </c>
      <c r="Z1454" s="64">
        <f>_xlfn.MINIFS(tblLaborEntries[Work date serial],tblLaborEntries[Work package ID],tblWorkPackages[[#This Row],[Work package ID]])</f>
        <v>45338.0</v>
      </c>
      <c r="AA1454" s="64">
        <f>_xlfn.MAXIFS(tblLaborEntries[Work date serial],tblLaborEntries[Work package ID],tblWorkPackages[[#This Row],[Work package ID]])</f>
        <v>45339.0</v>
      </c>
      <c r="AB1454" s="65">
        <f>IF(tblWorkPackages[[#This Row],[Completion date serial]]&gt;tblWorkPackages[[#This Row],[Due date serial]],1,0)</f>
        <v>0</v>
      </c>
      <c r="AC1454" s="65">
        <f>MAX(0,tblWorkPackages[[#This Row],[Completion date serial]]-tblWorkPackages[[#This Row],[Due date serial]])</f>
        <v>0</v>
      </c>
      <c r="AD1454" s="65">
        <f>tblWorkPackages[[#This Row],[First labor date]]-tblWorkPackages[[#This Row],[Request date serial]]</f>
        <v>1</v>
      </c>
      <c r="AE1454" s="65">
        <f>tblWorkPackages[[#This Row],[Last labor date]]-tblWorkPackages[[#This Row],[First labor date]]</f>
        <v>1</v>
      </c>
      <c r="AF1454" s="65">
        <f>tblWorkPackages[[#This Row],[Completion date serial]]-tblWorkPackages[[#This Row],[Last labor date]]</f>
        <v>0</v>
      </c>
      <c r="AG1454" s="65">
        <f>tblWorkPackages[[#This Row],[Completion date serial]]-tblWorkPackages[[#This Row],[Request date serial]]</f>
        <v>2</v>
      </c>
      <c r="AH1454" s="65">
        <f>IFERROR(INDEX(tblParts[Delay days],MATCH(tblWorkPackages[[#This Row],[Work package ID]],tblParts[Work package ID],0)),0)</f>
        <v>0</v>
      </c>
      <c r="AI1454" s="51" t="str">
        <f>IFERROR(INDEX(tblDisruptions[Event type],MATCH(tblWorkPackages[[#This Row],[Work package ID]],tblDisruptions[Work package ID],0)),"None")</f>
        <v>None</v>
      </c>
      <c r="AJ1454" s="51" t="str">
        <f>TEXT(tblWorkPackages[[#This Row],[Due date serial]],"yyyy-mm")</f>
        <v>2024-02</v>
      </c>
    </row>
    <row r="1455" spans="1:36" ht="15" x14ac:dyDescent="0.25">
      <c r="A1455" s="53" t="s">
        <v>2363</v>
      </c>
      <c r="B1455" s="53" t="s">
        <v>287</v>
      </c>
      <c r="C1455" s="53" t="s">
        <v>1324</v>
      </c>
      <c r="D1455" s="53" t="s">
        <v>360</v>
      </c>
      <c r="E1455" s="53" t="s">
        <v>181</v>
      </c>
      <c r="F1455" s="53" t="s">
        <v>182</v>
      </c>
      <c r="G1455" s="53" t="s">
        <v>138</v>
      </c>
      <c r="H1455" s="53">
        <v>4</v>
      </c>
      <c r="I1455" s="53" t="s">
        <v>130</v>
      </c>
      <c r="J1455" s="53">
        <v>0</v>
      </c>
      <c r="K1455" s="53">
        <v>0</v>
      </c>
      <c r="L1455" s="53">
        <v>14.3</v>
      </c>
      <c r="M1455" s="53" t="s">
        <v>450</v>
      </c>
      <c r="N1455" s="53">
        <v>14.2</v>
      </c>
      <c r="O1455" s="51" t="str">
        <f>TEXT(tblWorkPackages[[#This Row],[Request date serial]]-WEEKDAY(tblWorkPackages[[#This Row],[Request date serial]],3),"yyyy-mm-dd")</f>
        <v>2024-07-01</v>
      </c>
      <c r="P1455" s="51">
        <f>ABS(tblWorkPackages[[#This Row],[Actual labor hours]]-tblWorkPackages[[#This Row],[Estimated labor hours]])</f>
        <v>0.100000000000001</v>
      </c>
      <c r="Q1455" s="51">
        <f>IF(tblWorkPackages[[#This Row],[Actual labor hours]]&gt;tblWorkPackages[[#This Row],[Estimated labor hours]],1,0)</f>
        <v>0</v>
      </c>
      <c r="R1455" s="51">
        <f>tblWorkPackages[[#This Row],[Actual labor hours]]-tblWorkPackages[[#This Row],[Estimated labor hours]]</f>
        <v>-0.100000000000001</v>
      </c>
      <c r="S1455" s="51" t="str">
        <f>IF(tblWorkPackages[[#This Row],[Request date serial]]&lt;ValidationStart,"Train 2024",IF(tblWorkPackages[[#This Row],[Request date serial]]&lt;HoldoutStart,"Validation H1","Holdout H2"))</f>
        <v>Train 2024</v>
      </c>
      <c r="T1455" s="51" t="str">
        <f>IF(tblWorkPackages[[#This Row],[Time split]]="Train 2024","",tblWorkPackages[[#This Row],[Estimated labor hours]]+VLOOKUP(tblWorkPackages[[#This Row],[Task type]],'Forecast validation'!$A$14:$E$25,IF(tblWorkPackages[[#This Row],[Time split]]="Validation H1",4,5),FALSE()))</f>
        <v/>
      </c>
      <c r="U1455" s="51" t="str">
        <f>IF(tblWorkPackages[[#This Row],[Calibrated forecast hours]]="","",ABS(tblWorkPackages[[#This Row],[Actual labor hours]]-tblWorkPackages[[#This Row],[Calibrated forecast hours]]))</f>
        <v/>
      </c>
      <c r="V1455" s="51">
        <f>IF(tblWorkPackages[[#This Row],[Time split]]="Train 2024",tblWorkPackages[[#This Row],[Estimated labor hours]],tblWorkPackages[[#This Row],[Calibrated forecast hours]])</f>
        <v>14.3</v>
      </c>
      <c r="W1455" s="64">
        <f>DATEVALUE(tblWorkPackages[[#This Row],[Request date]])</f>
        <v>45476.0</v>
      </c>
      <c r="X1455" s="64">
        <f>DATEVALUE(tblWorkPackages[[#This Row],[Due date]])</f>
        <v>45489.0</v>
      </c>
      <c r="Y1455" s="64">
        <f>DATEVALUE(tblWorkPackages[[#This Row],[Completion date]])</f>
        <v>45487.0</v>
      </c>
      <c r="Z1455" s="64">
        <f>_xlfn.MINIFS(tblLaborEntries[Work date serial],tblLaborEntries[Work package ID],tblWorkPackages[[#This Row],[Work package ID]])</f>
        <v>45485.0</v>
      </c>
      <c r="AA1455" s="64">
        <f>_xlfn.MAXIFS(tblLaborEntries[Work date serial],tblLaborEntries[Work package ID],tblWorkPackages[[#This Row],[Work package ID]])</f>
        <v>45486.0</v>
      </c>
      <c r="AB1455" s="65">
        <f>IF(tblWorkPackages[[#This Row],[Completion date serial]]&gt;tblWorkPackages[[#This Row],[Due date serial]],1,0)</f>
        <v>0</v>
      </c>
      <c r="AC1455" s="65">
        <f>MAX(0,tblWorkPackages[[#This Row],[Completion date serial]]-tblWorkPackages[[#This Row],[Due date serial]])</f>
        <v>0</v>
      </c>
      <c r="AD1455" s="65">
        <f>tblWorkPackages[[#This Row],[First labor date]]-tblWorkPackages[[#This Row],[Request date serial]]</f>
        <v>9</v>
      </c>
      <c r="AE1455" s="65">
        <f>tblWorkPackages[[#This Row],[Last labor date]]-tblWorkPackages[[#This Row],[First labor date]]</f>
        <v>1</v>
      </c>
      <c r="AF1455" s="65">
        <f>tblWorkPackages[[#This Row],[Completion date serial]]-tblWorkPackages[[#This Row],[Last labor date]]</f>
        <v>1</v>
      </c>
      <c r="AG1455" s="65">
        <f>tblWorkPackages[[#This Row],[Completion date serial]]-tblWorkPackages[[#This Row],[Request date serial]]</f>
        <v>11</v>
      </c>
      <c r="AH1455" s="65">
        <f>IFERROR(INDEX(tblParts[Delay days],MATCH(tblWorkPackages[[#This Row],[Work package ID]],tblParts[Work package ID],0)),0)</f>
        <v>0</v>
      </c>
      <c r="AI1455" s="51" t="str">
        <f>IFERROR(INDEX(tblDisruptions[Event type],MATCH(tblWorkPackages[[#This Row],[Work package ID]],tblDisruptions[Work package ID],0)),"None")</f>
        <v>None</v>
      </c>
      <c r="AJ1455" s="51" t="str">
        <f>TEXT(tblWorkPackages[[#This Row],[Due date serial]],"yyyy-mm")</f>
        <v>2024-07</v>
      </c>
    </row>
    <row r="1456" spans="1:36" ht="15" x14ac:dyDescent="0.25">
      <c r="A1456" s="53" t="s">
        <v>2364</v>
      </c>
      <c r="B1456" s="53" t="s">
        <v>235</v>
      </c>
      <c r="C1456" s="53" t="s">
        <v>1457</v>
      </c>
      <c r="D1456" s="53" t="s">
        <v>215</v>
      </c>
      <c r="E1456" s="53" t="s">
        <v>136</v>
      </c>
      <c r="F1456" s="53" t="s">
        <v>137</v>
      </c>
      <c r="G1456" s="53" t="s">
        <v>138</v>
      </c>
      <c r="H1456" s="53">
        <v>4</v>
      </c>
      <c r="I1456" s="53" t="s">
        <v>147</v>
      </c>
      <c r="J1456" s="53">
        <v>0</v>
      </c>
      <c r="K1456" s="53">
        <v>0</v>
      </c>
      <c r="L1456" s="53">
        <v>27.6</v>
      </c>
      <c r="M1456" s="53" t="s">
        <v>748</v>
      </c>
      <c r="N1456" s="53">
        <v>30.2</v>
      </c>
      <c r="O1456" s="51" t="str">
        <f>TEXT(tblWorkPackages[[#This Row],[Request date serial]]-WEEKDAY(tblWorkPackages[[#This Row],[Request date serial]],3),"yyyy-mm-dd")</f>
        <v>2024-02-12</v>
      </c>
      <c r="P1456" s="51">
        <f>ABS(tblWorkPackages[[#This Row],[Actual labor hours]]-tblWorkPackages[[#This Row],[Estimated labor hours]])</f>
        <v>2.6</v>
      </c>
      <c r="Q1456" s="51">
        <f>IF(tblWorkPackages[[#This Row],[Actual labor hours]]&gt;tblWorkPackages[[#This Row],[Estimated labor hours]],1,0)</f>
        <v>1</v>
      </c>
      <c r="R1456" s="51">
        <f>tblWorkPackages[[#This Row],[Actual labor hours]]-tblWorkPackages[[#This Row],[Estimated labor hours]]</f>
        <v>2.6</v>
      </c>
      <c r="S1456" s="51" t="str">
        <f>IF(tblWorkPackages[[#This Row],[Request date serial]]&lt;ValidationStart,"Train 2024",IF(tblWorkPackages[[#This Row],[Request date serial]]&lt;HoldoutStart,"Validation H1","Holdout H2"))</f>
        <v>Train 2024</v>
      </c>
      <c r="T1456" s="51" t="str">
        <f>IF(tblWorkPackages[[#This Row],[Time split]]="Train 2024","",tblWorkPackages[[#This Row],[Estimated labor hours]]+VLOOKUP(tblWorkPackages[[#This Row],[Task type]],'Forecast validation'!$A$14:$E$25,IF(tblWorkPackages[[#This Row],[Time split]]="Validation H1",4,5),FALSE()))</f>
        <v/>
      </c>
      <c r="U1456" s="51" t="str">
        <f>IF(tblWorkPackages[[#This Row],[Calibrated forecast hours]]="","",ABS(tblWorkPackages[[#This Row],[Actual labor hours]]-tblWorkPackages[[#This Row],[Calibrated forecast hours]]))</f>
        <v/>
      </c>
      <c r="V1456" s="51">
        <f>IF(tblWorkPackages[[#This Row],[Time split]]="Train 2024",tblWorkPackages[[#This Row],[Estimated labor hours]],tblWorkPackages[[#This Row],[Calibrated forecast hours]])</f>
        <v>27.6</v>
      </c>
      <c r="W1456" s="64">
        <f>DATEVALUE(tblWorkPackages[[#This Row],[Request date]])</f>
        <v>45334.0</v>
      </c>
      <c r="X1456" s="64">
        <f>DATEVALUE(tblWorkPackages[[#This Row],[Due date]])</f>
        <v>45336.0</v>
      </c>
      <c r="Y1456" s="64">
        <f>DATEVALUE(tblWorkPackages[[#This Row],[Completion date]])</f>
        <v>45339.0</v>
      </c>
      <c r="Z1456" s="64">
        <f>_xlfn.MINIFS(tblLaborEntries[Work date serial],tblLaborEntries[Work package ID],tblWorkPackages[[#This Row],[Work package ID]])</f>
        <v>45336.0</v>
      </c>
      <c r="AA1456" s="64">
        <f>_xlfn.MAXIFS(tblLaborEntries[Work date serial],tblLaborEntries[Work package ID],tblWorkPackages[[#This Row],[Work package ID]])</f>
        <v>45337.0</v>
      </c>
      <c r="AB1456" s="65">
        <f>IF(tblWorkPackages[[#This Row],[Completion date serial]]&gt;tblWorkPackages[[#This Row],[Due date serial]],1,0)</f>
        <v>1</v>
      </c>
      <c r="AC1456" s="65">
        <f>MAX(0,tblWorkPackages[[#This Row],[Completion date serial]]-tblWorkPackages[[#This Row],[Due date serial]])</f>
        <v>3</v>
      </c>
      <c r="AD1456" s="65">
        <f>tblWorkPackages[[#This Row],[First labor date]]-tblWorkPackages[[#This Row],[Request date serial]]</f>
        <v>2</v>
      </c>
      <c r="AE1456" s="65">
        <f>tblWorkPackages[[#This Row],[Last labor date]]-tblWorkPackages[[#This Row],[First labor date]]</f>
        <v>1</v>
      </c>
      <c r="AF1456" s="65">
        <f>tblWorkPackages[[#This Row],[Completion date serial]]-tblWorkPackages[[#This Row],[Last labor date]]</f>
        <v>2</v>
      </c>
      <c r="AG1456" s="65">
        <f>tblWorkPackages[[#This Row],[Completion date serial]]-tblWorkPackages[[#This Row],[Request date serial]]</f>
        <v>5</v>
      </c>
      <c r="AH1456" s="65">
        <f>IFERROR(INDEX(tblParts[Delay days],MATCH(tblWorkPackages[[#This Row],[Work package ID]],tblParts[Work package ID],0)),0)</f>
        <v>0</v>
      </c>
      <c r="AI1456" s="51" t="str">
        <f>IFERROR(INDEX(tblDisruptions[Event type],MATCH(tblWorkPackages[[#This Row],[Work package ID]],tblDisruptions[Work package ID],0)),"None")</f>
        <v>None</v>
      </c>
      <c r="AJ1456" s="51" t="str">
        <f>TEXT(tblWorkPackages[[#This Row],[Due date serial]],"yyyy-mm")</f>
        <v>2024-02</v>
      </c>
    </row>
    <row r="1457" spans="1:36" ht="15" x14ac:dyDescent="0.25">
      <c r="A1457" s="53" t="s">
        <v>2365</v>
      </c>
      <c r="B1457" s="53" t="s">
        <v>157</v>
      </c>
      <c r="C1457" s="53" t="s">
        <v>710</v>
      </c>
      <c r="D1457" s="53" t="s">
        <v>603</v>
      </c>
      <c r="E1457" s="53" t="s">
        <v>223</v>
      </c>
      <c r="F1457" s="53" t="s">
        <v>182</v>
      </c>
      <c r="G1457" s="53" t="s">
        <v>154</v>
      </c>
      <c r="H1457" s="53">
        <v>1</v>
      </c>
      <c r="I1457" s="53" t="s">
        <v>130</v>
      </c>
      <c r="J1457" s="53">
        <v>1</v>
      </c>
      <c r="K1457" s="53">
        <v>1</v>
      </c>
      <c r="L1457" s="53">
        <v>8</v>
      </c>
      <c r="M1457" s="53" t="s">
        <v>746</v>
      </c>
      <c r="N1457" s="53">
        <v>14.9</v>
      </c>
      <c r="O1457" s="51" t="str">
        <f>TEXT(tblWorkPackages[[#This Row],[Request date serial]]-WEEKDAY(tblWorkPackages[[#This Row],[Request date serial]],3),"yyyy-mm-dd")</f>
        <v>2025-06-09</v>
      </c>
      <c r="P1457" s="51">
        <f>ABS(tblWorkPackages[[#This Row],[Actual labor hours]]-tblWorkPackages[[#This Row],[Estimated labor hours]])</f>
        <v>6.9</v>
      </c>
      <c r="Q1457" s="51">
        <f>IF(tblWorkPackages[[#This Row],[Actual labor hours]]&gt;tblWorkPackages[[#This Row],[Estimated labor hours]],1,0)</f>
        <v>1</v>
      </c>
      <c r="R1457" s="51">
        <f>tblWorkPackages[[#This Row],[Actual labor hours]]-tblWorkPackages[[#This Row],[Estimated labor hours]]</f>
        <v>6.9</v>
      </c>
      <c r="S1457" s="51" t="str">
        <f>IF(tblWorkPackages[[#This Row],[Request date serial]]&lt;ValidationStart,"Train 2024",IF(tblWorkPackages[[#This Row],[Request date serial]]&lt;HoldoutStart,"Validation H1","Holdout H2"))</f>
        <v>Validation H1</v>
      </c>
      <c r="T1457" s="51">
        <f>IF(tblWorkPackages[[#This Row],[Time split]]="Train 2024","",tblWorkPackages[[#This Row],[Estimated labor hours]]+VLOOKUP(tblWorkPackages[[#This Row],[Task type]],'Forecast validation'!$A$14:$E$25,IF(tblWorkPackages[[#This Row],[Time split]]="Validation H1",4,5),FALSE()))</f>
        <v>8.88241758241758</v>
      </c>
      <c r="U1457" s="51">
        <f>IF(tblWorkPackages[[#This Row],[Calibrated forecast hours]]="","",ABS(tblWorkPackages[[#This Row],[Actual labor hours]]-tblWorkPackages[[#This Row],[Calibrated forecast hours]]))</f>
        <v>6.01758241758242</v>
      </c>
      <c r="V1457" s="51">
        <f>IF(tblWorkPackages[[#This Row],[Time split]]="Train 2024",tblWorkPackages[[#This Row],[Estimated labor hours]],tblWorkPackages[[#This Row],[Calibrated forecast hours]])</f>
        <v>8.88241758241758</v>
      </c>
      <c r="W1457" s="64">
        <f>DATEVALUE(tblWorkPackages[[#This Row],[Request date]])</f>
        <v>45821.0</v>
      </c>
      <c r="X1457" s="64">
        <f>DATEVALUE(tblWorkPackages[[#This Row],[Due date]])</f>
        <v>45834.0</v>
      </c>
      <c r="Y1457" s="64">
        <f>DATEVALUE(tblWorkPackages[[#This Row],[Completion date]])</f>
        <v>45860.0</v>
      </c>
      <c r="Z1457" s="64">
        <f>_xlfn.MINIFS(tblLaborEntries[Work date serial],tblLaborEntries[Work package ID],tblWorkPackages[[#This Row],[Work package ID]])</f>
        <v>45856.0</v>
      </c>
      <c r="AA1457" s="64">
        <f>_xlfn.MAXIFS(tblLaborEntries[Work date serial],tblLaborEntries[Work package ID],tblWorkPackages[[#This Row],[Work package ID]])</f>
        <v>45857.0</v>
      </c>
      <c r="AB1457" s="65">
        <f>IF(tblWorkPackages[[#This Row],[Completion date serial]]&gt;tblWorkPackages[[#This Row],[Due date serial]],1,0)</f>
        <v>1</v>
      </c>
      <c r="AC1457" s="65">
        <f>MAX(0,tblWorkPackages[[#This Row],[Completion date serial]]-tblWorkPackages[[#This Row],[Due date serial]])</f>
        <v>26</v>
      </c>
      <c r="AD1457" s="65">
        <f>tblWorkPackages[[#This Row],[First labor date]]-tblWorkPackages[[#This Row],[Request date serial]]</f>
        <v>35</v>
      </c>
      <c r="AE1457" s="65">
        <f>tblWorkPackages[[#This Row],[Last labor date]]-tblWorkPackages[[#This Row],[First labor date]]</f>
        <v>1</v>
      </c>
      <c r="AF1457" s="65">
        <f>tblWorkPackages[[#This Row],[Completion date serial]]-tblWorkPackages[[#This Row],[Last labor date]]</f>
        <v>3</v>
      </c>
      <c r="AG1457" s="65">
        <f>tblWorkPackages[[#This Row],[Completion date serial]]-tblWorkPackages[[#This Row],[Request date serial]]</f>
        <v>39</v>
      </c>
      <c r="AH1457" s="65">
        <f>IFERROR(INDEX(tblParts[Delay days],MATCH(tblWorkPackages[[#This Row],[Work package ID]],tblParts[Work package ID],0)),0)</f>
        <v>11</v>
      </c>
      <c r="AI1457" s="51" t="str">
        <f>IFERROR(INDEX(tblDisruptions[Event type],MATCH(tblWorkPackages[[#This Row],[Work package ID]],tblDisruptions[Work package ID],0)),"None")</f>
        <v>Part delay</v>
      </c>
      <c r="AJ1457" s="51" t="str">
        <f>TEXT(tblWorkPackages[[#This Row],[Due date serial]],"yyyy-mm")</f>
        <v>2025-06</v>
      </c>
    </row>
    <row r="1458" spans="1:36" ht="15" x14ac:dyDescent="0.25">
      <c r="A1458" s="53" t="s">
        <v>2366</v>
      </c>
      <c r="B1458" s="53" t="s">
        <v>230</v>
      </c>
      <c r="C1458" s="53" t="s">
        <v>993</v>
      </c>
      <c r="D1458" s="53" t="s">
        <v>447</v>
      </c>
      <c r="E1458" s="53" t="s">
        <v>200</v>
      </c>
      <c r="F1458" s="53" t="s">
        <v>128</v>
      </c>
      <c r="G1458" s="53" t="s">
        <v>129</v>
      </c>
      <c r="H1458" s="53">
        <v>2</v>
      </c>
      <c r="I1458" s="53" t="s">
        <v>147</v>
      </c>
      <c r="J1458" s="53">
        <v>0</v>
      </c>
      <c r="K1458" s="53">
        <v>1</v>
      </c>
      <c r="L1458" s="53">
        <v>3.5</v>
      </c>
      <c r="M1458" s="53" t="s">
        <v>1192</v>
      </c>
      <c r="N1458" s="53">
        <v>4.2</v>
      </c>
      <c r="O1458" s="51" t="str">
        <f>TEXT(tblWorkPackages[[#This Row],[Request date serial]]-WEEKDAY(tblWorkPackages[[#This Row],[Request date serial]],3),"yyyy-mm-dd")</f>
        <v>2025-03-24</v>
      </c>
      <c r="P1458" s="51">
        <f>ABS(tblWorkPackages[[#This Row],[Actual labor hours]]-tblWorkPackages[[#This Row],[Estimated labor hours]])</f>
        <v>0.7</v>
      </c>
      <c r="Q1458" s="51">
        <f>IF(tblWorkPackages[[#This Row],[Actual labor hours]]&gt;tblWorkPackages[[#This Row],[Estimated labor hours]],1,0)</f>
        <v>1</v>
      </c>
      <c r="R1458" s="51">
        <f>tblWorkPackages[[#This Row],[Actual labor hours]]-tblWorkPackages[[#This Row],[Estimated labor hours]]</f>
        <v>0.7</v>
      </c>
      <c r="S1458" s="51" t="str">
        <f>IF(tblWorkPackages[[#This Row],[Request date serial]]&lt;ValidationStart,"Train 2024",IF(tblWorkPackages[[#This Row],[Request date serial]]&lt;HoldoutStart,"Validation H1","Holdout H2"))</f>
        <v>Validation H1</v>
      </c>
      <c r="T1458" s="51">
        <f>IF(tblWorkPackages[[#This Row],[Time split]]="Train 2024","",tblWorkPackages[[#This Row],[Estimated labor hours]]+VLOOKUP(tblWorkPackages[[#This Row],[Task type]],'Forecast validation'!$A$14:$E$25,IF(tblWorkPackages[[#This Row],[Time split]]="Validation H1",4,5),FALSE()))</f>
        <v>3.83069306930693</v>
      </c>
      <c r="U1458" s="51">
        <f>IF(tblWorkPackages[[#This Row],[Calibrated forecast hours]]="","",ABS(tblWorkPackages[[#This Row],[Actual labor hours]]-tblWorkPackages[[#This Row],[Calibrated forecast hours]]))</f>
        <v>0.36930693069307</v>
      </c>
      <c r="V1458" s="51">
        <f>IF(tblWorkPackages[[#This Row],[Time split]]="Train 2024",tblWorkPackages[[#This Row],[Estimated labor hours]],tblWorkPackages[[#This Row],[Calibrated forecast hours]])</f>
        <v>3.83069306930693</v>
      </c>
      <c r="W1458" s="64">
        <f>DATEVALUE(tblWorkPackages[[#This Row],[Request date]])</f>
        <v>45742.0</v>
      </c>
      <c r="X1458" s="64">
        <f>DATEVALUE(tblWorkPackages[[#This Row],[Due date]])</f>
        <v>45744.0</v>
      </c>
      <c r="Y1458" s="64">
        <f>DATEVALUE(tblWorkPackages[[#This Row],[Completion date]])</f>
        <v>45747.0</v>
      </c>
      <c r="Z1458" s="64">
        <f>_xlfn.MINIFS(tblLaborEntries[Work date serial],tblLaborEntries[Work package ID],tblWorkPackages[[#This Row],[Work package ID]])</f>
        <v>45746.0</v>
      </c>
      <c r="AA1458" s="64">
        <f>_xlfn.MAXIFS(tblLaborEntries[Work date serial],tblLaborEntries[Work package ID],tblWorkPackages[[#This Row],[Work package ID]])</f>
        <v>45747.0</v>
      </c>
      <c r="AB1458" s="65">
        <f>IF(tblWorkPackages[[#This Row],[Completion date serial]]&gt;tblWorkPackages[[#This Row],[Due date serial]],1,0)</f>
        <v>1</v>
      </c>
      <c r="AC1458" s="65">
        <f>MAX(0,tblWorkPackages[[#This Row],[Completion date serial]]-tblWorkPackages[[#This Row],[Due date serial]])</f>
        <v>3</v>
      </c>
      <c r="AD1458" s="65">
        <f>tblWorkPackages[[#This Row],[First labor date]]-tblWorkPackages[[#This Row],[Request date serial]]</f>
        <v>4</v>
      </c>
      <c r="AE1458" s="65">
        <f>tblWorkPackages[[#This Row],[Last labor date]]-tblWorkPackages[[#This Row],[First labor date]]</f>
        <v>1</v>
      </c>
      <c r="AF1458" s="65">
        <f>tblWorkPackages[[#This Row],[Completion date serial]]-tblWorkPackages[[#This Row],[Last labor date]]</f>
        <v>0</v>
      </c>
      <c r="AG1458" s="65">
        <f>tblWorkPackages[[#This Row],[Completion date serial]]-tblWorkPackages[[#This Row],[Request date serial]]</f>
        <v>5</v>
      </c>
      <c r="AH1458" s="65">
        <f>IFERROR(INDEX(tblParts[Delay days],MATCH(tblWorkPackages[[#This Row],[Work package ID]],tblParts[Work package ID],0)),0)</f>
        <v>0</v>
      </c>
      <c r="AI1458" s="51" t="str">
        <f>IFERROR(INDEX(tblDisruptions[Event type],MATCH(tblWorkPackages[[#This Row],[Work package ID]],tblDisruptions[Work package ID],0)),"None")</f>
        <v>None</v>
      </c>
      <c r="AJ1458" s="51" t="str">
        <f>TEXT(tblWorkPackages[[#This Row],[Due date serial]],"yyyy-mm")</f>
        <v>2025-03</v>
      </c>
    </row>
    <row r="1459" spans="1:36" ht="15" x14ac:dyDescent="0.25">
      <c r="A1459" s="53" t="s">
        <v>2367</v>
      </c>
      <c r="B1459" s="53" t="s">
        <v>150</v>
      </c>
      <c r="C1459" s="53" t="s">
        <v>1330</v>
      </c>
      <c r="D1459" s="53" t="s">
        <v>285</v>
      </c>
      <c r="E1459" s="53" t="s">
        <v>209</v>
      </c>
      <c r="F1459" s="53" t="s">
        <v>145</v>
      </c>
      <c r="G1459" s="53" t="s">
        <v>210</v>
      </c>
      <c r="H1459" s="53">
        <v>4</v>
      </c>
      <c r="I1459" s="53" t="s">
        <v>176</v>
      </c>
      <c r="J1459" s="53">
        <v>0</v>
      </c>
      <c r="K1459" s="53">
        <v>1</v>
      </c>
      <c r="L1459" s="53">
        <v>36.4</v>
      </c>
      <c r="M1459" s="53" t="s">
        <v>528</v>
      </c>
      <c r="N1459" s="53">
        <v>43.7</v>
      </c>
      <c r="O1459" s="51" t="str">
        <f>TEXT(tblWorkPackages[[#This Row],[Request date serial]]-WEEKDAY(tblWorkPackages[[#This Row],[Request date serial]],3),"yyyy-mm-dd")</f>
        <v>2025-09-08</v>
      </c>
      <c r="P1459" s="51">
        <f>ABS(tblWorkPackages[[#This Row],[Actual labor hours]]-tblWorkPackages[[#This Row],[Estimated labor hours]])</f>
        <v>7.3</v>
      </c>
      <c r="Q1459" s="51">
        <f>IF(tblWorkPackages[[#This Row],[Actual labor hours]]&gt;tblWorkPackages[[#This Row],[Estimated labor hours]],1,0)</f>
        <v>1</v>
      </c>
      <c r="R1459" s="51">
        <f>tblWorkPackages[[#This Row],[Actual labor hours]]-tblWorkPackages[[#This Row],[Estimated labor hours]]</f>
        <v>7.3</v>
      </c>
      <c r="S1459" s="51" t="str">
        <f>IF(tblWorkPackages[[#This Row],[Request date serial]]&lt;ValidationStart,"Train 2024",IF(tblWorkPackages[[#This Row],[Request date serial]]&lt;HoldoutStart,"Validation H1","Holdout H2"))</f>
        <v>Holdout H2</v>
      </c>
      <c r="T1459" s="51">
        <f>IF(tblWorkPackages[[#This Row],[Time split]]="Train 2024","",tblWorkPackages[[#This Row],[Estimated labor hours]]+VLOOKUP(tblWorkPackages[[#This Row],[Task type]],'Forecast validation'!$A$14:$E$25,IF(tblWorkPackages[[#This Row],[Time split]]="Validation H1",4,5),FALSE()))</f>
        <v>38.195652173913</v>
      </c>
      <c r="U1459" s="51">
        <f>IF(tblWorkPackages[[#This Row],[Calibrated forecast hours]]="","",ABS(tblWorkPackages[[#This Row],[Actual labor hours]]-tblWorkPackages[[#This Row],[Calibrated forecast hours]]))</f>
        <v>5.50434782608696</v>
      </c>
      <c r="V1459" s="51">
        <f>IF(tblWorkPackages[[#This Row],[Time split]]="Train 2024",tblWorkPackages[[#This Row],[Estimated labor hours]],tblWorkPackages[[#This Row],[Calibrated forecast hours]])</f>
        <v>38.195652173913</v>
      </c>
      <c r="W1459" s="64">
        <f>DATEVALUE(tblWorkPackages[[#This Row],[Request date]])</f>
        <v>45909.0</v>
      </c>
      <c r="X1459" s="64">
        <f>DATEVALUE(tblWorkPackages[[#This Row],[Due date]])</f>
        <v>45915.0</v>
      </c>
      <c r="Y1459" s="64">
        <f>DATEVALUE(tblWorkPackages[[#This Row],[Completion date]])</f>
        <v>45912.0</v>
      </c>
      <c r="Z1459" s="64">
        <f>_xlfn.MINIFS(tblLaborEntries[Work date serial],tblLaborEntries[Work package ID],tblWorkPackages[[#This Row],[Work package ID]])</f>
        <v>45910.0</v>
      </c>
      <c r="AA1459" s="64">
        <f>_xlfn.MAXIFS(tblLaborEntries[Work date serial],tblLaborEntries[Work package ID],tblWorkPackages[[#This Row],[Work package ID]])</f>
        <v>45911.0</v>
      </c>
      <c r="AB1459" s="65">
        <f>IF(tblWorkPackages[[#This Row],[Completion date serial]]&gt;tblWorkPackages[[#This Row],[Due date serial]],1,0)</f>
        <v>0</v>
      </c>
      <c r="AC1459" s="65">
        <f>MAX(0,tblWorkPackages[[#This Row],[Completion date serial]]-tblWorkPackages[[#This Row],[Due date serial]])</f>
        <v>0</v>
      </c>
      <c r="AD1459" s="65">
        <f>tblWorkPackages[[#This Row],[First labor date]]-tblWorkPackages[[#This Row],[Request date serial]]</f>
        <v>1</v>
      </c>
      <c r="AE1459" s="65">
        <f>tblWorkPackages[[#This Row],[Last labor date]]-tblWorkPackages[[#This Row],[First labor date]]</f>
        <v>1</v>
      </c>
      <c r="AF1459" s="65">
        <f>tblWorkPackages[[#This Row],[Completion date serial]]-tblWorkPackages[[#This Row],[Last labor date]]</f>
        <v>1</v>
      </c>
      <c r="AG1459" s="65">
        <f>tblWorkPackages[[#This Row],[Completion date serial]]-tblWorkPackages[[#This Row],[Request date serial]]</f>
        <v>3</v>
      </c>
      <c r="AH1459" s="65">
        <f>IFERROR(INDEX(tblParts[Delay days],MATCH(tblWorkPackages[[#This Row],[Work package ID]],tblParts[Work package ID],0)),0)</f>
        <v>0</v>
      </c>
      <c r="AI1459" s="51" t="str">
        <f>IFERROR(INDEX(tblDisruptions[Event type],MATCH(tblWorkPackages[[#This Row],[Work package ID]],tblDisruptions[Work package ID],0)),"None")</f>
        <v>None</v>
      </c>
      <c r="AJ1459" s="51" t="str">
        <f>TEXT(tblWorkPackages[[#This Row],[Due date serial]],"yyyy-mm")</f>
        <v>2025-09</v>
      </c>
    </row>
    <row r="1460" spans="1:36" ht="15" x14ac:dyDescent="0.25">
      <c r="A1460" s="53" t="s">
        <v>2368</v>
      </c>
      <c r="B1460" s="53" t="s">
        <v>168</v>
      </c>
      <c r="C1460" s="53" t="s">
        <v>238</v>
      </c>
      <c r="D1460" s="53" t="s">
        <v>738</v>
      </c>
      <c r="E1460" s="53" t="s">
        <v>127</v>
      </c>
      <c r="F1460" s="53" t="s">
        <v>128</v>
      </c>
      <c r="G1460" s="53" t="s">
        <v>129</v>
      </c>
      <c r="H1460" s="53">
        <v>2</v>
      </c>
      <c r="I1460" s="53" t="s">
        <v>176</v>
      </c>
      <c r="J1460" s="53">
        <v>0</v>
      </c>
      <c r="K1460" s="53">
        <v>0</v>
      </c>
      <c r="L1460" s="53">
        <v>7.7</v>
      </c>
      <c r="M1460" s="53" t="s">
        <v>628</v>
      </c>
      <c r="N1460" s="53">
        <v>9.3000000000000007</v>
      </c>
      <c r="O1460" s="51" t="str">
        <f>TEXT(tblWorkPackages[[#This Row],[Request date serial]]-WEEKDAY(tblWorkPackages[[#This Row],[Request date serial]],3),"yyyy-mm-dd")</f>
        <v>2025-06-23</v>
      </c>
      <c r="P1460" s="51">
        <f>ABS(tblWorkPackages[[#This Row],[Actual labor hours]]-tblWorkPackages[[#This Row],[Estimated labor hours]])</f>
        <v>1.6</v>
      </c>
      <c r="Q1460" s="51">
        <f>IF(tblWorkPackages[[#This Row],[Actual labor hours]]&gt;tblWorkPackages[[#This Row],[Estimated labor hours]],1,0)</f>
        <v>1</v>
      </c>
      <c r="R1460" s="51">
        <f>tblWorkPackages[[#This Row],[Actual labor hours]]-tblWorkPackages[[#This Row],[Estimated labor hours]]</f>
        <v>1.6</v>
      </c>
      <c r="S1460" s="51" t="str">
        <f>IF(tblWorkPackages[[#This Row],[Request date serial]]&lt;ValidationStart,"Train 2024",IF(tblWorkPackages[[#This Row],[Request date serial]]&lt;HoldoutStart,"Validation H1","Holdout H2"))</f>
        <v>Validation H1</v>
      </c>
      <c r="T1460" s="51">
        <f>IF(tblWorkPackages[[#This Row],[Time split]]="Train 2024","",tblWorkPackages[[#This Row],[Estimated labor hours]]+VLOOKUP(tblWorkPackages[[#This Row],[Task type]],'Forecast validation'!$A$14:$E$25,IF(tblWorkPackages[[#This Row],[Time split]]="Validation H1",4,5),FALSE()))</f>
        <v>8.17564102564103</v>
      </c>
      <c r="U1460" s="51">
        <f>IF(tblWorkPackages[[#This Row],[Calibrated forecast hours]]="","",ABS(tblWorkPackages[[#This Row],[Actual labor hours]]-tblWorkPackages[[#This Row],[Calibrated forecast hours]]))</f>
        <v>1.12435897435897</v>
      </c>
      <c r="V1460" s="51">
        <f>IF(tblWorkPackages[[#This Row],[Time split]]="Train 2024",tblWorkPackages[[#This Row],[Estimated labor hours]],tblWorkPackages[[#This Row],[Calibrated forecast hours]])</f>
        <v>8.17564102564103</v>
      </c>
      <c r="W1460" s="64">
        <f>DATEVALUE(tblWorkPackages[[#This Row],[Request date]])</f>
        <v>45833.0</v>
      </c>
      <c r="X1460" s="64">
        <f>DATEVALUE(tblWorkPackages[[#This Row],[Due date]])</f>
        <v>45839.0</v>
      </c>
      <c r="Y1460" s="64">
        <f>DATEVALUE(tblWorkPackages[[#This Row],[Completion date]])</f>
        <v>45849.0</v>
      </c>
      <c r="Z1460" s="64">
        <f>_xlfn.MINIFS(tblLaborEntries[Work date serial],tblLaborEntries[Work package ID],tblWorkPackages[[#This Row],[Work package ID]])</f>
        <v>45845.0</v>
      </c>
      <c r="AA1460" s="64">
        <f>_xlfn.MAXIFS(tblLaborEntries[Work date serial],tblLaborEntries[Work package ID],tblWorkPackages[[#This Row],[Work package ID]])</f>
        <v>45847.0</v>
      </c>
      <c r="AB1460" s="65">
        <f>IF(tblWorkPackages[[#This Row],[Completion date serial]]&gt;tblWorkPackages[[#This Row],[Due date serial]],1,0)</f>
        <v>1</v>
      </c>
      <c r="AC1460" s="65">
        <f>MAX(0,tblWorkPackages[[#This Row],[Completion date serial]]-tblWorkPackages[[#This Row],[Due date serial]])</f>
        <v>10</v>
      </c>
      <c r="AD1460" s="65">
        <f>tblWorkPackages[[#This Row],[First labor date]]-tblWorkPackages[[#This Row],[Request date serial]]</f>
        <v>12</v>
      </c>
      <c r="AE1460" s="65">
        <f>tblWorkPackages[[#This Row],[Last labor date]]-tblWorkPackages[[#This Row],[First labor date]]</f>
        <v>2</v>
      </c>
      <c r="AF1460" s="65">
        <f>tblWorkPackages[[#This Row],[Completion date serial]]-tblWorkPackages[[#This Row],[Last labor date]]</f>
        <v>2</v>
      </c>
      <c r="AG1460" s="65">
        <f>tblWorkPackages[[#This Row],[Completion date serial]]-tblWorkPackages[[#This Row],[Request date serial]]</f>
        <v>16</v>
      </c>
      <c r="AH1460" s="65">
        <f>IFERROR(INDEX(tblParts[Delay days],MATCH(tblWorkPackages[[#This Row],[Work package ID]],tblParts[Work package ID],0)),0)</f>
        <v>0</v>
      </c>
      <c r="AI1460" s="51" t="str">
        <f>IFERROR(INDEX(tblDisruptions[Event type],MATCH(tblWorkPackages[[#This Row],[Work package ID]],tblDisruptions[Work package ID],0)),"None")</f>
        <v>None</v>
      </c>
      <c r="AJ1460" s="51" t="str">
        <f>TEXT(tblWorkPackages[[#This Row],[Due date serial]],"yyyy-mm")</f>
        <v>2025-07</v>
      </c>
    </row>
    <row r="1461" spans="1:36" ht="15" x14ac:dyDescent="0.25">
      <c r="A1461" s="53" t="s">
        <v>2369</v>
      </c>
      <c r="B1461" s="53" t="s">
        <v>250</v>
      </c>
      <c r="C1461" s="53" t="s">
        <v>326</v>
      </c>
      <c r="D1461" s="53" t="s">
        <v>1028</v>
      </c>
      <c r="E1461" s="53" t="s">
        <v>160</v>
      </c>
      <c r="F1461" s="53" t="s">
        <v>128</v>
      </c>
      <c r="G1461" s="53" t="s">
        <v>138</v>
      </c>
      <c r="H1461" s="53">
        <v>2</v>
      </c>
      <c r="I1461" s="53" t="s">
        <v>176</v>
      </c>
      <c r="J1461" s="53">
        <v>0</v>
      </c>
      <c r="K1461" s="53">
        <v>0</v>
      </c>
      <c r="L1461" s="53">
        <v>4</v>
      </c>
      <c r="M1461" s="53" t="s">
        <v>1028</v>
      </c>
      <c r="N1461" s="53">
        <v>3.6</v>
      </c>
      <c r="O1461" s="51" t="str">
        <f>TEXT(tblWorkPackages[[#This Row],[Request date serial]]-WEEKDAY(tblWorkPackages[[#This Row],[Request date serial]],3),"yyyy-mm-dd")</f>
        <v>2025-11-10</v>
      </c>
      <c r="P1461" s="51">
        <f>ABS(tblWorkPackages[[#This Row],[Actual labor hours]]-tblWorkPackages[[#This Row],[Estimated labor hours]])</f>
        <v>0.4</v>
      </c>
      <c r="Q1461" s="51">
        <f>IF(tblWorkPackages[[#This Row],[Actual labor hours]]&gt;tblWorkPackages[[#This Row],[Estimated labor hours]],1,0)</f>
        <v>0</v>
      </c>
      <c r="R1461" s="51">
        <f>tblWorkPackages[[#This Row],[Actual labor hours]]-tblWorkPackages[[#This Row],[Estimated labor hours]]</f>
        <v>-0.4</v>
      </c>
      <c r="S1461" s="51" t="str">
        <f>IF(tblWorkPackages[[#This Row],[Request date serial]]&lt;ValidationStart,"Train 2024",IF(tblWorkPackages[[#This Row],[Request date serial]]&lt;HoldoutStart,"Validation H1","Holdout H2"))</f>
        <v>Holdout H2</v>
      </c>
      <c r="T1461" s="51">
        <f>IF(tblWorkPackages[[#This Row],[Time split]]="Train 2024","",tblWorkPackages[[#This Row],[Estimated labor hours]]+VLOOKUP(tblWorkPackages[[#This Row],[Task type]],'Forecast validation'!$A$14:$E$25,IF(tblWorkPackages[[#This Row],[Time split]]="Validation H1",4,5),FALSE()))</f>
        <v>4.43739837398374</v>
      </c>
      <c r="U1461" s="51">
        <f>IF(tblWorkPackages[[#This Row],[Calibrated forecast hours]]="","",ABS(tblWorkPackages[[#This Row],[Actual labor hours]]-tblWorkPackages[[#This Row],[Calibrated forecast hours]]))</f>
        <v>0.83739837398374</v>
      </c>
      <c r="V1461" s="51">
        <f>IF(tblWorkPackages[[#This Row],[Time split]]="Train 2024",tblWorkPackages[[#This Row],[Estimated labor hours]],tblWorkPackages[[#This Row],[Calibrated forecast hours]])</f>
        <v>4.43739837398374</v>
      </c>
      <c r="W1461" s="64">
        <f>DATEVALUE(tblWorkPackages[[#This Row],[Request date]])</f>
        <v>45975.0</v>
      </c>
      <c r="X1461" s="64">
        <f>DATEVALUE(tblWorkPackages[[#This Row],[Due date]])</f>
        <v>45981.0</v>
      </c>
      <c r="Y1461" s="64">
        <f>DATEVALUE(tblWorkPackages[[#This Row],[Completion date]])</f>
        <v>45981.0</v>
      </c>
      <c r="Z1461" s="64">
        <f>_xlfn.MINIFS(tblLaborEntries[Work date serial],tblLaborEntries[Work package ID],tblWorkPackages[[#This Row],[Work package ID]])</f>
        <v>45978.0</v>
      </c>
      <c r="AA1461" s="64">
        <f>_xlfn.MAXIFS(tblLaborEntries[Work date serial],tblLaborEntries[Work package ID],tblWorkPackages[[#This Row],[Work package ID]])</f>
        <v>45978.0</v>
      </c>
      <c r="AB1461" s="65">
        <f>IF(tblWorkPackages[[#This Row],[Completion date serial]]&gt;tblWorkPackages[[#This Row],[Due date serial]],1,0)</f>
        <v>0</v>
      </c>
      <c r="AC1461" s="65">
        <f>MAX(0,tblWorkPackages[[#This Row],[Completion date serial]]-tblWorkPackages[[#This Row],[Due date serial]])</f>
        <v>0</v>
      </c>
      <c r="AD1461" s="65">
        <f>tblWorkPackages[[#This Row],[First labor date]]-tblWorkPackages[[#This Row],[Request date serial]]</f>
        <v>3</v>
      </c>
      <c r="AE1461" s="65">
        <f>tblWorkPackages[[#This Row],[Last labor date]]-tblWorkPackages[[#This Row],[First labor date]]</f>
        <v>0</v>
      </c>
      <c r="AF1461" s="65">
        <f>tblWorkPackages[[#This Row],[Completion date serial]]-tblWorkPackages[[#This Row],[Last labor date]]</f>
        <v>3</v>
      </c>
      <c r="AG1461" s="65">
        <f>tblWorkPackages[[#This Row],[Completion date serial]]-tblWorkPackages[[#This Row],[Request date serial]]</f>
        <v>6</v>
      </c>
      <c r="AH1461" s="65">
        <f>IFERROR(INDEX(tblParts[Delay days],MATCH(tblWorkPackages[[#This Row],[Work package ID]],tblParts[Work package ID],0)),0)</f>
        <v>0</v>
      </c>
      <c r="AI1461" s="51" t="str">
        <f>IFERROR(INDEX(tblDisruptions[Event type],MATCH(tblWorkPackages[[#This Row],[Work package ID]],tblDisruptions[Work package ID],0)),"None")</f>
        <v>None</v>
      </c>
      <c r="AJ1461" s="51" t="str">
        <f>TEXT(tblWorkPackages[[#This Row],[Due date serial]],"yyyy-mm")</f>
        <v>2025-11</v>
      </c>
    </row>
    <row r="1462" spans="1:36" ht="15" x14ac:dyDescent="0.25">
      <c r="A1462" s="53" t="s">
        <v>2370</v>
      </c>
      <c r="B1462" s="53" t="s">
        <v>250</v>
      </c>
      <c r="C1462" s="53" t="s">
        <v>740</v>
      </c>
      <c r="D1462" s="53" t="s">
        <v>183</v>
      </c>
      <c r="E1462" s="53" t="s">
        <v>136</v>
      </c>
      <c r="F1462" s="53" t="s">
        <v>137</v>
      </c>
      <c r="G1462" s="53" t="s">
        <v>138</v>
      </c>
      <c r="H1462" s="53">
        <v>1</v>
      </c>
      <c r="I1462" s="53" t="s">
        <v>147</v>
      </c>
      <c r="J1462" s="53">
        <v>0</v>
      </c>
      <c r="K1462" s="53">
        <v>0</v>
      </c>
      <c r="L1462" s="53">
        <v>10.3</v>
      </c>
      <c r="M1462" s="53" t="s">
        <v>603</v>
      </c>
      <c r="N1462" s="53">
        <v>11.8</v>
      </c>
      <c r="O1462" s="51" t="str">
        <f>TEXT(tblWorkPackages[[#This Row],[Request date serial]]-WEEKDAY(tblWorkPackages[[#This Row],[Request date serial]],3),"yyyy-mm-dd")</f>
        <v>2025-05-19</v>
      </c>
      <c r="P1462" s="51">
        <f>ABS(tblWorkPackages[[#This Row],[Actual labor hours]]-tblWorkPackages[[#This Row],[Estimated labor hours]])</f>
        <v>1.5</v>
      </c>
      <c r="Q1462" s="51">
        <f>IF(tblWorkPackages[[#This Row],[Actual labor hours]]&gt;tblWorkPackages[[#This Row],[Estimated labor hours]],1,0)</f>
        <v>1</v>
      </c>
      <c r="R1462" s="51">
        <f>tblWorkPackages[[#This Row],[Actual labor hours]]-tblWorkPackages[[#This Row],[Estimated labor hours]]</f>
        <v>1.5</v>
      </c>
      <c r="S1462" s="51" t="str">
        <f>IF(tblWorkPackages[[#This Row],[Request date serial]]&lt;ValidationStart,"Train 2024",IF(tblWorkPackages[[#This Row],[Request date serial]]&lt;HoldoutStart,"Validation H1","Holdout H2"))</f>
        <v>Validation H1</v>
      </c>
      <c r="T1462" s="51">
        <f>IF(tblWorkPackages[[#This Row],[Time split]]="Train 2024","",tblWorkPackages[[#This Row],[Estimated labor hours]]+VLOOKUP(tblWorkPackages[[#This Row],[Task type]],'Forecast validation'!$A$14:$E$25,IF(tblWorkPackages[[#This Row],[Time split]]="Validation H1",4,5),FALSE()))</f>
        <v>11.1765306122449</v>
      </c>
      <c r="U1462" s="51">
        <f>IF(tblWorkPackages[[#This Row],[Calibrated forecast hours]]="","",ABS(tblWorkPackages[[#This Row],[Actual labor hours]]-tblWorkPackages[[#This Row],[Calibrated forecast hours]]))</f>
        <v>0.623469387755103</v>
      </c>
      <c r="V1462" s="51">
        <f>IF(tblWorkPackages[[#This Row],[Time split]]="Train 2024",tblWorkPackages[[#This Row],[Estimated labor hours]],tblWorkPackages[[#This Row],[Calibrated forecast hours]])</f>
        <v>11.1765306122449</v>
      </c>
      <c r="W1462" s="64">
        <f>DATEVALUE(tblWorkPackages[[#This Row],[Request date]])</f>
        <v>45797.0</v>
      </c>
      <c r="X1462" s="64">
        <f>DATEVALUE(tblWorkPackages[[#This Row],[Due date]])</f>
        <v>45799.0</v>
      </c>
      <c r="Y1462" s="64">
        <f>DATEVALUE(tblWorkPackages[[#This Row],[Completion date]])</f>
        <v>45834.0</v>
      </c>
      <c r="Z1462" s="64">
        <f>_xlfn.MINIFS(tblLaborEntries[Work date serial],tblLaborEntries[Work package ID],tblWorkPackages[[#This Row],[Work package ID]])</f>
        <v>45833.0</v>
      </c>
      <c r="AA1462" s="64">
        <f>_xlfn.MAXIFS(tblLaborEntries[Work date serial],tblLaborEntries[Work package ID],tblWorkPackages[[#This Row],[Work package ID]])</f>
        <v>45834.0</v>
      </c>
      <c r="AB1462" s="65">
        <f>IF(tblWorkPackages[[#This Row],[Completion date serial]]&gt;tblWorkPackages[[#This Row],[Due date serial]],1,0)</f>
        <v>1</v>
      </c>
      <c r="AC1462" s="65">
        <f>MAX(0,tblWorkPackages[[#This Row],[Completion date serial]]-tblWorkPackages[[#This Row],[Due date serial]])</f>
        <v>35</v>
      </c>
      <c r="AD1462" s="65">
        <f>tblWorkPackages[[#This Row],[First labor date]]-tblWorkPackages[[#This Row],[Request date serial]]</f>
        <v>36</v>
      </c>
      <c r="AE1462" s="65">
        <f>tblWorkPackages[[#This Row],[Last labor date]]-tblWorkPackages[[#This Row],[First labor date]]</f>
        <v>1</v>
      </c>
      <c r="AF1462" s="65">
        <f>tblWorkPackages[[#This Row],[Completion date serial]]-tblWorkPackages[[#This Row],[Last labor date]]</f>
        <v>0</v>
      </c>
      <c r="AG1462" s="65">
        <f>tblWorkPackages[[#This Row],[Completion date serial]]-tblWorkPackages[[#This Row],[Request date serial]]</f>
        <v>37</v>
      </c>
      <c r="AH1462" s="65">
        <f>IFERROR(INDEX(tblParts[Delay days],MATCH(tblWorkPackages[[#This Row],[Work package ID]],tblParts[Work package ID],0)),0)</f>
        <v>0</v>
      </c>
      <c r="AI1462" s="51" t="str">
        <f>IFERROR(INDEX(tblDisruptions[Event type],MATCH(tblWorkPackages[[#This Row],[Work package ID]],tblDisruptions[Work package ID],0)),"None")</f>
        <v>None</v>
      </c>
      <c r="AJ1462" s="51" t="str">
        <f>TEXT(tblWorkPackages[[#This Row],[Due date serial]],"yyyy-mm")</f>
        <v>2025-05</v>
      </c>
    </row>
    <row r="1463" spans="1:36" ht="15" x14ac:dyDescent="0.25">
      <c r="A1463" s="53" t="s">
        <v>2371</v>
      </c>
      <c r="B1463" s="53" t="s">
        <v>163</v>
      </c>
      <c r="C1463" s="53" t="s">
        <v>1237</v>
      </c>
      <c r="D1463" s="53" t="s">
        <v>454</v>
      </c>
      <c r="E1463" s="53" t="s">
        <v>209</v>
      </c>
      <c r="F1463" s="53" t="s">
        <v>145</v>
      </c>
      <c r="G1463" s="53" t="s">
        <v>210</v>
      </c>
      <c r="H1463" s="53">
        <v>3</v>
      </c>
      <c r="I1463" s="53" t="s">
        <v>176</v>
      </c>
      <c r="J1463" s="53">
        <v>0</v>
      </c>
      <c r="K1463" s="53">
        <v>1</v>
      </c>
      <c r="L1463" s="53">
        <v>27.3</v>
      </c>
      <c r="M1463" s="53" t="s">
        <v>1831</v>
      </c>
      <c r="N1463" s="53">
        <v>26.3</v>
      </c>
      <c r="O1463" s="51" t="str">
        <f>TEXT(tblWorkPackages[[#This Row],[Request date serial]]-WEEKDAY(tblWorkPackages[[#This Row],[Request date serial]],3),"yyyy-mm-dd")</f>
        <v>2024-01-15</v>
      </c>
      <c r="P1463" s="51">
        <f>ABS(tblWorkPackages[[#This Row],[Actual labor hours]]-tblWorkPackages[[#This Row],[Estimated labor hours]])</f>
        <v>1</v>
      </c>
      <c r="Q1463" s="51">
        <f>IF(tblWorkPackages[[#This Row],[Actual labor hours]]&gt;tblWorkPackages[[#This Row],[Estimated labor hours]],1,0)</f>
        <v>0</v>
      </c>
      <c r="R1463" s="51">
        <f>tblWorkPackages[[#This Row],[Actual labor hours]]-tblWorkPackages[[#This Row],[Estimated labor hours]]</f>
        <v>-1</v>
      </c>
      <c r="S1463" s="51" t="str">
        <f>IF(tblWorkPackages[[#This Row],[Request date serial]]&lt;ValidationStart,"Train 2024",IF(tblWorkPackages[[#This Row],[Request date serial]]&lt;HoldoutStart,"Validation H1","Holdout H2"))</f>
        <v>Train 2024</v>
      </c>
      <c r="T1463" s="51" t="str">
        <f>IF(tblWorkPackages[[#This Row],[Time split]]="Train 2024","",tblWorkPackages[[#This Row],[Estimated labor hours]]+VLOOKUP(tblWorkPackages[[#This Row],[Task type]],'Forecast validation'!$A$14:$E$25,IF(tblWorkPackages[[#This Row],[Time split]]="Validation H1",4,5),FALSE()))</f>
        <v/>
      </c>
      <c r="U1463" s="51" t="str">
        <f>IF(tblWorkPackages[[#This Row],[Calibrated forecast hours]]="","",ABS(tblWorkPackages[[#This Row],[Actual labor hours]]-tblWorkPackages[[#This Row],[Calibrated forecast hours]]))</f>
        <v/>
      </c>
      <c r="V1463" s="51">
        <f>IF(tblWorkPackages[[#This Row],[Time split]]="Train 2024",tblWorkPackages[[#This Row],[Estimated labor hours]],tblWorkPackages[[#This Row],[Calibrated forecast hours]])</f>
        <v>27.3</v>
      </c>
      <c r="W1463" s="64">
        <f>DATEVALUE(tblWorkPackages[[#This Row],[Request date]])</f>
        <v>45312.0</v>
      </c>
      <c r="X1463" s="64">
        <f>DATEVALUE(tblWorkPackages[[#This Row],[Due date]])</f>
        <v>45318.0</v>
      </c>
      <c r="Y1463" s="64">
        <f>DATEVALUE(tblWorkPackages[[#This Row],[Completion date]])</f>
        <v>45321.0</v>
      </c>
      <c r="Z1463" s="64">
        <f>_xlfn.MINIFS(tblLaborEntries[Work date serial],tblLaborEntries[Work package ID],tblWorkPackages[[#This Row],[Work package ID]])</f>
        <v>45319.0</v>
      </c>
      <c r="AA1463" s="64">
        <f>_xlfn.MAXIFS(tblLaborEntries[Work date serial],tblLaborEntries[Work package ID],tblWorkPackages[[#This Row],[Work package ID]])</f>
        <v>45320.0</v>
      </c>
      <c r="AB1463" s="65">
        <f>IF(tblWorkPackages[[#This Row],[Completion date serial]]&gt;tblWorkPackages[[#This Row],[Due date serial]],1,0)</f>
        <v>1</v>
      </c>
      <c r="AC1463" s="65">
        <f>MAX(0,tblWorkPackages[[#This Row],[Completion date serial]]-tblWorkPackages[[#This Row],[Due date serial]])</f>
        <v>3</v>
      </c>
      <c r="AD1463" s="65">
        <f>tblWorkPackages[[#This Row],[First labor date]]-tblWorkPackages[[#This Row],[Request date serial]]</f>
        <v>7</v>
      </c>
      <c r="AE1463" s="65">
        <f>tblWorkPackages[[#This Row],[Last labor date]]-tblWorkPackages[[#This Row],[First labor date]]</f>
        <v>1</v>
      </c>
      <c r="AF1463" s="65">
        <f>tblWorkPackages[[#This Row],[Completion date serial]]-tblWorkPackages[[#This Row],[Last labor date]]</f>
        <v>1</v>
      </c>
      <c r="AG1463" s="65">
        <f>tblWorkPackages[[#This Row],[Completion date serial]]-tblWorkPackages[[#This Row],[Request date serial]]</f>
        <v>9</v>
      </c>
      <c r="AH1463" s="65">
        <f>IFERROR(INDEX(tblParts[Delay days],MATCH(tblWorkPackages[[#This Row],[Work package ID]],tblParts[Work package ID],0)),0)</f>
        <v>0</v>
      </c>
      <c r="AI1463" s="51" t="str">
        <f>IFERROR(INDEX(tblDisruptions[Event type],MATCH(tblWorkPackages[[#This Row],[Work package ID]],tblDisruptions[Work package ID],0)),"None")</f>
        <v>None</v>
      </c>
      <c r="AJ1463" s="51" t="str">
        <f>TEXT(tblWorkPackages[[#This Row],[Due date serial]],"yyyy-mm")</f>
        <v>2024-01</v>
      </c>
    </row>
    <row r="1464" spans="1:36" ht="15" x14ac:dyDescent="0.25">
      <c r="A1464" s="53" t="s">
        <v>2372</v>
      </c>
      <c r="B1464" s="53" t="s">
        <v>168</v>
      </c>
      <c r="C1464" s="53" t="s">
        <v>970</v>
      </c>
      <c r="D1464" s="53" t="s">
        <v>971</v>
      </c>
      <c r="E1464" s="53" t="s">
        <v>242</v>
      </c>
      <c r="F1464" s="53" t="s">
        <v>243</v>
      </c>
      <c r="G1464" s="53" t="s">
        <v>129</v>
      </c>
      <c r="H1464" s="53">
        <v>2</v>
      </c>
      <c r="I1464" s="53" t="s">
        <v>176</v>
      </c>
      <c r="J1464" s="53">
        <v>0</v>
      </c>
      <c r="K1464" s="53">
        <v>0</v>
      </c>
      <c r="L1464" s="53">
        <v>9.6999999999999993</v>
      </c>
      <c r="M1464" s="53" t="s">
        <v>649</v>
      </c>
      <c r="N1464" s="53">
        <v>11.5</v>
      </c>
      <c r="O1464" s="51" t="str">
        <f>TEXT(tblWorkPackages[[#This Row],[Request date serial]]-WEEKDAY(tblWorkPackages[[#This Row],[Request date serial]],3),"yyyy-mm-dd")</f>
        <v>2024-05-06</v>
      </c>
      <c r="P1464" s="51">
        <f>ABS(tblWorkPackages[[#This Row],[Actual labor hours]]-tblWorkPackages[[#This Row],[Estimated labor hours]])</f>
        <v>1.8</v>
      </c>
      <c r="Q1464" s="51">
        <f>IF(tblWorkPackages[[#This Row],[Actual labor hours]]&gt;tblWorkPackages[[#This Row],[Estimated labor hours]],1,0)</f>
        <v>1</v>
      </c>
      <c r="R1464" s="51">
        <f>tblWorkPackages[[#This Row],[Actual labor hours]]-tblWorkPackages[[#This Row],[Estimated labor hours]]</f>
        <v>1.8</v>
      </c>
      <c r="S1464" s="51" t="str">
        <f>IF(tblWorkPackages[[#This Row],[Request date serial]]&lt;ValidationStart,"Train 2024",IF(tblWorkPackages[[#This Row],[Request date serial]]&lt;HoldoutStart,"Validation H1","Holdout H2"))</f>
        <v>Train 2024</v>
      </c>
      <c r="T1464" s="51" t="str">
        <f>IF(tblWorkPackages[[#This Row],[Time split]]="Train 2024","",tblWorkPackages[[#This Row],[Estimated labor hours]]+VLOOKUP(tblWorkPackages[[#This Row],[Task type]],'Forecast validation'!$A$14:$E$25,IF(tblWorkPackages[[#This Row],[Time split]]="Validation H1",4,5),FALSE()))</f>
        <v/>
      </c>
      <c r="U1464" s="51" t="str">
        <f>IF(tblWorkPackages[[#This Row],[Calibrated forecast hours]]="","",ABS(tblWorkPackages[[#This Row],[Actual labor hours]]-tblWorkPackages[[#This Row],[Calibrated forecast hours]]))</f>
        <v/>
      </c>
      <c r="V1464" s="51">
        <f>IF(tblWorkPackages[[#This Row],[Time split]]="Train 2024",tblWorkPackages[[#This Row],[Estimated labor hours]],tblWorkPackages[[#This Row],[Calibrated forecast hours]])</f>
        <v>9.7</v>
      </c>
      <c r="W1464" s="64">
        <f>DATEVALUE(tblWorkPackages[[#This Row],[Request date]])</f>
        <v>45418.0</v>
      </c>
      <c r="X1464" s="64">
        <f>DATEVALUE(tblWorkPackages[[#This Row],[Due date]])</f>
        <v>45424.0</v>
      </c>
      <c r="Y1464" s="64">
        <f>DATEVALUE(tblWorkPackages[[#This Row],[Completion date]])</f>
        <v>45423.0</v>
      </c>
      <c r="Z1464" s="64">
        <f>_xlfn.MINIFS(tblLaborEntries[Work date serial],tblLaborEntries[Work package ID],tblWorkPackages[[#This Row],[Work package ID]])</f>
        <v>45420.0</v>
      </c>
      <c r="AA1464" s="64">
        <f>_xlfn.MAXIFS(tblLaborEntries[Work date serial],tblLaborEntries[Work package ID],tblWorkPackages[[#This Row],[Work package ID]])</f>
        <v>45421.0</v>
      </c>
      <c r="AB1464" s="65">
        <f>IF(tblWorkPackages[[#This Row],[Completion date serial]]&gt;tblWorkPackages[[#This Row],[Due date serial]],1,0)</f>
        <v>0</v>
      </c>
      <c r="AC1464" s="65">
        <f>MAX(0,tblWorkPackages[[#This Row],[Completion date serial]]-tblWorkPackages[[#This Row],[Due date serial]])</f>
        <v>0</v>
      </c>
      <c r="AD1464" s="65">
        <f>tblWorkPackages[[#This Row],[First labor date]]-tblWorkPackages[[#This Row],[Request date serial]]</f>
        <v>2</v>
      </c>
      <c r="AE1464" s="65">
        <f>tblWorkPackages[[#This Row],[Last labor date]]-tblWorkPackages[[#This Row],[First labor date]]</f>
        <v>1</v>
      </c>
      <c r="AF1464" s="65">
        <f>tblWorkPackages[[#This Row],[Completion date serial]]-tblWorkPackages[[#This Row],[Last labor date]]</f>
        <v>2</v>
      </c>
      <c r="AG1464" s="65">
        <f>tblWorkPackages[[#This Row],[Completion date serial]]-tblWorkPackages[[#This Row],[Request date serial]]</f>
        <v>5</v>
      </c>
      <c r="AH1464" s="65">
        <f>IFERROR(INDEX(tblParts[Delay days],MATCH(tblWorkPackages[[#This Row],[Work package ID]],tblParts[Work package ID],0)),0)</f>
        <v>0</v>
      </c>
      <c r="AI1464" s="51" t="str">
        <f>IFERROR(INDEX(tblDisruptions[Event type],MATCH(tblWorkPackages[[#This Row],[Work package ID]],tblDisruptions[Work package ID],0)),"None")</f>
        <v>None</v>
      </c>
      <c r="AJ1464" s="51" t="str">
        <f>TEXT(tblWorkPackages[[#This Row],[Due date serial]],"yyyy-mm")</f>
        <v>2024-05</v>
      </c>
    </row>
    <row r="1465" spans="1:36" ht="15" x14ac:dyDescent="0.25">
      <c r="A1465" s="53" t="s">
        <v>2373</v>
      </c>
      <c r="B1465" s="53" t="s">
        <v>124</v>
      </c>
      <c r="C1465" s="53" t="s">
        <v>929</v>
      </c>
      <c r="D1465" s="53" t="s">
        <v>1540</v>
      </c>
      <c r="E1465" s="53" t="s">
        <v>153</v>
      </c>
      <c r="F1465" s="53" t="s">
        <v>128</v>
      </c>
      <c r="G1465" s="53" t="s">
        <v>154</v>
      </c>
      <c r="H1465" s="53">
        <v>3</v>
      </c>
      <c r="I1465" s="53" t="s">
        <v>130</v>
      </c>
      <c r="J1465" s="53">
        <v>0</v>
      </c>
      <c r="K1465" s="53">
        <v>0</v>
      </c>
      <c r="L1465" s="53">
        <v>14.1</v>
      </c>
      <c r="M1465" s="53" t="s">
        <v>854</v>
      </c>
      <c r="N1465" s="53">
        <v>10.8</v>
      </c>
      <c r="O1465" s="51" t="str">
        <f>TEXT(tblWorkPackages[[#This Row],[Request date serial]]-WEEKDAY(tblWorkPackages[[#This Row],[Request date serial]],3),"yyyy-mm-dd")</f>
        <v>2024-06-24</v>
      </c>
      <c r="P1465" s="51">
        <f>ABS(tblWorkPackages[[#This Row],[Actual labor hours]]-tblWorkPackages[[#This Row],[Estimated labor hours]])</f>
        <v>3.3</v>
      </c>
      <c r="Q1465" s="51">
        <f>IF(tblWorkPackages[[#This Row],[Actual labor hours]]&gt;tblWorkPackages[[#This Row],[Estimated labor hours]],1,0)</f>
        <v>0</v>
      </c>
      <c r="R1465" s="51">
        <f>tblWorkPackages[[#This Row],[Actual labor hours]]-tblWorkPackages[[#This Row],[Estimated labor hours]]</f>
        <v>-3.3</v>
      </c>
      <c r="S1465" s="51" t="str">
        <f>IF(tblWorkPackages[[#This Row],[Request date serial]]&lt;ValidationStart,"Train 2024",IF(tblWorkPackages[[#This Row],[Request date serial]]&lt;HoldoutStart,"Validation H1","Holdout H2"))</f>
        <v>Train 2024</v>
      </c>
      <c r="T1465" s="51" t="str">
        <f>IF(tblWorkPackages[[#This Row],[Time split]]="Train 2024","",tblWorkPackages[[#This Row],[Estimated labor hours]]+VLOOKUP(tblWorkPackages[[#This Row],[Task type]],'Forecast validation'!$A$14:$E$25,IF(tblWorkPackages[[#This Row],[Time split]]="Validation H1",4,5),FALSE()))</f>
        <v/>
      </c>
      <c r="U1465" s="51" t="str">
        <f>IF(tblWorkPackages[[#This Row],[Calibrated forecast hours]]="","",ABS(tblWorkPackages[[#This Row],[Actual labor hours]]-tblWorkPackages[[#This Row],[Calibrated forecast hours]]))</f>
        <v/>
      </c>
      <c r="V1465" s="51">
        <f>IF(tblWorkPackages[[#This Row],[Time split]]="Train 2024",tblWorkPackages[[#This Row],[Estimated labor hours]],tblWorkPackages[[#This Row],[Calibrated forecast hours]])</f>
        <v>14.1</v>
      </c>
      <c r="W1465" s="64">
        <f>DATEVALUE(tblWorkPackages[[#This Row],[Request date]])</f>
        <v>45473.0</v>
      </c>
      <c r="X1465" s="64">
        <f>DATEVALUE(tblWorkPackages[[#This Row],[Due date]])</f>
        <v>45486.0</v>
      </c>
      <c r="Y1465" s="64">
        <f>DATEVALUE(tblWorkPackages[[#This Row],[Completion date]])</f>
        <v>45492.0</v>
      </c>
      <c r="Z1465" s="64">
        <f>_xlfn.MINIFS(tblLaborEntries[Work date serial],tblLaborEntries[Work package ID],tblWorkPackages[[#This Row],[Work package ID]])</f>
        <v>45489.0</v>
      </c>
      <c r="AA1465" s="64">
        <f>_xlfn.MAXIFS(tblLaborEntries[Work date serial],tblLaborEntries[Work package ID],tblWorkPackages[[#This Row],[Work package ID]])</f>
        <v>45489.0</v>
      </c>
      <c r="AB1465" s="65">
        <f>IF(tblWorkPackages[[#This Row],[Completion date serial]]&gt;tblWorkPackages[[#This Row],[Due date serial]],1,0)</f>
        <v>1</v>
      </c>
      <c r="AC1465" s="65">
        <f>MAX(0,tblWorkPackages[[#This Row],[Completion date serial]]-tblWorkPackages[[#This Row],[Due date serial]])</f>
        <v>6</v>
      </c>
      <c r="AD1465" s="65">
        <f>tblWorkPackages[[#This Row],[First labor date]]-tblWorkPackages[[#This Row],[Request date serial]]</f>
        <v>16</v>
      </c>
      <c r="AE1465" s="65">
        <f>tblWorkPackages[[#This Row],[Last labor date]]-tblWorkPackages[[#This Row],[First labor date]]</f>
        <v>0</v>
      </c>
      <c r="AF1465" s="65">
        <f>tblWorkPackages[[#This Row],[Completion date serial]]-tblWorkPackages[[#This Row],[Last labor date]]</f>
        <v>3</v>
      </c>
      <c r="AG1465" s="65">
        <f>tblWorkPackages[[#This Row],[Completion date serial]]-tblWorkPackages[[#This Row],[Request date serial]]</f>
        <v>19</v>
      </c>
      <c r="AH1465" s="65">
        <f>IFERROR(INDEX(tblParts[Delay days],MATCH(tblWorkPackages[[#This Row],[Work package ID]],tblParts[Work package ID],0)),0)</f>
        <v>0</v>
      </c>
      <c r="AI1465" s="51" t="str">
        <f>IFERROR(INDEX(tblDisruptions[Event type],MATCH(tblWorkPackages[[#This Row],[Work package ID]],tblDisruptions[Work package ID],0)),"None")</f>
        <v>None</v>
      </c>
      <c r="AJ1465" s="51" t="str">
        <f>TEXT(tblWorkPackages[[#This Row],[Due date serial]],"yyyy-mm")</f>
        <v>2024-07</v>
      </c>
    </row>
    <row r="1466" spans="1:36" ht="15" x14ac:dyDescent="0.25">
      <c r="A1466" s="53" t="s">
        <v>2374</v>
      </c>
      <c r="B1466" s="53" t="s">
        <v>173</v>
      </c>
      <c r="C1466" s="53" t="s">
        <v>1369</v>
      </c>
      <c r="D1466" s="53" t="s">
        <v>1765</v>
      </c>
      <c r="E1466" s="53" t="s">
        <v>153</v>
      </c>
      <c r="F1466" s="53" t="s">
        <v>128</v>
      </c>
      <c r="G1466" s="53" t="s">
        <v>154</v>
      </c>
      <c r="H1466" s="53">
        <v>3</v>
      </c>
      <c r="I1466" s="53" t="s">
        <v>176</v>
      </c>
      <c r="J1466" s="53">
        <v>0</v>
      </c>
      <c r="K1466" s="53">
        <v>0</v>
      </c>
      <c r="L1466" s="53">
        <v>11.7</v>
      </c>
      <c r="M1466" s="53" t="s">
        <v>1042</v>
      </c>
      <c r="N1466" s="53">
        <v>13.9</v>
      </c>
      <c r="O1466" s="51" t="str">
        <f>TEXT(tblWorkPackages[[#This Row],[Request date serial]]-WEEKDAY(tblWorkPackages[[#This Row],[Request date serial]],3),"yyyy-mm-dd")</f>
        <v>2024-08-05</v>
      </c>
      <c r="P1466" s="51">
        <f>ABS(tblWorkPackages[[#This Row],[Actual labor hours]]-tblWorkPackages[[#This Row],[Estimated labor hours]])</f>
        <v>2.2</v>
      </c>
      <c r="Q1466" s="51">
        <f>IF(tblWorkPackages[[#This Row],[Actual labor hours]]&gt;tblWorkPackages[[#This Row],[Estimated labor hours]],1,0)</f>
        <v>1</v>
      </c>
      <c r="R1466" s="51">
        <f>tblWorkPackages[[#This Row],[Actual labor hours]]-tblWorkPackages[[#This Row],[Estimated labor hours]]</f>
        <v>2.2</v>
      </c>
      <c r="S1466" s="51" t="str">
        <f>IF(tblWorkPackages[[#This Row],[Request date serial]]&lt;ValidationStart,"Train 2024",IF(tblWorkPackages[[#This Row],[Request date serial]]&lt;HoldoutStart,"Validation H1","Holdout H2"))</f>
        <v>Train 2024</v>
      </c>
      <c r="T1466" s="51" t="str">
        <f>IF(tblWorkPackages[[#This Row],[Time split]]="Train 2024","",tblWorkPackages[[#This Row],[Estimated labor hours]]+VLOOKUP(tblWorkPackages[[#This Row],[Task type]],'Forecast validation'!$A$14:$E$25,IF(tblWorkPackages[[#This Row],[Time split]]="Validation H1",4,5),FALSE()))</f>
        <v/>
      </c>
      <c r="U1466" s="51" t="str">
        <f>IF(tblWorkPackages[[#This Row],[Calibrated forecast hours]]="","",ABS(tblWorkPackages[[#This Row],[Actual labor hours]]-tblWorkPackages[[#This Row],[Calibrated forecast hours]]))</f>
        <v/>
      </c>
      <c r="V1466" s="51">
        <f>IF(tblWorkPackages[[#This Row],[Time split]]="Train 2024",tblWorkPackages[[#This Row],[Estimated labor hours]],tblWorkPackages[[#This Row],[Calibrated forecast hours]])</f>
        <v>11.7</v>
      </c>
      <c r="W1466" s="64">
        <f>DATEVALUE(tblWorkPackages[[#This Row],[Request date]])</f>
        <v>45513.0</v>
      </c>
      <c r="X1466" s="64">
        <f>DATEVALUE(tblWorkPackages[[#This Row],[Due date]])</f>
        <v>45519.0</v>
      </c>
      <c r="Y1466" s="64">
        <f>DATEVALUE(tblWorkPackages[[#This Row],[Completion date]])</f>
        <v>45518.0</v>
      </c>
      <c r="Z1466" s="64">
        <f>_xlfn.MINIFS(tblLaborEntries[Work date serial],tblLaborEntries[Work package ID],tblWorkPackages[[#This Row],[Work package ID]])</f>
        <v>45517.0</v>
      </c>
      <c r="AA1466" s="64">
        <f>_xlfn.MAXIFS(tblLaborEntries[Work date serial],tblLaborEntries[Work package ID],tblWorkPackages[[#This Row],[Work package ID]])</f>
        <v>45518.0</v>
      </c>
      <c r="AB1466" s="65">
        <f>IF(tblWorkPackages[[#This Row],[Completion date serial]]&gt;tblWorkPackages[[#This Row],[Due date serial]],1,0)</f>
        <v>0</v>
      </c>
      <c r="AC1466" s="65">
        <f>MAX(0,tblWorkPackages[[#This Row],[Completion date serial]]-tblWorkPackages[[#This Row],[Due date serial]])</f>
        <v>0</v>
      </c>
      <c r="AD1466" s="65">
        <f>tblWorkPackages[[#This Row],[First labor date]]-tblWorkPackages[[#This Row],[Request date serial]]</f>
        <v>4</v>
      </c>
      <c r="AE1466" s="65">
        <f>tblWorkPackages[[#This Row],[Last labor date]]-tblWorkPackages[[#This Row],[First labor date]]</f>
        <v>1</v>
      </c>
      <c r="AF1466" s="65">
        <f>tblWorkPackages[[#This Row],[Completion date serial]]-tblWorkPackages[[#This Row],[Last labor date]]</f>
        <v>0</v>
      </c>
      <c r="AG1466" s="65">
        <f>tblWorkPackages[[#This Row],[Completion date serial]]-tblWorkPackages[[#This Row],[Request date serial]]</f>
        <v>5</v>
      </c>
      <c r="AH1466" s="65">
        <f>IFERROR(INDEX(tblParts[Delay days],MATCH(tblWorkPackages[[#This Row],[Work package ID]],tblParts[Work package ID],0)),0)</f>
        <v>0</v>
      </c>
      <c r="AI1466" s="51" t="str">
        <f>IFERROR(INDEX(tblDisruptions[Event type],MATCH(tblWorkPackages[[#This Row],[Work package ID]],tblDisruptions[Work package ID],0)),"None")</f>
        <v>None</v>
      </c>
      <c r="AJ1466" s="51" t="str">
        <f>TEXT(tblWorkPackages[[#This Row],[Due date serial]],"yyyy-mm")</f>
        <v>2024-08</v>
      </c>
    </row>
    <row r="1467" spans="1:36" ht="15" x14ac:dyDescent="0.25">
      <c r="A1467" s="53" t="s">
        <v>2375</v>
      </c>
      <c r="B1467" s="53" t="s">
        <v>287</v>
      </c>
      <c r="C1467" s="53" t="s">
        <v>1455</v>
      </c>
      <c r="D1467" s="53" t="s">
        <v>504</v>
      </c>
      <c r="E1467" s="53" t="s">
        <v>272</v>
      </c>
      <c r="F1467" s="53" t="s">
        <v>145</v>
      </c>
      <c r="G1467" s="53" t="s">
        <v>273</v>
      </c>
      <c r="H1467" s="53">
        <v>4</v>
      </c>
      <c r="I1467" s="53" t="s">
        <v>147</v>
      </c>
      <c r="J1467" s="53">
        <v>0</v>
      </c>
      <c r="K1467" s="53">
        <v>1</v>
      </c>
      <c r="L1467" s="53">
        <v>21.5</v>
      </c>
      <c r="M1467" s="53" t="s">
        <v>504</v>
      </c>
      <c r="N1467" s="53">
        <v>19.5</v>
      </c>
      <c r="O1467" s="51" t="str">
        <f>TEXT(tblWorkPackages[[#This Row],[Request date serial]]-WEEKDAY(tblWorkPackages[[#This Row],[Request date serial]],3),"yyyy-mm-dd")</f>
        <v>2025-01-27</v>
      </c>
      <c r="P1467" s="51">
        <f>ABS(tblWorkPackages[[#This Row],[Actual labor hours]]-tblWorkPackages[[#This Row],[Estimated labor hours]])</f>
        <v>2</v>
      </c>
      <c r="Q1467" s="51">
        <f>IF(tblWorkPackages[[#This Row],[Actual labor hours]]&gt;tblWorkPackages[[#This Row],[Estimated labor hours]],1,0)</f>
        <v>0</v>
      </c>
      <c r="R1467" s="51">
        <f>tblWorkPackages[[#This Row],[Actual labor hours]]-tblWorkPackages[[#This Row],[Estimated labor hours]]</f>
        <v>-2</v>
      </c>
      <c r="S1467" s="51" t="str">
        <f>IF(tblWorkPackages[[#This Row],[Request date serial]]&lt;ValidationStart,"Train 2024",IF(tblWorkPackages[[#This Row],[Request date serial]]&lt;HoldoutStart,"Validation H1","Holdout H2"))</f>
        <v>Validation H1</v>
      </c>
      <c r="T1467" s="51">
        <f>IF(tblWorkPackages[[#This Row],[Time split]]="Train 2024","",tblWorkPackages[[#This Row],[Estimated labor hours]]+VLOOKUP(tblWorkPackages[[#This Row],[Task type]],'Forecast validation'!$A$14:$E$25,IF(tblWorkPackages[[#This Row],[Time split]]="Validation H1",4,5),FALSE()))</f>
        <v>22.5320512820513</v>
      </c>
      <c r="U1467" s="51">
        <f>IF(tblWorkPackages[[#This Row],[Calibrated forecast hours]]="","",ABS(tblWorkPackages[[#This Row],[Actual labor hours]]-tblWorkPackages[[#This Row],[Calibrated forecast hours]]))</f>
        <v>3.03205128205128</v>
      </c>
      <c r="V1467" s="51">
        <f>IF(tblWorkPackages[[#This Row],[Time split]]="Train 2024",tblWorkPackages[[#This Row],[Estimated labor hours]],tblWorkPackages[[#This Row],[Calibrated forecast hours]])</f>
        <v>22.5320512820513</v>
      </c>
      <c r="W1467" s="64">
        <f>DATEVALUE(tblWorkPackages[[#This Row],[Request date]])</f>
        <v>45687.0</v>
      </c>
      <c r="X1467" s="64">
        <f>DATEVALUE(tblWorkPackages[[#This Row],[Due date]])</f>
        <v>45689.0</v>
      </c>
      <c r="Y1467" s="64">
        <f>DATEVALUE(tblWorkPackages[[#This Row],[Completion date]])</f>
        <v>45689.0</v>
      </c>
      <c r="Z1467" s="64">
        <f>_xlfn.MINIFS(tblLaborEntries[Work date serial],tblLaborEntries[Work package ID],tblWorkPackages[[#This Row],[Work package ID]])</f>
        <v>45688.0</v>
      </c>
      <c r="AA1467" s="64">
        <f>_xlfn.MAXIFS(tblLaborEntries[Work date serial],tblLaborEntries[Work package ID],tblWorkPackages[[#This Row],[Work package ID]])</f>
        <v>45688.0</v>
      </c>
      <c r="AB1467" s="65">
        <f>IF(tblWorkPackages[[#This Row],[Completion date serial]]&gt;tblWorkPackages[[#This Row],[Due date serial]],1,0)</f>
        <v>0</v>
      </c>
      <c r="AC1467" s="65">
        <f>MAX(0,tblWorkPackages[[#This Row],[Completion date serial]]-tblWorkPackages[[#This Row],[Due date serial]])</f>
        <v>0</v>
      </c>
      <c r="AD1467" s="65">
        <f>tblWorkPackages[[#This Row],[First labor date]]-tblWorkPackages[[#This Row],[Request date serial]]</f>
        <v>1</v>
      </c>
      <c r="AE1467" s="65">
        <f>tblWorkPackages[[#This Row],[Last labor date]]-tblWorkPackages[[#This Row],[First labor date]]</f>
        <v>0</v>
      </c>
      <c r="AF1467" s="65">
        <f>tblWorkPackages[[#This Row],[Completion date serial]]-tblWorkPackages[[#This Row],[Last labor date]]</f>
        <v>1</v>
      </c>
      <c r="AG1467" s="65">
        <f>tblWorkPackages[[#This Row],[Completion date serial]]-tblWorkPackages[[#This Row],[Request date serial]]</f>
        <v>2</v>
      </c>
      <c r="AH1467" s="65">
        <f>IFERROR(INDEX(tblParts[Delay days],MATCH(tblWorkPackages[[#This Row],[Work package ID]],tblParts[Work package ID],0)),0)</f>
        <v>0</v>
      </c>
      <c r="AI1467" s="51" t="str">
        <f>IFERROR(INDEX(tblDisruptions[Event type],MATCH(tblWorkPackages[[#This Row],[Work package ID]],tblDisruptions[Work package ID],0)),"None")</f>
        <v>None</v>
      </c>
      <c r="AJ1467" s="51" t="str">
        <f>TEXT(tblWorkPackages[[#This Row],[Due date serial]],"yyyy-mm")</f>
        <v>2025-02</v>
      </c>
    </row>
    <row r="1468" spans="1:36" ht="15" x14ac:dyDescent="0.25">
      <c r="A1468" s="53" t="s">
        <v>2376</v>
      </c>
      <c r="B1468" s="53" t="s">
        <v>287</v>
      </c>
      <c r="C1468" s="53" t="s">
        <v>1721</v>
      </c>
      <c r="D1468" s="53" t="s">
        <v>599</v>
      </c>
      <c r="E1468" s="53" t="s">
        <v>144</v>
      </c>
      <c r="F1468" s="53" t="s">
        <v>145</v>
      </c>
      <c r="G1468" s="53" t="s">
        <v>146</v>
      </c>
      <c r="H1468" s="53">
        <v>3</v>
      </c>
      <c r="I1468" s="53" t="s">
        <v>130</v>
      </c>
      <c r="J1468" s="53">
        <v>0</v>
      </c>
      <c r="K1468" s="53">
        <v>0</v>
      </c>
      <c r="L1468" s="53">
        <v>13.1</v>
      </c>
      <c r="M1468" s="53" t="s">
        <v>1948</v>
      </c>
      <c r="N1468" s="53">
        <v>12.2</v>
      </c>
      <c r="O1468" s="51" t="str">
        <f>TEXT(tblWorkPackages[[#This Row],[Request date serial]]-WEEKDAY(tblWorkPackages[[#This Row],[Request date serial]],3),"yyyy-mm-dd")</f>
        <v>2024-10-28</v>
      </c>
      <c r="P1468" s="51">
        <f>ABS(tblWorkPackages[[#This Row],[Actual labor hours]]-tblWorkPackages[[#This Row],[Estimated labor hours]])</f>
        <v>0.9</v>
      </c>
      <c r="Q1468" s="51">
        <f>IF(tblWorkPackages[[#This Row],[Actual labor hours]]&gt;tblWorkPackages[[#This Row],[Estimated labor hours]],1,0)</f>
        <v>0</v>
      </c>
      <c r="R1468" s="51">
        <f>tblWorkPackages[[#This Row],[Actual labor hours]]-tblWorkPackages[[#This Row],[Estimated labor hours]]</f>
        <v>-0.9</v>
      </c>
      <c r="S1468" s="51" t="str">
        <f>IF(tblWorkPackages[[#This Row],[Request date serial]]&lt;ValidationStart,"Train 2024",IF(tblWorkPackages[[#This Row],[Request date serial]]&lt;HoldoutStart,"Validation H1","Holdout H2"))</f>
        <v>Train 2024</v>
      </c>
      <c r="T1468" s="51" t="str">
        <f>IF(tblWorkPackages[[#This Row],[Time split]]="Train 2024","",tblWorkPackages[[#This Row],[Estimated labor hours]]+VLOOKUP(tblWorkPackages[[#This Row],[Task type]],'Forecast validation'!$A$14:$E$25,IF(tblWorkPackages[[#This Row],[Time split]]="Validation H1",4,5),FALSE()))</f>
        <v/>
      </c>
      <c r="U1468" s="51" t="str">
        <f>IF(tblWorkPackages[[#This Row],[Calibrated forecast hours]]="","",ABS(tblWorkPackages[[#This Row],[Actual labor hours]]-tblWorkPackages[[#This Row],[Calibrated forecast hours]]))</f>
        <v/>
      </c>
      <c r="V1468" s="51">
        <f>IF(tblWorkPackages[[#This Row],[Time split]]="Train 2024",tblWorkPackages[[#This Row],[Estimated labor hours]],tblWorkPackages[[#This Row],[Calibrated forecast hours]])</f>
        <v>13.1</v>
      </c>
      <c r="W1468" s="64">
        <f>DATEVALUE(tblWorkPackages[[#This Row],[Request date]])</f>
        <v>45599.0</v>
      </c>
      <c r="X1468" s="64">
        <f>DATEVALUE(tblWorkPackages[[#This Row],[Due date]])</f>
        <v>45612.0</v>
      </c>
      <c r="Y1468" s="64">
        <f>DATEVALUE(tblWorkPackages[[#This Row],[Completion date]])</f>
        <v>45611.0</v>
      </c>
      <c r="Z1468" s="64">
        <f>_xlfn.MINIFS(tblLaborEntries[Work date serial],tblLaborEntries[Work package ID],tblWorkPackages[[#This Row],[Work package ID]])</f>
        <v>45609.0</v>
      </c>
      <c r="AA1468" s="64">
        <f>_xlfn.MAXIFS(tblLaborEntries[Work date serial],tblLaborEntries[Work package ID],tblWorkPackages[[#This Row],[Work package ID]])</f>
        <v>45609.0</v>
      </c>
      <c r="AB1468" s="65">
        <f>IF(tblWorkPackages[[#This Row],[Completion date serial]]&gt;tblWorkPackages[[#This Row],[Due date serial]],1,0)</f>
        <v>0</v>
      </c>
      <c r="AC1468" s="65">
        <f>MAX(0,tblWorkPackages[[#This Row],[Completion date serial]]-tblWorkPackages[[#This Row],[Due date serial]])</f>
        <v>0</v>
      </c>
      <c r="AD1468" s="65">
        <f>tblWorkPackages[[#This Row],[First labor date]]-tblWorkPackages[[#This Row],[Request date serial]]</f>
        <v>10</v>
      </c>
      <c r="AE1468" s="65">
        <f>tblWorkPackages[[#This Row],[Last labor date]]-tblWorkPackages[[#This Row],[First labor date]]</f>
        <v>0</v>
      </c>
      <c r="AF1468" s="65">
        <f>tblWorkPackages[[#This Row],[Completion date serial]]-tblWorkPackages[[#This Row],[Last labor date]]</f>
        <v>2</v>
      </c>
      <c r="AG1468" s="65">
        <f>tblWorkPackages[[#This Row],[Completion date serial]]-tblWorkPackages[[#This Row],[Request date serial]]</f>
        <v>12</v>
      </c>
      <c r="AH1468" s="65">
        <f>IFERROR(INDEX(tblParts[Delay days],MATCH(tblWorkPackages[[#This Row],[Work package ID]],tblParts[Work package ID],0)),0)</f>
        <v>0</v>
      </c>
      <c r="AI1468" s="51" t="str">
        <f>IFERROR(INDEX(tblDisruptions[Event type],MATCH(tblWorkPackages[[#This Row],[Work package ID]],tblDisruptions[Work package ID],0)),"None")</f>
        <v>None</v>
      </c>
      <c r="AJ1468" s="51" t="str">
        <f>TEXT(tblWorkPackages[[#This Row],[Due date serial]],"yyyy-mm")</f>
        <v>2024-11</v>
      </c>
    </row>
    <row r="1469" spans="1:36" ht="15" x14ac:dyDescent="0.25">
      <c r="A1469" s="53" t="s">
        <v>2377</v>
      </c>
      <c r="B1469" s="53" t="s">
        <v>168</v>
      </c>
      <c r="C1469" s="53" t="s">
        <v>776</v>
      </c>
      <c r="D1469" s="53" t="s">
        <v>513</v>
      </c>
      <c r="E1469" s="53" t="s">
        <v>153</v>
      </c>
      <c r="F1469" s="53" t="s">
        <v>128</v>
      </c>
      <c r="G1469" s="53" t="s">
        <v>154</v>
      </c>
      <c r="H1469" s="53">
        <v>2</v>
      </c>
      <c r="I1469" s="53" t="s">
        <v>130</v>
      </c>
      <c r="J1469" s="53">
        <v>0</v>
      </c>
      <c r="K1469" s="53">
        <v>1</v>
      </c>
      <c r="L1469" s="53">
        <v>9.1</v>
      </c>
      <c r="M1469" s="53" t="s">
        <v>251</v>
      </c>
      <c r="N1469" s="53">
        <v>8.8000000000000007</v>
      </c>
      <c r="O1469" s="51" t="str">
        <f>TEXT(tblWorkPackages[[#This Row],[Request date serial]]-WEEKDAY(tblWorkPackages[[#This Row],[Request date serial]],3),"yyyy-mm-dd")</f>
        <v>2024-12-09</v>
      </c>
      <c r="P1469" s="51">
        <f>ABS(tblWorkPackages[[#This Row],[Actual labor hours]]-tblWorkPackages[[#This Row],[Estimated labor hours]])</f>
        <v>0.299999999999999</v>
      </c>
      <c r="Q1469" s="51">
        <f>IF(tblWorkPackages[[#This Row],[Actual labor hours]]&gt;tblWorkPackages[[#This Row],[Estimated labor hours]],1,0)</f>
        <v>0</v>
      </c>
      <c r="R1469" s="51">
        <f>tblWorkPackages[[#This Row],[Actual labor hours]]-tblWorkPackages[[#This Row],[Estimated labor hours]]</f>
        <v>-0.299999999999999</v>
      </c>
      <c r="S1469" s="51" t="str">
        <f>IF(tblWorkPackages[[#This Row],[Request date serial]]&lt;ValidationStart,"Train 2024",IF(tblWorkPackages[[#This Row],[Request date serial]]&lt;HoldoutStart,"Validation H1","Holdout H2"))</f>
        <v>Train 2024</v>
      </c>
      <c r="T1469" s="51" t="str">
        <f>IF(tblWorkPackages[[#This Row],[Time split]]="Train 2024","",tblWorkPackages[[#This Row],[Estimated labor hours]]+VLOOKUP(tblWorkPackages[[#This Row],[Task type]],'Forecast validation'!$A$14:$E$25,IF(tblWorkPackages[[#This Row],[Time split]]="Validation H1",4,5),FALSE()))</f>
        <v/>
      </c>
      <c r="U1469" s="51" t="str">
        <f>IF(tblWorkPackages[[#This Row],[Calibrated forecast hours]]="","",ABS(tblWorkPackages[[#This Row],[Actual labor hours]]-tblWorkPackages[[#This Row],[Calibrated forecast hours]]))</f>
        <v/>
      </c>
      <c r="V1469" s="51">
        <f>IF(tblWorkPackages[[#This Row],[Time split]]="Train 2024",tblWorkPackages[[#This Row],[Estimated labor hours]],tblWorkPackages[[#This Row],[Calibrated forecast hours]])</f>
        <v>9.1</v>
      </c>
      <c r="W1469" s="64">
        <f>DATEVALUE(tblWorkPackages[[#This Row],[Request date]])</f>
        <v>45636.0</v>
      </c>
      <c r="X1469" s="64">
        <f>DATEVALUE(tblWorkPackages[[#This Row],[Due date]])</f>
        <v>45649.0</v>
      </c>
      <c r="Y1469" s="64">
        <f>DATEVALUE(tblWorkPackages[[#This Row],[Completion date]])</f>
        <v>45652.0</v>
      </c>
      <c r="Z1469" s="64">
        <f>_xlfn.MINIFS(tblLaborEntries[Work date serial],tblLaborEntries[Work package ID],tblWorkPackages[[#This Row],[Work package ID]])</f>
        <v>45647.0</v>
      </c>
      <c r="AA1469" s="64">
        <f>_xlfn.MAXIFS(tblLaborEntries[Work date serial],tblLaborEntries[Work package ID],tblWorkPackages[[#This Row],[Work package ID]])</f>
        <v>45649.0</v>
      </c>
      <c r="AB1469" s="65">
        <f>IF(tblWorkPackages[[#This Row],[Completion date serial]]&gt;tblWorkPackages[[#This Row],[Due date serial]],1,0)</f>
        <v>1</v>
      </c>
      <c r="AC1469" s="65">
        <f>MAX(0,tblWorkPackages[[#This Row],[Completion date serial]]-tblWorkPackages[[#This Row],[Due date serial]])</f>
        <v>3</v>
      </c>
      <c r="AD1469" s="65">
        <f>tblWorkPackages[[#This Row],[First labor date]]-tblWorkPackages[[#This Row],[Request date serial]]</f>
        <v>11</v>
      </c>
      <c r="AE1469" s="65">
        <f>tblWorkPackages[[#This Row],[Last labor date]]-tblWorkPackages[[#This Row],[First labor date]]</f>
        <v>2</v>
      </c>
      <c r="AF1469" s="65">
        <f>tblWorkPackages[[#This Row],[Completion date serial]]-tblWorkPackages[[#This Row],[Last labor date]]</f>
        <v>3</v>
      </c>
      <c r="AG1469" s="65">
        <f>tblWorkPackages[[#This Row],[Completion date serial]]-tblWorkPackages[[#This Row],[Request date serial]]</f>
        <v>16</v>
      </c>
      <c r="AH1469" s="65">
        <f>IFERROR(INDEX(tblParts[Delay days],MATCH(tblWorkPackages[[#This Row],[Work package ID]],tblParts[Work package ID],0)),0)</f>
        <v>8</v>
      </c>
      <c r="AI1469" s="51" t="str">
        <f>IFERROR(INDEX(tblDisruptions[Event type],MATCH(tblWorkPackages[[#This Row],[Work package ID]],tblDisruptions[Work package ID],0)),"None")</f>
        <v>Part delay</v>
      </c>
      <c r="AJ1469" s="51" t="str">
        <f>TEXT(tblWorkPackages[[#This Row],[Due date serial]],"yyyy-mm")</f>
        <v>2024-12</v>
      </c>
    </row>
    <row r="1470" spans="1:36" ht="15" x14ac:dyDescent="0.25">
      <c r="A1470" s="53" t="s">
        <v>2378</v>
      </c>
      <c r="B1470" s="53" t="s">
        <v>168</v>
      </c>
      <c r="C1470" s="53" t="s">
        <v>284</v>
      </c>
      <c r="D1470" s="53" t="s">
        <v>911</v>
      </c>
      <c r="E1470" s="53" t="s">
        <v>127</v>
      </c>
      <c r="F1470" s="53" t="s">
        <v>128</v>
      </c>
      <c r="G1470" s="53" t="s">
        <v>129</v>
      </c>
      <c r="H1470" s="53">
        <v>4</v>
      </c>
      <c r="I1470" s="53" t="s">
        <v>130</v>
      </c>
      <c r="J1470" s="53">
        <v>0</v>
      </c>
      <c r="K1470" s="53">
        <v>0</v>
      </c>
      <c r="L1470" s="53">
        <v>12</v>
      </c>
      <c r="M1470" s="53" t="s">
        <v>637</v>
      </c>
      <c r="N1470" s="53">
        <v>16.399999999999999</v>
      </c>
      <c r="O1470" s="51" t="str">
        <f>TEXT(tblWorkPackages[[#This Row],[Request date serial]]-WEEKDAY(tblWorkPackages[[#This Row],[Request date serial]],3),"yyyy-mm-dd")</f>
        <v>2025-09-08</v>
      </c>
      <c r="P1470" s="51">
        <f>ABS(tblWorkPackages[[#This Row],[Actual labor hours]]-tblWorkPackages[[#This Row],[Estimated labor hours]])</f>
        <v>4.4</v>
      </c>
      <c r="Q1470" s="51">
        <f>IF(tblWorkPackages[[#This Row],[Actual labor hours]]&gt;tblWorkPackages[[#This Row],[Estimated labor hours]],1,0)</f>
        <v>1</v>
      </c>
      <c r="R1470" s="51">
        <f>tblWorkPackages[[#This Row],[Actual labor hours]]-tblWorkPackages[[#This Row],[Estimated labor hours]]</f>
        <v>4.4</v>
      </c>
      <c r="S1470" s="51" t="str">
        <f>IF(tblWorkPackages[[#This Row],[Request date serial]]&lt;ValidationStart,"Train 2024",IF(tblWorkPackages[[#This Row],[Request date serial]]&lt;HoldoutStart,"Validation H1","Holdout H2"))</f>
        <v>Holdout H2</v>
      </c>
      <c r="T1470" s="51">
        <f>IF(tblWorkPackages[[#This Row],[Time split]]="Train 2024","",tblWorkPackages[[#This Row],[Estimated labor hours]]+VLOOKUP(tblWorkPackages[[#This Row],[Task type]],'Forecast validation'!$A$14:$E$25,IF(tblWorkPackages[[#This Row],[Time split]]="Validation H1",4,5),FALSE()))</f>
        <v>12.5434108527132</v>
      </c>
      <c r="U1470" s="51">
        <f>IF(tblWorkPackages[[#This Row],[Calibrated forecast hours]]="","",ABS(tblWorkPackages[[#This Row],[Actual labor hours]]-tblWorkPackages[[#This Row],[Calibrated forecast hours]]))</f>
        <v>3.85658914728682</v>
      </c>
      <c r="V1470" s="51">
        <f>IF(tblWorkPackages[[#This Row],[Time split]]="Train 2024",tblWorkPackages[[#This Row],[Estimated labor hours]],tblWorkPackages[[#This Row],[Calibrated forecast hours]])</f>
        <v>12.5434108527132</v>
      </c>
      <c r="W1470" s="64">
        <f>DATEVALUE(tblWorkPackages[[#This Row],[Request date]])</f>
        <v>45910.0</v>
      </c>
      <c r="X1470" s="64">
        <f>DATEVALUE(tblWorkPackages[[#This Row],[Due date]])</f>
        <v>45923.0</v>
      </c>
      <c r="Y1470" s="64">
        <f>DATEVALUE(tblWorkPackages[[#This Row],[Completion date]])</f>
        <v>45939.0</v>
      </c>
      <c r="Z1470" s="64">
        <f>_xlfn.MINIFS(tblLaborEntries[Work date serial],tblLaborEntries[Work package ID],tblWorkPackages[[#This Row],[Work package ID]])</f>
        <v>45938.0</v>
      </c>
      <c r="AA1470" s="64">
        <f>_xlfn.MAXIFS(tblLaborEntries[Work date serial],tblLaborEntries[Work package ID],tblWorkPackages[[#This Row],[Work package ID]])</f>
        <v>45939.0</v>
      </c>
      <c r="AB1470" s="65">
        <f>IF(tblWorkPackages[[#This Row],[Completion date serial]]&gt;tblWorkPackages[[#This Row],[Due date serial]],1,0)</f>
        <v>1</v>
      </c>
      <c r="AC1470" s="65">
        <f>MAX(0,tblWorkPackages[[#This Row],[Completion date serial]]-tblWorkPackages[[#This Row],[Due date serial]])</f>
        <v>16</v>
      </c>
      <c r="AD1470" s="65">
        <f>tblWorkPackages[[#This Row],[First labor date]]-tblWorkPackages[[#This Row],[Request date serial]]</f>
        <v>28</v>
      </c>
      <c r="AE1470" s="65">
        <f>tblWorkPackages[[#This Row],[Last labor date]]-tblWorkPackages[[#This Row],[First labor date]]</f>
        <v>1</v>
      </c>
      <c r="AF1470" s="65">
        <f>tblWorkPackages[[#This Row],[Completion date serial]]-tblWorkPackages[[#This Row],[Last labor date]]</f>
        <v>0</v>
      </c>
      <c r="AG1470" s="65">
        <f>tblWorkPackages[[#This Row],[Completion date serial]]-tblWorkPackages[[#This Row],[Request date serial]]</f>
        <v>29</v>
      </c>
      <c r="AH1470" s="65">
        <f>IFERROR(INDEX(tblParts[Delay days],MATCH(tblWorkPackages[[#This Row],[Work package ID]],tblParts[Work package ID],0)),0)</f>
        <v>0</v>
      </c>
      <c r="AI1470" s="51" t="str">
        <f>IFERROR(INDEX(tblDisruptions[Event type],MATCH(tblWorkPackages[[#This Row],[Work package ID]],tblDisruptions[Work package ID],0)),"None")</f>
        <v>Equipment unavailable</v>
      </c>
      <c r="AJ1470" s="51" t="str">
        <f>TEXT(tblWorkPackages[[#This Row],[Due date serial]],"yyyy-mm")</f>
        <v>2025-09</v>
      </c>
    </row>
    <row r="1471" spans="1:36" ht="15" x14ac:dyDescent="0.25">
      <c r="A1471" s="53" t="s">
        <v>2379</v>
      </c>
      <c r="B1471" s="53" t="s">
        <v>185</v>
      </c>
      <c r="C1471" s="53" t="s">
        <v>366</v>
      </c>
      <c r="D1471" s="53" t="s">
        <v>1154</v>
      </c>
      <c r="E1471" s="53" t="s">
        <v>136</v>
      </c>
      <c r="F1471" s="53" t="s">
        <v>137</v>
      </c>
      <c r="G1471" s="53" t="s">
        <v>138</v>
      </c>
      <c r="H1471" s="53">
        <v>4</v>
      </c>
      <c r="I1471" s="53" t="s">
        <v>130</v>
      </c>
      <c r="J1471" s="53">
        <v>0</v>
      </c>
      <c r="K1471" s="53">
        <v>0</v>
      </c>
      <c r="L1471" s="53">
        <v>27.7</v>
      </c>
      <c r="M1471" s="53" t="s">
        <v>1234</v>
      </c>
      <c r="N1471" s="53">
        <v>34.200000000000003</v>
      </c>
      <c r="O1471" s="51" t="str">
        <f>TEXT(tblWorkPackages[[#This Row],[Request date serial]]-WEEKDAY(tblWorkPackages[[#This Row],[Request date serial]],3),"yyyy-mm-dd")</f>
        <v>2025-07-07</v>
      </c>
      <c r="P1471" s="51">
        <f>ABS(tblWorkPackages[[#This Row],[Actual labor hours]]-tblWorkPackages[[#This Row],[Estimated labor hours]])</f>
        <v>6.5</v>
      </c>
      <c r="Q1471" s="51">
        <f>IF(tblWorkPackages[[#This Row],[Actual labor hours]]&gt;tblWorkPackages[[#This Row],[Estimated labor hours]],1,0)</f>
        <v>1</v>
      </c>
      <c r="R1471" s="51">
        <f>tblWorkPackages[[#This Row],[Actual labor hours]]-tblWorkPackages[[#This Row],[Estimated labor hours]]</f>
        <v>6.5</v>
      </c>
      <c r="S1471" s="51" t="str">
        <f>IF(tblWorkPackages[[#This Row],[Request date serial]]&lt;ValidationStart,"Train 2024",IF(tblWorkPackages[[#This Row],[Request date serial]]&lt;HoldoutStart,"Validation H1","Holdout H2"))</f>
        <v>Holdout H2</v>
      </c>
      <c r="T1471" s="51">
        <f>IF(tblWorkPackages[[#This Row],[Time split]]="Train 2024","",tblWorkPackages[[#This Row],[Estimated labor hours]]+VLOOKUP(tblWorkPackages[[#This Row],[Task type]],'Forecast validation'!$A$14:$E$25,IF(tblWorkPackages[[#This Row],[Time split]]="Validation H1",4,5),FALSE()))</f>
        <v>28.6207547169811</v>
      </c>
      <c r="U1471" s="51">
        <f>IF(tblWorkPackages[[#This Row],[Calibrated forecast hours]]="","",ABS(tblWorkPackages[[#This Row],[Actual labor hours]]-tblWorkPackages[[#This Row],[Calibrated forecast hours]]))</f>
        <v>5.57924528301887</v>
      </c>
      <c r="V1471" s="51">
        <f>IF(tblWorkPackages[[#This Row],[Time split]]="Train 2024",tblWorkPackages[[#This Row],[Estimated labor hours]],tblWorkPackages[[#This Row],[Calibrated forecast hours]])</f>
        <v>28.6207547169811</v>
      </c>
      <c r="W1471" s="64">
        <f>DATEVALUE(tblWorkPackages[[#This Row],[Request date]])</f>
        <v>45851.0</v>
      </c>
      <c r="X1471" s="64">
        <f>DATEVALUE(tblWorkPackages[[#This Row],[Due date]])</f>
        <v>45864.0</v>
      </c>
      <c r="Y1471" s="64">
        <f>DATEVALUE(tblWorkPackages[[#This Row],[Completion date]])</f>
        <v>45859.0</v>
      </c>
      <c r="Z1471" s="64">
        <f>_xlfn.MINIFS(tblLaborEntries[Work date serial],tblLaborEntries[Work package ID],tblWorkPackages[[#This Row],[Work package ID]])</f>
        <v>45856.0</v>
      </c>
      <c r="AA1471" s="64">
        <f>_xlfn.MAXIFS(tblLaborEntries[Work date serial],tblLaborEntries[Work package ID],tblWorkPackages[[#This Row],[Work package ID]])</f>
        <v>45858.0</v>
      </c>
      <c r="AB1471" s="65">
        <f>IF(tblWorkPackages[[#This Row],[Completion date serial]]&gt;tblWorkPackages[[#This Row],[Due date serial]],1,0)</f>
        <v>0</v>
      </c>
      <c r="AC1471" s="65">
        <f>MAX(0,tblWorkPackages[[#This Row],[Completion date serial]]-tblWorkPackages[[#This Row],[Due date serial]])</f>
        <v>0</v>
      </c>
      <c r="AD1471" s="65">
        <f>tblWorkPackages[[#This Row],[First labor date]]-tblWorkPackages[[#This Row],[Request date serial]]</f>
        <v>5</v>
      </c>
      <c r="AE1471" s="65">
        <f>tblWorkPackages[[#This Row],[Last labor date]]-tblWorkPackages[[#This Row],[First labor date]]</f>
        <v>2</v>
      </c>
      <c r="AF1471" s="65">
        <f>tblWorkPackages[[#This Row],[Completion date serial]]-tblWorkPackages[[#This Row],[Last labor date]]</f>
        <v>1</v>
      </c>
      <c r="AG1471" s="65">
        <f>tblWorkPackages[[#This Row],[Completion date serial]]-tblWorkPackages[[#This Row],[Request date serial]]</f>
        <v>8</v>
      </c>
      <c r="AH1471" s="65">
        <f>IFERROR(INDEX(tblParts[Delay days],MATCH(tblWorkPackages[[#This Row],[Work package ID]],tblParts[Work package ID],0)),0)</f>
        <v>0</v>
      </c>
      <c r="AI1471" s="51" t="str">
        <f>IFERROR(INDEX(tblDisruptions[Event type],MATCH(tblWorkPackages[[#This Row],[Work package ID]],tblDisruptions[Work package ID],0)),"None")</f>
        <v>None</v>
      </c>
      <c r="AJ1471" s="51" t="str">
        <f>TEXT(tblWorkPackages[[#This Row],[Due date serial]],"yyyy-mm")</f>
        <v>2025-07</v>
      </c>
    </row>
    <row r="1472" spans="1:36" ht="15" x14ac:dyDescent="0.25">
      <c r="A1472" s="53" t="s">
        <v>2380</v>
      </c>
      <c r="B1472" s="53" t="s">
        <v>133</v>
      </c>
      <c r="C1472" s="53" t="s">
        <v>621</v>
      </c>
      <c r="D1472" s="53" t="s">
        <v>361</v>
      </c>
      <c r="E1472" s="53" t="s">
        <v>181</v>
      </c>
      <c r="F1472" s="53" t="s">
        <v>182</v>
      </c>
      <c r="G1472" s="53" t="s">
        <v>138</v>
      </c>
      <c r="H1472" s="53">
        <v>1</v>
      </c>
      <c r="I1472" s="53" t="s">
        <v>176</v>
      </c>
      <c r="J1472" s="53">
        <v>0</v>
      </c>
      <c r="K1472" s="53">
        <v>1</v>
      </c>
      <c r="L1472" s="53">
        <v>4.8</v>
      </c>
      <c r="M1472" s="53" t="s">
        <v>361</v>
      </c>
      <c r="N1472" s="53">
        <v>4.2</v>
      </c>
      <c r="O1472" s="51" t="str">
        <f>TEXT(tblWorkPackages[[#This Row],[Request date serial]]-WEEKDAY(tblWorkPackages[[#This Row],[Request date serial]],3),"yyyy-mm-dd")</f>
        <v>2024-07-22</v>
      </c>
      <c r="P1472" s="51">
        <f>ABS(tblWorkPackages[[#This Row],[Actual labor hours]]-tblWorkPackages[[#This Row],[Estimated labor hours]])</f>
        <v>0.6</v>
      </c>
      <c r="Q1472" s="51">
        <f>IF(tblWorkPackages[[#This Row],[Actual labor hours]]&gt;tblWorkPackages[[#This Row],[Estimated labor hours]],1,0)</f>
        <v>0</v>
      </c>
      <c r="R1472" s="51">
        <f>tblWorkPackages[[#This Row],[Actual labor hours]]-tblWorkPackages[[#This Row],[Estimated labor hours]]</f>
        <v>-0.6</v>
      </c>
      <c r="S1472" s="51" t="str">
        <f>IF(tblWorkPackages[[#This Row],[Request date serial]]&lt;ValidationStart,"Train 2024",IF(tblWorkPackages[[#This Row],[Request date serial]]&lt;HoldoutStart,"Validation H1","Holdout H2"))</f>
        <v>Train 2024</v>
      </c>
      <c r="T1472" s="51" t="str">
        <f>IF(tblWorkPackages[[#This Row],[Time split]]="Train 2024","",tblWorkPackages[[#This Row],[Estimated labor hours]]+VLOOKUP(tblWorkPackages[[#This Row],[Task type]],'Forecast validation'!$A$14:$E$25,IF(tblWorkPackages[[#This Row],[Time split]]="Validation H1",4,5),FALSE()))</f>
        <v/>
      </c>
      <c r="U1472" s="51" t="str">
        <f>IF(tblWorkPackages[[#This Row],[Calibrated forecast hours]]="","",ABS(tblWorkPackages[[#This Row],[Actual labor hours]]-tblWorkPackages[[#This Row],[Calibrated forecast hours]]))</f>
        <v/>
      </c>
      <c r="V1472" s="51">
        <f>IF(tblWorkPackages[[#This Row],[Time split]]="Train 2024",tblWorkPackages[[#This Row],[Estimated labor hours]],tblWorkPackages[[#This Row],[Calibrated forecast hours]])</f>
        <v>4.8</v>
      </c>
      <c r="W1472" s="64">
        <f>DATEVALUE(tblWorkPackages[[#This Row],[Request date]])</f>
        <v>45496.0</v>
      </c>
      <c r="X1472" s="64">
        <f>DATEVALUE(tblWorkPackages[[#This Row],[Due date]])</f>
        <v>45502.0</v>
      </c>
      <c r="Y1472" s="64">
        <f>DATEVALUE(tblWorkPackages[[#This Row],[Completion date]])</f>
        <v>45502.0</v>
      </c>
      <c r="Z1472" s="64">
        <f>_xlfn.MINIFS(tblLaborEntries[Work date serial],tblLaborEntries[Work package ID],tblWorkPackages[[#This Row],[Work package ID]])</f>
        <v>45498.0</v>
      </c>
      <c r="AA1472" s="64">
        <f>_xlfn.MAXIFS(tblLaborEntries[Work date serial],tblLaborEntries[Work package ID],tblWorkPackages[[#This Row],[Work package ID]])</f>
        <v>45500.0</v>
      </c>
      <c r="AB1472" s="65">
        <f>IF(tblWorkPackages[[#This Row],[Completion date serial]]&gt;tblWorkPackages[[#This Row],[Due date serial]],1,0)</f>
        <v>0</v>
      </c>
      <c r="AC1472" s="65">
        <f>MAX(0,tblWorkPackages[[#This Row],[Completion date serial]]-tblWorkPackages[[#This Row],[Due date serial]])</f>
        <v>0</v>
      </c>
      <c r="AD1472" s="65">
        <f>tblWorkPackages[[#This Row],[First labor date]]-tblWorkPackages[[#This Row],[Request date serial]]</f>
        <v>2</v>
      </c>
      <c r="AE1472" s="65">
        <f>tblWorkPackages[[#This Row],[Last labor date]]-tblWorkPackages[[#This Row],[First labor date]]</f>
        <v>2</v>
      </c>
      <c r="AF1472" s="65">
        <f>tblWorkPackages[[#This Row],[Completion date serial]]-tblWorkPackages[[#This Row],[Last labor date]]</f>
        <v>2</v>
      </c>
      <c r="AG1472" s="65">
        <f>tblWorkPackages[[#This Row],[Completion date serial]]-tblWorkPackages[[#This Row],[Request date serial]]</f>
        <v>6</v>
      </c>
      <c r="AH1472" s="65">
        <f>IFERROR(INDEX(tblParts[Delay days],MATCH(tblWorkPackages[[#This Row],[Work package ID]],tblParts[Work package ID],0)),0)</f>
        <v>0</v>
      </c>
      <c r="AI1472" s="51" t="str">
        <f>IFERROR(INDEX(tblDisruptions[Event type],MATCH(tblWorkPackages[[#This Row],[Work package ID]],tblDisruptions[Work package ID],0)),"None")</f>
        <v>None</v>
      </c>
      <c r="AJ1472" s="51" t="str">
        <f>TEXT(tblWorkPackages[[#This Row],[Due date serial]],"yyyy-mm")</f>
        <v>2024-07</v>
      </c>
    </row>
    <row r="1473" spans="1:36" ht="15" x14ac:dyDescent="0.25">
      <c r="A1473" s="53" t="s">
        <v>2381</v>
      </c>
      <c r="B1473" s="53" t="s">
        <v>124</v>
      </c>
      <c r="C1473" s="53" t="s">
        <v>991</v>
      </c>
      <c r="D1473" s="53" t="s">
        <v>2029</v>
      </c>
      <c r="E1473" s="53" t="s">
        <v>181</v>
      </c>
      <c r="F1473" s="53" t="s">
        <v>182</v>
      </c>
      <c r="G1473" s="53" t="s">
        <v>138</v>
      </c>
      <c r="H1473" s="53">
        <v>3</v>
      </c>
      <c r="I1473" s="53" t="s">
        <v>130</v>
      </c>
      <c r="J1473" s="53">
        <v>0</v>
      </c>
      <c r="K1473" s="53">
        <v>1</v>
      </c>
      <c r="L1473" s="53">
        <v>9.3000000000000007</v>
      </c>
      <c r="M1473" s="53" t="s">
        <v>325</v>
      </c>
      <c r="N1473" s="53">
        <v>13.2</v>
      </c>
      <c r="O1473" s="51" t="str">
        <f>TEXT(tblWorkPackages[[#This Row],[Request date serial]]-WEEKDAY(tblWorkPackages[[#This Row],[Request date serial]],3),"yyyy-mm-dd")</f>
        <v>2025-10-13</v>
      </c>
      <c r="P1473" s="51">
        <f>ABS(tblWorkPackages[[#This Row],[Actual labor hours]]-tblWorkPackages[[#This Row],[Estimated labor hours]])</f>
        <v>3.9</v>
      </c>
      <c r="Q1473" s="51">
        <f>IF(tblWorkPackages[[#This Row],[Actual labor hours]]&gt;tblWorkPackages[[#This Row],[Estimated labor hours]],1,0)</f>
        <v>1</v>
      </c>
      <c r="R1473" s="51">
        <f>tblWorkPackages[[#This Row],[Actual labor hours]]-tblWorkPackages[[#This Row],[Estimated labor hours]]</f>
        <v>3.9</v>
      </c>
      <c r="S1473" s="51" t="str">
        <f>IF(tblWorkPackages[[#This Row],[Request date serial]]&lt;ValidationStart,"Train 2024",IF(tblWorkPackages[[#This Row],[Request date serial]]&lt;HoldoutStart,"Validation H1","Holdout H2"))</f>
        <v>Holdout H2</v>
      </c>
      <c r="T1473" s="51">
        <f>IF(tblWorkPackages[[#This Row],[Time split]]="Train 2024","",tblWorkPackages[[#This Row],[Estimated labor hours]]+VLOOKUP(tblWorkPackages[[#This Row],[Task type]],'Forecast validation'!$A$14:$E$25,IF(tblWorkPackages[[#This Row],[Time split]]="Validation H1",4,5),FALSE()))</f>
        <v>9.89160839160839</v>
      </c>
      <c r="U1473" s="51">
        <f>IF(tblWorkPackages[[#This Row],[Calibrated forecast hours]]="","",ABS(tblWorkPackages[[#This Row],[Actual labor hours]]-tblWorkPackages[[#This Row],[Calibrated forecast hours]]))</f>
        <v>3.30839160839161</v>
      </c>
      <c r="V1473" s="51">
        <f>IF(tblWorkPackages[[#This Row],[Time split]]="Train 2024",tblWorkPackages[[#This Row],[Estimated labor hours]],tblWorkPackages[[#This Row],[Calibrated forecast hours]])</f>
        <v>9.89160839160839</v>
      </c>
      <c r="W1473" s="64">
        <f>DATEVALUE(tblWorkPackages[[#This Row],[Request date]])</f>
        <v>45945.0</v>
      </c>
      <c r="X1473" s="64">
        <f>DATEVALUE(tblWorkPackages[[#This Row],[Due date]])</f>
        <v>45958.0</v>
      </c>
      <c r="Y1473" s="64">
        <f>DATEVALUE(tblWorkPackages[[#This Row],[Completion date]])</f>
        <v>45962.0</v>
      </c>
      <c r="Z1473" s="64">
        <f>_xlfn.MINIFS(tblLaborEntries[Work date serial],tblLaborEntries[Work package ID],tblWorkPackages[[#This Row],[Work package ID]])</f>
        <v>45959.0</v>
      </c>
      <c r="AA1473" s="64">
        <f>_xlfn.MAXIFS(tblLaborEntries[Work date serial],tblLaborEntries[Work package ID],tblWorkPackages[[#This Row],[Work package ID]])</f>
        <v>45959.0</v>
      </c>
      <c r="AB1473" s="65">
        <f>IF(tblWorkPackages[[#This Row],[Completion date serial]]&gt;tblWorkPackages[[#This Row],[Due date serial]],1,0)</f>
        <v>1</v>
      </c>
      <c r="AC1473" s="65">
        <f>MAX(0,tblWorkPackages[[#This Row],[Completion date serial]]-tblWorkPackages[[#This Row],[Due date serial]])</f>
        <v>4</v>
      </c>
      <c r="AD1473" s="65">
        <f>tblWorkPackages[[#This Row],[First labor date]]-tblWorkPackages[[#This Row],[Request date serial]]</f>
        <v>14</v>
      </c>
      <c r="AE1473" s="65">
        <f>tblWorkPackages[[#This Row],[Last labor date]]-tblWorkPackages[[#This Row],[First labor date]]</f>
        <v>0</v>
      </c>
      <c r="AF1473" s="65">
        <f>tblWorkPackages[[#This Row],[Completion date serial]]-tblWorkPackages[[#This Row],[Last labor date]]</f>
        <v>3</v>
      </c>
      <c r="AG1473" s="65">
        <f>tblWorkPackages[[#This Row],[Completion date serial]]-tblWorkPackages[[#This Row],[Request date serial]]</f>
        <v>17</v>
      </c>
      <c r="AH1473" s="65">
        <f>IFERROR(INDEX(tblParts[Delay days],MATCH(tblWorkPackages[[#This Row],[Work package ID]],tblParts[Work package ID],0)),0)</f>
        <v>0</v>
      </c>
      <c r="AI1473" s="51" t="str">
        <f>IFERROR(INDEX(tblDisruptions[Event type],MATCH(tblWorkPackages[[#This Row],[Work package ID]],tblDisruptions[Work package ID],0)),"None")</f>
        <v>Technician absence</v>
      </c>
      <c r="AJ1473" s="51" t="str">
        <f>TEXT(tblWorkPackages[[#This Row],[Due date serial]],"yyyy-mm")</f>
        <v>2025-10</v>
      </c>
    </row>
    <row r="1474" spans="1:36" ht="15" x14ac:dyDescent="0.25">
      <c r="A1474" s="53" t="s">
        <v>2382</v>
      </c>
      <c r="B1474" s="53" t="s">
        <v>230</v>
      </c>
      <c r="C1474" s="53" t="s">
        <v>261</v>
      </c>
      <c r="D1474" s="53" t="s">
        <v>504</v>
      </c>
      <c r="E1474" s="53" t="s">
        <v>272</v>
      </c>
      <c r="F1474" s="53" t="s">
        <v>145</v>
      </c>
      <c r="G1474" s="53" t="s">
        <v>273</v>
      </c>
      <c r="H1474" s="53">
        <v>2</v>
      </c>
      <c r="I1474" s="53" t="s">
        <v>130</v>
      </c>
      <c r="J1474" s="53">
        <v>0</v>
      </c>
      <c r="K1474" s="53">
        <v>0</v>
      </c>
      <c r="L1474" s="53">
        <v>12</v>
      </c>
      <c r="M1474" s="53" t="s">
        <v>681</v>
      </c>
      <c r="N1474" s="53">
        <v>11.2</v>
      </c>
      <c r="O1474" s="51" t="str">
        <f>TEXT(tblWorkPackages[[#This Row],[Request date serial]]-WEEKDAY(tblWorkPackages[[#This Row],[Request date serial]],3),"yyyy-mm-dd")</f>
        <v>2025-01-13</v>
      </c>
      <c r="P1474" s="51">
        <f>ABS(tblWorkPackages[[#This Row],[Actual labor hours]]-tblWorkPackages[[#This Row],[Estimated labor hours]])</f>
        <v>0.800000000000001</v>
      </c>
      <c r="Q1474" s="51">
        <f>IF(tblWorkPackages[[#This Row],[Actual labor hours]]&gt;tblWorkPackages[[#This Row],[Estimated labor hours]],1,0)</f>
        <v>0</v>
      </c>
      <c r="R1474" s="51">
        <f>tblWorkPackages[[#This Row],[Actual labor hours]]-tblWorkPackages[[#This Row],[Estimated labor hours]]</f>
        <v>-0.800000000000001</v>
      </c>
      <c r="S1474" s="51" t="str">
        <f>IF(tblWorkPackages[[#This Row],[Request date serial]]&lt;ValidationStart,"Train 2024",IF(tblWorkPackages[[#This Row],[Request date serial]]&lt;HoldoutStart,"Validation H1","Holdout H2"))</f>
        <v>Validation H1</v>
      </c>
      <c r="T1474" s="51">
        <f>IF(tblWorkPackages[[#This Row],[Time split]]="Train 2024","",tblWorkPackages[[#This Row],[Estimated labor hours]]+VLOOKUP(tblWorkPackages[[#This Row],[Task type]],'Forecast validation'!$A$14:$E$25,IF(tblWorkPackages[[#This Row],[Time split]]="Validation H1",4,5),FALSE()))</f>
        <v>13.0320512820513</v>
      </c>
      <c r="U1474" s="51">
        <f>IF(tblWorkPackages[[#This Row],[Calibrated forecast hours]]="","",ABS(tblWorkPackages[[#This Row],[Actual labor hours]]-tblWorkPackages[[#This Row],[Calibrated forecast hours]]))</f>
        <v>1.83205128205128</v>
      </c>
      <c r="V1474" s="51">
        <f>IF(tblWorkPackages[[#This Row],[Time split]]="Train 2024",tblWorkPackages[[#This Row],[Estimated labor hours]],tblWorkPackages[[#This Row],[Calibrated forecast hours]])</f>
        <v>13.0320512820513</v>
      </c>
      <c r="W1474" s="64">
        <f>DATEVALUE(tblWorkPackages[[#This Row],[Request date]])</f>
        <v>45676.0</v>
      </c>
      <c r="X1474" s="64">
        <f>DATEVALUE(tblWorkPackages[[#This Row],[Due date]])</f>
        <v>45689.0</v>
      </c>
      <c r="Y1474" s="64">
        <f>DATEVALUE(tblWorkPackages[[#This Row],[Completion date]])</f>
        <v>45681.0</v>
      </c>
      <c r="Z1474" s="64">
        <f>_xlfn.MINIFS(tblLaborEntries[Work date serial],tblLaborEntries[Work package ID],tblWorkPackages[[#This Row],[Work package ID]])</f>
        <v>45679.0</v>
      </c>
      <c r="AA1474" s="64">
        <f>_xlfn.MAXIFS(tblLaborEntries[Work date serial],tblLaborEntries[Work package ID],tblWorkPackages[[#This Row],[Work package ID]])</f>
        <v>45681.0</v>
      </c>
      <c r="AB1474" s="65">
        <f>IF(tblWorkPackages[[#This Row],[Completion date serial]]&gt;tblWorkPackages[[#This Row],[Due date serial]],1,0)</f>
        <v>0</v>
      </c>
      <c r="AC1474" s="65">
        <f>MAX(0,tblWorkPackages[[#This Row],[Completion date serial]]-tblWorkPackages[[#This Row],[Due date serial]])</f>
        <v>0</v>
      </c>
      <c r="AD1474" s="65">
        <f>tblWorkPackages[[#This Row],[First labor date]]-tblWorkPackages[[#This Row],[Request date serial]]</f>
        <v>3</v>
      </c>
      <c r="AE1474" s="65">
        <f>tblWorkPackages[[#This Row],[Last labor date]]-tblWorkPackages[[#This Row],[First labor date]]</f>
        <v>2</v>
      </c>
      <c r="AF1474" s="65">
        <f>tblWorkPackages[[#This Row],[Completion date serial]]-tblWorkPackages[[#This Row],[Last labor date]]</f>
        <v>0</v>
      </c>
      <c r="AG1474" s="65">
        <f>tblWorkPackages[[#This Row],[Completion date serial]]-tblWorkPackages[[#This Row],[Request date serial]]</f>
        <v>5</v>
      </c>
      <c r="AH1474" s="65">
        <f>IFERROR(INDEX(tblParts[Delay days],MATCH(tblWorkPackages[[#This Row],[Work package ID]],tblParts[Work package ID],0)),0)</f>
        <v>0</v>
      </c>
      <c r="AI1474" s="51" t="str">
        <f>IFERROR(INDEX(tblDisruptions[Event type],MATCH(tblWorkPackages[[#This Row],[Work package ID]],tblDisruptions[Work package ID],0)),"None")</f>
        <v>None</v>
      </c>
      <c r="AJ1474" s="51" t="str">
        <f>TEXT(tblWorkPackages[[#This Row],[Due date serial]],"yyyy-mm")</f>
        <v>2025-02</v>
      </c>
    </row>
    <row r="1475" spans="1:36" ht="15" x14ac:dyDescent="0.25">
      <c r="A1475" s="53" t="s">
        <v>2383</v>
      </c>
      <c r="B1475" s="53" t="s">
        <v>185</v>
      </c>
      <c r="C1475" s="53" t="s">
        <v>468</v>
      </c>
      <c r="D1475" s="53" t="s">
        <v>517</v>
      </c>
      <c r="E1475" s="53" t="s">
        <v>181</v>
      </c>
      <c r="F1475" s="53" t="s">
        <v>182</v>
      </c>
      <c r="G1475" s="53" t="s">
        <v>138</v>
      </c>
      <c r="H1475" s="53">
        <v>2</v>
      </c>
      <c r="I1475" s="53" t="s">
        <v>130</v>
      </c>
      <c r="J1475" s="53">
        <v>0</v>
      </c>
      <c r="K1475" s="53">
        <v>0</v>
      </c>
      <c r="L1475" s="53">
        <v>9</v>
      </c>
      <c r="M1475" s="53" t="s">
        <v>673</v>
      </c>
      <c r="N1475" s="53">
        <v>9.1999999999999993</v>
      </c>
      <c r="O1475" s="51" t="str">
        <f>TEXT(tblWorkPackages[[#This Row],[Request date serial]]-WEEKDAY(tblWorkPackages[[#This Row],[Request date serial]],3),"yyyy-mm-dd")</f>
        <v>2025-04-28</v>
      </c>
      <c r="P1475" s="51">
        <f>ABS(tblWorkPackages[[#This Row],[Actual labor hours]]-tblWorkPackages[[#This Row],[Estimated labor hours]])</f>
        <v>0.199999999999999</v>
      </c>
      <c r="Q1475" s="51">
        <f>IF(tblWorkPackages[[#This Row],[Actual labor hours]]&gt;tblWorkPackages[[#This Row],[Estimated labor hours]],1,0)</f>
        <v>1</v>
      </c>
      <c r="R1475" s="51">
        <f>tblWorkPackages[[#This Row],[Actual labor hours]]-tblWorkPackages[[#This Row],[Estimated labor hours]]</f>
        <v>0.199999999999999</v>
      </c>
      <c r="S1475" s="51" t="str">
        <f>IF(tblWorkPackages[[#This Row],[Request date serial]]&lt;ValidationStart,"Train 2024",IF(tblWorkPackages[[#This Row],[Request date serial]]&lt;HoldoutStart,"Validation H1","Holdout H2"))</f>
        <v>Validation H1</v>
      </c>
      <c r="T1475" s="51">
        <f>IF(tblWorkPackages[[#This Row],[Time split]]="Train 2024","",tblWorkPackages[[#This Row],[Estimated labor hours]]+VLOOKUP(tblWorkPackages[[#This Row],[Task type]],'Forecast validation'!$A$14:$E$25,IF(tblWorkPackages[[#This Row],[Time split]]="Validation H1",4,5),FALSE()))</f>
        <v>9.58409090909091</v>
      </c>
      <c r="U1475" s="51">
        <f>IF(tblWorkPackages[[#This Row],[Calibrated forecast hours]]="","",ABS(tblWorkPackages[[#This Row],[Actual labor hours]]-tblWorkPackages[[#This Row],[Calibrated forecast hours]]))</f>
        <v>0.38409090909091</v>
      </c>
      <c r="V1475" s="51">
        <f>IF(tblWorkPackages[[#This Row],[Time split]]="Train 2024",tblWorkPackages[[#This Row],[Estimated labor hours]],tblWorkPackages[[#This Row],[Calibrated forecast hours]])</f>
        <v>9.58409090909091</v>
      </c>
      <c r="W1475" s="64">
        <f>DATEVALUE(tblWorkPackages[[#This Row],[Request date]])</f>
        <v>45775.0</v>
      </c>
      <c r="X1475" s="64">
        <f>DATEVALUE(tblWorkPackages[[#This Row],[Due date]])</f>
        <v>45788.0</v>
      </c>
      <c r="Y1475" s="64">
        <f>DATEVALUE(tblWorkPackages[[#This Row],[Completion date]])</f>
        <v>45830.0</v>
      </c>
      <c r="Z1475" s="64">
        <f>_xlfn.MINIFS(tblLaborEntries[Work date serial],tblLaborEntries[Work package ID],tblWorkPackages[[#This Row],[Work package ID]])</f>
        <v>45828.0</v>
      </c>
      <c r="AA1475" s="64">
        <f>_xlfn.MAXIFS(tblLaborEntries[Work date serial],tblLaborEntries[Work package ID],tblWorkPackages[[#This Row],[Work package ID]])</f>
        <v>45829.0</v>
      </c>
      <c r="AB1475" s="65">
        <f>IF(tblWorkPackages[[#This Row],[Completion date serial]]&gt;tblWorkPackages[[#This Row],[Due date serial]],1,0)</f>
        <v>1</v>
      </c>
      <c r="AC1475" s="65">
        <f>MAX(0,tblWorkPackages[[#This Row],[Completion date serial]]-tblWorkPackages[[#This Row],[Due date serial]])</f>
        <v>42</v>
      </c>
      <c r="AD1475" s="65">
        <f>tblWorkPackages[[#This Row],[First labor date]]-tblWorkPackages[[#This Row],[Request date serial]]</f>
        <v>53</v>
      </c>
      <c r="AE1475" s="65">
        <f>tblWorkPackages[[#This Row],[Last labor date]]-tblWorkPackages[[#This Row],[First labor date]]</f>
        <v>1</v>
      </c>
      <c r="AF1475" s="65">
        <f>tblWorkPackages[[#This Row],[Completion date serial]]-tblWorkPackages[[#This Row],[Last labor date]]</f>
        <v>1</v>
      </c>
      <c r="AG1475" s="65">
        <f>tblWorkPackages[[#This Row],[Completion date serial]]-tblWorkPackages[[#This Row],[Request date serial]]</f>
        <v>55</v>
      </c>
      <c r="AH1475" s="65">
        <f>IFERROR(INDEX(tblParts[Delay days],MATCH(tblWorkPackages[[#This Row],[Work package ID]],tblParts[Work package ID],0)),0)</f>
        <v>0</v>
      </c>
      <c r="AI1475" s="51" t="str">
        <f>IFERROR(INDEX(tblDisruptions[Event type],MATCH(tblWorkPackages[[#This Row],[Work package ID]],tblDisruptions[Work package ID],0)),"None")</f>
        <v>Technician absence</v>
      </c>
      <c r="AJ1475" s="51" t="str">
        <f>TEXT(tblWorkPackages[[#This Row],[Due date serial]],"yyyy-mm")</f>
        <v>2025-05</v>
      </c>
    </row>
    <row r="1476" spans="1:36" ht="15" x14ac:dyDescent="0.25">
      <c r="A1476" s="53" t="s">
        <v>2384</v>
      </c>
      <c r="B1476" s="53" t="s">
        <v>124</v>
      </c>
      <c r="C1476" s="53" t="s">
        <v>126</v>
      </c>
      <c r="D1476" s="53" t="s">
        <v>618</v>
      </c>
      <c r="E1476" s="53" t="s">
        <v>127</v>
      </c>
      <c r="F1476" s="53" t="s">
        <v>128</v>
      </c>
      <c r="G1476" s="53" t="s">
        <v>129</v>
      </c>
      <c r="H1476" s="53">
        <v>4</v>
      </c>
      <c r="I1476" s="53" t="s">
        <v>130</v>
      </c>
      <c r="J1476" s="53">
        <v>0</v>
      </c>
      <c r="K1476" s="53">
        <v>0</v>
      </c>
      <c r="L1476" s="53">
        <v>14.8</v>
      </c>
      <c r="M1476" s="53" t="s">
        <v>597</v>
      </c>
      <c r="N1476" s="53">
        <v>16.3</v>
      </c>
      <c r="O1476" s="51" t="str">
        <f>TEXT(tblWorkPackages[[#This Row],[Request date serial]]-WEEKDAY(tblWorkPackages[[#This Row],[Request date serial]],3),"yyyy-mm-dd")</f>
        <v>2025-05-12</v>
      </c>
      <c r="P1476" s="51">
        <f>ABS(tblWorkPackages[[#This Row],[Actual labor hours]]-tblWorkPackages[[#This Row],[Estimated labor hours]])</f>
        <v>1.5</v>
      </c>
      <c r="Q1476" s="51">
        <f>IF(tblWorkPackages[[#This Row],[Actual labor hours]]&gt;tblWorkPackages[[#This Row],[Estimated labor hours]],1,0)</f>
        <v>1</v>
      </c>
      <c r="R1476" s="51">
        <f>tblWorkPackages[[#This Row],[Actual labor hours]]-tblWorkPackages[[#This Row],[Estimated labor hours]]</f>
        <v>1.5</v>
      </c>
      <c r="S1476" s="51" t="str">
        <f>IF(tblWorkPackages[[#This Row],[Request date serial]]&lt;ValidationStart,"Train 2024",IF(tblWorkPackages[[#This Row],[Request date serial]]&lt;HoldoutStart,"Validation H1","Holdout H2"))</f>
        <v>Validation H1</v>
      </c>
      <c r="T1476" s="51">
        <f>IF(tblWorkPackages[[#This Row],[Time split]]="Train 2024","",tblWorkPackages[[#This Row],[Estimated labor hours]]+VLOOKUP(tblWorkPackages[[#This Row],[Task type]],'Forecast validation'!$A$14:$E$25,IF(tblWorkPackages[[#This Row],[Time split]]="Validation H1",4,5),FALSE()))</f>
        <v>15.275641025641</v>
      </c>
      <c r="U1476" s="51">
        <f>IF(tblWorkPackages[[#This Row],[Calibrated forecast hours]]="","",ABS(tblWorkPackages[[#This Row],[Actual labor hours]]-tblWorkPackages[[#This Row],[Calibrated forecast hours]]))</f>
        <v>1.02435897435898</v>
      </c>
      <c r="V1476" s="51">
        <f>IF(tblWorkPackages[[#This Row],[Time split]]="Train 2024",tblWorkPackages[[#This Row],[Estimated labor hours]],tblWorkPackages[[#This Row],[Calibrated forecast hours]])</f>
        <v>15.275641025641</v>
      </c>
      <c r="W1476" s="64">
        <f>DATEVALUE(tblWorkPackages[[#This Row],[Request date]])</f>
        <v>45793.0</v>
      </c>
      <c r="X1476" s="64">
        <f>DATEVALUE(tblWorkPackages[[#This Row],[Due date]])</f>
        <v>45806.0</v>
      </c>
      <c r="Y1476" s="64">
        <f>DATEVALUE(tblWorkPackages[[#This Row],[Completion date]])</f>
        <v>45803.0</v>
      </c>
      <c r="Z1476" s="64">
        <f>_xlfn.MINIFS(tblLaborEntries[Work date serial],tblLaborEntries[Work package ID],tblWorkPackages[[#This Row],[Work package ID]])</f>
        <v>45801.0</v>
      </c>
      <c r="AA1476" s="64">
        <f>_xlfn.MAXIFS(tblLaborEntries[Work date serial],tblLaborEntries[Work package ID],tblWorkPackages[[#This Row],[Work package ID]])</f>
        <v>45801.0</v>
      </c>
      <c r="AB1476" s="65">
        <f>IF(tblWorkPackages[[#This Row],[Completion date serial]]&gt;tblWorkPackages[[#This Row],[Due date serial]],1,0)</f>
        <v>0</v>
      </c>
      <c r="AC1476" s="65">
        <f>MAX(0,tblWorkPackages[[#This Row],[Completion date serial]]-tblWorkPackages[[#This Row],[Due date serial]])</f>
        <v>0</v>
      </c>
      <c r="AD1476" s="65">
        <f>tblWorkPackages[[#This Row],[First labor date]]-tblWorkPackages[[#This Row],[Request date serial]]</f>
        <v>8</v>
      </c>
      <c r="AE1476" s="65">
        <f>tblWorkPackages[[#This Row],[Last labor date]]-tblWorkPackages[[#This Row],[First labor date]]</f>
        <v>0</v>
      </c>
      <c r="AF1476" s="65">
        <f>tblWorkPackages[[#This Row],[Completion date serial]]-tblWorkPackages[[#This Row],[Last labor date]]</f>
        <v>2</v>
      </c>
      <c r="AG1476" s="65">
        <f>tblWorkPackages[[#This Row],[Completion date serial]]-tblWorkPackages[[#This Row],[Request date serial]]</f>
        <v>10</v>
      </c>
      <c r="AH1476" s="65">
        <f>IFERROR(INDEX(tblParts[Delay days],MATCH(tblWorkPackages[[#This Row],[Work package ID]],tblParts[Work package ID],0)),0)</f>
        <v>0</v>
      </c>
      <c r="AI1476" s="51" t="str">
        <f>IFERROR(INDEX(tblDisruptions[Event type],MATCH(tblWorkPackages[[#This Row],[Work package ID]],tblDisruptions[Work package ID],0)),"None")</f>
        <v>None</v>
      </c>
      <c r="AJ1476" s="51" t="str">
        <f>TEXT(tblWorkPackages[[#This Row],[Due date serial]],"yyyy-mm")</f>
        <v>2025-05</v>
      </c>
    </row>
    <row r="1477" spans="1:36" ht="15" x14ac:dyDescent="0.25">
      <c r="A1477" s="53" t="s">
        <v>2385</v>
      </c>
      <c r="B1477" s="53" t="s">
        <v>235</v>
      </c>
      <c r="C1477" s="53" t="s">
        <v>488</v>
      </c>
      <c r="D1477" s="53" t="s">
        <v>1457</v>
      </c>
      <c r="E1477" s="53" t="s">
        <v>144</v>
      </c>
      <c r="F1477" s="53" t="s">
        <v>145</v>
      </c>
      <c r="G1477" s="53" t="s">
        <v>146</v>
      </c>
      <c r="H1477" s="53">
        <v>2</v>
      </c>
      <c r="I1477" s="53" t="s">
        <v>176</v>
      </c>
      <c r="J1477" s="53">
        <v>0</v>
      </c>
      <c r="K1477" s="53">
        <v>1</v>
      </c>
      <c r="L1477" s="53">
        <v>11</v>
      </c>
      <c r="M1477" s="53" t="s">
        <v>805</v>
      </c>
      <c r="N1477" s="53">
        <v>13.2</v>
      </c>
      <c r="O1477" s="51" t="str">
        <f>TEXT(tblWorkPackages[[#This Row],[Request date serial]]-WEEKDAY(tblWorkPackages[[#This Row],[Request date serial]],3),"yyyy-mm-dd")</f>
        <v>2024-02-05</v>
      </c>
      <c r="P1477" s="51">
        <f>ABS(tblWorkPackages[[#This Row],[Actual labor hours]]-tblWorkPackages[[#This Row],[Estimated labor hours]])</f>
        <v>2.2</v>
      </c>
      <c r="Q1477" s="51">
        <f>IF(tblWorkPackages[[#This Row],[Actual labor hours]]&gt;tblWorkPackages[[#This Row],[Estimated labor hours]],1,0)</f>
        <v>1</v>
      </c>
      <c r="R1477" s="51">
        <f>tblWorkPackages[[#This Row],[Actual labor hours]]-tblWorkPackages[[#This Row],[Estimated labor hours]]</f>
        <v>2.2</v>
      </c>
      <c r="S1477" s="51" t="str">
        <f>IF(tblWorkPackages[[#This Row],[Request date serial]]&lt;ValidationStart,"Train 2024",IF(tblWorkPackages[[#This Row],[Request date serial]]&lt;HoldoutStart,"Validation H1","Holdout H2"))</f>
        <v>Train 2024</v>
      </c>
      <c r="T1477" s="51" t="str">
        <f>IF(tblWorkPackages[[#This Row],[Time split]]="Train 2024","",tblWorkPackages[[#This Row],[Estimated labor hours]]+VLOOKUP(tblWorkPackages[[#This Row],[Task type]],'Forecast validation'!$A$14:$E$25,IF(tblWorkPackages[[#This Row],[Time split]]="Validation H1",4,5),FALSE()))</f>
        <v/>
      </c>
      <c r="U1477" s="51" t="str">
        <f>IF(tblWorkPackages[[#This Row],[Calibrated forecast hours]]="","",ABS(tblWorkPackages[[#This Row],[Actual labor hours]]-tblWorkPackages[[#This Row],[Calibrated forecast hours]]))</f>
        <v/>
      </c>
      <c r="V1477" s="51">
        <f>IF(tblWorkPackages[[#This Row],[Time split]]="Train 2024",tblWorkPackages[[#This Row],[Estimated labor hours]],tblWorkPackages[[#This Row],[Calibrated forecast hours]])</f>
        <v>11</v>
      </c>
      <c r="W1477" s="64">
        <f>DATEVALUE(tblWorkPackages[[#This Row],[Request date]])</f>
        <v>45328.0</v>
      </c>
      <c r="X1477" s="64">
        <f>DATEVALUE(tblWorkPackages[[#This Row],[Due date]])</f>
        <v>45334.0</v>
      </c>
      <c r="Y1477" s="64">
        <f>DATEVALUE(tblWorkPackages[[#This Row],[Completion date]])</f>
        <v>45335.0</v>
      </c>
      <c r="Z1477" s="64">
        <f>_xlfn.MINIFS(tblLaborEntries[Work date serial],tblLaborEntries[Work package ID],tblWorkPackages[[#This Row],[Work package ID]])</f>
        <v>45330.0</v>
      </c>
      <c r="AA1477" s="64">
        <f>_xlfn.MAXIFS(tblLaborEntries[Work date serial],tblLaborEntries[Work package ID],tblWorkPackages[[#This Row],[Work package ID]])</f>
        <v>45332.0</v>
      </c>
      <c r="AB1477" s="65">
        <f>IF(tblWorkPackages[[#This Row],[Completion date serial]]&gt;tblWorkPackages[[#This Row],[Due date serial]],1,0)</f>
        <v>1</v>
      </c>
      <c r="AC1477" s="65">
        <f>MAX(0,tblWorkPackages[[#This Row],[Completion date serial]]-tblWorkPackages[[#This Row],[Due date serial]])</f>
        <v>1</v>
      </c>
      <c r="AD1477" s="65">
        <f>tblWorkPackages[[#This Row],[First labor date]]-tblWorkPackages[[#This Row],[Request date serial]]</f>
        <v>2</v>
      </c>
      <c r="AE1477" s="65">
        <f>tblWorkPackages[[#This Row],[Last labor date]]-tblWorkPackages[[#This Row],[First labor date]]</f>
        <v>2</v>
      </c>
      <c r="AF1477" s="65">
        <f>tblWorkPackages[[#This Row],[Completion date serial]]-tblWorkPackages[[#This Row],[Last labor date]]</f>
        <v>3</v>
      </c>
      <c r="AG1477" s="65">
        <f>tblWorkPackages[[#This Row],[Completion date serial]]-tblWorkPackages[[#This Row],[Request date serial]]</f>
        <v>7</v>
      </c>
      <c r="AH1477" s="65">
        <f>IFERROR(INDEX(tblParts[Delay days],MATCH(tblWorkPackages[[#This Row],[Work package ID]],tblParts[Work package ID],0)),0)</f>
        <v>0</v>
      </c>
      <c r="AI1477" s="51" t="str">
        <f>IFERROR(INDEX(tblDisruptions[Event type],MATCH(tblWorkPackages[[#This Row],[Work package ID]],tblDisruptions[Work package ID],0)),"None")</f>
        <v>None</v>
      </c>
      <c r="AJ1477" s="51" t="str">
        <f>TEXT(tblWorkPackages[[#This Row],[Due date serial]],"yyyy-mm")</f>
        <v>2024-02</v>
      </c>
    </row>
    <row r="1478" spans="1:36" ht="15" x14ac:dyDescent="0.25">
      <c r="A1478" s="53" t="s">
        <v>2386</v>
      </c>
      <c r="B1478" s="53" t="s">
        <v>150</v>
      </c>
      <c r="C1478" s="53" t="s">
        <v>1126</v>
      </c>
      <c r="D1478" s="53" t="s">
        <v>407</v>
      </c>
      <c r="E1478" s="53" t="s">
        <v>272</v>
      </c>
      <c r="F1478" s="53" t="s">
        <v>145</v>
      </c>
      <c r="G1478" s="53" t="s">
        <v>273</v>
      </c>
      <c r="H1478" s="53">
        <v>3</v>
      </c>
      <c r="I1478" s="53" t="s">
        <v>176</v>
      </c>
      <c r="J1478" s="53">
        <v>0</v>
      </c>
      <c r="K1478" s="53">
        <v>1</v>
      </c>
      <c r="L1478" s="53">
        <v>18.100000000000001</v>
      </c>
      <c r="M1478" s="53" t="s">
        <v>575</v>
      </c>
      <c r="N1478" s="53">
        <v>18.7</v>
      </c>
      <c r="O1478" s="51" t="str">
        <f>TEXT(tblWorkPackages[[#This Row],[Request date serial]]-WEEKDAY(tblWorkPackages[[#This Row],[Request date serial]],3),"yyyy-mm-dd")</f>
        <v>2024-05-20</v>
      </c>
      <c r="P1478" s="51">
        <f>ABS(tblWorkPackages[[#This Row],[Actual labor hours]]-tblWorkPackages[[#This Row],[Estimated labor hours]])</f>
        <v>0.599999999999998</v>
      </c>
      <c r="Q1478" s="51">
        <f>IF(tblWorkPackages[[#This Row],[Actual labor hours]]&gt;tblWorkPackages[[#This Row],[Estimated labor hours]],1,0)</f>
        <v>1</v>
      </c>
      <c r="R1478" s="51">
        <f>tblWorkPackages[[#This Row],[Actual labor hours]]-tblWorkPackages[[#This Row],[Estimated labor hours]]</f>
        <v>0.599999999999998</v>
      </c>
      <c r="S1478" s="51" t="str">
        <f>IF(tblWorkPackages[[#This Row],[Request date serial]]&lt;ValidationStart,"Train 2024",IF(tblWorkPackages[[#This Row],[Request date serial]]&lt;HoldoutStart,"Validation H1","Holdout H2"))</f>
        <v>Train 2024</v>
      </c>
      <c r="T1478" s="51" t="str">
        <f>IF(tblWorkPackages[[#This Row],[Time split]]="Train 2024","",tblWorkPackages[[#This Row],[Estimated labor hours]]+VLOOKUP(tblWorkPackages[[#This Row],[Task type]],'Forecast validation'!$A$14:$E$25,IF(tblWorkPackages[[#This Row],[Time split]]="Validation H1",4,5),FALSE()))</f>
        <v/>
      </c>
      <c r="U1478" s="51" t="str">
        <f>IF(tblWorkPackages[[#This Row],[Calibrated forecast hours]]="","",ABS(tblWorkPackages[[#This Row],[Actual labor hours]]-tblWorkPackages[[#This Row],[Calibrated forecast hours]]))</f>
        <v/>
      </c>
      <c r="V1478" s="51">
        <f>IF(tblWorkPackages[[#This Row],[Time split]]="Train 2024",tblWorkPackages[[#This Row],[Estimated labor hours]],tblWorkPackages[[#This Row],[Calibrated forecast hours]])</f>
        <v>18.1</v>
      </c>
      <c r="W1478" s="64">
        <f>DATEVALUE(tblWorkPackages[[#This Row],[Request date]])</f>
        <v>45435.0</v>
      </c>
      <c r="X1478" s="64">
        <f>DATEVALUE(tblWorkPackages[[#This Row],[Due date]])</f>
        <v>45441.0</v>
      </c>
      <c r="Y1478" s="64">
        <f>DATEVALUE(tblWorkPackages[[#This Row],[Completion date]])</f>
        <v>45458.0</v>
      </c>
      <c r="Z1478" s="64">
        <f>_xlfn.MINIFS(tblLaborEntries[Work date serial],tblLaborEntries[Work package ID],tblWorkPackages[[#This Row],[Work package ID]])</f>
        <v>45456.0</v>
      </c>
      <c r="AA1478" s="64">
        <f>_xlfn.MAXIFS(tblLaborEntries[Work date serial],tblLaborEntries[Work package ID],tblWorkPackages[[#This Row],[Work package ID]])</f>
        <v>45458.0</v>
      </c>
      <c r="AB1478" s="65">
        <f>IF(tblWorkPackages[[#This Row],[Completion date serial]]&gt;tblWorkPackages[[#This Row],[Due date serial]],1,0)</f>
        <v>1</v>
      </c>
      <c r="AC1478" s="65">
        <f>MAX(0,tblWorkPackages[[#This Row],[Completion date serial]]-tblWorkPackages[[#This Row],[Due date serial]])</f>
        <v>17</v>
      </c>
      <c r="AD1478" s="65">
        <f>tblWorkPackages[[#This Row],[First labor date]]-tblWorkPackages[[#This Row],[Request date serial]]</f>
        <v>21</v>
      </c>
      <c r="AE1478" s="65">
        <f>tblWorkPackages[[#This Row],[Last labor date]]-tblWorkPackages[[#This Row],[First labor date]]</f>
        <v>2</v>
      </c>
      <c r="AF1478" s="65">
        <f>tblWorkPackages[[#This Row],[Completion date serial]]-tblWorkPackages[[#This Row],[Last labor date]]</f>
        <v>0</v>
      </c>
      <c r="AG1478" s="65">
        <f>tblWorkPackages[[#This Row],[Completion date serial]]-tblWorkPackages[[#This Row],[Request date serial]]</f>
        <v>23</v>
      </c>
      <c r="AH1478" s="65">
        <f>IFERROR(INDEX(tblParts[Delay days],MATCH(tblWorkPackages[[#This Row],[Work package ID]],tblParts[Work package ID],0)),0)</f>
        <v>0</v>
      </c>
      <c r="AI1478" s="51" t="str">
        <f>IFERROR(INDEX(tblDisruptions[Event type],MATCH(tblWorkPackages[[#This Row],[Work package ID]],tblDisruptions[Work package ID],0)),"None")</f>
        <v>Technician absence</v>
      </c>
      <c r="AJ1478" s="51" t="str">
        <f>TEXT(tblWorkPackages[[#This Row],[Due date serial]],"yyyy-mm")</f>
        <v>2024-05</v>
      </c>
    </row>
    <row r="1479" spans="1:36" ht="15" x14ac:dyDescent="0.25">
      <c r="A1479" s="53" t="s">
        <v>2387</v>
      </c>
      <c r="B1479" s="53" t="s">
        <v>150</v>
      </c>
      <c r="C1479" s="53" t="s">
        <v>1640</v>
      </c>
      <c r="D1479" s="53" t="s">
        <v>875</v>
      </c>
      <c r="E1479" s="53" t="s">
        <v>181</v>
      </c>
      <c r="F1479" s="53" t="s">
        <v>182</v>
      </c>
      <c r="G1479" s="53" t="s">
        <v>138</v>
      </c>
      <c r="H1479" s="53">
        <v>3</v>
      </c>
      <c r="I1479" s="53" t="s">
        <v>130</v>
      </c>
      <c r="J1479" s="53">
        <v>0</v>
      </c>
      <c r="K1479" s="53">
        <v>0</v>
      </c>
      <c r="L1479" s="53">
        <v>10.3</v>
      </c>
      <c r="M1479" s="53" t="s">
        <v>540</v>
      </c>
      <c r="N1479" s="53">
        <v>11.2</v>
      </c>
      <c r="O1479" s="51" t="str">
        <f>TEXT(tblWorkPackages[[#This Row],[Request date serial]]-WEEKDAY(tblWorkPackages[[#This Row],[Request date serial]],3),"yyyy-mm-dd")</f>
        <v>2024-08-26</v>
      </c>
      <c r="P1479" s="51">
        <f>ABS(tblWorkPackages[[#This Row],[Actual labor hours]]-tblWorkPackages[[#This Row],[Estimated labor hours]])</f>
        <v>0.899999999999999</v>
      </c>
      <c r="Q1479" s="51">
        <f>IF(tblWorkPackages[[#This Row],[Actual labor hours]]&gt;tblWorkPackages[[#This Row],[Estimated labor hours]],1,0)</f>
        <v>1</v>
      </c>
      <c r="R1479" s="51">
        <f>tblWorkPackages[[#This Row],[Actual labor hours]]-tblWorkPackages[[#This Row],[Estimated labor hours]]</f>
        <v>0.899999999999999</v>
      </c>
      <c r="S1479" s="51" t="str">
        <f>IF(tblWorkPackages[[#This Row],[Request date serial]]&lt;ValidationStart,"Train 2024",IF(tblWorkPackages[[#This Row],[Request date serial]]&lt;HoldoutStart,"Validation H1","Holdout H2"))</f>
        <v>Train 2024</v>
      </c>
      <c r="T1479" s="51" t="str">
        <f>IF(tblWorkPackages[[#This Row],[Time split]]="Train 2024","",tblWorkPackages[[#This Row],[Estimated labor hours]]+VLOOKUP(tblWorkPackages[[#This Row],[Task type]],'Forecast validation'!$A$14:$E$25,IF(tblWorkPackages[[#This Row],[Time split]]="Validation H1",4,5),FALSE()))</f>
        <v/>
      </c>
      <c r="U1479" s="51" t="str">
        <f>IF(tblWorkPackages[[#This Row],[Calibrated forecast hours]]="","",ABS(tblWorkPackages[[#This Row],[Actual labor hours]]-tblWorkPackages[[#This Row],[Calibrated forecast hours]]))</f>
        <v/>
      </c>
      <c r="V1479" s="51">
        <f>IF(tblWorkPackages[[#This Row],[Time split]]="Train 2024",tblWorkPackages[[#This Row],[Estimated labor hours]],tblWorkPackages[[#This Row],[Calibrated forecast hours]])</f>
        <v>10.3</v>
      </c>
      <c r="W1479" s="64">
        <f>DATEVALUE(tblWorkPackages[[#This Row],[Request date]])</f>
        <v>45531.0</v>
      </c>
      <c r="X1479" s="64">
        <f>DATEVALUE(tblWorkPackages[[#This Row],[Due date]])</f>
        <v>45544.0</v>
      </c>
      <c r="Y1479" s="64">
        <f>DATEVALUE(tblWorkPackages[[#This Row],[Completion date]])</f>
        <v>45538.0</v>
      </c>
      <c r="Z1479" s="64">
        <f>_xlfn.MINIFS(tblLaborEntries[Work date serial],tblLaborEntries[Work package ID],tblWorkPackages[[#This Row],[Work package ID]])</f>
        <v>45535.0</v>
      </c>
      <c r="AA1479" s="64">
        <f>_xlfn.MAXIFS(tblLaborEntries[Work date serial],tblLaborEntries[Work package ID],tblWorkPackages[[#This Row],[Work package ID]])</f>
        <v>45537.0</v>
      </c>
      <c r="AB1479" s="65">
        <f>IF(tblWorkPackages[[#This Row],[Completion date serial]]&gt;tblWorkPackages[[#This Row],[Due date serial]],1,0)</f>
        <v>0</v>
      </c>
      <c r="AC1479" s="65">
        <f>MAX(0,tblWorkPackages[[#This Row],[Completion date serial]]-tblWorkPackages[[#This Row],[Due date serial]])</f>
        <v>0</v>
      </c>
      <c r="AD1479" s="65">
        <f>tblWorkPackages[[#This Row],[First labor date]]-tblWorkPackages[[#This Row],[Request date serial]]</f>
        <v>4</v>
      </c>
      <c r="AE1479" s="65">
        <f>tblWorkPackages[[#This Row],[Last labor date]]-tblWorkPackages[[#This Row],[First labor date]]</f>
        <v>2</v>
      </c>
      <c r="AF1479" s="65">
        <f>tblWorkPackages[[#This Row],[Completion date serial]]-tblWorkPackages[[#This Row],[Last labor date]]</f>
        <v>1</v>
      </c>
      <c r="AG1479" s="65">
        <f>tblWorkPackages[[#This Row],[Completion date serial]]-tblWorkPackages[[#This Row],[Request date serial]]</f>
        <v>7</v>
      </c>
      <c r="AH1479" s="65">
        <f>IFERROR(INDEX(tblParts[Delay days],MATCH(tblWorkPackages[[#This Row],[Work package ID]],tblParts[Work package ID],0)),0)</f>
        <v>0</v>
      </c>
      <c r="AI1479" s="51" t="str">
        <f>IFERROR(INDEX(tblDisruptions[Event type],MATCH(tblWorkPackages[[#This Row],[Work package ID]],tblDisruptions[Work package ID],0)),"None")</f>
        <v>None</v>
      </c>
      <c r="AJ1479" s="51" t="str">
        <f>TEXT(tblWorkPackages[[#This Row],[Due date serial]],"yyyy-mm")</f>
        <v>2024-09</v>
      </c>
    </row>
    <row r="1480" spans="1:36" ht="15" x14ac:dyDescent="0.25">
      <c r="A1480" s="53" t="s">
        <v>2388</v>
      </c>
      <c r="B1480" s="53" t="s">
        <v>287</v>
      </c>
      <c r="C1480" s="53" t="s">
        <v>315</v>
      </c>
      <c r="D1480" s="53" t="s">
        <v>316</v>
      </c>
      <c r="E1480" s="53" t="s">
        <v>160</v>
      </c>
      <c r="F1480" s="53" t="s">
        <v>128</v>
      </c>
      <c r="G1480" s="53" t="s">
        <v>138</v>
      </c>
      <c r="H1480" s="53">
        <v>4</v>
      </c>
      <c r="I1480" s="53" t="s">
        <v>130</v>
      </c>
      <c r="J1480" s="53">
        <v>0</v>
      </c>
      <c r="K1480" s="53">
        <v>0</v>
      </c>
      <c r="L1480" s="53">
        <v>9.6</v>
      </c>
      <c r="M1480" s="53" t="s">
        <v>317</v>
      </c>
      <c r="N1480" s="53">
        <v>11.7</v>
      </c>
      <c r="O1480" s="51" t="str">
        <f>TEXT(tblWorkPackages[[#This Row],[Request date serial]]-WEEKDAY(tblWorkPackages[[#This Row],[Request date serial]],3),"yyyy-mm-dd")</f>
        <v>2024-04-08</v>
      </c>
      <c r="P1480" s="51">
        <f>ABS(tblWorkPackages[[#This Row],[Actual labor hours]]-tblWorkPackages[[#This Row],[Estimated labor hours]])</f>
        <v>2.1</v>
      </c>
      <c r="Q1480" s="51">
        <f>IF(tblWorkPackages[[#This Row],[Actual labor hours]]&gt;tblWorkPackages[[#This Row],[Estimated labor hours]],1,0)</f>
        <v>1</v>
      </c>
      <c r="R1480" s="51">
        <f>tblWorkPackages[[#This Row],[Actual labor hours]]-tblWorkPackages[[#This Row],[Estimated labor hours]]</f>
        <v>2.1</v>
      </c>
      <c r="S1480" s="51" t="str">
        <f>IF(tblWorkPackages[[#This Row],[Request date serial]]&lt;ValidationStart,"Train 2024",IF(tblWorkPackages[[#This Row],[Request date serial]]&lt;HoldoutStart,"Validation H1","Holdout H2"))</f>
        <v>Train 2024</v>
      </c>
      <c r="T1480" s="51" t="str">
        <f>IF(tblWorkPackages[[#This Row],[Time split]]="Train 2024","",tblWorkPackages[[#This Row],[Estimated labor hours]]+VLOOKUP(tblWorkPackages[[#This Row],[Task type]],'Forecast validation'!$A$14:$E$25,IF(tblWorkPackages[[#This Row],[Time split]]="Validation H1",4,5),FALSE()))</f>
        <v/>
      </c>
      <c r="U1480" s="51" t="str">
        <f>IF(tblWorkPackages[[#This Row],[Calibrated forecast hours]]="","",ABS(tblWorkPackages[[#This Row],[Actual labor hours]]-tblWorkPackages[[#This Row],[Calibrated forecast hours]]))</f>
        <v/>
      </c>
      <c r="V1480" s="51">
        <f>IF(tblWorkPackages[[#This Row],[Time split]]="Train 2024",tblWorkPackages[[#This Row],[Estimated labor hours]],tblWorkPackages[[#This Row],[Calibrated forecast hours]])</f>
        <v>9.6</v>
      </c>
      <c r="W1480" s="64">
        <f>DATEVALUE(tblWorkPackages[[#This Row],[Request date]])</f>
        <v>45390.0</v>
      </c>
      <c r="X1480" s="64">
        <f>DATEVALUE(tblWorkPackages[[#This Row],[Due date]])</f>
        <v>45403.0</v>
      </c>
      <c r="Y1480" s="64">
        <f>DATEVALUE(tblWorkPackages[[#This Row],[Completion date]])</f>
        <v>45394.0</v>
      </c>
      <c r="Z1480" s="64">
        <f>_xlfn.MINIFS(tblLaborEntries[Work date serial],tblLaborEntries[Work package ID],tblWorkPackages[[#This Row],[Work package ID]])</f>
        <v>45391.0</v>
      </c>
      <c r="AA1480" s="64">
        <f>_xlfn.MAXIFS(tblLaborEntries[Work date serial],tblLaborEntries[Work package ID],tblWorkPackages[[#This Row],[Work package ID]])</f>
        <v>45392.0</v>
      </c>
      <c r="AB1480" s="65">
        <f>IF(tblWorkPackages[[#This Row],[Completion date serial]]&gt;tblWorkPackages[[#This Row],[Due date serial]],1,0)</f>
        <v>0</v>
      </c>
      <c r="AC1480" s="65">
        <f>MAX(0,tblWorkPackages[[#This Row],[Completion date serial]]-tblWorkPackages[[#This Row],[Due date serial]])</f>
        <v>0</v>
      </c>
      <c r="AD1480" s="65">
        <f>tblWorkPackages[[#This Row],[First labor date]]-tblWorkPackages[[#This Row],[Request date serial]]</f>
        <v>1</v>
      </c>
      <c r="AE1480" s="65">
        <f>tblWorkPackages[[#This Row],[Last labor date]]-tblWorkPackages[[#This Row],[First labor date]]</f>
        <v>1</v>
      </c>
      <c r="AF1480" s="65">
        <f>tblWorkPackages[[#This Row],[Completion date serial]]-tblWorkPackages[[#This Row],[Last labor date]]</f>
        <v>2</v>
      </c>
      <c r="AG1480" s="65">
        <f>tblWorkPackages[[#This Row],[Completion date serial]]-tblWorkPackages[[#This Row],[Request date serial]]</f>
        <v>4</v>
      </c>
      <c r="AH1480" s="65">
        <f>IFERROR(INDEX(tblParts[Delay days],MATCH(tblWorkPackages[[#This Row],[Work package ID]],tblParts[Work package ID],0)),0)</f>
        <v>0</v>
      </c>
      <c r="AI1480" s="51" t="str">
        <f>IFERROR(INDEX(tblDisruptions[Event type],MATCH(tblWorkPackages[[#This Row],[Work package ID]],tblDisruptions[Work package ID],0)),"None")</f>
        <v>None</v>
      </c>
      <c r="AJ1480" s="51" t="str">
        <f>TEXT(tblWorkPackages[[#This Row],[Due date serial]],"yyyy-mm")</f>
        <v>2024-04</v>
      </c>
    </row>
    <row r="1481" spans="1:36" ht="15" x14ac:dyDescent="0.25">
      <c r="A1481" s="53" t="s">
        <v>2389</v>
      </c>
      <c r="B1481" s="53" t="s">
        <v>124</v>
      </c>
      <c r="C1481" s="53" t="s">
        <v>289</v>
      </c>
      <c r="D1481" s="53" t="s">
        <v>941</v>
      </c>
      <c r="E1481" s="53" t="s">
        <v>272</v>
      </c>
      <c r="F1481" s="53" t="s">
        <v>145</v>
      </c>
      <c r="G1481" s="53" t="s">
        <v>273</v>
      </c>
      <c r="H1481" s="53">
        <v>1</v>
      </c>
      <c r="I1481" s="53" t="s">
        <v>130</v>
      </c>
      <c r="J1481" s="53">
        <v>0</v>
      </c>
      <c r="K1481" s="53">
        <v>1</v>
      </c>
      <c r="L1481" s="53">
        <v>6.9</v>
      </c>
      <c r="M1481" s="53" t="s">
        <v>988</v>
      </c>
      <c r="N1481" s="53">
        <v>8.3000000000000007</v>
      </c>
      <c r="O1481" s="51" t="str">
        <f>TEXT(tblWorkPackages[[#This Row],[Request date serial]]-WEEKDAY(tblWorkPackages[[#This Row],[Request date serial]],3),"yyyy-mm-dd")</f>
        <v>2025-09-15</v>
      </c>
      <c r="P1481" s="51">
        <f>ABS(tblWorkPackages[[#This Row],[Actual labor hours]]-tblWorkPackages[[#This Row],[Estimated labor hours]])</f>
        <v>1.4</v>
      </c>
      <c r="Q1481" s="51">
        <f>IF(tblWorkPackages[[#This Row],[Actual labor hours]]&gt;tblWorkPackages[[#This Row],[Estimated labor hours]],1,0)</f>
        <v>1</v>
      </c>
      <c r="R1481" s="51">
        <f>tblWorkPackages[[#This Row],[Actual labor hours]]-tblWorkPackages[[#This Row],[Estimated labor hours]]</f>
        <v>1.4</v>
      </c>
      <c r="S1481" s="51" t="str">
        <f>IF(tblWorkPackages[[#This Row],[Request date serial]]&lt;ValidationStart,"Train 2024",IF(tblWorkPackages[[#This Row],[Request date serial]]&lt;HoldoutStart,"Validation H1","Holdout H2"))</f>
        <v>Holdout H2</v>
      </c>
      <c r="T1481" s="51">
        <f>IF(tblWorkPackages[[#This Row],[Time split]]="Train 2024","",tblWorkPackages[[#This Row],[Estimated labor hours]]+VLOOKUP(tblWorkPackages[[#This Row],[Task type]],'Forecast validation'!$A$14:$E$25,IF(tblWorkPackages[[#This Row],[Time split]]="Validation H1",4,5),FALSE()))</f>
        <v>7.88515625</v>
      </c>
      <c r="U1481" s="51">
        <f>IF(tblWorkPackages[[#This Row],[Calibrated forecast hours]]="","",ABS(tblWorkPackages[[#This Row],[Actual labor hours]]-tblWorkPackages[[#This Row],[Calibrated forecast hours]]))</f>
        <v>0.41484375</v>
      </c>
      <c r="V1481" s="51">
        <f>IF(tblWorkPackages[[#This Row],[Time split]]="Train 2024",tblWorkPackages[[#This Row],[Estimated labor hours]],tblWorkPackages[[#This Row],[Calibrated forecast hours]])</f>
        <v>7.88515625</v>
      </c>
      <c r="W1481" s="64">
        <f>DATEVALUE(tblWorkPackages[[#This Row],[Request date]])</f>
        <v>45920.0</v>
      </c>
      <c r="X1481" s="64">
        <f>DATEVALUE(tblWorkPackages[[#This Row],[Due date]])</f>
        <v>45933.0</v>
      </c>
      <c r="Y1481" s="64">
        <f>DATEVALUE(tblWorkPackages[[#This Row],[Completion date]])</f>
        <v>45934.0</v>
      </c>
      <c r="Z1481" s="64">
        <f>_xlfn.MINIFS(tblLaborEntries[Work date serial],tblLaborEntries[Work package ID],tblWorkPackages[[#This Row],[Work package ID]])</f>
        <v>45931.0</v>
      </c>
      <c r="AA1481" s="64">
        <f>_xlfn.MAXIFS(tblLaborEntries[Work date serial],tblLaborEntries[Work package ID],tblWorkPackages[[#This Row],[Work package ID]])</f>
        <v>45931.0</v>
      </c>
      <c r="AB1481" s="65">
        <f>IF(tblWorkPackages[[#This Row],[Completion date serial]]&gt;tblWorkPackages[[#This Row],[Due date serial]],1,0)</f>
        <v>1</v>
      </c>
      <c r="AC1481" s="65">
        <f>MAX(0,tblWorkPackages[[#This Row],[Completion date serial]]-tblWorkPackages[[#This Row],[Due date serial]])</f>
        <v>1</v>
      </c>
      <c r="AD1481" s="65">
        <f>tblWorkPackages[[#This Row],[First labor date]]-tblWorkPackages[[#This Row],[Request date serial]]</f>
        <v>11</v>
      </c>
      <c r="AE1481" s="65">
        <f>tblWorkPackages[[#This Row],[Last labor date]]-tblWorkPackages[[#This Row],[First labor date]]</f>
        <v>0</v>
      </c>
      <c r="AF1481" s="65">
        <f>tblWorkPackages[[#This Row],[Completion date serial]]-tblWorkPackages[[#This Row],[Last labor date]]</f>
        <v>3</v>
      </c>
      <c r="AG1481" s="65">
        <f>tblWorkPackages[[#This Row],[Completion date serial]]-tblWorkPackages[[#This Row],[Request date serial]]</f>
        <v>14</v>
      </c>
      <c r="AH1481" s="65">
        <f>IFERROR(INDEX(tblParts[Delay days],MATCH(tblWorkPackages[[#This Row],[Work package ID]],tblParts[Work package ID],0)),0)</f>
        <v>0</v>
      </c>
      <c r="AI1481" s="51" t="str">
        <f>IFERROR(INDEX(tblDisruptions[Event type],MATCH(tblWorkPackages[[#This Row],[Work package ID]],tblDisruptions[Work package ID],0)),"None")</f>
        <v>None</v>
      </c>
      <c r="AJ1481" s="51" t="str">
        <f>TEXT(tblWorkPackages[[#This Row],[Due date serial]],"yyyy-mm")</f>
        <v>2025-10</v>
      </c>
    </row>
    <row r="1482" spans="1:36" ht="15" x14ac:dyDescent="0.25">
      <c r="A1482" s="53" t="s">
        <v>2390</v>
      </c>
      <c r="B1482" s="53" t="s">
        <v>250</v>
      </c>
      <c r="C1482" s="53" t="s">
        <v>165</v>
      </c>
      <c r="D1482" s="53" t="s">
        <v>450</v>
      </c>
      <c r="E1482" s="53" t="s">
        <v>144</v>
      </c>
      <c r="F1482" s="53" t="s">
        <v>145</v>
      </c>
      <c r="G1482" s="53" t="s">
        <v>146</v>
      </c>
      <c r="H1482" s="53">
        <v>4</v>
      </c>
      <c r="I1482" s="53" t="s">
        <v>130</v>
      </c>
      <c r="J1482" s="53">
        <v>0</v>
      </c>
      <c r="K1482" s="53">
        <v>1</v>
      </c>
      <c r="L1482" s="53">
        <v>19.100000000000001</v>
      </c>
      <c r="M1482" s="53" t="s">
        <v>1453</v>
      </c>
      <c r="N1482" s="53">
        <v>19.899999999999999</v>
      </c>
      <c r="O1482" s="51" t="str">
        <f>TEXT(tblWorkPackages[[#This Row],[Request date serial]]-WEEKDAY(tblWorkPackages[[#This Row],[Request date serial]],3),"yyyy-mm-dd")</f>
        <v>2024-07-01</v>
      </c>
      <c r="P1482" s="51">
        <f>ABS(tblWorkPackages[[#This Row],[Actual labor hours]]-tblWorkPackages[[#This Row],[Estimated labor hours]])</f>
        <v>0.799999999999997</v>
      </c>
      <c r="Q1482" s="51">
        <f>IF(tblWorkPackages[[#This Row],[Actual labor hours]]&gt;tblWorkPackages[[#This Row],[Estimated labor hours]],1,0)</f>
        <v>1</v>
      </c>
      <c r="R1482" s="51">
        <f>tblWorkPackages[[#This Row],[Actual labor hours]]-tblWorkPackages[[#This Row],[Estimated labor hours]]</f>
        <v>0.799999999999997</v>
      </c>
      <c r="S1482" s="51" t="str">
        <f>IF(tblWorkPackages[[#This Row],[Request date serial]]&lt;ValidationStart,"Train 2024",IF(tblWorkPackages[[#This Row],[Request date serial]]&lt;HoldoutStart,"Validation H1","Holdout H2"))</f>
        <v>Train 2024</v>
      </c>
      <c r="T1482" s="51" t="str">
        <f>IF(tblWorkPackages[[#This Row],[Time split]]="Train 2024","",tblWorkPackages[[#This Row],[Estimated labor hours]]+VLOOKUP(tblWorkPackages[[#This Row],[Task type]],'Forecast validation'!$A$14:$E$25,IF(tblWorkPackages[[#This Row],[Time split]]="Validation H1",4,5),FALSE()))</f>
        <v/>
      </c>
      <c r="U1482" s="51" t="str">
        <f>IF(tblWorkPackages[[#This Row],[Calibrated forecast hours]]="","",ABS(tblWorkPackages[[#This Row],[Actual labor hours]]-tblWorkPackages[[#This Row],[Calibrated forecast hours]]))</f>
        <v/>
      </c>
      <c r="V1482" s="51">
        <f>IF(tblWorkPackages[[#This Row],[Time split]]="Train 2024",tblWorkPackages[[#This Row],[Estimated labor hours]],tblWorkPackages[[#This Row],[Calibrated forecast hours]])</f>
        <v>19.1</v>
      </c>
      <c r="W1482" s="64">
        <f>DATEVALUE(tblWorkPackages[[#This Row],[Request date]])</f>
        <v>45474.0</v>
      </c>
      <c r="X1482" s="64">
        <f>DATEVALUE(tblWorkPackages[[#This Row],[Due date]])</f>
        <v>45487.0</v>
      </c>
      <c r="Y1482" s="64">
        <f>DATEVALUE(tblWorkPackages[[#This Row],[Completion date]])</f>
        <v>45479.0</v>
      </c>
      <c r="Z1482" s="64">
        <f>_xlfn.MINIFS(tblLaborEntries[Work date serial],tblLaborEntries[Work package ID],tblWorkPackages[[#This Row],[Work package ID]])</f>
        <v>45477.0</v>
      </c>
      <c r="AA1482" s="64">
        <f>_xlfn.MAXIFS(tblLaborEntries[Work date serial],tblLaborEntries[Work package ID],tblWorkPackages[[#This Row],[Work package ID]])</f>
        <v>45479.0</v>
      </c>
      <c r="AB1482" s="65">
        <f>IF(tblWorkPackages[[#This Row],[Completion date serial]]&gt;tblWorkPackages[[#This Row],[Due date serial]],1,0)</f>
        <v>0</v>
      </c>
      <c r="AC1482" s="65">
        <f>MAX(0,tblWorkPackages[[#This Row],[Completion date serial]]-tblWorkPackages[[#This Row],[Due date serial]])</f>
        <v>0</v>
      </c>
      <c r="AD1482" s="65">
        <f>tblWorkPackages[[#This Row],[First labor date]]-tblWorkPackages[[#This Row],[Request date serial]]</f>
        <v>3</v>
      </c>
      <c r="AE1482" s="65">
        <f>tblWorkPackages[[#This Row],[Last labor date]]-tblWorkPackages[[#This Row],[First labor date]]</f>
        <v>2</v>
      </c>
      <c r="AF1482" s="65">
        <f>tblWorkPackages[[#This Row],[Completion date serial]]-tblWorkPackages[[#This Row],[Last labor date]]</f>
        <v>0</v>
      </c>
      <c r="AG1482" s="65">
        <f>tblWorkPackages[[#This Row],[Completion date serial]]-tblWorkPackages[[#This Row],[Request date serial]]</f>
        <v>5</v>
      </c>
      <c r="AH1482" s="65">
        <f>IFERROR(INDEX(tblParts[Delay days],MATCH(tblWorkPackages[[#This Row],[Work package ID]],tblParts[Work package ID],0)),0)</f>
        <v>0</v>
      </c>
      <c r="AI1482" s="51" t="str">
        <f>IFERROR(INDEX(tblDisruptions[Event type],MATCH(tblWorkPackages[[#This Row],[Work package ID]],tblDisruptions[Work package ID],0)),"None")</f>
        <v>None</v>
      </c>
      <c r="AJ1482" s="51" t="str">
        <f>TEXT(tblWorkPackages[[#This Row],[Due date serial]],"yyyy-mm")</f>
        <v>2024-07</v>
      </c>
    </row>
    <row r="1483" spans="1:36" ht="15" x14ac:dyDescent="0.25">
      <c r="A1483" s="53" t="s">
        <v>2391</v>
      </c>
      <c r="B1483" s="53" t="s">
        <v>287</v>
      </c>
      <c r="C1483" s="53" t="s">
        <v>827</v>
      </c>
      <c r="D1483" s="53" t="s">
        <v>826</v>
      </c>
      <c r="E1483" s="53" t="s">
        <v>200</v>
      </c>
      <c r="F1483" s="53" t="s">
        <v>128</v>
      </c>
      <c r="G1483" s="53" t="s">
        <v>129</v>
      </c>
      <c r="H1483" s="53">
        <v>2</v>
      </c>
      <c r="I1483" s="53" t="s">
        <v>176</v>
      </c>
      <c r="J1483" s="53">
        <v>0</v>
      </c>
      <c r="K1483" s="53">
        <v>0</v>
      </c>
      <c r="L1483" s="53">
        <v>3.4</v>
      </c>
      <c r="M1483" s="53" t="s">
        <v>467</v>
      </c>
      <c r="N1483" s="53">
        <v>3.5</v>
      </c>
      <c r="O1483" s="51" t="str">
        <f>TEXT(tblWorkPackages[[#This Row],[Request date serial]]-WEEKDAY(tblWorkPackages[[#This Row],[Request date serial]],3),"yyyy-mm-dd")</f>
        <v>2025-02-24</v>
      </c>
      <c r="P1483" s="51">
        <f>ABS(tblWorkPackages[[#This Row],[Actual labor hours]]-tblWorkPackages[[#This Row],[Estimated labor hours]])</f>
        <v>0.1</v>
      </c>
      <c r="Q1483" s="51">
        <f>IF(tblWorkPackages[[#This Row],[Actual labor hours]]&gt;tblWorkPackages[[#This Row],[Estimated labor hours]],1,0)</f>
        <v>1</v>
      </c>
      <c r="R1483" s="51">
        <f>tblWorkPackages[[#This Row],[Actual labor hours]]-tblWorkPackages[[#This Row],[Estimated labor hours]]</f>
        <v>0.1</v>
      </c>
      <c r="S1483" s="51" t="str">
        <f>IF(tblWorkPackages[[#This Row],[Request date serial]]&lt;ValidationStart,"Train 2024",IF(tblWorkPackages[[#This Row],[Request date serial]]&lt;HoldoutStart,"Validation H1","Holdout H2"))</f>
        <v>Validation H1</v>
      </c>
      <c r="T1483" s="51">
        <f>IF(tblWorkPackages[[#This Row],[Time split]]="Train 2024","",tblWorkPackages[[#This Row],[Estimated labor hours]]+VLOOKUP(tblWorkPackages[[#This Row],[Task type]],'Forecast validation'!$A$14:$E$25,IF(tblWorkPackages[[#This Row],[Time split]]="Validation H1",4,5),FALSE()))</f>
        <v>3.73069306930693</v>
      </c>
      <c r="U1483" s="51">
        <f>IF(tblWorkPackages[[#This Row],[Calibrated forecast hours]]="","",ABS(tblWorkPackages[[#This Row],[Actual labor hours]]-tblWorkPackages[[#This Row],[Calibrated forecast hours]]))</f>
        <v>0.23069306930693</v>
      </c>
      <c r="V1483" s="51">
        <f>IF(tblWorkPackages[[#This Row],[Time split]]="Train 2024",tblWorkPackages[[#This Row],[Estimated labor hours]],tblWorkPackages[[#This Row],[Calibrated forecast hours]])</f>
        <v>3.73069306930693</v>
      </c>
      <c r="W1483" s="64">
        <f>DATEVALUE(tblWorkPackages[[#This Row],[Request date]])</f>
        <v>45718.0</v>
      </c>
      <c r="X1483" s="64">
        <f>DATEVALUE(tblWorkPackages[[#This Row],[Due date]])</f>
        <v>45724.0</v>
      </c>
      <c r="Y1483" s="64">
        <f>DATEVALUE(tblWorkPackages[[#This Row],[Completion date]])</f>
        <v>45752.0</v>
      </c>
      <c r="Z1483" s="64">
        <f>_xlfn.MINIFS(tblLaborEntries[Work date serial],tblLaborEntries[Work package ID],tblWorkPackages[[#This Row],[Work package ID]])</f>
        <v>45751.0</v>
      </c>
      <c r="AA1483" s="64">
        <f>_xlfn.MAXIFS(tblLaborEntries[Work date serial],tblLaborEntries[Work package ID],tblWorkPackages[[#This Row],[Work package ID]])</f>
        <v>45751.0</v>
      </c>
      <c r="AB1483" s="65">
        <f>IF(tblWorkPackages[[#This Row],[Completion date serial]]&gt;tblWorkPackages[[#This Row],[Due date serial]],1,0)</f>
        <v>1</v>
      </c>
      <c r="AC1483" s="65">
        <f>MAX(0,tblWorkPackages[[#This Row],[Completion date serial]]-tblWorkPackages[[#This Row],[Due date serial]])</f>
        <v>28</v>
      </c>
      <c r="AD1483" s="65">
        <f>tblWorkPackages[[#This Row],[First labor date]]-tblWorkPackages[[#This Row],[Request date serial]]</f>
        <v>33</v>
      </c>
      <c r="AE1483" s="65">
        <f>tblWorkPackages[[#This Row],[Last labor date]]-tblWorkPackages[[#This Row],[First labor date]]</f>
        <v>0</v>
      </c>
      <c r="AF1483" s="65">
        <f>tblWorkPackages[[#This Row],[Completion date serial]]-tblWorkPackages[[#This Row],[Last labor date]]</f>
        <v>1</v>
      </c>
      <c r="AG1483" s="65">
        <f>tblWorkPackages[[#This Row],[Completion date serial]]-tblWorkPackages[[#This Row],[Request date serial]]</f>
        <v>34</v>
      </c>
      <c r="AH1483" s="65">
        <f>IFERROR(INDEX(tblParts[Delay days],MATCH(tblWorkPackages[[#This Row],[Work package ID]],tblParts[Work package ID],0)),0)</f>
        <v>0</v>
      </c>
      <c r="AI1483" s="51" t="str">
        <f>IFERROR(INDEX(tblDisruptions[Event type],MATCH(tblWorkPackages[[#This Row],[Work package ID]],tblDisruptions[Work package ID],0)),"None")</f>
        <v>None</v>
      </c>
      <c r="AJ1483" s="51" t="str">
        <f>TEXT(tblWorkPackages[[#This Row],[Due date serial]],"yyyy-mm")</f>
        <v>2025-03</v>
      </c>
    </row>
    <row r="1484" spans="1:36" ht="15" x14ac:dyDescent="0.25">
      <c r="A1484" s="53" t="s">
        <v>2392</v>
      </c>
      <c r="B1484" s="53" t="s">
        <v>185</v>
      </c>
      <c r="C1484" s="53" t="s">
        <v>751</v>
      </c>
      <c r="D1484" s="53" t="s">
        <v>740</v>
      </c>
      <c r="E1484" s="53" t="s">
        <v>144</v>
      </c>
      <c r="F1484" s="53" t="s">
        <v>145</v>
      </c>
      <c r="G1484" s="53" t="s">
        <v>146</v>
      </c>
      <c r="H1484" s="53">
        <v>1</v>
      </c>
      <c r="I1484" s="53" t="s">
        <v>147</v>
      </c>
      <c r="J1484" s="53">
        <v>0</v>
      </c>
      <c r="K1484" s="53">
        <v>1</v>
      </c>
      <c r="L1484" s="53">
        <v>8</v>
      </c>
      <c r="M1484" s="53" t="s">
        <v>1076</v>
      </c>
      <c r="N1484" s="53">
        <v>8.5</v>
      </c>
      <c r="O1484" s="51" t="str">
        <f>TEXT(tblWorkPackages[[#This Row],[Request date serial]]-WEEKDAY(tblWorkPackages[[#This Row],[Request date serial]],3),"yyyy-mm-dd")</f>
        <v>2025-05-12</v>
      </c>
      <c r="P1484" s="51">
        <f>ABS(tblWorkPackages[[#This Row],[Actual labor hours]]-tblWorkPackages[[#This Row],[Estimated labor hours]])</f>
        <v>0.5</v>
      </c>
      <c r="Q1484" s="51">
        <f>IF(tblWorkPackages[[#This Row],[Actual labor hours]]&gt;tblWorkPackages[[#This Row],[Estimated labor hours]],1,0)</f>
        <v>1</v>
      </c>
      <c r="R1484" s="51">
        <f>tblWorkPackages[[#This Row],[Actual labor hours]]-tblWorkPackages[[#This Row],[Estimated labor hours]]</f>
        <v>0.5</v>
      </c>
      <c r="S1484" s="51" t="str">
        <f>IF(tblWorkPackages[[#This Row],[Request date serial]]&lt;ValidationStart,"Train 2024",IF(tblWorkPackages[[#This Row],[Request date serial]]&lt;HoldoutStart,"Validation H1","Holdout H2"))</f>
        <v>Validation H1</v>
      </c>
      <c r="T1484" s="51">
        <f>IF(tblWorkPackages[[#This Row],[Time split]]="Train 2024","",tblWorkPackages[[#This Row],[Estimated labor hours]]+VLOOKUP(tblWorkPackages[[#This Row],[Task type]],'Forecast validation'!$A$14:$E$25,IF(tblWorkPackages[[#This Row],[Time split]]="Validation H1",4,5),FALSE()))</f>
        <v>8.75473684210526</v>
      </c>
      <c r="U1484" s="51">
        <f>IF(tblWorkPackages[[#This Row],[Calibrated forecast hours]]="","",ABS(tblWorkPackages[[#This Row],[Actual labor hours]]-tblWorkPackages[[#This Row],[Calibrated forecast hours]]))</f>
        <v>0.254736842105263</v>
      </c>
      <c r="V1484" s="51">
        <f>IF(tblWorkPackages[[#This Row],[Time split]]="Train 2024",tblWorkPackages[[#This Row],[Estimated labor hours]],tblWorkPackages[[#This Row],[Calibrated forecast hours]])</f>
        <v>8.75473684210526</v>
      </c>
      <c r="W1484" s="64">
        <f>DATEVALUE(tblWorkPackages[[#This Row],[Request date]])</f>
        <v>45795.0</v>
      </c>
      <c r="X1484" s="64">
        <f>DATEVALUE(tblWorkPackages[[#This Row],[Due date]])</f>
        <v>45797.0</v>
      </c>
      <c r="Y1484" s="64">
        <f>DATEVALUE(tblWorkPackages[[#This Row],[Completion date]])</f>
        <v>45804.0</v>
      </c>
      <c r="Z1484" s="64">
        <f>_xlfn.MINIFS(tblLaborEntries[Work date serial],tblLaborEntries[Work package ID],tblWorkPackages[[#This Row],[Work package ID]])</f>
        <v>45801.0</v>
      </c>
      <c r="AA1484" s="64">
        <f>_xlfn.MAXIFS(tblLaborEntries[Work date serial],tblLaborEntries[Work package ID],tblWorkPackages[[#This Row],[Work package ID]])</f>
        <v>45802.0</v>
      </c>
      <c r="AB1484" s="65">
        <f>IF(tblWorkPackages[[#This Row],[Completion date serial]]&gt;tblWorkPackages[[#This Row],[Due date serial]],1,0)</f>
        <v>1</v>
      </c>
      <c r="AC1484" s="65">
        <f>MAX(0,tblWorkPackages[[#This Row],[Completion date serial]]-tblWorkPackages[[#This Row],[Due date serial]])</f>
        <v>7</v>
      </c>
      <c r="AD1484" s="65">
        <f>tblWorkPackages[[#This Row],[First labor date]]-tblWorkPackages[[#This Row],[Request date serial]]</f>
        <v>6</v>
      </c>
      <c r="AE1484" s="65">
        <f>tblWorkPackages[[#This Row],[Last labor date]]-tblWorkPackages[[#This Row],[First labor date]]</f>
        <v>1</v>
      </c>
      <c r="AF1484" s="65">
        <f>tblWorkPackages[[#This Row],[Completion date serial]]-tblWorkPackages[[#This Row],[Last labor date]]</f>
        <v>2</v>
      </c>
      <c r="AG1484" s="65">
        <f>tblWorkPackages[[#This Row],[Completion date serial]]-tblWorkPackages[[#This Row],[Request date serial]]</f>
        <v>9</v>
      </c>
      <c r="AH1484" s="65">
        <f>IFERROR(INDEX(tblParts[Delay days],MATCH(tblWorkPackages[[#This Row],[Work package ID]],tblParts[Work package ID],0)),0)</f>
        <v>0</v>
      </c>
      <c r="AI1484" s="51" t="str">
        <f>IFERROR(INDEX(tblDisruptions[Event type],MATCH(tblWorkPackages[[#This Row],[Work package ID]],tblDisruptions[Work package ID],0)),"None")</f>
        <v>None</v>
      </c>
      <c r="AJ1484" s="51" t="str">
        <f>TEXT(tblWorkPackages[[#This Row],[Due date serial]],"yyyy-mm")</f>
        <v>2025-05</v>
      </c>
    </row>
    <row r="1485" spans="1:36" ht="15" x14ac:dyDescent="0.25">
      <c r="A1485" s="53" t="s">
        <v>2393</v>
      </c>
      <c r="B1485" s="53" t="s">
        <v>163</v>
      </c>
      <c r="C1485" s="53" t="s">
        <v>431</v>
      </c>
      <c r="D1485" s="53" t="s">
        <v>842</v>
      </c>
      <c r="E1485" s="53" t="s">
        <v>200</v>
      </c>
      <c r="F1485" s="53" t="s">
        <v>128</v>
      </c>
      <c r="G1485" s="53" t="s">
        <v>129</v>
      </c>
      <c r="H1485" s="53">
        <v>1</v>
      </c>
      <c r="I1485" s="53" t="s">
        <v>130</v>
      </c>
      <c r="J1485" s="53">
        <v>0</v>
      </c>
      <c r="K1485" s="53">
        <v>0</v>
      </c>
      <c r="L1485" s="53">
        <v>1.9</v>
      </c>
      <c r="M1485" s="53" t="s">
        <v>226</v>
      </c>
      <c r="N1485" s="53">
        <v>2.2999999999999998</v>
      </c>
      <c r="O1485" s="51" t="str">
        <f>TEXT(tblWorkPackages[[#This Row],[Request date serial]]-WEEKDAY(tblWorkPackages[[#This Row],[Request date serial]],3),"yyyy-mm-dd")</f>
        <v>2025-07-14</v>
      </c>
      <c r="P1485" s="51">
        <f>ABS(tblWorkPackages[[#This Row],[Actual labor hours]]-tblWorkPackages[[#This Row],[Estimated labor hours]])</f>
        <v>0.4</v>
      </c>
      <c r="Q1485" s="51">
        <f>IF(tblWorkPackages[[#This Row],[Actual labor hours]]&gt;tblWorkPackages[[#This Row],[Estimated labor hours]],1,0)</f>
        <v>1</v>
      </c>
      <c r="R1485" s="51">
        <f>tblWorkPackages[[#This Row],[Actual labor hours]]-tblWorkPackages[[#This Row],[Estimated labor hours]]</f>
        <v>0.4</v>
      </c>
      <c r="S1485" s="51" t="str">
        <f>IF(tblWorkPackages[[#This Row],[Request date serial]]&lt;ValidationStart,"Train 2024",IF(tblWorkPackages[[#This Row],[Request date serial]]&lt;HoldoutStart,"Validation H1","Holdout H2"))</f>
        <v>Holdout H2</v>
      </c>
      <c r="T1485" s="51">
        <f>IF(tblWorkPackages[[#This Row],[Time split]]="Train 2024","",tblWorkPackages[[#This Row],[Estimated labor hours]]+VLOOKUP(tblWorkPackages[[#This Row],[Task type]],'Forecast validation'!$A$14:$E$25,IF(tblWorkPackages[[#This Row],[Time split]]="Validation H1",4,5),FALSE()))</f>
        <v>2.22893081761006</v>
      </c>
      <c r="U1485" s="51">
        <f>IF(tblWorkPackages[[#This Row],[Calibrated forecast hours]]="","",ABS(tblWorkPackages[[#This Row],[Actual labor hours]]-tblWorkPackages[[#This Row],[Calibrated forecast hours]]))</f>
        <v>0.071069182389937</v>
      </c>
      <c r="V1485" s="51">
        <f>IF(tblWorkPackages[[#This Row],[Time split]]="Train 2024",tblWorkPackages[[#This Row],[Estimated labor hours]],tblWorkPackages[[#This Row],[Calibrated forecast hours]])</f>
        <v>2.22893081761006</v>
      </c>
      <c r="W1485" s="64">
        <f>DATEVALUE(tblWorkPackages[[#This Row],[Request date]])</f>
        <v>45852.0</v>
      </c>
      <c r="X1485" s="64">
        <f>DATEVALUE(tblWorkPackages[[#This Row],[Due date]])</f>
        <v>45865.0</v>
      </c>
      <c r="Y1485" s="64">
        <f>DATEVALUE(tblWorkPackages[[#This Row],[Completion date]])</f>
        <v>45857.0</v>
      </c>
      <c r="Z1485" s="64">
        <f>_xlfn.MINIFS(tblLaborEntries[Work date serial],tblLaborEntries[Work package ID],tblWorkPackages[[#This Row],[Work package ID]])</f>
        <v>45854.0</v>
      </c>
      <c r="AA1485" s="64">
        <f>_xlfn.MAXIFS(tblLaborEntries[Work date serial],tblLaborEntries[Work package ID],tblWorkPackages[[#This Row],[Work package ID]])</f>
        <v>45854.0</v>
      </c>
      <c r="AB1485" s="65">
        <f>IF(tblWorkPackages[[#This Row],[Completion date serial]]&gt;tblWorkPackages[[#This Row],[Due date serial]],1,0)</f>
        <v>0</v>
      </c>
      <c r="AC1485" s="65">
        <f>MAX(0,tblWorkPackages[[#This Row],[Completion date serial]]-tblWorkPackages[[#This Row],[Due date serial]])</f>
        <v>0</v>
      </c>
      <c r="AD1485" s="65">
        <f>tblWorkPackages[[#This Row],[First labor date]]-tblWorkPackages[[#This Row],[Request date serial]]</f>
        <v>2</v>
      </c>
      <c r="AE1485" s="65">
        <f>tblWorkPackages[[#This Row],[Last labor date]]-tblWorkPackages[[#This Row],[First labor date]]</f>
        <v>0</v>
      </c>
      <c r="AF1485" s="65">
        <f>tblWorkPackages[[#This Row],[Completion date serial]]-tblWorkPackages[[#This Row],[Last labor date]]</f>
        <v>3</v>
      </c>
      <c r="AG1485" s="65">
        <f>tblWorkPackages[[#This Row],[Completion date serial]]-tblWorkPackages[[#This Row],[Request date serial]]</f>
        <v>5</v>
      </c>
      <c r="AH1485" s="65">
        <f>IFERROR(INDEX(tblParts[Delay days],MATCH(tblWorkPackages[[#This Row],[Work package ID]],tblParts[Work package ID],0)),0)</f>
        <v>0</v>
      </c>
      <c r="AI1485" s="51" t="str">
        <f>IFERROR(INDEX(tblDisruptions[Event type],MATCH(tblWorkPackages[[#This Row],[Work package ID]],tblDisruptions[Work package ID],0)),"None")</f>
        <v>None</v>
      </c>
      <c r="AJ1485" s="51" t="str">
        <f>TEXT(tblWorkPackages[[#This Row],[Due date serial]],"yyyy-mm")</f>
        <v>2025-07</v>
      </c>
    </row>
    <row r="1486" spans="1:36" ht="15" x14ac:dyDescent="0.25">
      <c r="A1486" s="53" t="s">
        <v>2394</v>
      </c>
      <c r="B1486" s="53" t="s">
        <v>235</v>
      </c>
      <c r="C1486" s="53" t="s">
        <v>399</v>
      </c>
      <c r="D1486" s="53" t="s">
        <v>368</v>
      </c>
      <c r="E1486" s="53" t="s">
        <v>181</v>
      </c>
      <c r="F1486" s="53" t="s">
        <v>182</v>
      </c>
      <c r="G1486" s="53" t="s">
        <v>138</v>
      </c>
      <c r="H1486" s="53">
        <v>2</v>
      </c>
      <c r="I1486" s="53" t="s">
        <v>176</v>
      </c>
      <c r="J1486" s="53">
        <v>0</v>
      </c>
      <c r="K1486" s="53">
        <v>1</v>
      </c>
      <c r="L1486" s="53">
        <v>8.3000000000000007</v>
      </c>
      <c r="M1486" s="53" t="s">
        <v>865</v>
      </c>
      <c r="N1486" s="53">
        <v>6.5</v>
      </c>
      <c r="O1486" s="51" t="str">
        <f>TEXT(tblWorkPackages[[#This Row],[Request date serial]]-WEEKDAY(tblWorkPackages[[#This Row],[Request date serial]],3),"yyyy-mm-dd")</f>
        <v>2024-05-20</v>
      </c>
      <c r="P1486" s="51">
        <f>ABS(tblWorkPackages[[#This Row],[Actual labor hours]]-tblWorkPackages[[#This Row],[Estimated labor hours]])</f>
        <v>1.8</v>
      </c>
      <c r="Q1486" s="51">
        <f>IF(tblWorkPackages[[#This Row],[Actual labor hours]]&gt;tblWorkPackages[[#This Row],[Estimated labor hours]],1,0)</f>
        <v>0</v>
      </c>
      <c r="R1486" s="51">
        <f>tblWorkPackages[[#This Row],[Actual labor hours]]-tblWorkPackages[[#This Row],[Estimated labor hours]]</f>
        <v>-1.8</v>
      </c>
      <c r="S1486" s="51" t="str">
        <f>IF(tblWorkPackages[[#This Row],[Request date serial]]&lt;ValidationStart,"Train 2024",IF(tblWorkPackages[[#This Row],[Request date serial]]&lt;HoldoutStart,"Validation H1","Holdout H2"))</f>
        <v>Train 2024</v>
      </c>
      <c r="T1486" s="51" t="str">
        <f>IF(tblWorkPackages[[#This Row],[Time split]]="Train 2024","",tblWorkPackages[[#This Row],[Estimated labor hours]]+VLOOKUP(tblWorkPackages[[#This Row],[Task type]],'Forecast validation'!$A$14:$E$25,IF(tblWorkPackages[[#This Row],[Time split]]="Validation H1",4,5),FALSE()))</f>
        <v/>
      </c>
      <c r="U1486" s="51" t="str">
        <f>IF(tblWorkPackages[[#This Row],[Calibrated forecast hours]]="","",ABS(tblWorkPackages[[#This Row],[Actual labor hours]]-tblWorkPackages[[#This Row],[Calibrated forecast hours]]))</f>
        <v/>
      </c>
      <c r="V1486" s="51">
        <f>IF(tblWorkPackages[[#This Row],[Time split]]="Train 2024",tblWorkPackages[[#This Row],[Estimated labor hours]],tblWorkPackages[[#This Row],[Calibrated forecast hours]])</f>
        <v>8.3</v>
      </c>
      <c r="W1486" s="64">
        <f>DATEVALUE(tblWorkPackages[[#This Row],[Request date]])</f>
        <v>45436.0</v>
      </c>
      <c r="X1486" s="64">
        <f>DATEVALUE(tblWorkPackages[[#This Row],[Due date]])</f>
        <v>45442.0</v>
      </c>
      <c r="Y1486" s="64">
        <f>DATEVALUE(tblWorkPackages[[#This Row],[Completion date]])</f>
        <v>45451.0</v>
      </c>
      <c r="Z1486" s="64">
        <f>_xlfn.MINIFS(tblLaborEntries[Work date serial],tblLaborEntries[Work package ID],tblWorkPackages[[#This Row],[Work package ID]])</f>
        <v>45451.0</v>
      </c>
      <c r="AA1486" s="64">
        <f>_xlfn.MAXIFS(tblLaborEntries[Work date serial],tblLaborEntries[Work package ID],tblWorkPackages[[#This Row],[Work package ID]])</f>
        <v>45451.0</v>
      </c>
      <c r="AB1486" s="65">
        <f>IF(tblWorkPackages[[#This Row],[Completion date serial]]&gt;tblWorkPackages[[#This Row],[Due date serial]],1,0)</f>
        <v>1</v>
      </c>
      <c r="AC1486" s="65">
        <f>MAX(0,tblWorkPackages[[#This Row],[Completion date serial]]-tblWorkPackages[[#This Row],[Due date serial]])</f>
        <v>9</v>
      </c>
      <c r="AD1486" s="65">
        <f>tblWorkPackages[[#This Row],[First labor date]]-tblWorkPackages[[#This Row],[Request date serial]]</f>
        <v>15</v>
      </c>
      <c r="AE1486" s="65">
        <f>tblWorkPackages[[#This Row],[Last labor date]]-tblWorkPackages[[#This Row],[First labor date]]</f>
        <v>0</v>
      </c>
      <c r="AF1486" s="65">
        <f>tblWorkPackages[[#This Row],[Completion date serial]]-tblWorkPackages[[#This Row],[Last labor date]]</f>
        <v>0</v>
      </c>
      <c r="AG1486" s="65">
        <f>tblWorkPackages[[#This Row],[Completion date serial]]-tblWorkPackages[[#This Row],[Request date serial]]</f>
        <v>15</v>
      </c>
      <c r="AH1486" s="65">
        <f>IFERROR(INDEX(tblParts[Delay days],MATCH(tblWorkPackages[[#This Row],[Work package ID]],tblParts[Work package ID],0)),0)</f>
        <v>0</v>
      </c>
      <c r="AI1486" s="51" t="str">
        <f>IFERROR(INDEX(tblDisruptions[Event type],MATCH(tblWorkPackages[[#This Row],[Work package ID]],tblDisruptions[Work package ID],0)),"None")</f>
        <v>None</v>
      </c>
      <c r="AJ1486" s="51" t="str">
        <f>TEXT(tblWorkPackages[[#This Row],[Due date serial]],"yyyy-mm")</f>
        <v>2024-05</v>
      </c>
    </row>
    <row r="1487" spans="1:36" ht="15" x14ac:dyDescent="0.25">
      <c r="A1487" s="53" t="s">
        <v>2395</v>
      </c>
      <c r="B1487" s="53" t="s">
        <v>157</v>
      </c>
      <c r="C1487" s="53" t="s">
        <v>900</v>
      </c>
      <c r="D1487" s="53" t="s">
        <v>1620</v>
      </c>
      <c r="E1487" s="53" t="s">
        <v>153</v>
      </c>
      <c r="F1487" s="53" t="s">
        <v>128</v>
      </c>
      <c r="G1487" s="53" t="s">
        <v>154</v>
      </c>
      <c r="H1487" s="53">
        <v>3</v>
      </c>
      <c r="I1487" s="53" t="s">
        <v>130</v>
      </c>
      <c r="J1487" s="53">
        <v>0</v>
      </c>
      <c r="K1487" s="53">
        <v>1</v>
      </c>
      <c r="L1487" s="53">
        <v>13.2</v>
      </c>
      <c r="M1487" s="53" t="s">
        <v>966</v>
      </c>
      <c r="N1487" s="53">
        <v>18.8</v>
      </c>
      <c r="O1487" s="51" t="str">
        <f>TEXT(tblWorkPackages[[#This Row],[Request date serial]]-WEEKDAY(tblWorkPackages[[#This Row],[Request date serial]],3),"yyyy-mm-dd")</f>
        <v>2025-03-10</v>
      </c>
      <c r="P1487" s="51">
        <f>ABS(tblWorkPackages[[#This Row],[Actual labor hours]]-tblWorkPackages[[#This Row],[Estimated labor hours]])</f>
        <v>5.6</v>
      </c>
      <c r="Q1487" s="51">
        <f>IF(tblWorkPackages[[#This Row],[Actual labor hours]]&gt;tblWorkPackages[[#This Row],[Estimated labor hours]],1,0)</f>
        <v>1</v>
      </c>
      <c r="R1487" s="51">
        <f>tblWorkPackages[[#This Row],[Actual labor hours]]-tblWorkPackages[[#This Row],[Estimated labor hours]]</f>
        <v>5.6</v>
      </c>
      <c r="S1487" s="51" t="str">
        <f>IF(tblWorkPackages[[#This Row],[Request date serial]]&lt;ValidationStart,"Train 2024",IF(tblWorkPackages[[#This Row],[Request date serial]]&lt;HoldoutStart,"Validation H1","Holdout H2"))</f>
        <v>Validation H1</v>
      </c>
      <c r="T1487" s="51">
        <f>IF(tblWorkPackages[[#This Row],[Time split]]="Train 2024","",tblWorkPackages[[#This Row],[Estimated labor hours]]+VLOOKUP(tblWorkPackages[[#This Row],[Task type]],'Forecast validation'!$A$14:$E$25,IF(tblWorkPackages[[#This Row],[Time split]]="Validation H1",4,5),FALSE()))</f>
        <v>13.7462264150943</v>
      </c>
      <c r="U1487" s="51">
        <f>IF(tblWorkPackages[[#This Row],[Calibrated forecast hours]]="","",ABS(tblWorkPackages[[#This Row],[Actual labor hours]]-tblWorkPackages[[#This Row],[Calibrated forecast hours]]))</f>
        <v>5.05377358490566</v>
      </c>
      <c r="V1487" s="51">
        <f>IF(tblWorkPackages[[#This Row],[Time split]]="Train 2024",tblWorkPackages[[#This Row],[Estimated labor hours]],tblWorkPackages[[#This Row],[Calibrated forecast hours]])</f>
        <v>13.7462264150943</v>
      </c>
      <c r="W1487" s="64">
        <f>DATEVALUE(tblWorkPackages[[#This Row],[Request date]])</f>
        <v>45728.0</v>
      </c>
      <c r="X1487" s="64">
        <f>DATEVALUE(tblWorkPackages[[#This Row],[Due date]])</f>
        <v>45741.0</v>
      </c>
      <c r="Y1487" s="64">
        <f>DATEVALUE(tblWorkPackages[[#This Row],[Completion date]])</f>
        <v>45733.0</v>
      </c>
      <c r="Z1487" s="64">
        <f>_xlfn.MINIFS(tblLaborEntries[Work date serial],tblLaborEntries[Work package ID],tblWorkPackages[[#This Row],[Work package ID]])</f>
        <v>45732.0</v>
      </c>
      <c r="AA1487" s="64">
        <f>_xlfn.MAXIFS(tblLaborEntries[Work date serial],tblLaborEntries[Work package ID],tblWorkPackages[[#This Row],[Work package ID]])</f>
        <v>45732.0</v>
      </c>
      <c r="AB1487" s="65">
        <f>IF(tblWorkPackages[[#This Row],[Completion date serial]]&gt;tblWorkPackages[[#This Row],[Due date serial]],1,0)</f>
        <v>0</v>
      </c>
      <c r="AC1487" s="65">
        <f>MAX(0,tblWorkPackages[[#This Row],[Completion date serial]]-tblWorkPackages[[#This Row],[Due date serial]])</f>
        <v>0</v>
      </c>
      <c r="AD1487" s="65">
        <f>tblWorkPackages[[#This Row],[First labor date]]-tblWorkPackages[[#This Row],[Request date serial]]</f>
        <v>4</v>
      </c>
      <c r="AE1487" s="65">
        <f>tblWorkPackages[[#This Row],[Last labor date]]-tblWorkPackages[[#This Row],[First labor date]]</f>
        <v>0</v>
      </c>
      <c r="AF1487" s="65">
        <f>tblWorkPackages[[#This Row],[Completion date serial]]-tblWorkPackages[[#This Row],[Last labor date]]</f>
        <v>1</v>
      </c>
      <c r="AG1487" s="65">
        <f>tblWorkPackages[[#This Row],[Completion date serial]]-tblWorkPackages[[#This Row],[Request date serial]]</f>
        <v>5</v>
      </c>
      <c r="AH1487" s="65">
        <f>IFERROR(INDEX(tblParts[Delay days],MATCH(tblWorkPackages[[#This Row],[Work package ID]],tblParts[Work package ID],0)),0)</f>
        <v>0</v>
      </c>
      <c r="AI1487" s="51" t="str">
        <f>IFERROR(INDEX(tblDisruptions[Event type],MATCH(tblWorkPackages[[#This Row],[Work package ID]],tblDisruptions[Work package ID],0)),"None")</f>
        <v>Technician absence</v>
      </c>
      <c r="AJ1487" s="51" t="str">
        <f>TEXT(tblWorkPackages[[#This Row],[Due date serial]],"yyyy-mm")</f>
        <v>2025-03</v>
      </c>
    </row>
    <row r="1488" spans="1:36" ht="15" x14ac:dyDescent="0.25">
      <c r="A1488" s="53" t="s">
        <v>2396</v>
      </c>
      <c r="B1488" s="53" t="s">
        <v>141</v>
      </c>
      <c r="C1488" s="53" t="s">
        <v>376</v>
      </c>
      <c r="D1488" s="53" t="s">
        <v>924</v>
      </c>
      <c r="E1488" s="53" t="s">
        <v>272</v>
      </c>
      <c r="F1488" s="53" t="s">
        <v>145</v>
      </c>
      <c r="G1488" s="53" t="s">
        <v>273</v>
      </c>
      <c r="H1488" s="53">
        <v>2</v>
      </c>
      <c r="I1488" s="53" t="s">
        <v>130</v>
      </c>
      <c r="J1488" s="53">
        <v>0</v>
      </c>
      <c r="K1488" s="53">
        <v>1</v>
      </c>
      <c r="L1488" s="53">
        <v>12.7</v>
      </c>
      <c r="M1488" s="53" t="s">
        <v>906</v>
      </c>
      <c r="N1488" s="53">
        <v>11.2</v>
      </c>
      <c r="O1488" s="51" t="str">
        <f>TEXT(tblWorkPackages[[#This Row],[Request date serial]]-WEEKDAY(tblWorkPackages[[#This Row],[Request date serial]],3),"yyyy-mm-dd")</f>
        <v>2025-04-28</v>
      </c>
      <c r="P1488" s="51">
        <f>ABS(tblWorkPackages[[#This Row],[Actual labor hours]]-tblWorkPackages[[#This Row],[Estimated labor hours]])</f>
        <v>1.5</v>
      </c>
      <c r="Q1488" s="51">
        <f>IF(tblWorkPackages[[#This Row],[Actual labor hours]]&gt;tblWorkPackages[[#This Row],[Estimated labor hours]],1,0)</f>
        <v>0</v>
      </c>
      <c r="R1488" s="51">
        <f>tblWorkPackages[[#This Row],[Actual labor hours]]-tblWorkPackages[[#This Row],[Estimated labor hours]]</f>
        <v>-1.5</v>
      </c>
      <c r="S1488" s="51" t="str">
        <f>IF(tblWorkPackages[[#This Row],[Request date serial]]&lt;ValidationStart,"Train 2024",IF(tblWorkPackages[[#This Row],[Request date serial]]&lt;HoldoutStart,"Validation H1","Holdout H2"))</f>
        <v>Validation H1</v>
      </c>
      <c r="T1488" s="51">
        <f>IF(tblWorkPackages[[#This Row],[Time split]]="Train 2024","",tblWorkPackages[[#This Row],[Estimated labor hours]]+VLOOKUP(tblWorkPackages[[#This Row],[Task type]],'Forecast validation'!$A$14:$E$25,IF(tblWorkPackages[[#This Row],[Time split]]="Validation H1",4,5),FALSE()))</f>
        <v>13.7320512820513</v>
      </c>
      <c r="U1488" s="51">
        <f>IF(tblWorkPackages[[#This Row],[Calibrated forecast hours]]="","",ABS(tblWorkPackages[[#This Row],[Actual labor hours]]-tblWorkPackages[[#This Row],[Calibrated forecast hours]]))</f>
        <v>2.53205128205128</v>
      </c>
      <c r="V1488" s="51">
        <f>IF(tblWorkPackages[[#This Row],[Time split]]="Train 2024",tblWorkPackages[[#This Row],[Estimated labor hours]],tblWorkPackages[[#This Row],[Calibrated forecast hours]])</f>
        <v>13.7320512820513</v>
      </c>
      <c r="W1488" s="64">
        <f>DATEVALUE(tblWorkPackages[[#This Row],[Request date]])</f>
        <v>45776.0</v>
      </c>
      <c r="X1488" s="64">
        <f>DATEVALUE(tblWorkPackages[[#This Row],[Due date]])</f>
        <v>45789.0</v>
      </c>
      <c r="Y1488" s="64">
        <f>DATEVALUE(tblWorkPackages[[#This Row],[Completion date]])</f>
        <v>45781.0</v>
      </c>
      <c r="Z1488" s="64">
        <f>_xlfn.MINIFS(tblLaborEntries[Work date serial],tblLaborEntries[Work package ID],tblWorkPackages[[#This Row],[Work package ID]])</f>
        <v>45777.0</v>
      </c>
      <c r="AA1488" s="64">
        <f>_xlfn.MAXIFS(tblLaborEntries[Work date serial],tblLaborEntries[Work package ID],tblWorkPackages[[#This Row],[Work package ID]])</f>
        <v>45779.0</v>
      </c>
      <c r="AB1488" s="65">
        <f>IF(tblWorkPackages[[#This Row],[Completion date serial]]&gt;tblWorkPackages[[#This Row],[Due date serial]],1,0)</f>
        <v>0</v>
      </c>
      <c r="AC1488" s="65">
        <f>MAX(0,tblWorkPackages[[#This Row],[Completion date serial]]-tblWorkPackages[[#This Row],[Due date serial]])</f>
        <v>0</v>
      </c>
      <c r="AD1488" s="65">
        <f>tblWorkPackages[[#This Row],[First labor date]]-tblWorkPackages[[#This Row],[Request date serial]]</f>
        <v>1</v>
      </c>
      <c r="AE1488" s="65">
        <f>tblWorkPackages[[#This Row],[Last labor date]]-tblWorkPackages[[#This Row],[First labor date]]</f>
        <v>2</v>
      </c>
      <c r="AF1488" s="65">
        <f>tblWorkPackages[[#This Row],[Completion date serial]]-tblWorkPackages[[#This Row],[Last labor date]]</f>
        <v>2</v>
      </c>
      <c r="AG1488" s="65">
        <f>tblWorkPackages[[#This Row],[Completion date serial]]-tblWorkPackages[[#This Row],[Request date serial]]</f>
        <v>5</v>
      </c>
      <c r="AH1488" s="65">
        <f>IFERROR(INDEX(tblParts[Delay days],MATCH(tblWorkPackages[[#This Row],[Work package ID]],tblParts[Work package ID],0)),0)</f>
        <v>0</v>
      </c>
      <c r="AI1488" s="51" t="str">
        <f>IFERROR(INDEX(tblDisruptions[Event type],MATCH(tblWorkPackages[[#This Row],[Work package ID]],tblDisruptions[Work package ID],0)),"None")</f>
        <v>None</v>
      </c>
      <c r="AJ1488" s="51" t="str">
        <f>TEXT(tblWorkPackages[[#This Row],[Due date serial]],"yyyy-mm")</f>
        <v>2025-05</v>
      </c>
    </row>
    <row r="1489" spans="1:36" ht="15" x14ac:dyDescent="0.25">
      <c r="A1489" s="53" t="s">
        <v>2397</v>
      </c>
      <c r="B1489" s="53" t="s">
        <v>150</v>
      </c>
      <c r="C1489" s="53" t="s">
        <v>427</v>
      </c>
      <c r="D1489" s="53" t="s">
        <v>1008</v>
      </c>
      <c r="E1489" s="53" t="s">
        <v>272</v>
      </c>
      <c r="F1489" s="53" t="s">
        <v>145</v>
      </c>
      <c r="G1489" s="53" t="s">
        <v>273</v>
      </c>
      <c r="H1489" s="53">
        <v>1</v>
      </c>
      <c r="I1489" s="53" t="s">
        <v>130</v>
      </c>
      <c r="J1489" s="53">
        <v>1</v>
      </c>
      <c r="K1489" s="53">
        <v>0</v>
      </c>
      <c r="L1489" s="53">
        <v>8.9</v>
      </c>
      <c r="M1489" s="53" t="s">
        <v>472</v>
      </c>
      <c r="N1489" s="53">
        <v>12.2</v>
      </c>
      <c r="O1489" s="51" t="str">
        <f>TEXT(tblWorkPackages[[#This Row],[Request date serial]]-WEEKDAY(tblWorkPackages[[#This Row],[Request date serial]],3),"yyyy-mm-dd")</f>
        <v>2024-04-08</v>
      </c>
      <c r="P1489" s="51">
        <f>ABS(tblWorkPackages[[#This Row],[Actual labor hours]]-tblWorkPackages[[#This Row],[Estimated labor hours]])</f>
        <v>3.3</v>
      </c>
      <c r="Q1489" s="51">
        <f>IF(tblWorkPackages[[#This Row],[Actual labor hours]]&gt;tblWorkPackages[[#This Row],[Estimated labor hours]],1,0)</f>
        <v>1</v>
      </c>
      <c r="R1489" s="51">
        <f>tblWorkPackages[[#This Row],[Actual labor hours]]-tblWorkPackages[[#This Row],[Estimated labor hours]]</f>
        <v>3.3</v>
      </c>
      <c r="S1489" s="51" t="str">
        <f>IF(tblWorkPackages[[#This Row],[Request date serial]]&lt;ValidationStart,"Train 2024",IF(tblWorkPackages[[#This Row],[Request date serial]]&lt;HoldoutStart,"Validation H1","Holdout H2"))</f>
        <v>Train 2024</v>
      </c>
      <c r="T1489" s="51" t="str">
        <f>IF(tblWorkPackages[[#This Row],[Time split]]="Train 2024","",tblWorkPackages[[#This Row],[Estimated labor hours]]+VLOOKUP(tblWorkPackages[[#This Row],[Task type]],'Forecast validation'!$A$14:$E$25,IF(tblWorkPackages[[#This Row],[Time split]]="Validation H1",4,5),FALSE()))</f>
        <v/>
      </c>
      <c r="U1489" s="51" t="str">
        <f>IF(tblWorkPackages[[#This Row],[Calibrated forecast hours]]="","",ABS(tblWorkPackages[[#This Row],[Actual labor hours]]-tblWorkPackages[[#This Row],[Calibrated forecast hours]]))</f>
        <v/>
      </c>
      <c r="V1489" s="51">
        <f>IF(tblWorkPackages[[#This Row],[Time split]]="Train 2024",tblWorkPackages[[#This Row],[Estimated labor hours]],tblWorkPackages[[#This Row],[Calibrated forecast hours]])</f>
        <v>8.9</v>
      </c>
      <c r="W1489" s="64">
        <f>DATEVALUE(tblWorkPackages[[#This Row],[Request date]])</f>
        <v>45396.0</v>
      </c>
      <c r="X1489" s="64">
        <f>DATEVALUE(tblWorkPackages[[#This Row],[Due date]])</f>
        <v>45409.0</v>
      </c>
      <c r="Y1489" s="64">
        <f>DATEVALUE(tblWorkPackages[[#This Row],[Completion date]])</f>
        <v>45408.0</v>
      </c>
      <c r="Z1489" s="64">
        <f>_xlfn.MINIFS(tblLaborEntries[Work date serial],tblLaborEntries[Work package ID],tblWorkPackages[[#This Row],[Work package ID]])</f>
        <v>45405.0</v>
      </c>
      <c r="AA1489" s="64">
        <f>_xlfn.MAXIFS(tblLaborEntries[Work date serial],tblLaborEntries[Work package ID],tblWorkPackages[[#This Row],[Work package ID]])</f>
        <v>45405.0</v>
      </c>
      <c r="AB1489" s="65">
        <f>IF(tblWorkPackages[[#This Row],[Completion date serial]]&gt;tblWorkPackages[[#This Row],[Due date serial]],1,0)</f>
        <v>0</v>
      </c>
      <c r="AC1489" s="65">
        <f>MAX(0,tblWorkPackages[[#This Row],[Completion date serial]]-tblWorkPackages[[#This Row],[Due date serial]])</f>
        <v>0</v>
      </c>
      <c r="AD1489" s="65">
        <f>tblWorkPackages[[#This Row],[First labor date]]-tblWorkPackages[[#This Row],[Request date serial]]</f>
        <v>9</v>
      </c>
      <c r="AE1489" s="65">
        <f>tblWorkPackages[[#This Row],[Last labor date]]-tblWorkPackages[[#This Row],[First labor date]]</f>
        <v>0</v>
      </c>
      <c r="AF1489" s="65">
        <f>tblWorkPackages[[#This Row],[Completion date serial]]-tblWorkPackages[[#This Row],[Last labor date]]</f>
        <v>3</v>
      </c>
      <c r="AG1489" s="65">
        <f>tblWorkPackages[[#This Row],[Completion date serial]]-tblWorkPackages[[#This Row],[Request date serial]]</f>
        <v>12</v>
      </c>
      <c r="AH1489" s="65">
        <f>IFERROR(INDEX(tblParts[Delay days],MATCH(tblWorkPackages[[#This Row],[Work package ID]],tblParts[Work package ID],0)),0)</f>
        <v>0</v>
      </c>
      <c r="AI1489" s="51" t="str">
        <f>IFERROR(INDEX(tblDisruptions[Event type],MATCH(tblWorkPackages[[#This Row],[Work package ID]],tblDisruptions[Work package ID],0)),"None")</f>
        <v>None</v>
      </c>
      <c r="AJ1489" s="51" t="str">
        <f>TEXT(tblWorkPackages[[#This Row],[Due date serial]],"yyyy-mm")</f>
        <v>2024-04</v>
      </c>
    </row>
    <row r="1490" spans="1:36" ht="15" x14ac:dyDescent="0.25">
      <c r="A1490" s="53" t="s">
        <v>2398</v>
      </c>
      <c r="B1490" s="53" t="s">
        <v>141</v>
      </c>
      <c r="C1490" s="53" t="s">
        <v>1118</v>
      </c>
      <c r="D1490" s="53" t="s">
        <v>673</v>
      </c>
      <c r="E1490" s="53" t="s">
        <v>209</v>
      </c>
      <c r="F1490" s="53" t="s">
        <v>145</v>
      </c>
      <c r="G1490" s="53" t="s">
        <v>210</v>
      </c>
      <c r="H1490" s="53">
        <v>2</v>
      </c>
      <c r="I1490" s="53" t="s">
        <v>176</v>
      </c>
      <c r="J1490" s="53">
        <v>0</v>
      </c>
      <c r="K1490" s="53">
        <v>1</v>
      </c>
      <c r="L1490" s="53">
        <v>22</v>
      </c>
      <c r="M1490" s="53" t="s">
        <v>714</v>
      </c>
      <c r="N1490" s="53">
        <v>28.1</v>
      </c>
      <c r="O1490" s="51" t="str">
        <f>TEXT(tblWorkPackages[[#This Row],[Request date serial]]-WEEKDAY(tblWorkPackages[[#This Row],[Request date serial]],3),"yyyy-mm-dd")</f>
        <v>2025-06-16</v>
      </c>
      <c r="P1490" s="51">
        <f>ABS(tblWorkPackages[[#This Row],[Actual labor hours]]-tblWorkPackages[[#This Row],[Estimated labor hours]])</f>
        <v>6.1</v>
      </c>
      <c r="Q1490" s="51">
        <f>IF(tblWorkPackages[[#This Row],[Actual labor hours]]&gt;tblWorkPackages[[#This Row],[Estimated labor hours]],1,0)</f>
        <v>1</v>
      </c>
      <c r="R1490" s="51">
        <f>tblWorkPackages[[#This Row],[Actual labor hours]]-tblWorkPackages[[#This Row],[Estimated labor hours]]</f>
        <v>6.1</v>
      </c>
      <c r="S1490" s="51" t="str">
        <f>IF(tblWorkPackages[[#This Row],[Request date serial]]&lt;ValidationStart,"Train 2024",IF(tblWorkPackages[[#This Row],[Request date serial]]&lt;HoldoutStart,"Validation H1","Holdout H2"))</f>
        <v>Validation H1</v>
      </c>
      <c r="T1490" s="51">
        <f>IF(tblWorkPackages[[#This Row],[Time split]]="Train 2024","",tblWorkPackages[[#This Row],[Estimated labor hours]]+VLOOKUP(tblWorkPackages[[#This Row],[Task type]],'Forecast validation'!$A$14:$E$25,IF(tblWorkPackages[[#This Row],[Time split]]="Validation H1",4,5),FALSE()))</f>
        <v>23.1029850746269</v>
      </c>
      <c r="U1490" s="51">
        <f>IF(tblWorkPackages[[#This Row],[Calibrated forecast hours]]="","",ABS(tblWorkPackages[[#This Row],[Actual labor hours]]-tblWorkPackages[[#This Row],[Calibrated forecast hours]]))</f>
        <v>4.99701492537314</v>
      </c>
      <c r="V1490" s="51">
        <f>IF(tblWorkPackages[[#This Row],[Time split]]="Train 2024",tblWorkPackages[[#This Row],[Estimated labor hours]],tblWorkPackages[[#This Row],[Calibrated forecast hours]])</f>
        <v>23.1029850746269</v>
      </c>
      <c r="W1490" s="64">
        <f>DATEVALUE(tblWorkPackages[[#This Row],[Request date]])</f>
        <v>45824.0</v>
      </c>
      <c r="X1490" s="64">
        <f>DATEVALUE(tblWorkPackages[[#This Row],[Due date]])</f>
        <v>45830.0</v>
      </c>
      <c r="Y1490" s="64">
        <f>DATEVALUE(tblWorkPackages[[#This Row],[Completion date]])</f>
        <v>45829.0</v>
      </c>
      <c r="Z1490" s="64">
        <f>_xlfn.MINIFS(tblLaborEntries[Work date serial],tblLaborEntries[Work package ID],tblWorkPackages[[#This Row],[Work package ID]])</f>
        <v>45827.0</v>
      </c>
      <c r="AA1490" s="64">
        <f>_xlfn.MAXIFS(tblLaborEntries[Work date serial],tblLaborEntries[Work package ID],tblWorkPackages[[#This Row],[Work package ID]])</f>
        <v>45829.0</v>
      </c>
      <c r="AB1490" s="65">
        <f>IF(tblWorkPackages[[#This Row],[Completion date serial]]&gt;tblWorkPackages[[#This Row],[Due date serial]],1,0)</f>
        <v>0</v>
      </c>
      <c r="AC1490" s="65">
        <f>MAX(0,tblWorkPackages[[#This Row],[Completion date serial]]-tblWorkPackages[[#This Row],[Due date serial]])</f>
        <v>0</v>
      </c>
      <c r="AD1490" s="65">
        <f>tblWorkPackages[[#This Row],[First labor date]]-tblWorkPackages[[#This Row],[Request date serial]]</f>
        <v>3</v>
      </c>
      <c r="AE1490" s="65">
        <f>tblWorkPackages[[#This Row],[Last labor date]]-tblWorkPackages[[#This Row],[First labor date]]</f>
        <v>2</v>
      </c>
      <c r="AF1490" s="65">
        <f>tblWorkPackages[[#This Row],[Completion date serial]]-tblWorkPackages[[#This Row],[Last labor date]]</f>
        <v>0</v>
      </c>
      <c r="AG1490" s="65">
        <f>tblWorkPackages[[#This Row],[Completion date serial]]-tblWorkPackages[[#This Row],[Request date serial]]</f>
        <v>5</v>
      </c>
      <c r="AH1490" s="65">
        <f>IFERROR(INDEX(tblParts[Delay days],MATCH(tblWorkPackages[[#This Row],[Work package ID]],tblParts[Work package ID],0)),0)</f>
        <v>0</v>
      </c>
      <c r="AI1490" s="51" t="str">
        <f>IFERROR(INDEX(tblDisruptions[Event type],MATCH(tblWorkPackages[[#This Row],[Work package ID]],tblDisruptions[Work package ID],0)),"None")</f>
        <v>None</v>
      </c>
      <c r="AJ1490" s="51" t="str">
        <f>TEXT(tblWorkPackages[[#This Row],[Due date serial]],"yyyy-mm")</f>
        <v>2025-06</v>
      </c>
    </row>
    <row r="1491" spans="1:36" ht="15" x14ac:dyDescent="0.25">
      <c r="A1491" s="53" t="s">
        <v>2399</v>
      </c>
      <c r="B1491" s="53" t="s">
        <v>133</v>
      </c>
      <c r="C1491" s="53" t="s">
        <v>171</v>
      </c>
      <c r="D1491" s="53" t="s">
        <v>948</v>
      </c>
      <c r="E1491" s="53" t="s">
        <v>160</v>
      </c>
      <c r="F1491" s="53" t="s">
        <v>128</v>
      </c>
      <c r="G1491" s="53" t="s">
        <v>138</v>
      </c>
      <c r="H1491" s="53">
        <v>3</v>
      </c>
      <c r="I1491" s="53" t="s">
        <v>130</v>
      </c>
      <c r="J1491" s="53">
        <v>0</v>
      </c>
      <c r="K1491" s="53">
        <v>0</v>
      </c>
      <c r="L1491" s="53">
        <v>5.2</v>
      </c>
      <c r="M1491" s="53" t="s">
        <v>600</v>
      </c>
      <c r="N1491" s="53">
        <v>5.4</v>
      </c>
      <c r="O1491" s="51" t="str">
        <f>TEXT(tblWorkPackages[[#This Row],[Request date serial]]-WEEKDAY(tblWorkPackages[[#This Row],[Request date serial]],3),"yyyy-mm-dd")</f>
        <v>2024-10-21</v>
      </c>
      <c r="P1491" s="51">
        <f>ABS(tblWorkPackages[[#This Row],[Actual labor hours]]-tblWorkPackages[[#This Row],[Estimated labor hours]])</f>
        <v>0.2</v>
      </c>
      <c r="Q1491" s="51">
        <f>IF(tblWorkPackages[[#This Row],[Actual labor hours]]&gt;tblWorkPackages[[#This Row],[Estimated labor hours]],1,0)</f>
        <v>1</v>
      </c>
      <c r="R1491" s="51">
        <f>tblWorkPackages[[#This Row],[Actual labor hours]]-tblWorkPackages[[#This Row],[Estimated labor hours]]</f>
        <v>0.2</v>
      </c>
      <c r="S1491" s="51" t="str">
        <f>IF(tblWorkPackages[[#This Row],[Request date serial]]&lt;ValidationStart,"Train 2024",IF(tblWorkPackages[[#This Row],[Request date serial]]&lt;HoldoutStart,"Validation H1","Holdout H2"))</f>
        <v>Train 2024</v>
      </c>
      <c r="T1491" s="51" t="str">
        <f>IF(tblWorkPackages[[#This Row],[Time split]]="Train 2024","",tblWorkPackages[[#This Row],[Estimated labor hours]]+VLOOKUP(tblWorkPackages[[#This Row],[Task type]],'Forecast validation'!$A$14:$E$25,IF(tblWorkPackages[[#This Row],[Time split]]="Validation H1",4,5),FALSE()))</f>
        <v/>
      </c>
      <c r="U1491" s="51" t="str">
        <f>IF(tblWorkPackages[[#This Row],[Calibrated forecast hours]]="","",ABS(tblWorkPackages[[#This Row],[Actual labor hours]]-tblWorkPackages[[#This Row],[Calibrated forecast hours]]))</f>
        <v/>
      </c>
      <c r="V1491" s="51">
        <f>IF(tblWorkPackages[[#This Row],[Time split]]="Train 2024",tblWorkPackages[[#This Row],[Estimated labor hours]],tblWorkPackages[[#This Row],[Calibrated forecast hours]])</f>
        <v>5.2</v>
      </c>
      <c r="W1491" s="64">
        <f>DATEVALUE(tblWorkPackages[[#This Row],[Request date]])</f>
        <v>45590.0</v>
      </c>
      <c r="X1491" s="64">
        <f>DATEVALUE(tblWorkPackages[[#This Row],[Due date]])</f>
        <v>45603.0</v>
      </c>
      <c r="Y1491" s="64">
        <f>DATEVALUE(tblWorkPackages[[#This Row],[Completion date]])</f>
        <v>45618.0</v>
      </c>
      <c r="Z1491" s="64">
        <f>_xlfn.MINIFS(tblLaborEntries[Work date serial],tblLaborEntries[Work package ID],tblWorkPackages[[#This Row],[Work package ID]])</f>
        <v>45615.0</v>
      </c>
      <c r="AA1491" s="64">
        <f>_xlfn.MAXIFS(tblLaborEntries[Work date serial],tblLaborEntries[Work package ID],tblWorkPackages[[#This Row],[Work package ID]])</f>
        <v>45617.0</v>
      </c>
      <c r="AB1491" s="65">
        <f>IF(tblWorkPackages[[#This Row],[Completion date serial]]&gt;tblWorkPackages[[#This Row],[Due date serial]],1,0)</f>
        <v>1</v>
      </c>
      <c r="AC1491" s="65">
        <f>MAX(0,tblWorkPackages[[#This Row],[Completion date serial]]-tblWorkPackages[[#This Row],[Due date serial]])</f>
        <v>15</v>
      </c>
      <c r="AD1491" s="65">
        <f>tblWorkPackages[[#This Row],[First labor date]]-tblWorkPackages[[#This Row],[Request date serial]]</f>
        <v>25</v>
      </c>
      <c r="AE1491" s="65">
        <f>tblWorkPackages[[#This Row],[Last labor date]]-tblWorkPackages[[#This Row],[First labor date]]</f>
        <v>2</v>
      </c>
      <c r="AF1491" s="65">
        <f>tblWorkPackages[[#This Row],[Completion date serial]]-tblWorkPackages[[#This Row],[Last labor date]]</f>
        <v>1</v>
      </c>
      <c r="AG1491" s="65">
        <f>tblWorkPackages[[#This Row],[Completion date serial]]-tblWorkPackages[[#This Row],[Request date serial]]</f>
        <v>28</v>
      </c>
      <c r="AH1491" s="65">
        <f>IFERROR(INDEX(tblParts[Delay days],MATCH(tblWorkPackages[[#This Row],[Work package ID]],tblParts[Work package ID],0)),0)</f>
        <v>0</v>
      </c>
      <c r="AI1491" s="51" t="str">
        <f>IFERROR(INDEX(tblDisruptions[Event type],MATCH(tblWorkPackages[[#This Row],[Work package ID]],tblDisruptions[Work package ID],0)),"None")</f>
        <v>None</v>
      </c>
      <c r="AJ1491" s="51" t="str">
        <f>TEXT(tblWorkPackages[[#This Row],[Due date serial]],"yyyy-mm")</f>
        <v>2024-11</v>
      </c>
    </row>
    <row r="1492" spans="1:36" ht="15" x14ac:dyDescent="0.25">
      <c r="A1492" s="53" t="s">
        <v>2400</v>
      </c>
      <c r="B1492" s="53" t="s">
        <v>250</v>
      </c>
      <c r="C1492" s="53" t="s">
        <v>818</v>
      </c>
      <c r="D1492" s="53" t="s">
        <v>1417</v>
      </c>
      <c r="E1492" s="53" t="s">
        <v>136</v>
      </c>
      <c r="F1492" s="53" t="s">
        <v>137</v>
      </c>
      <c r="G1492" s="53" t="s">
        <v>138</v>
      </c>
      <c r="H1492" s="53">
        <v>2</v>
      </c>
      <c r="I1492" s="53" t="s">
        <v>130</v>
      </c>
      <c r="J1492" s="53">
        <v>1</v>
      </c>
      <c r="K1492" s="53">
        <v>0</v>
      </c>
      <c r="L1492" s="53">
        <v>13.3</v>
      </c>
      <c r="M1492" s="53" t="s">
        <v>707</v>
      </c>
      <c r="N1492" s="53">
        <v>16.100000000000001</v>
      </c>
      <c r="O1492" s="51" t="str">
        <f>TEXT(tblWorkPackages[[#This Row],[Request date serial]]-WEEKDAY(tblWorkPackages[[#This Row],[Request date serial]],3),"yyyy-mm-dd")</f>
        <v>2024-12-16</v>
      </c>
      <c r="P1492" s="51">
        <f>ABS(tblWorkPackages[[#This Row],[Actual labor hours]]-tblWorkPackages[[#This Row],[Estimated labor hours]])</f>
        <v>2.8</v>
      </c>
      <c r="Q1492" s="51">
        <f>IF(tblWorkPackages[[#This Row],[Actual labor hours]]&gt;tblWorkPackages[[#This Row],[Estimated labor hours]],1,0)</f>
        <v>1</v>
      </c>
      <c r="R1492" s="51">
        <f>tblWorkPackages[[#This Row],[Actual labor hours]]-tblWorkPackages[[#This Row],[Estimated labor hours]]</f>
        <v>2.8</v>
      </c>
      <c r="S1492" s="51" t="str">
        <f>IF(tblWorkPackages[[#This Row],[Request date serial]]&lt;ValidationStart,"Train 2024",IF(tblWorkPackages[[#This Row],[Request date serial]]&lt;HoldoutStart,"Validation H1","Holdout H2"))</f>
        <v>Train 2024</v>
      </c>
      <c r="T1492" s="51" t="str">
        <f>IF(tblWorkPackages[[#This Row],[Time split]]="Train 2024","",tblWorkPackages[[#This Row],[Estimated labor hours]]+VLOOKUP(tblWorkPackages[[#This Row],[Task type]],'Forecast validation'!$A$14:$E$25,IF(tblWorkPackages[[#This Row],[Time split]]="Validation H1",4,5),FALSE()))</f>
        <v/>
      </c>
      <c r="U1492" s="51" t="str">
        <f>IF(tblWorkPackages[[#This Row],[Calibrated forecast hours]]="","",ABS(tblWorkPackages[[#This Row],[Actual labor hours]]-tblWorkPackages[[#This Row],[Calibrated forecast hours]]))</f>
        <v/>
      </c>
      <c r="V1492" s="51">
        <f>IF(tblWorkPackages[[#This Row],[Time split]]="Train 2024",tblWorkPackages[[#This Row],[Estimated labor hours]],tblWorkPackages[[#This Row],[Calibrated forecast hours]])</f>
        <v>13.3</v>
      </c>
      <c r="W1492" s="64">
        <f>DATEVALUE(tblWorkPackages[[#This Row],[Request date]])</f>
        <v>45643.0</v>
      </c>
      <c r="X1492" s="64">
        <f>DATEVALUE(tblWorkPackages[[#This Row],[Due date]])</f>
        <v>45656.0</v>
      </c>
      <c r="Y1492" s="64">
        <f>DATEVALUE(tblWorkPackages[[#This Row],[Completion date]])</f>
        <v>45650.0</v>
      </c>
      <c r="Z1492" s="64">
        <f>_xlfn.MINIFS(tblLaborEntries[Work date serial],tblLaborEntries[Work package ID],tblWorkPackages[[#This Row],[Work package ID]])</f>
        <v>45647.0</v>
      </c>
      <c r="AA1492" s="64">
        <f>_xlfn.MAXIFS(tblLaborEntries[Work date serial],tblLaborEntries[Work package ID],tblWorkPackages[[#This Row],[Work package ID]])</f>
        <v>45648.0</v>
      </c>
      <c r="AB1492" s="65">
        <f>IF(tblWorkPackages[[#This Row],[Completion date serial]]&gt;tblWorkPackages[[#This Row],[Due date serial]],1,0)</f>
        <v>0</v>
      </c>
      <c r="AC1492" s="65">
        <f>MAX(0,tblWorkPackages[[#This Row],[Completion date serial]]-tblWorkPackages[[#This Row],[Due date serial]])</f>
        <v>0</v>
      </c>
      <c r="AD1492" s="65">
        <f>tblWorkPackages[[#This Row],[First labor date]]-tblWorkPackages[[#This Row],[Request date serial]]</f>
        <v>4</v>
      </c>
      <c r="AE1492" s="65">
        <f>tblWorkPackages[[#This Row],[Last labor date]]-tblWorkPackages[[#This Row],[First labor date]]</f>
        <v>1</v>
      </c>
      <c r="AF1492" s="65">
        <f>tblWorkPackages[[#This Row],[Completion date serial]]-tblWorkPackages[[#This Row],[Last labor date]]</f>
        <v>2</v>
      </c>
      <c r="AG1492" s="65">
        <f>tblWorkPackages[[#This Row],[Completion date serial]]-tblWorkPackages[[#This Row],[Request date serial]]</f>
        <v>7</v>
      </c>
      <c r="AH1492" s="65">
        <f>IFERROR(INDEX(tblParts[Delay days],MATCH(tblWorkPackages[[#This Row],[Work package ID]],tblParts[Work package ID],0)),0)</f>
        <v>0</v>
      </c>
      <c r="AI1492" s="51" t="str">
        <f>IFERROR(INDEX(tblDisruptions[Event type],MATCH(tblWorkPackages[[#This Row],[Work package ID]],tblDisruptions[Work package ID],0)),"None")</f>
        <v>None</v>
      </c>
      <c r="AJ1492" s="51" t="str">
        <f>TEXT(tblWorkPackages[[#This Row],[Due date serial]],"yyyy-mm")</f>
        <v>2024-12</v>
      </c>
    </row>
    <row r="1493" spans="1:36" ht="15" x14ac:dyDescent="0.25">
      <c r="A1493" s="53" t="s">
        <v>2401</v>
      </c>
      <c r="B1493" s="53" t="s">
        <v>203</v>
      </c>
      <c r="C1493" s="53" t="s">
        <v>1429</v>
      </c>
      <c r="D1493" s="53" t="s">
        <v>1526</v>
      </c>
      <c r="E1493" s="53" t="s">
        <v>127</v>
      </c>
      <c r="F1493" s="53" t="s">
        <v>128</v>
      </c>
      <c r="G1493" s="53" t="s">
        <v>129</v>
      </c>
      <c r="H1493" s="53">
        <v>3</v>
      </c>
      <c r="I1493" s="53" t="s">
        <v>130</v>
      </c>
      <c r="J1493" s="53">
        <v>0</v>
      </c>
      <c r="K1493" s="53">
        <v>0</v>
      </c>
      <c r="L1493" s="53">
        <v>8.5</v>
      </c>
      <c r="M1493" s="53" t="s">
        <v>765</v>
      </c>
      <c r="N1493" s="53">
        <v>9.4</v>
      </c>
      <c r="O1493" s="51" t="str">
        <f>TEXT(tblWorkPackages[[#This Row],[Request date serial]]-WEEKDAY(tblWorkPackages[[#This Row],[Request date serial]],3),"yyyy-mm-dd")</f>
        <v>2025-12-22</v>
      </c>
      <c r="P1493" s="51">
        <f>ABS(tblWorkPackages[[#This Row],[Actual labor hours]]-tblWorkPackages[[#This Row],[Estimated labor hours]])</f>
        <v>0.9</v>
      </c>
      <c r="Q1493" s="51">
        <f>IF(tblWorkPackages[[#This Row],[Actual labor hours]]&gt;tblWorkPackages[[#This Row],[Estimated labor hours]],1,0)</f>
        <v>1</v>
      </c>
      <c r="R1493" s="51">
        <f>tblWorkPackages[[#This Row],[Actual labor hours]]-tblWorkPackages[[#This Row],[Estimated labor hours]]</f>
        <v>0.9</v>
      </c>
      <c r="S1493" s="51" t="str">
        <f>IF(tblWorkPackages[[#This Row],[Request date serial]]&lt;ValidationStart,"Train 2024",IF(tblWorkPackages[[#This Row],[Request date serial]]&lt;HoldoutStart,"Validation H1","Holdout H2"))</f>
        <v>Holdout H2</v>
      </c>
      <c r="T1493" s="51">
        <f>IF(tblWorkPackages[[#This Row],[Time split]]="Train 2024","",tblWorkPackages[[#This Row],[Estimated labor hours]]+VLOOKUP(tblWorkPackages[[#This Row],[Task type]],'Forecast validation'!$A$14:$E$25,IF(tblWorkPackages[[#This Row],[Time split]]="Validation H1",4,5),FALSE()))</f>
        <v>9.04341085271318</v>
      </c>
      <c r="U1493" s="51">
        <f>IF(tblWorkPackages[[#This Row],[Calibrated forecast hours]]="","",ABS(tblWorkPackages[[#This Row],[Actual labor hours]]-tblWorkPackages[[#This Row],[Calibrated forecast hours]]))</f>
        <v>0.356589147286822</v>
      </c>
      <c r="V1493" s="51">
        <f>IF(tblWorkPackages[[#This Row],[Time split]]="Train 2024",tblWorkPackages[[#This Row],[Estimated labor hours]],tblWorkPackages[[#This Row],[Calibrated forecast hours]])</f>
        <v>9.04341085271318</v>
      </c>
      <c r="W1493" s="64">
        <f>DATEVALUE(tblWorkPackages[[#This Row],[Request date]])</f>
        <v>46016.0</v>
      </c>
      <c r="X1493" s="64">
        <f>DATEVALUE(tblWorkPackages[[#This Row],[Due date]])</f>
        <v>46029.0</v>
      </c>
      <c r="Y1493" s="64">
        <f>DATEVALUE(tblWorkPackages[[#This Row],[Completion date]])</f>
        <v>46020.0</v>
      </c>
      <c r="Z1493" s="64">
        <f>_xlfn.MINIFS(tblLaborEntries[Work date serial],tblLaborEntries[Work package ID],tblWorkPackages[[#This Row],[Work package ID]])</f>
        <v>46017.0</v>
      </c>
      <c r="AA1493" s="64">
        <f>_xlfn.MAXIFS(tblLaborEntries[Work date serial],tblLaborEntries[Work package ID],tblWorkPackages[[#This Row],[Work package ID]])</f>
        <v>46017.0</v>
      </c>
      <c r="AB1493" s="65">
        <f>IF(tblWorkPackages[[#This Row],[Completion date serial]]&gt;tblWorkPackages[[#This Row],[Due date serial]],1,0)</f>
        <v>0</v>
      </c>
      <c r="AC1493" s="65">
        <f>MAX(0,tblWorkPackages[[#This Row],[Completion date serial]]-tblWorkPackages[[#This Row],[Due date serial]])</f>
        <v>0</v>
      </c>
      <c r="AD1493" s="65">
        <f>tblWorkPackages[[#This Row],[First labor date]]-tblWorkPackages[[#This Row],[Request date serial]]</f>
        <v>1</v>
      </c>
      <c r="AE1493" s="65">
        <f>tblWorkPackages[[#This Row],[Last labor date]]-tblWorkPackages[[#This Row],[First labor date]]</f>
        <v>0</v>
      </c>
      <c r="AF1493" s="65">
        <f>tblWorkPackages[[#This Row],[Completion date serial]]-tblWorkPackages[[#This Row],[Last labor date]]</f>
        <v>3</v>
      </c>
      <c r="AG1493" s="65">
        <f>tblWorkPackages[[#This Row],[Completion date serial]]-tblWorkPackages[[#This Row],[Request date serial]]</f>
        <v>4</v>
      </c>
      <c r="AH1493" s="65">
        <f>IFERROR(INDEX(tblParts[Delay days],MATCH(tblWorkPackages[[#This Row],[Work package ID]],tblParts[Work package ID],0)),0)</f>
        <v>0</v>
      </c>
      <c r="AI1493" s="51" t="str">
        <f>IFERROR(INDEX(tblDisruptions[Event type],MATCH(tblWorkPackages[[#This Row],[Work package ID]],tblDisruptions[Work package ID],0)),"None")</f>
        <v>Repeat inspection</v>
      </c>
      <c r="AJ1493" s="51" t="str">
        <f>TEXT(tblWorkPackages[[#This Row],[Due date serial]],"yyyy-mm")</f>
        <v>2026-01</v>
      </c>
    </row>
    <row r="1494" spans="1:36" ht="15" x14ac:dyDescent="0.25">
      <c r="A1494" s="53" t="s">
        <v>2402</v>
      </c>
      <c r="B1494" s="53" t="s">
        <v>124</v>
      </c>
      <c r="C1494" s="53" t="s">
        <v>703</v>
      </c>
      <c r="D1494" s="53" t="s">
        <v>704</v>
      </c>
      <c r="E1494" s="53" t="s">
        <v>127</v>
      </c>
      <c r="F1494" s="53" t="s">
        <v>128</v>
      </c>
      <c r="G1494" s="53" t="s">
        <v>129</v>
      </c>
      <c r="H1494" s="53">
        <v>1</v>
      </c>
      <c r="I1494" s="53" t="s">
        <v>130</v>
      </c>
      <c r="J1494" s="53">
        <v>0</v>
      </c>
      <c r="K1494" s="53">
        <v>0</v>
      </c>
      <c r="L1494" s="53">
        <v>5.0999999999999996</v>
      </c>
      <c r="M1494" s="53" t="s">
        <v>303</v>
      </c>
      <c r="N1494" s="53">
        <v>5.9</v>
      </c>
      <c r="O1494" s="51" t="str">
        <f>TEXT(tblWorkPackages[[#This Row],[Request date serial]]-WEEKDAY(tblWorkPackages[[#This Row],[Request date serial]],3),"yyyy-mm-dd")</f>
        <v>2024-06-10</v>
      </c>
      <c r="P1494" s="51">
        <f>ABS(tblWorkPackages[[#This Row],[Actual labor hours]]-tblWorkPackages[[#This Row],[Estimated labor hours]])</f>
        <v>0.800000000000001</v>
      </c>
      <c r="Q1494" s="51">
        <f>IF(tblWorkPackages[[#This Row],[Actual labor hours]]&gt;tblWorkPackages[[#This Row],[Estimated labor hours]],1,0)</f>
        <v>1</v>
      </c>
      <c r="R1494" s="51">
        <f>tblWorkPackages[[#This Row],[Actual labor hours]]-tblWorkPackages[[#This Row],[Estimated labor hours]]</f>
        <v>0.800000000000001</v>
      </c>
      <c r="S1494" s="51" t="str">
        <f>IF(tblWorkPackages[[#This Row],[Request date serial]]&lt;ValidationStart,"Train 2024",IF(tblWorkPackages[[#This Row],[Request date serial]]&lt;HoldoutStart,"Validation H1","Holdout H2"))</f>
        <v>Train 2024</v>
      </c>
      <c r="T1494" s="51" t="str">
        <f>IF(tblWorkPackages[[#This Row],[Time split]]="Train 2024","",tblWorkPackages[[#This Row],[Estimated labor hours]]+VLOOKUP(tblWorkPackages[[#This Row],[Task type]],'Forecast validation'!$A$14:$E$25,IF(tblWorkPackages[[#This Row],[Time split]]="Validation H1",4,5),FALSE()))</f>
        <v/>
      </c>
      <c r="U1494" s="51" t="str">
        <f>IF(tblWorkPackages[[#This Row],[Calibrated forecast hours]]="","",ABS(tblWorkPackages[[#This Row],[Actual labor hours]]-tblWorkPackages[[#This Row],[Calibrated forecast hours]]))</f>
        <v/>
      </c>
      <c r="V1494" s="51">
        <f>IF(tblWorkPackages[[#This Row],[Time split]]="Train 2024",tblWorkPackages[[#This Row],[Estimated labor hours]],tblWorkPackages[[#This Row],[Calibrated forecast hours]])</f>
        <v>5.1</v>
      </c>
      <c r="W1494" s="64">
        <f>DATEVALUE(tblWorkPackages[[#This Row],[Request date]])</f>
        <v>45454.0</v>
      </c>
      <c r="X1494" s="64">
        <f>DATEVALUE(tblWorkPackages[[#This Row],[Due date]])</f>
        <v>45467.0</v>
      </c>
      <c r="Y1494" s="64">
        <f>DATEVALUE(tblWorkPackages[[#This Row],[Completion date]])</f>
        <v>45468.0</v>
      </c>
      <c r="Z1494" s="64">
        <f>_xlfn.MINIFS(tblLaborEntries[Work date serial],tblLaborEntries[Work package ID],tblWorkPackages[[#This Row],[Work package ID]])</f>
        <v>45467.0</v>
      </c>
      <c r="AA1494" s="64">
        <f>_xlfn.MAXIFS(tblLaborEntries[Work date serial],tblLaborEntries[Work package ID],tblWorkPackages[[#This Row],[Work package ID]])</f>
        <v>45468.0</v>
      </c>
      <c r="AB1494" s="65">
        <f>IF(tblWorkPackages[[#This Row],[Completion date serial]]&gt;tblWorkPackages[[#This Row],[Due date serial]],1,0)</f>
        <v>1</v>
      </c>
      <c r="AC1494" s="65">
        <f>MAX(0,tblWorkPackages[[#This Row],[Completion date serial]]-tblWorkPackages[[#This Row],[Due date serial]])</f>
        <v>1</v>
      </c>
      <c r="AD1494" s="65">
        <f>tblWorkPackages[[#This Row],[First labor date]]-tblWorkPackages[[#This Row],[Request date serial]]</f>
        <v>13</v>
      </c>
      <c r="AE1494" s="65">
        <f>tblWorkPackages[[#This Row],[Last labor date]]-tblWorkPackages[[#This Row],[First labor date]]</f>
        <v>1</v>
      </c>
      <c r="AF1494" s="65">
        <f>tblWorkPackages[[#This Row],[Completion date serial]]-tblWorkPackages[[#This Row],[Last labor date]]</f>
        <v>0</v>
      </c>
      <c r="AG1494" s="65">
        <f>tblWorkPackages[[#This Row],[Completion date serial]]-tblWorkPackages[[#This Row],[Request date serial]]</f>
        <v>14</v>
      </c>
      <c r="AH1494" s="65">
        <f>IFERROR(INDEX(tblParts[Delay days],MATCH(tblWorkPackages[[#This Row],[Work package ID]],tblParts[Work package ID],0)),0)</f>
        <v>0</v>
      </c>
      <c r="AI1494" s="51" t="str">
        <f>IFERROR(INDEX(tblDisruptions[Event type],MATCH(tblWorkPackages[[#This Row],[Work package ID]],tblDisruptions[Work package ID],0)),"None")</f>
        <v>None</v>
      </c>
      <c r="AJ1494" s="51" t="str">
        <f>TEXT(tblWorkPackages[[#This Row],[Due date serial]],"yyyy-mm")</f>
        <v>2024-06</v>
      </c>
    </row>
    <row r="1495" spans="1:36" ht="15" x14ac:dyDescent="0.25">
      <c r="A1495" s="53" t="s">
        <v>2403</v>
      </c>
      <c r="B1495" s="53" t="s">
        <v>163</v>
      </c>
      <c r="C1495" s="53" t="s">
        <v>512</v>
      </c>
      <c r="D1495" s="53" t="s">
        <v>222</v>
      </c>
      <c r="E1495" s="53" t="s">
        <v>160</v>
      </c>
      <c r="F1495" s="53" t="s">
        <v>128</v>
      </c>
      <c r="G1495" s="53" t="s">
        <v>138</v>
      </c>
      <c r="H1495" s="53">
        <v>2</v>
      </c>
      <c r="I1495" s="53" t="s">
        <v>176</v>
      </c>
      <c r="J1495" s="53">
        <v>0</v>
      </c>
      <c r="K1495" s="53">
        <v>1</v>
      </c>
      <c r="L1495" s="53">
        <v>4.0999999999999996</v>
      </c>
      <c r="M1495" s="53" t="s">
        <v>222</v>
      </c>
      <c r="N1495" s="53">
        <v>3.4</v>
      </c>
      <c r="O1495" s="51" t="str">
        <f>TEXT(tblWorkPackages[[#This Row],[Request date serial]]-WEEKDAY(tblWorkPackages[[#This Row],[Request date serial]],3),"yyyy-mm-dd")</f>
        <v>2024-12-09</v>
      </c>
      <c r="P1495" s="51">
        <f>ABS(tblWorkPackages[[#This Row],[Actual labor hours]]-tblWorkPackages[[#This Row],[Estimated labor hours]])</f>
        <v>0.7</v>
      </c>
      <c r="Q1495" s="51">
        <f>IF(tblWorkPackages[[#This Row],[Actual labor hours]]&gt;tblWorkPackages[[#This Row],[Estimated labor hours]],1,0)</f>
        <v>0</v>
      </c>
      <c r="R1495" s="51">
        <f>tblWorkPackages[[#This Row],[Actual labor hours]]-tblWorkPackages[[#This Row],[Estimated labor hours]]</f>
        <v>-0.7</v>
      </c>
      <c r="S1495" s="51" t="str">
        <f>IF(tblWorkPackages[[#This Row],[Request date serial]]&lt;ValidationStart,"Train 2024",IF(tblWorkPackages[[#This Row],[Request date serial]]&lt;HoldoutStart,"Validation H1","Holdout H2"))</f>
        <v>Train 2024</v>
      </c>
      <c r="T1495" s="51" t="str">
        <f>IF(tblWorkPackages[[#This Row],[Time split]]="Train 2024","",tblWorkPackages[[#This Row],[Estimated labor hours]]+VLOOKUP(tblWorkPackages[[#This Row],[Task type]],'Forecast validation'!$A$14:$E$25,IF(tblWorkPackages[[#This Row],[Time split]]="Validation H1",4,5),FALSE()))</f>
        <v/>
      </c>
      <c r="U1495" s="51" t="str">
        <f>IF(tblWorkPackages[[#This Row],[Calibrated forecast hours]]="","",ABS(tblWorkPackages[[#This Row],[Actual labor hours]]-tblWorkPackages[[#This Row],[Calibrated forecast hours]]))</f>
        <v/>
      </c>
      <c r="V1495" s="51">
        <f>IF(tblWorkPackages[[#This Row],[Time split]]="Train 2024",tblWorkPackages[[#This Row],[Estimated labor hours]],tblWorkPackages[[#This Row],[Calibrated forecast hours]])</f>
        <v>4.1</v>
      </c>
      <c r="W1495" s="64">
        <f>DATEVALUE(tblWorkPackages[[#This Row],[Request date]])</f>
        <v>45641.0</v>
      </c>
      <c r="X1495" s="64">
        <f>DATEVALUE(tblWorkPackages[[#This Row],[Due date]])</f>
        <v>45647.0</v>
      </c>
      <c r="Y1495" s="64">
        <f>DATEVALUE(tblWorkPackages[[#This Row],[Completion date]])</f>
        <v>45647.0</v>
      </c>
      <c r="Z1495" s="64">
        <f>_xlfn.MINIFS(tblLaborEntries[Work date serial],tblLaborEntries[Work package ID],tblWorkPackages[[#This Row],[Work package ID]])</f>
        <v>45644.0</v>
      </c>
      <c r="AA1495" s="64">
        <f>_xlfn.MAXIFS(tblLaborEntries[Work date serial],tblLaborEntries[Work package ID],tblWorkPackages[[#This Row],[Work package ID]])</f>
        <v>45646.0</v>
      </c>
      <c r="AB1495" s="65">
        <f>IF(tblWorkPackages[[#This Row],[Completion date serial]]&gt;tblWorkPackages[[#This Row],[Due date serial]],1,0)</f>
        <v>0</v>
      </c>
      <c r="AC1495" s="65">
        <f>MAX(0,tblWorkPackages[[#This Row],[Completion date serial]]-tblWorkPackages[[#This Row],[Due date serial]])</f>
        <v>0</v>
      </c>
      <c r="AD1495" s="65">
        <f>tblWorkPackages[[#This Row],[First labor date]]-tblWorkPackages[[#This Row],[Request date serial]]</f>
        <v>3</v>
      </c>
      <c r="AE1495" s="65">
        <f>tblWorkPackages[[#This Row],[Last labor date]]-tblWorkPackages[[#This Row],[First labor date]]</f>
        <v>2</v>
      </c>
      <c r="AF1495" s="65">
        <f>tblWorkPackages[[#This Row],[Completion date serial]]-tblWorkPackages[[#This Row],[Last labor date]]</f>
        <v>1</v>
      </c>
      <c r="AG1495" s="65">
        <f>tblWorkPackages[[#This Row],[Completion date serial]]-tblWorkPackages[[#This Row],[Request date serial]]</f>
        <v>6</v>
      </c>
      <c r="AH1495" s="65">
        <f>IFERROR(INDEX(tblParts[Delay days],MATCH(tblWorkPackages[[#This Row],[Work package ID]],tblParts[Work package ID],0)),0)</f>
        <v>0</v>
      </c>
      <c r="AI1495" s="51" t="str">
        <f>IFERROR(INDEX(tblDisruptions[Event type],MATCH(tblWorkPackages[[#This Row],[Work package ID]],tblDisruptions[Work package ID],0)),"None")</f>
        <v>None</v>
      </c>
      <c r="AJ1495" s="51" t="str">
        <f>TEXT(tblWorkPackages[[#This Row],[Due date serial]],"yyyy-mm")</f>
        <v>2024-12</v>
      </c>
    </row>
    <row r="1496" spans="1:36" ht="15" x14ac:dyDescent="0.25">
      <c r="A1496" s="53" t="s">
        <v>2404</v>
      </c>
      <c r="B1496" s="53" t="s">
        <v>163</v>
      </c>
      <c r="C1496" s="53" t="s">
        <v>529</v>
      </c>
      <c r="D1496" s="53" t="s">
        <v>625</v>
      </c>
      <c r="E1496" s="53" t="s">
        <v>200</v>
      </c>
      <c r="F1496" s="53" t="s">
        <v>128</v>
      </c>
      <c r="G1496" s="53" t="s">
        <v>129</v>
      </c>
      <c r="H1496" s="53">
        <v>2</v>
      </c>
      <c r="I1496" s="53" t="s">
        <v>130</v>
      </c>
      <c r="J1496" s="53">
        <v>0</v>
      </c>
      <c r="K1496" s="53">
        <v>1</v>
      </c>
      <c r="L1496" s="53">
        <v>2.6</v>
      </c>
      <c r="M1496" s="53" t="s">
        <v>480</v>
      </c>
      <c r="N1496" s="53">
        <v>2</v>
      </c>
      <c r="O1496" s="51" t="str">
        <f>TEXT(tblWorkPackages[[#This Row],[Request date serial]]-WEEKDAY(tblWorkPackages[[#This Row],[Request date serial]],3),"yyyy-mm-dd")</f>
        <v>2025-09-08</v>
      </c>
      <c r="P1496" s="51">
        <f>ABS(tblWorkPackages[[#This Row],[Actual labor hours]]-tblWorkPackages[[#This Row],[Estimated labor hours]])</f>
        <v>0.6</v>
      </c>
      <c r="Q1496" s="51">
        <f>IF(tblWorkPackages[[#This Row],[Actual labor hours]]&gt;tblWorkPackages[[#This Row],[Estimated labor hours]],1,0)</f>
        <v>0</v>
      </c>
      <c r="R1496" s="51">
        <f>tblWorkPackages[[#This Row],[Actual labor hours]]-tblWorkPackages[[#This Row],[Estimated labor hours]]</f>
        <v>-0.6</v>
      </c>
      <c r="S1496" s="51" t="str">
        <f>IF(tblWorkPackages[[#This Row],[Request date serial]]&lt;ValidationStart,"Train 2024",IF(tblWorkPackages[[#This Row],[Request date serial]]&lt;HoldoutStart,"Validation H1","Holdout H2"))</f>
        <v>Holdout H2</v>
      </c>
      <c r="T1496" s="51">
        <f>IF(tblWorkPackages[[#This Row],[Time split]]="Train 2024","",tblWorkPackages[[#This Row],[Estimated labor hours]]+VLOOKUP(tblWorkPackages[[#This Row],[Task type]],'Forecast validation'!$A$14:$E$25,IF(tblWorkPackages[[#This Row],[Time split]]="Validation H1",4,5),FALSE()))</f>
        <v>2.92893081761006</v>
      </c>
      <c r="U1496" s="51">
        <f>IF(tblWorkPackages[[#This Row],[Calibrated forecast hours]]="","",ABS(tblWorkPackages[[#This Row],[Actual labor hours]]-tblWorkPackages[[#This Row],[Calibrated forecast hours]]))</f>
        <v>0.928930817610063</v>
      </c>
      <c r="V1496" s="51">
        <f>IF(tblWorkPackages[[#This Row],[Time split]]="Train 2024",tblWorkPackages[[#This Row],[Estimated labor hours]],tblWorkPackages[[#This Row],[Calibrated forecast hours]])</f>
        <v>2.92893081761006</v>
      </c>
      <c r="W1496" s="64">
        <f>DATEVALUE(tblWorkPackages[[#This Row],[Request date]])</f>
        <v>45911.0</v>
      </c>
      <c r="X1496" s="64">
        <f>DATEVALUE(tblWorkPackages[[#This Row],[Due date]])</f>
        <v>45924.0</v>
      </c>
      <c r="Y1496" s="64">
        <f>DATEVALUE(tblWorkPackages[[#This Row],[Completion date]])</f>
        <v>45955.0</v>
      </c>
      <c r="Z1496" s="64">
        <f>_xlfn.MINIFS(tblLaborEntries[Work date serial],tblLaborEntries[Work package ID],tblWorkPackages[[#This Row],[Work package ID]])</f>
        <v>45953.0</v>
      </c>
      <c r="AA1496" s="64">
        <f>_xlfn.MAXIFS(tblLaborEntries[Work date serial],tblLaborEntries[Work package ID],tblWorkPackages[[#This Row],[Work package ID]])</f>
        <v>45953.0</v>
      </c>
      <c r="AB1496" s="65">
        <f>IF(tblWorkPackages[[#This Row],[Completion date serial]]&gt;tblWorkPackages[[#This Row],[Due date serial]],1,0)</f>
        <v>1</v>
      </c>
      <c r="AC1496" s="65">
        <f>MAX(0,tblWorkPackages[[#This Row],[Completion date serial]]-tblWorkPackages[[#This Row],[Due date serial]])</f>
        <v>31</v>
      </c>
      <c r="AD1496" s="65">
        <f>tblWorkPackages[[#This Row],[First labor date]]-tblWorkPackages[[#This Row],[Request date serial]]</f>
        <v>42</v>
      </c>
      <c r="AE1496" s="65">
        <f>tblWorkPackages[[#This Row],[Last labor date]]-tblWorkPackages[[#This Row],[First labor date]]</f>
        <v>0</v>
      </c>
      <c r="AF1496" s="65">
        <f>tblWorkPackages[[#This Row],[Completion date serial]]-tblWorkPackages[[#This Row],[Last labor date]]</f>
        <v>2</v>
      </c>
      <c r="AG1496" s="65">
        <f>tblWorkPackages[[#This Row],[Completion date serial]]-tblWorkPackages[[#This Row],[Request date serial]]</f>
        <v>44</v>
      </c>
      <c r="AH1496" s="65">
        <f>IFERROR(INDEX(tblParts[Delay days],MATCH(tblWorkPackages[[#This Row],[Work package ID]],tblParts[Work package ID],0)),0)</f>
        <v>0</v>
      </c>
      <c r="AI1496" s="51" t="str">
        <f>IFERROR(INDEX(tblDisruptions[Event type],MATCH(tblWorkPackages[[#This Row],[Work package ID]],tblDisruptions[Work package ID],0)),"None")</f>
        <v>None</v>
      </c>
      <c r="AJ1496" s="51" t="str">
        <f>TEXT(tblWorkPackages[[#This Row],[Due date serial]],"yyyy-mm")</f>
        <v>2025-09</v>
      </c>
    </row>
    <row r="1497" spans="1:36" ht="15" x14ac:dyDescent="0.25">
      <c r="A1497" s="53" t="s">
        <v>2405</v>
      </c>
      <c r="B1497" s="53" t="s">
        <v>250</v>
      </c>
      <c r="C1497" s="53" t="s">
        <v>649</v>
      </c>
      <c r="D1497" s="53" t="s">
        <v>418</v>
      </c>
      <c r="E1497" s="53" t="s">
        <v>237</v>
      </c>
      <c r="F1497" s="53" t="s">
        <v>182</v>
      </c>
      <c r="G1497" s="53" t="s">
        <v>138</v>
      </c>
      <c r="H1497" s="53">
        <v>4</v>
      </c>
      <c r="I1497" s="53" t="s">
        <v>176</v>
      </c>
      <c r="J1497" s="53">
        <v>0</v>
      </c>
      <c r="K1497" s="53">
        <v>0</v>
      </c>
      <c r="L1497" s="53">
        <v>10.5</v>
      </c>
      <c r="M1497" s="53" t="s">
        <v>1126</v>
      </c>
      <c r="N1497" s="53">
        <v>10.1</v>
      </c>
      <c r="O1497" s="51" t="str">
        <f>TEXT(tblWorkPackages[[#This Row],[Request date serial]]-WEEKDAY(tblWorkPackages[[#This Row],[Request date serial]],3),"yyyy-mm-dd")</f>
        <v>2024-05-06</v>
      </c>
      <c r="P1497" s="51">
        <f>ABS(tblWorkPackages[[#This Row],[Actual labor hours]]-tblWorkPackages[[#This Row],[Estimated labor hours]])</f>
        <v>0.4</v>
      </c>
      <c r="Q1497" s="51">
        <f>IF(tblWorkPackages[[#This Row],[Actual labor hours]]&gt;tblWorkPackages[[#This Row],[Estimated labor hours]],1,0)</f>
        <v>0</v>
      </c>
      <c r="R1497" s="51">
        <f>tblWorkPackages[[#This Row],[Actual labor hours]]-tblWorkPackages[[#This Row],[Estimated labor hours]]</f>
        <v>-0.4</v>
      </c>
      <c r="S1497" s="51" t="str">
        <f>IF(tblWorkPackages[[#This Row],[Request date serial]]&lt;ValidationStart,"Train 2024",IF(tblWorkPackages[[#This Row],[Request date serial]]&lt;HoldoutStart,"Validation H1","Holdout H2"))</f>
        <v>Train 2024</v>
      </c>
      <c r="T1497" s="51" t="str">
        <f>IF(tblWorkPackages[[#This Row],[Time split]]="Train 2024","",tblWorkPackages[[#This Row],[Estimated labor hours]]+VLOOKUP(tblWorkPackages[[#This Row],[Task type]],'Forecast validation'!$A$14:$E$25,IF(tblWorkPackages[[#This Row],[Time split]]="Validation H1",4,5),FALSE()))</f>
        <v/>
      </c>
      <c r="U1497" s="51" t="str">
        <f>IF(tblWorkPackages[[#This Row],[Calibrated forecast hours]]="","",ABS(tblWorkPackages[[#This Row],[Actual labor hours]]-tblWorkPackages[[#This Row],[Calibrated forecast hours]]))</f>
        <v/>
      </c>
      <c r="V1497" s="51">
        <f>IF(tblWorkPackages[[#This Row],[Time split]]="Train 2024",tblWorkPackages[[#This Row],[Estimated labor hours]],tblWorkPackages[[#This Row],[Calibrated forecast hours]])</f>
        <v>10.5</v>
      </c>
      <c r="W1497" s="64">
        <f>DATEVALUE(tblWorkPackages[[#This Row],[Request date]])</f>
        <v>45423.0</v>
      </c>
      <c r="X1497" s="64">
        <f>DATEVALUE(tblWorkPackages[[#This Row],[Due date]])</f>
        <v>45429.0</v>
      </c>
      <c r="Y1497" s="64">
        <f>DATEVALUE(tblWorkPackages[[#This Row],[Completion date]])</f>
        <v>45435.0</v>
      </c>
      <c r="Z1497" s="64">
        <f>_xlfn.MINIFS(tblLaborEntries[Work date serial],tblLaborEntries[Work package ID],tblWorkPackages[[#This Row],[Work package ID]])</f>
        <v>45430.0</v>
      </c>
      <c r="AA1497" s="64">
        <f>_xlfn.MAXIFS(tblLaborEntries[Work date serial],tblLaborEntries[Work package ID],tblWorkPackages[[#This Row],[Work package ID]])</f>
        <v>45432.0</v>
      </c>
      <c r="AB1497" s="65">
        <f>IF(tblWorkPackages[[#This Row],[Completion date serial]]&gt;tblWorkPackages[[#This Row],[Due date serial]],1,0)</f>
        <v>1</v>
      </c>
      <c r="AC1497" s="65">
        <f>MAX(0,tblWorkPackages[[#This Row],[Completion date serial]]-tblWorkPackages[[#This Row],[Due date serial]])</f>
        <v>6</v>
      </c>
      <c r="AD1497" s="65">
        <f>tblWorkPackages[[#This Row],[First labor date]]-tblWorkPackages[[#This Row],[Request date serial]]</f>
        <v>7</v>
      </c>
      <c r="AE1497" s="65">
        <f>tblWorkPackages[[#This Row],[Last labor date]]-tblWorkPackages[[#This Row],[First labor date]]</f>
        <v>2</v>
      </c>
      <c r="AF1497" s="65">
        <f>tblWorkPackages[[#This Row],[Completion date serial]]-tblWorkPackages[[#This Row],[Last labor date]]</f>
        <v>3</v>
      </c>
      <c r="AG1497" s="65">
        <f>tblWorkPackages[[#This Row],[Completion date serial]]-tblWorkPackages[[#This Row],[Request date serial]]</f>
        <v>12</v>
      </c>
      <c r="AH1497" s="65">
        <f>IFERROR(INDEX(tblParts[Delay days],MATCH(tblWorkPackages[[#This Row],[Work package ID]],tblParts[Work package ID],0)),0)</f>
        <v>0</v>
      </c>
      <c r="AI1497" s="51" t="str">
        <f>IFERROR(INDEX(tblDisruptions[Event type],MATCH(tblWorkPackages[[#This Row],[Work package ID]],tblDisruptions[Work package ID],0)),"None")</f>
        <v>None</v>
      </c>
      <c r="AJ1497" s="51" t="str">
        <f>TEXT(tblWorkPackages[[#This Row],[Due date serial]],"yyyy-mm")</f>
        <v>2024-05</v>
      </c>
    </row>
    <row r="1498" spans="1:36" ht="15" x14ac:dyDescent="0.25">
      <c r="A1498" s="53" t="s">
        <v>2406</v>
      </c>
      <c r="B1498" s="53" t="s">
        <v>235</v>
      </c>
      <c r="C1498" s="53" t="s">
        <v>611</v>
      </c>
      <c r="D1498" s="53" t="s">
        <v>211</v>
      </c>
      <c r="E1498" s="53" t="s">
        <v>237</v>
      </c>
      <c r="F1498" s="53" t="s">
        <v>182</v>
      </c>
      <c r="G1498" s="53" t="s">
        <v>138</v>
      </c>
      <c r="H1498" s="53">
        <v>1</v>
      </c>
      <c r="I1498" s="53" t="s">
        <v>176</v>
      </c>
      <c r="J1498" s="53">
        <v>0</v>
      </c>
      <c r="K1498" s="53">
        <v>0</v>
      </c>
      <c r="L1498" s="53">
        <v>3.2</v>
      </c>
      <c r="M1498" s="53" t="s">
        <v>843</v>
      </c>
      <c r="N1498" s="53">
        <v>3</v>
      </c>
      <c r="O1498" s="51" t="str">
        <f>TEXT(tblWorkPackages[[#This Row],[Request date serial]]-WEEKDAY(tblWorkPackages[[#This Row],[Request date serial]],3),"yyyy-mm-dd")</f>
        <v>2025-08-04</v>
      </c>
      <c r="P1498" s="51">
        <f>ABS(tblWorkPackages[[#This Row],[Actual labor hours]]-tblWorkPackages[[#This Row],[Estimated labor hours]])</f>
        <v>0.2</v>
      </c>
      <c r="Q1498" s="51">
        <f>IF(tblWorkPackages[[#This Row],[Actual labor hours]]&gt;tblWorkPackages[[#This Row],[Estimated labor hours]],1,0)</f>
        <v>0</v>
      </c>
      <c r="R1498" s="51">
        <f>tblWorkPackages[[#This Row],[Actual labor hours]]-tblWorkPackages[[#This Row],[Estimated labor hours]]</f>
        <v>-0.2</v>
      </c>
      <c r="S1498" s="51" t="str">
        <f>IF(tblWorkPackages[[#This Row],[Request date serial]]&lt;ValidationStart,"Train 2024",IF(tblWorkPackages[[#This Row],[Request date serial]]&lt;HoldoutStart,"Validation H1","Holdout H2"))</f>
        <v>Holdout H2</v>
      </c>
      <c r="T1498" s="51">
        <f>IF(tblWorkPackages[[#This Row],[Time split]]="Train 2024","",tblWorkPackages[[#This Row],[Estimated labor hours]]+VLOOKUP(tblWorkPackages[[#This Row],[Task type]],'Forecast validation'!$A$14:$E$25,IF(tblWorkPackages[[#This Row],[Time split]]="Validation H1",4,5),FALSE()))</f>
        <v>3.653125</v>
      </c>
      <c r="U1498" s="51">
        <f>IF(tblWorkPackages[[#This Row],[Calibrated forecast hours]]="","",ABS(tblWorkPackages[[#This Row],[Actual labor hours]]-tblWorkPackages[[#This Row],[Calibrated forecast hours]]))</f>
        <v>0.653125</v>
      </c>
      <c r="V1498" s="51">
        <f>IF(tblWorkPackages[[#This Row],[Time split]]="Train 2024",tblWorkPackages[[#This Row],[Estimated labor hours]],tblWorkPackages[[#This Row],[Calibrated forecast hours]])</f>
        <v>3.653125</v>
      </c>
      <c r="W1498" s="64">
        <f>DATEVALUE(tblWorkPackages[[#This Row],[Request date]])</f>
        <v>45876.0</v>
      </c>
      <c r="X1498" s="64">
        <f>DATEVALUE(tblWorkPackages[[#This Row],[Due date]])</f>
        <v>45882.0</v>
      </c>
      <c r="Y1498" s="64">
        <f>DATEVALUE(tblWorkPackages[[#This Row],[Completion date]])</f>
        <v>45878.0</v>
      </c>
      <c r="Z1498" s="64">
        <f>_xlfn.MINIFS(tblLaborEntries[Work date serial],tblLaborEntries[Work package ID],tblWorkPackages[[#This Row],[Work package ID]])</f>
        <v>45878.0</v>
      </c>
      <c r="AA1498" s="64">
        <f>_xlfn.MAXIFS(tblLaborEntries[Work date serial],tblLaborEntries[Work package ID],tblWorkPackages[[#This Row],[Work package ID]])</f>
        <v>45878.0</v>
      </c>
      <c r="AB1498" s="65">
        <f>IF(tblWorkPackages[[#This Row],[Completion date serial]]&gt;tblWorkPackages[[#This Row],[Due date serial]],1,0)</f>
        <v>0</v>
      </c>
      <c r="AC1498" s="65">
        <f>MAX(0,tblWorkPackages[[#This Row],[Completion date serial]]-tblWorkPackages[[#This Row],[Due date serial]])</f>
        <v>0</v>
      </c>
      <c r="AD1498" s="65">
        <f>tblWorkPackages[[#This Row],[First labor date]]-tblWorkPackages[[#This Row],[Request date serial]]</f>
        <v>2</v>
      </c>
      <c r="AE1498" s="65">
        <f>tblWorkPackages[[#This Row],[Last labor date]]-tblWorkPackages[[#This Row],[First labor date]]</f>
        <v>0</v>
      </c>
      <c r="AF1498" s="65">
        <f>tblWorkPackages[[#This Row],[Completion date serial]]-tblWorkPackages[[#This Row],[Last labor date]]</f>
        <v>0</v>
      </c>
      <c r="AG1498" s="65">
        <f>tblWorkPackages[[#This Row],[Completion date serial]]-tblWorkPackages[[#This Row],[Request date serial]]</f>
        <v>2</v>
      </c>
      <c r="AH1498" s="65">
        <f>IFERROR(INDEX(tblParts[Delay days],MATCH(tblWorkPackages[[#This Row],[Work package ID]],tblParts[Work package ID],0)),0)</f>
        <v>0</v>
      </c>
      <c r="AI1498" s="51" t="str">
        <f>IFERROR(INDEX(tblDisruptions[Event type],MATCH(tblWorkPackages[[#This Row],[Work package ID]],tblDisruptions[Work package ID],0)),"None")</f>
        <v>None</v>
      </c>
      <c r="AJ1498" s="51" t="str">
        <f>TEXT(tblWorkPackages[[#This Row],[Due date serial]],"yyyy-mm")</f>
        <v>2025-08</v>
      </c>
    </row>
    <row r="1499" spans="1:36" ht="15" x14ac:dyDescent="0.25">
      <c r="A1499" s="53" t="s">
        <v>2407</v>
      </c>
      <c r="B1499" s="53" t="s">
        <v>173</v>
      </c>
      <c r="C1499" s="53" t="s">
        <v>660</v>
      </c>
      <c r="D1499" s="53" t="s">
        <v>800</v>
      </c>
      <c r="E1499" s="53" t="s">
        <v>136</v>
      </c>
      <c r="F1499" s="53" t="s">
        <v>137</v>
      </c>
      <c r="G1499" s="53" t="s">
        <v>138</v>
      </c>
      <c r="H1499" s="53">
        <v>4</v>
      </c>
      <c r="I1499" s="53" t="s">
        <v>176</v>
      </c>
      <c r="J1499" s="53">
        <v>0</v>
      </c>
      <c r="K1499" s="53">
        <v>0</v>
      </c>
      <c r="L1499" s="53">
        <v>22.5</v>
      </c>
      <c r="M1499" s="53" t="s">
        <v>403</v>
      </c>
      <c r="N1499" s="53">
        <v>24.9</v>
      </c>
      <c r="O1499" s="51" t="str">
        <f>TEXT(tblWorkPackages[[#This Row],[Request date serial]]-WEEKDAY(tblWorkPackages[[#This Row],[Request date serial]],3),"yyyy-mm-dd")</f>
        <v>2024-09-16</v>
      </c>
      <c r="P1499" s="51">
        <f>ABS(tblWorkPackages[[#This Row],[Actual labor hours]]-tblWorkPackages[[#This Row],[Estimated labor hours]])</f>
        <v>2.4</v>
      </c>
      <c r="Q1499" s="51">
        <f>IF(tblWorkPackages[[#This Row],[Actual labor hours]]&gt;tblWorkPackages[[#This Row],[Estimated labor hours]],1,0)</f>
        <v>1</v>
      </c>
      <c r="R1499" s="51">
        <f>tblWorkPackages[[#This Row],[Actual labor hours]]-tblWorkPackages[[#This Row],[Estimated labor hours]]</f>
        <v>2.4</v>
      </c>
      <c r="S1499" s="51" t="str">
        <f>IF(tblWorkPackages[[#This Row],[Request date serial]]&lt;ValidationStart,"Train 2024",IF(tblWorkPackages[[#This Row],[Request date serial]]&lt;HoldoutStart,"Validation H1","Holdout H2"))</f>
        <v>Train 2024</v>
      </c>
      <c r="T1499" s="51" t="str">
        <f>IF(tblWorkPackages[[#This Row],[Time split]]="Train 2024","",tblWorkPackages[[#This Row],[Estimated labor hours]]+VLOOKUP(tblWorkPackages[[#This Row],[Task type]],'Forecast validation'!$A$14:$E$25,IF(tblWorkPackages[[#This Row],[Time split]]="Validation H1",4,5),FALSE()))</f>
        <v/>
      </c>
      <c r="U1499" s="51" t="str">
        <f>IF(tblWorkPackages[[#This Row],[Calibrated forecast hours]]="","",ABS(tblWorkPackages[[#This Row],[Actual labor hours]]-tblWorkPackages[[#This Row],[Calibrated forecast hours]]))</f>
        <v/>
      </c>
      <c r="V1499" s="51">
        <f>IF(tblWorkPackages[[#This Row],[Time split]]="Train 2024",tblWorkPackages[[#This Row],[Estimated labor hours]],tblWorkPackages[[#This Row],[Calibrated forecast hours]])</f>
        <v>22.5</v>
      </c>
      <c r="W1499" s="64">
        <f>DATEVALUE(tblWorkPackages[[#This Row],[Request date]])</f>
        <v>45556.0</v>
      </c>
      <c r="X1499" s="64">
        <f>DATEVALUE(tblWorkPackages[[#This Row],[Due date]])</f>
        <v>45562.0</v>
      </c>
      <c r="Y1499" s="64">
        <f>DATEVALUE(tblWorkPackages[[#This Row],[Completion date]])</f>
        <v>45577.0</v>
      </c>
      <c r="Z1499" s="64">
        <f>_xlfn.MINIFS(tblLaborEntries[Work date serial],tblLaborEntries[Work package ID],tblWorkPackages[[#This Row],[Work package ID]])</f>
        <v>45574.0</v>
      </c>
      <c r="AA1499" s="64">
        <f>_xlfn.MAXIFS(tblLaborEntries[Work date serial],tblLaborEntries[Work package ID],tblWorkPackages[[#This Row],[Work package ID]])</f>
        <v>45576.0</v>
      </c>
      <c r="AB1499" s="65">
        <f>IF(tblWorkPackages[[#This Row],[Completion date serial]]&gt;tblWorkPackages[[#This Row],[Due date serial]],1,0)</f>
        <v>1</v>
      </c>
      <c r="AC1499" s="65">
        <f>MAX(0,tblWorkPackages[[#This Row],[Completion date serial]]-tblWorkPackages[[#This Row],[Due date serial]])</f>
        <v>15</v>
      </c>
      <c r="AD1499" s="65">
        <f>tblWorkPackages[[#This Row],[First labor date]]-tblWorkPackages[[#This Row],[Request date serial]]</f>
        <v>18</v>
      </c>
      <c r="AE1499" s="65">
        <f>tblWorkPackages[[#This Row],[Last labor date]]-tblWorkPackages[[#This Row],[First labor date]]</f>
        <v>2</v>
      </c>
      <c r="AF1499" s="65">
        <f>tblWorkPackages[[#This Row],[Completion date serial]]-tblWorkPackages[[#This Row],[Last labor date]]</f>
        <v>1</v>
      </c>
      <c r="AG1499" s="65">
        <f>tblWorkPackages[[#This Row],[Completion date serial]]-tblWorkPackages[[#This Row],[Request date serial]]</f>
        <v>21</v>
      </c>
      <c r="AH1499" s="65">
        <f>IFERROR(INDEX(tblParts[Delay days],MATCH(tblWorkPackages[[#This Row],[Work package ID]],tblParts[Work package ID],0)),0)</f>
        <v>0</v>
      </c>
      <c r="AI1499" s="51" t="str">
        <f>IFERROR(INDEX(tblDisruptions[Event type],MATCH(tblWorkPackages[[#This Row],[Work package ID]],tblDisruptions[Work package ID],0)),"None")</f>
        <v>None</v>
      </c>
      <c r="AJ1499" s="51" t="str">
        <f>TEXT(tblWorkPackages[[#This Row],[Due date serial]],"yyyy-mm")</f>
        <v>2024-09</v>
      </c>
    </row>
    <row r="1500" spans="1:36" ht="15" x14ac:dyDescent="0.25">
      <c r="A1500" s="53" t="s">
        <v>2408</v>
      </c>
      <c r="B1500" s="53" t="s">
        <v>250</v>
      </c>
      <c r="C1500" s="53" t="s">
        <v>467</v>
      </c>
      <c r="D1500" s="53" t="s">
        <v>784</v>
      </c>
      <c r="E1500" s="53" t="s">
        <v>223</v>
      </c>
      <c r="F1500" s="53" t="s">
        <v>182</v>
      </c>
      <c r="G1500" s="53" t="s">
        <v>154</v>
      </c>
      <c r="H1500" s="53">
        <v>3</v>
      </c>
      <c r="I1500" s="53" t="s">
        <v>130</v>
      </c>
      <c r="J1500" s="53">
        <v>0</v>
      </c>
      <c r="K1500" s="53">
        <v>0</v>
      </c>
      <c r="L1500" s="53">
        <v>18.7</v>
      </c>
      <c r="M1500" s="53" t="s">
        <v>967</v>
      </c>
      <c r="N1500" s="53">
        <v>15.2</v>
      </c>
      <c r="O1500" s="51" t="str">
        <f>TEXT(tblWorkPackages[[#This Row],[Request date serial]]-WEEKDAY(tblWorkPackages[[#This Row],[Request date serial]],3),"yyyy-mm-dd")</f>
        <v>2025-03-31</v>
      </c>
      <c r="P1500" s="51">
        <f>ABS(tblWorkPackages[[#This Row],[Actual labor hours]]-tblWorkPackages[[#This Row],[Estimated labor hours]])</f>
        <v>3.5</v>
      </c>
      <c r="Q1500" s="51">
        <f>IF(tblWorkPackages[[#This Row],[Actual labor hours]]&gt;tblWorkPackages[[#This Row],[Estimated labor hours]],1,0)</f>
        <v>0</v>
      </c>
      <c r="R1500" s="51">
        <f>tblWorkPackages[[#This Row],[Actual labor hours]]-tblWorkPackages[[#This Row],[Estimated labor hours]]</f>
        <v>-3.5</v>
      </c>
      <c r="S1500" s="51" t="str">
        <f>IF(tblWorkPackages[[#This Row],[Request date serial]]&lt;ValidationStart,"Train 2024",IF(tblWorkPackages[[#This Row],[Request date serial]]&lt;HoldoutStart,"Validation H1","Holdout H2"))</f>
        <v>Validation H1</v>
      </c>
      <c r="T1500" s="51">
        <f>IF(tblWorkPackages[[#This Row],[Time split]]="Train 2024","",tblWorkPackages[[#This Row],[Estimated labor hours]]+VLOOKUP(tblWorkPackages[[#This Row],[Task type]],'Forecast validation'!$A$14:$E$25,IF(tblWorkPackages[[#This Row],[Time split]]="Validation H1",4,5),FALSE()))</f>
        <v>19.5824175824176</v>
      </c>
      <c r="U1500" s="51">
        <f>IF(tblWorkPackages[[#This Row],[Calibrated forecast hours]]="","",ABS(tblWorkPackages[[#This Row],[Actual labor hours]]-tblWorkPackages[[#This Row],[Calibrated forecast hours]]))</f>
        <v>4.38241758241758</v>
      </c>
      <c r="V1500" s="51">
        <f>IF(tblWorkPackages[[#This Row],[Time split]]="Train 2024",tblWorkPackages[[#This Row],[Estimated labor hours]],tblWorkPackages[[#This Row],[Calibrated forecast hours]])</f>
        <v>19.5824175824176</v>
      </c>
      <c r="W1500" s="64">
        <f>DATEVALUE(tblWorkPackages[[#This Row],[Request date]])</f>
        <v>45752.0</v>
      </c>
      <c r="X1500" s="64">
        <f>DATEVALUE(tblWorkPackages[[#This Row],[Due date]])</f>
        <v>45765.0</v>
      </c>
      <c r="Y1500" s="64">
        <f>DATEVALUE(tblWorkPackages[[#This Row],[Completion date]])</f>
        <v>45758.0</v>
      </c>
      <c r="Z1500" s="64">
        <f>_xlfn.MINIFS(tblLaborEntries[Work date serial],tblLaborEntries[Work package ID],tblWorkPackages[[#This Row],[Work package ID]])</f>
        <v>45756.0</v>
      </c>
      <c r="AA1500" s="64">
        <f>_xlfn.MAXIFS(tblLaborEntries[Work date serial],tblLaborEntries[Work package ID],tblWorkPackages[[#This Row],[Work package ID]])</f>
        <v>45756.0</v>
      </c>
      <c r="AB1500" s="65">
        <f>IF(tblWorkPackages[[#This Row],[Completion date serial]]&gt;tblWorkPackages[[#This Row],[Due date serial]],1,0)</f>
        <v>0</v>
      </c>
      <c r="AC1500" s="65">
        <f>MAX(0,tblWorkPackages[[#This Row],[Completion date serial]]-tblWorkPackages[[#This Row],[Due date serial]])</f>
        <v>0</v>
      </c>
      <c r="AD1500" s="65">
        <f>tblWorkPackages[[#This Row],[First labor date]]-tblWorkPackages[[#This Row],[Request date serial]]</f>
        <v>4</v>
      </c>
      <c r="AE1500" s="65">
        <f>tblWorkPackages[[#This Row],[Last labor date]]-tblWorkPackages[[#This Row],[First labor date]]</f>
        <v>0</v>
      </c>
      <c r="AF1500" s="65">
        <f>tblWorkPackages[[#This Row],[Completion date serial]]-tblWorkPackages[[#This Row],[Last labor date]]</f>
        <v>2</v>
      </c>
      <c r="AG1500" s="65">
        <f>tblWorkPackages[[#This Row],[Completion date serial]]-tblWorkPackages[[#This Row],[Request date serial]]</f>
        <v>6</v>
      </c>
      <c r="AH1500" s="65">
        <f>IFERROR(INDEX(tblParts[Delay days],MATCH(tblWorkPackages[[#This Row],[Work package ID]],tblParts[Work package ID],0)),0)</f>
        <v>0</v>
      </c>
      <c r="AI1500" s="51" t="str">
        <f>IFERROR(INDEX(tblDisruptions[Event type],MATCH(tblWorkPackages[[#This Row],[Work package ID]],tblDisruptions[Work package ID],0)),"None")</f>
        <v>None</v>
      </c>
      <c r="AJ1500" s="51" t="str">
        <f>TEXT(tblWorkPackages[[#This Row],[Due date serial]],"yyyy-mm")</f>
        <v>2025-04</v>
      </c>
    </row>
    <row r="1501" spans="1:36" ht="15" x14ac:dyDescent="0.25">
      <c r="A1501" s="53" t="s">
        <v>2409</v>
      </c>
      <c r="B1501" s="53" t="s">
        <v>133</v>
      </c>
      <c r="C1501" s="53" t="s">
        <v>1966</v>
      </c>
      <c r="D1501" s="53" t="s">
        <v>2092</v>
      </c>
      <c r="E1501" s="53" t="s">
        <v>242</v>
      </c>
      <c r="F1501" s="53" t="s">
        <v>243</v>
      </c>
      <c r="G1501" s="53" t="s">
        <v>129</v>
      </c>
      <c r="H1501" s="53">
        <v>2</v>
      </c>
      <c r="I1501" s="53" t="s">
        <v>130</v>
      </c>
      <c r="J1501" s="53">
        <v>0</v>
      </c>
      <c r="K1501" s="53">
        <v>0</v>
      </c>
      <c r="L1501" s="53">
        <v>8.1999999999999993</v>
      </c>
      <c r="M1501" s="53" t="s">
        <v>213</v>
      </c>
      <c r="N1501" s="53">
        <v>9.3000000000000007</v>
      </c>
      <c r="O1501" s="51" t="str">
        <f>TEXT(tblWorkPackages[[#This Row],[Request date serial]]-WEEKDAY(tblWorkPackages[[#This Row],[Request date serial]],3),"yyyy-mm-dd")</f>
        <v>2024-01-08</v>
      </c>
      <c r="P1501" s="51">
        <f>ABS(tblWorkPackages[[#This Row],[Actual labor hours]]-tblWorkPackages[[#This Row],[Estimated labor hours]])</f>
        <v>1.1</v>
      </c>
      <c r="Q1501" s="51">
        <f>IF(tblWorkPackages[[#This Row],[Actual labor hours]]&gt;tblWorkPackages[[#This Row],[Estimated labor hours]],1,0)</f>
        <v>1</v>
      </c>
      <c r="R1501" s="51">
        <f>tblWorkPackages[[#This Row],[Actual labor hours]]-tblWorkPackages[[#This Row],[Estimated labor hours]]</f>
        <v>1.1</v>
      </c>
      <c r="S1501" s="51" t="str">
        <f>IF(tblWorkPackages[[#This Row],[Request date serial]]&lt;ValidationStart,"Train 2024",IF(tblWorkPackages[[#This Row],[Request date serial]]&lt;HoldoutStart,"Validation H1","Holdout H2"))</f>
        <v>Train 2024</v>
      </c>
      <c r="T1501" s="51" t="str">
        <f>IF(tblWorkPackages[[#This Row],[Time split]]="Train 2024","",tblWorkPackages[[#This Row],[Estimated labor hours]]+VLOOKUP(tblWorkPackages[[#This Row],[Task type]],'Forecast validation'!$A$14:$E$25,IF(tblWorkPackages[[#This Row],[Time split]]="Validation H1",4,5),FALSE()))</f>
        <v/>
      </c>
      <c r="U1501" s="51" t="str">
        <f>IF(tblWorkPackages[[#This Row],[Calibrated forecast hours]]="","",ABS(tblWorkPackages[[#This Row],[Actual labor hours]]-tblWorkPackages[[#This Row],[Calibrated forecast hours]]))</f>
        <v/>
      </c>
      <c r="V1501" s="51">
        <f>IF(tblWorkPackages[[#This Row],[Time split]]="Train 2024",tblWorkPackages[[#This Row],[Estimated labor hours]],tblWorkPackages[[#This Row],[Calibrated forecast hours]])</f>
        <v>8.2</v>
      </c>
      <c r="W1501" s="64">
        <f>DATEVALUE(tblWorkPackages[[#This Row],[Request date]])</f>
        <v>45300.0</v>
      </c>
      <c r="X1501" s="64">
        <f>DATEVALUE(tblWorkPackages[[#This Row],[Due date]])</f>
        <v>45313.0</v>
      </c>
      <c r="Y1501" s="64">
        <f>DATEVALUE(tblWorkPackages[[#This Row],[Completion date]])</f>
        <v>45305.0</v>
      </c>
      <c r="Z1501" s="64">
        <f>_xlfn.MINIFS(tblLaborEntries[Work date serial],tblLaborEntries[Work package ID],tblWorkPackages[[#This Row],[Work package ID]])</f>
        <v>45301.0</v>
      </c>
      <c r="AA1501" s="64">
        <f>_xlfn.MAXIFS(tblLaborEntries[Work date serial],tblLaborEntries[Work package ID],tblWorkPackages[[#This Row],[Work package ID]])</f>
        <v>45302.0</v>
      </c>
      <c r="AB1501" s="65">
        <f>IF(tblWorkPackages[[#This Row],[Completion date serial]]&gt;tblWorkPackages[[#This Row],[Due date serial]],1,0)</f>
        <v>0</v>
      </c>
      <c r="AC1501" s="65">
        <f>MAX(0,tblWorkPackages[[#This Row],[Completion date serial]]-tblWorkPackages[[#This Row],[Due date serial]])</f>
        <v>0</v>
      </c>
      <c r="AD1501" s="65">
        <f>tblWorkPackages[[#This Row],[First labor date]]-tblWorkPackages[[#This Row],[Request date serial]]</f>
        <v>1</v>
      </c>
      <c r="AE1501" s="65">
        <f>tblWorkPackages[[#This Row],[Last labor date]]-tblWorkPackages[[#This Row],[First labor date]]</f>
        <v>1</v>
      </c>
      <c r="AF1501" s="65">
        <f>tblWorkPackages[[#This Row],[Completion date serial]]-tblWorkPackages[[#This Row],[Last labor date]]</f>
        <v>3</v>
      </c>
      <c r="AG1501" s="65">
        <f>tblWorkPackages[[#This Row],[Completion date serial]]-tblWorkPackages[[#This Row],[Request date serial]]</f>
        <v>5</v>
      </c>
      <c r="AH1501" s="65">
        <f>IFERROR(INDEX(tblParts[Delay days],MATCH(tblWorkPackages[[#This Row],[Work package ID]],tblParts[Work package ID],0)),0)</f>
        <v>0</v>
      </c>
      <c r="AI1501" s="51" t="str">
        <f>IFERROR(INDEX(tblDisruptions[Event type],MATCH(tblWorkPackages[[#This Row],[Work package ID]],tblDisruptions[Work package ID],0)),"None")</f>
        <v>None</v>
      </c>
      <c r="AJ1501" s="51" t="str">
        <f>TEXT(tblWorkPackages[[#This Row],[Due date serial]],"yyyy-mm")</f>
        <v>2024-01</v>
      </c>
    </row>
    <row r="1502" spans="1:36" ht="15" x14ac:dyDescent="0.25">
      <c r="A1502" s="53" t="s">
        <v>2410</v>
      </c>
      <c r="B1502" s="53" t="s">
        <v>124</v>
      </c>
      <c r="C1502" s="53" t="s">
        <v>489</v>
      </c>
      <c r="D1502" s="53" t="s">
        <v>719</v>
      </c>
      <c r="E1502" s="53" t="s">
        <v>209</v>
      </c>
      <c r="F1502" s="53" t="s">
        <v>145</v>
      </c>
      <c r="G1502" s="53" t="s">
        <v>210</v>
      </c>
      <c r="H1502" s="53">
        <v>3</v>
      </c>
      <c r="I1502" s="53" t="s">
        <v>130</v>
      </c>
      <c r="J1502" s="53">
        <v>1</v>
      </c>
      <c r="K1502" s="53">
        <v>0</v>
      </c>
      <c r="L1502" s="53">
        <v>30.9</v>
      </c>
      <c r="M1502" s="53" t="s">
        <v>719</v>
      </c>
      <c r="N1502" s="53">
        <v>34.9</v>
      </c>
      <c r="O1502" s="51" t="str">
        <f>TEXT(tblWorkPackages[[#This Row],[Request date serial]]-WEEKDAY(tblWorkPackages[[#This Row],[Request date serial]],3),"yyyy-mm-dd")</f>
        <v>2024-02-19</v>
      </c>
      <c r="P1502" s="51">
        <f>ABS(tblWorkPackages[[#This Row],[Actual labor hours]]-tblWorkPackages[[#This Row],[Estimated labor hours]])</f>
        <v>4</v>
      </c>
      <c r="Q1502" s="51">
        <f>IF(tblWorkPackages[[#This Row],[Actual labor hours]]&gt;tblWorkPackages[[#This Row],[Estimated labor hours]],1,0)</f>
        <v>1</v>
      </c>
      <c r="R1502" s="51">
        <f>tblWorkPackages[[#This Row],[Actual labor hours]]-tblWorkPackages[[#This Row],[Estimated labor hours]]</f>
        <v>4</v>
      </c>
      <c r="S1502" s="51" t="str">
        <f>IF(tblWorkPackages[[#This Row],[Request date serial]]&lt;ValidationStart,"Train 2024",IF(tblWorkPackages[[#This Row],[Request date serial]]&lt;HoldoutStart,"Validation H1","Holdout H2"))</f>
        <v>Train 2024</v>
      </c>
      <c r="T1502" s="51" t="str">
        <f>IF(tblWorkPackages[[#This Row],[Time split]]="Train 2024","",tblWorkPackages[[#This Row],[Estimated labor hours]]+VLOOKUP(tblWorkPackages[[#This Row],[Task type]],'Forecast validation'!$A$14:$E$25,IF(tblWorkPackages[[#This Row],[Time split]]="Validation H1",4,5),FALSE()))</f>
        <v/>
      </c>
      <c r="U1502" s="51" t="str">
        <f>IF(tblWorkPackages[[#This Row],[Calibrated forecast hours]]="","",ABS(tblWorkPackages[[#This Row],[Actual labor hours]]-tblWorkPackages[[#This Row],[Calibrated forecast hours]]))</f>
        <v/>
      </c>
      <c r="V1502" s="51">
        <f>IF(tblWorkPackages[[#This Row],[Time split]]="Train 2024",tblWorkPackages[[#This Row],[Estimated labor hours]],tblWorkPackages[[#This Row],[Calibrated forecast hours]])</f>
        <v>30.9</v>
      </c>
      <c r="W1502" s="64">
        <f>DATEVALUE(tblWorkPackages[[#This Row],[Request date]])</f>
        <v>45341.0</v>
      </c>
      <c r="X1502" s="64">
        <f>DATEVALUE(tblWorkPackages[[#This Row],[Due date]])</f>
        <v>45354.0</v>
      </c>
      <c r="Y1502" s="64">
        <f>DATEVALUE(tblWorkPackages[[#This Row],[Completion date]])</f>
        <v>45354.0</v>
      </c>
      <c r="Z1502" s="64">
        <f>_xlfn.MINIFS(tblLaborEntries[Work date serial],tblLaborEntries[Work package ID],tblWorkPackages[[#This Row],[Work package ID]])</f>
        <v>45352.0</v>
      </c>
      <c r="AA1502" s="64">
        <f>_xlfn.MAXIFS(tblLaborEntries[Work date serial],tblLaborEntries[Work package ID],tblWorkPackages[[#This Row],[Work package ID]])</f>
        <v>45354.0</v>
      </c>
      <c r="AB1502" s="65">
        <f>IF(tblWorkPackages[[#This Row],[Completion date serial]]&gt;tblWorkPackages[[#This Row],[Due date serial]],1,0)</f>
        <v>0</v>
      </c>
      <c r="AC1502" s="65">
        <f>MAX(0,tblWorkPackages[[#This Row],[Completion date serial]]-tblWorkPackages[[#This Row],[Due date serial]])</f>
        <v>0</v>
      </c>
      <c r="AD1502" s="65">
        <f>tblWorkPackages[[#This Row],[First labor date]]-tblWorkPackages[[#This Row],[Request date serial]]</f>
        <v>11</v>
      </c>
      <c r="AE1502" s="65">
        <f>tblWorkPackages[[#This Row],[Last labor date]]-tblWorkPackages[[#This Row],[First labor date]]</f>
        <v>2</v>
      </c>
      <c r="AF1502" s="65">
        <f>tblWorkPackages[[#This Row],[Completion date serial]]-tblWorkPackages[[#This Row],[Last labor date]]</f>
        <v>0</v>
      </c>
      <c r="AG1502" s="65">
        <f>tblWorkPackages[[#This Row],[Completion date serial]]-tblWorkPackages[[#This Row],[Request date serial]]</f>
        <v>13</v>
      </c>
      <c r="AH1502" s="65">
        <f>IFERROR(INDEX(tblParts[Delay days],MATCH(tblWorkPackages[[#This Row],[Work package ID]],tblParts[Work package ID],0)),0)</f>
        <v>0</v>
      </c>
      <c r="AI1502" s="51" t="str">
        <f>IFERROR(INDEX(tblDisruptions[Event type],MATCH(tblWorkPackages[[#This Row],[Work package ID]],tblDisruptions[Work package ID],0)),"None")</f>
        <v>None</v>
      </c>
      <c r="AJ1502" s="51" t="str">
        <f>TEXT(tblWorkPackages[[#This Row],[Due date serial]],"yyyy-mm")</f>
        <v>2024-03</v>
      </c>
    </row>
    <row r="1503" spans="1:36" ht="15" x14ac:dyDescent="0.25">
      <c r="A1503" s="53" t="s">
        <v>2411</v>
      </c>
      <c r="B1503" s="53" t="s">
        <v>287</v>
      </c>
      <c r="C1503" s="53" t="s">
        <v>1741</v>
      </c>
      <c r="D1503" s="53" t="s">
        <v>535</v>
      </c>
      <c r="E1503" s="53" t="s">
        <v>200</v>
      </c>
      <c r="F1503" s="53" t="s">
        <v>128</v>
      </c>
      <c r="G1503" s="53" t="s">
        <v>129</v>
      </c>
      <c r="H1503" s="53">
        <v>3</v>
      </c>
      <c r="I1503" s="53" t="s">
        <v>147</v>
      </c>
      <c r="J1503" s="53">
        <v>0</v>
      </c>
      <c r="K1503" s="53">
        <v>1</v>
      </c>
      <c r="L1503" s="53">
        <v>3.8</v>
      </c>
      <c r="M1503" s="53" t="s">
        <v>240</v>
      </c>
      <c r="N1503" s="53">
        <v>3</v>
      </c>
      <c r="O1503" s="51" t="str">
        <f>TEXT(tblWorkPackages[[#This Row],[Request date serial]]-WEEKDAY(tblWorkPackages[[#This Row],[Request date serial]],3),"yyyy-mm-dd")</f>
        <v>2024-11-04</v>
      </c>
      <c r="P1503" s="51">
        <f>ABS(tblWorkPackages[[#This Row],[Actual labor hours]]-tblWorkPackages[[#This Row],[Estimated labor hours]])</f>
        <v>0.8</v>
      </c>
      <c r="Q1503" s="51">
        <f>IF(tblWorkPackages[[#This Row],[Actual labor hours]]&gt;tblWorkPackages[[#This Row],[Estimated labor hours]],1,0)</f>
        <v>0</v>
      </c>
      <c r="R1503" s="51">
        <f>tblWorkPackages[[#This Row],[Actual labor hours]]-tblWorkPackages[[#This Row],[Estimated labor hours]]</f>
        <v>-0.8</v>
      </c>
      <c r="S1503" s="51" t="str">
        <f>IF(tblWorkPackages[[#This Row],[Request date serial]]&lt;ValidationStart,"Train 2024",IF(tblWorkPackages[[#This Row],[Request date serial]]&lt;HoldoutStart,"Validation H1","Holdout H2"))</f>
        <v>Train 2024</v>
      </c>
      <c r="T1503" s="51" t="str">
        <f>IF(tblWorkPackages[[#This Row],[Time split]]="Train 2024","",tblWorkPackages[[#This Row],[Estimated labor hours]]+VLOOKUP(tblWorkPackages[[#This Row],[Task type]],'Forecast validation'!$A$14:$E$25,IF(tblWorkPackages[[#This Row],[Time split]]="Validation H1",4,5),FALSE()))</f>
        <v/>
      </c>
      <c r="U1503" s="51" t="str">
        <f>IF(tblWorkPackages[[#This Row],[Calibrated forecast hours]]="","",ABS(tblWorkPackages[[#This Row],[Actual labor hours]]-tblWorkPackages[[#This Row],[Calibrated forecast hours]]))</f>
        <v/>
      </c>
      <c r="V1503" s="51">
        <f>IF(tblWorkPackages[[#This Row],[Time split]]="Train 2024",tblWorkPackages[[#This Row],[Estimated labor hours]],tblWorkPackages[[#This Row],[Calibrated forecast hours]])</f>
        <v>3.8</v>
      </c>
      <c r="W1503" s="64">
        <f>DATEVALUE(tblWorkPackages[[#This Row],[Request date]])</f>
        <v>45600.0</v>
      </c>
      <c r="X1503" s="64">
        <f>DATEVALUE(tblWorkPackages[[#This Row],[Due date]])</f>
        <v>45602.0</v>
      </c>
      <c r="Y1503" s="64">
        <f>DATEVALUE(tblWorkPackages[[#This Row],[Completion date]])</f>
        <v>45604.0</v>
      </c>
      <c r="Z1503" s="64">
        <f>_xlfn.MINIFS(tblLaborEntries[Work date serial],tblLaborEntries[Work package ID],tblWorkPackages[[#This Row],[Work package ID]])</f>
        <v>45603.0</v>
      </c>
      <c r="AA1503" s="64">
        <f>_xlfn.MAXIFS(tblLaborEntries[Work date serial],tblLaborEntries[Work package ID],tblWorkPackages[[#This Row],[Work package ID]])</f>
        <v>45603.0</v>
      </c>
      <c r="AB1503" s="65">
        <f>IF(tblWorkPackages[[#This Row],[Completion date serial]]&gt;tblWorkPackages[[#This Row],[Due date serial]],1,0)</f>
        <v>1</v>
      </c>
      <c r="AC1503" s="65">
        <f>MAX(0,tblWorkPackages[[#This Row],[Completion date serial]]-tblWorkPackages[[#This Row],[Due date serial]])</f>
        <v>2</v>
      </c>
      <c r="AD1503" s="65">
        <f>tblWorkPackages[[#This Row],[First labor date]]-tblWorkPackages[[#This Row],[Request date serial]]</f>
        <v>3</v>
      </c>
      <c r="AE1503" s="65">
        <f>tblWorkPackages[[#This Row],[Last labor date]]-tblWorkPackages[[#This Row],[First labor date]]</f>
        <v>0</v>
      </c>
      <c r="AF1503" s="65">
        <f>tblWorkPackages[[#This Row],[Completion date serial]]-tblWorkPackages[[#This Row],[Last labor date]]</f>
        <v>1</v>
      </c>
      <c r="AG1503" s="65">
        <f>tblWorkPackages[[#This Row],[Completion date serial]]-tblWorkPackages[[#This Row],[Request date serial]]</f>
        <v>4</v>
      </c>
      <c r="AH1503" s="65">
        <f>IFERROR(INDEX(tblParts[Delay days],MATCH(tblWorkPackages[[#This Row],[Work package ID]],tblParts[Work package ID],0)),0)</f>
        <v>0</v>
      </c>
      <c r="AI1503" s="51" t="str">
        <f>IFERROR(INDEX(tblDisruptions[Event type],MATCH(tblWorkPackages[[#This Row],[Work package ID]],tblDisruptions[Work package ID],0)),"None")</f>
        <v>None</v>
      </c>
      <c r="AJ1503" s="51" t="str">
        <f>TEXT(tblWorkPackages[[#This Row],[Due date serial]],"yyyy-mm")</f>
        <v>2024-11</v>
      </c>
    </row>
    <row r="1504" spans="1:36" ht="15" x14ac:dyDescent="0.25">
      <c r="A1504" s="53" t="s">
        <v>2412</v>
      </c>
      <c r="B1504" s="53" t="s">
        <v>250</v>
      </c>
      <c r="C1504" s="53" t="s">
        <v>1072</v>
      </c>
      <c r="D1504" s="53" t="s">
        <v>255</v>
      </c>
      <c r="E1504" s="53" t="s">
        <v>127</v>
      </c>
      <c r="F1504" s="53" t="s">
        <v>128</v>
      </c>
      <c r="G1504" s="53" t="s">
        <v>129</v>
      </c>
      <c r="H1504" s="53">
        <v>2</v>
      </c>
      <c r="I1504" s="53" t="s">
        <v>147</v>
      </c>
      <c r="J1504" s="53">
        <v>0</v>
      </c>
      <c r="K1504" s="53">
        <v>1</v>
      </c>
      <c r="L1504" s="53">
        <v>6.6</v>
      </c>
      <c r="M1504" s="53" t="s">
        <v>456</v>
      </c>
      <c r="N1504" s="53">
        <v>5.6</v>
      </c>
      <c r="O1504" s="51" t="str">
        <f>TEXT(tblWorkPackages[[#This Row],[Request date serial]]-WEEKDAY(tblWorkPackages[[#This Row],[Request date serial]],3),"yyyy-mm-dd")</f>
        <v>2024-12-02</v>
      </c>
      <c r="P1504" s="51">
        <f>ABS(tblWorkPackages[[#This Row],[Actual labor hours]]-tblWorkPackages[[#This Row],[Estimated labor hours]])</f>
        <v>1</v>
      </c>
      <c r="Q1504" s="51">
        <f>IF(tblWorkPackages[[#This Row],[Actual labor hours]]&gt;tblWorkPackages[[#This Row],[Estimated labor hours]],1,0)</f>
        <v>0</v>
      </c>
      <c r="R1504" s="51">
        <f>tblWorkPackages[[#This Row],[Actual labor hours]]-tblWorkPackages[[#This Row],[Estimated labor hours]]</f>
        <v>-1</v>
      </c>
      <c r="S1504" s="51" t="str">
        <f>IF(tblWorkPackages[[#This Row],[Request date serial]]&lt;ValidationStart,"Train 2024",IF(tblWorkPackages[[#This Row],[Request date serial]]&lt;HoldoutStart,"Validation H1","Holdout H2"))</f>
        <v>Train 2024</v>
      </c>
      <c r="T1504" s="51" t="str">
        <f>IF(tblWorkPackages[[#This Row],[Time split]]="Train 2024","",tblWorkPackages[[#This Row],[Estimated labor hours]]+VLOOKUP(tblWorkPackages[[#This Row],[Task type]],'Forecast validation'!$A$14:$E$25,IF(tblWorkPackages[[#This Row],[Time split]]="Validation H1",4,5),FALSE()))</f>
        <v/>
      </c>
      <c r="U1504" s="51" t="str">
        <f>IF(tblWorkPackages[[#This Row],[Calibrated forecast hours]]="","",ABS(tblWorkPackages[[#This Row],[Actual labor hours]]-tblWorkPackages[[#This Row],[Calibrated forecast hours]]))</f>
        <v/>
      </c>
      <c r="V1504" s="51">
        <f>IF(tblWorkPackages[[#This Row],[Time split]]="Train 2024",tblWorkPackages[[#This Row],[Estimated labor hours]],tblWorkPackages[[#This Row],[Calibrated forecast hours]])</f>
        <v>6.6</v>
      </c>
      <c r="W1504" s="64">
        <f>DATEVALUE(tblWorkPackages[[#This Row],[Request date]])</f>
        <v>45630.0</v>
      </c>
      <c r="X1504" s="64">
        <f>DATEVALUE(tblWorkPackages[[#This Row],[Due date]])</f>
        <v>45632.0</v>
      </c>
      <c r="Y1504" s="64">
        <f>DATEVALUE(tblWorkPackages[[#This Row],[Completion date]])</f>
        <v>45664.0</v>
      </c>
      <c r="Z1504" s="64">
        <f>_xlfn.MINIFS(tblLaborEntries[Work date serial],tblLaborEntries[Work package ID],tblWorkPackages[[#This Row],[Work package ID]])</f>
        <v>45660.0</v>
      </c>
      <c r="AA1504" s="64">
        <f>_xlfn.MAXIFS(tblLaborEntries[Work date serial],tblLaborEntries[Work package ID],tblWorkPackages[[#This Row],[Work package ID]])</f>
        <v>45662.0</v>
      </c>
      <c r="AB1504" s="65">
        <f>IF(tblWorkPackages[[#This Row],[Completion date serial]]&gt;tblWorkPackages[[#This Row],[Due date serial]],1,0)</f>
        <v>1</v>
      </c>
      <c r="AC1504" s="65">
        <f>MAX(0,tblWorkPackages[[#This Row],[Completion date serial]]-tblWorkPackages[[#This Row],[Due date serial]])</f>
        <v>32</v>
      </c>
      <c r="AD1504" s="65">
        <f>tblWorkPackages[[#This Row],[First labor date]]-tblWorkPackages[[#This Row],[Request date serial]]</f>
        <v>30</v>
      </c>
      <c r="AE1504" s="65">
        <f>tblWorkPackages[[#This Row],[Last labor date]]-tblWorkPackages[[#This Row],[First labor date]]</f>
        <v>2</v>
      </c>
      <c r="AF1504" s="65">
        <f>tblWorkPackages[[#This Row],[Completion date serial]]-tblWorkPackages[[#This Row],[Last labor date]]</f>
        <v>2</v>
      </c>
      <c r="AG1504" s="65">
        <f>tblWorkPackages[[#This Row],[Completion date serial]]-tblWorkPackages[[#This Row],[Request date serial]]</f>
        <v>34</v>
      </c>
      <c r="AH1504" s="65">
        <f>IFERROR(INDEX(tblParts[Delay days],MATCH(tblWorkPackages[[#This Row],[Work package ID]],tblParts[Work package ID],0)),0)</f>
        <v>0</v>
      </c>
      <c r="AI1504" s="51" t="str">
        <f>IFERROR(INDEX(tblDisruptions[Event type],MATCH(tblWorkPackages[[#This Row],[Work package ID]],tblDisruptions[Work package ID],0)),"None")</f>
        <v>None</v>
      </c>
      <c r="AJ1504" s="51" t="str">
        <f>TEXT(tblWorkPackages[[#This Row],[Due date serial]],"yyyy-mm")</f>
        <v>2024-12</v>
      </c>
    </row>
    <row r="1505" spans="1:36" ht="15" x14ac:dyDescent="0.25">
      <c r="A1505" s="53" t="s">
        <v>2413</v>
      </c>
      <c r="B1505" s="53" t="s">
        <v>203</v>
      </c>
      <c r="C1505" s="53" t="s">
        <v>714</v>
      </c>
      <c r="D1505" s="53" t="s">
        <v>175</v>
      </c>
      <c r="E1505" s="53" t="s">
        <v>242</v>
      </c>
      <c r="F1505" s="53" t="s">
        <v>243</v>
      </c>
      <c r="G1505" s="53" t="s">
        <v>129</v>
      </c>
      <c r="H1505" s="53">
        <v>1</v>
      </c>
      <c r="I1505" s="53" t="s">
        <v>130</v>
      </c>
      <c r="J1505" s="53">
        <v>0</v>
      </c>
      <c r="K1505" s="53">
        <v>0</v>
      </c>
      <c r="L1505" s="53">
        <v>5.5</v>
      </c>
      <c r="M1505" s="53" t="s">
        <v>199</v>
      </c>
      <c r="N1505" s="53">
        <v>4.9000000000000004</v>
      </c>
      <c r="O1505" s="51" t="str">
        <f>TEXT(tblWorkPackages[[#This Row],[Request date serial]]-WEEKDAY(tblWorkPackages[[#This Row],[Request date serial]],3),"yyyy-mm-dd")</f>
        <v>2025-06-16</v>
      </c>
      <c r="P1505" s="51">
        <f>ABS(tblWorkPackages[[#This Row],[Actual labor hours]]-tblWorkPackages[[#This Row],[Estimated labor hours]])</f>
        <v>0.6</v>
      </c>
      <c r="Q1505" s="51">
        <f>IF(tblWorkPackages[[#This Row],[Actual labor hours]]&gt;tblWorkPackages[[#This Row],[Estimated labor hours]],1,0)</f>
        <v>0</v>
      </c>
      <c r="R1505" s="51">
        <f>tblWorkPackages[[#This Row],[Actual labor hours]]-tblWorkPackages[[#This Row],[Estimated labor hours]]</f>
        <v>-0.6</v>
      </c>
      <c r="S1505" s="51" t="str">
        <f>IF(tblWorkPackages[[#This Row],[Request date serial]]&lt;ValidationStart,"Train 2024",IF(tblWorkPackages[[#This Row],[Request date serial]]&lt;HoldoutStart,"Validation H1","Holdout H2"))</f>
        <v>Validation H1</v>
      </c>
      <c r="T1505" s="51">
        <f>IF(tblWorkPackages[[#This Row],[Time split]]="Train 2024","",tblWorkPackages[[#This Row],[Estimated labor hours]]+VLOOKUP(tblWorkPackages[[#This Row],[Task type]],'Forecast validation'!$A$14:$E$25,IF(tblWorkPackages[[#This Row],[Time split]]="Validation H1",4,5),FALSE()))</f>
        <v>6.05612244897959</v>
      </c>
      <c r="U1505" s="51">
        <f>IF(tblWorkPackages[[#This Row],[Calibrated forecast hours]]="","",ABS(tblWorkPackages[[#This Row],[Actual labor hours]]-tblWorkPackages[[#This Row],[Calibrated forecast hours]]))</f>
        <v>1.15612244897959</v>
      </c>
      <c r="V1505" s="51">
        <f>IF(tblWorkPackages[[#This Row],[Time split]]="Train 2024",tblWorkPackages[[#This Row],[Estimated labor hours]],tblWorkPackages[[#This Row],[Calibrated forecast hours]])</f>
        <v>6.05612244897959</v>
      </c>
      <c r="W1505" s="64">
        <f>DATEVALUE(tblWorkPackages[[#This Row],[Request date]])</f>
        <v>45829.0</v>
      </c>
      <c r="X1505" s="64">
        <f>DATEVALUE(tblWorkPackages[[#This Row],[Due date]])</f>
        <v>45842.0</v>
      </c>
      <c r="Y1505" s="64">
        <f>DATEVALUE(tblWorkPackages[[#This Row],[Completion date]])</f>
        <v>45838.0</v>
      </c>
      <c r="Z1505" s="64">
        <f>_xlfn.MINIFS(tblLaborEntries[Work date serial],tblLaborEntries[Work package ID],tblWorkPackages[[#This Row],[Work package ID]])</f>
        <v>45834.0</v>
      </c>
      <c r="AA1505" s="64">
        <f>_xlfn.MAXIFS(tblLaborEntries[Work date serial],tblLaborEntries[Work package ID],tblWorkPackages[[#This Row],[Work package ID]])</f>
        <v>45835.0</v>
      </c>
      <c r="AB1505" s="65">
        <f>IF(tblWorkPackages[[#This Row],[Completion date serial]]&gt;tblWorkPackages[[#This Row],[Due date serial]],1,0)</f>
        <v>0</v>
      </c>
      <c r="AC1505" s="65">
        <f>MAX(0,tblWorkPackages[[#This Row],[Completion date serial]]-tblWorkPackages[[#This Row],[Due date serial]])</f>
        <v>0</v>
      </c>
      <c r="AD1505" s="65">
        <f>tblWorkPackages[[#This Row],[First labor date]]-tblWorkPackages[[#This Row],[Request date serial]]</f>
        <v>5</v>
      </c>
      <c r="AE1505" s="65">
        <f>tblWorkPackages[[#This Row],[Last labor date]]-tblWorkPackages[[#This Row],[First labor date]]</f>
        <v>1</v>
      </c>
      <c r="AF1505" s="65">
        <f>tblWorkPackages[[#This Row],[Completion date serial]]-tblWorkPackages[[#This Row],[Last labor date]]</f>
        <v>3</v>
      </c>
      <c r="AG1505" s="65">
        <f>tblWorkPackages[[#This Row],[Completion date serial]]-tblWorkPackages[[#This Row],[Request date serial]]</f>
        <v>9</v>
      </c>
      <c r="AH1505" s="65">
        <f>IFERROR(INDEX(tblParts[Delay days],MATCH(tblWorkPackages[[#This Row],[Work package ID]],tblParts[Work package ID],0)),0)</f>
        <v>0</v>
      </c>
      <c r="AI1505" s="51" t="str">
        <f>IFERROR(INDEX(tblDisruptions[Event type],MATCH(tblWorkPackages[[#This Row],[Work package ID]],tblDisruptions[Work package ID],0)),"None")</f>
        <v>None</v>
      </c>
      <c r="AJ1505" s="51" t="str">
        <f>TEXT(tblWorkPackages[[#This Row],[Due date serial]],"yyyy-mm")</f>
        <v>2025-07</v>
      </c>
    </row>
    <row r="1506" spans="1:36" ht="15" x14ac:dyDescent="0.25">
      <c r="A1506" s="53" t="s">
        <v>2414</v>
      </c>
      <c r="B1506" s="53" t="s">
        <v>250</v>
      </c>
      <c r="C1506" s="53" t="s">
        <v>1504</v>
      </c>
      <c r="D1506" s="53" t="s">
        <v>844</v>
      </c>
      <c r="E1506" s="53" t="s">
        <v>223</v>
      </c>
      <c r="F1506" s="53" t="s">
        <v>182</v>
      </c>
      <c r="G1506" s="53" t="s">
        <v>154</v>
      </c>
      <c r="H1506" s="53">
        <v>4</v>
      </c>
      <c r="I1506" s="53" t="s">
        <v>130</v>
      </c>
      <c r="J1506" s="53">
        <v>0</v>
      </c>
      <c r="K1506" s="53">
        <v>0</v>
      </c>
      <c r="L1506" s="53">
        <v>22.5</v>
      </c>
      <c r="M1506" s="53" t="s">
        <v>842</v>
      </c>
      <c r="N1506" s="53">
        <v>21.8</v>
      </c>
      <c r="O1506" s="51" t="str">
        <f>TEXT(tblWorkPackages[[#This Row],[Request date serial]]-WEEKDAY(tblWorkPackages[[#This Row],[Request date serial]],3),"yyyy-mm-dd")</f>
        <v>2025-07-21</v>
      </c>
      <c r="P1506" s="51">
        <f>ABS(tblWorkPackages[[#This Row],[Actual labor hours]]-tblWorkPackages[[#This Row],[Estimated labor hours]])</f>
        <v>0.699999999999999</v>
      </c>
      <c r="Q1506" s="51">
        <f>IF(tblWorkPackages[[#This Row],[Actual labor hours]]&gt;tblWorkPackages[[#This Row],[Estimated labor hours]],1,0)</f>
        <v>0</v>
      </c>
      <c r="R1506" s="51">
        <f>tblWorkPackages[[#This Row],[Actual labor hours]]-tblWorkPackages[[#This Row],[Estimated labor hours]]</f>
        <v>-0.699999999999999</v>
      </c>
      <c r="S1506" s="51" t="str">
        <f>IF(tblWorkPackages[[#This Row],[Request date serial]]&lt;ValidationStart,"Train 2024",IF(tblWorkPackages[[#This Row],[Request date serial]]&lt;HoldoutStart,"Validation H1","Holdout H2"))</f>
        <v>Holdout H2</v>
      </c>
      <c r="T1506" s="51">
        <f>IF(tblWorkPackages[[#This Row],[Time split]]="Train 2024","",tblWorkPackages[[#This Row],[Estimated labor hours]]+VLOOKUP(tblWorkPackages[[#This Row],[Task type]],'Forecast validation'!$A$14:$E$25,IF(tblWorkPackages[[#This Row],[Time split]]="Validation H1",4,5),FALSE()))</f>
        <v>23.4246575342466</v>
      </c>
      <c r="U1506" s="51">
        <f>IF(tblWorkPackages[[#This Row],[Calibrated forecast hours]]="","",ABS(tblWorkPackages[[#This Row],[Actual labor hours]]-tblWorkPackages[[#This Row],[Calibrated forecast hours]]))</f>
        <v>1.62465753424657</v>
      </c>
      <c r="V1506" s="51">
        <f>IF(tblWorkPackages[[#This Row],[Time split]]="Train 2024",tblWorkPackages[[#This Row],[Estimated labor hours]],tblWorkPackages[[#This Row],[Calibrated forecast hours]])</f>
        <v>23.4246575342466</v>
      </c>
      <c r="W1506" s="64">
        <f>DATEVALUE(tblWorkPackages[[#This Row],[Request date]])</f>
        <v>45861.0</v>
      </c>
      <c r="X1506" s="64">
        <f>DATEVALUE(tblWorkPackages[[#This Row],[Due date]])</f>
        <v>45874.0</v>
      </c>
      <c r="Y1506" s="64">
        <f>DATEVALUE(tblWorkPackages[[#This Row],[Completion date]])</f>
        <v>45865.0</v>
      </c>
      <c r="Z1506" s="64">
        <f>_xlfn.MINIFS(tblLaborEntries[Work date serial],tblLaborEntries[Work package ID],tblWorkPackages[[#This Row],[Work package ID]])</f>
        <v>45863.0</v>
      </c>
      <c r="AA1506" s="64">
        <f>_xlfn.MAXIFS(tblLaborEntries[Work date serial],tblLaborEntries[Work package ID],tblWorkPackages[[#This Row],[Work package ID]])</f>
        <v>45865.0</v>
      </c>
      <c r="AB1506" s="65">
        <f>IF(tblWorkPackages[[#This Row],[Completion date serial]]&gt;tblWorkPackages[[#This Row],[Due date serial]],1,0)</f>
        <v>0</v>
      </c>
      <c r="AC1506" s="65">
        <f>MAX(0,tblWorkPackages[[#This Row],[Completion date serial]]-tblWorkPackages[[#This Row],[Due date serial]])</f>
        <v>0</v>
      </c>
      <c r="AD1506" s="65">
        <f>tblWorkPackages[[#This Row],[First labor date]]-tblWorkPackages[[#This Row],[Request date serial]]</f>
        <v>2</v>
      </c>
      <c r="AE1506" s="65">
        <f>tblWorkPackages[[#This Row],[Last labor date]]-tblWorkPackages[[#This Row],[First labor date]]</f>
        <v>2</v>
      </c>
      <c r="AF1506" s="65">
        <f>tblWorkPackages[[#This Row],[Completion date serial]]-tblWorkPackages[[#This Row],[Last labor date]]</f>
        <v>0</v>
      </c>
      <c r="AG1506" s="65">
        <f>tblWorkPackages[[#This Row],[Completion date serial]]-tblWorkPackages[[#This Row],[Request date serial]]</f>
        <v>4</v>
      </c>
      <c r="AH1506" s="65">
        <f>IFERROR(INDEX(tblParts[Delay days],MATCH(tblWorkPackages[[#This Row],[Work package ID]],tblParts[Work package ID],0)),0)</f>
        <v>0</v>
      </c>
      <c r="AI1506" s="51" t="str">
        <f>IFERROR(INDEX(tblDisruptions[Event type],MATCH(tblWorkPackages[[#This Row],[Work package ID]],tblDisruptions[Work package ID],0)),"None")</f>
        <v>Scope change</v>
      </c>
      <c r="AJ1506" s="51" t="str">
        <f>TEXT(tblWorkPackages[[#This Row],[Due date serial]],"yyyy-mm")</f>
        <v>2025-08</v>
      </c>
    </row>
    <row r="1507" spans="1:36" ht="15" x14ac:dyDescent="0.25">
      <c r="A1507" s="53" t="s">
        <v>2415</v>
      </c>
      <c r="B1507" s="53" t="s">
        <v>168</v>
      </c>
      <c r="C1507" s="53" t="s">
        <v>1668</v>
      </c>
      <c r="D1507" s="53" t="s">
        <v>1180</v>
      </c>
      <c r="E1507" s="53" t="s">
        <v>272</v>
      </c>
      <c r="F1507" s="53" t="s">
        <v>145</v>
      </c>
      <c r="G1507" s="53" t="s">
        <v>273</v>
      </c>
      <c r="H1507" s="53">
        <v>2</v>
      </c>
      <c r="I1507" s="53" t="s">
        <v>130</v>
      </c>
      <c r="J1507" s="53">
        <v>0</v>
      </c>
      <c r="K1507" s="53">
        <v>1</v>
      </c>
      <c r="L1507" s="53">
        <v>11.7</v>
      </c>
      <c r="M1507" s="53" t="s">
        <v>1223</v>
      </c>
      <c r="N1507" s="53">
        <v>12.1</v>
      </c>
      <c r="O1507" s="51" t="str">
        <f>TEXT(tblWorkPackages[[#This Row],[Request date serial]]-WEEKDAY(tblWorkPackages[[#This Row],[Request date serial]],3),"yyyy-mm-dd")</f>
        <v>2024-01-22</v>
      </c>
      <c r="P1507" s="51">
        <f>ABS(tblWorkPackages[[#This Row],[Actual labor hours]]-tblWorkPackages[[#This Row],[Estimated labor hours]])</f>
        <v>0.4</v>
      </c>
      <c r="Q1507" s="51">
        <f>IF(tblWorkPackages[[#This Row],[Actual labor hours]]&gt;tblWorkPackages[[#This Row],[Estimated labor hours]],1,0)</f>
        <v>1</v>
      </c>
      <c r="R1507" s="51">
        <f>tblWorkPackages[[#This Row],[Actual labor hours]]-tblWorkPackages[[#This Row],[Estimated labor hours]]</f>
        <v>0.4</v>
      </c>
      <c r="S1507" s="51" t="str">
        <f>IF(tblWorkPackages[[#This Row],[Request date serial]]&lt;ValidationStart,"Train 2024",IF(tblWorkPackages[[#This Row],[Request date serial]]&lt;HoldoutStart,"Validation H1","Holdout H2"))</f>
        <v>Train 2024</v>
      </c>
      <c r="T1507" s="51" t="str">
        <f>IF(tblWorkPackages[[#This Row],[Time split]]="Train 2024","",tblWorkPackages[[#This Row],[Estimated labor hours]]+VLOOKUP(tblWorkPackages[[#This Row],[Task type]],'Forecast validation'!$A$14:$E$25,IF(tblWorkPackages[[#This Row],[Time split]]="Validation H1",4,5),FALSE()))</f>
        <v/>
      </c>
      <c r="U1507" s="51" t="str">
        <f>IF(tblWorkPackages[[#This Row],[Calibrated forecast hours]]="","",ABS(tblWorkPackages[[#This Row],[Actual labor hours]]-tblWorkPackages[[#This Row],[Calibrated forecast hours]]))</f>
        <v/>
      </c>
      <c r="V1507" s="51">
        <f>IF(tblWorkPackages[[#This Row],[Time split]]="Train 2024",tblWorkPackages[[#This Row],[Estimated labor hours]],tblWorkPackages[[#This Row],[Calibrated forecast hours]])</f>
        <v>11.7</v>
      </c>
      <c r="W1507" s="64">
        <f>DATEVALUE(tblWorkPackages[[#This Row],[Request date]])</f>
        <v>45314.0</v>
      </c>
      <c r="X1507" s="64">
        <f>DATEVALUE(tblWorkPackages[[#This Row],[Due date]])</f>
        <v>45327.0</v>
      </c>
      <c r="Y1507" s="64">
        <f>DATEVALUE(tblWorkPackages[[#This Row],[Completion date]])</f>
        <v>45331.0</v>
      </c>
      <c r="Z1507" s="64">
        <f>_xlfn.MINIFS(tblLaborEntries[Work date serial],tblLaborEntries[Work package ID],tblWorkPackages[[#This Row],[Work package ID]])</f>
        <v>45328.0</v>
      </c>
      <c r="AA1507" s="64">
        <f>_xlfn.MAXIFS(tblLaborEntries[Work date serial],tblLaborEntries[Work package ID],tblWorkPackages[[#This Row],[Work package ID]])</f>
        <v>45330.0</v>
      </c>
      <c r="AB1507" s="65">
        <f>IF(tblWorkPackages[[#This Row],[Completion date serial]]&gt;tblWorkPackages[[#This Row],[Due date serial]],1,0)</f>
        <v>1</v>
      </c>
      <c r="AC1507" s="65">
        <f>MAX(0,tblWorkPackages[[#This Row],[Completion date serial]]-tblWorkPackages[[#This Row],[Due date serial]])</f>
        <v>4</v>
      </c>
      <c r="AD1507" s="65">
        <f>tblWorkPackages[[#This Row],[First labor date]]-tblWorkPackages[[#This Row],[Request date serial]]</f>
        <v>14</v>
      </c>
      <c r="AE1507" s="65">
        <f>tblWorkPackages[[#This Row],[Last labor date]]-tblWorkPackages[[#This Row],[First labor date]]</f>
        <v>2</v>
      </c>
      <c r="AF1507" s="65">
        <f>tblWorkPackages[[#This Row],[Completion date serial]]-tblWorkPackages[[#This Row],[Last labor date]]</f>
        <v>1</v>
      </c>
      <c r="AG1507" s="65">
        <f>tblWorkPackages[[#This Row],[Completion date serial]]-tblWorkPackages[[#This Row],[Request date serial]]</f>
        <v>17</v>
      </c>
      <c r="AH1507" s="65">
        <f>IFERROR(INDEX(tblParts[Delay days],MATCH(tblWorkPackages[[#This Row],[Work package ID]],tblParts[Work package ID],0)),0)</f>
        <v>0</v>
      </c>
      <c r="AI1507" s="51" t="str">
        <f>IFERROR(INDEX(tblDisruptions[Event type],MATCH(tblWorkPackages[[#This Row],[Work package ID]],tblDisruptions[Work package ID],0)),"None")</f>
        <v>None</v>
      </c>
      <c r="AJ1507" s="51" t="str">
        <f>TEXT(tblWorkPackages[[#This Row],[Due date serial]],"yyyy-mm")</f>
        <v>2024-02</v>
      </c>
    </row>
    <row r="1508" spans="1:36" ht="15" x14ac:dyDescent="0.25">
      <c r="A1508" s="53" t="s">
        <v>2416</v>
      </c>
      <c r="B1508" s="53" t="s">
        <v>133</v>
      </c>
      <c r="C1508" s="53" t="s">
        <v>134</v>
      </c>
      <c r="D1508" s="53" t="s">
        <v>886</v>
      </c>
      <c r="E1508" s="53" t="s">
        <v>181</v>
      </c>
      <c r="F1508" s="53" t="s">
        <v>182</v>
      </c>
      <c r="G1508" s="53" t="s">
        <v>138</v>
      </c>
      <c r="H1508" s="53">
        <v>1</v>
      </c>
      <c r="I1508" s="53" t="s">
        <v>147</v>
      </c>
      <c r="J1508" s="53">
        <v>0</v>
      </c>
      <c r="K1508" s="53">
        <v>0</v>
      </c>
      <c r="L1508" s="53">
        <v>4.3</v>
      </c>
      <c r="M1508" s="53" t="s">
        <v>528</v>
      </c>
      <c r="N1508" s="53">
        <v>3.6</v>
      </c>
      <c r="O1508" s="51" t="str">
        <f>TEXT(tblWorkPackages[[#This Row],[Request date serial]]-WEEKDAY(tblWorkPackages[[#This Row],[Request date serial]],3),"yyyy-mm-dd")</f>
        <v>2025-09-01</v>
      </c>
      <c r="P1508" s="51">
        <f>ABS(tblWorkPackages[[#This Row],[Actual labor hours]]-tblWorkPackages[[#This Row],[Estimated labor hours]])</f>
        <v>0.7</v>
      </c>
      <c r="Q1508" s="51">
        <f>IF(tblWorkPackages[[#This Row],[Actual labor hours]]&gt;tblWorkPackages[[#This Row],[Estimated labor hours]],1,0)</f>
        <v>0</v>
      </c>
      <c r="R1508" s="51">
        <f>tblWorkPackages[[#This Row],[Actual labor hours]]-tblWorkPackages[[#This Row],[Estimated labor hours]]</f>
        <v>-0.7</v>
      </c>
      <c r="S1508" s="51" t="str">
        <f>IF(tblWorkPackages[[#This Row],[Request date serial]]&lt;ValidationStart,"Train 2024",IF(tblWorkPackages[[#This Row],[Request date serial]]&lt;HoldoutStart,"Validation H1","Holdout H2"))</f>
        <v>Holdout H2</v>
      </c>
      <c r="T1508" s="51">
        <f>IF(tblWorkPackages[[#This Row],[Time split]]="Train 2024","",tblWorkPackages[[#This Row],[Estimated labor hours]]+VLOOKUP(tblWorkPackages[[#This Row],[Task type]],'Forecast validation'!$A$14:$E$25,IF(tblWorkPackages[[#This Row],[Time split]]="Validation H1",4,5),FALSE()))</f>
        <v>4.89160839160839</v>
      </c>
      <c r="U1508" s="51">
        <f>IF(tblWorkPackages[[#This Row],[Calibrated forecast hours]]="","",ABS(tblWorkPackages[[#This Row],[Actual labor hours]]-tblWorkPackages[[#This Row],[Calibrated forecast hours]]))</f>
        <v>1.29160839160839</v>
      </c>
      <c r="V1508" s="51">
        <f>IF(tblWorkPackages[[#This Row],[Time split]]="Train 2024",tblWorkPackages[[#This Row],[Estimated labor hours]],tblWorkPackages[[#This Row],[Calibrated forecast hours]])</f>
        <v>4.89160839160839</v>
      </c>
      <c r="W1508" s="64">
        <f>DATEVALUE(tblWorkPackages[[#This Row],[Request date]])</f>
        <v>45905.0</v>
      </c>
      <c r="X1508" s="64">
        <f>DATEVALUE(tblWorkPackages[[#This Row],[Due date]])</f>
        <v>45907.0</v>
      </c>
      <c r="Y1508" s="64">
        <f>DATEVALUE(tblWorkPackages[[#This Row],[Completion date]])</f>
        <v>45912.0</v>
      </c>
      <c r="Z1508" s="64">
        <f>_xlfn.MINIFS(tblLaborEntries[Work date serial],tblLaborEntries[Work package ID],tblWorkPackages[[#This Row],[Work package ID]])</f>
        <v>45909.0</v>
      </c>
      <c r="AA1508" s="64">
        <f>_xlfn.MAXIFS(tblLaborEntries[Work date serial],tblLaborEntries[Work package ID],tblWorkPackages[[#This Row],[Work package ID]])</f>
        <v>45910.0</v>
      </c>
      <c r="AB1508" s="65">
        <f>IF(tblWorkPackages[[#This Row],[Completion date serial]]&gt;tblWorkPackages[[#This Row],[Due date serial]],1,0)</f>
        <v>1</v>
      </c>
      <c r="AC1508" s="65">
        <f>MAX(0,tblWorkPackages[[#This Row],[Completion date serial]]-tblWorkPackages[[#This Row],[Due date serial]])</f>
        <v>5</v>
      </c>
      <c r="AD1508" s="65">
        <f>tblWorkPackages[[#This Row],[First labor date]]-tblWorkPackages[[#This Row],[Request date serial]]</f>
        <v>4</v>
      </c>
      <c r="AE1508" s="65">
        <f>tblWorkPackages[[#This Row],[Last labor date]]-tblWorkPackages[[#This Row],[First labor date]]</f>
        <v>1</v>
      </c>
      <c r="AF1508" s="65">
        <f>tblWorkPackages[[#This Row],[Completion date serial]]-tblWorkPackages[[#This Row],[Last labor date]]</f>
        <v>2</v>
      </c>
      <c r="AG1508" s="65">
        <f>tblWorkPackages[[#This Row],[Completion date serial]]-tblWorkPackages[[#This Row],[Request date serial]]</f>
        <v>7</v>
      </c>
      <c r="AH1508" s="65">
        <f>IFERROR(INDEX(tblParts[Delay days],MATCH(tblWorkPackages[[#This Row],[Work package ID]],tblParts[Work package ID],0)),0)</f>
        <v>0</v>
      </c>
      <c r="AI1508" s="51" t="str">
        <f>IFERROR(INDEX(tblDisruptions[Event type],MATCH(tblWorkPackages[[#This Row],[Work package ID]],tblDisruptions[Work package ID],0)),"None")</f>
        <v>None</v>
      </c>
      <c r="AJ1508" s="51" t="str">
        <f>TEXT(tblWorkPackages[[#This Row],[Due date serial]],"yyyy-mm")</f>
        <v>2025-09</v>
      </c>
    </row>
    <row r="1509" spans="1:36" ht="15" x14ac:dyDescent="0.25">
      <c r="A1509" s="53" t="s">
        <v>2417</v>
      </c>
      <c r="B1509" s="53" t="s">
        <v>203</v>
      </c>
      <c r="C1509" s="53" t="s">
        <v>480</v>
      </c>
      <c r="D1509" s="53" t="s">
        <v>558</v>
      </c>
      <c r="E1509" s="53" t="s">
        <v>209</v>
      </c>
      <c r="F1509" s="53" t="s">
        <v>145</v>
      </c>
      <c r="G1509" s="53" t="s">
        <v>210</v>
      </c>
      <c r="H1509" s="53">
        <v>1</v>
      </c>
      <c r="I1509" s="53" t="s">
        <v>176</v>
      </c>
      <c r="J1509" s="53">
        <v>0</v>
      </c>
      <c r="K1509" s="53">
        <v>1</v>
      </c>
      <c r="L1509" s="53">
        <v>11.2</v>
      </c>
      <c r="M1509" s="53" t="s">
        <v>218</v>
      </c>
      <c r="N1509" s="53">
        <v>9.5</v>
      </c>
      <c r="O1509" s="51" t="str">
        <f>TEXT(tblWorkPackages[[#This Row],[Request date serial]]-WEEKDAY(tblWorkPackages[[#This Row],[Request date serial]],3),"yyyy-mm-dd")</f>
        <v>2025-10-20</v>
      </c>
      <c r="P1509" s="51">
        <f>ABS(tblWorkPackages[[#This Row],[Actual labor hours]]-tblWorkPackages[[#This Row],[Estimated labor hours]])</f>
        <v>1.7</v>
      </c>
      <c r="Q1509" s="51">
        <f>IF(tblWorkPackages[[#This Row],[Actual labor hours]]&gt;tblWorkPackages[[#This Row],[Estimated labor hours]],1,0)</f>
        <v>0</v>
      </c>
      <c r="R1509" s="51">
        <f>tblWorkPackages[[#This Row],[Actual labor hours]]-tblWorkPackages[[#This Row],[Estimated labor hours]]</f>
        <v>-1.7</v>
      </c>
      <c r="S1509" s="51" t="str">
        <f>IF(tblWorkPackages[[#This Row],[Request date serial]]&lt;ValidationStart,"Train 2024",IF(tblWorkPackages[[#This Row],[Request date serial]]&lt;HoldoutStart,"Validation H1","Holdout H2"))</f>
        <v>Holdout H2</v>
      </c>
      <c r="T1509" s="51">
        <f>IF(tblWorkPackages[[#This Row],[Time split]]="Train 2024","",tblWorkPackages[[#This Row],[Estimated labor hours]]+VLOOKUP(tblWorkPackages[[#This Row],[Task type]],'Forecast validation'!$A$14:$E$25,IF(tblWorkPackages[[#This Row],[Time split]]="Validation H1",4,5),FALSE()))</f>
        <v>12.995652173913</v>
      </c>
      <c r="U1509" s="51">
        <f>IF(tblWorkPackages[[#This Row],[Calibrated forecast hours]]="","",ABS(tblWorkPackages[[#This Row],[Actual labor hours]]-tblWorkPackages[[#This Row],[Calibrated forecast hours]]))</f>
        <v>3.49565217391304</v>
      </c>
      <c r="V1509" s="51">
        <f>IF(tblWorkPackages[[#This Row],[Time split]]="Train 2024",tblWorkPackages[[#This Row],[Estimated labor hours]],tblWorkPackages[[#This Row],[Calibrated forecast hours]])</f>
        <v>12.995652173913</v>
      </c>
      <c r="W1509" s="64">
        <f>DATEVALUE(tblWorkPackages[[#This Row],[Request date]])</f>
        <v>45955.0</v>
      </c>
      <c r="X1509" s="64">
        <f>DATEVALUE(tblWorkPackages[[#This Row],[Due date]])</f>
        <v>45961.0</v>
      </c>
      <c r="Y1509" s="64">
        <f>DATEVALUE(tblWorkPackages[[#This Row],[Completion date]])</f>
        <v>46017.0</v>
      </c>
      <c r="Z1509" s="64">
        <f>_xlfn.MINIFS(tblLaborEntries[Work date serial],tblLaborEntries[Work package ID],tblWorkPackages[[#This Row],[Work package ID]])</f>
        <v>46014.0</v>
      </c>
      <c r="AA1509" s="64">
        <f>_xlfn.MAXIFS(tblLaborEntries[Work date serial],tblLaborEntries[Work package ID],tblWorkPackages[[#This Row],[Work package ID]])</f>
        <v>46014.0</v>
      </c>
      <c r="AB1509" s="65">
        <f>IF(tblWorkPackages[[#This Row],[Completion date serial]]&gt;tblWorkPackages[[#This Row],[Due date serial]],1,0)</f>
        <v>1</v>
      </c>
      <c r="AC1509" s="65">
        <f>MAX(0,tblWorkPackages[[#This Row],[Completion date serial]]-tblWorkPackages[[#This Row],[Due date serial]])</f>
        <v>56</v>
      </c>
      <c r="AD1509" s="65">
        <f>tblWorkPackages[[#This Row],[First labor date]]-tblWorkPackages[[#This Row],[Request date serial]]</f>
        <v>59</v>
      </c>
      <c r="AE1509" s="65">
        <f>tblWorkPackages[[#This Row],[Last labor date]]-tblWorkPackages[[#This Row],[First labor date]]</f>
        <v>0</v>
      </c>
      <c r="AF1509" s="65">
        <f>tblWorkPackages[[#This Row],[Completion date serial]]-tblWorkPackages[[#This Row],[Last labor date]]</f>
        <v>3</v>
      </c>
      <c r="AG1509" s="65">
        <f>tblWorkPackages[[#This Row],[Completion date serial]]-tblWorkPackages[[#This Row],[Request date serial]]</f>
        <v>62</v>
      </c>
      <c r="AH1509" s="65">
        <f>IFERROR(INDEX(tblParts[Delay days],MATCH(tblWorkPackages[[#This Row],[Work package ID]],tblParts[Work package ID],0)),0)</f>
        <v>0</v>
      </c>
      <c r="AI1509" s="51" t="str">
        <f>IFERROR(INDEX(tblDisruptions[Event type],MATCH(tblWorkPackages[[#This Row],[Work package ID]],tblDisruptions[Work package ID],0)),"None")</f>
        <v>None</v>
      </c>
      <c r="AJ1509" s="51" t="str">
        <f>TEXT(tblWorkPackages[[#This Row],[Due date serial]],"yyyy-mm")</f>
        <v>2025-10</v>
      </c>
    </row>
    <row r="1510" spans="1:36" ht="15" x14ac:dyDescent="0.25">
      <c r="A1510" s="53" t="s">
        <v>2418</v>
      </c>
      <c r="B1510" s="53" t="s">
        <v>230</v>
      </c>
      <c r="C1510" s="53" t="s">
        <v>885</v>
      </c>
      <c r="D1510" s="53" t="s">
        <v>903</v>
      </c>
      <c r="E1510" s="53" t="s">
        <v>272</v>
      </c>
      <c r="F1510" s="53" t="s">
        <v>145</v>
      </c>
      <c r="G1510" s="53" t="s">
        <v>273</v>
      </c>
      <c r="H1510" s="53">
        <v>1</v>
      </c>
      <c r="I1510" s="53" t="s">
        <v>130</v>
      </c>
      <c r="J1510" s="53">
        <v>0</v>
      </c>
      <c r="K1510" s="53">
        <v>1</v>
      </c>
      <c r="L1510" s="53">
        <v>7.1</v>
      </c>
      <c r="M1510" s="53" t="s">
        <v>284</v>
      </c>
      <c r="N1510" s="53">
        <v>7.3</v>
      </c>
      <c r="O1510" s="51" t="str">
        <f>TEXT(tblWorkPackages[[#This Row],[Request date serial]]-WEEKDAY(tblWorkPackages[[#This Row],[Request date serial]],3),"yyyy-mm-dd")</f>
        <v>2025-09-01</v>
      </c>
      <c r="P1510" s="51">
        <f>ABS(tblWorkPackages[[#This Row],[Actual labor hours]]-tblWorkPackages[[#This Row],[Estimated labor hours]])</f>
        <v>0.2</v>
      </c>
      <c r="Q1510" s="51">
        <f>IF(tblWorkPackages[[#This Row],[Actual labor hours]]&gt;tblWorkPackages[[#This Row],[Estimated labor hours]],1,0)</f>
        <v>1</v>
      </c>
      <c r="R1510" s="51">
        <f>tblWorkPackages[[#This Row],[Actual labor hours]]-tblWorkPackages[[#This Row],[Estimated labor hours]]</f>
        <v>0.2</v>
      </c>
      <c r="S1510" s="51" t="str">
        <f>IF(tblWorkPackages[[#This Row],[Request date serial]]&lt;ValidationStart,"Train 2024",IF(tblWorkPackages[[#This Row],[Request date serial]]&lt;HoldoutStart,"Validation H1","Holdout H2"))</f>
        <v>Holdout H2</v>
      </c>
      <c r="T1510" s="51">
        <f>IF(tblWorkPackages[[#This Row],[Time split]]="Train 2024","",tblWorkPackages[[#This Row],[Estimated labor hours]]+VLOOKUP(tblWorkPackages[[#This Row],[Task type]],'Forecast validation'!$A$14:$E$25,IF(tblWorkPackages[[#This Row],[Time split]]="Validation H1",4,5),FALSE()))</f>
        <v>8.08515625</v>
      </c>
      <c r="U1510" s="51">
        <f>IF(tblWorkPackages[[#This Row],[Calibrated forecast hours]]="","",ABS(tblWorkPackages[[#This Row],[Actual labor hours]]-tblWorkPackages[[#This Row],[Calibrated forecast hours]]))</f>
        <v>0.785156249999999</v>
      </c>
      <c r="V1510" s="51">
        <f>IF(tblWorkPackages[[#This Row],[Time split]]="Train 2024",tblWorkPackages[[#This Row],[Estimated labor hours]],tblWorkPackages[[#This Row],[Calibrated forecast hours]])</f>
        <v>8.08515625</v>
      </c>
      <c r="W1510" s="64">
        <f>DATEVALUE(tblWorkPackages[[#This Row],[Request date]])</f>
        <v>45901.0</v>
      </c>
      <c r="X1510" s="64">
        <f>DATEVALUE(tblWorkPackages[[#This Row],[Due date]])</f>
        <v>45914.0</v>
      </c>
      <c r="Y1510" s="64">
        <f>DATEVALUE(tblWorkPackages[[#This Row],[Completion date]])</f>
        <v>45910.0</v>
      </c>
      <c r="Z1510" s="64">
        <f>_xlfn.MINIFS(tblLaborEntries[Work date serial],tblLaborEntries[Work package ID],tblWorkPackages[[#This Row],[Work package ID]])</f>
        <v>45910.0</v>
      </c>
      <c r="AA1510" s="64">
        <f>_xlfn.MAXIFS(tblLaborEntries[Work date serial],tblLaborEntries[Work package ID],tblWorkPackages[[#This Row],[Work package ID]])</f>
        <v>45910.0</v>
      </c>
      <c r="AB1510" s="65">
        <f>IF(tblWorkPackages[[#This Row],[Completion date serial]]&gt;tblWorkPackages[[#This Row],[Due date serial]],1,0)</f>
        <v>0</v>
      </c>
      <c r="AC1510" s="65">
        <f>MAX(0,tblWorkPackages[[#This Row],[Completion date serial]]-tblWorkPackages[[#This Row],[Due date serial]])</f>
        <v>0</v>
      </c>
      <c r="AD1510" s="65">
        <f>tblWorkPackages[[#This Row],[First labor date]]-tblWorkPackages[[#This Row],[Request date serial]]</f>
        <v>9</v>
      </c>
      <c r="AE1510" s="65">
        <f>tblWorkPackages[[#This Row],[Last labor date]]-tblWorkPackages[[#This Row],[First labor date]]</f>
        <v>0</v>
      </c>
      <c r="AF1510" s="65">
        <f>tblWorkPackages[[#This Row],[Completion date serial]]-tblWorkPackages[[#This Row],[Last labor date]]</f>
        <v>0</v>
      </c>
      <c r="AG1510" s="65">
        <f>tblWorkPackages[[#This Row],[Completion date serial]]-tblWorkPackages[[#This Row],[Request date serial]]</f>
        <v>9</v>
      </c>
      <c r="AH1510" s="65">
        <f>IFERROR(INDEX(tblParts[Delay days],MATCH(tblWorkPackages[[#This Row],[Work package ID]],tblParts[Work package ID],0)),0)</f>
        <v>0</v>
      </c>
      <c r="AI1510" s="51" t="str">
        <f>IFERROR(INDEX(tblDisruptions[Event type],MATCH(tblWorkPackages[[#This Row],[Work package ID]],tblDisruptions[Work package ID],0)),"None")</f>
        <v>None</v>
      </c>
      <c r="AJ1510" s="51" t="str">
        <f>TEXT(tblWorkPackages[[#This Row],[Due date serial]],"yyyy-mm")</f>
        <v>2025-09</v>
      </c>
    </row>
    <row r="1511" spans="1:36" ht="15" x14ac:dyDescent="0.25">
      <c r="A1511" s="53" t="s">
        <v>2419</v>
      </c>
      <c r="B1511" s="53" t="s">
        <v>230</v>
      </c>
      <c r="C1511" s="53" t="s">
        <v>1446</v>
      </c>
      <c r="D1511" s="53" t="s">
        <v>592</v>
      </c>
      <c r="E1511" s="53" t="s">
        <v>136</v>
      </c>
      <c r="F1511" s="53" t="s">
        <v>137</v>
      </c>
      <c r="G1511" s="53" t="s">
        <v>138</v>
      </c>
      <c r="H1511" s="53">
        <v>4</v>
      </c>
      <c r="I1511" s="53" t="s">
        <v>176</v>
      </c>
      <c r="J1511" s="53">
        <v>0</v>
      </c>
      <c r="K1511" s="53">
        <v>0</v>
      </c>
      <c r="L1511" s="53">
        <v>31</v>
      </c>
      <c r="M1511" s="53" t="s">
        <v>1895</v>
      </c>
      <c r="N1511" s="53">
        <v>38</v>
      </c>
      <c r="O1511" s="51" t="str">
        <f>TEXT(tblWorkPackages[[#This Row],[Request date serial]]-WEEKDAY(tblWorkPackages[[#This Row],[Request date serial]],3),"yyyy-mm-dd")</f>
        <v>2025-03-31</v>
      </c>
      <c r="P1511" s="51">
        <f>ABS(tblWorkPackages[[#This Row],[Actual labor hours]]-tblWorkPackages[[#This Row],[Estimated labor hours]])</f>
        <v>7</v>
      </c>
      <c r="Q1511" s="51">
        <f>IF(tblWorkPackages[[#This Row],[Actual labor hours]]&gt;tblWorkPackages[[#This Row],[Estimated labor hours]],1,0)</f>
        <v>1</v>
      </c>
      <c r="R1511" s="51">
        <f>tblWorkPackages[[#This Row],[Actual labor hours]]-tblWorkPackages[[#This Row],[Estimated labor hours]]</f>
        <v>7</v>
      </c>
      <c r="S1511" s="51" t="str">
        <f>IF(tblWorkPackages[[#This Row],[Request date serial]]&lt;ValidationStart,"Train 2024",IF(tblWorkPackages[[#This Row],[Request date serial]]&lt;HoldoutStart,"Validation H1","Holdout H2"))</f>
        <v>Validation H1</v>
      </c>
      <c r="T1511" s="51">
        <f>IF(tblWorkPackages[[#This Row],[Time split]]="Train 2024","",tblWorkPackages[[#This Row],[Estimated labor hours]]+VLOOKUP(tblWorkPackages[[#This Row],[Task type]],'Forecast validation'!$A$14:$E$25,IF(tblWorkPackages[[#This Row],[Time split]]="Validation H1",4,5),FALSE()))</f>
        <v>31.8765306122449</v>
      </c>
      <c r="U1511" s="51">
        <f>IF(tblWorkPackages[[#This Row],[Calibrated forecast hours]]="","",ABS(tblWorkPackages[[#This Row],[Actual labor hours]]-tblWorkPackages[[#This Row],[Calibrated forecast hours]]))</f>
        <v>6.1234693877551</v>
      </c>
      <c r="V1511" s="51">
        <f>IF(tblWorkPackages[[#This Row],[Time split]]="Train 2024",tblWorkPackages[[#This Row],[Estimated labor hours]],tblWorkPackages[[#This Row],[Calibrated forecast hours]])</f>
        <v>31.8765306122449</v>
      </c>
      <c r="W1511" s="64">
        <f>DATEVALUE(tblWorkPackages[[#This Row],[Request date]])</f>
        <v>45751.0</v>
      </c>
      <c r="X1511" s="64">
        <f>DATEVALUE(tblWorkPackages[[#This Row],[Due date]])</f>
        <v>45757.0</v>
      </c>
      <c r="Y1511" s="64">
        <f>DATEVALUE(tblWorkPackages[[#This Row],[Completion date]])</f>
        <v>45755.0</v>
      </c>
      <c r="Z1511" s="64">
        <f>_xlfn.MINIFS(tblLaborEntries[Work date serial],tblLaborEntries[Work package ID],tblWorkPackages[[#This Row],[Work package ID]])</f>
        <v>45753.0</v>
      </c>
      <c r="AA1511" s="64">
        <f>_xlfn.MAXIFS(tblLaborEntries[Work date serial],tblLaborEntries[Work package ID],tblWorkPackages[[#This Row],[Work package ID]])</f>
        <v>45754.0</v>
      </c>
      <c r="AB1511" s="65">
        <f>IF(tblWorkPackages[[#This Row],[Completion date serial]]&gt;tblWorkPackages[[#This Row],[Due date serial]],1,0)</f>
        <v>0</v>
      </c>
      <c r="AC1511" s="65">
        <f>MAX(0,tblWorkPackages[[#This Row],[Completion date serial]]-tblWorkPackages[[#This Row],[Due date serial]])</f>
        <v>0</v>
      </c>
      <c r="AD1511" s="65">
        <f>tblWorkPackages[[#This Row],[First labor date]]-tblWorkPackages[[#This Row],[Request date serial]]</f>
        <v>2</v>
      </c>
      <c r="AE1511" s="65">
        <f>tblWorkPackages[[#This Row],[Last labor date]]-tblWorkPackages[[#This Row],[First labor date]]</f>
        <v>1</v>
      </c>
      <c r="AF1511" s="65">
        <f>tblWorkPackages[[#This Row],[Completion date serial]]-tblWorkPackages[[#This Row],[Last labor date]]</f>
        <v>1</v>
      </c>
      <c r="AG1511" s="65">
        <f>tblWorkPackages[[#This Row],[Completion date serial]]-tblWorkPackages[[#This Row],[Request date serial]]</f>
        <v>4</v>
      </c>
      <c r="AH1511" s="65">
        <f>IFERROR(INDEX(tblParts[Delay days],MATCH(tblWorkPackages[[#This Row],[Work package ID]],tblParts[Work package ID],0)),0)</f>
        <v>0</v>
      </c>
      <c r="AI1511" s="51" t="str">
        <f>IFERROR(INDEX(tblDisruptions[Event type],MATCH(tblWorkPackages[[#This Row],[Work package ID]],tblDisruptions[Work package ID],0)),"None")</f>
        <v>None</v>
      </c>
      <c r="AJ1511" s="51" t="str">
        <f>TEXT(tblWorkPackages[[#This Row],[Due date serial]],"yyyy-mm")</f>
        <v>2025-04</v>
      </c>
    </row>
    <row r="1512" spans="1:36" ht="15" x14ac:dyDescent="0.25">
      <c r="A1512" s="53" t="s">
        <v>2420</v>
      </c>
      <c r="B1512" s="53" t="s">
        <v>235</v>
      </c>
      <c r="C1512" s="53" t="s">
        <v>518</v>
      </c>
      <c r="D1512" s="53" t="s">
        <v>569</v>
      </c>
      <c r="E1512" s="53" t="s">
        <v>242</v>
      </c>
      <c r="F1512" s="53" t="s">
        <v>243</v>
      </c>
      <c r="G1512" s="53" t="s">
        <v>129</v>
      </c>
      <c r="H1512" s="53">
        <v>1</v>
      </c>
      <c r="I1512" s="53" t="s">
        <v>130</v>
      </c>
      <c r="J1512" s="53">
        <v>0</v>
      </c>
      <c r="K1512" s="53">
        <v>0</v>
      </c>
      <c r="L1512" s="53">
        <v>6.2</v>
      </c>
      <c r="M1512" s="53" t="s">
        <v>1211</v>
      </c>
      <c r="N1512" s="53">
        <v>6.6</v>
      </c>
      <c r="O1512" s="51" t="str">
        <f>TEXT(tblWorkPackages[[#This Row],[Request date serial]]-WEEKDAY(tblWorkPackages[[#This Row],[Request date serial]],3),"yyyy-mm-dd")</f>
        <v>2025-05-12</v>
      </c>
      <c r="P1512" s="51">
        <f>ABS(tblWorkPackages[[#This Row],[Actual labor hours]]-tblWorkPackages[[#This Row],[Estimated labor hours]])</f>
        <v>0.399999999999999</v>
      </c>
      <c r="Q1512" s="51">
        <f>IF(tblWorkPackages[[#This Row],[Actual labor hours]]&gt;tblWorkPackages[[#This Row],[Estimated labor hours]],1,0)</f>
        <v>1</v>
      </c>
      <c r="R1512" s="51">
        <f>tblWorkPackages[[#This Row],[Actual labor hours]]-tblWorkPackages[[#This Row],[Estimated labor hours]]</f>
        <v>0.399999999999999</v>
      </c>
      <c r="S1512" s="51" t="str">
        <f>IF(tblWorkPackages[[#This Row],[Request date serial]]&lt;ValidationStart,"Train 2024",IF(tblWorkPackages[[#This Row],[Request date serial]]&lt;HoldoutStart,"Validation H1","Holdout H2"))</f>
        <v>Validation H1</v>
      </c>
      <c r="T1512" s="51">
        <f>IF(tblWorkPackages[[#This Row],[Time split]]="Train 2024","",tblWorkPackages[[#This Row],[Estimated labor hours]]+VLOOKUP(tblWorkPackages[[#This Row],[Task type]],'Forecast validation'!$A$14:$E$25,IF(tblWorkPackages[[#This Row],[Time split]]="Validation H1",4,5),FALSE()))</f>
        <v>6.75612244897959</v>
      </c>
      <c r="U1512" s="51">
        <f>IF(tblWorkPackages[[#This Row],[Calibrated forecast hours]]="","",ABS(tblWorkPackages[[#This Row],[Actual labor hours]]-tblWorkPackages[[#This Row],[Calibrated forecast hours]]))</f>
        <v>0.156122448979593</v>
      </c>
      <c r="V1512" s="51">
        <f>IF(tblWorkPackages[[#This Row],[Time split]]="Train 2024",tblWorkPackages[[#This Row],[Estimated labor hours]],tblWorkPackages[[#This Row],[Calibrated forecast hours]])</f>
        <v>6.75612244897959</v>
      </c>
      <c r="W1512" s="64">
        <f>DATEVALUE(tblWorkPackages[[#This Row],[Request date]])</f>
        <v>45794.0</v>
      </c>
      <c r="X1512" s="64">
        <f>DATEVALUE(tblWorkPackages[[#This Row],[Due date]])</f>
        <v>45807.0</v>
      </c>
      <c r="Y1512" s="64">
        <f>DATEVALUE(tblWorkPackages[[#This Row],[Completion date]])</f>
        <v>45818.0</v>
      </c>
      <c r="Z1512" s="64">
        <f>_xlfn.MINIFS(tblLaborEntries[Work date serial],tblLaborEntries[Work package ID],tblWorkPackages[[#This Row],[Work package ID]])</f>
        <v>45816.0</v>
      </c>
      <c r="AA1512" s="64">
        <f>_xlfn.MAXIFS(tblLaborEntries[Work date serial],tblLaborEntries[Work package ID],tblWorkPackages[[#This Row],[Work package ID]])</f>
        <v>45816.0</v>
      </c>
      <c r="AB1512" s="65">
        <f>IF(tblWorkPackages[[#This Row],[Completion date serial]]&gt;tblWorkPackages[[#This Row],[Due date serial]],1,0)</f>
        <v>1</v>
      </c>
      <c r="AC1512" s="65">
        <f>MAX(0,tblWorkPackages[[#This Row],[Completion date serial]]-tblWorkPackages[[#This Row],[Due date serial]])</f>
        <v>11</v>
      </c>
      <c r="AD1512" s="65">
        <f>tblWorkPackages[[#This Row],[First labor date]]-tblWorkPackages[[#This Row],[Request date serial]]</f>
        <v>22</v>
      </c>
      <c r="AE1512" s="65">
        <f>tblWorkPackages[[#This Row],[Last labor date]]-tblWorkPackages[[#This Row],[First labor date]]</f>
        <v>0</v>
      </c>
      <c r="AF1512" s="65">
        <f>tblWorkPackages[[#This Row],[Completion date serial]]-tblWorkPackages[[#This Row],[Last labor date]]</f>
        <v>2</v>
      </c>
      <c r="AG1512" s="65">
        <f>tblWorkPackages[[#This Row],[Completion date serial]]-tblWorkPackages[[#This Row],[Request date serial]]</f>
        <v>24</v>
      </c>
      <c r="AH1512" s="65">
        <f>IFERROR(INDEX(tblParts[Delay days],MATCH(tblWorkPackages[[#This Row],[Work package ID]],tblParts[Work package ID],0)),0)</f>
        <v>0</v>
      </c>
      <c r="AI1512" s="51" t="str">
        <f>IFERROR(INDEX(tblDisruptions[Event type],MATCH(tblWorkPackages[[#This Row],[Work package ID]],tblDisruptions[Work package ID],0)),"None")</f>
        <v>None</v>
      </c>
      <c r="AJ1512" s="51" t="str">
        <f>TEXT(tblWorkPackages[[#This Row],[Due date serial]],"yyyy-mm")</f>
        <v>2025-05</v>
      </c>
    </row>
    <row r="1513" spans="1:36" ht="15" x14ac:dyDescent="0.25">
      <c r="A1513" s="53" t="s">
        <v>2421</v>
      </c>
      <c r="B1513" s="53" t="s">
        <v>185</v>
      </c>
      <c r="C1513" s="53" t="s">
        <v>1283</v>
      </c>
      <c r="D1513" s="53" t="s">
        <v>906</v>
      </c>
      <c r="E1513" s="53" t="s">
        <v>272</v>
      </c>
      <c r="F1513" s="53" t="s">
        <v>145</v>
      </c>
      <c r="G1513" s="53" t="s">
        <v>273</v>
      </c>
      <c r="H1513" s="53">
        <v>4</v>
      </c>
      <c r="I1513" s="53" t="s">
        <v>130</v>
      </c>
      <c r="J1513" s="53">
        <v>0</v>
      </c>
      <c r="K1513" s="53">
        <v>1</v>
      </c>
      <c r="L1513" s="53">
        <v>24.8</v>
      </c>
      <c r="M1513" s="53" t="s">
        <v>916</v>
      </c>
      <c r="N1513" s="53">
        <v>20.2</v>
      </c>
      <c r="O1513" s="51" t="str">
        <f>TEXT(tblWorkPackages[[#This Row],[Request date serial]]-WEEKDAY(tblWorkPackages[[#This Row],[Request date serial]],3),"yyyy-mm-dd")</f>
        <v>2025-04-21</v>
      </c>
      <c r="P1513" s="51">
        <f>ABS(tblWorkPackages[[#This Row],[Actual labor hours]]-tblWorkPackages[[#This Row],[Estimated labor hours]])</f>
        <v>4.6</v>
      </c>
      <c r="Q1513" s="51">
        <f>IF(tblWorkPackages[[#This Row],[Actual labor hours]]&gt;tblWorkPackages[[#This Row],[Estimated labor hours]],1,0)</f>
        <v>0</v>
      </c>
      <c r="R1513" s="51">
        <f>tblWorkPackages[[#This Row],[Actual labor hours]]-tblWorkPackages[[#This Row],[Estimated labor hours]]</f>
        <v>-4.6</v>
      </c>
      <c r="S1513" s="51" t="str">
        <f>IF(tblWorkPackages[[#This Row],[Request date serial]]&lt;ValidationStart,"Train 2024",IF(tblWorkPackages[[#This Row],[Request date serial]]&lt;HoldoutStart,"Validation H1","Holdout H2"))</f>
        <v>Validation H1</v>
      </c>
      <c r="T1513" s="51">
        <f>IF(tblWorkPackages[[#This Row],[Time split]]="Train 2024","",tblWorkPackages[[#This Row],[Estimated labor hours]]+VLOOKUP(tblWorkPackages[[#This Row],[Task type]],'Forecast validation'!$A$14:$E$25,IF(tblWorkPackages[[#This Row],[Time split]]="Validation H1",4,5),FALSE()))</f>
        <v>25.8320512820513</v>
      </c>
      <c r="U1513" s="51">
        <f>IF(tblWorkPackages[[#This Row],[Calibrated forecast hours]]="","",ABS(tblWorkPackages[[#This Row],[Actual labor hours]]-tblWorkPackages[[#This Row],[Calibrated forecast hours]]))</f>
        <v>5.63205128205128</v>
      </c>
      <c r="V1513" s="51">
        <f>IF(tblWorkPackages[[#This Row],[Time split]]="Train 2024",tblWorkPackages[[#This Row],[Estimated labor hours]],tblWorkPackages[[#This Row],[Calibrated forecast hours]])</f>
        <v>25.8320512820513</v>
      </c>
      <c r="W1513" s="64">
        <f>DATEVALUE(tblWorkPackages[[#This Row],[Request date]])</f>
        <v>45768.0</v>
      </c>
      <c r="X1513" s="64">
        <f>DATEVALUE(tblWorkPackages[[#This Row],[Due date]])</f>
        <v>45781.0</v>
      </c>
      <c r="Y1513" s="64">
        <f>DATEVALUE(tblWorkPackages[[#This Row],[Completion date]])</f>
        <v>45777.0</v>
      </c>
      <c r="Z1513" s="64">
        <f>_xlfn.MINIFS(tblLaborEntries[Work date serial],tblLaborEntries[Work package ID],tblWorkPackages[[#This Row],[Work package ID]])</f>
        <v>45772.0</v>
      </c>
      <c r="AA1513" s="64">
        <f>_xlfn.MAXIFS(tblLaborEntries[Work date serial],tblLaborEntries[Work package ID],tblWorkPackages[[#This Row],[Work package ID]])</f>
        <v>45774.0</v>
      </c>
      <c r="AB1513" s="65">
        <f>IF(tblWorkPackages[[#This Row],[Completion date serial]]&gt;tblWorkPackages[[#This Row],[Due date serial]],1,0)</f>
        <v>0</v>
      </c>
      <c r="AC1513" s="65">
        <f>MAX(0,tblWorkPackages[[#This Row],[Completion date serial]]-tblWorkPackages[[#This Row],[Due date serial]])</f>
        <v>0</v>
      </c>
      <c r="AD1513" s="65">
        <f>tblWorkPackages[[#This Row],[First labor date]]-tblWorkPackages[[#This Row],[Request date serial]]</f>
        <v>4</v>
      </c>
      <c r="AE1513" s="65">
        <f>tblWorkPackages[[#This Row],[Last labor date]]-tblWorkPackages[[#This Row],[First labor date]]</f>
        <v>2</v>
      </c>
      <c r="AF1513" s="65">
        <f>tblWorkPackages[[#This Row],[Completion date serial]]-tblWorkPackages[[#This Row],[Last labor date]]</f>
        <v>3</v>
      </c>
      <c r="AG1513" s="65">
        <f>tblWorkPackages[[#This Row],[Completion date serial]]-tblWorkPackages[[#This Row],[Request date serial]]</f>
        <v>9</v>
      </c>
      <c r="AH1513" s="65">
        <f>IFERROR(INDEX(tblParts[Delay days],MATCH(tblWorkPackages[[#This Row],[Work package ID]],tblParts[Work package ID],0)),0)</f>
        <v>0</v>
      </c>
      <c r="AI1513" s="51" t="str">
        <f>IFERROR(INDEX(tblDisruptions[Event type],MATCH(tblWorkPackages[[#This Row],[Work package ID]],tblDisruptions[Work package ID],0)),"None")</f>
        <v>None</v>
      </c>
      <c r="AJ1513" s="51" t="str">
        <f>TEXT(tblWorkPackages[[#This Row],[Due date serial]],"yyyy-mm")</f>
        <v>2025-05</v>
      </c>
    </row>
    <row r="1514" spans="1:36" ht="15" x14ac:dyDescent="0.25">
      <c r="A1514" s="53" t="s">
        <v>2422</v>
      </c>
      <c r="B1514" s="53" t="s">
        <v>141</v>
      </c>
      <c r="C1514" s="53" t="s">
        <v>741</v>
      </c>
      <c r="D1514" s="53" t="s">
        <v>711</v>
      </c>
      <c r="E1514" s="53" t="s">
        <v>181</v>
      </c>
      <c r="F1514" s="53" t="s">
        <v>182</v>
      </c>
      <c r="G1514" s="53" t="s">
        <v>138</v>
      </c>
      <c r="H1514" s="53">
        <v>3</v>
      </c>
      <c r="I1514" s="53" t="s">
        <v>130</v>
      </c>
      <c r="J1514" s="53">
        <v>1</v>
      </c>
      <c r="K1514" s="53">
        <v>0</v>
      </c>
      <c r="L1514" s="53">
        <v>10.9</v>
      </c>
      <c r="M1514" s="53" t="s">
        <v>1036</v>
      </c>
      <c r="N1514" s="53">
        <v>13.1</v>
      </c>
      <c r="O1514" s="51" t="str">
        <f>TEXT(tblWorkPackages[[#This Row],[Request date serial]]-WEEKDAY(tblWorkPackages[[#This Row],[Request date serial]],3),"yyyy-mm-dd")</f>
        <v>2025-06-02</v>
      </c>
      <c r="P1514" s="51">
        <f>ABS(tblWorkPackages[[#This Row],[Actual labor hours]]-tblWorkPackages[[#This Row],[Estimated labor hours]])</f>
        <v>2.2</v>
      </c>
      <c r="Q1514" s="51">
        <f>IF(tblWorkPackages[[#This Row],[Actual labor hours]]&gt;tblWorkPackages[[#This Row],[Estimated labor hours]],1,0)</f>
        <v>1</v>
      </c>
      <c r="R1514" s="51">
        <f>tblWorkPackages[[#This Row],[Actual labor hours]]-tblWorkPackages[[#This Row],[Estimated labor hours]]</f>
        <v>2.2</v>
      </c>
      <c r="S1514" s="51" t="str">
        <f>IF(tblWorkPackages[[#This Row],[Request date serial]]&lt;ValidationStart,"Train 2024",IF(tblWorkPackages[[#This Row],[Request date serial]]&lt;HoldoutStart,"Validation H1","Holdout H2"))</f>
        <v>Validation H1</v>
      </c>
      <c r="T1514" s="51">
        <f>IF(tblWorkPackages[[#This Row],[Time split]]="Train 2024","",tblWorkPackages[[#This Row],[Estimated labor hours]]+VLOOKUP(tblWorkPackages[[#This Row],[Task type]],'Forecast validation'!$A$14:$E$25,IF(tblWorkPackages[[#This Row],[Time split]]="Validation H1",4,5),FALSE()))</f>
        <v>11.4840909090909</v>
      </c>
      <c r="U1514" s="51">
        <f>IF(tblWorkPackages[[#This Row],[Calibrated forecast hours]]="","",ABS(tblWorkPackages[[#This Row],[Actual labor hours]]-tblWorkPackages[[#This Row],[Calibrated forecast hours]]))</f>
        <v>1.61590909090909</v>
      </c>
      <c r="V1514" s="51">
        <f>IF(tblWorkPackages[[#This Row],[Time split]]="Train 2024",tblWorkPackages[[#This Row],[Estimated labor hours]],tblWorkPackages[[#This Row],[Calibrated forecast hours]])</f>
        <v>11.4840909090909</v>
      </c>
      <c r="W1514" s="64">
        <f>DATEVALUE(tblWorkPackages[[#This Row],[Request date]])</f>
        <v>45814.0</v>
      </c>
      <c r="X1514" s="64">
        <f>DATEVALUE(tblWorkPackages[[#This Row],[Due date]])</f>
        <v>45827.0</v>
      </c>
      <c r="Y1514" s="64">
        <f>DATEVALUE(tblWorkPackages[[#This Row],[Completion date]])</f>
        <v>45817.0</v>
      </c>
      <c r="Z1514" s="64">
        <f>_xlfn.MINIFS(tblLaborEntries[Work date serial],tblLaborEntries[Work package ID],tblWorkPackages[[#This Row],[Work package ID]])</f>
        <v>45815.0</v>
      </c>
      <c r="AA1514" s="64">
        <f>_xlfn.MAXIFS(tblLaborEntries[Work date serial],tblLaborEntries[Work package ID],tblWorkPackages[[#This Row],[Work package ID]])</f>
        <v>45817.0</v>
      </c>
      <c r="AB1514" s="65">
        <f>IF(tblWorkPackages[[#This Row],[Completion date serial]]&gt;tblWorkPackages[[#This Row],[Due date serial]],1,0)</f>
        <v>0</v>
      </c>
      <c r="AC1514" s="65">
        <f>MAX(0,tblWorkPackages[[#This Row],[Completion date serial]]-tblWorkPackages[[#This Row],[Due date serial]])</f>
        <v>0</v>
      </c>
      <c r="AD1514" s="65">
        <f>tblWorkPackages[[#This Row],[First labor date]]-tblWorkPackages[[#This Row],[Request date serial]]</f>
        <v>1</v>
      </c>
      <c r="AE1514" s="65">
        <f>tblWorkPackages[[#This Row],[Last labor date]]-tblWorkPackages[[#This Row],[First labor date]]</f>
        <v>2</v>
      </c>
      <c r="AF1514" s="65">
        <f>tblWorkPackages[[#This Row],[Completion date serial]]-tblWorkPackages[[#This Row],[Last labor date]]</f>
        <v>0</v>
      </c>
      <c r="AG1514" s="65">
        <f>tblWorkPackages[[#This Row],[Completion date serial]]-tblWorkPackages[[#This Row],[Request date serial]]</f>
        <v>3</v>
      </c>
      <c r="AH1514" s="65">
        <f>IFERROR(INDEX(tblParts[Delay days],MATCH(tblWorkPackages[[#This Row],[Work package ID]],tblParts[Work package ID],0)),0)</f>
        <v>0</v>
      </c>
      <c r="AI1514" s="51" t="str">
        <f>IFERROR(INDEX(tblDisruptions[Event type],MATCH(tblWorkPackages[[#This Row],[Work package ID]],tblDisruptions[Work package ID],0)),"None")</f>
        <v>None</v>
      </c>
      <c r="AJ1514" s="51" t="str">
        <f>TEXT(tblWorkPackages[[#This Row],[Due date serial]],"yyyy-mm")</f>
        <v>2025-06</v>
      </c>
    </row>
    <row r="1515" spans="1:36" ht="15" x14ac:dyDescent="0.25">
      <c r="A1515" s="53" t="s">
        <v>2423</v>
      </c>
      <c r="B1515" s="53" t="s">
        <v>287</v>
      </c>
      <c r="C1515" s="53" t="s">
        <v>1361</v>
      </c>
      <c r="D1515" s="53" t="s">
        <v>415</v>
      </c>
      <c r="E1515" s="53" t="s">
        <v>200</v>
      </c>
      <c r="F1515" s="53" t="s">
        <v>128</v>
      </c>
      <c r="G1515" s="53" t="s">
        <v>129</v>
      </c>
      <c r="H1515" s="53">
        <v>1</v>
      </c>
      <c r="I1515" s="53" t="s">
        <v>130</v>
      </c>
      <c r="J1515" s="53">
        <v>0</v>
      </c>
      <c r="K1515" s="53">
        <v>0</v>
      </c>
      <c r="L1515" s="53">
        <v>1.9</v>
      </c>
      <c r="M1515" s="53" t="s">
        <v>521</v>
      </c>
      <c r="N1515" s="53">
        <v>1.9</v>
      </c>
      <c r="O1515" s="51" t="str">
        <f>TEXT(tblWorkPackages[[#This Row],[Request date serial]]-WEEKDAY(tblWorkPackages[[#This Row],[Request date serial]],3),"yyyy-mm-dd")</f>
        <v>2025-08-18</v>
      </c>
      <c r="P1515" s="51">
        <f>ABS(tblWorkPackages[[#This Row],[Actual labor hours]]-tblWorkPackages[[#This Row],[Estimated labor hours]])</f>
        <v>0</v>
      </c>
      <c r="Q1515" s="51">
        <f>IF(tblWorkPackages[[#This Row],[Actual labor hours]]&gt;tblWorkPackages[[#This Row],[Estimated labor hours]],1,0)</f>
        <v>0</v>
      </c>
      <c r="R1515" s="51">
        <f>tblWorkPackages[[#This Row],[Actual labor hours]]-tblWorkPackages[[#This Row],[Estimated labor hours]]</f>
        <v>0</v>
      </c>
      <c r="S1515" s="51" t="str">
        <f>IF(tblWorkPackages[[#This Row],[Request date serial]]&lt;ValidationStart,"Train 2024",IF(tblWorkPackages[[#This Row],[Request date serial]]&lt;HoldoutStart,"Validation H1","Holdout H2"))</f>
        <v>Holdout H2</v>
      </c>
      <c r="T1515" s="51">
        <f>IF(tblWorkPackages[[#This Row],[Time split]]="Train 2024","",tblWorkPackages[[#This Row],[Estimated labor hours]]+VLOOKUP(tblWorkPackages[[#This Row],[Task type]],'Forecast validation'!$A$14:$E$25,IF(tblWorkPackages[[#This Row],[Time split]]="Validation H1",4,5),FALSE()))</f>
        <v>2.22893081761006</v>
      </c>
      <c r="U1515" s="51">
        <f>IF(tblWorkPackages[[#This Row],[Calibrated forecast hours]]="","",ABS(tblWorkPackages[[#This Row],[Actual labor hours]]-tblWorkPackages[[#This Row],[Calibrated forecast hours]]))</f>
        <v>0.328930817610063</v>
      </c>
      <c r="V1515" s="51">
        <f>IF(tblWorkPackages[[#This Row],[Time split]]="Train 2024",tblWorkPackages[[#This Row],[Estimated labor hours]],tblWorkPackages[[#This Row],[Calibrated forecast hours]])</f>
        <v>2.22893081761006</v>
      </c>
      <c r="W1515" s="64">
        <f>DATEVALUE(tblWorkPackages[[#This Row],[Request date]])</f>
        <v>45889.0</v>
      </c>
      <c r="X1515" s="64">
        <f>DATEVALUE(tblWorkPackages[[#This Row],[Due date]])</f>
        <v>45902.0</v>
      </c>
      <c r="Y1515" s="64">
        <f>DATEVALUE(tblWorkPackages[[#This Row],[Completion date]])</f>
        <v>45903.0</v>
      </c>
      <c r="Z1515" s="64">
        <f>_xlfn.MINIFS(tblLaborEntries[Work date serial],tblLaborEntries[Work package ID],tblWorkPackages[[#This Row],[Work package ID]])</f>
        <v>45901.0</v>
      </c>
      <c r="AA1515" s="64">
        <f>_xlfn.MAXIFS(tblLaborEntries[Work date serial],tblLaborEntries[Work package ID],tblWorkPackages[[#This Row],[Work package ID]])</f>
        <v>45902.0</v>
      </c>
      <c r="AB1515" s="65">
        <f>IF(tblWorkPackages[[#This Row],[Completion date serial]]&gt;tblWorkPackages[[#This Row],[Due date serial]],1,0)</f>
        <v>1</v>
      </c>
      <c r="AC1515" s="65">
        <f>MAX(0,tblWorkPackages[[#This Row],[Completion date serial]]-tblWorkPackages[[#This Row],[Due date serial]])</f>
        <v>1</v>
      </c>
      <c r="AD1515" s="65">
        <f>tblWorkPackages[[#This Row],[First labor date]]-tblWorkPackages[[#This Row],[Request date serial]]</f>
        <v>12</v>
      </c>
      <c r="AE1515" s="65">
        <f>tblWorkPackages[[#This Row],[Last labor date]]-tblWorkPackages[[#This Row],[First labor date]]</f>
        <v>1</v>
      </c>
      <c r="AF1515" s="65">
        <f>tblWorkPackages[[#This Row],[Completion date serial]]-tblWorkPackages[[#This Row],[Last labor date]]</f>
        <v>1</v>
      </c>
      <c r="AG1515" s="65">
        <f>tblWorkPackages[[#This Row],[Completion date serial]]-tblWorkPackages[[#This Row],[Request date serial]]</f>
        <v>14</v>
      </c>
      <c r="AH1515" s="65">
        <f>IFERROR(INDEX(tblParts[Delay days],MATCH(tblWorkPackages[[#This Row],[Work package ID]],tblParts[Work package ID],0)),0)</f>
        <v>0</v>
      </c>
      <c r="AI1515" s="51" t="str">
        <f>IFERROR(INDEX(tblDisruptions[Event type],MATCH(tblWorkPackages[[#This Row],[Work package ID]],tblDisruptions[Work package ID],0)),"None")</f>
        <v>Technician absence</v>
      </c>
      <c r="AJ1515" s="51" t="str">
        <f>TEXT(tblWorkPackages[[#This Row],[Due date serial]],"yyyy-mm")</f>
        <v>2025-09</v>
      </c>
    </row>
    <row r="1516" spans="1:36" ht="15" x14ac:dyDescent="0.25">
      <c r="A1516" s="53" t="s">
        <v>2424</v>
      </c>
      <c r="B1516" s="53" t="s">
        <v>230</v>
      </c>
      <c r="C1516" s="53" t="s">
        <v>681</v>
      </c>
      <c r="D1516" s="53" t="s">
        <v>962</v>
      </c>
      <c r="E1516" s="53" t="s">
        <v>160</v>
      </c>
      <c r="F1516" s="53" t="s">
        <v>128</v>
      </c>
      <c r="G1516" s="53" t="s">
        <v>138</v>
      </c>
      <c r="H1516" s="53">
        <v>1</v>
      </c>
      <c r="I1516" s="53" t="s">
        <v>130</v>
      </c>
      <c r="J1516" s="53">
        <v>0</v>
      </c>
      <c r="K1516" s="53">
        <v>0</v>
      </c>
      <c r="L1516" s="53">
        <v>3.2</v>
      </c>
      <c r="M1516" s="53" t="s">
        <v>1455</v>
      </c>
      <c r="N1516" s="53">
        <v>3.7</v>
      </c>
      <c r="O1516" s="51" t="str">
        <f>TEXT(tblWorkPackages[[#This Row],[Request date serial]]-WEEKDAY(tblWorkPackages[[#This Row],[Request date serial]],3),"yyyy-mm-dd")</f>
        <v>2025-01-20</v>
      </c>
      <c r="P1516" s="51">
        <f>ABS(tblWorkPackages[[#This Row],[Actual labor hours]]-tblWorkPackages[[#This Row],[Estimated labor hours]])</f>
        <v>0.5</v>
      </c>
      <c r="Q1516" s="51">
        <f>IF(tblWorkPackages[[#This Row],[Actual labor hours]]&gt;tblWorkPackages[[#This Row],[Estimated labor hours]],1,0)</f>
        <v>1</v>
      </c>
      <c r="R1516" s="51">
        <f>tblWorkPackages[[#This Row],[Actual labor hours]]-tblWorkPackages[[#This Row],[Estimated labor hours]]</f>
        <v>0.5</v>
      </c>
      <c r="S1516" s="51" t="str">
        <f>IF(tblWorkPackages[[#This Row],[Request date serial]]&lt;ValidationStart,"Train 2024",IF(tblWorkPackages[[#This Row],[Request date serial]]&lt;HoldoutStart,"Validation H1","Holdout H2"))</f>
        <v>Validation H1</v>
      </c>
      <c r="T1516" s="51">
        <f>IF(tblWorkPackages[[#This Row],[Time split]]="Train 2024","",tblWorkPackages[[#This Row],[Estimated labor hours]]+VLOOKUP(tblWorkPackages[[#This Row],[Task type]],'Forecast validation'!$A$14:$E$25,IF(tblWorkPackages[[#This Row],[Time split]]="Validation H1",4,5),FALSE()))</f>
        <v>3.64146341463415</v>
      </c>
      <c r="U1516" s="51">
        <f>IF(tblWorkPackages[[#This Row],[Calibrated forecast hours]]="","",ABS(tblWorkPackages[[#This Row],[Actual labor hours]]-tblWorkPackages[[#This Row],[Calibrated forecast hours]]))</f>
        <v>0.0585365853658537</v>
      </c>
      <c r="V1516" s="51">
        <f>IF(tblWorkPackages[[#This Row],[Time split]]="Train 2024",tblWorkPackages[[#This Row],[Estimated labor hours]],tblWorkPackages[[#This Row],[Calibrated forecast hours]])</f>
        <v>3.64146341463415</v>
      </c>
      <c r="W1516" s="64">
        <f>DATEVALUE(tblWorkPackages[[#This Row],[Request date]])</f>
        <v>45681.0</v>
      </c>
      <c r="X1516" s="64">
        <f>DATEVALUE(tblWorkPackages[[#This Row],[Due date]])</f>
        <v>45694.0</v>
      </c>
      <c r="Y1516" s="64">
        <f>DATEVALUE(tblWorkPackages[[#This Row],[Completion date]])</f>
        <v>45687.0</v>
      </c>
      <c r="Z1516" s="64">
        <f>_xlfn.MINIFS(tblLaborEntries[Work date serial],tblLaborEntries[Work package ID],tblWorkPackages[[#This Row],[Work package ID]])</f>
        <v>45684.0</v>
      </c>
      <c r="AA1516" s="64">
        <f>_xlfn.MAXIFS(tblLaborEntries[Work date serial],tblLaborEntries[Work package ID],tblWorkPackages[[#This Row],[Work package ID]])</f>
        <v>45685.0</v>
      </c>
      <c r="AB1516" s="65">
        <f>IF(tblWorkPackages[[#This Row],[Completion date serial]]&gt;tblWorkPackages[[#This Row],[Due date serial]],1,0)</f>
        <v>0</v>
      </c>
      <c r="AC1516" s="65">
        <f>MAX(0,tblWorkPackages[[#This Row],[Completion date serial]]-tblWorkPackages[[#This Row],[Due date serial]])</f>
        <v>0</v>
      </c>
      <c r="AD1516" s="65">
        <f>tblWorkPackages[[#This Row],[First labor date]]-tblWorkPackages[[#This Row],[Request date serial]]</f>
        <v>3</v>
      </c>
      <c r="AE1516" s="65">
        <f>tblWorkPackages[[#This Row],[Last labor date]]-tblWorkPackages[[#This Row],[First labor date]]</f>
        <v>1</v>
      </c>
      <c r="AF1516" s="65">
        <f>tblWorkPackages[[#This Row],[Completion date serial]]-tblWorkPackages[[#This Row],[Last labor date]]</f>
        <v>2</v>
      </c>
      <c r="AG1516" s="65">
        <f>tblWorkPackages[[#This Row],[Completion date serial]]-tblWorkPackages[[#This Row],[Request date serial]]</f>
        <v>6</v>
      </c>
      <c r="AH1516" s="65">
        <f>IFERROR(INDEX(tblParts[Delay days],MATCH(tblWorkPackages[[#This Row],[Work package ID]],tblParts[Work package ID],0)),0)</f>
        <v>0</v>
      </c>
      <c r="AI1516" s="51" t="str">
        <f>IFERROR(INDEX(tblDisruptions[Event type],MATCH(tblWorkPackages[[#This Row],[Work package ID]],tblDisruptions[Work package ID],0)),"None")</f>
        <v>None</v>
      </c>
      <c r="AJ1516" s="51" t="str">
        <f>TEXT(tblWorkPackages[[#This Row],[Due date serial]],"yyyy-mm")</f>
        <v>2025-02</v>
      </c>
    </row>
    <row r="1517" spans="1:36" ht="15" x14ac:dyDescent="0.25">
      <c r="A1517" s="53" t="s">
        <v>2425</v>
      </c>
      <c r="B1517" s="53" t="s">
        <v>235</v>
      </c>
      <c r="C1517" s="53" t="s">
        <v>280</v>
      </c>
      <c r="D1517" s="53" t="s">
        <v>935</v>
      </c>
      <c r="E1517" s="53" t="s">
        <v>272</v>
      </c>
      <c r="F1517" s="53" t="s">
        <v>145</v>
      </c>
      <c r="G1517" s="53" t="s">
        <v>273</v>
      </c>
      <c r="H1517" s="53">
        <v>2</v>
      </c>
      <c r="I1517" s="53" t="s">
        <v>130</v>
      </c>
      <c r="J1517" s="53">
        <v>0</v>
      </c>
      <c r="K1517" s="53">
        <v>0</v>
      </c>
      <c r="L1517" s="53">
        <v>11.3</v>
      </c>
      <c r="M1517" s="53" t="s">
        <v>717</v>
      </c>
      <c r="N1517" s="53">
        <v>10.1</v>
      </c>
      <c r="O1517" s="51" t="str">
        <f>TEXT(tblWorkPackages[[#This Row],[Request date serial]]-WEEKDAY(tblWorkPackages[[#This Row],[Request date serial]],3),"yyyy-mm-dd")</f>
        <v>2025-01-27</v>
      </c>
      <c r="P1517" s="51">
        <f>ABS(tblWorkPackages[[#This Row],[Actual labor hours]]-tblWorkPackages[[#This Row],[Estimated labor hours]])</f>
        <v>1.2</v>
      </c>
      <c r="Q1517" s="51">
        <f>IF(tblWorkPackages[[#This Row],[Actual labor hours]]&gt;tblWorkPackages[[#This Row],[Estimated labor hours]],1,0)</f>
        <v>0</v>
      </c>
      <c r="R1517" s="51">
        <f>tblWorkPackages[[#This Row],[Actual labor hours]]-tblWorkPackages[[#This Row],[Estimated labor hours]]</f>
        <v>-1.2</v>
      </c>
      <c r="S1517" s="51" t="str">
        <f>IF(tblWorkPackages[[#This Row],[Request date serial]]&lt;ValidationStart,"Train 2024",IF(tblWorkPackages[[#This Row],[Request date serial]]&lt;HoldoutStart,"Validation H1","Holdout H2"))</f>
        <v>Validation H1</v>
      </c>
      <c r="T1517" s="51">
        <f>IF(tblWorkPackages[[#This Row],[Time split]]="Train 2024","",tblWorkPackages[[#This Row],[Estimated labor hours]]+VLOOKUP(tblWorkPackages[[#This Row],[Task type]],'Forecast validation'!$A$14:$E$25,IF(tblWorkPackages[[#This Row],[Time split]]="Validation H1",4,5),FALSE()))</f>
        <v>12.3320512820513</v>
      </c>
      <c r="U1517" s="51">
        <f>IF(tblWorkPackages[[#This Row],[Calibrated forecast hours]]="","",ABS(tblWorkPackages[[#This Row],[Actual labor hours]]-tblWorkPackages[[#This Row],[Calibrated forecast hours]]))</f>
        <v>2.23205128205128</v>
      </c>
      <c r="V1517" s="51">
        <f>IF(tblWorkPackages[[#This Row],[Time split]]="Train 2024",tblWorkPackages[[#This Row],[Estimated labor hours]],tblWorkPackages[[#This Row],[Calibrated forecast hours]])</f>
        <v>12.3320512820513</v>
      </c>
      <c r="W1517" s="64">
        <f>DATEVALUE(tblWorkPackages[[#This Row],[Request date]])</f>
        <v>45685.0</v>
      </c>
      <c r="X1517" s="64">
        <f>DATEVALUE(tblWorkPackages[[#This Row],[Due date]])</f>
        <v>45698.0</v>
      </c>
      <c r="Y1517" s="64">
        <f>DATEVALUE(tblWorkPackages[[#This Row],[Completion date]])</f>
        <v>45723.0</v>
      </c>
      <c r="Z1517" s="64">
        <f>_xlfn.MINIFS(tblLaborEntries[Work date serial],tblLaborEntries[Work package ID],tblWorkPackages[[#This Row],[Work package ID]])</f>
        <v>45720.0</v>
      </c>
      <c r="AA1517" s="64">
        <f>_xlfn.MAXIFS(tblLaborEntries[Work date serial],tblLaborEntries[Work package ID],tblWorkPackages[[#This Row],[Work package ID]])</f>
        <v>45720.0</v>
      </c>
      <c r="AB1517" s="65">
        <f>IF(tblWorkPackages[[#This Row],[Completion date serial]]&gt;tblWorkPackages[[#This Row],[Due date serial]],1,0)</f>
        <v>1</v>
      </c>
      <c r="AC1517" s="65">
        <f>MAX(0,tblWorkPackages[[#This Row],[Completion date serial]]-tblWorkPackages[[#This Row],[Due date serial]])</f>
        <v>25</v>
      </c>
      <c r="AD1517" s="65">
        <f>tblWorkPackages[[#This Row],[First labor date]]-tblWorkPackages[[#This Row],[Request date serial]]</f>
        <v>35</v>
      </c>
      <c r="AE1517" s="65">
        <f>tblWorkPackages[[#This Row],[Last labor date]]-tblWorkPackages[[#This Row],[First labor date]]</f>
        <v>0</v>
      </c>
      <c r="AF1517" s="65">
        <f>tblWorkPackages[[#This Row],[Completion date serial]]-tblWorkPackages[[#This Row],[Last labor date]]</f>
        <v>3</v>
      </c>
      <c r="AG1517" s="65">
        <f>tblWorkPackages[[#This Row],[Completion date serial]]-tblWorkPackages[[#This Row],[Request date serial]]</f>
        <v>38</v>
      </c>
      <c r="AH1517" s="65">
        <f>IFERROR(INDEX(tblParts[Delay days],MATCH(tblWorkPackages[[#This Row],[Work package ID]],tblParts[Work package ID],0)),0)</f>
        <v>0</v>
      </c>
      <c r="AI1517" s="51" t="str">
        <f>IFERROR(INDEX(tblDisruptions[Event type],MATCH(tblWorkPackages[[#This Row],[Work package ID]],tblDisruptions[Work package ID],0)),"None")</f>
        <v>None</v>
      </c>
      <c r="AJ1517" s="51" t="str">
        <f>TEXT(tblWorkPackages[[#This Row],[Due date serial]],"yyyy-mm")</f>
        <v>2025-02</v>
      </c>
    </row>
    <row r="1518" spans="1:36" ht="15" x14ac:dyDescent="0.25">
      <c r="A1518" s="53" t="s">
        <v>2426</v>
      </c>
      <c r="B1518" s="53" t="s">
        <v>163</v>
      </c>
      <c r="C1518" s="53" t="s">
        <v>942</v>
      </c>
      <c r="D1518" s="53" t="s">
        <v>1016</v>
      </c>
      <c r="E1518" s="53" t="s">
        <v>242</v>
      </c>
      <c r="F1518" s="53" t="s">
        <v>243</v>
      </c>
      <c r="G1518" s="53" t="s">
        <v>129</v>
      </c>
      <c r="H1518" s="53">
        <v>4</v>
      </c>
      <c r="I1518" s="53" t="s">
        <v>176</v>
      </c>
      <c r="J1518" s="53">
        <v>0</v>
      </c>
      <c r="K1518" s="53">
        <v>0</v>
      </c>
      <c r="L1518" s="53">
        <v>13.3</v>
      </c>
      <c r="M1518" s="53" t="s">
        <v>1195</v>
      </c>
      <c r="N1518" s="53">
        <v>16.2</v>
      </c>
      <c r="O1518" s="51" t="str">
        <f>TEXT(tblWorkPackages[[#This Row],[Request date serial]]-WEEKDAY(tblWorkPackages[[#This Row],[Request date serial]],3),"yyyy-mm-dd")</f>
        <v>2025-10-13</v>
      </c>
      <c r="P1518" s="51">
        <f>ABS(tblWorkPackages[[#This Row],[Actual labor hours]]-tblWorkPackages[[#This Row],[Estimated labor hours]])</f>
        <v>2.9</v>
      </c>
      <c r="Q1518" s="51">
        <f>IF(tblWorkPackages[[#This Row],[Actual labor hours]]&gt;tblWorkPackages[[#This Row],[Estimated labor hours]],1,0)</f>
        <v>1</v>
      </c>
      <c r="R1518" s="51">
        <f>tblWorkPackages[[#This Row],[Actual labor hours]]-tblWorkPackages[[#This Row],[Estimated labor hours]]</f>
        <v>2.9</v>
      </c>
      <c r="S1518" s="51" t="str">
        <f>IF(tblWorkPackages[[#This Row],[Request date serial]]&lt;ValidationStart,"Train 2024",IF(tblWorkPackages[[#This Row],[Request date serial]]&lt;HoldoutStart,"Validation H1","Holdout H2"))</f>
        <v>Holdout H2</v>
      </c>
      <c r="T1518" s="51">
        <f>IF(tblWorkPackages[[#This Row],[Time split]]="Train 2024","",tblWorkPackages[[#This Row],[Estimated labor hours]]+VLOOKUP(tblWorkPackages[[#This Row],[Task type]],'Forecast validation'!$A$14:$E$25,IF(tblWorkPackages[[#This Row],[Time split]]="Validation H1",4,5),FALSE()))</f>
        <v>14.1254545454545</v>
      </c>
      <c r="U1518" s="51">
        <f>IF(tblWorkPackages[[#This Row],[Calibrated forecast hours]]="","",ABS(tblWorkPackages[[#This Row],[Actual labor hours]]-tblWorkPackages[[#This Row],[Calibrated forecast hours]]))</f>
        <v>2.07454545454545</v>
      </c>
      <c r="V1518" s="51">
        <f>IF(tblWorkPackages[[#This Row],[Time split]]="Train 2024",tblWorkPackages[[#This Row],[Estimated labor hours]],tblWorkPackages[[#This Row],[Calibrated forecast hours]])</f>
        <v>14.1254545454545</v>
      </c>
      <c r="W1518" s="64">
        <f>DATEVALUE(tblWorkPackages[[#This Row],[Request date]])</f>
        <v>45946.0</v>
      </c>
      <c r="X1518" s="64">
        <f>DATEVALUE(tblWorkPackages[[#This Row],[Due date]])</f>
        <v>45952.0</v>
      </c>
      <c r="Y1518" s="64">
        <f>DATEVALUE(tblWorkPackages[[#This Row],[Completion date]])</f>
        <v>45953.0</v>
      </c>
      <c r="Z1518" s="64">
        <f>_xlfn.MINIFS(tblLaborEntries[Work date serial],tblLaborEntries[Work package ID],tblWorkPackages[[#This Row],[Work package ID]])</f>
        <v>45953.0</v>
      </c>
      <c r="AA1518" s="64">
        <f>_xlfn.MAXIFS(tblLaborEntries[Work date serial],tblLaborEntries[Work package ID],tblWorkPackages[[#This Row],[Work package ID]])</f>
        <v>45953.0</v>
      </c>
      <c r="AB1518" s="65">
        <f>IF(tblWorkPackages[[#This Row],[Completion date serial]]&gt;tblWorkPackages[[#This Row],[Due date serial]],1,0)</f>
        <v>1</v>
      </c>
      <c r="AC1518" s="65">
        <f>MAX(0,tblWorkPackages[[#This Row],[Completion date serial]]-tblWorkPackages[[#This Row],[Due date serial]])</f>
        <v>1</v>
      </c>
      <c r="AD1518" s="65">
        <f>tblWorkPackages[[#This Row],[First labor date]]-tblWorkPackages[[#This Row],[Request date serial]]</f>
        <v>7</v>
      </c>
      <c r="AE1518" s="65">
        <f>tblWorkPackages[[#This Row],[Last labor date]]-tblWorkPackages[[#This Row],[First labor date]]</f>
        <v>0</v>
      </c>
      <c r="AF1518" s="65">
        <f>tblWorkPackages[[#This Row],[Completion date serial]]-tblWorkPackages[[#This Row],[Last labor date]]</f>
        <v>0</v>
      </c>
      <c r="AG1518" s="65">
        <f>tblWorkPackages[[#This Row],[Completion date serial]]-tblWorkPackages[[#This Row],[Request date serial]]</f>
        <v>7</v>
      </c>
      <c r="AH1518" s="65">
        <f>IFERROR(INDEX(tblParts[Delay days],MATCH(tblWorkPackages[[#This Row],[Work package ID]],tblParts[Work package ID],0)),0)</f>
        <v>0</v>
      </c>
      <c r="AI1518" s="51" t="str">
        <f>IFERROR(INDEX(tblDisruptions[Event type],MATCH(tblWorkPackages[[#This Row],[Work package ID]],tblDisruptions[Work package ID],0)),"None")</f>
        <v>None</v>
      </c>
      <c r="AJ1518" s="51" t="str">
        <f>TEXT(tblWorkPackages[[#This Row],[Due date serial]],"yyyy-mm")</f>
        <v>2025-10</v>
      </c>
    </row>
    <row r="1519" spans="1:36" ht="15" x14ac:dyDescent="0.25">
      <c r="A1519" s="53" t="s">
        <v>2427</v>
      </c>
      <c r="B1519" s="53" t="s">
        <v>230</v>
      </c>
      <c r="C1519" s="53" t="s">
        <v>696</v>
      </c>
      <c r="D1519" s="53" t="s">
        <v>1167</v>
      </c>
      <c r="E1519" s="53" t="s">
        <v>127</v>
      </c>
      <c r="F1519" s="53" t="s">
        <v>128</v>
      </c>
      <c r="G1519" s="53" t="s">
        <v>129</v>
      </c>
      <c r="H1519" s="53">
        <v>2</v>
      </c>
      <c r="I1519" s="53" t="s">
        <v>147</v>
      </c>
      <c r="J1519" s="53">
        <v>0</v>
      </c>
      <c r="K1519" s="53">
        <v>0</v>
      </c>
      <c r="L1519" s="53">
        <v>8</v>
      </c>
      <c r="M1519" s="53" t="s">
        <v>1084</v>
      </c>
      <c r="N1519" s="53">
        <v>6.4</v>
      </c>
      <c r="O1519" s="51" t="str">
        <f>TEXT(tblWorkPackages[[#This Row],[Request date serial]]-WEEKDAY(tblWorkPackages[[#This Row],[Request date serial]],3),"yyyy-mm-dd")</f>
        <v>2025-01-27</v>
      </c>
      <c r="P1519" s="51">
        <f>ABS(tblWorkPackages[[#This Row],[Actual labor hours]]-tblWorkPackages[[#This Row],[Estimated labor hours]])</f>
        <v>1.6</v>
      </c>
      <c r="Q1519" s="51">
        <f>IF(tblWorkPackages[[#This Row],[Actual labor hours]]&gt;tblWorkPackages[[#This Row],[Estimated labor hours]],1,0)</f>
        <v>0</v>
      </c>
      <c r="R1519" s="51">
        <f>tblWorkPackages[[#This Row],[Actual labor hours]]-tblWorkPackages[[#This Row],[Estimated labor hours]]</f>
        <v>-1.6</v>
      </c>
      <c r="S1519" s="51" t="str">
        <f>IF(tblWorkPackages[[#This Row],[Request date serial]]&lt;ValidationStart,"Train 2024",IF(tblWorkPackages[[#This Row],[Request date serial]]&lt;HoldoutStart,"Validation H1","Holdout H2"))</f>
        <v>Validation H1</v>
      </c>
      <c r="T1519" s="51">
        <f>IF(tblWorkPackages[[#This Row],[Time split]]="Train 2024","",tblWorkPackages[[#This Row],[Estimated labor hours]]+VLOOKUP(tblWorkPackages[[#This Row],[Task type]],'Forecast validation'!$A$14:$E$25,IF(tblWorkPackages[[#This Row],[Time split]]="Validation H1",4,5),FALSE()))</f>
        <v>8.47564102564103</v>
      </c>
      <c r="U1519" s="51">
        <f>IF(tblWorkPackages[[#This Row],[Calibrated forecast hours]]="","",ABS(tblWorkPackages[[#This Row],[Actual labor hours]]-tblWorkPackages[[#This Row],[Calibrated forecast hours]]))</f>
        <v>2.07564102564102</v>
      </c>
      <c r="V1519" s="51">
        <f>IF(tblWorkPackages[[#This Row],[Time split]]="Train 2024",tblWorkPackages[[#This Row],[Estimated labor hours]],tblWorkPackages[[#This Row],[Calibrated forecast hours]])</f>
        <v>8.47564102564103</v>
      </c>
      <c r="W1519" s="64">
        <f>DATEVALUE(tblWorkPackages[[#This Row],[Request date]])</f>
        <v>45690.0</v>
      </c>
      <c r="X1519" s="64">
        <f>DATEVALUE(tblWorkPackages[[#This Row],[Due date]])</f>
        <v>45692.0</v>
      </c>
      <c r="Y1519" s="64">
        <f>DATEVALUE(tblWorkPackages[[#This Row],[Completion date]])</f>
        <v>45695.0</v>
      </c>
      <c r="Z1519" s="64">
        <f>_xlfn.MINIFS(tblLaborEntries[Work date serial],tblLaborEntries[Work package ID],tblWorkPackages[[#This Row],[Work package ID]])</f>
        <v>45692.0</v>
      </c>
      <c r="AA1519" s="64">
        <f>_xlfn.MAXIFS(tblLaborEntries[Work date serial],tblLaborEntries[Work package ID],tblWorkPackages[[#This Row],[Work package ID]])</f>
        <v>45694.0</v>
      </c>
      <c r="AB1519" s="65">
        <f>IF(tblWorkPackages[[#This Row],[Completion date serial]]&gt;tblWorkPackages[[#This Row],[Due date serial]],1,0)</f>
        <v>1</v>
      </c>
      <c r="AC1519" s="65">
        <f>MAX(0,tblWorkPackages[[#This Row],[Completion date serial]]-tblWorkPackages[[#This Row],[Due date serial]])</f>
        <v>3</v>
      </c>
      <c r="AD1519" s="65">
        <f>tblWorkPackages[[#This Row],[First labor date]]-tblWorkPackages[[#This Row],[Request date serial]]</f>
        <v>2</v>
      </c>
      <c r="AE1519" s="65">
        <f>tblWorkPackages[[#This Row],[Last labor date]]-tblWorkPackages[[#This Row],[First labor date]]</f>
        <v>2</v>
      </c>
      <c r="AF1519" s="65">
        <f>tblWorkPackages[[#This Row],[Completion date serial]]-tblWorkPackages[[#This Row],[Last labor date]]</f>
        <v>1</v>
      </c>
      <c r="AG1519" s="65">
        <f>tblWorkPackages[[#This Row],[Completion date serial]]-tblWorkPackages[[#This Row],[Request date serial]]</f>
        <v>5</v>
      </c>
      <c r="AH1519" s="65">
        <f>IFERROR(INDEX(tblParts[Delay days],MATCH(tblWorkPackages[[#This Row],[Work package ID]],tblParts[Work package ID],0)),0)</f>
        <v>0</v>
      </c>
      <c r="AI1519" s="51" t="str">
        <f>IFERROR(INDEX(tblDisruptions[Event type],MATCH(tblWorkPackages[[#This Row],[Work package ID]],tblDisruptions[Work package ID],0)),"None")</f>
        <v>None</v>
      </c>
      <c r="AJ1519" s="51" t="str">
        <f>TEXT(tblWorkPackages[[#This Row],[Due date serial]],"yyyy-mm")</f>
        <v>2025-02</v>
      </c>
    </row>
    <row r="1520" spans="1:36" ht="15" x14ac:dyDescent="0.25">
      <c r="A1520" s="53" t="s">
        <v>2428</v>
      </c>
      <c r="B1520" s="53" t="s">
        <v>133</v>
      </c>
      <c r="C1520" s="53" t="s">
        <v>515</v>
      </c>
      <c r="D1520" s="53" t="s">
        <v>256</v>
      </c>
      <c r="E1520" s="53" t="s">
        <v>160</v>
      </c>
      <c r="F1520" s="53" t="s">
        <v>128</v>
      </c>
      <c r="G1520" s="53" t="s">
        <v>138</v>
      </c>
      <c r="H1520" s="53">
        <v>4</v>
      </c>
      <c r="I1520" s="53" t="s">
        <v>130</v>
      </c>
      <c r="J1520" s="53">
        <v>1</v>
      </c>
      <c r="K1520" s="53">
        <v>1</v>
      </c>
      <c r="L1520" s="53">
        <v>7.2</v>
      </c>
      <c r="M1520" s="53" t="s">
        <v>257</v>
      </c>
      <c r="N1520" s="53">
        <v>8.4</v>
      </c>
      <c r="O1520" s="51" t="str">
        <f>TEXT(tblWorkPackages[[#This Row],[Request date serial]]-WEEKDAY(tblWorkPackages[[#This Row],[Request date serial]],3),"yyyy-mm-dd")</f>
        <v>2024-11-25</v>
      </c>
      <c r="P1520" s="51">
        <f>ABS(tblWorkPackages[[#This Row],[Actual labor hours]]-tblWorkPackages[[#This Row],[Estimated labor hours]])</f>
        <v>1.2</v>
      </c>
      <c r="Q1520" s="51">
        <f>IF(tblWorkPackages[[#This Row],[Actual labor hours]]&gt;tblWorkPackages[[#This Row],[Estimated labor hours]],1,0)</f>
        <v>1</v>
      </c>
      <c r="R1520" s="51">
        <f>tblWorkPackages[[#This Row],[Actual labor hours]]-tblWorkPackages[[#This Row],[Estimated labor hours]]</f>
        <v>1.2</v>
      </c>
      <c r="S1520" s="51" t="str">
        <f>IF(tblWorkPackages[[#This Row],[Request date serial]]&lt;ValidationStart,"Train 2024",IF(tblWorkPackages[[#This Row],[Request date serial]]&lt;HoldoutStart,"Validation H1","Holdout H2"))</f>
        <v>Train 2024</v>
      </c>
      <c r="T1520" s="51" t="str">
        <f>IF(tblWorkPackages[[#This Row],[Time split]]="Train 2024","",tblWorkPackages[[#This Row],[Estimated labor hours]]+VLOOKUP(tblWorkPackages[[#This Row],[Task type]],'Forecast validation'!$A$14:$E$25,IF(tblWorkPackages[[#This Row],[Time split]]="Validation H1",4,5),FALSE()))</f>
        <v/>
      </c>
      <c r="U1520" s="51" t="str">
        <f>IF(tblWorkPackages[[#This Row],[Calibrated forecast hours]]="","",ABS(tblWorkPackages[[#This Row],[Actual labor hours]]-tblWorkPackages[[#This Row],[Calibrated forecast hours]]))</f>
        <v/>
      </c>
      <c r="V1520" s="51">
        <f>IF(tblWorkPackages[[#This Row],[Time split]]="Train 2024",tblWorkPackages[[#This Row],[Estimated labor hours]],tblWorkPackages[[#This Row],[Calibrated forecast hours]])</f>
        <v>7.2</v>
      </c>
      <c r="W1520" s="64">
        <f>DATEVALUE(tblWorkPackages[[#This Row],[Request date]])</f>
        <v>45621.0</v>
      </c>
      <c r="X1520" s="64">
        <f>DATEVALUE(tblWorkPackages[[#This Row],[Due date]])</f>
        <v>45634.0</v>
      </c>
      <c r="Y1520" s="64">
        <f>DATEVALUE(tblWorkPackages[[#This Row],[Completion date]])</f>
        <v>45638.0</v>
      </c>
      <c r="Z1520" s="64">
        <f>_xlfn.MINIFS(tblLaborEntries[Work date serial],tblLaborEntries[Work package ID],tblWorkPackages[[#This Row],[Work package ID]])</f>
        <v>45636.0</v>
      </c>
      <c r="AA1520" s="64">
        <f>_xlfn.MAXIFS(tblLaborEntries[Work date serial],tblLaborEntries[Work package ID],tblWorkPackages[[#This Row],[Work package ID]])</f>
        <v>45636.0</v>
      </c>
      <c r="AB1520" s="65">
        <f>IF(tblWorkPackages[[#This Row],[Completion date serial]]&gt;tblWorkPackages[[#This Row],[Due date serial]],1,0)</f>
        <v>1</v>
      </c>
      <c r="AC1520" s="65">
        <f>MAX(0,tblWorkPackages[[#This Row],[Completion date serial]]-tblWorkPackages[[#This Row],[Due date serial]])</f>
        <v>4</v>
      </c>
      <c r="AD1520" s="65">
        <f>tblWorkPackages[[#This Row],[First labor date]]-tblWorkPackages[[#This Row],[Request date serial]]</f>
        <v>15</v>
      </c>
      <c r="AE1520" s="65">
        <f>tblWorkPackages[[#This Row],[Last labor date]]-tblWorkPackages[[#This Row],[First labor date]]</f>
        <v>0</v>
      </c>
      <c r="AF1520" s="65">
        <f>tblWorkPackages[[#This Row],[Completion date serial]]-tblWorkPackages[[#This Row],[Last labor date]]</f>
        <v>2</v>
      </c>
      <c r="AG1520" s="65">
        <f>tblWorkPackages[[#This Row],[Completion date serial]]-tblWorkPackages[[#This Row],[Request date serial]]</f>
        <v>17</v>
      </c>
      <c r="AH1520" s="65">
        <f>IFERROR(INDEX(tblParts[Delay days],MATCH(tblWorkPackages[[#This Row],[Work package ID]],tblParts[Work package ID],0)),0)</f>
        <v>0</v>
      </c>
      <c r="AI1520" s="51" t="str">
        <f>IFERROR(INDEX(tblDisruptions[Event type],MATCH(tblWorkPackages[[#This Row],[Work package ID]],tblDisruptions[Work package ID],0)),"None")</f>
        <v>None</v>
      </c>
      <c r="AJ1520" s="51" t="str">
        <f>TEXT(tblWorkPackages[[#This Row],[Due date serial]],"yyyy-mm")</f>
        <v>2024-12</v>
      </c>
    </row>
    <row r="1521" spans="1:36" ht="15" x14ac:dyDescent="0.25">
      <c r="A1521" s="53" t="s">
        <v>2429</v>
      </c>
      <c r="B1521" s="53" t="s">
        <v>157</v>
      </c>
      <c r="C1521" s="53" t="s">
        <v>470</v>
      </c>
      <c r="D1521" s="53" t="s">
        <v>677</v>
      </c>
      <c r="E1521" s="53" t="s">
        <v>127</v>
      </c>
      <c r="F1521" s="53" t="s">
        <v>128</v>
      </c>
      <c r="G1521" s="53" t="s">
        <v>129</v>
      </c>
      <c r="H1521" s="53">
        <v>4</v>
      </c>
      <c r="I1521" s="53" t="s">
        <v>176</v>
      </c>
      <c r="J1521" s="53">
        <v>0</v>
      </c>
      <c r="K1521" s="53">
        <v>0</v>
      </c>
      <c r="L1521" s="53">
        <v>13.6</v>
      </c>
      <c r="M1521" s="53" t="s">
        <v>1202</v>
      </c>
      <c r="N1521" s="53">
        <v>11.6</v>
      </c>
      <c r="O1521" s="51" t="str">
        <f>TEXT(tblWorkPackages[[#This Row],[Request date serial]]-WEEKDAY(tblWorkPackages[[#This Row],[Request date serial]],3),"yyyy-mm-dd")</f>
        <v>2024-04-15</v>
      </c>
      <c r="P1521" s="51">
        <f>ABS(tblWorkPackages[[#This Row],[Actual labor hours]]-tblWorkPackages[[#This Row],[Estimated labor hours]])</f>
        <v>2</v>
      </c>
      <c r="Q1521" s="51">
        <f>IF(tblWorkPackages[[#This Row],[Actual labor hours]]&gt;tblWorkPackages[[#This Row],[Estimated labor hours]],1,0)</f>
        <v>0</v>
      </c>
      <c r="R1521" s="51">
        <f>tblWorkPackages[[#This Row],[Actual labor hours]]-tblWorkPackages[[#This Row],[Estimated labor hours]]</f>
        <v>-2</v>
      </c>
      <c r="S1521" s="51" t="str">
        <f>IF(tblWorkPackages[[#This Row],[Request date serial]]&lt;ValidationStart,"Train 2024",IF(tblWorkPackages[[#This Row],[Request date serial]]&lt;HoldoutStart,"Validation H1","Holdout H2"))</f>
        <v>Train 2024</v>
      </c>
      <c r="T1521" s="51" t="str">
        <f>IF(tblWorkPackages[[#This Row],[Time split]]="Train 2024","",tblWorkPackages[[#This Row],[Estimated labor hours]]+VLOOKUP(tblWorkPackages[[#This Row],[Task type]],'Forecast validation'!$A$14:$E$25,IF(tblWorkPackages[[#This Row],[Time split]]="Validation H1",4,5),FALSE()))</f>
        <v/>
      </c>
      <c r="U1521" s="51" t="str">
        <f>IF(tblWorkPackages[[#This Row],[Calibrated forecast hours]]="","",ABS(tblWorkPackages[[#This Row],[Actual labor hours]]-tblWorkPackages[[#This Row],[Calibrated forecast hours]]))</f>
        <v/>
      </c>
      <c r="V1521" s="51">
        <f>IF(tblWorkPackages[[#This Row],[Time split]]="Train 2024",tblWorkPackages[[#This Row],[Estimated labor hours]],tblWorkPackages[[#This Row],[Calibrated forecast hours]])</f>
        <v>13.6</v>
      </c>
      <c r="W1521" s="64">
        <f>DATEVALUE(tblWorkPackages[[#This Row],[Request date]])</f>
        <v>45400.0</v>
      </c>
      <c r="X1521" s="64">
        <f>DATEVALUE(tblWorkPackages[[#This Row],[Due date]])</f>
        <v>45406.0</v>
      </c>
      <c r="Y1521" s="64">
        <f>DATEVALUE(tblWorkPackages[[#This Row],[Completion date]])</f>
        <v>45407.0</v>
      </c>
      <c r="Z1521" s="64">
        <f>_xlfn.MINIFS(tblLaborEntries[Work date serial],tblLaborEntries[Work package ID],tblWorkPackages[[#This Row],[Work package ID]])</f>
        <v>45404.0</v>
      </c>
      <c r="AA1521" s="64">
        <f>_xlfn.MAXIFS(tblLaborEntries[Work date serial],tblLaborEntries[Work package ID],tblWorkPackages[[#This Row],[Work package ID]])</f>
        <v>45404.0</v>
      </c>
      <c r="AB1521" s="65">
        <f>IF(tblWorkPackages[[#This Row],[Completion date serial]]&gt;tblWorkPackages[[#This Row],[Due date serial]],1,0)</f>
        <v>1</v>
      </c>
      <c r="AC1521" s="65">
        <f>MAX(0,tblWorkPackages[[#This Row],[Completion date serial]]-tblWorkPackages[[#This Row],[Due date serial]])</f>
        <v>1</v>
      </c>
      <c r="AD1521" s="65">
        <f>tblWorkPackages[[#This Row],[First labor date]]-tblWorkPackages[[#This Row],[Request date serial]]</f>
        <v>4</v>
      </c>
      <c r="AE1521" s="65">
        <f>tblWorkPackages[[#This Row],[Last labor date]]-tblWorkPackages[[#This Row],[First labor date]]</f>
        <v>0</v>
      </c>
      <c r="AF1521" s="65">
        <f>tblWorkPackages[[#This Row],[Completion date serial]]-tblWorkPackages[[#This Row],[Last labor date]]</f>
        <v>3</v>
      </c>
      <c r="AG1521" s="65">
        <f>tblWorkPackages[[#This Row],[Completion date serial]]-tblWorkPackages[[#This Row],[Request date serial]]</f>
        <v>7</v>
      </c>
      <c r="AH1521" s="65">
        <f>IFERROR(INDEX(tblParts[Delay days],MATCH(tblWorkPackages[[#This Row],[Work package ID]],tblParts[Work package ID],0)),0)</f>
        <v>0</v>
      </c>
      <c r="AI1521" s="51" t="str">
        <f>IFERROR(INDEX(tblDisruptions[Event type],MATCH(tblWorkPackages[[#This Row],[Work package ID]],tblDisruptions[Work package ID],0)),"None")</f>
        <v>None</v>
      </c>
      <c r="AJ1521" s="51" t="str">
        <f>TEXT(tblWorkPackages[[#This Row],[Due date serial]],"yyyy-mm")</f>
        <v>2024-04</v>
      </c>
    </row>
    <row r="1522" spans="1:36" ht="15" x14ac:dyDescent="0.25">
      <c r="A1522" s="53" t="s">
        <v>2430</v>
      </c>
      <c r="B1522" s="53" t="s">
        <v>150</v>
      </c>
      <c r="C1522" s="53" t="s">
        <v>1035</v>
      </c>
      <c r="D1522" s="53" t="s">
        <v>1118</v>
      </c>
      <c r="E1522" s="53" t="s">
        <v>237</v>
      </c>
      <c r="F1522" s="53" t="s">
        <v>182</v>
      </c>
      <c r="G1522" s="53" t="s">
        <v>138</v>
      </c>
      <c r="H1522" s="53">
        <v>2</v>
      </c>
      <c r="I1522" s="53" t="s">
        <v>130</v>
      </c>
      <c r="J1522" s="53">
        <v>0</v>
      </c>
      <c r="K1522" s="53">
        <v>0</v>
      </c>
      <c r="L1522" s="53">
        <v>5.8</v>
      </c>
      <c r="M1522" s="53" t="s">
        <v>1285</v>
      </c>
      <c r="N1522" s="53">
        <v>6.8</v>
      </c>
      <c r="O1522" s="51" t="str">
        <f>TEXT(tblWorkPackages[[#This Row],[Request date serial]]-WEEKDAY(tblWorkPackages[[#This Row],[Request date serial]],3),"yyyy-mm-dd")</f>
        <v>2025-06-02</v>
      </c>
      <c r="P1522" s="51">
        <f>ABS(tblWorkPackages[[#This Row],[Actual labor hours]]-tblWorkPackages[[#This Row],[Estimated labor hours]])</f>
        <v>1</v>
      </c>
      <c r="Q1522" s="51">
        <f>IF(tblWorkPackages[[#This Row],[Actual labor hours]]&gt;tblWorkPackages[[#This Row],[Estimated labor hours]],1,0)</f>
        <v>1</v>
      </c>
      <c r="R1522" s="51">
        <f>tblWorkPackages[[#This Row],[Actual labor hours]]-tblWorkPackages[[#This Row],[Estimated labor hours]]</f>
        <v>1</v>
      </c>
      <c r="S1522" s="51" t="str">
        <f>IF(tblWorkPackages[[#This Row],[Request date serial]]&lt;ValidationStart,"Train 2024",IF(tblWorkPackages[[#This Row],[Request date serial]]&lt;HoldoutStart,"Validation H1","Holdout H2"))</f>
        <v>Validation H1</v>
      </c>
      <c r="T1522" s="51">
        <f>IF(tblWorkPackages[[#This Row],[Time split]]="Train 2024","",tblWorkPackages[[#This Row],[Estimated labor hours]]+VLOOKUP(tblWorkPackages[[#This Row],[Task type]],'Forecast validation'!$A$14:$E$25,IF(tblWorkPackages[[#This Row],[Time split]]="Validation H1",4,5),FALSE()))</f>
        <v>6.3037037037037</v>
      </c>
      <c r="U1522" s="51">
        <f>IF(tblWorkPackages[[#This Row],[Calibrated forecast hours]]="","",ABS(tblWorkPackages[[#This Row],[Actual labor hours]]-tblWorkPackages[[#This Row],[Calibrated forecast hours]]))</f>
        <v>0.496296296296296</v>
      </c>
      <c r="V1522" s="51">
        <f>IF(tblWorkPackages[[#This Row],[Time split]]="Train 2024",tblWorkPackages[[#This Row],[Estimated labor hours]],tblWorkPackages[[#This Row],[Calibrated forecast hours]])</f>
        <v>6.3037037037037</v>
      </c>
      <c r="W1522" s="64">
        <f>DATEVALUE(tblWorkPackages[[#This Row],[Request date]])</f>
        <v>45811.0</v>
      </c>
      <c r="X1522" s="64">
        <f>DATEVALUE(tblWorkPackages[[#This Row],[Due date]])</f>
        <v>45824.0</v>
      </c>
      <c r="Y1522" s="64">
        <f>DATEVALUE(tblWorkPackages[[#This Row],[Completion date]])</f>
        <v>45812.0</v>
      </c>
      <c r="Z1522" s="64">
        <f>_xlfn.MINIFS(tblLaborEntries[Work date serial],tblLaborEntries[Work package ID],tblWorkPackages[[#This Row],[Work package ID]])</f>
        <v>45812.0</v>
      </c>
      <c r="AA1522" s="64">
        <f>_xlfn.MAXIFS(tblLaborEntries[Work date serial],tblLaborEntries[Work package ID],tblWorkPackages[[#This Row],[Work package ID]])</f>
        <v>45812.0</v>
      </c>
      <c r="AB1522" s="65">
        <f>IF(tblWorkPackages[[#This Row],[Completion date serial]]&gt;tblWorkPackages[[#This Row],[Due date serial]],1,0)</f>
        <v>0</v>
      </c>
      <c r="AC1522" s="65">
        <f>MAX(0,tblWorkPackages[[#This Row],[Completion date serial]]-tblWorkPackages[[#This Row],[Due date serial]])</f>
        <v>0</v>
      </c>
      <c r="AD1522" s="65">
        <f>tblWorkPackages[[#This Row],[First labor date]]-tblWorkPackages[[#This Row],[Request date serial]]</f>
        <v>1</v>
      </c>
      <c r="AE1522" s="65">
        <f>tblWorkPackages[[#This Row],[Last labor date]]-tblWorkPackages[[#This Row],[First labor date]]</f>
        <v>0</v>
      </c>
      <c r="AF1522" s="65">
        <f>tblWorkPackages[[#This Row],[Completion date serial]]-tblWorkPackages[[#This Row],[Last labor date]]</f>
        <v>0</v>
      </c>
      <c r="AG1522" s="65">
        <f>tblWorkPackages[[#This Row],[Completion date serial]]-tblWorkPackages[[#This Row],[Request date serial]]</f>
        <v>1</v>
      </c>
      <c r="AH1522" s="65">
        <f>IFERROR(INDEX(tblParts[Delay days],MATCH(tblWorkPackages[[#This Row],[Work package ID]],tblParts[Work package ID],0)),0)</f>
        <v>0</v>
      </c>
      <c r="AI1522" s="51" t="str">
        <f>IFERROR(INDEX(tblDisruptions[Event type],MATCH(tblWorkPackages[[#This Row],[Work package ID]],tblDisruptions[Work package ID],0)),"None")</f>
        <v>None</v>
      </c>
      <c r="AJ1522" s="51" t="str">
        <f>TEXT(tblWorkPackages[[#This Row],[Due date serial]],"yyyy-mm")</f>
        <v>2025-06</v>
      </c>
    </row>
    <row r="1523" spans="1:36" ht="15" x14ac:dyDescent="0.25">
      <c r="A1523" s="53" t="s">
        <v>2431</v>
      </c>
      <c r="B1523" s="53" t="s">
        <v>230</v>
      </c>
      <c r="C1523" s="53" t="s">
        <v>691</v>
      </c>
      <c r="D1523" s="53" t="s">
        <v>428</v>
      </c>
      <c r="E1523" s="53" t="s">
        <v>237</v>
      </c>
      <c r="F1523" s="53" t="s">
        <v>182</v>
      </c>
      <c r="G1523" s="53" t="s">
        <v>138</v>
      </c>
      <c r="H1523" s="53">
        <v>2</v>
      </c>
      <c r="I1523" s="53" t="s">
        <v>130</v>
      </c>
      <c r="J1523" s="53">
        <v>0</v>
      </c>
      <c r="K1523" s="53">
        <v>0</v>
      </c>
      <c r="L1523" s="53">
        <v>6.2</v>
      </c>
      <c r="M1523" s="53" t="s">
        <v>920</v>
      </c>
      <c r="N1523" s="53">
        <v>6.2</v>
      </c>
      <c r="O1523" s="51" t="str">
        <f>TEXT(tblWorkPackages[[#This Row],[Request date serial]]-WEEKDAY(tblWorkPackages[[#This Row],[Request date serial]],3),"yyyy-mm-dd")</f>
        <v>2024-04-01</v>
      </c>
      <c r="P1523" s="51">
        <f>ABS(tblWorkPackages[[#This Row],[Actual labor hours]]-tblWorkPackages[[#This Row],[Estimated labor hours]])</f>
        <v>0</v>
      </c>
      <c r="Q1523" s="51">
        <f>IF(tblWorkPackages[[#This Row],[Actual labor hours]]&gt;tblWorkPackages[[#This Row],[Estimated labor hours]],1,0)</f>
        <v>0</v>
      </c>
      <c r="R1523" s="51">
        <f>tblWorkPackages[[#This Row],[Actual labor hours]]-tblWorkPackages[[#This Row],[Estimated labor hours]]</f>
        <v>0</v>
      </c>
      <c r="S1523" s="51" t="str">
        <f>IF(tblWorkPackages[[#This Row],[Request date serial]]&lt;ValidationStart,"Train 2024",IF(tblWorkPackages[[#This Row],[Request date serial]]&lt;HoldoutStart,"Validation H1","Holdout H2"))</f>
        <v>Train 2024</v>
      </c>
      <c r="T1523" s="51" t="str">
        <f>IF(tblWorkPackages[[#This Row],[Time split]]="Train 2024","",tblWorkPackages[[#This Row],[Estimated labor hours]]+VLOOKUP(tblWorkPackages[[#This Row],[Task type]],'Forecast validation'!$A$14:$E$25,IF(tblWorkPackages[[#This Row],[Time split]]="Validation H1",4,5),FALSE()))</f>
        <v/>
      </c>
      <c r="U1523" s="51" t="str">
        <f>IF(tblWorkPackages[[#This Row],[Calibrated forecast hours]]="","",ABS(tblWorkPackages[[#This Row],[Actual labor hours]]-tblWorkPackages[[#This Row],[Calibrated forecast hours]]))</f>
        <v/>
      </c>
      <c r="V1523" s="51">
        <f>IF(tblWorkPackages[[#This Row],[Time split]]="Train 2024",tblWorkPackages[[#This Row],[Estimated labor hours]],tblWorkPackages[[#This Row],[Calibrated forecast hours]])</f>
        <v>6.2</v>
      </c>
      <c r="W1523" s="64">
        <f>DATEVALUE(tblWorkPackages[[#This Row],[Request date]])</f>
        <v>45389.0</v>
      </c>
      <c r="X1523" s="64">
        <f>DATEVALUE(tblWorkPackages[[#This Row],[Due date]])</f>
        <v>45402.0</v>
      </c>
      <c r="Y1523" s="64">
        <f>DATEVALUE(tblWorkPackages[[#This Row],[Completion date]])</f>
        <v>45401.0</v>
      </c>
      <c r="Z1523" s="64">
        <f>_xlfn.MINIFS(tblLaborEntries[Work date serial],tblLaborEntries[Work package ID],tblWorkPackages[[#This Row],[Work package ID]])</f>
        <v>45399.0</v>
      </c>
      <c r="AA1523" s="64">
        <f>_xlfn.MAXIFS(tblLaborEntries[Work date serial],tblLaborEntries[Work package ID],tblWorkPackages[[#This Row],[Work package ID]])</f>
        <v>45400.0</v>
      </c>
      <c r="AB1523" s="65">
        <f>IF(tblWorkPackages[[#This Row],[Completion date serial]]&gt;tblWorkPackages[[#This Row],[Due date serial]],1,0)</f>
        <v>0</v>
      </c>
      <c r="AC1523" s="65">
        <f>MAX(0,tblWorkPackages[[#This Row],[Completion date serial]]-tblWorkPackages[[#This Row],[Due date serial]])</f>
        <v>0</v>
      </c>
      <c r="AD1523" s="65">
        <f>tblWorkPackages[[#This Row],[First labor date]]-tblWorkPackages[[#This Row],[Request date serial]]</f>
        <v>10</v>
      </c>
      <c r="AE1523" s="65">
        <f>tblWorkPackages[[#This Row],[Last labor date]]-tblWorkPackages[[#This Row],[First labor date]]</f>
        <v>1</v>
      </c>
      <c r="AF1523" s="65">
        <f>tblWorkPackages[[#This Row],[Completion date serial]]-tblWorkPackages[[#This Row],[Last labor date]]</f>
        <v>1</v>
      </c>
      <c r="AG1523" s="65">
        <f>tblWorkPackages[[#This Row],[Completion date serial]]-tblWorkPackages[[#This Row],[Request date serial]]</f>
        <v>12</v>
      </c>
      <c r="AH1523" s="65">
        <f>IFERROR(INDEX(tblParts[Delay days],MATCH(tblWorkPackages[[#This Row],[Work package ID]],tblParts[Work package ID],0)),0)</f>
        <v>0</v>
      </c>
      <c r="AI1523" s="51" t="str">
        <f>IFERROR(INDEX(tblDisruptions[Event type],MATCH(tblWorkPackages[[#This Row],[Work package ID]],tblDisruptions[Work package ID],0)),"None")</f>
        <v>None</v>
      </c>
      <c r="AJ1523" s="51" t="str">
        <f>TEXT(tblWorkPackages[[#This Row],[Due date serial]],"yyyy-mm")</f>
        <v>2024-04</v>
      </c>
    </row>
    <row r="1524" spans="1:36" ht="15" x14ac:dyDescent="0.25">
      <c r="A1524" s="53" t="s">
        <v>2432</v>
      </c>
      <c r="B1524" s="53" t="s">
        <v>287</v>
      </c>
      <c r="C1524" s="53" t="s">
        <v>1668</v>
      </c>
      <c r="D1524" s="53" t="s">
        <v>1315</v>
      </c>
      <c r="E1524" s="53" t="s">
        <v>153</v>
      </c>
      <c r="F1524" s="53" t="s">
        <v>128</v>
      </c>
      <c r="G1524" s="53" t="s">
        <v>154</v>
      </c>
      <c r="H1524" s="53">
        <v>3</v>
      </c>
      <c r="I1524" s="53" t="s">
        <v>176</v>
      </c>
      <c r="J1524" s="53">
        <v>0</v>
      </c>
      <c r="K1524" s="53">
        <v>0</v>
      </c>
      <c r="L1524" s="53">
        <v>13.3</v>
      </c>
      <c r="M1524" s="53" t="s">
        <v>1315</v>
      </c>
      <c r="N1524" s="53">
        <v>17.5</v>
      </c>
      <c r="O1524" s="51" t="str">
        <f>TEXT(tblWorkPackages[[#This Row],[Request date serial]]-WEEKDAY(tblWorkPackages[[#This Row],[Request date serial]],3),"yyyy-mm-dd")</f>
        <v>2024-01-22</v>
      </c>
      <c r="P1524" s="51">
        <f>ABS(tblWorkPackages[[#This Row],[Actual labor hours]]-tblWorkPackages[[#This Row],[Estimated labor hours]])</f>
        <v>4.2</v>
      </c>
      <c r="Q1524" s="51">
        <f>IF(tblWorkPackages[[#This Row],[Actual labor hours]]&gt;tblWorkPackages[[#This Row],[Estimated labor hours]],1,0)</f>
        <v>1</v>
      </c>
      <c r="R1524" s="51">
        <f>tblWorkPackages[[#This Row],[Actual labor hours]]-tblWorkPackages[[#This Row],[Estimated labor hours]]</f>
        <v>4.2</v>
      </c>
      <c r="S1524" s="51" t="str">
        <f>IF(tblWorkPackages[[#This Row],[Request date serial]]&lt;ValidationStart,"Train 2024",IF(tblWorkPackages[[#This Row],[Request date serial]]&lt;HoldoutStart,"Validation H1","Holdout H2"))</f>
        <v>Train 2024</v>
      </c>
      <c r="T1524" s="51" t="str">
        <f>IF(tblWorkPackages[[#This Row],[Time split]]="Train 2024","",tblWorkPackages[[#This Row],[Estimated labor hours]]+VLOOKUP(tblWorkPackages[[#This Row],[Task type]],'Forecast validation'!$A$14:$E$25,IF(tblWorkPackages[[#This Row],[Time split]]="Validation H1",4,5),FALSE()))</f>
        <v/>
      </c>
      <c r="U1524" s="51" t="str">
        <f>IF(tblWorkPackages[[#This Row],[Calibrated forecast hours]]="","",ABS(tblWorkPackages[[#This Row],[Actual labor hours]]-tblWorkPackages[[#This Row],[Calibrated forecast hours]]))</f>
        <v/>
      </c>
      <c r="V1524" s="51">
        <f>IF(tblWorkPackages[[#This Row],[Time split]]="Train 2024",tblWorkPackages[[#This Row],[Estimated labor hours]],tblWorkPackages[[#This Row],[Calibrated forecast hours]])</f>
        <v>13.3</v>
      </c>
      <c r="W1524" s="64">
        <f>DATEVALUE(tblWorkPackages[[#This Row],[Request date]])</f>
        <v>45314.0</v>
      </c>
      <c r="X1524" s="64">
        <f>DATEVALUE(tblWorkPackages[[#This Row],[Due date]])</f>
        <v>45320.0</v>
      </c>
      <c r="Y1524" s="64">
        <f>DATEVALUE(tblWorkPackages[[#This Row],[Completion date]])</f>
        <v>45320.0</v>
      </c>
      <c r="Z1524" s="64">
        <f>_xlfn.MINIFS(tblLaborEntries[Work date serial],tblLaborEntries[Work package ID],tblWorkPackages[[#This Row],[Work package ID]])</f>
        <v>45317.0</v>
      </c>
      <c r="AA1524" s="64">
        <f>_xlfn.MAXIFS(tblLaborEntries[Work date serial],tblLaborEntries[Work package ID],tblWorkPackages[[#This Row],[Work package ID]])</f>
        <v>45318.0</v>
      </c>
      <c r="AB1524" s="65">
        <f>IF(tblWorkPackages[[#This Row],[Completion date serial]]&gt;tblWorkPackages[[#This Row],[Due date serial]],1,0)</f>
        <v>0</v>
      </c>
      <c r="AC1524" s="65">
        <f>MAX(0,tblWorkPackages[[#This Row],[Completion date serial]]-tblWorkPackages[[#This Row],[Due date serial]])</f>
        <v>0</v>
      </c>
      <c r="AD1524" s="65">
        <f>tblWorkPackages[[#This Row],[First labor date]]-tblWorkPackages[[#This Row],[Request date serial]]</f>
        <v>3</v>
      </c>
      <c r="AE1524" s="65">
        <f>tblWorkPackages[[#This Row],[Last labor date]]-tblWorkPackages[[#This Row],[First labor date]]</f>
        <v>1</v>
      </c>
      <c r="AF1524" s="65">
        <f>tblWorkPackages[[#This Row],[Completion date serial]]-tblWorkPackages[[#This Row],[Last labor date]]</f>
        <v>2</v>
      </c>
      <c r="AG1524" s="65">
        <f>tblWorkPackages[[#This Row],[Completion date serial]]-tblWorkPackages[[#This Row],[Request date serial]]</f>
        <v>6</v>
      </c>
      <c r="AH1524" s="65">
        <f>IFERROR(INDEX(tblParts[Delay days],MATCH(tblWorkPackages[[#This Row],[Work package ID]],tblParts[Work package ID],0)),0)</f>
        <v>0</v>
      </c>
      <c r="AI1524" s="51" t="str">
        <f>IFERROR(INDEX(tblDisruptions[Event type],MATCH(tblWorkPackages[[#This Row],[Work package ID]],tblDisruptions[Work package ID],0)),"None")</f>
        <v>Repeat inspection</v>
      </c>
      <c r="AJ1524" s="51" t="str">
        <f>TEXT(tblWorkPackages[[#This Row],[Due date serial]],"yyyy-mm")</f>
        <v>2024-01</v>
      </c>
    </row>
    <row r="1525" spans="1:36" ht="15" x14ac:dyDescent="0.25">
      <c r="A1525" s="53" t="s">
        <v>2433</v>
      </c>
      <c r="B1525" s="53" t="s">
        <v>168</v>
      </c>
      <c r="C1525" s="53" t="s">
        <v>1197</v>
      </c>
      <c r="D1525" s="53" t="s">
        <v>1063</v>
      </c>
      <c r="E1525" s="53" t="s">
        <v>272</v>
      </c>
      <c r="F1525" s="53" t="s">
        <v>145</v>
      </c>
      <c r="G1525" s="53" t="s">
        <v>273</v>
      </c>
      <c r="H1525" s="53">
        <v>2</v>
      </c>
      <c r="I1525" s="53" t="s">
        <v>130</v>
      </c>
      <c r="J1525" s="53">
        <v>0</v>
      </c>
      <c r="K1525" s="53">
        <v>1</v>
      </c>
      <c r="L1525" s="53">
        <v>12.4</v>
      </c>
      <c r="M1525" s="53" t="s">
        <v>447</v>
      </c>
      <c r="N1525" s="53">
        <v>15.4</v>
      </c>
      <c r="O1525" s="51" t="str">
        <f>TEXT(tblWorkPackages[[#This Row],[Request date serial]]-WEEKDAY(tblWorkPackages[[#This Row],[Request date serial]],3),"yyyy-mm-dd")</f>
        <v>2025-02-24</v>
      </c>
      <c r="P1525" s="51">
        <f>ABS(tblWorkPackages[[#This Row],[Actual labor hours]]-tblWorkPackages[[#This Row],[Estimated labor hours]])</f>
        <v>3</v>
      </c>
      <c r="Q1525" s="51">
        <f>IF(tblWorkPackages[[#This Row],[Actual labor hours]]&gt;tblWorkPackages[[#This Row],[Estimated labor hours]],1,0)</f>
        <v>1</v>
      </c>
      <c r="R1525" s="51">
        <f>tblWorkPackages[[#This Row],[Actual labor hours]]-tblWorkPackages[[#This Row],[Estimated labor hours]]</f>
        <v>3</v>
      </c>
      <c r="S1525" s="51" t="str">
        <f>IF(tblWorkPackages[[#This Row],[Request date serial]]&lt;ValidationStart,"Train 2024",IF(tblWorkPackages[[#This Row],[Request date serial]]&lt;HoldoutStart,"Validation H1","Holdout H2"))</f>
        <v>Validation H1</v>
      </c>
      <c r="T1525" s="51">
        <f>IF(tblWorkPackages[[#This Row],[Time split]]="Train 2024","",tblWorkPackages[[#This Row],[Estimated labor hours]]+VLOOKUP(tblWorkPackages[[#This Row],[Task type]],'Forecast validation'!$A$14:$E$25,IF(tblWorkPackages[[#This Row],[Time split]]="Validation H1",4,5),FALSE()))</f>
        <v>13.4320512820513</v>
      </c>
      <c r="U1525" s="51">
        <f>IF(tblWorkPackages[[#This Row],[Calibrated forecast hours]]="","",ABS(tblWorkPackages[[#This Row],[Actual labor hours]]-tblWorkPackages[[#This Row],[Calibrated forecast hours]]))</f>
        <v>1.96794871794872</v>
      </c>
      <c r="V1525" s="51">
        <f>IF(tblWorkPackages[[#This Row],[Time split]]="Train 2024",tblWorkPackages[[#This Row],[Estimated labor hours]],tblWorkPackages[[#This Row],[Calibrated forecast hours]])</f>
        <v>13.4320512820513</v>
      </c>
      <c r="W1525" s="64">
        <f>DATEVALUE(tblWorkPackages[[#This Row],[Request date]])</f>
        <v>45714.0</v>
      </c>
      <c r="X1525" s="64">
        <f>DATEVALUE(tblWorkPackages[[#This Row],[Due date]])</f>
        <v>45727.0</v>
      </c>
      <c r="Y1525" s="64">
        <f>DATEVALUE(tblWorkPackages[[#This Row],[Completion date]])</f>
        <v>45744.0</v>
      </c>
      <c r="Z1525" s="64">
        <f>_xlfn.MINIFS(tblLaborEntries[Work date serial],tblLaborEntries[Work package ID],tblWorkPackages[[#This Row],[Work package ID]])</f>
        <v>45741.0</v>
      </c>
      <c r="AA1525" s="64">
        <f>_xlfn.MAXIFS(tblLaborEntries[Work date serial],tblLaborEntries[Work package ID],tblWorkPackages[[#This Row],[Work package ID]])</f>
        <v>45741.0</v>
      </c>
      <c r="AB1525" s="65">
        <f>IF(tblWorkPackages[[#This Row],[Completion date serial]]&gt;tblWorkPackages[[#This Row],[Due date serial]],1,0)</f>
        <v>1</v>
      </c>
      <c r="AC1525" s="65">
        <f>MAX(0,tblWorkPackages[[#This Row],[Completion date serial]]-tblWorkPackages[[#This Row],[Due date serial]])</f>
        <v>17</v>
      </c>
      <c r="AD1525" s="65">
        <f>tblWorkPackages[[#This Row],[First labor date]]-tblWorkPackages[[#This Row],[Request date serial]]</f>
        <v>27</v>
      </c>
      <c r="AE1525" s="65">
        <f>tblWorkPackages[[#This Row],[Last labor date]]-tblWorkPackages[[#This Row],[First labor date]]</f>
        <v>0</v>
      </c>
      <c r="AF1525" s="65">
        <f>tblWorkPackages[[#This Row],[Completion date serial]]-tblWorkPackages[[#This Row],[Last labor date]]</f>
        <v>3</v>
      </c>
      <c r="AG1525" s="65">
        <f>tblWorkPackages[[#This Row],[Completion date serial]]-tblWorkPackages[[#This Row],[Request date serial]]</f>
        <v>30</v>
      </c>
      <c r="AH1525" s="65">
        <f>IFERROR(INDEX(tblParts[Delay days],MATCH(tblWorkPackages[[#This Row],[Work package ID]],tblParts[Work package ID],0)),0)</f>
        <v>0</v>
      </c>
      <c r="AI1525" s="51" t="str">
        <f>IFERROR(INDEX(tblDisruptions[Event type],MATCH(tblWorkPackages[[#This Row],[Work package ID]],tblDisruptions[Work package ID],0)),"None")</f>
        <v>None</v>
      </c>
      <c r="AJ1525" s="51" t="str">
        <f>TEXT(tblWorkPackages[[#This Row],[Due date serial]],"yyyy-mm")</f>
        <v>2025-03</v>
      </c>
    </row>
    <row r="1526" spans="1:36" ht="15" x14ac:dyDescent="0.25">
      <c r="A1526" s="53" t="s">
        <v>2434</v>
      </c>
      <c r="B1526" s="53" t="s">
        <v>124</v>
      </c>
      <c r="C1526" s="53" t="s">
        <v>1068</v>
      </c>
      <c r="D1526" s="53" t="s">
        <v>630</v>
      </c>
      <c r="E1526" s="53" t="s">
        <v>160</v>
      </c>
      <c r="F1526" s="53" t="s">
        <v>128</v>
      </c>
      <c r="G1526" s="53" t="s">
        <v>138</v>
      </c>
      <c r="H1526" s="53">
        <v>4</v>
      </c>
      <c r="I1526" s="53" t="s">
        <v>176</v>
      </c>
      <c r="J1526" s="53">
        <v>0</v>
      </c>
      <c r="K1526" s="53">
        <v>0</v>
      </c>
      <c r="L1526" s="53">
        <v>9.5</v>
      </c>
      <c r="M1526" s="53" t="s">
        <v>630</v>
      </c>
      <c r="N1526" s="53">
        <v>8.6</v>
      </c>
      <c r="O1526" s="51" t="str">
        <f>TEXT(tblWorkPackages[[#This Row],[Request date serial]]-WEEKDAY(tblWorkPackages[[#This Row],[Request date serial]],3),"yyyy-mm-dd")</f>
        <v>2024-03-18</v>
      </c>
      <c r="P1526" s="51">
        <f>ABS(tblWorkPackages[[#This Row],[Actual labor hours]]-tblWorkPackages[[#This Row],[Estimated labor hours]])</f>
        <v>0.9</v>
      </c>
      <c r="Q1526" s="51">
        <f>IF(tblWorkPackages[[#This Row],[Actual labor hours]]&gt;tblWorkPackages[[#This Row],[Estimated labor hours]],1,0)</f>
        <v>0</v>
      </c>
      <c r="R1526" s="51">
        <f>tblWorkPackages[[#This Row],[Actual labor hours]]-tblWorkPackages[[#This Row],[Estimated labor hours]]</f>
        <v>-0.9</v>
      </c>
      <c r="S1526" s="51" t="str">
        <f>IF(tblWorkPackages[[#This Row],[Request date serial]]&lt;ValidationStart,"Train 2024",IF(tblWorkPackages[[#This Row],[Request date serial]]&lt;HoldoutStart,"Validation H1","Holdout H2"))</f>
        <v>Train 2024</v>
      </c>
      <c r="T1526" s="51" t="str">
        <f>IF(tblWorkPackages[[#This Row],[Time split]]="Train 2024","",tblWorkPackages[[#This Row],[Estimated labor hours]]+VLOOKUP(tblWorkPackages[[#This Row],[Task type]],'Forecast validation'!$A$14:$E$25,IF(tblWorkPackages[[#This Row],[Time split]]="Validation H1",4,5),FALSE()))</f>
        <v/>
      </c>
      <c r="U1526" s="51" t="str">
        <f>IF(tblWorkPackages[[#This Row],[Calibrated forecast hours]]="","",ABS(tblWorkPackages[[#This Row],[Actual labor hours]]-tblWorkPackages[[#This Row],[Calibrated forecast hours]]))</f>
        <v/>
      </c>
      <c r="V1526" s="51">
        <f>IF(tblWorkPackages[[#This Row],[Time split]]="Train 2024",tblWorkPackages[[#This Row],[Estimated labor hours]],tblWorkPackages[[#This Row],[Calibrated forecast hours]])</f>
        <v>9.5</v>
      </c>
      <c r="W1526" s="64">
        <f>DATEVALUE(tblWorkPackages[[#This Row],[Request date]])</f>
        <v>45370.0</v>
      </c>
      <c r="X1526" s="64">
        <f>DATEVALUE(tblWorkPackages[[#This Row],[Due date]])</f>
        <v>45376.0</v>
      </c>
      <c r="Y1526" s="64">
        <f>DATEVALUE(tblWorkPackages[[#This Row],[Completion date]])</f>
        <v>45376.0</v>
      </c>
      <c r="Z1526" s="64">
        <f>_xlfn.MINIFS(tblLaborEntries[Work date serial],tblLaborEntries[Work package ID],tblWorkPackages[[#This Row],[Work package ID]])</f>
        <v>45375.0</v>
      </c>
      <c r="AA1526" s="64">
        <f>_xlfn.MAXIFS(tblLaborEntries[Work date serial],tblLaborEntries[Work package ID],tblWorkPackages[[#This Row],[Work package ID]])</f>
        <v>45376.0</v>
      </c>
      <c r="AB1526" s="65">
        <f>IF(tblWorkPackages[[#This Row],[Completion date serial]]&gt;tblWorkPackages[[#This Row],[Due date serial]],1,0)</f>
        <v>0</v>
      </c>
      <c r="AC1526" s="65">
        <f>MAX(0,tblWorkPackages[[#This Row],[Completion date serial]]-tblWorkPackages[[#This Row],[Due date serial]])</f>
        <v>0</v>
      </c>
      <c r="AD1526" s="65">
        <f>tblWorkPackages[[#This Row],[First labor date]]-tblWorkPackages[[#This Row],[Request date serial]]</f>
        <v>5</v>
      </c>
      <c r="AE1526" s="65">
        <f>tblWorkPackages[[#This Row],[Last labor date]]-tblWorkPackages[[#This Row],[First labor date]]</f>
        <v>1</v>
      </c>
      <c r="AF1526" s="65">
        <f>tblWorkPackages[[#This Row],[Completion date serial]]-tblWorkPackages[[#This Row],[Last labor date]]</f>
        <v>0</v>
      </c>
      <c r="AG1526" s="65">
        <f>tblWorkPackages[[#This Row],[Completion date serial]]-tblWorkPackages[[#This Row],[Request date serial]]</f>
        <v>6</v>
      </c>
      <c r="AH1526" s="65">
        <f>IFERROR(INDEX(tblParts[Delay days],MATCH(tblWorkPackages[[#This Row],[Work package ID]],tblParts[Work package ID],0)),0)</f>
        <v>0</v>
      </c>
      <c r="AI1526" s="51" t="str">
        <f>IFERROR(INDEX(tblDisruptions[Event type],MATCH(tblWorkPackages[[#This Row],[Work package ID]],tblDisruptions[Work package ID],0)),"None")</f>
        <v>None</v>
      </c>
      <c r="AJ1526" s="51" t="str">
        <f>TEXT(tblWorkPackages[[#This Row],[Due date serial]],"yyyy-mm")</f>
        <v>2024-03</v>
      </c>
    </row>
    <row r="1527" spans="1:36" ht="15" x14ac:dyDescent="0.25">
      <c r="A1527" s="53" t="s">
        <v>2435</v>
      </c>
      <c r="B1527" s="53" t="s">
        <v>235</v>
      </c>
      <c r="C1527" s="53" t="s">
        <v>903</v>
      </c>
      <c r="D1527" s="53" t="s">
        <v>790</v>
      </c>
      <c r="E1527" s="53" t="s">
        <v>181</v>
      </c>
      <c r="F1527" s="53" t="s">
        <v>182</v>
      </c>
      <c r="G1527" s="53" t="s">
        <v>138</v>
      </c>
      <c r="H1527" s="53">
        <v>4</v>
      </c>
      <c r="I1527" s="53" t="s">
        <v>147</v>
      </c>
      <c r="J1527" s="53">
        <v>0</v>
      </c>
      <c r="K1527" s="53">
        <v>0</v>
      </c>
      <c r="L1527" s="53">
        <v>12.4</v>
      </c>
      <c r="M1527" s="53" t="s">
        <v>810</v>
      </c>
      <c r="N1527" s="53">
        <v>11.6</v>
      </c>
      <c r="O1527" s="51" t="str">
        <f>TEXT(tblWorkPackages[[#This Row],[Request date serial]]-WEEKDAY(tblWorkPackages[[#This Row],[Request date serial]],3),"yyyy-mm-dd")</f>
        <v>2025-09-08</v>
      </c>
      <c r="P1527" s="51">
        <f>ABS(tblWorkPackages[[#This Row],[Actual labor hours]]-tblWorkPackages[[#This Row],[Estimated labor hours]])</f>
        <v>0.800000000000001</v>
      </c>
      <c r="Q1527" s="51">
        <f>IF(tblWorkPackages[[#This Row],[Actual labor hours]]&gt;tblWorkPackages[[#This Row],[Estimated labor hours]],1,0)</f>
        <v>0</v>
      </c>
      <c r="R1527" s="51">
        <f>tblWorkPackages[[#This Row],[Actual labor hours]]-tblWorkPackages[[#This Row],[Estimated labor hours]]</f>
        <v>-0.800000000000001</v>
      </c>
      <c r="S1527" s="51" t="str">
        <f>IF(tblWorkPackages[[#This Row],[Request date serial]]&lt;ValidationStart,"Train 2024",IF(tblWorkPackages[[#This Row],[Request date serial]]&lt;HoldoutStart,"Validation H1","Holdout H2"))</f>
        <v>Holdout H2</v>
      </c>
      <c r="T1527" s="51">
        <f>IF(tblWorkPackages[[#This Row],[Time split]]="Train 2024","",tblWorkPackages[[#This Row],[Estimated labor hours]]+VLOOKUP(tblWorkPackages[[#This Row],[Task type]],'Forecast validation'!$A$14:$E$25,IF(tblWorkPackages[[#This Row],[Time split]]="Validation H1",4,5),FALSE()))</f>
        <v>12.9916083916084</v>
      </c>
      <c r="U1527" s="51">
        <f>IF(tblWorkPackages[[#This Row],[Calibrated forecast hours]]="","",ABS(tblWorkPackages[[#This Row],[Actual labor hours]]-tblWorkPackages[[#This Row],[Calibrated forecast hours]]))</f>
        <v>1.39160839160839</v>
      </c>
      <c r="V1527" s="51">
        <f>IF(tblWorkPackages[[#This Row],[Time split]]="Train 2024",tblWorkPackages[[#This Row],[Estimated labor hours]],tblWorkPackages[[#This Row],[Calibrated forecast hours]])</f>
        <v>12.9916083916084</v>
      </c>
      <c r="W1527" s="64">
        <f>DATEVALUE(tblWorkPackages[[#This Row],[Request date]])</f>
        <v>45914.0</v>
      </c>
      <c r="X1527" s="64">
        <f>DATEVALUE(tblWorkPackages[[#This Row],[Due date]])</f>
        <v>45916.0</v>
      </c>
      <c r="Y1527" s="64">
        <f>DATEVALUE(tblWorkPackages[[#This Row],[Completion date]])</f>
        <v>45917.0</v>
      </c>
      <c r="Z1527" s="64">
        <f>_xlfn.MINIFS(tblLaborEntries[Work date serial],tblLaborEntries[Work package ID],tblWorkPackages[[#This Row],[Work package ID]])</f>
        <v>45915.0</v>
      </c>
      <c r="AA1527" s="64">
        <f>_xlfn.MAXIFS(tblLaborEntries[Work date serial],tblLaborEntries[Work package ID],tblWorkPackages[[#This Row],[Work package ID]])</f>
        <v>45916.0</v>
      </c>
      <c r="AB1527" s="65">
        <f>IF(tblWorkPackages[[#This Row],[Completion date serial]]&gt;tblWorkPackages[[#This Row],[Due date serial]],1,0)</f>
        <v>1</v>
      </c>
      <c r="AC1527" s="65">
        <f>MAX(0,tblWorkPackages[[#This Row],[Completion date serial]]-tblWorkPackages[[#This Row],[Due date serial]])</f>
        <v>1</v>
      </c>
      <c r="AD1527" s="65">
        <f>tblWorkPackages[[#This Row],[First labor date]]-tblWorkPackages[[#This Row],[Request date serial]]</f>
        <v>1</v>
      </c>
      <c r="AE1527" s="65">
        <f>tblWorkPackages[[#This Row],[Last labor date]]-tblWorkPackages[[#This Row],[First labor date]]</f>
        <v>1</v>
      </c>
      <c r="AF1527" s="65">
        <f>tblWorkPackages[[#This Row],[Completion date serial]]-tblWorkPackages[[#This Row],[Last labor date]]</f>
        <v>1</v>
      </c>
      <c r="AG1527" s="65">
        <f>tblWorkPackages[[#This Row],[Completion date serial]]-tblWorkPackages[[#This Row],[Request date serial]]</f>
        <v>3</v>
      </c>
      <c r="AH1527" s="65">
        <f>IFERROR(INDEX(tblParts[Delay days],MATCH(tblWorkPackages[[#This Row],[Work package ID]],tblParts[Work package ID],0)),0)</f>
        <v>0</v>
      </c>
      <c r="AI1527" s="51" t="str">
        <f>IFERROR(INDEX(tblDisruptions[Event type],MATCH(tblWorkPackages[[#This Row],[Work package ID]],tblDisruptions[Work package ID],0)),"None")</f>
        <v>None</v>
      </c>
      <c r="AJ1527" s="51" t="str">
        <f>TEXT(tblWorkPackages[[#This Row],[Due date serial]],"yyyy-mm")</f>
        <v>2025-09</v>
      </c>
    </row>
    <row r="1528" spans="1:36" ht="15" x14ac:dyDescent="0.25">
      <c r="A1528" s="53" t="s">
        <v>2436</v>
      </c>
      <c r="B1528" s="53" t="s">
        <v>235</v>
      </c>
      <c r="C1528" s="53" t="s">
        <v>449</v>
      </c>
      <c r="D1528" s="53" t="s">
        <v>450</v>
      </c>
      <c r="E1528" s="53" t="s">
        <v>181</v>
      </c>
      <c r="F1528" s="53" t="s">
        <v>182</v>
      </c>
      <c r="G1528" s="53" t="s">
        <v>138</v>
      </c>
      <c r="H1528" s="53">
        <v>2</v>
      </c>
      <c r="I1528" s="53" t="s">
        <v>176</v>
      </c>
      <c r="J1528" s="53">
        <v>0</v>
      </c>
      <c r="K1528" s="53">
        <v>0</v>
      </c>
      <c r="L1528" s="53">
        <v>7.5</v>
      </c>
      <c r="M1528" s="53" t="s">
        <v>552</v>
      </c>
      <c r="N1528" s="53">
        <v>9.3000000000000007</v>
      </c>
      <c r="O1528" s="51" t="str">
        <f>TEXT(tblWorkPackages[[#This Row],[Request date serial]]-WEEKDAY(tblWorkPackages[[#This Row],[Request date serial]],3),"yyyy-mm-dd")</f>
        <v>2024-07-08</v>
      </c>
      <c r="P1528" s="51">
        <f>ABS(tblWorkPackages[[#This Row],[Actual labor hours]]-tblWorkPackages[[#This Row],[Estimated labor hours]])</f>
        <v>1.8</v>
      </c>
      <c r="Q1528" s="51">
        <f>IF(tblWorkPackages[[#This Row],[Actual labor hours]]&gt;tblWorkPackages[[#This Row],[Estimated labor hours]],1,0)</f>
        <v>1</v>
      </c>
      <c r="R1528" s="51">
        <f>tblWorkPackages[[#This Row],[Actual labor hours]]-tblWorkPackages[[#This Row],[Estimated labor hours]]</f>
        <v>1.8</v>
      </c>
      <c r="S1528" s="51" t="str">
        <f>IF(tblWorkPackages[[#This Row],[Request date serial]]&lt;ValidationStart,"Train 2024",IF(tblWorkPackages[[#This Row],[Request date serial]]&lt;HoldoutStart,"Validation H1","Holdout H2"))</f>
        <v>Train 2024</v>
      </c>
      <c r="T1528" s="51" t="str">
        <f>IF(tblWorkPackages[[#This Row],[Time split]]="Train 2024","",tblWorkPackages[[#This Row],[Estimated labor hours]]+VLOOKUP(tblWorkPackages[[#This Row],[Task type]],'Forecast validation'!$A$14:$E$25,IF(tblWorkPackages[[#This Row],[Time split]]="Validation H1",4,5),FALSE()))</f>
        <v/>
      </c>
      <c r="U1528" s="51" t="str">
        <f>IF(tblWorkPackages[[#This Row],[Calibrated forecast hours]]="","",ABS(tblWorkPackages[[#This Row],[Actual labor hours]]-tblWorkPackages[[#This Row],[Calibrated forecast hours]]))</f>
        <v/>
      </c>
      <c r="V1528" s="51">
        <f>IF(tblWorkPackages[[#This Row],[Time split]]="Train 2024",tblWorkPackages[[#This Row],[Estimated labor hours]],tblWorkPackages[[#This Row],[Calibrated forecast hours]])</f>
        <v>7.5</v>
      </c>
      <c r="W1528" s="64">
        <f>DATEVALUE(tblWorkPackages[[#This Row],[Request date]])</f>
        <v>45481.0</v>
      </c>
      <c r="X1528" s="64">
        <f>DATEVALUE(tblWorkPackages[[#This Row],[Due date]])</f>
        <v>45487.0</v>
      </c>
      <c r="Y1528" s="64">
        <f>DATEVALUE(tblWorkPackages[[#This Row],[Completion date]])</f>
        <v>45498.0</v>
      </c>
      <c r="Z1528" s="64">
        <f>_xlfn.MINIFS(tblLaborEntries[Work date serial],tblLaborEntries[Work package ID],tblWorkPackages[[#This Row],[Work package ID]])</f>
        <v>45494.0</v>
      </c>
      <c r="AA1528" s="64">
        <f>_xlfn.MAXIFS(tblLaborEntries[Work date serial],tblLaborEntries[Work package ID],tblWorkPackages[[#This Row],[Work package ID]])</f>
        <v>45496.0</v>
      </c>
      <c r="AB1528" s="65">
        <f>IF(tblWorkPackages[[#This Row],[Completion date serial]]&gt;tblWorkPackages[[#This Row],[Due date serial]],1,0)</f>
        <v>1</v>
      </c>
      <c r="AC1528" s="65">
        <f>MAX(0,tblWorkPackages[[#This Row],[Completion date serial]]-tblWorkPackages[[#This Row],[Due date serial]])</f>
        <v>11</v>
      </c>
      <c r="AD1528" s="65">
        <f>tblWorkPackages[[#This Row],[First labor date]]-tblWorkPackages[[#This Row],[Request date serial]]</f>
        <v>13</v>
      </c>
      <c r="AE1528" s="65">
        <f>tblWorkPackages[[#This Row],[Last labor date]]-tblWorkPackages[[#This Row],[First labor date]]</f>
        <v>2</v>
      </c>
      <c r="AF1528" s="65">
        <f>tblWorkPackages[[#This Row],[Completion date serial]]-tblWorkPackages[[#This Row],[Last labor date]]</f>
        <v>2</v>
      </c>
      <c r="AG1528" s="65">
        <f>tblWorkPackages[[#This Row],[Completion date serial]]-tblWorkPackages[[#This Row],[Request date serial]]</f>
        <v>17</v>
      </c>
      <c r="AH1528" s="65">
        <f>IFERROR(INDEX(tblParts[Delay days],MATCH(tblWorkPackages[[#This Row],[Work package ID]],tblParts[Work package ID],0)),0)</f>
        <v>0</v>
      </c>
      <c r="AI1528" s="51" t="str">
        <f>IFERROR(INDEX(tblDisruptions[Event type],MATCH(tblWorkPackages[[#This Row],[Work package ID]],tblDisruptions[Work package ID],0)),"None")</f>
        <v>None</v>
      </c>
      <c r="AJ1528" s="51" t="str">
        <f>TEXT(tblWorkPackages[[#This Row],[Due date serial]],"yyyy-mm")</f>
        <v>2024-07</v>
      </c>
    </row>
    <row r="1529" spans="1:36" ht="15" x14ac:dyDescent="0.25">
      <c r="A1529" s="53" t="s">
        <v>2437</v>
      </c>
      <c r="B1529" s="53" t="s">
        <v>163</v>
      </c>
      <c r="C1529" s="53" t="s">
        <v>372</v>
      </c>
      <c r="D1529" s="53" t="s">
        <v>1721</v>
      </c>
      <c r="E1529" s="53" t="s">
        <v>200</v>
      </c>
      <c r="F1529" s="53" t="s">
        <v>128</v>
      </c>
      <c r="G1529" s="53" t="s">
        <v>129</v>
      </c>
      <c r="H1529" s="53">
        <v>2</v>
      </c>
      <c r="I1529" s="53" t="s">
        <v>130</v>
      </c>
      <c r="J1529" s="53">
        <v>0</v>
      </c>
      <c r="K1529" s="53">
        <v>0</v>
      </c>
      <c r="L1529" s="53">
        <v>2.6</v>
      </c>
      <c r="M1529" s="53" t="s">
        <v>594</v>
      </c>
      <c r="N1529" s="53">
        <v>2.2999999999999998</v>
      </c>
      <c r="O1529" s="51" t="str">
        <f>TEXT(tblWorkPackages[[#This Row],[Request date serial]]-WEEKDAY(tblWorkPackages[[#This Row],[Request date serial]],3),"yyyy-mm-dd")</f>
        <v>2024-10-21</v>
      </c>
      <c r="P1529" s="51">
        <f>ABS(tblWorkPackages[[#This Row],[Actual labor hours]]-tblWorkPackages[[#This Row],[Estimated labor hours]])</f>
        <v>0.3</v>
      </c>
      <c r="Q1529" s="51">
        <f>IF(tblWorkPackages[[#This Row],[Actual labor hours]]&gt;tblWorkPackages[[#This Row],[Estimated labor hours]],1,0)</f>
        <v>0</v>
      </c>
      <c r="R1529" s="51">
        <f>tblWorkPackages[[#This Row],[Actual labor hours]]-tblWorkPackages[[#This Row],[Estimated labor hours]]</f>
        <v>-0.3</v>
      </c>
      <c r="S1529" s="51" t="str">
        <f>IF(tblWorkPackages[[#This Row],[Request date serial]]&lt;ValidationStart,"Train 2024",IF(tblWorkPackages[[#This Row],[Request date serial]]&lt;HoldoutStart,"Validation H1","Holdout H2"))</f>
        <v>Train 2024</v>
      </c>
      <c r="T1529" s="51" t="str">
        <f>IF(tblWorkPackages[[#This Row],[Time split]]="Train 2024","",tblWorkPackages[[#This Row],[Estimated labor hours]]+VLOOKUP(tblWorkPackages[[#This Row],[Task type]],'Forecast validation'!$A$14:$E$25,IF(tblWorkPackages[[#This Row],[Time split]]="Validation H1",4,5),FALSE()))</f>
        <v/>
      </c>
      <c r="U1529" s="51" t="str">
        <f>IF(tblWorkPackages[[#This Row],[Calibrated forecast hours]]="","",ABS(tblWorkPackages[[#This Row],[Actual labor hours]]-tblWorkPackages[[#This Row],[Calibrated forecast hours]]))</f>
        <v/>
      </c>
      <c r="V1529" s="51">
        <f>IF(tblWorkPackages[[#This Row],[Time split]]="Train 2024",tblWorkPackages[[#This Row],[Estimated labor hours]],tblWorkPackages[[#This Row],[Calibrated forecast hours]])</f>
        <v>2.6</v>
      </c>
      <c r="W1529" s="64">
        <f>DATEVALUE(tblWorkPackages[[#This Row],[Request date]])</f>
        <v>45586.0</v>
      </c>
      <c r="X1529" s="64">
        <f>DATEVALUE(tblWorkPackages[[#This Row],[Due date]])</f>
        <v>45599.0</v>
      </c>
      <c r="Y1529" s="64">
        <f>DATEVALUE(tblWorkPackages[[#This Row],[Completion date]])</f>
        <v>45593.0</v>
      </c>
      <c r="Z1529" s="64">
        <f>_xlfn.MINIFS(tblLaborEntries[Work date serial],tblLaborEntries[Work package ID],tblWorkPackages[[#This Row],[Work package ID]])</f>
        <v>45589.0</v>
      </c>
      <c r="AA1529" s="64">
        <f>_xlfn.MAXIFS(tblLaborEntries[Work date serial],tblLaborEntries[Work package ID],tblWorkPackages[[#This Row],[Work package ID]])</f>
        <v>45590.0</v>
      </c>
      <c r="AB1529" s="65">
        <f>IF(tblWorkPackages[[#This Row],[Completion date serial]]&gt;tblWorkPackages[[#This Row],[Due date serial]],1,0)</f>
        <v>0</v>
      </c>
      <c r="AC1529" s="65">
        <f>MAX(0,tblWorkPackages[[#This Row],[Completion date serial]]-tblWorkPackages[[#This Row],[Due date serial]])</f>
        <v>0</v>
      </c>
      <c r="AD1529" s="65">
        <f>tblWorkPackages[[#This Row],[First labor date]]-tblWorkPackages[[#This Row],[Request date serial]]</f>
        <v>3</v>
      </c>
      <c r="AE1529" s="65">
        <f>tblWorkPackages[[#This Row],[Last labor date]]-tblWorkPackages[[#This Row],[First labor date]]</f>
        <v>1</v>
      </c>
      <c r="AF1529" s="65">
        <f>tblWorkPackages[[#This Row],[Completion date serial]]-tblWorkPackages[[#This Row],[Last labor date]]</f>
        <v>3</v>
      </c>
      <c r="AG1529" s="65">
        <f>tblWorkPackages[[#This Row],[Completion date serial]]-tblWorkPackages[[#This Row],[Request date serial]]</f>
        <v>7</v>
      </c>
      <c r="AH1529" s="65">
        <f>IFERROR(INDEX(tblParts[Delay days],MATCH(tblWorkPackages[[#This Row],[Work package ID]],tblParts[Work package ID],0)),0)</f>
        <v>0</v>
      </c>
      <c r="AI1529" s="51" t="str">
        <f>IFERROR(INDEX(tblDisruptions[Event type],MATCH(tblWorkPackages[[#This Row],[Work package ID]],tblDisruptions[Work package ID],0)),"None")</f>
        <v>None</v>
      </c>
      <c r="AJ1529" s="51" t="str">
        <f>TEXT(tblWorkPackages[[#This Row],[Due date serial]],"yyyy-mm")</f>
        <v>2024-11</v>
      </c>
    </row>
    <row r="1530" spans="1:36" ht="15" x14ac:dyDescent="0.25">
      <c r="A1530" s="53" t="s">
        <v>2438</v>
      </c>
      <c r="B1530" s="53" t="s">
        <v>185</v>
      </c>
      <c r="C1530" s="53" t="s">
        <v>661</v>
      </c>
      <c r="D1530" s="53" t="s">
        <v>660</v>
      </c>
      <c r="E1530" s="53" t="s">
        <v>144</v>
      </c>
      <c r="F1530" s="53" t="s">
        <v>145</v>
      </c>
      <c r="G1530" s="53" t="s">
        <v>146</v>
      </c>
      <c r="H1530" s="53">
        <v>3</v>
      </c>
      <c r="I1530" s="53" t="s">
        <v>147</v>
      </c>
      <c r="J1530" s="53">
        <v>0</v>
      </c>
      <c r="K1530" s="53">
        <v>0</v>
      </c>
      <c r="L1530" s="53">
        <v>13.5</v>
      </c>
      <c r="M1530" s="53" t="s">
        <v>535</v>
      </c>
      <c r="N1530" s="53">
        <v>14.7</v>
      </c>
      <c r="O1530" s="51" t="str">
        <f>TEXT(tblWorkPackages[[#This Row],[Request date serial]]-WEEKDAY(tblWorkPackages[[#This Row],[Request date serial]],3),"yyyy-mm-dd")</f>
        <v>2024-09-16</v>
      </c>
      <c r="P1530" s="51">
        <f>ABS(tblWorkPackages[[#This Row],[Actual labor hours]]-tblWorkPackages[[#This Row],[Estimated labor hours]])</f>
        <v>1.2</v>
      </c>
      <c r="Q1530" s="51">
        <f>IF(tblWorkPackages[[#This Row],[Actual labor hours]]&gt;tblWorkPackages[[#This Row],[Estimated labor hours]],1,0)</f>
        <v>1</v>
      </c>
      <c r="R1530" s="51">
        <f>tblWorkPackages[[#This Row],[Actual labor hours]]-tblWorkPackages[[#This Row],[Estimated labor hours]]</f>
        <v>1.2</v>
      </c>
      <c r="S1530" s="51" t="str">
        <f>IF(tblWorkPackages[[#This Row],[Request date serial]]&lt;ValidationStart,"Train 2024",IF(tblWorkPackages[[#This Row],[Request date serial]]&lt;HoldoutStart,"Validation H1","Holdout H2"))</f>
        <v>Train 2024</v>
      </c>
      <c r="T1530" s="51" t="str">
        <f>IF(tblWorkPackages[[#This Row],[Time split]]="Train 2024","",tblWorkPackages[[#This Row],[Estimated labor hours]]+VLOOKUP(tblWorkPackages[[#This Row],[Task type]],'Forecast validation'!$A$14:$E$25,IF(tblWorkPackages[[#This Row],[Time split]]="Validation H1",4,5),FALSE()))</f>
        <v/>
      </c>
      <c r="U1530" s="51" t="str">
        <f>IF(tblWorkPackages[[#This Row],[Calibrated forecast hours]]="","",ABS(tblWorkPackages[[#This Row],[Actual labor hours]]-tblWorkPackages[[#This Row],[Calibrated forecast hours]]))</f>
        <v/>
      </c>
      <c r="V1530" s="51">
        <f>IF(tblWorkPackages[[#This Row],[Time split]]="Train 2024",tblWorkPackages[[#This Row],[Estimated labor hours]],tblWorkPackages[[#This Row],[Calibrated forecast hours]])</f>
        <v>13.5</v>
      </c>
      <c r="W1530" s="64">
        <f>DATEVALUE(tblWorkPackages[[#This Row],[Request date]])</f>
        <v>45554.0</v>
      </c>
      <c r="X1530" s="64">
        <f>DATEVALUE(tblWorkPackages[[#This Row],[Due date]])</f>
        <v>45556.0</v>
      </c>
      <c r="Y1530" s="64">
        <f>DATEVALUE(tblWorkPackages[[#This Row],[Completion date]])</f>
        <v>45602.0</v>
      </c>
      <c r="Z1530" s="64">
        <f>_xlfn.MINIFS(tblLaborEntries[Work date serial],tblLaborEntries[Work package ID],tblWorkPackages[[#This Row],[Work package ID]])</f>
        <v>45602.0</v>
      </c>
      <c r="AA1530" s="64">
        <f>_xlfn.MAXIFS(tblLaborEntries[Work date serial],tblLaborEntries[Work package ID],tblWorkPackages[[#This Row],[Work package ID]])</f>
        <v>45602.0</v>
      </c>
      <c r="AB1530" s="65">
        <f>IF(tblWorkPackages[[#This Row],[Completion date serial]]&gt;tblWorkPackages[[#This Row],[Due date serial]],1,0)</f>
        <v>1</v>
      </c>
      <c r="AC1530" s="65">
        <f>MAX(0,tblWorkPackages[[#This Row],[Completion date serial]]-tblWorkPackages[[#This Row],[Due date serial]])</f>
        <v>46</v>
      </c>
      <c r="AD1530" s="65">
        <f>tblWorkPackages[[#This Row],[First labor date]]-tblWorkPackages[[#This Row],[Request date serial]]</f>
        <v>48</v>
      </c>
      <c r="AE1530" s="65">
        <f>tblWorkPackages[[#This Row],[Last labor date]]-tblWorkPackages[[#This Row],[First labor date]]</f>
        <v>0</v>
      </c>
      <c r="AF1530" s="65">
        <f>tblWorkPackages[[#This Row],[Completion date serial]]-tblWorkPackages[[#This Row],[Last labor date]]</f>
        <v>0</v>
      </c>
      <c r="AG1530" s="65">
        <f>tblWorkPackages[[#This Row],[Completion date serial]]-tblWorkPackages[[#This Row],[Request date serial]]</f>
        <v>48</v>
      </c>
      <c r="AH1530" s="65">
        <f>IFERROR(INDEX(tblParts[Delay days],MATCH(tblWorkPackages[[#This Row],[Work package ID]],tblParts[Work package ID],0)),0)</f>
        <v>0</v>
      </c>
      <c r="AI1530" s="51" t="str">
        <f>IFERROR(INDEX(tblDisruptions[Event type],MATCH(tblWorkPackages[[#This Row],[Work package ID]],tblDisruptions[Work package ID],0)),"None")</f>
        <v>None</v>
      </c>
      <c r="AJ1530" s="51" t="str">
        <f>TEXT(tblWorkPackages[[#This Row],[Due date serial]],"yyyy-mm")</f>
        <v>2024-09</v>
      </c>
    </row>
    <row r="1531" spans="1:36" ht="15" x14ac:dyDescent="0.25">
      <c r="A1531" s="53" t="s">
        <v>2439</v>
      </c>
      <c r="B1531" s="53" t="s">
        <v>203</v>
      </c>
      <c r="C1531" s="53" t="s">
        <v>214</v>
      </c>
      <c r="D1531" s="53" t="s">
        <v>143</v>
      </c>
      <c r="E1531" s="53" t="s">
        <v>144</v>
      </c>
      <c r="F1531" s="53" t="s">
        <v>145</v>
      </c>
      <c r="G1531" s="53" t="s">
        <v>146</v>
      </c>
      <c r="H1531" s="53">
        <v>3</v>
      </c>
      <c r="I1531" s="53" t="s">
        <v>130</v>
      </c>
      <c r="J1531" s="53">
        <v>1</v>
      </c>
      <c r="K1531" s="53">
        <v>0</v>
      </c>
      <c r="L1531" s="53">
        <v>13.2</v>
      </c>
      <c r="M1531" s="53" t="s">
        <v>1315</v>
      </c>
      <c r="N1531" s="53">
        <v>14</v>
      </c>
      <c r="O1531" s="51" t="str">
        <f>TEXT(tblWorkPackages[[#This Row],[Request date serial]]-WEEKDAY(tblWorkPackages[[#This Row],[Request date serial]],3),"yyyy-mm-dd")</f>
        <v>2024-01-15</v>
      </c>
      <c r="P1531" s="51">
        <f>ABS(tblWorkPackages[[#This Row],[Actual labor hours]]-tblWorkPackages[[#This Row],[Estimated labor hours]])</f>
        <v>0.800000000000001</v>
      </c>
      <c r="Q1531" s="51">
        <f>IF(tblWorkPackages[[#This Row],[Actual labor hours]]&gt;tblWorkPackages[[#This Row],[Estimated labor hours]],1,0)</f>
        <v>1</v>
      </c>
      <c r="R1531" s="51">
        <f>tblWorkPackages[[#This Row],[Actual labor hours]]-tblWorkPackages[[#This Row],[Estimated labor hours]]</f>
        <v>0.800000000000001</v>
      </c>
      <c r="S1531" s="51" t="str">
        <f>IF(tblWorkPackages[[#This Row],[Request date serial]]&lt;ValidationStart,"Train 2024",IF(tblWorkPackages[[#This Row],[Request date serial]]&lt;HoldoutStart,"Validation H1","Holdout H2"))</f>
        <v>Train 2024</v>
      </c>
      <c r="T1531" s="51" t="str">
        <f>IF(tblWorkPackages[[#This Row],[Time split]]="Train 2024","",tblWorkPackages[[#This Row],[Estimated labor hours]]+VLOOKUP(tblWorkPackages[[#This Row],[Task type]],'Forecast validation'!$A$14:$E$25,IF(tblWorkPackages[[#This Row],[Time split]]="Validation H1",4,5),FALSE()))</f>
        <v/>
      </c>
      <c r="U1531" s="51" t="str">
        <f>IF(tblWorkPackages[[#This Row],[Calibrated forecast hours]]="","",ABS(tblWorkPackages[[#This Row],[Actual labor hours]]-tblWorkPackages[[#This Row],[Calibrated forecast hours]]))</f>
        <v/>
      </c>
      <c r="V1531" s="51">
        <f>IF(tblWorkPackages[[#This Row],[Time split]]="Train 2024",tblWorkPackages[[#This Row],[Estimated labor hours]],tblWorkPackages[[#This Row],[Calibrated forecast hours]])</f>
        <v>13.2</v>
      </c>
      <c r="W1531" s="64">
        <f>DATEVALUE(tblWorkPackages[[#This Row],[Request date]])</f>
        <v>45311.0</v>
      </c>
      <c r="X1531" s="64">
        <f>DATEVALUE(tblWorkPackages[[#This Row],[Due date]])</f>
        <v>45324.0</v>
      </c>
      <c r="Y1531" s="64">
        <f>DATEVALUE(tblWorkPackages[[#This Row],[Completion date]])</f>
        <v>45320.0</v>
      </c>
      <c r="Z1531" s="64">
        <f>_xlfn.MINIFS(tblLaborEntries[Work date serial],tblLaborEntries[Work package ID],tblWorkPackages[[#This Row],[Work package ID]])</f>
        <v>45319.0</v>
      </c>
      <c r="AA1531" s="64">
        <f>_xlfn.MAXIFS(tblLaborEntries[Work date serial],tblLaborEntries[Work package ID],tblWorkPackages[[#This Row],[Work package ID]])</f>
        <v>45319.0</v>
      </c>
      <c r="AB1531" s="65">
        <f>IF(tblWorkPackages[[#This Row],[Completion date serial]]&gt;tblWorkPackages[[#This Row],[Due date serial]],1,0)</f>
        <v>0</v>
      </c>
      <c r="AC1531" s="65">
        <f>MAX(0,tblWorkPackages[[#This Row],[Completion date serial]]-tblWorkPackages[[#This Row],[Due date serial]])</f>
        <v>0</v>
      </c>
      <c r="AD1531" s="65">
        <f>tblWorkPackages[[#This Row],[First labor date]]-tblWorkPackages[[#This Row],[Request date serial]]</f>
        <v>8</v>
      </c>
      <c r="AE1531" s="65">
        <f>tblWorkPackages[[#This Row],[Last labor date]]-tblWorkPackages[[#This Row],[First labor date]]</f>
        <v>0</v>
      </c>
      <c r="AF1531" s="65">
        <f>tblWorkPackages[[#This Row],[Completion date serial]]-tblWorkPackages[[#This Row],[Last labor date]]</f>
        <v>1</v>
      </c>
      <c r="AG1531" s="65">
        <f>tblWorkPackages[[#This Row],[Completion date serial]]-tblWorkPackages[[#This Row],[Request date serial]]</f>
        <v>9</v>
      </c>
      <c r="AH1531" s="65">
        <f>IFERROR(INDEX(tblParts[Delay days],MATCH(tblWorkPackages[[#This Row],[Work package ID]],tblParts[Work package ID],0)),0)</f>
        <v>0</v>
      </c>
      <c r="AI1531" s="51" t="str">
        <f>IFERROR(INDEX(tblDisruptions[Event type],MATCH(tblWorkPackages[[#This Row],[Work package ID]],tblDisruptions[Work package ID],0)),"None")</f>
        <v>None</v>
      </c>
      <c r="AJ1531" s="51" t="str">
        <f>TEXT(tblWorkPackages[[#This Row],[Due date serial]],"yyyy-mm")</f>
        <v>2024-02</v>
      </c>
    </row>
    <row r="1532" spans="1:36" ht="15" x14ac:dyDescent="0.25">
      <c r="A1532" s="53" t="s">
        <v>2440</v>
      </c>
      <c r="B1532" s="53" t="s">
        <v>203</v>
      </c>
      <c r="C1532" s="53" t="s">
        <v>991</v>
      </c>
      <c r="D1532" s="53" t="s">
        <v>1534</v>
      </c>
      <c r="E1532" s="53" t="s">
        <v>181</v>
      </c>
      <c r="F1532" s="53" t="s">
        <v>182</v>
      </c>
      <c r="G1532" s="53" t="s">
        <v>138</v>
      </c>
      <c r="H1532" s="53">
        <v>3</v>
      </c>
      <c r="I1532" s="53" t="s">
        <v>176</v>
      </c>
      <c r="J1532" s="53">
        <v>0</v>
      </c>
      <c r="K1532" s="53">
        <v>0</v>
      </c>
      <c r="L1532" s="53">
        <v>8.4</v>
      </c>
      <c r="M1532" s="53" t="s">
        <v>1534</v>
      </c>
      <c r="N1532" s="53">
        <v>7.5</v>
      </c>
      <c r="O1532" s="51" t="str">
        <f>TEXT(tblWorkPackages[[#This Row],[Request date serial]]-WEEKDAY(tblWorkPackages[[#This Row],[Request date serial]],3),"yyyy-mm-dd")</f>
        <v>2025-10-13</v>
      </c>
      <c r="P1532" s="51">
        <f>ABS(tblWorkPackages[[#This Row],[Actual labor hours]]-tblWorkPackages[[#This Row],[Estimated labor hours]])</f>
        <v>0.9</v>
      </c>
      <c r="Q1532" s="51">
        <f>IF(tblWorkPackages[[#This Row],[Actual labor hours]]&gt;tblWorkPackages[[#This Row],[Estimated labor hours]],1,0)</f>
        <v>0</v>
      </c>
      <c r="R1532" s="51">
        <f>tblWorkPackages[[#This Row],[Actual labor hours]]-tblWorkPackages[[#This Row],[Estimated labor hours]]</f>
        <v>-0.9</v>
      </c>
      <c r="S1532" s="51" t="str">
        <f>IF(tblWorkPackages[[#This Row],[Request date serial]]&lt;ValidationStart,"Train 2024",IF(tblWorkPackages[[#This Row],[Request date serial]]&lt;HoldoutStart,"Validation H1","Holdout H2"))</f>
        <v>Holdout H2</v>
      </c>
      <c r="T1532" s="51">
        <f>IF(tblWorkPackages[[#This Row],[Time split]]="Train 2024","",tblWorkPackages[[#This Row],[Estimated labor hours]]+VLOOKUP(tblWorkPackages[[#This Row],[Task type]],'Forecast validation'!$A$14:$E$25,IF(tblWorkPackages[[#This Row],[Time split]]="Validation H1",4,5),FALSE()))</f>
        <v>8.99160839160839</v>
      </c>
      <c r="U1532" s="51">
        <f>IF(tblWorkPackages[[#This Row],[Calibrated forecast hours]]="","",ABS(tblWorkPackages[[#This Row],[Actual labor hours]]-tblWorkPackages[[#This Row],[Calibrated forecast hours]]))</f>
        <v>1.49160839160839</v>
      </c>
      <c r="V1532" s="51">
        <f>IF(tblWorkPackages[[#This Row],[Time split]]="Train 2024",tblWorkPackages[[#This Row],[Estimated labor hours]],tblWorkPackages[[#This Row],[Calibrated forecast hours]])</f>
        <v>8.99160839160839</v>
      </c>
      <c r="W1532" s="64">
        <f>DATEVALUE(tblWorkPackages[[#This Row],[Request date]])</f>
        <v>45945.0</v>
      </c>
      <c r="X1532" s="64">
        <f>DATEVALUE(tblWorkPackages[[#This Row],[Due date]])</f>
        <v>45951.0</v>
      </c>
      <c r="Y1532" s="64">
        <f>DATEVALUE(tblWorkPackages[[#This Row],[Completion date]])</f>
        <v>45951.0</v>
      </c>
      <c r="Z1532" s="64">
        <f>_xlfn.MINIFS(tblLaborEntries[Work date serial],tblLaborEntries[Work package ID],tblWorkPackages[[#This Row],[Work package ID]])</f>
        <v>45947.0</v>
      </c>
      <c r="AA1532" s="64">
        <f>_xlfn.MAXIFS(tblLaborEntries[Work date serial],tblLaborEntries[Work package ID],tblWorkPackages[[#This Row],[Work package ID]])</f>
        <v>45949.0</v>
      </c>
      <c r="AB1532" s="65">
        <f>IF(tblWorkPackages[[#This Row],[Completion date serial]]&gt;tblWorkPackages[[#This Row],[Due date serial]],1,0)</f>
        <v>0</v>
      </c>
      <c r="AC1532" s="65">
        <f>MAX(0,tblWorkPackages[[#This Row],[Completion date serial]]-tblWorkPackages[[#This Row],[Due date serial]])</f>
        <v>0</v>
      </c>
      <c r="AD1532" s="65">
        <f>tblWorkPackages[[#This Row],[First labor date]]-tblWorkPackages[[#This Row],[Request date serial]]</f>
        <v>2</v>
      </c>
      <c r="AE1532" s="65">
        <f>tblWorkPackages[[#This Row],[Last labor date]]-tblWorkPackages[[#This Row],[First labor date]]</f>
        <v>2</v>
      </c>
      <c r="AF1532" s="65">
        <f>tblWorkPackages[[#This Row],[Completion date serial]]-tblWorkPackages[[#This Row],[Last labor date]]</f>
        <v>2</v>
      </c>
      <c r="AG1532" s="65">
        <f>tblWorkPackages[[#This Row],[Completion date serial]]-tblWorkPackages[[#This Row],[Request date serial]]</f>
        <v>6</v>
      </c>
      <c r="AH1532" s="65">
        <f>IFERROR(INDEX(tblParts[Delay days],MATCH(tblWorkPackages[[#This Row],[Work package ID]],tblParts[Work package ID],0)),0)</f>
        <v>0</v>
      </c>
      <c r="AI1532" s="51" t="str">
        <f>IFERROR(INDEX(tblDisruptions[Event type],MATCH(tblWorkPackages[[#This Row],[Work package ID]],tblDisruptions[Work package ID],0)),"None")</f>
        <v>None</v>
      </c>
      <c r="AJ1532" s="51" t="str">
        <f>TEXT(tblWorkPackages[[#This Row],[Due date serial]],"yyyy-mm")</f>
        <v>2025-10</v>
      </c>
    </row>
    <row r="1533" spans="1:36" ht="15" x14ac:dyDescent="0.25">
      <c r="A1533" s="53" t="s">
        <v>2441</v>
      </c>
      <c r="B1533" s="53" t="s">
        <v>287</v>
      </c>
      <c r="C1533" s="53" t="s">
        <v>131</v>
      </c>
      <c r="D1533" s="53" t="s">
        <v>1076</v>
      </c>
      <c r="E1533" s="53" t="s">
        <v>144</v>
      </c>
      <c r="F1533" s="53" t="s">
        <v>145</v>
      </c>
      <c r="G1533" s="53" t="s">
        <v>146</v>
      </c>
      <c r="H1533" s="53">
        <v>1</v>
      </c>
      <c r="I1533" s="53" t="s">
        <v>130</v>
      </c>
      <c r="J1533" s="53">
        <v>1</v>
      </c>
      <c r="K1533" s="53">
        <v>0</v>
      </c>
      <c r="L1533" s="53">
        <v>7.8</v>
      </c>
      <c r="M1533" s="53" t="s">
        <v>568</v>
      </c>
      <c r="N1533" s="53">
        <v>10.3</v>
      </c>
      <c r="O1533" s="51" t="str">
        <f>TEXT(tblWorkPackages[[#This Row],[Request date serial]]-WEEKDAY(tblWorkPackages[[#This Row],[Request date serial]],3),"yyyy-mm-dd")</f>
        <v>2025-05-12</v>
      </c>
      <c r="P1533" s="51">
        <f>ABS(tblWorkPackages[[#This Row],[Actual labor hours]]-tblWorkPackages[[#This Row],[Estimated labor hours]])</f>
        <v>2.5</v>
      </c>
      <c r="Q1533" s="51">
        <f>IF(tblWorkPackages[[#This Row],[Actual labor hours]]&gt;tblWorkPackages[[#This Row],[Estimated labor hours]],1,0)</f>
        <v>1</v>
      </c>
      <c r="R1533" s="51">
        <f>tblWorkPackages[[#This Row],[Actual labor hours]]-tblWorkPackages[[#This Row],[Estimated labor hours]]</f>
        <v>2.5</v>
      </c>
      <c r="S1533" s="51" t="str">
        <f>IF(tblWorkPackages[[#This Row],[Request date serial]]&lt;ValidationStart,"Train 2024",IF(tblWorkPackages[[#This Row],[Request date serial]]&lt;HoldoutStart,"Validation H1","Holdout H2"))</f>
        <v>Validation H1</v>
      </c>
      <c r="T1533" s="51">
        <f>IF(tblWorkPackages[[#This Row],[Time split]]="Train 2024","",tblWorkPackages[[#This Row],[Estimated labor hours]]+VLOOKUP(tblWorkPackages[[#This Row],[Task type]],'Forecast validation'!$A$14:$E$25,IF(tblWorkPackages[[#This Row],[Time split]]="Validation H1",4,5),FALSE()))</f>
        <v>8.55473684210526</v>
      </c>
      <c r="U1533" s="51">
        <f>IF(tblWorkPackages[[#This Row],[Calibrated forecast hours]]="","",ABS(tblWorkPackages[[#This Row],[Actual labor hours]]-tblWorkPackages[[#This Row],[Calibrated forecast hours]]))</f>
        <v>1.74526315789474</v>
      </c>
      <c r="V1533" s="51">
        <f>IF(tblWorkPackages[[#This Row],[Time split]]="Train 2024",tblWorkPackages[[#This Row],[Estimated labor hours]],tblWorkPackages[[#This Row],[Calibrated forecast hours]])</f>
        <v>8.55473684210526</v>
      </c>
      <c r="W1533" s="64">
        <f>DATEVALUE(tblWorkPackages[[#This Row],[Request date]])</f>
        <v>45791.0</v>
      </c>
      <c r="X1533" s="64">
        <f>DATEVALUE(tblWorkPackages[[#This Row],[Due date]])</f>
        <v>45804.0</v>
      </c>
      <c r="Y1533" s="64">
        <f>DATEVALUE(tblWorkPackages[[#This Row],[Completion date]])</f>
        <v>45813.0</v>
      </c>
      <c r="Z1533" s="64">
        <f>_xlfn.MINIFS(tblLaborEntries[Work date serial],tblLaborEntries[Work package ID],tblWorkPackages[[#This Row],[Work package ID]])</f>
        <v>45810.0</v>
      </c>
      <c r="AA1533" s="64">
        <f>_xlfn.MAXIFS(tblLaborEntries[Work date serial],tblLaborEntries[Work package ID],tblWorkPackages[[#This Row],[Work package ID]])</f>
        <v>45810.0</v>
      </c>
      <c r="AB1533" s="65">
        <f>IF(tblWorkPackages[[#This Row],[Completion date serial]]&gt;tblWorkPackages[[#This Row],[Due date serial]],1,0)</f>
        <v>1</v>
      </c>
      <c r="AC1533" s="65">
        <f>MAX(0,tblWorkPackages[[#This Row],[Completion date serial]]-tblWorkPackages[[#This Row],[Due date serial]])</f>
        <v>9</v>
      </c>
      <c r="AD1533" s="65">
        <f>tblWorkPackages[[#This Row],[First labor date]]-tblWorkPackages[[#This Row],[Request date serial]]</f>
        <v>19</v>
      </c>
      <c r="AE1533" s="65">
        <f>tblWorkPackages[[#This Row],[Last labor date]]-tblWorkPackages[[#This Row],[First labor date]]</f>
        <v>0</v>
      </c>
      <c r="AF1533" s="65">
        <f>tblWorkPackages[[#This Row],[Completion date serial]]-tblWorkPackages[[#This Row],[Last labor date]]</f>
        <v>3</v>
      </c>
      <c r="AG1533" s="65">
        <f>tblWorkPackages[[#This Row],[Completion date serial]]-tblWorkPackages[[#This Row],[Request date serial]]</f>
        <v>22</v>
      </c>
      <c r="AH1533" s="65">
        <f>IFERROR(INDEX(tblParts[Delay days],MATCH(tblWorkPackages[[#This Row],[Work package ID]],tblParts[Work package ID],0)),0)</f>
        <v>0</v>
      </c>
      <c r="AI1533" s="51" t="str">
        <f>IFERROR(INDEX(tblDisruptions[Event type],MATCH(tblWorkPackages[[#This Row],[Work package ID]],tblDisruptions[Work package ID],0)),"None")</f>
        <v>None</v>
      </c>
      <c r="AJ1533" s="51" t="str">
        <f>TEXT(tblWorkPackages[[#This Row],[Due date serial]],"yyyy-mm")</f>
        <v>2025-05</v>
      </c>
    </row>
    <row r="1534" spans="1:36" ht="15" x14ac:dyDescent="0.25">
      <c r="A1534" s="53" t="s">
        <v>2442</v>
      </c>
      <c r="B1534" s="53" t="s">
        <v>157</v>
      </c>
      <c r="C1534" s="53" t="s">
        <v>1400</v>
      </c>
      <c r="D1534" s="53" t="s">
        <v>780</v>
      </c>
      <c r="E1534" s="53" t="s">
        <v>127</v>
      </c>
      <c r="F1534" s="53" t="s">
        <v>128</v>
      </c>
      <c r="G1534" s="53" t="s">
        <v>129</v>
      </c>
      <c r="H1534" s="53">
        <v>3</v>
      </c>
      <c r="I1534" s="53" t="s">
        <v>130</v>
      </c>
      <c r="J1534" s="53">
        <v>0</v>
      </c>
      <c r="K1534" s="53">
        <v>0</v>
      </c>
      <c r="L1534" s="53">
        <v>8.5</v>
      </c>
      <c r="M1534" s="53" t="s">
        <v>768</v>
      </c>
      <c r="N1534" s="53">
        <v>9.4</v>
      </c>
      <c r="O1534" s="51" t="str">
        <f>TEXT(tblWorkPackages[[#This Row],[Request date serial]]-WEEKDAY(tblWorkPackages[[#This Row],[Request date serial]],3),"yyyy-mm-dd")</f>
        <v>2025-12-01</v>
      </c>
      <c r="P1534" s="51">
        <f>ABS(tblWorkPackages[[#This Row],[Actual labor hours]]-tblWorkPackages[[#This Row],[Estimated labor hours]])</f>
        <v>0.9</v>
      </c>
      <c r="Q1534" s="51">
        <f>IF(tblWorkPackages[[#This Row],[Actual labor hours]]&gt;tblWorkPackages[[#This Row],[Estimated labor hours]],1,0)</f>
        <v>1</v>
      </c>
      <c r="R1534" s="51">
        <f>tblWorkPackages[[#This Row],[Actual labor hours]]-tblWorkPackages[[#This Row],[Estimated labor hours]]</f>
        <v>0.9</v>
      </c>
      <c r="S1534" s="51" t="str">
        <f>IF(tblWorkPackages[[#This Row],[Request date serial]]&lt;ValidationStart,"Train 2024",IF(tblWorkPackages[[#This Row],[Request date serial]]&lt;HoldoutStart,"Validation H1","Holdout H2"))</f>
        <v>Holdout H2</v>
      </c>
      <c r="T1534" s="51">
        <f>IF(tblWorkPackages[[#This Row],[Time split]]="Train 2024","",tblWorkPackages[[#This Row],[Estimated labor hours]]+VLOOKUP(tblWorkPackages[[#This Row],[Task type]],'Forecast validation'!$A$14:$E$25,IF(tblWorkPackages[[#This Row],[Time split]]="Validation H1",4,5),FALSE()))</f>
        <v>9.04341085271318</v>
      </c>
      <c r="U1534" s="51">
        <f>IF(tblWorkPackages[[#This Row],[Calibrated forecast hours]]="","",ABS(tblWorkPackages[[#This Row],[Actual labor hours]]-tblWorkPackages[[#This Row],[Calibrated forecast hours]]))</f>
        <v>0.356589147286822</v>
      </c>
      <c r="V1534" s="51">
        <f>IF(tblWorkPackages[[#This Row],[Time split]]="Train 2024",tblWorkPackages[[#This Row],[Estimated labor hours]],tblWorkPackages[[#This Row],[Calibrated forecast hours]])</f>
        <v>9.04341085271318</v>
      </c>
      <c r="W1534" s="64">
        <f>DATEVALUE(tblWorkPackages[[#This Row],[Request date]])</f>
        <v>45996.0</v>
      </c>
      <c r="X1534" s="64">
        <f>DATEVALUE(tblWorkPackages[[#This Row],[Due date]])</f>
        <v>46009.0</v>
      </c>
      <c r="Y1534" s="64">
        <f>DATEVALUE(tblWorkPackages[[#This Row],[Completion date]])</f>
        <v>46001.0</v>
      </c>
      <c r="Z1534" s="64">
        <f>_xlfn.MINIFS(tblLaborEntries[Work date serial],tblLaborEntries[Work package ID],tblWorkPackages[[#This Row],[Work package ID]])</f>
        <v>46000.0</v>
      </c>
      <c r="AA1534" s="64">
        <f>_xlfn.MAXIFS(tblLaborEntries[Work date serial],tblLaborEntries[Work package ID],tblWorkPackages[[#This Row],[Work package ID]])</f>
        <v>46001.0</v>
      </c>
      <c r="AB1534" s="65">
        <f>IF(tblWorkPackages[[#This Row],[Completion date serial]]&gt;tblWorkPackages[[#This Row],[Due date serial]],1,0)</f>
        <v>0</v>
      </c>
      <c r="AC1534" s="65">
        <f>MAX(0,tblWorkPackages[[#This Row],[Completion date serial]]-tblWorkPackages[[#This Row],[Due date serial]])</f>
        <v>0</v>
      </c>
      <c r="AD1534" s="65">
        <f>tblWorkPackages[[#This Row],[First labor date]]-tblWorkPackages[[#This Row],[Request date serial]]</f>
        <v>4</v>
      </c>
      <c r="AE1534" s="65">
        <f>tblWorkPackages[[#This Row],[Last labor date]]-tblWorkPackages[[#This Row],[First labor date]]</f>
        <v>1</v>
      </c>
      <c r="AF1534" s="65">
        <f>tblWorkPackages[[#This Row],[Completion date serial]]-tblWorkPackages[[#This Row],[Last labor date]]</f>
        <v>0</v>
      </c>
      <c r="AG1534" s="65">
        <f>tblWorkPackages[[#This Row],[Completion date serial]]-tblWorkPackages[[#This Row],[Request date serial]]</f>
        <v>5</v>
      </c>
      <c r="AH1534" s="65">
        <f>IFERROR(INDEX(tblParts[Delay days],MATCH(tblWorkPackages[[#This Row],[Work package ID]],tblParts[Work package ID],0)),0)</f>
        <v>0</v>
      </c>
      <c r="AI1534" s="51" t="str">
        <f>IFERROR(INDEX(tblDisruptions[Event type],MATCH(tblWorkPackages[[#This Row],[Work package ID]],tblDisruptions[Work package ID],0)),"None")</f>
        <v>Equipment unavailable</v>
      </c>
      <c r="AJ1534" s="51" t="str">
        <f>TEXT(tblWorkPackages[[#This Row],[Due date serial]],"yyyy-mm")</f>
        <v>2025-12</v>
      </c>
    </row>
    <row r="1535" spans="1:36" ht="15" x14ac:dyDescent="0.25">
      <c r="A1535" s="53" t="s">
        <v>2443</v>
      </c>
      <c r="B1535" s="53" t="s">
        <v>235</v>
      </c>
      <c r="C1535" s="53" t="s">
        <v>711</v>
      </c>
      <c r="D1535" s="53" t="s">
        <v>502</v>
      </c>
      <c r="E1535" s="53" t="s">
        <v>272</v>
      </c>
      <c r="F1535" s="53" t="s">
        <v>145</v>
      </c>
      <c r="G1535" s="53" t="s">
        <v>273</v>
      </c>
      <c r="H1535" s="53">
        <v>2</v>
      </c>
      <c r="I1535" s="53" t="s">
        <v>130</v>
      </c>
      <c r="J1535" s="53">
        <v>0</v>
      </c>
      <c r="K1535" s="53">
        <v>0</v>
      </c>
      <c r="L1535" s="53">
        <v>12</v>
      </c>
      <c r="M1535" s="53" t="s">
        <v>714</v>
      </c>
      <c r="N1535" s="53">
        <v>10.4</v>
      </c>
      <c r="O1535" s="51" t="str">
        <f>TEXT(tblWorkPackages[[#This Row],[Request date serial]]-WEEKDAY(tblWorkPackages[[#This Row],[Request date serial]],3),"yyyy-mm-dd")</f>
        <v>2025-06-16</v>
      </c>
      <c r="P1535" s="51">
        <f>ABS(tblWorkPackages[[#This Row],[Actual labor hours]]-tblWorkPackages[[#This Row],[Estimated labor hours]])</f>
        <v>1.6</v>
      </c>
      <c r="Q1535" s="51">
        <f>IF(tblWorkPackages[[#This Row],[Actual labor hours]]&gt;tblWorkPackages[[#This Row],[Estimated labor hours]],1,0)</f>
        <v>0</v>
      </c>
      <c r="R1535" s="51">
        <f>tblWorkPackages[[#This Row],[Actual labor hours]]-tblWorkPackages[[#This Row],[Estimated labor hours]]</f>
        <v>-1.6</v>
      </c>
      <c r="S1535" s="51" t="str">
        <f>IF(tblWorkPackages[[#This Row],[Request date serial]]&lt;ValidationStart,"Train 2024",IF(tblWorkPackages[[#This Row],[Request date serial]]&lt;HoldoutStart,"Validation H1","Holdout H2"))</f>
        <v>Validation H1</v>
      </c>
      <c r="T1535" s="51">
        <f>IF(tblWorkPackages[[#This Row],[Time split]]="Train 2024","",tblWorkPackages[[#This Row],[Estimated labor hours]]+VLOOKUP(tblWorkPackages[[#This Row],[Task type]],'Forecast validation'!$A$14:$E$25,IF(tblWorkPackages[[#This Row],[Time split]]="Validation H1",4,5),FALSE()))</f>
        <v>13.0320512820513</v>
      </c>
      <c r="U1535" s="51">
        <f>IF(tblWorkPackages[[#This Row],[Calibrated forecast hours]]="","",ABS(tblWorkPackages[[#This Row],[Actual labor hours]]-tblWorkPackages[[#This Row],[Calibrated forecast hours]]))</f>
        <v>2.63205128205128</v>
      </c>
      <c r="V1535" s="51">
        <f>IF(tblWorkPackages[[#This Row],[Time split]]="Train 2024",tblWorkPackages[[#This Row],[Estimated labor hours]],tblWorkPackages[[#This Row],[Calibrated forecast hours]])</f>
        <v>13.0320512820513</v>
      </c>
      <c r="W1535" s="64">
        <f>DATEVALUE(tblWorkPackages[[#This Row],[Request date]])</f>
        <v>45827.0</v>
      </c>
      <c r="X1535" s="64">
        <f>DATEVALUE(tblWorkPackages[[#This Row],[Due date]])</f>
        <v>45840.0</v>
      </c>
      <c r="Y1535" s="64">
        <f>DATEVALUE(tblWorkPackages[[#This Row],[Completion date]])</f>
        <v>45829.0</v>
      </c>
      <c r="Z1535" s="64">
        <f>_xlfn.MINIFS(tblLaborEntries[Work date serial],tblLaborEntries[Work package ID],tblWorkPackages[[#This Row],[Work package ID]])</f>
        <v>45828.0</v>
      </c>
      <c r="AA1535" s="64">
        <f>_xlfn.MAXIFS(tblLaborEntries[Work date serial],tblLaborEntries[Work package ID],tblWorkPackages[[#This Row],[Work package ID]])</f>
        <v>45828.0</v>
      </c>
      <c r="AB1535" s="65">
        <f>IF(tblWorkPackages[[#This Row],[Completion date serial]]&gt;tblWorkPackages[[#This Row],[Due date serial]],1,0)</f>
        <v>0</v>
      </c>
      <c r="AC1535" s="65">
        <f>MAX(0,tblWorkPackages[[#This Row],[Completion date serial]]-tblWorkPackages[[#This Row],[Due date serial]])</f>
        <v>0</v>
      </c>
      <c r="AD1535" s="65">
        <f>tblWorkPackages[[#This Row],[First labor date]]-tblWorkPackages[[#This Row],[Request date serial]]</f>
        <v>1</v>
      </c>
      <c r="AE1535" s="65">
        <f>tblWorkPackages[[#This Row],[Last labor date]]-tblWorkPackages[[#This Row],[First labor date]]</f>
        <v>0</v>
      </c>
      <c r="AF1535" s="65">
        <f>tblWorkPackages[[#This Row],[Completion date serial]]-tblWorkPackages[[#This Row],[Last labor date]]</f>
        <v>1</v>
      </c>
      <c r="AG1535" s="65">
        <f>tblWorkPackages[[#This Row],[Completion date serial]]-tblWorkPackages[[#This Row],[Request date serial]]</f>
        <v>2</v>
      </c>
      <c r="AH1535" s="65">
        <f>IFERROR(INDEX(tblParts[Delay days],MATCH(tblWorkPackages[[#This Row],[Work package ID]],tblParts[Work package ID],0)),0)</f>
        <v>0</v>
      </c>
      <c r="AI1535" s="51" t="str">
        <f>IFERROR(INDEX(tblDisruptions[Event type],MATCH(tblWorkPackages[[#This Row],[Work package ID]],tblDisruptions[Work package ID],0)),"None")</f>
        <v>None</v>
      </c>
      <c r="AJ1535" s="51" t="str">
        <f>TEXT(tblWorkPackages[[#This Row],[Due date serial]],"yyyy-mm")</f>
        <v>2025-07</v>
      </c>
    </row>
    <row r="1536" spans="1:36" ht="15" x14ac:dyDescent="0.25">
      <c r="A1536" s="53" t="s">
        <v>2444</v>
      </c>
      <c r="B1536" s="53" t="s">
        <v>133</v>
      </c>
      <c r="C1536" s="53" t="s">
        <v>956</v>
      </c>
      <c r="D1536" s="53" t="s">
        <v>549</v>
      </c>
      <c r="E1536" s="53" t="s">
        <v>181</v>
      </c>
      <c r="F1536" s="53" t="s">
        <v>182</v>
      </c>
      <c r="G1536" s="53" t="s">
        <v>138</v>
      </c>
      <c r="H1536" s="53">
        <v>2</v>
      </c>
      <c r="I1536" s="53" t="s">
        <v>130</v>
      </c>
      <c r="J1536" s="53">
        <v>0</v>
      </c>
      <c r="K1536" s="53">
        <v>0</v>
      </c>
      <c r="L1536" s="53">
        <v>7.7</v>
      </c>
      <c r="M1536" s="53" t="s">
        <v>549</v>
      </c>
      <c r="N1536" s="53">
        <v>9.8000000000000007</v>
      </c>
      <c r="O1536" s="51" t="str">
        <f>TEXT(tblWorkPackages[[#This Row],[Request date serial]]-WEEKDAY(tblWorkPackages[[#This Row],[Request date serial]],3),"yyyy-mm-dd")</f>
        <v>2024-06-10</v>
      </c>
      <c r="P1536" s="51">
        <f>ABS(tblWorkPackages[[#This Row],[Actual labor hours]]-tblWorkPackages[[#This Row],[Estimated labor hours]])</f>
        <v>2.1</v>
      </c>
      <c r="Q1536" s="51">
        <f>IF(tblWorkPackages[[#This Row],[Actual labor hours]]&gt;tblWorkPackages[[#This Row],[Estimated labor hours]],1,0)</f>
        <v>1</v>
      </c>
      <c r="R1536" s="51">
        <f>tblWorkPackages[[#This Row],[Actual labor hours]]-tblWorkPackages[[#This Row],[Estimated labor hours]]</f>
        <v>2.1</v>
      </c>
      <c r="S1536" s="51" t="str">
        <f>IF(tblWorkPackages[[#This Row],[Request date serial]]&lt;ValidationStart,"Train 2024",IF(tblWorkPackages[[#This Row],[Request date serial]]&lt;HoldoutStart,"Validation H1","Holdout H2"))</f>
        <v>Train 2024</v>
      </c>
      <c r="T1536" s="51" t="str">
        <f>IF(tblWorkPackages[[#This Row],[Time split]]="Train 2024","",tblWorkPackages[[#This Row],[Estimated labor hours]]+VLOOKUP(tblWorkPackages[[#This Row],[Task type]],'Forecast validation'!$A$14:$E$25,IF(tblWorkPackages[[#This Row],[Time split]]="Validation H1",4,5),FALSE()))</f>
        <v/>
      </c>
      <c r="U1536" s="51" t="str">
        <f>IF(tblWorkPackages[[#This Row],[Calibrated forecast hours]]="","",ABS(tblWorkPackages[[#This Row],[Actual labor hours]]-tblWorkPackages[[#This Row],[Calibrated forecast hours]]))</f>
        <v/>
      </c>
      <c r="V1536" s="51">
        <f>IF(tblWorkPackages[[#This Row],[Time split]]="Train 2024",tblWorkPackages[[#This Row],[Estimated labor hours]],tblWorkPackages[[#This Row],[Calibrated forecast hours]])</f>
        <v>7.7</v>
      </c>
      <c r="W1536" s="64">
        <f>DATEVALUE(tblWorkPackages[[#This Row],[Request date]])</f>
        <v>45456.0</v>
      </c>
      <c r="X1536" s="64">
        <f>DATEVALUE(tblWorkPackages[[#This Row],[Due date]])</f>
        <v>45469.0</v>
      </c>
      <c r="Y1536" s="64">
        <f>DATEVALUE(tblWorkPackages[[#This Row],[Completion date]])</f>
        <v>45469.0</v>
      </c>
      <c r="Z1536" s="64">
        <f>_xlfn.MINIFS(tblLaborEntries[Work date serial],tblLaborEntries[Work package ID],tblWorkPackages[[#This Row],[Work package ID]])</f>
        <v>45467.0</v>
      </c>
      <c r="AA1536" s="64">
        <f>_xlfn.MAXIFS(tblLaborEntries[Work date serial],tblLaborEntries[Work package ID],tblWorkPackages[[#This Row],[Work package ID]])</f>
        <v>45467.0</v>
      </c>
      <c r="AB1536" s="65">
        <f>IF(tblWorkPackages[[#This Row],[Completion date serial]]&gt;tblWorkPackages[[#This Row],[Due date serial]],1,0)</f>
        <v>0</v>
      </c>
      <c r="AC1536" s="65">
        <f>MAX(0,tblWorkPackages[[#This Row],[Completion date serial]]-tblWorkPackages[[#This Row],[Due date serial]])</f>
        <v>0</v>
      </c>
      <c r="AD1536" s="65">
        <f>tblWorkPackages[[#This Row],[First labor date]]-tblWorkPackages[[#This Row],[Request date serial]]</f>
        <v>11</v>
      </c>
      <c r="AE1536" s="65">
        <f>tblWorkPackages[[#This Row],[Last labor date]]-tblWorkPackages[[#This Row],[First labor date]]</f>
        <v>0</v>
      </c>
      <c r="AF1536" s="65">
        <f>tblWorkPackages[[#This Row],[Completion date serial]]-tblWorkPackages[[#This Row],[Last labor date]]</f>
        <v>2</v>
      </c>
      <c r="AG1536" s="65">
        <f>tblWorkPackages[[#This Row],[Completion date serial]]-tblWorkPackages[[#This Row],[Request date serial]]</f>
        <v>13</v>
      </c>
      <c r="AH1536" s="65">
        <f>IFERROR(INDEX(tblParts[Delay days],MATCH(tblWorkPackages[[#This Row],[Work package ID]],tblParts[Work package ID],0)),0)</f>
        <v>0</v>
      </c>
      <c r="AI1536" s="51" t="str">
        <f>IFERROR(INDEX(tblDisruptions[Event type],MATCH(tblWorkPackages[[#This Row],[Work package ID]],tblDisruptions[Work package ID],0)),"None")</f>
        <v>None</v>
      </c>
      <c r="AJ1536" s="51" t="str">
        <f>TEXT(tblWorkPackages[[#This Row],[Due date serial]],"yyyy-mm")</f>
        <v>2024-06</v>
      </c>
    </row>
    <row r="1537" spans="1:36" ht="15" x14ac:dyDescent="0.25">
      <c r="A1537" s="53" t="s">
        <v>2445</v>
      </c>
      <c r="B1537" s="53" t="s">
        <v>133</v>
      </c>
      <c r="C1537" s="53" t="s">
        <v>705</v>
      </c>
      <c r="D1537" s="53" t="s">
        <v>165</v>
      </c>
      <c r="E1537" s="53" t="s">
        <v>272</v>
      </c>
      <c r="F1537" s="53" t="s">
        <v>145</v>
      </c>
      <c r="G1537" s="53" t="s">
        <v>273</v>
      </c>
      <c r="H1537" s="53">
        <v>1</v>
      </c>
      <c r="I1537" s="53" t="s">
        <v>130</v>
      </c>
      <c r="J1537" s="53">
        <v>0</v>
      </c>
      <c r="K1537" s="53">
        <v>0</v>
      </c>
      <c r="L1537" s="53">
        <v>7.6</v>
      </c>
      <c r="M1537" s="53" t="s">
        <v>704</v>
      </c>
      <c r="N1537" s="53">
        <v>9.3000000000000007</v>
      </c>
      <c r="O1537" s="51" t="str">
        <f>TEXT(tblWorkPackages[[#This Row],[Request date serial]]-WEEKDAY(tblWorkPackages[[#This Row],[Request date serial]],3),"yyyy-mm-dd")</f>
        <v>2024-06-17</v>
      </c>
      <c r="P1537" s="51">
        <f>ABS(tblWorkPackages[[#This Row],[Actual labor hours]]-tblWorkPackages[[#This Row],[Estimated labor hours]])</f>
        <v>1.7</v>
      </c>
      <c r="Q1537" s="51">
        <f>IF(tblWorkPackages[[#This Row],[Actual labor hours]]&gt;tblWorkPackages[[#This Row],[Estimated labor hours]],1,0)</f>
        <v>1</v>
      </c>
      <c r="R1537" s="51">
        <f>tblWorkPackages[[#This Row],[Actual labor hours]]-tblWorkPackages[[#This Row],[Estimated labor hours]]</f>
        <v>1.7</v>
      </c>
      <c r="S1537" s="51" t="str">
        <f>IF(tblWorkPackages[[#This Row],[Request date serial]]&lt;ValidationStart,"Train 2024",IF(tblWorkPackages[[#This Row],[Request date serial]]&lt;HoldoutStart,"Validation H1","Holdout H2"))</f>
        <v>Train 2024</v>
      </c>
      <c r="T1537" s="51" t="str">
        <f>IF(tblWorkPackages[[#This Row],[Time split]]="Train 2024","",tblWorkPackages[[#This Row],[Estimated labor hours]]+VLOOKUP(tblWorkPackages[[#This Row],[Task type]],'Forecast validation'!$A$14:$E$25,IF(tblWorkPackages[[#This Row],[Time split]]="Validation H1",4,5),FALSE()))</f>
        <v/>
      </c>
      <c r="U1537" s="51" t="str">
        <f>IF(tblWorkPackages[[#This Row],[Calibrated forecast hours]]="","",ABS(tblWorkPackages[[#This Row],[Actual labor hours]]-tblWorkPackages[[#This Row],[Calibrated forecast hours]]))</f>
        <v/>
      </c>
      <c r="V1537" s="51">
        <f>IF(tblWorkPackages[[#This Row],[Time split]]="Train 2024",tblWorkPackages[[#This Row],[Estimated labor hours]],tblWorkPackages[[#This Row],[Calibrated forecast hours]])</f>
        <v>7.6</v>
      </c>
      <c r="W1537" s="64">
        <f>DATEVALUE(tblWorkPackages[[#This Row],[Request date]])</f>
        <v>45461.0</v>
      </c>
      <c r="X1537" s="64">
        <f>DATEVALUE(tblWorkPackages[[#This Row],[Due date]])</f>
        <v>45474.0</v>
      </c>
      <c r="Y1537" s="64">
        <f>DATEVALUE(tblWorkPackages[[#This Row],[Completion date]])</f>
        <v>45467.0</v>
      </c>
      <c r="Z1537" s="64">
        <f>_xlfn.MINIFS(tblLaborEntries[Work date serial],tblLaborEntries[Work package ID],tblWorkPackages[[#This Row],[Work package ID]])</f>
        <v>45464.0</v>
      </c>
      <c r="AA1537" s="64">
        <f>_xlfn.MAXIFS(tblLaborEntries[Work date serial],tblLaborEntries[Work package ID],tblWorkPackages[[#This Row],[Work package ID]])</f>
        <v>45464.0</v>
      </c>
      <c r="AB1537" s="65">
        <f>IF(tblWorkPackages[[#This Row],[Completion date serial]]&gt;tblWorkPackages[[#This Row],[Due date serial]],1,0)</f>
        <v>0</v>
      </c>
      <c r="AC1537" s="65">
        <f>MAX(0,tblWorkPackages[[#This Row],[Completion date serial]]-tblWorkPackages[[#This Row],[Due date serial]])</f>
        <v>0</v>
      </c>
      <c r="AD1537" s="65">
        <f>tblWorkPackages[[#This Row],[First labor date]]-tblWorkPackages[[#This Row],[Request date serial]]</f>
        <v>3</v>
      </c>
      <c r="AE1537" s="65">
        <f>tblWorkPackages[[#This Row],[Last labor date]]-tblWorkPackages[[#This Row],[First labor date]]</f>
        <v>0</v>
      </c>
      <c r="AF1537" s="65">
        <f>tblWorkPackages[[#This Row],[Completion date serial]]-tblWorkPackages[[#This Row],[Last labor date]]</f>
        <v>3</v>
      </c>
      <c r="AG1537" s="65">
        <f>tblWorkPackages[[#This Row],[Completion date serial]]-tblWorkPackages[[#This Row],[Request date serial]]</f>
        <v>6</v>
      </c>
      <c r="AH1537" s="65">
        <f>IFERROR(INDEX(tblParts[Delay days],MATCH(tblWorkPackages[[#This Row],[Work package ID]],tblParts[Work package ID],0)),0)</f>
        <v>0</v>
      </c>
      <c r="AI1537" s="51" t="str">
        <f>IFERROR(INDEX(tblDisruptions[Event type],MATCH(tblWorkPackages[[#This Row],[Work package ID]],tblDisruptions[Work package ID],0)),"None")</f>
        <v>None</v>
      </c>
      <c r="AJ1537" s="51" t="str">
        <f>TEXT(tblWorkPackages[[#This Row],[Due date serial]],"yyyy-mm")</f>
        <v>2024-07</v>
      </c>
    </row>
    <row r="1538" spans="1:36" ht="15" x14ac:dyDescent="0.25">
      <c r="A1538" s="53" t="s">
        <v>2446</v>
      </c>
      <c r="B1538" s="53" t="s">
        <v>124</v>
      </c>
      <c r="C1538" s="53" t="s">
        <v>345</v>
      </c>
      <c r="D1538" s="53" t="s">
        <v>346</v>
      </c>
      <c r="E1538" s="53" t="s">
        <v>200</v>
      </c>
      <c r="F1538" s="53" t="s">
        <v>128</v>
      </c>
      <c r="G1538" s="53" t="s">
        <v>129</v>
      </c>
      <c r="H1538" s="53">
        <v>1</v>
      </c>
      <c r="I1538" s="53" t="s">
        <v>130</v>
      </c>
      <c r="J1538" s="53">
        <v>0</v>
      </c>
      <c r="K1538" s="53">
        <v>1</v>
      </c>
      <c r="L1538" s="53">
        <v>2.2000000000000002</v>
      </c>
      <c r="M1538" s="53" t="s">
        <v>720</v>
      </c>
      <c r="N1538" s="53">
        <v>2.5</v>
      </c>
      <c r="O1538" s="51" t="str">
        <f>TEXT(tblWorkPackages[[#This Row],[Request date serial]]-WEEKDAY(tblWorkPackages[[#This Row],[Request date serial]],3),"yyyy-mm-dd")</f>
        <v>2024-01-29</v>
      </c>
      <c r="P1538" s="51">
        <f>ABS(tblWorkPackages[[#This Row],[Actual labor hours]]-tblWorkPackages[[#This Row],[Estimated labor hours]])</f>
        <v>0.3</v>
      </c>
      <c r="Q1538" s="51">
        <f>IF(tblWorkPackages[[#This Row],[Actual labor hours]]&gt;tblWorkPackages[[#This Row],[Estimated labor hours]],1,0)</f>
        <v>1</v>
      </c>
      <c r="R1538" s="51">
        <f>tblWorkPackages[[#This Row],[Actual labor hours]]-tblWorkPackages[[#This Row],[Estimated labor hours]]</f>
        <v>0.3</v>
      </c>
      <c r="S1538" s="51" t="str">
        <f>IF(tblWorkPackages[[#This Row],[Request date serial]]&lt;ValidationStart,"Train 2024",IF(tblWorkPackages[[#This Row],[Request date serial]]&lt;HoldoutStart,"Validation H1","Holdout H2"))</f>
        <v>Train 2024</v>
      </c>
      <c r="T1538" s="51" t="str">
        <f>IF(tblWorkPackages[[#This Row],[Time split]]="Train 2024","",tblWorkPackages[[#This Row],[Estimated labor hours]]+VLOOKUP(tblWorkPackages[[#This Row],[Task type]],'Forecast validation'!$A$14:$E$25,IF(tblWorkPackages[[#This Row],[Time split]]="Validation H1",4,5),FALSE()))</f>
        <v/>
      </c>
      <c r="U1538" s="51" t="str">
        <f>IF(tblWorkPackages[[#This Row],[Calibrated forecast hours]]="","",ABS(tblWorkPackages[[#This Row],[Actual labor hours]]-tblWorkPackages[[#This Row],[Calibrated forecast hours]]))</f>
        <v/>
      </c>
      <c r="V1538" s="51">
        <f>IF(tblWorkPackages[[#This Row],[Time split]]="Train 2024",tblWorkPackages[[#This Row],[Estimated labor hours]],tblWorkPackages[[#This Row],[Calibrated forecast hours]])</f>
        <v>2.2</v>
      </c>
      <c r="W1538" s="64">
        <f>DATEVALUE(tblWorkPackages[[#This Row],[Request date]])</f>
        <v>45325.0</v>
      </c>
      <c r="X1538" s="64">
        <f>DATEVALUE(tblWorkPackages[[#This Row],[Due date]])</f>
        <v>45338.0</v>
      </c>
      <c r="Y1538" s="64">
        <f>DATEVALUE(tblWorkPackages[[#This Row],[Completion date]])</f>
        <v>45359.0</v>
      </c>
      <c r="Z1538" s="64">
        <f>_xlfn.MINIFS(tblLaborEntries[Work date serial],tblLaborEntries[Work package ID],tblWorkPackages[[#This Row],[Work package ID]])</f>
        <v>45357.0</v>
      </c>
      <c r="AA1538" s="64">
        <f>_xlfn.MAXIFS(tblLaborEntries[Work date serial],tblLaborEntries[Work package ID],tblWorkPackages[[#This Row],[Work package ID]])</f>
        <v>45359.0</v>
      </c>
      <c r="AB1538" s="65">
        <f>IF(tblWorkPackages[[#This Row],[Completion date serial]]&gt;tblWorkPackages[[#This Row],[Due date serial]],1,0)</f>
        <v>1</v>
      </c>
      <c r="AC1538" s="65">
        <f>MAX(0,tblWorkPackages[[#This Row],[Completion date serial]]-tblWorkPackages[[#This Row],[Due date serial]])</f>
        <v>21</v>
      </c>
      <c r="AD1538" s="65">
        <f>tblWorkPackages[[#This Row],[First labor date]]-tblWorkPackages[[#This Row],[Request date serial]]</f>
        <v>32</v>
      </c>
      <c r="AE1538" s="65">
        <f>tblWorkPackages[[#This Row],[Last labor date]]-tblWorkPackages[[#This Row],[First labor date]]</f>
        <v>2</v>
      </c>
      <c r="AF1538" s="65">
        <f>tblWorkPackages[[#This Row],[Completion date serial]]-tblWorkPackages[[#This Row],[Last labor date]]</f>
        <v>0</v>
      </c>
      <c r="AG1538" s="65">
        <f>tblWorkPackages[[#This Row],[Completion date serial]]-tblWorkPackages[[#This Row],[Request date serial]]</f>
        <v>34</v>
      </c>
      <c r="AH1538" s="65">
        <f>IFERROR(INDEX(tblParts[Delay days],MATCH(tblWorkPackages[[#This Row],[Work package ID]],tblParts[Work package ID],0)),0)</f>
        <v>0</v>
      </c>
      <c r="AI1538" s="51" t="str">
        <f>IFERROR(INDEX(tblDisruptions[Event type],MATCH(tblWorkPackages[[#This Row],[Work package ID]],tblDisruptions[Work package ID],0)),"None")</f>
        <v>None</v>
      </c>
      <c r="AJ1538" s="51" t="str">
        <f>TEXT(tblWorkPackages[[#This Row],[Due date serial]],"yyyy-mm")</f>
        <v>2024-02</v>
      </c>
    </row>
    <row r="1539" spans="1:36" ht="15" x14ac:dyDescent="0.25">
      <c r="A1539" s="53" t="s">
        <v>2447</v>
      </c>
      <c r="B1539" s="53" t="s">
        <v>150</v>
      </c>
      <c r="C1539" s="53" t="s">
        <v>161</v>
      </c>
      <c r="D1539" s="53" t="s">
        <v>512</v>
      </c>
      <c r="E1539" s="53" t="s">
        <v>127</v>
      </c>
      <c r="F1539" s="53" t="s">
        <v>128</v>
      </c>
      <c r="G1539" s="53" t="s">
        <v>129</v>
      </c>
      <c r="H1539" s="53">
        <v>2</v>
      </c>
      <c r="I1539" s="53" t="s">
        <v>130</v>
      </c>
      <c r="J1539" s="53">
        <v>0</v>
      </c>
      <c r="K1539" s="53">
        <v>0</v>
      </c>
      <c r="L1539" s="53">
        <v>7.1</v>
      </c>
      <c r="M1539" s="53" t="s">
        <v>776</v>
      </c>
      <c r="N1539" s="53">
        <v>7.5</v>
      </c>
      <c r="O1539" s="51" t="str">
        <f>TEXT(tblWorkPackages[[#This Row],[Request date serial]]-WEEKDAY(tblWorkPackages[[#This Row],[Request date serial]],3),"yyyy-mm-dd")</f>
        <v>2024-12-02</v>
      </c>
      <c r="P1539" s="51">
        <f>ABS(tblWorkPackages[[#This Row],[Actual labor hours]]-tblWorkPackages[[#This Row],[Estimated labor hours]])</f>
        <v>0.4</v>
      </c>
      <c r="Q1539" s="51">
        <f>IF(tblWorkPackages[[#This Row],[Actual labor hours]]&gt;tblWorkPackages[[#This Row],[Estimated labor hours]],1,0)</f>
        <v>1</v>
      </c>
      <c r="R1539" s="51">
        <f>tblWorkPackages[[#This Row],[Actual labor hours]]-tblWorkPackages[[#This Row],[Estimated labor hours]]</f>
        <v>0.4</v>
      </c>
      <c r="S1539" s="51" t="str">
        <f>IF(tblWorkPackages[[#This Row],[Request date serial]]&lt;ValidationStart,"Train 2024",IF(tblWorkPackages[[#This Row],[Request date serial]]&lt;HoldoutStart,"Validation H1","Holdout H2"))</f>
        <v>Train 2024</v>
      </c>
      <c r="T1539" s="51" t="str">
        <f>IF(tblWorkPackages[[#This Row],[Time split]]="Train 2024","",tblWorkPackages[[#This Row],[Estimated labor hours]]+VLOOKUP(tblWorkPackages[[#This Row],[Task type]],'Forecast validation'!$A$14:$E$25,IF(tblWorkPackages[[#This Row],[Time split]]="Validation H1",4,5),FALSE()))</f>
        <v/>
      </c>
      <c r="U1539" s="51" t="str">
        <f>IF(tblWorkPackages[[#This Row],[Calibrated forecast hours]]="","",ABS(tblWorkPackages[[#This Row],[Actual labor hours]]-tblWorkPackages[[#This Row],[Calibrated forecast hours]]))</f>
        <v/>
      </c>
      <c r="V1539" s="51">
        <f>IF(tblWorkPackages[[#This Row],[Time split]]="Train 2024",tblWorkPackages[[#This Row],[Estimated labor hours]],tblWorkPackages[[#This Row],[Calibrated forecast hours]])</f>
        <v>7.1</v>
      </c>
      <c r="W1539" s="64">
        <f>DATEVALUE(tblWorkPackages[[#This Row],[Request date]])</f>
        <v>45628.0</v>
      </c>
      <c r="X1539" s="64">
        <f>DATEVALUE(tblWorkPackages[[#This Row],[Due date]])</f>
        <v>45641.0</v>
      </c>
      <c r="Y1539" s="64">
        <f>DATEVALUE(tblWorkPackages[[#This Row],[Completion date]])</f>
        <v>45636.0</v>
      </c>
      <c r="Z1539" s="64">
        <f>_xlfn.MINIFS(tblLaborEntries[Work date serial],tblLaborEntries[Work package ID],tblWorkPackages[[#This Row],[Work package ID]])</f>
        <v>45634.0</v>
      </c>
      <c r="AA1539" s="64">
        <f>_xlfn.MAXIFS(tblLaborEntries[Work date serial],tblLaborEntries[Work package ID],tblWorkPackages[[#This Row],[Work package ID]])</f>
        <v>45635.0</v>
      </c>
      <c r="AB1539" s="65">
        <f>IF(tblWorkPackages[[#This Row],[Completion date serial]]&gt;tblWorkPackages[[#This Row],[Due date serial]],1,0)</f>
        <v>0</v>
      </c>
      <c r="AC1539" s="65">
        <f>MAX(0,tblWorkPackages[[#This Row],[Completion date serial]]-tblWorkPackages[[#This Row],[Due date serial]])</f>
        <v>0</v>
      </c>
      <c r="AD1539" s="65">
        <f>tblWorkPackages[[#This Row],[First labor date]]-tblWorkPackages[[#This Row],[Request date serial]]</f>
        <v>6</v>
      </c>
      <c r="AE1539" s="65">
        <f>tblWorkPackages[[#This Row],[Last labor date]]-tblWorkPackages[[#This Row],[First labor date]]</f>
        <v>1</v>
      </c>
      <c r="AF1539" s="65">
        <f>tblWorkPackages[[#This Row],[Completion date serial]]-tblWorkPackages[[#This Row],[Last labor date]]</f>
        <v>1</v>
      </c>
      <c r="AG1539" s="65">
        <f>tblWorkPackages[[#This Row],[Completion date serial]]-tblWorkPackages[[#This Row],[Request date serial]]</f>
        <v>8</v>
      </c>
      <c r="AH1539" s="65">
        <f>IFERROR(INDEX(tblParts[Delay days],MATCH(tblWorkPackages[[#This Row],[Work package ID]],tblParts[Work package ID],0)),0)</f>
        <v>0</v>
      </c>
      <c r="AI1539" s="51" t="str">
        <f>IFERROR(INDEX(tblDisruptions[Event type],MATCH(tblWorkPackages[[#This Row],[Work package ID]],tblDisruptions[Work package ID],0)),"None")</f>
        <v>None</v>
      </c>
      <c r="AJ1539" s="51" t="str">
        <f>TEXT(tblWorkPackages[[#This Row],[Due date serial]],"yyyy-mm")</f>
        <v>2024-12</v>
      </c>
    </row>
    <row r="1540" spans="1:36" ht="15" x14ac:dyDescent="0.25">
      <c r="A1540" s="53" t="s">
        <v>2448</v>
      </c>
      <c r="B1540" s="53" t="s">
        <v>173</v>
      </c>
      <c r="C1540" s="53" t="s">
        <v>194</v>
      </c>
      <c r="D1540" s="53" t="s">
        <v>170</v>
      </c>
      <c r="E1540" s="53" t="s">
        <v>200</v>
      </c>
      <c r="F1540" s="53" t="s">
        <v>128</v>
      </c>
      <c r="G1540" s="53" t="s">
        <v>129</v>
      </c>
      <c r="H1540" s="53">
        <v>2</v>
      </c>
      <c r="I1540" s="53" t="s">
        <v>130</v>
      </c>
      <c r="J1540" s="53">
        <v>0</v>
      </c>
      <c r="K1540" s="53">
        <v>0</v>
      </c>
      <c r="L1540" s="53">
        <v>2.6</v>
      </c>
      <c r="M1540" s="53" t="s">
        <v>195</v>
      </c>
      <c r="N1540" s="53">
        <v>2</v>
      </c>
      <c r="O1540" s="51" t="str">
        <f>TEXT(tblWorkPackages[[#This Row],[Request date serial]]-WEEKDAY(tblWorkPackages[[#This Row],[Request date serial]],3),"yyyy-mm-dd")</f>
        <v>2024-10-07</v>
      </c>
      <c r="P1540" s="51">
        <f>ABS(tblWorkPackages[[#This Row],[Actual labor hours]]-tblWorkPackages[[#This Row],[Estimated labor hours]])</f>
        <v>0.6</v>
      </c>
      <c r="Q1540" s="51">
        <f>IF(tblWorkPackages[[#This Row],[Actual labor hours]]&gt;tblWorkPackages[[#This Row],[Estimated labor hours]],1,0)</f>
        <v>0</v>
      </c>
      <c r="R1540" s="51">
        <f>tblWorkPackages[[#This Row],[Actual labor hours]]-tblWorkPackages[[#This Row],[Estimated labor hours]]</f>
        <v>-0.6</v>
      </c>
      <c r="S1540" s="51" t="str">
        <f>IF(tblWorkPackages[[#This Row],[Request date serial]]&lt;ValidationStart,"Train 2024",IF(tblWorkPackages[[#This Row],[Request date serial]]&lt;HoldoutStart,"Validation H1","Holdout H2"))</f>
        <v>Train 2024</v>
      </c>
      <c r="T1540" s="51" t="str">
        <f>IF(tblWorkPackages[[#This Row],[Time split]]="Train 2024","",tblWorkPackages[[#This Row],[Estimated labor hours]]+VLOOKUP(tblWorkPackages[[#This Row],[Task type]],'Forecast validation'!$A$14:$E$25,IF(tblWorkPackages[[#This Row],[Time split]]="Validation H1",4,5),FALSE()))</f>
        <v/>
      </c>
      <c r="U1540" s="51" t="str">
        <f>IF(tblWorkPackages[[#This Row],[Calibrated forecast hours]]="","",ABS(tblWorkPackages[[#This Row],[Actual labor hours]]-tblWorkPackages[[#This Row],[Calibrated forecast hours]]))</f>
        <v/>
      </c>
      <c r="V1540" s="51">
        <f>IF(tblWorkPackages[[#This Row],[Time split]]="Train 2024",tblWorkPackages[[#This Row],[Estimated labor hours]],tblWorkPackages[[#This Row],[Calibrated forecast hours]])</f>
        <v>2.6</v>
      </c>
      <c r="W1540" s="64">
        <f>DATEVALUE(tblWorkPackages[[#This Row],[Request date]])</f>
        <v>45574.0</v>
      </c>
      <c r="X1540" s="64">
        <f>DATEVALUE(tblWorkPackages[[#This Row],[Due date]])</f>
        <v>45587.0</v>
      </c>
      <c r="Y1540" s="64">
        <f>DATEVALUE(tblWorkPackages[[#This Row],[Completion date]])</f>
        <v>45580.0</v>
      </c>
      <c r="Z1540" s="64">
        <f>_xlfn.MINIFS(tblLaborEntries[Work date serial],tblLaborEntries[Work package ID],tblWorkPackages[[#This Row],[Work package ID]])</f>
        <v>45576.0</v>
      </c>
      <c r="AA1540" s="64">
        <f>_xlfn.MAXIFS(tblLaborEntries[Work date serial],tblLaborEntries[Work package ID],tblWorkPackages[[#This Row],[Work package ID]])</f>
        <v>45578.0</v>
      </c>
      <c r="AB1540" s="65">
        <f>IF(tblWorkPackages[[#This Row],[Completion date serial]]&gt;tblWorkPackages[[#This Row],[Due date serial]],1,0)</f>
        <v>0</v>
      </c>
      <c r="AC1540" s="65">
        <f>MAX(0,tblWorkPackages[[#This Row],[Completion date serial]]-tblWorkPackages[[#This Row],[Due date serial]])</f>
        <v>0</v>
      </c>
      <c r="AD1540" s="65">
        <f>tblWorkPackages[[#This Row],[First labor date]]-tblWorkPackages[[#This Row],[Request date serial]]</f>
        <v>2</v>
      </c>
      <c r="AE1540" s="65">
        <f>tblWorkPackages[[#This Row],[Last labor date]]-tblWorkPackages[[#This Row],[First labor date]]</f>
        <v>2</v>
      </c>
      <c r="AF1540" s="65">
        <f>tblWorkPackages[[#This Row],[Completion date serial]]-tblWorkPackages[[#This Row],[Last labor date]]</f>
        <v>2</v>
      </c>
      <c r="AG1540" s="65">
        <f>tblWorkPackages[[#This Row],[Completion date serial]]-tblWorkPackages[[#This Row],[Request date serial]]</f>
        <v>6</v>
      </c>
      <c r="AH1540" s="65">
        <f>IFERROR(INDEX(tblParts[Delay days],MATCH(tblWorkPackages[[#This Row],[Work package ID]],tblParts[Work package ID],0)),0)</f>
        <v>0</v>
      </c>
      <c r="AI1540" s="51" t="str">
        <f>IFERROR(INDEX(tblDisruptions[Event type],MATCH(tblWorkPackages[[#This Row],[Work package ID]],tblDisruptions[Work package ID],0)),"None")</f>
        <v>None</v>
      </c>
      <c r="AJ1540" s="51" t="str">
        <f>TEXT(tblWorkPackages[[#This Row],[Due date serial]],"yyyy-mm")</f>
        <v>2024-10</v>
      </c>
    </row>
    <row r="1541" spans="1:36" ht="15" x14ac:dyDescent="0.25">
      <c r="A1541" s="53" t="s">
        <v>2449</v>
      </c>
      <c r="B1541" s="53" t="s">
        <v>250</v>
      </c>
      <c r="C1541" s="53" t="s">
        <v>826</v>
      </c>
      <c r="D1541" s="53" t="s">
        <v>446</v>
      </c>
      <c r="E1541" s="53" t="s">
        <v>127</v>
      </c>
      <c r="F1541" s="53" t="s">
        <v>128</v>
      </c>
      <c r="G1541" s="53" t="s">
        <v>129</v>
      </c>
      <c r="H1541" s="53">
        <v>1</v>
      </c>
      <c r="I1541" s="53" t="s">
        <v>130</v>
      </c>
      <c r="J1541" s="53">
        <v>0</v>
      </c>
      <c r="K1541" s="53">
        <v>0</v>
      </c>
      <c r="L1541" s="53">
        <v>5.0999999999999996</v>
      </c>
      <c r="M1541" s="53" t="s">
        <v>993</v>
      </c>
      <c r="N1541" s="53">
        <v>6</v>
      </c>
      <c r="O1541" s="51" t="str">
        <f>TEXT(tblWorkPackages[[#This Row],[Request date serial]]-WEEKDAY(tblWorkPackages[[#This Row],[Request date serial]],3),"yyyy-mm-dd")</f>
        <v>2025-03-03</v>
      </c>
      <c r="P1541" s="51">
        <f>ABS(tblWorkPackages[[#This Row],[Actual labor hours]]-tblWorkPackages[[#This Row],[Estimated labor hours]])</f>
        <v>0.9</v>
      </c>
      <c r="Q1541" s="51">
        <f>IF(tblWorkPackages[[#This Row],[Actual labor hours]]&gt;tblWorkPackages[[#This Row],[Estimated labor hours]],1,0)</f>
        <v>1</v>
      </c>
      <c r="R1541" s="51">
        <f>tblWorkPackages[[#This Row],[Actual labor hours]]-tblWorkPackages[[#This Row],[Estimated labor hours]]</f>
        <v>0.9</v>
      </c>
      <c r="S1541" s="51" t="str">
        <f>IF(tblWorkPackages[[#This Row],[Request date serial]]&lt;ValidationStart,"Train 2024",IF(tblWorkPackages[[#This Row],[Request date serial]]&lt;HoldoutStart,"Validation H1","Holdout H2"))</f>
        <v>Validation H1</v>
      </c>
      <c r="T1541" s="51">
        <f>IF(tblWorkPackages[[#This Row],[Time split]]="Train 2024","",tblWorkPackages[[#This Row],[Estimated labor hours]]+VLOOKUP(tblWorkPackages[[#This Row],[Task type]],'Forecast validation'!$A$14:$E$25,IF(tblWorkPackages[[#This Row],[Time split]]="Validation H1",4,5),FALSE()))</f>
        <v>5.57564102564103</v>
      </c>
      <c r="U1541" s="51">
        <f>IF(tblWorkPackages[[#This Row],[Calibrated forecast hours]]="","",ABS(tblWorkPackages[[#This Row],[Actual labor hours]]-tblWorkPackages[[#This Row],[Calibrated forecast hours]]))</f>
        <v>0.424358974358975</v>
      </c>
      <c r="V1541" s="51">
        <f>IF(tblWorkPackages[[#This Row],[Time split]]="Train 2024",tblWorkPackages[[#This Row],[Estimated labor hours]],tblWorkPackages[[#This Row],[Calibrated forecast hours]])</f>
        <v>5.57564102564103</v>
      </c>
      <c r="W1541" s="64">
        <f>DATEVALUE(tblWorkPackages[[#This Row],[Request date]])</f>
        <v>45724.0</v>
      </c>
      <c r="X1541" s="64">
        <f>DATEVALUE(tblWorkPackages[[#This Row],[Due date]])</f>
        <v>45737.0</v>
      </c>
      <c r="Y1541" s="64">
        <f>DATEVALUE(tblWorkPackages[[#This Row],[Completion date]])</f>
        <v>45742.0</v>
      </c>
      <c r="Z1541" s="64">
        <f>_xlfn.MINIFS(tblLaborEntries[Work date serial],tblLaborEntries[Work package ID],tblWorkPackages[[#This Row],[Work package ID]])</f>
        <v>45738.0</v>
      </c>
      <c r="AA1541" s="64">
        <f>_xlfn.MAXIFS(tblLaborEntries[Work date serial],tblLaborEntries[Work package ID],tblWorkPackages[[#This Row],[Work package ID]])</f>
        <v>45739.0</v>
      </c>
      <c r="AB1541" s="65">
        <f>IF(tblWorkPackages[[#This Row],[Completion date serial]]&gt;tblWorkPackages[[#This Row],[Due date serial]],1,0)</f>
        <v>1</v>
      </c>
      <c r="AC1541" s="65">
        <f>MAX(0,tblWorkPackages[[#This Row],[Completion date serial]]-tblWorkPackages[[#This Row],[Due date serial]])</f>
        <v>5</v>
      </c>
      <c r="AD1541" s="65">
        <f>tblWorkPackages[[#This Row],[First labor date]]-tblWorkPackages[[#This Row],[Request date serial]]</f>
        <v>14</v>
      </c>
      <c r="AE1541" s="65">
        <f>tblWorkPackages[[#This Row],[Last labor date]]-tblWorkPackages[[#This Row],[First labor date]]</f>
        <v>1</v>
      </c>
      <c r="AF1541" s="65">
        <f>tblWorkPackages[[#This Row],[Completion date serial]]-tblWorkPackages[[#This Row],[Last labor date]]</f>
        <v>3</v>
      </c>
      <c r="AG1541" s="65">
        <f>tblWorkPackages[[#This Row],[Completion date serial]]-tblWorkPackages[[#This Row],[Request date serial]]</f>
        <v>18</v>
      </c>
      <c r="AH1541" s="65">
        <f>IFERROR(INDEX(tblParts[Delay days],MATCH(tblWorkPackages[[#This Row],[Work package ID]],tblParts[Work package ID],0)),0)</f>
        <v>0</v>
      </c>
      <c r="AI1541" s="51" t="str">
        <f>IFERROR(INDEX(tblDisruptions[Event type],MATCH(tblWorkPackages[[#This Row],[Work package ID]],tblDisruptions[Work package ID],0)),"None")</f>
        <v>None</v>
      </c>
      <c r="AJ1541" s="51" t="str">
        <f>TEXT(tblWorkPackages[[#This Row],[Due date serial]],"yyyy-mm")</f>
        <v>2025-03</v>
      </c>
    </row>
    <row r="1542" spans="1:36" ht="15" x14ac:dyDescent="0.25">
      <c r="A1542" s="53" t="s">
        <v>2450</v>
      </c>
      <c r="B1542" s="53" t="s">
        <v>185</v>
      </c>
      <c r="C1542" s="53" t="s">
        <v>1062</v>
      </c>
      <c r="D1542" s="53" t="s">
        <v>1084</v>
      </c>
      <c r="E1542" s="53" t="s">
        <v>136</v>
      </c>
      <c r="F1542" s="53" t="s">
        <v>137</v>
      </c>
      <c r="G1542" s="53" t="s">
        <v>138</v>
      </c>
      <c r="H1542" s="53">
        <v>2</v>
      </c>
      <c r="I1542" s="53" t="s">
        <v>130</v>
      </c>
      <c r="J1542" s="53">
        <v>0</v>
      </c>
      <c r="K1542" s="53">
        <v>1</v>
      </c>
      <c r="L1542" s="53">
        <v>15</v>
      </c>
      <c r="M1542" s="53" t="s">
        <v>1344</v>
      </c>
      <c r="N1542" s="53">
        <v>13.7</v>
      </c>
      <c r="O1542" s="51" t="str">
        <f>TEXT(tblWorkPackages[[#This Row],[Request date serial]]-WEEKDAY(tblWorkPackages[[#This Row],[Request date serial]],3),"yyyy-mm-dd")</f>
        <v>2025-01-20</v>
      </c>
      <c r="P1542" s="51">
        <f>ABS(tblWorkPackages[[#This Row],[Actual labor hours]]-tblWorkPackages[[#This Row],[Estimated labor hours]])</f>
        <v>1.3</v>
      </c>
      <c r="Q1542" s="51">
        <f>IF(tblWorkPackages[[#This Row],[Actual labor hours]]&gt;tblWorkPackages[[#This Row],[Estimated labor hours]],1,0)</f>
        <v>0</v>
      </c>
      <c r="R1542" s="51">
        <f>tblWorkPackages[[#This Row],[Actual labor hours]]-tblWorkPackages[[#This Row],[Estimated labor hours]]</f>
        <v>-1.3</v>
      </c>
      <c r="S1542" s="51" t="str">
        <f>IF(tblWorkPackages[[#This Row],[Request date serial]]&lt;ValidationStart,"Train 2024",IF(tblWorkPackages[[#This Row],[Request date serial]]&lt;HoldoutStart,"Validation H1","Holdout H2"))</f>
        <v>Validation H1</v>
      </c>
      <c r="T1542" s="51">
        <f>IF(tblWorkPackages[[#This Row],[Time split]]="Train 2024","",tblWorkPackages[[#This Row],[Estimated labor hours]]+VLOOKUP(tblWorkPackages[[#This Row],[Task type]],'Forecast validation'!$A$14:$E$25,IF(tblWorkPackages[[#This Row],[Time split]]="Validation H1",4,5),FALSE()))</f>
        <v>15.8765306122449</v>
      </c>
      <c r="U1542" s="51">
        <f>IF(tblWorkPackages[[#This Row],[Calibrated forecast hours]]="","",ABS(tblWorkPackages[[#This Row],[Actual labor hours]]-tblWorkPackages[[#This Row],[Calibrated forecast hours]]))</f>
        <v>2.1765306122449</v>
      </c>
      <c r="V1542" s="51">
        <f>IF(tblWorkPackages[[#This Row],[Time split]]="Train 2024",tblWorkPackages[[#This Row],[Estimated labor hours]],tblWorkPackages[[#This Row],[Calibrated forecast hours]])</f>
        <v>15.8765306122449</v>
      </c>
      <c r="W1542" s="64">
        <f>DATEVALUE(tblWorkPackages[[#This Row],[Request date]])</f>
        <v>45682.0</v>
      </c>
      <c r="X1542" s="64">
        <f>DATEVALUE(tblWorkPackages[[#This Row],[Due date]])</f>
        <v>45695.0</v>
      </c>
      <c r="Y1542" s="64">
        <f>DATEVALUE(tblWorkPackages[[#This Row],[Completion date]])</f>
        <v>45688.0</v>
      </c>
      <c r="Z1542" s="64">
        <f>_xlfn.MINIFS(tblLaborEntries[Work date serial],tblLaborEntries[Work package ID],tblWorkPackages[[#This Row],[Work package ID]])</f>
        <v>45686.0</v>
      </c>
      <c r="AA1542" s="64">
        <f>_xlfn.MAXIFS(tblLaborEntries[Work date serial],tblLaborEntries[Work package ID],tblWorkPackages[[#This Row],[Work package ID]])</f>
        <v>45688.0</v>
      </c>
      <c r="AB1542" s="65">
        <f>IF(tblWorkPackages[[#This Row],[Completion date serial]]&gt;tblWorkPackages[[#This Row],[Due date serial]],1,0)</f>
        <v>0</v>
      </c>
      <c r="AC1542" s="65">
        <f>MAX(0,tblWorkPackages[[#This Row],[Completion date serial]]-tblWorkPackages[[#This Row],[Due date serial]])</f>
        <v>0</v>
      </c>
      <c r="AD1542" s="65">
        <f>tblWorkPackages[[#This Row],[First labor date]]-tblWorkPackages[[#This Row],[Request date serial]]</f>
        <v>4</v>
      </c>
      <c r="AE1542" s="65">
        <f>tblWorkPackages[[#This Row],[Last labor date]]-tblWorkPackages[[#This Row],[First labor date]]</f>
        <v>2</v>
      </c>
      <c r="AF1542" s="65">
        <f>tblWorkPackages[[#This Row],[Completion date serial]]-tblWorkPackages[[#This Row],[Last labor date]]</f>
        <v>0</v>
      </c>
      <c r="AG1542" s="65">
        <f>tblWorkPackages[[#This Row],[Completion date serial]]-tblWorkPackages[[#This Row],[Request date serial]]</f>
        <v>6</v>
      </c>
      <c r="AH1542" s="65">
        <f>IFERROR(INDEX(tblParts[Delay days],MATCH(tblWorkPackages[[#This Row],[Work package ID]],tblParts[Work package ID],0)),0)</f>
        <v>0</v>
      </c>
      <c r="AI1542" s="51" t="str">
        <f>IFERROR(INDEX(tblDisruptions[Event type],MATCH(tblWorkPackages[[#This Row],[Work package ID]],tblDisruptions[Work package ID],0)),"None")</f>
        <v>None</v>
      </c>
      <c r="AJ1542" s="51" t="str">
        <f>TEXT(tblWorkPackages[[#This Row],[Due date serial]],"yyyy-mm")</f>
        <v>2025-02</v>
      </c>
    </row>
    <row r="1543" spans="1:36" ht="15" x14ac:dyDescent="0.25">
      <c r="A1543" s="53" t="s">
        <v>2451</v>
      </c>
      <c r="B1543" s="53" t="s">
        <v>163</v>
      </c>
      <c r="C1543" s="53" t="s">
        <v>874</v>
      </c>
      <c r="D1543" s="53" t="s">
        <v>402</v>
      </c>
      <c r="E1543" s="53" t="s">
        <v>237</v>
      </c>
      <c r="F1543" s="53" t="s">
        <v>182</v>
      </c>
      <c r="G1543" s="53" t="s">
        <v>138</v>
      </c>
      <c r="H1543" s="53">
        <v>1</v>
      </c>
      <c r="I1543" s="53" t="s">
        <v>130</v>
      </c>
      <c r="J1543" s="53">
        <v>0</v>
      </c>
      <c r="K1543" s="53">
        <v>1</v>
      </c>
      <c r="L1543" s="53">
        <v>3</v>
      </c>
      <c r="M1543" s="53" t="s">
        <v>1136</v>
      </c>
      <c r="N1543" s="53">
        <v>3.7</v>
      </c>
      <c r="O1543" s="51" t="str">
        <f>TEXT(tblWorkPackages[[#This Row],[Request date serial]]-WEEKDAY(tblWorkPackages[[#This Row],[Request date serial]],3),"yyyy-mm-dd")</f>
        <v>2024-09-09</v>
      </c>
      <c r="P1543" s="51">
        <f>ABS(tblWorkPackages[[#This Row],[Actual labor hours]]-tblWorkPackages[[#This Row],[Estimated labor hours]])</f>
        <v>0.7</v>
      </c>
      <c r="Q1543" s="51">
        <f>IF(tblWorkPackages[[#This Row],[Actual labor hours]]&gt;tblWorkPackages[[#This Row],[Estimated labor hours]],1,0)</f>
        <v>1</v>
      </c>
      <c r="R1543" s="51">
        <f>tblWorkPackages[[#This Row],[Actual labor hours]]-tblWorkPackages[[#This Row],[Estimated labor hours]]</f>
        <v>0.7</v>
      </c>
      <c r="S1543" s="51" t="str">
        <f>IF(tblWorkPackages[[#This Row],[Request date serial]]&lt;ValidationStart,"Train 2024",IF(tblWorkPackages[[#This Row],[Request date serial]]&lt;HoldoutStart,"Validation H1","Holdout H2"))</f>
        <v>Train 2024</v>
      </c>
      <c r="T1543" s="51" t="str">
        <f>IF(tblWorkPackages[[#This Row],[Time split]]="Train 2024","",tblWorkPackages[[#This Row],[Estimated labor hours]]+VLOOKUP(tblWorkPackages[[#This Row],[Task type]],'Forecast validation'!$A$14:$E$25,IF(tblWorkPackages[[#This Row],[Time split]]="Validation H1",4,5),FALSE()))</f>
        <v/>
      </c>
      <c r="U1543" s="51" t="str">
        <f>IF(tblWorkPackages[[#This Row],[Calibrated forecast hours]]="","",ABS(tblWorkPackages[[#This Row],[Actual labor hours]]-tblWorkPackages[[#This Row],[Calibrated forecast hours]]))</f>
        <v/>
      </c>
      <c r="V1543" s="51">
        <f>IF(tblWorkPackages[[#This Row],[Time split]]="Train 2024",tblWorkPackages[[#This Row],[Estimated labor hours]],tblWorkPackages[[#This Row],[Calibrated forecast hours]])</f>
        <v>3</v>
      </c>
      <c r="W1543" s="64">
        <f>DATEVALUE(tblWorkPackages[[#This Row],[Request date]])</f>
        <v>45548.0</v>
      </c>
      <c r="X1543" s="64">
        <f>DATEVALUE(tblWorkPackages[[#This Row],[Due date]])</f>
        <v>45561.0</v>
      </c>
      <c r="Y1543" s="64">
        <f>DATEVALUE(tblWorkPackages[[#This Row],[Completion date]])</f>
        <v>45552.0</v>
      </c>
      <c r="Z1543" s="64">
        <f>_xlfn.MINIFS(tblLaborEntries[Work date serial],tblLaborEntries[Work package ID],tblWorkPackages[[#This Row],[Work package ID]])</f>
        <v>45549.0</v>
      </c>
      <c r="AA1543" s="64">
        <f>_xlfn.MAXIFS(tblLaborEntries[Work date serial],tblLaborEntries[Work package ID],tblWorkPackages[[#This Row],[Work package ID]])</f>
        <v>45551.0</v>
      </c>
      <c r="AB1543" s="65">
        <f>IF(tblWorkPackages[[#This Row],[Completion date serial]]&gt;tblWorkPackages[[#This Row],[Due date serial]],1,0)</f>
        <v>0</v>
      </c>
      <c r="AC1543" s="65">
        <f>MAX(0,tblWorkPackages[[#This Row],[Completion date serial]]-tblWorkPackages[[#This Row],[Due date serial]])</f>
        <v>0</v>
      </c>
      <c r="AD1543" s="65">
        <f>tblWorkPackages[[#This Row],[First labor date]]-tblWorkPackages[[#This Row],[Request date serial]]</f>
        <v>1</v>
      </c>
      <c r="AE1543" s="65">
        <f>tblWorkPackages[[#This Row],[Last labor date]]-tblWorkPackages[[#This Row],[First labor date]]</f>
        <v>2</v>
      </c>
      <c r="AF1543" s="65">
        <f>tblWorkPackages[[#This Row],[Completion date serial]]-tblWorkPackages[[#This Row],[Last labor date]]</f>
        <v>1</v>
      </c>
      <c r="AG1543" s="65">
        <f>tblWorkPackages[[#This Row],[Completion date serial]]-tblWorkPackages[[#This Row],[Request date serial]]</f>
        <v>4</v>
      </c>
      <c r="AH1543" s="65">
        <f>IFERROR(INDEX(tblParts[Delay days],MATCH(tblWorkPackages[[#This Row],[Work package ID]],tblParts[Work package ID],0)),0)</f>
        <v>0</v>
      </c>
      <c r="AI1543" s="51" t="str">
        <f>IFERROR(INDEX(tblDisruptions[Event type],MATCH(tblWorkPackages[[#This Row],[Work package ID]],tblDisruptions[Work package ID],0)),"None")</f>
        <v>None</v>
      </c>
      <c r="AJ1543" s="51" t="str">
        <f>TEXT(tblWorkPackages[[#This Row],[Due date serial]],"yyyy-mm")</f>
        <v>2024-09</v>
      </c>
    </row>
    <row r="1544" spans="1:36" ht="15" x14ac:dyDescent="0.25">
      <c r="A1544" s="53" t="s">
        <v>2452</v>
      </c>
      <c r="B1544" s="53" t="s">
        <v>157</v>
      </c>
      <c r="C1544" s="53" t="s">
        <v>454</v>
      </c>
      <c r="D1544" s="53" t="s">
        <v>1223</v>
      </c>
      <c r="E1544" s="53" t="s">
        <v>242</v>
      </c>
      <c r="F1544" s="53" t="s">
        <v>243</v>
      </c>
      <c r="G1544" s="53" t="s">
        <v>129</v>
      </c>
      <c r="H1544" s="53">
        <v>3</v>
      </c>
      <c r="I1544" s="53" t="s">
        <v>130</v>
      </c>
      <c r="J1544" s="53">
        <v>0</v>
      </c>
      <c r="K1544" s="53">
        <v>0</v>
      </c>
      <c r="L1544" s="53">
        <v>10.8</v>
      </c>
      <c r="M1544" s="53" t="s">
        <v>442</v>
      </c>
      <c r="N1544" s="53">
        <v>10.1</v>
      </c>
      <c r="O1544" s="51" t="str">
        <f>TEXT(tblWorkPackages[[#This Row],[Request date serial]]-WEEKDAY(tblWorkPackages[[#This Row],[Request date serial]],3),"yyyy-mm-dd")</f>
        <v>2024-01-22</v>
      </c>
      <c r="P1544" s="51">
        <f>ABS(tblWorkPackages[[#This Row],[Actual labor hours]]-tblWorkPackages[[#This Row],[Estimated labor hours]])</f>
        <v>0.700000000000001</v>
      </c>
      <c r="Q1544" s="51">
        <f>IF(tblWorkPackages[[#This Row],[Actual labor hours]]&gt;tblWorkPackages[[#This Row],[Estimated labor hours]],1,0)</f>
        <v>0</v>
      </c>
      <c r="R1544" s="51">
        <f>tblWorkPackages[[#This Row],[Actual labor hours]]-tblWorkPackages[[#This Row],[Estimated labor hours]]</f>
        <v>-0.700000000000001</v>
      </c>
      <c r="S1544" s="51" t="str">
        <f>IF(tblWorkPackages[[#This Row],[Request date serial]]&lt;ValidationStart,"Train 2024",IF(tblWorkPackages[[#This Row],[Request date serial]]&lt;HoldoutStart,"Validation H1","Holdout H2"))</f>
        <v>Train 2024</v>
      </c>
      <c r="T1544" s="51" t="str">
        <f>IF(tblWorkPackages[[#This Row],[Time split]]="Train 2024","",tblWorkPackages[[#This Row],[Estimated labor hours]]+VLOOKUP(tblWorkPackages[[#This Row],[Task type]],'Forecast validation'!$A$14:$E$25,IF(tblWorkPackages[[#This Row],[Time split]]="Validation H1",4,5),FALSE()))</f>
        <v/>
      </c>
      <c r="U1544" s="51" t="str">
        <f>IF(tblWorkPackages[[#This Row],[Calibrated forecast hours]]="","",ABS(tblWorkPackages[[#This Row],[Actual labor hours]]-tblWorkPackages[[#This Row],[Calibrated forecast hours]]))</f>
        <v/>
      </c>
      <c r="V1544" s="51">
        <f>IF(tblWorkPackages[[#This Row],[Time split]]="Train 2024",tblWorkPackages[[#This Row],[Estimated labor hours]],tblWorkPackages[[#This Row],[Calibrated forecast hours]])</f>
        <v>10.8</v>
      </c>
      <c r="W1544" s="64">
        <f>DATEVALUE(tblWorkPackages[[#This Row],[Request date]])</f>
        <v>45318.0</v>
      </c>
      <c r="X1544" s="64">
        <f>DATEVALUE(tblWorkPackages[[#This Row],[Due date]])</f>
        <v>45331.0</v>
      </c>
      <c r="Y1544" s="64">
        <f>DATEVALUE(tblWorkPackages[[#This Row],[Completion date]])</f>
        <v>45330.0</v>
      </c>
      <c r="Z1544" s="64">
        <f>_xlfn.MINIFS(tblLaborEntries[Work date serial],tblLaborEntries[Work package ID],tblWorkPackages[[#This Row],[Work package ID]])</f>
        <v>45327.0</v>
      </c>
      <c r="AA1544" s="64">
        <f>_xlfn.MAXIFS(tblLaborEntries[Work date serial],tblLaborEntries[Work package ID],tblWorkPackages[[#This Row],[Work package ID]])</f>
        <v>45328.0</v>
      </c>
      <c r="AB1544" s="65">
        <f>IF(tblWorkPackages[[#This Row],[Completion date serial]]&gt;tblWorkPackages[[#This Row],[Due date serial]],1,0)</f>
        <v>0</v>
      </c>
      <c r="AC1544" s="65">
        <f>MAX(0,tblWorkPackages[[#This Row],[Completion date serial]]-tblWorkPackages[[#This Row],[Due date serial]])</f>
        <v>0</v>
      </c>
      <c r="AD1544" s="65">
        <f>tblWorkPackages[[#This Row],[First labor date]]-tblWorkPackages[[#This Row],[Request date serial]]</f>
        <v>9</v>
      </c>
      <c r="AE1544" s="65">
        <f>tblWorkPackages[[#This Row],[Last labor date]]-tblWorkPackages[[#This Row],[First labor date]]</f>
        <v>1</v>
      </c>
      <c r="AF1544" s="65">
        <f>tblWorkPackages[[#This Row],[Completion date serial]]-tblWorkPackages[[#This Row],[Last labor date]]</f>
        <v>2</v>
      </c>
      <c r="AG1544" s="65">
        <f>tblWorkPackages[[#This Row],[Completion date serial]]-tblWorkPackages[[#This Row],[Request date serial]]</f>
        <v>12</v>
      </c>
      <c r="AH1544" s="65">
        <f>IFERROR(INDEX(tblParts[Delay days],MATCH(tblWorkPackages[[#This Row],[Work package ID]],tblParts[Work package ID],0)),0)</f>
        <v>0</v>
      </c>
      <c r="AI1544" s="51" t="str">
        <f>IFERROR(INDEX(tblDisruptions[Event type],MATCH(tblWorkPackages[[#This Row],[Work package ID]],tblDisruptions[Work package ID],0)),"None")</f>
        <v>None</v>
      </c>
      <c r="AJ1544" s="51" t="str">
        <f>TEXT(tblWorkPackages[[#This Row],[Due date serial]],"yyyy-mm")</f>
        <v>2024-02</v>
      </c>
    </row>
    <row r="1545" spans="1:36" ht="15" x14ac:dyDescent="0.25">
      <c r="A1545" s="53" t="s">
        <v>2453</v>
      </c>
      <c r="B1545" s="53" t="s">
        <v>141</v>
      </c>
      <c r="C1545" s="53" t="s">
        <v>350</v>
      </c>
      <c r="D1545" s="53" t="s">
        <v>345</v>
      </c>
      <c r="E1545" s="53" t="s">
        <v>160</v>
      </c>
      <c r="F1545" s="53" t="s">
        <v>128</v>
      </c>
      <c r="G1545" s="53" t="s">
        <v>138</v>
      </c>
      <c r="H1545" s="53">
        <v>4</v>
      </c>
      <c r="I1545" s="53" t="s">
        <v>147</v>
      </c>
      <c r="J1545" s="53">
        <v>0</v>
      </c>
      <c r="K1545" s="53">
        <v>0</v>
      </c>
      <c r="L1545" s="53">
        <v>8.8000000000000007</v>
      </c>
      <c r="M1545" s="53" t="s">
        <v>488</v>
      </c>
      <c r="N1545" s="53">
        <v>12.2</v>
      </c>
      <c r="O1545" s="51" t="str">
        <f>TEXT(tblWorkPackages[[#This Row],[Request date serial]]-WEEKDAY(tblWorkPackages[[#This Row],[Request date serial]],3),"yyyy-mm-dd")</f>
        <v>2024-01-29</v>
      </c>
      <c r="P1545" s="51">
        <f>ABS(tblWorkPackages[[#This Row],[Actual labor hours]]-tblWorkPackages[[#This Row],[Estimated labor hours]])</f>
        <v>3.4</v>
      </c>
      <c r="Q1545" s="51">
        <f>IF(tblWorkPackages[[#This Row],[Actual labor hours]]&gt;tblWorkPackages[[#This Row],[Estimated labor hours]],1,0)</f>
        <v>1</v>
      </c>
      <c r="R1545" s="51">
        <f>tblWorkPackages[[#This Row],[Actual labor hours]]-tblWorkPackages[[#This Row],[Estimated labor hours]]</f>
        <v>3.4</v>
      </c>
      <c r="S1545" s="51" t="str">
        <f>IF(tblWorkPackages[[#This Row],[Request date serial]]&lt;ValidationStart,"Train 2024",IF(tblWorkPackages[[#This Row],[Request date serial]]&lt;HoldoutStart,"Validation H1","Holdout H2"))</f>
        <v>Train 2024</v>
      </c>
      <c r="T1545" s="51" t="str">
        <f>IF(tblWorkPackages[[#This Row],[Time split]]="Train 2024","",tblWorkPackages[[#This Row],[Estimated labor hours]]+VLOOKUP(tblWorkPackages[[#This Row],[Task type]],'Forecast validation'!$A$14:$E$25,IF(tblWorkPackages[[#This Row],[Time split]]="Validation H1",4,5),FALSE()))</f>
        <v/>
      </c>
      <c r="U1545" s="51" t="str">
        <f>IF(tblWorkPackages[[#This Row],[Calibrated forecast hours]]="","",ABS(tblWorkPackages[[#This Row],[Actual labor hours]]-tblWorkPackages[[#This Row],[Calibrated forecast hours]]))</f>
        <v/>
      </c>
      <c r="V1545" s="51">
        <f>IF(tblWorkPackages[[#This Row],[Time split]]="Train 2024",tblWorkPackages[[#This Row],[Estimated labor hours]],tblWorkPackages[[#This Row],[Calibrated forecast hours]])</f>
        <v>8.8</v>
      </c>
      <c r="W1545" s="64">
        <f>DATEVALUE(tblWorkPackages[[#This Row],[Request date]])</f>
        <v>45323.0</v>
      </c>
      <c r="X1545" s="64">
        <f>DATEVALUE(tblWorkPackages[[#This Row],[Due date]])</f>
        <v>45325.0</v>
      </c>
      <c r="Y1545" s="64">
        <f>DATEVALUE(tblWorkPackages[[#This Row],[Completion date]])</f>
        <v>45328.0</v>
      </c>
      <c r="Z1545" s="64">
        <f>_xlfn.MINIFS(tblLaborEntries[Work date serial],tblLaborEntries[Work package ID],tblWorkPackages[[#This Row],[Work package ID]])</f>
        <v>45325.0</v>
      </c>
      <c r="AA1545" s="64">
        <f>_xlfn.MAXIFS(tblLaborEntries[Work date serial],tblLaborEntries[Work package ID],tblWorkPackages[[#This Row],[Work package ID]])</f>
        <v>45325.0</v>
      </c>
      <c r="AB1545" s="65">
        <f>IF(tblWorkPackages[[#This Row],[Completion date serial]]&gt;tblWorkPackages[[#This Row],[Due date serial]],1,0)</f>
        <v>1</v>
      </c>
      <c r="AC1545" s="65">
        <f>MAX(0,tblWorkPackages[[#This Row],[Completion date serial]]-tblWorkPackages[[#This Row],[Due date serial]])</f>
        <v>3</v>
      </c>
      <c r="AD1545" s="65">
        <f>tblWorkPackages[[#This Row],[First labor date]]-tblWorkPackages[[#This Row],[Request date serial]]</f>
        <v>2</v>
      </c>
      <c r="AE1545" s="65">
        <f>tblWorkPackages[[#This Row],[Last labor date]]-tblWorkPackages[[#This Row],[First labor date]]</f>
        <v>0</v>
      </c>
      <c r="AF1545" s="65">
        <f>tblWorkPackages[[#This Row],[Completion date serial]]-tblWorkPackages[[#This Row],[Last labor date]]</f>
        <v>3</v>
      </c>
      <c r="AG1545" s="65">
        <f>tblWorkPackages[[#This Row],[Completion date serial]]-tblWorkPackages[[#This Row],[Request date serial]]</f>
        <v>5</v>
      </c>
      <c r="AH1545" s="65">
        <f>IFERROR(INDEX(tblParts[Delay days],MATCH(tblWorkPackages[[#This Row],[Work package ID]],tblParts[Work package ID],0)),0)</f>
        <v>0</v>
      </c>
      <c r="AI1545" s="51" t="str">
        <f>IFERROR(INDEX(tblDisruptions[Event type],MATCH(tblWorkPackages[[#This Row],[Work package ID]],tblDisruptions[Work package ID],0)),"None")</f>
        <v>Scope change</v>
      </c>
      <c r="AJ1545" s="51" t="str">
        <f>TEXT(tblWorkPackages[[#This Row],[Due date serial]],"yyyy-mm")</f>
        <v>2024-02</v>
      </c>
    </row>
    <row r="1546" spans="1:36" ht="15" x14ac:dyDescent="0.25">
      <c r="A1546" s="53" t="s">
        <v>2454</v>
      </c>
      <c r="B1546" s="53" t="s">
        <v>185</v>
      </c>
      <c r="C1546" s="53" t="s">
        <v>1130</v>
      </c>
      <c r="D1546" s="53" t="s">
        <v>542</v>
      </c>
      <c r="E1546" s="53" t="s">
        <v>200</v>
      </c>
      <c r="F1546" s="53" t="s">
        <v>128</v>
      </c>
      <c r="G1546" s="53" t="s">
        <v>129</v>
      </c>
      <c r="H1546" s="53">
        <v>3</v>
      </c>
      <c r="I1546" s="53" t="s">
        <v>130</v>
      </c>
      <c r="J1546" s="53">
        <v>0</v>
      </c>
      <c r="K1546" s="53">
        <v>0</v>
      </c>
      <c r="L1546" s="53">
        <v>3.9</v>
      </c>
      <c r="M1546" s="53" t="s">
        <v>421</v>
      </c>
      <c r="N1546" s="53">
        <v>3.1</v>
      </c>
      <c r="O1546" s="51" t="str">
        <f>TEXT(tblWorkPackages[[#This Row],[Request date serial]]-WEEKDAY(tblWorkPackages[[#This Row],[Request date serial]],3),"yyyy-mm-dd")</f>
        <v>2025-09-29</v>
      </c>
      <c r="P1546" s="51">
        <f>ABS(tblWorkPackages[[#This Row],[Actual labor hours]]-tblWorkPackages[[#This Row],[Estimated labor hours]])</f>
        <v>0.8</v>
      </c>
      <c r="Q1546" s="51">
        <f>IF(tblWorkPackages[[#This Row],[Actual labor hours]]&gt;tblWorkPackages[[#This Row],[Estimated labor hours]],1,0)</f>
        <v>0</v>
      </c>
      <c r="R1546" s="51">
        <f>tblWorkPackages[[#This Row],[Actual labor hours]]-tblWorkPackages[[#This Row],[Estimated labor hours]]</f>
        <v>-0.8</v>
      </c>
      <c r="S1546" s="51" t="str">
        <f>IF(tblWorkPackages[[#This Row],[Request date serial]]&lt;ValidationStart,"Train 2024",IF(tblWorkPackages[[#This Row],[Request date serial]]&lt;HoldoutStart,"Validation H1","Holdout H2"))</f>
        <v>Holdout H2</v>
      </c>
      <c r="T1546" s="51">
        <f>IF(tblWorkPackages[[#This Row],[Time split]]="Train 2024","",tblWorkPackages[[#This Row],[Estimated labor hours]]+VLOOKUP(tblWorkPackages[[#This Row],[Task type]],'Forecast validation'!$A$14:$E$25,IF(tblWorkPackages[[#This Row],[Time split]]="Validation H1",4,5),FALSE()))</f>
        <v>4.22893081761006</v>
      </c>
      <c r="U1546" s="51">
        <f>IF(tblWorkPackages[[#This Row],[Calibrated forecast hours]]="","",ABS(tblWorkPackages[[#This Row],[Actual labor hours]]-tblWorkPackages[[#This Row],[Calibrated forecast hours]]))</f>
        <v>1.12893081761006</v>
      </c>
      <c r="V1546" s="51">
        <f>IF(tblWorkPackages[[#This Row],[Time split]]="Train 2024",tblWorkPackages[[#This Row],[Estimated labor hours]],tblWorkPackages[[#This Row],[Calibrated forecast hours]])</f>
        <v>4.22893081761006</v>
      </c>
      <c r="W1546" s="64">
        <f>DATEVALUE(tblWorkPackages[[#This Row],[Request date]])</f>
        <v>45935.0</v>
      </c>
      <c r="X1546" s="64">
        <f>DATEVALUE(tblWorkPackages[[#This Row],[Due date]])</f>
        <v>45948.0</v>
      </c>
      <c r="Y1546" s="64">
        <f>DATEVALUE(tblWorkPackages[[#This Row],[Completion date]])</f>
        <v>45960.0</v>
      </c>
      <c r="Z1546" s="64">
        <f>_xlfn.MINIFS(tblLaborEntries[Work date serial],tblLaborEntries[Work package ID],tblWorkPackages[[#This Row],[Work package ID]])</f>
        <v>45959.0</v>
      </c>
      <c r="AA1546" s="64">
        <f>_xlfn.MAXIFS(tblLaborEntries[Work date serial],tblLaborEntries[Work package ID],tblWorkPackages[[#This Row],[Work package ID]])</f>
        <v>45960.0</v>
      </c>
      <c r="AB1546" s="65">
        <f>IF(tblWorkPackages[[#This Row],[Completion date serial]]&gt;tblWorkPackages[[#This Row],[Due date serial]],1,0)</f>
        <v>1</v>
      </c>
      <c r="AC1546" s="65">
        <f>MAX(0,tblWorkPackages[[#This Row],[Completion date serial]]-tblWorkPackages[[#This Row],[Due date serial]])</f>
        <v>12</v>
      </c>
      <c r="AD1546" s="65">
        <f>tblWorkPackages[[#This Row],[First labor date]]-tblWorkPackages[[#This Row],[Request date serial]]</f>
        <v>24</v>
      </c>
      <c r="AE1546" s="65">
        <f>tblWorkPackages[[#This Row],[Last labor date]]-tblWorkPackages[[#This Row],[First labor date]]</f>
        <v>1</v>
      </c>
      <c r="AF1546" s="65">
        <f>tblWorkPackages[[#This Row],[Completion date serial]]-tblWorkPackages[[#This Row],[Last labor date]]</f>
        <v>0</v>
      </c>
      <c r="AG1546" s="65">
        <f>tblWorkPackages[[#This Row],[Completion date serial]]-tblWorkPackages[[#This Row],[Request date serial]]</f>
        <v>25</v>
      </c>
      <c r="AH1546" s="65">
        <f>IFERROR(INDEX(tblParts[Delay days],MATCH(tblWorkPackages[[#This Row],[Work package ID]],tblParts[Work package ID],0)),0)</f>
        <v>0</v>
      </c>
      <c r="AI1546" s="51" t="str">
        <f>IFERROR(INDEX(tblDisruptions[Event type],MATCH(tblWorkPackages[[#This Row],[Work package ID]],tblDisruptions[Work package ID],0)),"None")</f>
        <v>None</v>
      </c>
      <c r="AJ1546" s="51" t="str">
        <f>TEXT(tblWorkPackages[[#This Row],[Due date serial]],"yyyy-mm")</f>
        <v>2025-10</v>
      </c>
    </row>
    <row r="1547" spans="1:36" ht="15" x14ac:dyDescent="0.25">
      <c r="A1547" s="53" t="s">
        <v>2455</v>
      </c>
      <c r="B1547" s="53" t="s">
        <v>150</v>
      </c>
      <c r="C1547" s="53" t="s">
        <v>361</v>
      </c>
      <c r="D1547" s="53" t="s">
        <v>1354</v>
      </c>
      <c r="E1547" s="53" t="s">
        <v>153</v>
      </c>
      <c r="F1547" s="53" t="s">
        <v>128</v>
      </c>
      <c r="G1547" s="53" t="s">
        <v>154</v>
      </c>
      <c r="H1547" s="53">
        <v>4</v>
      </c>
      <c r="I1547" s="53" t="s">
        <v>147</v>
      </c>
      <c r="J1547" s="53">
        <v>0</v>
      </c>
      <c r="K1547" s="53">
        <v>0</v>
      </c>
      <c r="L1547" s="53">
        <v>18.5</v>
      </c>
      <c r="M1547" s="53" t="s">
        <v>1138</v>
      </c>
      <c r="N1547" s="53">
        <v>21.2</v>
      </c>
      <c r="O1547" s="51" t="str">
        <f>TEXT(tblWorkPackages[[#This Row],[Request date serial]]-WEEKDAY(tblWorkPackages[[#This Row],[Request date serial]],3),"yyyy-mm-dd")</f>
        <v>2024-07-29</v>
      </c>
      <c r="P1547" s="51">
        <f>ABS(tblWorkPackages[[#This Row],[Actual labor hours]]-tblWorkPackages[[#This Row],[Estimated labor hours]])</f>
        <v>2.7</v>
      </c>
      <c r="Q1547" s="51">
        <f>IF(tblWorkPackages[[#This Row],[Actual labor hours]]&gt;tblWorkPackages[[#This Row],[Estimated labor hours]],1,0)</f>
        <v>1</v>
      </c>
      <c r="R1547" s="51">
        <f>tblWorkPackages[[#This Row],[Actual labor hours]]-tblWorkPackages[[#This Row],[Estimated labor hours]]</f>
        <v>2.7</v>
      </c>
      <c r="S1547" s="51" t="str">
        <f>IF(tblWorkPackages[[#This Row],[Request date serial]]&lt;ValidationStart,"Train 2024",IF(tblWorkPackages[[#This Row],[Request date serial]]&lt;HoldoutStart,"Validation H1","Holdout H2"))</f>
        <v>Train 2024</v>
      </c>
      <c r="T1547" s="51" t="str">
        <f>IF(tblWorkPackages[[#This Row],[Time split]]="Train 2024","",tblWorkPackages[[#This Row],[Estimated labor hours]]+VLOOKUP(tblWorkPackages[[#This Row],[Task type]],'Forecast validation'!$A$14:$E$25,IF(tblWorkPackages[[#This Row],[Time split]]="Validation H1",4,5),FALSE()))</f>
        <v/>
      </c>
      <c r="U1547" s="51" t="str">
        <f>IF(tblWorkPackages[[#This Row],[Calibrated forecast hours]]="","",ABS(tblWorkPackages[[#This Row],[Actual labor hours]]-tblWorkPackages[[#This Row],[Calibrated forecast hours]]))</f>
        <v/>
      </c>
      <c r="V1547" s="51">
        <f>IF(tblWorkPackages[[#This Row],[Time split]]="Train 2024",tblWorkPackages[[#This Row],[Estimated labor hours]],tblWorkPackages[[#This Row],[Calibrated forecast hours]])</f>
        <v>18.5</v>
      </c>
      <c r="W1547" s="64">
        <f>DATEVALUE(tblWorkPackages[[#This Row],[Request date]])</f>
        <v>45502.0</v>
      </c>
      <c r="X1547" s="64">
        <f>DATEVALUE(tblWorkPackages[[#This Row],[Due date]])</f>
        <v>45504.0</v>
      </c>
      <c r="Y1547" s="64">
        <f>DATEVALUE(tblWorkPackages[[#This Row],[Completion date]])</f>
        <v>45509.0</v>
      </c>
      <c r="Z1547" s="64">
        <f>_xlfn.MINIFS(tblLaborEntries[Work date serial],tblLaborEntries[Work package ID],tblWorkPackages[[#This Row],[Work package ID]])</f>
        <v>45506.0</v>
      </c>
      <c r="AA1547" s="64">
        <f>_xlfn.MAXIFS(tblLaborEntries[Work date serial],tblLaborEntries[Work package ID],tblWorkPackages[[#This Row],[Work package ID]])</f>
        <v>45508.0</v>
      </c>
      <c r="AB1547" s="65">
        <f>IF(tblWorkPackages[[#This Row],[Completion date serial]]&gt;tblWorkPackages[[#This Row],[Due date serial]],1,0)</f>
        <v>1</v>
      </c>
      <c r="AC1547" s="65">
        <f>MAX(0,tblWorkPackages[[#This Row],[Completion date serial]]-tblWorkPackages[[#This Row],[Due date serial]])</f>
        <v>5</v>
      </c>
      <c r="AD1547" s="65">
        <f>tblWorkPackages[[#This Row],[First labor date]]-tblWorkPackages[[#This Row],[Request date serial]]</f>
        <v>4</v>
      </c>
      <c r="AE1547" s="65">
        <f>tblWorkPackages[[#This Row],[Last labor date]]-tblWorkPackages[[#This Row],[First labor date]]</f>
        <v>2</v>
      </c>
      <c r="AF1547" s="65">
        <f>tblWorkPackages[[#This Row],[Completion date serial]]-tblWorkPackages[[#This Row],[Last labor date]]</f>
        <v>1</v>
      </c>
      <c r="AG1547" s="65">
        <f>tblWorkPackages[[#This Row],[Completion date serial]]-tblWorkPackages[[#This Row],[Request date serial]]</f>
        <v>7</v>
      </c>
      <c r="AH1547" s="65">
        <f>IFERROR(INDEX(tblParts[Delay days],MATCH(tblWorkPackages[[#This Row],[Work package ID]],tblParts[Work package ID],0)),0)</f>
        <v>0</v>
      </c>
      <c r="AI1547" s="51" t="str">
        <f>IFERROR(INDEX(tblDisruptions[Event type],MATCH(tblWorkPackages[[#This Row],[Work package ID]],tblDisruptions[Work package ID],0)),"None")</f>
        <v>None</v>
      </c>
      <c r="AJ1547" s="51" t="str">
        <f>TEXT(tblWorkPackages[[#This Row],[Due date serial]],"yyyy-mm")</f>
        <v>2024-07</v>
      </c>
    </row>
    <row r="1548" spans="1:36" ht="15" x14ac:dyDescent="0.25">
      <c r="A1548" s="53" t="s">
        <v>2456</v>
      </c>
      <c r="B1548" s="53" t="s">
        <v>163</v>
      </c>
      <c r="C1548" s="53" t="s">
        <v>457</v>
      </c>
      <c r="D1548" s="53" t="s">
        <v>1062</v>
      </c>
      <c r="E1548" s="53" t="s">
        <v>209</v>
      </c>
      <c r="F1548" s="53" t="s">
        <v>145</v>
      </c>
      <c r="G1548" s="53" t="s">
        <v>210</v>
      </c>
      <c r="H1548" s="53">
        <v>2</v>
      </c>
      <c r="I1548" s="53" t="s">
        <v>130</v>
      </c>
      <c r="J1548" s="53">
        <v>0</v>
      </c>
      <c r="K1548" s="53">
        <v>1</v>
      </c>
      <c r="L1548" s="53">
        <v>20</v>
      </c>
      <c r="M1548" s="53" t="s">
        <v>259</v>
      </c>
      <c r="N1548" s="53">
        <v>18.5</v>
      </c>
      <c r="O1548" s="51" t="str">
        <f>TEXT(tblWorkPackages[[#This Row],[Request date serial]]-WEEKDAY(tblWorkPackages[[#This Row],[Request date serial]],3),"yyyy-mm-dd")</f>
        <v>2025-01-06</v>
      </c>
      <c r="P1548" s="51">
        <f>ABS(tblWorkPackages[[#This Row],[Actual labor hours]]-tblWorkPackages[[#This Row],[Estimated labor hours]])</f>
        <v>1.5</v>
      </c>
      <c r="Q1548" s="51">
        <f>IF(tblWorkPackages[[#This Row],[Actual labor hours]]&gt;tblWorkPackages[[#This Row],[Estimated labor hours]],1,0)</f>
        <v>0</v>
      </c>
      <c r="R1548" s="51">
        <f>tblWorkPackages[[#This Row],[Actual labor hours]]-tblWorkPackages[[#This Row],[Estimated labor hours]]</f>
        <v>-1.5</v>
      </c>
      <c r="S1548" s="51" t="str">
        <f>IF(tblWorkPackages[[#This Row],[Request date serial]]&lt;ValidationStart,"Train 2024",IF(tblWorkPackages[[#This Row],[Request date serial]]&lt;HoldoutStart,"Validation H1","Holdout H2"))</f>
        <v>Validation H1</v>
      </c>
      <c r="T1548" s="51">
        <f>IF(tblWorkPackages[[#This Row],[Time split]]="Train 2024","",tblWorkPackages[[#This Row],[Estimated labor hours]]+VLOOKUP(tblWorkPackages[[#This Row],[Task type]],'Forecast validation'!$A$14:$E$25,IF(tblWorkPackages[[#This Row],[Time split]]="Validation H1",4,5),FALSE()))</f>
        <v>21.1029850746269</v>
      </c>
      <c r="U1548" s="51">
        <f>IF(tblWorkPackages[[#This Row],[Calibrated forecast hours]]="","",ABS(tblWorkPackages[[#This Row],[Actual labor hours]]-tblWorkPackages[[#This Row],[Calibrated forecast hours]]))</f>
        <v>2.60298507462687</v>
      </c>
      <c r="V1548" s="51">
        <f>IF(tblWorkPackages[[#This Row],[Time split]]="Train 2024",tblWorkPackages[[#This Row],[Estimated labor hours]],tblWorkPackages[[#This Row],[Calibrated forecast hours]])</f>
        <v>21.1029850746269</v>
      </c>
      <c r="W1548" s="64">
        <f>DATEVALUE(tblWorkPackages[[#This Row],[Request date]])</f>
        <v>45669.0</v>
      </c>
      <c r="X1548" s="64">
        <f>DATEVALUE(tblWorkPackages[[#This Row],[Due date]])</f>
        <v>45682.0</v>
      </c>
      <c r="Y1548" s="64">
        <f>DATEVALUE(tblWorkPackages[[#This Row],[Completion date]])</f>
        <v>45673.0</v>
      </c>
      <c r="Z1548" s="64">
        <f>_xlfn.MINIFS(tblLaborEntries[Work date serial],tblLaborEntries[Work package ID],tblWorkPackages[[#This Row],[Work package ID]])</f>
        <v>45670.0</v>
      </c>
      <c r="AA1548" s="64">
        <f>_xlfn.MAXIFS(tblLaborEntries[Work date serial],tblLaborEntries[Work package ID],tblWorkPackages[[#This Row],[Work package ID]])</f>
        <v>45671.0</v>
      </c>
      <c r="AB1548" s="65">
        <f>IF(tblWorkPackages[[#This Row],[Completion date serial]]&gt;tblWorkPackages[[#This Row],[Due date serial]],1,0)</f>
        <v>0</v>
      </c>
      <c r="AC1548" s="65">
        <f>MAX(0,tblWorkPackages[[#This Row],[Completion date serial]]-tblWorkPackages[[#This Row],[Due date serial]])</f>
        <v>0</v>
      </c>
      <c r="AD1548" s="65">
        <f>tblWorkPackages[[#This Row],[First labor date]]-tblWorkPackages[[#This Row],[Request date serial]]</f>
        <v>1</v>
      </c>
      <c r="AE1548" s="65">
        <f>tblWorkPackages[[#This Row],[Last labor date]]-tblWorkPackages[[#This Row],[First labor date]]</f>
        <v>1</v>
      </c>
      <c r="AF1548" s="65">
        <f>tblWorkPackages[[#This Row],[Completion date serial]]-tblWorkPackages[[#This Row],[Last labor date]]</f>
        <v>2</v>
      </c>
      <c r="AG1548" s="65">
        <f>tblWorkPackages[[#This Row],[Completion date serial]]-tblWorkPackages[[#This Row],[Request date serial]]</f>
        <v>4</v>
      </c>
      <c r="AH1548" s="65">
        <f>IFERROR(INDEX(tblParts[Delay days],MATCH(tblWorkPackages[[#This Row],[Work package ID]],tblParts[Work package ID],0)),0)</f>
        <v>0</v>
      </c>
      <c r="AI1548" s="51" t="str">
        <f>IFERROR(INDEX(tblDisruptions[Event type],MATCH(tblWorkPackages[[#This Row],[Work package ID]],tblDisruptions[Work package ID],0)),"None")</f>
        <v>None</v>
      </c>
      <c r="AJ1548" s="51" t="str">
        <f>TEXT(tblWorkPackages[[#This Row],[Due date serial]],"yyyy-mm")</f>
        <v>2025-01</v>
      </c>
    </row>
    <row r="1549" spans="1:36" ht="15" x14ac:dyDescent="0.25">
      <c r="A1549" s="53" t="s">
        <v>2457</v>
      </c>
      <c r="B1549" s="53" t="s">
        <v>185</v>
      </c>
      <c r="C1549" s="53" t="s">
        <v>211</v>
      </c>
      <c r="D1549" s="53" t="s">
        <v>1012</v>
      </c>
      <c r="E1549" s="53" t="s">
        <v>237</v>
      </c>
      <c r="F1549" s="53" t="s">
        <v>182</v>
      </c>
      <c r="G1549" s="53" t="s">
        <v>138</v>
      </c>
      <c r="H1549" s="53">
        <v>4</v>
      </c>
      <c r="I1549" s="53" t="s">
        <v>176</v>
      </c>
      <c r="J1549" s="53">
        <v>0</v>
      </c>
      <c r="K1549" s="53">
        <v>0</v>
      </c>
      <c r="L1549" s="53">
        <v>9.5</v>
      </c>
      <c r="M1549" s="53" t="s">
        <v>313</v>
      </c>
      <c r="N1549" s="53">
        <v>11.4</v>
      </c>
      <c r="O1549" s="51" t="str">
        <f>TEXT(tblWorkPackages[[#This Row],[Request date serial]]-WEEKDAY(tblWorkPackages[[#This Row],[Request date serial]],3),"yyyy-mm-dd")</f>
        <v>2025-08-11</v>
      </c>
      <c r="P1549" s="51">
        <f>ABS(tblWorkPackages[[#This Row],[Actual labor hours]]-tblWorkPackages[[#This Row],[Estimated labor hours]])</f>
        <v>1.9</v>
      </c>
      <c r="Q1549" s="51">
        <f>IF(tblWorkPackages[[#This Row],[Actual labor hours]]&gt;tblWorkPackages[[#This Row],[Estimated labor hours]],1,0)</f>
        <v>1</v>
      </c>
      <c r="R1549" s="51">
        <f>tblWorkPackages[[#This Row],[Actual labor hours]]-tblWorkPackages[[#This Row],[Estimated labor hours]]</f>
        <v>1.9</v>
      </c>
      <c r="S1549" s="51" t="str">
        <f>IF(tblWorkPackages[[#This Row],[Request date serial]]&lt;ValidationStart,"Train 2024",IF(tblWorkPackages[[#This Row],[Request date serial]]&lt;HoldoutStart,"Validation H1","Holdout H2"))</f>
        <v>Holdout H2</v>
      </c>
      <c r="T1549" s="51">
        <f>IF(tblWorkPackages[[#This Row],[Time split]]="Train 2024","",tblWorkPackages[[#This Row],[Estimated labor hours]]+VLOOKUP(tblWorkPackages[[#This Row],[Task type]],'Forecast validation'!$A$14:$E$25,IF(tblWorkPackages[[#This Row],[Time split]]="Validation H1",4,5),FALSE()))</f>
        <v>9.953125</v>
      </c>
      <c r="U1549" s="51">
        <f>IF(tblWorkPackages[[#This Row],[Calibrated forecast hours]]="","",ABS(tblWorkPackages[[#This Row],[Actual labor hours]]-tblWorkPackages[[#This Row],[Calibrated forecast hours]]))</f>
        <v>1.446875</v>
      </c>
      <c r="V1549" s="51">
        <f>IF(tblWorkPackages[[#This Row],[Time split]]="Train 2024",tblWorkPackages[[#This Row],[Estimated labor hours]],tblWorkPackages[[#This Row],[Calibrated forecast hours]])</f>
        <v>9.953125</v>
      </c>
      <c r="W1549" s="64">
        <f>DATEVALUE(tblWorkPackages[[#This Row],[Request date]])</f>
        <v>45882.0</v>
      </c>
      <c r="X1549" s="64">
        <f>DATEVALUE(tblWorkPackages[[#This Row],[Due date]])</f>
        <v>45888.0</v>
      </c>
      <c r="Y1549" s="64">
        <f>DATEVALUE(tblWorkPackages[[#This Row],[Completion date]])</f>
        <v>45899.0</v>
      </c>
      <c r="Z1549" s="64">
        <f>_xlfn.MINIFS(tblLaborEntries[Work date serial],tblLaborEntries[Work package ID],tblWorkPackages[[#This Row],[Work package ID]])</f>
        <v>45894.0</v>
      </c>
      <c r="AA1549" s="64">
        <f>_xlfn.MAXIFS(tblLaborEntries[Work date serial],tblLaborEntries[Work package ID],tblWorkPackages[[#This Row],[Work package ID]])</f>
        <v>45896.0</v>
      </c>
      <c r="AB1549" s="65">
        <f>IF(tblWorkPackages[[#This Row],[Completion date serial]]&gt;tblWorkPackages[[#This Row],[Due date serial]],1,0)</f>
        <v>1</v>
      </c>
      <c r="AC1549" s="65">
        <f>MAX(0,tblWorkPackages[[#This Row],[Completion date serial]]-tblWorkPackages[[#This Row],[Due date serial]])</f>
        <v>11</v>
      </c>
      <c r="AD1549" s="65">
        <f>tblWorkPackages[[#This Row],[First labor date]]-tblWorkPackages[[#This Row],[Request date serial]]</f>
        <v>12</v>
      </c>
      <c r="AE1549" s="65">
        <f>tblWorkPackages[[#This Row],[Last labor date]]-tblWorkPackages[[#This Row],[First labor date]]</f>
        <v>2</v>
      </c>
      <c r="AF1549" s="65">
        <f>tblWorkPackages[[#This Row],[Completion date serial]]-tblWorkPackages[[#This Row],[Last labor date]]</f>
        <v>3</v>
      </c>
      <c r="AG1549" s="65">
        <f>tblWorkPackages[[#This Row],[Completion date serial]]-tblWorkPackages[[#This Row],[Request date serial]]</f>
        <v>17</v>
      </c>
      <c r="AH1549" s="65">
        <f>IFERROR(INDEX(tblParts[Delay days],MATCH(tblWorkPackages[[#This Row],[Work package ID]],tblParts[Work package ID],0)),0)</f>
        <v>0</v>
      </c>
      <c r="AI1549" s="51" t="str">
        <f>IFERROR(INDEX(tblDisruptions[Event type],MATCH(tblWorkPackages[[#This Row],[Work package ID]],tblDisruptions[Work package ID],0)),"None")</f>
        <v>None</v>
      </c>
      <c r="AJ1549" s="51" t="str">
        <f>TEXT(tblWorkPackages[[#This Row],[Due date serial]],"yyyy-mm")</f>
        <v>2025-08</v>
      </c>
    </row>
    <row r="1550" spans="1:36" ht="15" x14ac:dyDescent="0.25">
      <c r="A1550" s="53" t="s">
        <v>2458</v>
      </c>
      <c r="B1550" s="53" t="s">
        <v>163</v>
      </c>
      <c r="C1550" s="53" t="s">
        <v>509</v>
      </c>
      <c r="D1550" s="53" t="s">
        <v>794</v>
      </c>
      <c r="E1550" s="53" t="s">
        <v>153</v>
      </c>
      <c r="F1550" s="53" t="s">
        <v>128</v>
      </c>
      <c r="G1550" s="53" t="s">
        <v>154</v>
      </c>
      <c r="H1550" s="53">
        <v>3</v>
      </c>
      <c r="I1550" s="53" t="s">
        <v>130</v>
      </c>
      <c r="J1550" s="53">
        <v>0</v>
      </c>
      <c r="K1550" s="53">
        <v>0</v>
      </c>
      <c r="L1550" s="53">
        <v>11.1</v>
      </c>
      <c r="M1550" s="53" t="s">
        <v>981</v>
      </c>
      <c r="N1550" s="53">
        <v>8.6</v>
      </c>
      <c r="O1550" s="51" t="str">
        <f>TEXT(tblWorkPackages[[#This Row],[Request date serial]]-WEEKDAY(tblWorkPackages[[#This Row],[Request date serial]],3),"yyyy-mm-dd")</f>
        <v>2024-10-28</v>
      </c>
      <c r="P1550" s="51">
        <f>ABS(tblWorkPackages[[#This Row],[Actual labor hours]]-tblWorkPackages[[#This Row],[Estimated labor hours]])</f>
        <v>2.5</v>
      </c>
      <c r="Q1550" s="51">
        <f>IF(tblWorkPackages[[#This Row],[Actual labor hours]]&gt;tblWorkPackages[[#This Row],[Estimated labor hours]],1,0)</f>
        <v>0</v>
      </c>
      <c r="R1550" s="51">
        <f>tblWorkPackages[[#This Row],[Actual labor hours]]-tblWorkPackages[[#This Row],[Estimated labor hours]]</f>
        <v>-2.5</v>
      </c>
      <c r="S1550" s="51" t="str">
        <f>IF(tblWorkPackages[[#This Row],[Request date serial]]&lt;ValidationStart,"Train 2024",IF(tblWorkPackages[[#This Row],[Request date serial]]&lt;HoldoutStart,"Validation H1","Holdout H2"))</f>
        <v>Train 2024</v>
      </c>
      <c r="T1550" s="51" t="str">
        <f>IF(tblWorkPackages[[#This Row],[Time split]]="Train 2024","",tblWorkPackages[[#This Row],[Estimated labor hours]]+VLOOKUP(tblWorkPackages[[#This Row],[Task type]],'Forecast validation'!$A$14:$E$25,IF(tblWorkPackages[[#This Row],[Time split]]="Validation H1",4,5),FALSE()))</f>
        <v/>
      </c>
      <c r="U1550" s="51" t="str">
        <f>IF(tblWorkPackages[[#This Row],[Calibrated forecast hours]]="","",ABS(tblWorkPackages[[#This Row],[Actual labor hours]]-tblWorkPackages[[#This Row],[Calibrated forecast hours]]))</f>
        <v/>
      </c>
      <c r="V1550" s="51">
        <f>IF(tblWorkPackages[[#This Row],[Time split]]="Train 2024",tblWorkPackages[[#This Row],[Estimated labor hours]],tblWorkPackages[[#This Row],[Calibrated forecast hours]])</f>
        <v>11.1</v>
      </c>
      <c r="W1550" s="64">
        <f>DATEVALUE(tblWorkPackages[[#This Row],[Request date]])</f>
        <v>45597.0</v>
      </c>
      <c r="X1550" s="64">
        <f>DATEVALUE(tblWorkPackages[[#This Row],[Due date]])</f>
        <v>45610.0</v>
      </c>
      <c r="Y1550" s="64">
        <f>DATEVALUE(tblWorkPackages[[#This Row],[Completion date]])</f>
        <v>45601.0</v>
      </c>
      <c r="Z1550" s="64">
        <f>_xlfn.MINIFS(tblLaborEntries[Work date serial],tblLaborEntries[Work package ID],tblWorkPackages[[#This Row],[Work package ID]])</f>
        <v>45600.0</v>
      </c>
      <c r="AA1550" s="64">
        <f>_xlfn.MAXIFS(tblLaborEntries[Work date serial],tblLaborEntries[Work package ID],tblWorkPackages[[#This Row],[Work package ID]])</f>
        <v>45601.0</v>
      </c>
      <c r="AB1550" s="65">
        <f>IF(tblWorkPackages[[#This Row],[Completion date serial]]&gt;tblWorkPackages[[#This Row],[Due date serial]],1,0)</f>
        <v>0</v>
      </c>
      <c r="AC1550" s="65">
        <f>MAX(0,tblWorkPackages[[#This Row],[Completion date serial]]-tblWorkPackages[[#This Row],[Due date serial]])</f>
        <v>0</v>
      </c>
      <c r="AD1550" s="65">
        <f>tblWorkPackages[[#This Row],[First labor date]]-tblWorkPackages[[#This Row],[Request date serial]]</f>
        <v>3</v>
      </c>
      <c r="AE1550" s="65">
        <f>tblWorkPackages[[#This Row],[Last labor date]]-tblWorkPackages[[#This Row],[First labor date]]</f>
        <v>1</v>
      </c>
      <c r="AF1550" s="65">
        <f>tblWorkPackages[[#This Row],[Completion date serial]]-tblWorkPackages[[#This Row],[Last labor date]]</f>
        <v>0</v>
      </c>
      <c r="AG1550" s="65">
        <f>tblWorkPackages[[#This Row],[Completion date serial]]-tblWorkPackages[[#This Row],[Request date serial]]</f>
        <v>4</v>
      </c>
      <c r="AH1550" s="65">
        <f>IFERROR(INDEX(tblParts[Delay days],MATCH(tblWorkPackages[[#This Row],[Work package ID]],tblParts[Work package ID],0)),0)</f>
        <v>0</v>
      </c>
      <c r="AI1550" s="51" t="str">
        <f>IFERROR(INDEX(tblDisruptions[Event type],MATCH(tblWorkPackages[[#This Row],[Work package ID]],tblDisruptions[Work package ID],0)),"None")</f>
        <v>None</v>
      </c>
      <c r="AJ1550" s="51" t="str">
        <f>TEXT(tblWorkPackages[[#This Row],[Due date serial]],"yyyy-mm")</f>
        <v>2024-11</v>
      </c>
    </row>
    <row r="1551" spans="1:36" ht="15" x14ac:dyDescent="0.25">
      <c r="A1551" s="53" t="s">
        <v>2459</v>
      </c>
      <c r="B1551" s="53" t="s">
        <v>141</v>
      </c>
      <c r="C1551" s="53" t="s">
        <v>418</v>
      </c>
      <c r="D1551" s="53" t="s">
        <v>1126</v>
      </c>
      <c r="E1551" s="53" t="s">
        <v>200</v>
      </c>
      <c r="F1551" s="53" t="s">
        <v>128</v>
      </c>
      <c r="G1551" s="53" t="s">
        <v>129</v>
      </c>
      <c r="H1551" s="53">
        <v>1</v>
      </c>
      <c r="I1551" s="53" t="s">
        <v>176</v>
      </c>
      <c r="J1551" s="53">
        <v>0</v>
      </c>
      <c r="K1551" s="53">
        <v>0</v>
      </c>
      <c r="L1551" s="53">
        <v>2.2000000000000002</v>
      </c>
      <c r="M1551" s="53" t="s">
        <v>549</v>
      </c>
      <c r="N1551" s="53">
        <v>2.8</v>
      </c>
      <c r="O1551" s="51" t="str">
        <f>TEXT(tblWorkPackages[[#This Row],[Request date serial]]-WEEKDAY(tblWorkPackages[[#This Row],[Request date serial]],3),"yyyy-mm-dd")</f>
        <v>2024-05-13</v>
      </c>
      <c r="P1551" s="51">
        <f>ABS(tblWorkPackages[[#This Row],[Actual labor hours]]-tblWorkPackages[[#This Row],[Estimated labor hours]])</f>
        <v>0.6</v>
      </c>
      <c r="Q1551" s="51">
        <f>IF(tblWorkPackages[[#This Row],[Actual labor hours]]&gt;tblWorkPackages[[#This Row],[Estimated labor hours]],1,0)</f>
        <v>1</v>
      </c>
      <c r="R1551" s="51">
        <f>tblWorkPackages[[#This Row],[Actual labor hours]]-tblWorkPackages[[#This Row],[Estimated labor hours]]</f>
        <v>0.6</v>
      </c>
      <c r="S1551" s="51" t="str">
        <f>IF(tblWorkPackages[[#This Row],[Request date serial]]&lt;ValidationStart,"Train 2024",IF(tblWorkPackages[[#This Row],[Request date serial]]&lt;HoldoutStart,"Validation H1","Holdout H2"))</f>
        <v>Train 2024</v>
      </c>
      <c r="T1551" s="51" t="str">
        <f>IF(tblWorkPackages[[#This Row],[Time split]]="Train 2024","",tblWorkPackages[[#This Row],[Estimated labor hours]]+VLOOKUP(tblWorkPackages[[#This Row],[Task type]],'Forecast validation'!$A$14:$E$25,IF(tblWorkPackages[[#This Row],[Time split]]="Validation H1",4,5),FALSE()))</f>
        <v/>
      </c>
      <c r="U1551" s="51" t="str">
        <f>IF(tblWorkPackages[[#This Row],[Calibrated forecast hours]]="","",ABS(tblWorkPackages[[#This Row],[Actual labor hours]]-tblWorkPackages[[#This Row],[Calibrated forecast hours]]))</f>
        <v/>
      </c>
      <c r="V1551" s="51">
        <f>IF(tblWorkPackages[[#This Row],[Time split]]="Train 2024",tblWorkPackages[[#This Row],[Estimated labor hours]],tblWorkPackages[[#This Row],[Calibrated forecast hours]])</f>
        <v>2.2</v>
      </c>
      <c r="W1551" s="64">
        <f>DATEVALUE(tblWorkPackages[[#This Row],[Request date]])</f>
        <v>45429.0</v>
      </c>
      <c r="X1551" s="64">
        <f>DATEVALUE(tblWorkPackages[[#This Row],[Due date]])</f>
        <v>45435.0</v>
      </c>
      <c r="Y1551" s="64">
        <f>DATEVALUE(tblWorkPackages[[#This Row],[Completion date]])</f>
        <v>45469.0</v>
      </c>
      <c r="Z1551" s="64">
        <f>_xlfn.MINIFS(tblLaborEntries[Work date serial],tblLaborEntries[Work package ID],tblWorkPackages[[#This Row],[Work package ID]])</f>
        <v>45467.0</v>
      </c>
      <c r="AA1551" s="64">
        <f>_xlfn.MAXIFS(tblLaborEntries[Work date serial],tblLaborEntries[Work package ID],tblWorkPackages[[#This Row],[Work package ID]])</f>
        <v>45468.0</v>
      </c>
      <c r="AB1551" s="65">
        <f>IF(tblWorkPackages[[#This Row],[Completion date serial]]&gt;tblWorkPackages[[#This Row],[Due date serial]],1,0)</f>
        <v>1</v>
      </c>
      <c r="AC1551" s="65">
        <f>MAX(0,tblWorkPackages[[#This Row],[Completion date serial]]-tblWorkPackages[[#This Row],[Due date serial]])</f>
        <v>34</v>
      </c>
      <c r="AD1551" s="65">
        <f>tblWorkPackages[[#This Row],[First labor date]]-tblWorkPackages[[#This Row],[Request date serial]]</f>
        <v>38</v>
      </c>
      <c r="AE1551" s="65">
        <f>tblWorkPackages[[#This Row],[Last labor date]]-tblWorkPackages[[#This Row],[First labor date]]</f>
        <v>1</v>
      </c>
      <c r="AF1551" s="65">
        <f>tblWorkPackages[[#This Row],[Completion date serial]]-tblWorkPackages[[#This Row],[Last labor date]]</f>
        <v>1</v>
      </c>
      <c r="AG1551" s="65">
        <f>tblWorkPackages[[#This Row],[Completion date serial]]-tblWorkPackages[[#This Row],[Request date serial]]</f>
        <v>40</v>
      </c>
      <c r="AH1551" s="65">
        <f>IFERROR(INDEX(tblParts[Delay days],MATCH(tblWorkPackages[[#This Row],[Work package ID]],tblParts[Work package ID],0)),0)</f>
        <v>0</v>
      </c>
      <c r="AI1551" s="51" t="str">
        <f>IFERROR(INDEX(tblDisruptions[Event type],MATCH(tblWorkPackages[[#This Row],[Work package ID]],tblDisruptions[Work package ID],0)),"None")</f>
        <v>None</v>
      </c>
      <c r="AJ1551" s="51" t="str">
        <f>TEXT(tblWorkPackages[[#This Row],[Due date serial]],"yyyy-mm")</f>
        <v>2024-05</v>
      </c>
    </row>
    <row r="1552" spans="1:36" ht="15" x14ac:dyDescent="0.25">
      <c r="A1552" s="53" t="s">
        <v>2460</v>
      </c>
      <c r="B1552" s="53" t="s">
        <v>124</v>
      </c>
      <c r="C1552" s="53" t="s">
        <v>1154</v>
      </c>
      <c r="D1552" s="53" t="s">
        <v>208</v>
      </c>
      <c r="E1552" s="53" t="s">
        <v>200</v>
      </c>
      <c r="F1552" s="53" t="s">
        <v>128</v>
      </c>
      <c r="G1552" s="53" t="s">
        <v>129</v>
      </c>
      <c r="H1552" s="53">
        <v>4</v>
      </c>
      <c r="I1552" s="53" t="s">
        <v>130</v>
      </c>
      <c r="J1552" s="53">
        <v>0</v>
      </c>
      <c r="K1552" s="53">
        <v>0</v>
      </c>
      <c r="L1552" s="53">
        <v>5.7</v>
      </c>
      <c r="M1552" s="53" t="s">
        <v>1409</v>
      </c>
      <c r="N1552" s="53">
        <v>8.5</v>
      </c>
      <c r="O1552" s="51" t="str">
        <f>TEXT(tblWorkPackages[[#This Row],[Request date serial]]-WEEKDAY(tblWorkPackages[[#This Row],[Request date serial]],3),"yyyy-mm-dd")</f>
        <v>2025-07-21</v>
      </c>
      <c r="P1552" s="51">
        <f>ABS(tblWorkPackages[[#This Row],[Actual labor hours]]-tblWorkPackages[[#This Row],[Estimated labor hours]])</f>
        <v>2.8</v>
      </c>
      <c r="Q1552" s="51">
        <f>IF(tblWorkPackages[[#This Row],[Actual labor hours]]&gt;tblWorkPackages[[#This Row],[Estimated labor hours]],1,0)</f>
        <v>1</v>
      </c>
      <c r="R1552" s="51">
        <f>tblWorkPackages[[#This Row],[Actual labor hours]]-tblWorkPackages[[#This Row],[Estimated labor hours]]</f>
        <v>2.8</v>
      </c>
      <c r="S1552" s="51" t="str">
        <f>IF(tblWorkPackages[[#This Row],[Request date serial]]&lt;ValidationStart,"Train 2024",IF(tblWorkPackages[[#This Row],[Request date serial]]&lt;HoldoutStart,"Validation H1","Holdout H2"))</f>
        <v>Holdout H2</v>
      </c>
      <c r="T1552" s="51">
        <f>IF(tblWorkPackages[[#This Row],[Time split]]="Train 2024","",tblWorkPackages[[#This Row],[Estimated labor hours]]+VLOOKUP(tblWorkPackages[[#This Row],[Task type]],'Forecast validation'!$A$14:$E$25,IF(tblWorkPackages[[#This Row],[Time split]]="Validation H1",4,5),FALSE()))</f>
        <v>6.02893081761006</v>
      </c>
      <c r="U1552" s="51">
        <f>IF(tblWorkPackages[[#This Row],[Calibrated forecast hours]]="","",ABS(tblWorkPackages[[#This Row],[Actual labor hours]]-tblWorkPackages[[#This Row],[Calibrated forecast hours]]))</f>
        <v>2.47106918238994</v>
      </c>
      <c r="V1552" s="51">
        <f>IF(tblWorkPackages[[#This Row],[Time split]]="Train 2024",tblWorkPackages[[#This Row],[Estimated labor hours]],tblWorkPackages[[#This Row],[Calibrated forecast hours]])</f>
        <v>6.02893081761006</v>
      </c>
      <c r="W1552" s="64">
        <f>DATEVALUE(tblWorkPackages[[#This Row],[Request date]])</f>
        <v>45864.0</v>
      </c>
      <c r="X1552" s="64">
        <f>DATEVALUE(tblWorkPackages[[#This Row],[Due date]])</f>
        <v>45877.0</v>
      </c>
      <c r="Y1552" s="64">
        <f>DATEVALUE(tblWorkPackages[[#This Row],[Completion date]])</f>
        <v>45875.0</v>
      </c>
      <c r="Z1552" s="64">
        <f>_xlfn.MINIFS(tblLaborEntries[Work date serial],tblLaborEntries[Work package ID],tblWorkPackages[[#This Row],[Work package ID]])</f>
        <v>45871.0</v>
      </c>
      <c r="AA1552" s="64">
        <f>_xlfn.MAXIFS(tblLaborEntries[Work date serial],tblLaborEntries[Work package ID],tblWorkPackages[[#This Row],[Work package ID]])</f>
        <v>45873.0</v>
      </c>
      <c r="AB1552" s="65">
        <f>IF(tblWorkPackages[[#This Row],[Completion date serial]]&gt;tblWorkPackages[[#This Row],[Due date serial]],1,0)</f>
        <v>0</v>
      </c>
      <c r="AC1552" s="65">
        <f>MAX(0,tblWorkPackages[[#This Row],[Completion date serial]]-tblWorkPackages[[#This Row],[Due date serial]])</f>
        <v>0</v>
      </c>
      <c r="AD1552" s="65">
        <f>tblWorkPackages[[#This Row],[First labor date]]-tblWorkPackages[[#This Row],[Request date serial]]</f>
        <v>7</v>
      </c>
      <c r="AE1552" s="65">
        <f>tblWorkPackages[[#This Row],[Last labor date]]-tblWorkPackages[[#This Row],[First labor date]]</f>
        <v>2</v>
      </c>
      <c r="AF1552" s="65">
        <f>tblWorkPackages[[#This Row],[Completion date serial]]-tblWorkPackages[[#This Row],[Last labor date]]</f>
        <v>2</v>
      </c>
      <c r="AG1552" s="65">
        <f>tblWorkPackages[[#This Row],[Completion date serial]]-tblWorkPackages[[#This Row],[Request date serial]]</f>
        <v>11</v>
      </c>
      <c r="AH1552" s="65">
        <f>IFERROR(INDEX(tblParts[Delay days],MATCH(tblWorkPackages[[#This Row],[Work package ID]],tblParts[Work package ID],0)),0)</f>
        <v>0</v>
      </c>
      <c r="AI1552" s="51" t="str">
        <f>IFERROR(INDEX(tblDisruptions[Event type],MATCH(tblWorkPackages[[#This Row],[Work package ID]],tblDisruptions[Work package ID],0)),"None")</f>
        <v>Repeat inspection</v>
      </c>
      <c r="AJ1552" s="51" t="str">
        <f>TEXT(tblWorkPackages[[#This Row],[Due date serial]],"yyyy-mm")</f>
        <v>2025-08</v>
      </c>
    </row>
    <row r="1553" spans="1:36" ht="15" x14ac:dyDescent="0.25">
      <c r="A1553" s="53" t="s">
        <v>2461</v>
      </c>
      <c r="B1553" s="53" t="s">
        <v>250</v>
      </c>
      <c r="C1553" s="53" t="s">
        <v>412</v>
      </c>
      <c r="D1553" s="53" t="s">
        <v>827</v>
      </c>
      <c r="E1553" s="53" t="s">
        <v>181</v>
      </c>
      <c r="F1553" s="53" t="s">
        <v>182</v>
      </c>
      <c r="G1553" s="53" t="s">
        <v>138</v>
      </c>
      <c r="H1553" s="53">
        <v>1</v>
      </c>
      <c r="I1553" s="53" t="s">
        <v>176</v>
      </c>
      <c r="J1553" s="53">
        <v>0</v>
      </c>
      <c r="K1553" s="53">
        <v>0</v>
      </c>
      <c r="L1553" s="53">
        <v>5.3</v>
      </c>
      <c r="M1553" s="53" t="s">
        <v>413</v>
      </c>
      <c r="N1553" s="53">
        <v>5.6</v>
      </c>
      <c r="O1553" s="51" t="str">
        <f>TEXT(tblWorkPackages[[#This Row],[Request date serial]]-WEEKDAY(tblWorkPackages[[#This Row],[Request date serial]],3),"yyyy-mm-dd")</f>
        <v>2025-02-24</v>
      </c>
      <c r="P1553" s="51">
        <f>ABS(tblWorkPackages[[#This Row],[Actual labor hours]]-tblWorkPackages[[#This Row],[Estimated labor hours]])</f>
        <v>0.3</v>
      </c>
      <c r="Q1553" s="51">
        <f>IF(tblWorkPackages[[#This Row],[Actual labor hours]]&gt;tblWorkPackages[[#This Row],[Estimated labor hours]],1,0)</f>
        <v>1</v>
      </c>
      <c r="R1553" s="51">
        <f>tblWorkPackages[[#This Row],[Actual labor hours]]-tblWorkPackages[[#This Row],[Estimated labor hours]]</f>
        <v>0.3</v>
      </c>
      <c r="S1553" s="51" t="str">
        <f>IF(tblWorkPackages[[#This Row],[Request date serial]]&lt;ValidationStart,"Train 2024",IF(tblWorkPackages[[#This Row],[Request date serial]]&lt;HoldoutStart,"Validation H1","Holdout H2"))</f>
        <v>Validation H1</v>
      </c>
      <c r="T1553" s="51">
        <f>IF(tblWorkPackages[[#This Row],[Time split]]="Train 2024","",tblWorkPackages[[#This Row],[Estimated labor hours]]+VLOOKUP(tblWorkPackages[[#This Row],[Task type]],'Forecast validation'!$A$14:$E$25,IF(tblWorkPackages[[#This Row],[Time split]]="Validation H1",4,5),FALSE()))</f>
        <v>5.88409090909091</v>
      </c>
      <c r="U1553" s="51">
        <f>IF(tblWorkPackages[[#This Row],[Calibrated forecast hours]]="","",ABS(tblWorkPackages[[#This Row],[Actual labor hours]]-tblWorkPackages[[#This Row],[Calibrated forecast hours]]))</f>
        <v>0.284090909090909</v>
      </c>
      <c r="V1553" s="51">
        <f>IF(tblWorkPackages[[#This Row],[Time split]]="Train 2024",tblWorkPackages[[#This Row],[Estimated labor hours]],tblWorkPackages[[#This Row],[Calibrated forecast hours]])</f>
        <v>5.88409090909091</v>
      </c>
      <c r="W1553" s="64">
        <f>DATEVALUE(tblWorkPackages[[#This Row],[Request date]])</f>
        <v>45712.0</v>
      </c>
      <c r="X1553" s="64">
        <f>DATEVALUE(tblWorkPackages[[#This Row],[Due date]])</f>
        <v>45718.0</v>
      </c>
      <c r="Y1553" s="64">
        <f>DATEVALUE(tblWorkPackages[[#This Row],[Completion date]])</f>
        <v>45717.0</v>
      </c>
      <c r="Z1553" s="64">
        <f>_xlfn.MINIFS(tblLaborEntries[Work date serial],tblLaborEntries[Work package ID],tblWorkPackages[[#This Row],[Work package ID]])</f>
        <v>45714.0</v>
      </c>
      <c r="AA1553" s="64">
        <f>_xlfn.MAXIFS(tblLaborEntries[Work date serial],tblLaborEntries[Work package ID],tblWorkPackages[[#This Row],[Work package ID]])</f>
        <v>45714.0</v>
      </c>
      <c r="AB1553" s="65">
        <f>IF(tblWorkPackages[[#This Row],[Completion date serial]]&gt;tblWorkPackages[[#This Row],[Due date serial]],1,0)</f>
        <v>0</v>
      </c>
      <c r="AC1553" s="65">
        <f>MAX(0,tblWorkPackages[[#This Row],[Completion date serial]]-tblWorkPackages[[#This Row],[Due date serial]])</f>
        <v>0</v>
      </c>
      <c r="AD1553" s="65">
        <f>tblWorkPackages[[#This Row],[First labor date]]-tblWorkPackages[[#This Row],[Request date serial]]</f>
        <v>2</v>
      </c>
      <c r="AE1553" s="65">
        <f>tblWorkPackages[[#This Row],[Last labor date]]-tblWorkPackages[[#This Row],[First labor date]]</f>
        <v>0</v>
      </c>
      <c r="AF1553" s="65">
        <f>tblWorkPackages[[#This Row],[Completion date serial]]-tblWorkPackages[[#This Row],[Last labor date]]</f>
        <v>3</v>
      </c>
      <c r="AG1553" s="65">
        <f>tblWorkPackages[[#This Row],[Completion date serial]]-tblWorkPackages[[#This Row],[Request date serial]]</f>
        <v>5</v>
      </c>
      <c r="AH1553" s="65">
        <f>IFERROR(INDEX(tblParts[Delay days],MATCH(tblWorkPackages[[#This Row],[Work package ID]],tblParts[Work package ID],0)),0)</f>
        <v>0</v>
      </c>
      <c r="AI1553" s="51" t="str">
        <f>IFERROR(INDEX(tblDisruptions[Event type],MATCH(tblWorkPackages[[#This Row],[Work package ID]],tblDisruptions[Work package ID],0)),"None")</f>
        <v>None</v>
      </c>
      <c r="AJ1553" s="51" t="str">
        <f>TEXT(tblWorkPackages[[#This Row],[Due date serial]],"yyyy-mm")</f>
        <v>2025-03</v>
      </c>
    </row>
    <row r="1554" spans="1:36" ht="15" x14ac:dyDescent="0.25">
      <c r="A1554" s="53" t="s">
        <v>2462</v>
      </c>
      <c r="B1554" s="53" t="s">
        <v>133</v>
      </c>
      <c r="C1554" s="53" t="s">
        <v>335</v>
      </c>
      <c r="D1554" s="53" t="s">
        <v>334</v>
      </c>
      <c r="E1554" s="53" t="s">
        <v>181</v>
      </c>
      <c r="F1554" s="53" t="s">
        <v>182</v>
      </c>
      <c r="G1554" s="53" t="s">
        <v>138</v>
      </c>
      <c r="H1554" s="53">
        <v>2</v>
      </c>
      <c r="I1554" s="53" t="s">
        <v>176</v>
      </c>
      <c r="J1554" s="53">
        <v>0</v>
      </c>
      <c r="K1554" s="53">
        <v>0</v>
      </c>
      <c r="L1554" s="53">
        <v>6.5</v>
      </c>
      <c r="M1554" s="53" t="s">
        <v>768</v>
      </c>
      <c r="N1554" s="53">
        <v>7.9</v>
      </c>
      <c r="O1554" s="51" t="str">
        <f>TEXT(tblWorkPackages[[#This Row],[Request date serial]]-WEEKDAY(tblWorkPackages[[#This Row],[Request date serial]],3),"yyyy-mm-dd")</f>
        <v>2025-11-17</v>
      </c>
      <c r="P1554" s="51">
        <f>ABS(tblWorkPackages[[#This Row],[Actual labor hours]]-tblWorkPackages[[#This Row],[Estimated labor hours]])</f>
        <v>1.4</v>
      </c>
      <c r="Q1554" s="51">
        <f>IF(tblWorkPackages[[#This Row],[Actual labor hours]]&gt;tblWorkPackages[[#This Row],[Estimated labor hours]],1,0)</f>
        <v>1</v>
      </c>
      <c r="R1554" s="51">
        <f>tblWorkPackages[[#This Row],[Actual labor hours]]-tblWorkPackages[[#This Row],[Estimated labor hours]]</f>
        <v>1.4</v>
      </c>
      <c r="S1554" s="51" t="str">
        <f>IF(tblWorkPackages[[#This Row],[Request date serial]]&lt;ValidationStart,"Train 2024",IF(tblWorkPackages[[#This Row],[Request date serial]]&lt;HoldoutStart,"Validation H1","Holdout H2"))</f>
        <v>Holdout H2</v>
      </c>
      <c r="T1554" s="51">
        <f>IF(tblWorkPackages[[#This Row],[Time split]]="Train 2024","",tblWorkPackages[[#This Row],[Estimated labor hours]]+VLOOKUP(tblWorkPackages[[#This Row],[Task type]],'Forecast validation'!$A$14:$E$25,IF(tblWorkPackages[[#This Row],[Time split]]="Validation H1",4,5),FALSE()))</f>
        <v>7.09160839160839</v>
      </c>
      <c r="U1554" s="51">
        <f>IF(tblWorkPackages[[#This Row],[Calibrated forecast hours]]="","",ABS(tblWorkPackages[[#This Row],[Actual labor hours]]-tblWorkPackages[[#This Row],[Calibrated forecast hours]]))</f>
        <v>0.808391608391609</v>
      </c>
      <c r="V1554" s="51">
        <f>IF(tblWorkPackages[[#This Row],[Time split]]="Train 2024",tblWorkPackages[[#This Row],[Estimated labor hours]],tblWorkPackages[[#This Row],[Calibrated forecast hours]])</f>
        <v>7.09160839160839</v>
      </c>
      <c r="W1554" s="64">
        <f>DATEVALUE(tblWorkPackages[[#This Row],[Request date]])</f>
        <v>45984.0</v>
      </c>
      <c r="X1554" s="64">
        <f>DATEVALUE(tblWorkPackages[[#This Row],[Due date]])</f>
        <v>45990.0</v>
      </c>
      <c r="Y1554" s="64">
        <f>DATEVALUE(tblWorkPackages[[#This Row],[Completion date]])</f>
        <v>46001.0</v>
      </c>
      <c r="Z1554" s="64">
        <f>_xlfn.MINIFS(tblLaborEntries[Work date serial],tblLaborEntries[Work package ID],tblWorkPackages[[#This Row],[Work package ID]])</f>
        <v>46000.0</v>
      </c>
      <c r="AA1554" s="64">
        <f>_xlfn.MAXIFS(tblLaborEntries[Work date serial],tblLaborEntries[Work package ID],tblWorkPackages[[#This Row],[Work package ID]])</f>
        <v>46001.0</v>
      </c>
      <c r="AB1554" s="65">
        <f>IF(tblWorkPackages[[#This Row],[Completion date serial]]&gt;tblWorkPackages[[#This Row],[Due date serial]],1,0)</f>
        <v>1</v>
      </c>
      <c r="AC1554" s="65">
        <f>MAX(0,tblWorkPackages[[#This Row],[Completion date serial]]-tblWorkPackages[[#This Row],[Due date serial]])</f>
        <v>11</v>
      </c>
      <c r="AD1554" s="65">
        <f>tblWorkPackages[[#This Row],[First labor date]]-tblWorkPackages[[#This Row],[Request date serial]]</f>
        <v>16</v>
      </c>
      <c r="AE1554" s="65">
        <f>tblWorkPackages[[#This Row],[Last labor date]]-tblWorkPackages[[#This Row],[First labor date]]</f>
        <v>1</v>
      </c>
      <c r="AF1554" s="65">
        <f>tblWorkPackages[[#This Row],[Completion date serial]]-tblWorkPackages[[#This Row],[Last labor date]]</f>
        <v>0</v>
      </c>
      <c r="AG1554" s="65">
        <f>tblWorkPackages[[#This Row],[Completion date serial]]-tblWorkPackages[[#This Row],[Request date serial]]</f>
        <v>17</v>
      </c>
      <c r="AH1554" s="65">
        <f>IFERROR(INDEX(tblParts[Delay days],MATCH(tblWorkPackages[[#This Row],[Work package ID]],tblParts[Work package ID],0)),0)</f>
        <v>0</v>
      </c>
      <c r="AI1554" s="51" t="str">
        <f>IFERROR(INDEX(tblDisruptions[Event type],MATCH(tblWorkPackages[[#This Row],[Work package ID]],tblDisruptions[Work package ID],0)),"None")</f>
        <v>None</v>
      </c>
      <c r="AJ1554" s="51" t="str">
        <f>TEXT(tblWorkPackages[[#This Row],[Due date serial]],"yyyy-mm")</f>
        <v>2025-11</v>
      </c>
    </row>
    <row r="1555" spans="1:36" ht="15" x14ac:dyDescent="0.25">
      <c r="A1555" s="53" t="s">
        <v>2463</v>
      </c>
      <c r="B1555" s="53" t="s">
        <v>157</v>
      </c>
      <c r="C1555" s="53" t="s">
        <v>1274</v>
      </c>
      <c r="D1555" s="53" t="s">
        <v>332</v>
      </c>
      <c r="E1555" s="53" t="s">
        <v>153</v>
      </c>
      <c r="F1555" s="53" t="s">
        <v>128</v>
      </c>
      <c r="G1555" s="53" t="s">
        <v>154</v>
      </c>
      <c r="H1555" s="53">
        <v>1</v>
      </c>
      <c r="I1555" s="53" t="s">
        <v>130</v>
      </c>
      <c r="J1555" s="53">
        <v>0</v>
      </c>
      <c r="K1555" s="53">
        <v>1</v>
      </c>
      <c r="L1555" s="53">
        <v>5.0999999999999996</v>
      </c>
      <c r="M1555" s="53" t="s">
        <v>942</v>
      </c>
      <c r="N1555" s="53">
        <v>5.9</v>
      </c>
      <c r="O1555" s="51" t="str">
        <f>TEXT(tblWorkPackages[[#This Row],[Request date serial]]-WEEKDAY(tblWorkPackages[[#This Row],[Request date serial]],3),"yyyy-mm-dd")</f>
        <v>2025-10-06</v>
      </c>
      <c r="P1555" s="51">
        <f>ABS(tblWorkPackages[[#This Row],[Actual labor hours]]-tblWorkPackages[[#This Row],[Estimated labor hours]])</f>
        <v>0.800000000000001</v>
      </c>
      <c r="Q1555" s="51">
        <f>IF(tblWorkPackages[[#This Row],[Actual labor hours]]&gt;tblWorkPackages[[#This Row],[Estimated labor hours]],1,0)</f>
        <v>1</v>
      </c>
      <c r="R1555" s="51">
        <f>tblWorkPackages[[#This Row],[Actual labor hours]]-tblWorkPackages[[#This Row],[Estimated labor hours]]</f>
        <v>0.800000000000001</v>
      </c>
      <c r="S1555" s="51" t="str">
        <f>IF(tblWorkPackages[[#This Row],[Request date serial]]&lt;ValidationStart,"Train 2024",IF(tblWorkPackages[[#This Row],[Request date serial]]&lt;HoldoutStart,"Validation H1","Holdout H2"))</f>
        <v>Holdout H2</v>
      </c>
      <c r="T1555" s="51">
        <f>IF(tblWorkPackages[[#This Row],[Time split]]="Train 2024","",tblWorkPackages[[#This Row],[Estimated labor hours]]+VLOOKUP(tblWorkPackages[[#This Row],[Task type]],'Forecast validation'!$A$14:$E$25,IF(tblWorkPackages[[#This Row],[Time split]]="Validation H1",4,5),FALSE()))</f>
        <v>5.70266666666667</v>
      </c>
      <c r="U1555" s="51">
        <f>IF(tblWorkPackages[[#This Row],[Calibrated forecast hours]]="","",ABS(tblWorkPackages[[#This Row],[Actual labor hours]]-tblWorkPackages[[#This Row],[Calibrated forecast hours]]))</f>
        <v>0.197333333333334</v>
      </c>
      <c r="V1555" s="51">
        <f>IF(tblWorkPackages[[#This Row],[Time split]]="Train 2024",tblWorkPackages[[#This Row],[Estimated labor hours]],tblWorkPackages[[#This Row],[Calibrated forecast hours]])</f>
        <v>5.70266666666667</v>
      </c>
      <c r="W1555" s="64">
        <f>DATEVALUE(tblWorkPackages[[#This Row],[Request date]])</f>
        <v>45941.0</v>
      </c>
      <c r="X1555" s="64">
        <f>DATEVALUE(tblWorkPackages[[#This Row],[Due date]])</f>
        <v>45954.0</v>
      </c>
      <c r="Y1555" s="64">
        <f>DATEVALUE(tblWorkPackages[[#This Row],[Completion date]])</f>
        <v>45946.0</v>
      </c>
      <c r="Z1555" s="64">
        <f>_xlfn.MINIFS(tblLaborEntries[Work date serial],tblLaborEntries[Work package ID],tblWorkPackages[[#This Row],[Work package ID]])</f>
        <v>45945.0</v>
      </c>
      <c r="AA1555" s="64">
        <f>_xlfn.MAXIFS(tblLaborEntries[Work date serial],tblLaborEntries[Work package ID],tblWorkPackages[[#This Row],[Work package ID]])</f>
        <v>45945.0</v>
      </c>
      <c r="AB1555" s="65">
        <f>IF(tblWorkPackages[[#This Row],[Completion date serial]]&gt;tblWorkPackages[[#This Row],[Due date serial]],1,0)</f>
        <v>0</v>
      </c>
      <c r="AC1555" s="65">
        <f>MAX(0,tblWorkPackages[[#This Row],[Completion date serial]]-tblWorkPackages[[#This Row],[Due date serial]])</f>
        <v>0</v>
      </c>
      <c r="AD1555" s="65">
        <f>tblWorkPackages[[#This Row],[First labor date]]-tblWorkPackages[[#This Row],[Request date serial]]</f>
        <v>4</v>
      </c>
      <c r="AE1555" s="65">
        <f>tblWorkPackages[[#This Row],[Last labor date]]-tblWorkPackages[[#This Row],[First labor date]]</f>
        <v>0</v>
      </c>
      <c r="AF1555" s="65">
        <f>tblWorkPackages[[#This Row],[Completion date serial]]-tblWorkPackages[[#This Row],[Last labor date]]</f>
        <v>1</v>
      </c>
      <c r="AG1555" s="65">
        <f>tblWorkPackages[[#This Row],[Completion date serial]]-tblWorkPackages[[#This Row],[Request date serial]]</f>
        <v>5</v>
      </c>
      <c r="AH1555" s="65">
        <f>IFERROR(INDEX(tblParts[Delay days],MATCH(tblWorkPackages[[#This Row],[Work package ID]],tblParts[Work package ID],0)),0)</f>
        <v>0</v>
      </c>
      <c r="AI1555" s="51" t="str">
        <f>IFERROR(INDEX(tblDisruptions[Event type],MATCH(tblWorkPackages[[#This Row],[Work package ID]],tblDisruptions[Work package ID],0)),"None")</f>
        <v>None</v>
      </c>
      <c r="AJ1555" s="51" t="str">
        <f>TEXT(tblWorkPackages[[#This Row],[Due date serial]],"yyyy-mm")</f>
        <v>2025-10</v>
      </c>
    </row>
    <row r="1556" spans="1:36" ht="15" x14ac:dyDescent="0.25">
      <c r="A1556" s="53" t="s">
        <v>2464</v>
      </c>
      <c r="B1556" s="53" t="s">
        <v>230</v>
      </c>
      <c r="C1556" s="53" t="s">
        <v>381</v>
      </c>
      <c r="D1556" s="53" t="s">
        <v>960</v>
      </c>
      <c r="E1556" s="53" t="s">
        <v>136</v>
      </c>
      <c r="F1556" s="53" t="s">
        <v>137</v>
      </c>
      <c r="G1556" s="53" t="s">
        <v>138</v>
      </c>
      <c r="H1556" s="53">
        <v>4</v>
      </c>
      <c r="I1556" s="53" t="s">
        <v>176</v>
      </c>
      <c r="J1556" s="53">
        <v>0</v>
      </c>
      <c r="K1556" s="53">
        <v>0</v>
      </c>
      <c r="L1556" s="53">
        <v>24.4</v>
      </c>
      <c r="M1556" s="53" t="s">
        <v>594</v>
      </c>
      <c r="N1556" s="53">
        <v>21.4</v>
      </c>
      <c r="O1556" s="51" t="str">
        <f>TEXT(tblWorkPackages[[#This Row],[Request date serial]]-WEEKDAY(tblWorkPackages[[#This Row],[Request date serial]],3),"yyyy-mm-dd")</f>
        <v>2024-10-21</v>
      </c>
      <c r="P1556" s="51">
        <f>ABS(tblWorkPackages[[#This Row],[Actual labor hours]]-tblWorkPackages[[#This Row],[Estimated labor hours]])</f>
        <v>3</v>
      </c>
      <c r="Q1556" s="51">
        <f>IF(tblWorkPackages[[#This Row],[Actual labor hours]]&gt;tblWorkPackages[[#This Row],[Estimated labor hours]],1,0)</f>
        <v>0</v>
      </c>
      <c r="R1556" s="51">
        <f>tblWorkPackages[[#This Row],[Actual labor hours]]-tblWorkPackages[[#This Row],[Estimated labor hours]]</f>
        <v>-3</v>
      </c>
      <c r="S1556" s="51" t="str">
        <f>IF(tblWorkPackages[[#This Row],[Request date serial]]&lt;ValidationStart,"Train 2024",IF(tblWorkPackages[[#This Row],[Request date serial]]&lt;HoldoutStart,"Validation H1","Holdout H2"))</f>
        <v>Train 2024</v>
      </c>
      <c r="T1556" s="51" t="str">
        <f>IF(tblWorkPackages[[#This Row],[Time split]]="Train 2024","",tblWorkPackages[[#This Row],[Estimated labor hours]]+VLOOKUP(tblWorkPackages[[#This Row],[Task type]],'Forecast validation'!$A$14:$E$25,IF(tblWorkPackages[[#This Row],[Time split]]="Validation H1",4,5),FALSE()))</f>
        <v/>
      </c>
      <c r="U1556" s="51" t="str">
        <f>IF(tblWorkPackages[[#This Row],[Calibrated forecast hours]]="","",ABS(tblWorkPackages[[#This Row],[Actual labor hours]]-tblWorkPackages[[#This Row],[Calibrated forecast hours]]))</f>
        <v/>
      </c>
      <c r="V1556" s="51">
        <f>IF(tblWorkPackages[[#This Row],[Time split]]="Train 2024",tblWorkPackages[[#This Row],[Estimated labor hours]],tblWorkPackages[[#This Row],[Calibrated forecast hours]])</f>
        <v>24.4</v>
      </c>
      <c r="W1556" s="64">
        <f>DATEVALUE(tblWorkPackages[[#This Row],[Request date]])</f>
        <v>45588.0</v>
      </c>
      <c r="X1556" s="64">
        <f>DATEVALUE(tblWorkPackages[[#This Row],[Due date]])</f>
        <v>45594.0</v>
      </c>
      <c r="Y1556" s="64">
        <f>DATEVALUE(tblWorkPackages[[#This Row],[Completion date]])</f>
        <v>45593.0</v>
      </c>
      <c r="Z1556" s="64">
        <f>_xlfn.MINIFS(tblLaborEntries[Work date serial],tblLaborEntries[Work package ID],tblWorkPackages[[#This Row],[Work package ID]])</f>
        <v>45589.0</v>
      </c>
      <c r="AA1556" s="64">
        <f>_xlfn.MAXIFS(tblLaborEntries[Work date serial],tblLaborEntries[Work package ID],tblWorkPackages[[#This Row],[Work package ID]])</f>
        <v>45591.0</v>
      </c>
      <c r="AB1556" s="65">
        <f>IF(tblWorkPackages[[#This Row],[Completion date serial]]&gt;tblWorkPackages[[#This Row],[Due date serial]],1,0)</f>
        <v>0</v>
      </c>
      <c r="AC1556" s="65">
        <f>MAX(0,tblWorkPackages[[#This Row],[Completion date serial]]-tblWorkPackages[[#This Row],[Due date serial]])</f>
        <v>0</v>
      </c>
      <c r="AD1556" s="65">
        <f>tblWorkPackages[[#This Row],[First labor date]]-tblWorkPackages[[#This Row],[Request date serial]]</f>
        <v>1</v>
      </c>
      <c r="AE1556" s="65">
        <f>tblWorkPackages[[#This Row],[Last labor date]]-tblWorkPackages[[#This Row],[First labor date]]</f>
        <v>2</v>
      </c>
      <c r="AF1556" s="65">
        <f>tblWorkPackages[[#This Row],[Completion date serial]]-tblWorkPackages[[#This Row],[Last labor date]]</f>
        <v>2</v>
      </c>
      <c r="AG1556" s="65">
        <f>tblWorkPackages[[#This Row],[Completion date serial]]-tblWorkPackages[[#This Row],[Request date serial]]</f>
        <v>5</v>
      </c>
      <c r="AH1556" s="65">
        <f>IFERROR(INDEX(tblParts[Delay days],MATCH(tblWorkPackages[[#This Row],[Work package ID]],tblParts[Work package ID],0)),0)</f>
        <v>0</v>
      </c>
      <c r="AI1556" s="51" t="str">
        <f>IFERROR(INDEX(tblDisruptions[Event type],MATCH(tblWorkPackages[[#This Row],[Work package ID]],tblDisruptions[Work package ID],0)),"None")</f>
        <v>None</v>
      </c>
      <c r="AJ1556" s="51" t="str">
        <f>TEXT(tblWorkPackages[[#This Row],[Due date serial]],"yyyy-mm")</f>
        <v>2024-10</v>
      </c>
    </row>
    <row r="1557" spans="1:36" ht="15" x14ac:dyDescent="0.25">
      <c r="A1557" s="53" t="s">
        <v>2465</v>
      </c>
      <c r="B1557" s="53" t="s">
        <v>287</v>
      </c>
      <c r="C1557" s="53" t="s">
        <v>740</v>
      </c>
      <c r="D1557" s="53" t="s">
        <v>597</v>
      </c>
      <c r="E1557" s="53" t="s">
        <v>272</v>
      </c>
      <c r="F1557" s="53" t="s">
        <v>145</v>
      </c>
      <c r="G1557" s="53" t="s">
        <v>273</v>
      </c>
      <c r="H1557" s="53">
        <v>4</v>
      </c>
      <c r="I1557" s="53" t="s">
        <v>176</v>
      </c>
      <c r="J1557" s="53">
        <v>0</v>
      </c>
      <c r="K1557" s="53">
        <v>1</v>
      </c>
      <c r="L1557" s="53">
        <v>23.7</v>
      </c>
      <c r="M1557" s="53" t="s">
        <v>1285</v>
      </c>
      <c r="N1557" s="53">
        <v>22.8</v>
      </c>
      <c r="O1557" s="51" t="str">
        <f>TEXT(tblWorkPackages[[#This Row],[Request date serial]]-WEEKDAY(tblWorkPackages[[#This Row],[Request date serial]],3),"yyyy-mm-dd")</f>
        <v>2025-05-19</v>
      </c>
      <c r="P1557" s="51">
        <f>ABS(tblWorkPackages[[#This Row],[Actual labor hours]]-tblWorkPackages[[#This Row],[Estimated labor hours]])</f>
        <v>0.899999999999999</v>
      </c>
      <c r="Q1557" s="51">
        <f>IF(tblWorkPackages[[#This Row],[Actual labor hours]]&gt;tblWorkPackages[[#This Row],[Estimated labor hours]],1,0)</f>
        <v>0</v>
      </c>
      <c r="R1557" s="51">
        <f>tblWorkPackages[[#This Row],[Actual labor hours]]-tblWorkPackages[[#This Row],[Estimated labor hours]]</f>
        <v>-0.899999999999999</v>
      </c>
      <c r="S1557" s="51" t="str">
        <f>IF(tblWorkPackages[[#This Row],[Request date serial]]&lt;ValidationStart,"Train 2024",IF(tblWorkPackages[[#This Row],[Request date serial]]&lt;HoldoutStart,"Validation H1","Holdout H2"))</f>
        <v>Validation H1</v>
      </c>
      <c r="T1557" s="51">
        <f>IF(tblWorkPackages[[#This Row],[Time split]]="Train 2024","",tblWorkPackages[[#This Row],[Estimated labor hours]]+VLOOKUP(tblWorkPackages[[#This Row],[Task type]],'Forecast validation'!$A$14:$E$25,IF(tblWorkPackages[[#This Row],[Time split]]="Validation H1",4,5),FALSE()))</f>
        <v>24.7320512820513</v>
      </c>
      <c r="U1557" s="51">
        <f>IF(tblWorkPackages[[#This Row],[Calibrated forecast hours]]="","",ABS(tblWorkPackages[[#This Row],[Actual labor hours]]-tblWorkPackages[[#This Row],[Calibrated forecast hours]]))</f>
        <v>1.93205128205128</v>
      </c>
      <c r="V1557" s="51">
        <f>IF(tblWorkPackages[[#This Row],[Time split]]="Train 2024",tblWorkPackages[[#This Row],[Estimated labor hours]],tblWorkPackages[[#This Row],[Calibrated forecast hours]])</f>
        <v>24.7320512820513</v>
      </c>
      <c r="W1557" s="64">
        <f>DATEVALUE(tblWorkPackages[[#This Row],[Request date]])</f>
        <v>45797.0</v>
      </c>
      <c r="X1557" s="64">
        <f>DATEVALUE(tblWorkPackages[[#This Row],[Due date]])</f>
        <v>45803.0</v>
      </c>
      <c r="Y1557" s="64">
        <f>DATEVALUE(tblWorkPackages[[#This Row],[Completion date]])</f>
        <v>45812.0</v>
      </c>
      <c r="Z1557" s="64">
        <f>_xlfn.MINIFS(tblLaborEntries[Work date serial],tblLaborEntries[Work package ID],tblWorkPackages[[#This Row],[Work package ID]])</f>
        <v>45807.0</v>
      </c>
      <c r="AA1557" s="64">
        <f>_xlfn.MAXIFS(tblLaborEntries[Work date serial],tblLaborEntries[Work package ID],tblWorkPackages[[#This Row],[Work package ID]])</f>
        <v>45809.0</v>
      </c>
      <c r="AB1557" s="65">
        <f>IF(tblWorkPackages[[#This Row],[Completion date serial]]&gt;tblWorkPackages[[#This Row],[Due date serial]],1,0)</f>
        <v>1</v>
      </c>
      <c r="AC1557" s="65">
        <f>MAX(0,tblWorkPackages[[#This Row],[Completion date serial]]-tblWorkPackages[[#This Row],[Due date serial]])</f>
        <v>9</v>
      </c>
      <c r="AD1557" s="65">
        <f>tblWorkPackages[[#This Row],[First labor date]]-tblWorkPackages[[#This Row],[Request date serial]]</f>
        <v>10</v>
      </c>
      <c r="AE1557" s="65">
        <f>tblWorkPackages[[#This Row],[Last labor date]]-tblWorkPackages[[#This Row],[First labor date]]</f>
        <v>2</v>
      </c>
      <c r="AF1557" s="65">
        <f>tblWorkPackages[[#This Row],[Completion date serial]]-tblWorkPackages[[#This Row],[Last labor date]]</f>
        <v>3</v>
      </c>
      <c r="AG1557" s="65">
        <f>tblWorkPackages[[#This Row],[Completion date serial]]-tblWorkPackages[[#This Row],[Request date serial]]</f>
        <v>15</v>
      </c>
      <c r="AH1557" s="65">
        <f>IFERROR(INDEX(tblParts[Delay days],MATCH(tblWorkPackages[[#This Row],[Work package ID]],tblParts[Work package ID],0)),0)</f>
        <v>0</v>
      </c>
      <c r="AI1557" s="51" t="str">
        <f>IFERROR(INDEX(tblDisruptions[Event type],MATCH(tblWorkPackages[[#This Row],[Work package ID]],tblDisruptions[Work package ID],0)),"None")</f>
        <v>None</v>
      </c>
      <c r="AJ1557" s="51" t="str">
        <f>TEXT(tblWorkPackages[[#This Row],[Due date serial]],"yyyy-mm")</f>
        <v>2025-05</v>
      </c>
    </row>
    <row r="1558" spans="1:36" ht="15" x14ac:dyDescent="0.25">
      <c r="A1558" s="53" t="s">
        <v>2466</v>
      </c>
      <c r="B1558" s="53" t="s">
        <v>141</v>
      </c>
      <c r="C1558" s="53" t="s">
        <v>356</v>
      </c>
      <c r="D1558" s="53" t="s">
        <v>357</v>
      </c>
      <c r="E1558" s="53" t="s">
        <v>242</v>
      </c>
      <c r="F1558" s="53" t="s">
        <v>243</v>
      </c>
      <c r="G1558" s="53" t="s">
        <v>129</v>
      </c>
      <c r="H1558" s="53">
        <v>1</v>
      </c>
      <c r="I1558" s="53" t="s">
        <v>130</v>
      </c>
      <c r="J1558" s="53">
        <v>0</v>
      </c>
      <c r="K1558" s="53">
        <v>1</v>
      </c>
      <c r="L1558" s="53">
        <v>5.3</v>
      </c>
      <c r="M1558" s="53" t="s">
        <v>218</v>
      </c>
      <c r="N1558" s="53">
        <v>6.1</v>
      </c>
      <c r="O1558" s="51" t="str">
        <f>TEXT(tblWorkPackages[[#This Row],[Request date serial]]-WEEKDAY(tblWorkPackages[[#This Row],[Request date serial]],3),"yyyy-mm-dd")</f>
        <v>2025-12-15</v>
      </c>
      <c r="P1558" s="51">
        <f>ABS(tblWorkPackages[[#This Row],[Actual labor hours]]-tblWorkPackages[[#This Row],[Estimated labor hours]])</f>
        <v>0.8</v>
      </c>
      <c r="Q1558" s="51">
        <f>IF(tblWorkPackages[[#This Row],[Actual labor hours]]&gt;tblWorkPackages[[#This Row],[Estimated labor hours]],1,0)</f>
        <v>1</v>
      </c>
      <c r="R1558" s="51">
        <f>tblWorkPackages[[#This Row],[Actual labor hours]]-tblWorkPackages[[#This Row],[Estimated labor hours]]</f>
        <v>0.8</v>
      </c>
      <c r="S1558" s="51" t="str">
        <f>IF(tblWorkPackages[[#This Row],[Request date serial]]&lt;ValidationStart,"Train 2024",IF(tblWorkPackages[[#This Row],[Request date serial]]&lt;HoldoutStart,"Validation H1","Holdout H2"))</f>
        <v>Holdout H2</v>
      </c>
      <c r="T1558" s="51">
        <f>IF(tblWorkPackages[[#This Row],[Time split]]="Train 2024","",tblWorkPackages[[#This Row],[Estimated labor hours]]+VLOOKUP(tblWorkPackages[[#This Row],[Task type]],'Forecast validation'!$A$14:$E$25,IF(tblWorkPackages[[#This Row],[Time split]]="Validation H1",4,5),FALSE()))</f>
        <v>6.12545454545455</v>
      </c>
      <c r="U1558" s="51">
        <f>IF(tblWorkPackages[[#This Row],[Calibrated forecast hours]]="","",ABS(tblWorkPackages[[#This Row],[Actual labor hours]]-tblWorkPackages[[#This Row],[Calibrated forecast hours]]))</f>
        <v>0.0254545454545454</v>
      </c>
      <c r="V1558" s="51">
        <f>IF(tblWorkPackages[[#This Row],[Time split]]="Train 2024",tblWorkPackages[[#This Row],[Estimated labor hours]],tblWorkPackages[[#This Row],[Calibrated forecast hours]])</f>
        <v>6.12545454545455</v>
      </c>
      <c r="W1558" s="64">
        <f>DATEVALUE(tblWorkPackages[[#This Row],[Request date]])</f>
        <v>46012.0</v>
      </c>
      <c r="X1558" s="64">
        <f>DATEVALUE(tblWorkPackages[[#This Row],[Due date]])</f>
        <v>46025.0</v>
      </c>
      <c r="Y1558" s="64">
        <f>DATEVALUE(tblWorkPackages[[#This Row],[Completion date]])</f>
        <v>46017.0</v>
      </c>
      <c r="Z1558" s="64">
        <f>_xlfn.MINIFS(tblLaborEntries[Work date serial],tblLaborEntries[Work package ID],tblWorkPackages[[#This Row],[Work package ID]])</f>
        <v>46015.0</v>
      </c>
      <c r="AA1558" s="64">
        <f>_xlfn.MAXIFS(tblLaborEntries[Work date serial],tblLaborEntries[Work package ID],tblWorkPackages[[#This Row],[Work package ID]])</f>
        <v>46017.0</v>
      </c>
      <c r="AB1558" s="65">
        <f>IF(tblWorkPackages[[#This Row],[Completion date serial]]&gt;tblWorkPackages[[#This Row],[Due date serial]],1,0)</f>
        <v>0</v>
      </c>
      <c r="AC1558" s="65">
        <f>MAX(0,tblWorkPackages[[#This Row],[Completion date serial]]-tblWorkPackages[[#This Row],[Due date serial]])</f>
        <v>0</v>
      </c>
      <c r="AD1558" s="65">
        <f>tblWorkPackages[[#This Row],[First labor date]]-tblWorkPackages[[#This Row],[Request date serial]]</f>
        <v>3</v>
      </c>
      <c r="AE1558" s="65">
        <f>tblWorkPackages[[#This Row],[Last labor date]]-tblWorkPackages[[#This Row],[First labor date]]</f>
        <v>2</v>
      </c>
      <c r="AF1558" s="65">
        <f>tblWorkPackages[[#This Row],[Completion date serial]]-tblWorkPackages[[#This Row],[Last labor date]]</f>
        <v>0</v>
      </c>
      <c r="AG1558" s="65">
        <f>tblWorkPackages[[#This Row],[Completion date serial]]-tblWorkPackages[[#This Row],[Request date serial]]</f>
        <v>5</v>
      </c>
      <c r="AH1558" s="65">
        <f>IFERROR(INDEX(tblParts[Delay days],MATCH(tblWorkPackages[[#This Row],[Work package ID]],tblParts[Work package ID],0)),0)</f>
        <v>0</v>
      </c>
      <c r="AI1558" s="51" t="str">
        <f>IFERROR(INDEX(tblDisruptions[Event type],MATCH(tblWorkPackages[[#This Row],[Work package ID]],tblDisruptions[Work package ID],0)),"None")</f>
        <v>None</v>
      </c>
      <c r="AJ1558" s="51" t="str">
        <f>TEXT(tblWorkPackages[[#This Row],[Due date serial]],"yyyy-mm")</f>
        <v>2026-01</v>
      </c>
    </row>
    <row r="1559" spans="1:36" ht="15" x14ac:dyDescent="0.25">
      <c r="A1559" s="53" t="s">
        <v>2467</v>
      </c>
      <c r="B1559" s="53" t="s">
        <v>185</v>
      </c>
      <c r="C1559" s="53" t="s">
        <v>942</v>
      </c>
      <c r="D1559" s="53" t="s">
        <v>978</v>
      </c>
      <c r="E1559" s="53" t="s">
        <v>209</v>
      </c>
      <c r="F1559" s="53" t="s">
        <v>145</v>
      </c>
      <c r="G1559" s="53" t="s">
        <v>210</v>
      </c>
      <c r="H1559" s="53">
        <v>2</v>
      </c>
      <c r="I1559" s="53" t="s">
        <v>130</v>
      </c>
      <c r="J1559" s="53">
        <v>0</v>
      </c>
      <c r="K1559" s="53">
        <v>0</v>
      </c>
      <c r="L1559" s="53">
        <v>19.399999999999999</v>
      </c>
      <c r="M1559" s="53" t="s">
        <v>308</v>
      </c>
      <c r="N1559" s="53">
        <v>22</v>
      </c>
      <c r="O1559" s="51" t="str">
        <f>TEXT(tblWorkPackages[[#This Row],[Request date serial]]-WEEKDAY(tblWorkPackages[[#This Row],[Request date serial]],3),"yyyy-mm-dd")</f>
        <v>2025-10-13</v>
      </c>
      <c r="P1559" s="51">
        <f>ABS(tblWorkPackages[[#This Row],[Actual labor hours]]-tblWorkPackages[[#This Row],[Estimated labor hours]])</f>
        <v>2.6</v>
      </c>
      <c r="Q1559" s="51">
        <f>IF(tblWorkPackages[[#This Row],[Actual labor hours]]&gt;tblWorkPackages[[#This Row],[Estimated labor hours]],1,0)</f>
        <v>1</v>
      </c>
      <c r="R1559" s="51">
        <f>tblWorkPackages[[#This Row],[Actual labor hours]]-tblWorkPackages[[#This Row],[Estimated labor hours]]</f>
        <v>2.6</v>
      </c>
      <c r="S1559" s="51" t="str">
        <f>IF(tblWorkPackages[[#This Row],[Request date serial]]&lt;ValidationStart,"Train 2024",IF(tblWorkPackages[[#This Row],[Request date serial]]&lt;HoldoutStart,"Validation H1","Holdout H2"))</f>
        <v>Holdout H2</v>
      </c>
      <c r="T1559" s="51">
        <f>IF(tblWorkPackages[[#This Row],[Time split]]="Train 2024","",tblWorkPackages[[#This Row],[Estimated labor hours]]+VLOOKUP(tblWorkPackages[[#This Row],[Task type]],'Forecast validation'!$A$14:$E$25,IF(tblWorkPackages[[#This Row],[Time split]]="Validation H1",4,5),FALSE()))</f>
        <v>21.195652173913</v>
      </c>
      <c r="U1559" s="51">
        <f>IF(tblWorkPackages[[#This Row],[Calibrated forecast hours]]="","",ABS(tblWorkPackages[[#This Row],[Actual labor hours]]-tblWorkPackages[[#This Row],[Calibrated forecast hours]]))</f>
        <v>0.804347826086957</v>
      </c>
      <c r="V1559" s="51">
        <f>IF(tblWorkPackages[[#This Row],[Time split]]="Train 2024",tblWorkPackages[[#This Row],[Estimated labor hours]],tblWorkPackages[[#This Row],[Calibrated forecast hours]])</f>
        <v>21.195652173913</v>
      </c>
      <c r="W1559" s="64">
        <f>DATEVALUE(tblWorkPackages[[#This Row],[Request date]])</f>
        <v>45946.0</v>
      </c>
      <c r="X1559" s="64">
        <f>DATEVALUE(tblWorkPackages[[#This Row],[Due date]])</f>
        <v>45959.0</v>
      </c>
      <c r="Y1559" s="64">
        <f>DATEVALUE(tblWorkPackages[[#This Row],[Completion date]])</f>
        <v>45977.0</v>
      </c>
      <c r="Z1559" s="64">
        <f>_xlfn.MINIFS(tblLaborEntries[Work date serial],tblLaborEntries[Work package ID],tblWorkPackages[[#This Row],[Work package ID]])</f>
        <v>45975.0</v>
      </c>
      <c r="AA1559" s="64">
        <f>_xlfn.MAXIFS(tblLaborEntries[Work date serial],tblLaborEntries[Work package ID],tblWorkPackages[[#This Row],[Work package ID]])</f>
        <v>45976.0</v>
      </c>
      <c r="AB1559" s="65">
        <f>IF(tblWorkPackages[[#This Row],[Completion date serial]]&gt;tblWorkPackages[[#This Row],[Due date serial]],1,0)</f>
        <v>1</v>
      </c>
      <c r="AC1559" s="65">
        <f>MAX(0,tblWorkPackages[[#This Row],[Completion date serial]]-tblWorkPackages[[#This Row],[Due date serial]])</f>
        <v>18</v>
      </c>
      <c r="AD1559" s="65">
        <f>tblWorkPackages[[#This Row],[First labor date]]-tblWorkPackages[[#This Row],[Request date serial]]</f>
        <v>29</v>
      </c>
      <c r="AE1559" s="65">
        <f>tblWorkPackages[[#This Row],[Last labor date]]-tblWorkPackages[[#This Row],[First labor date]]</f>
        <v>1</v>
      </c>
      <c r="AF1559" s="65">
        <f>tblWorkPackages[[#This Row],[Completion date serial]]-tblWorkPackages[[#This Row],[Last labor date]]</f>
        <v>1</v>
      </c>
      <c r="AG1559" s="65">
        <f>tblWorkPackages[[#This Row],[Completion date serial]]-tblWorkPackages[[#This Row],[Request date serial]]</f>
        <v>31</v>
      </c>
      <c r="AH1559" s="65">
        <f>IFERROR(INDEX(tblParts[Delay days],MATCH(tblWorkPackages[[#This Row],[Work package ID]],tblParts[Work package ID],0)),0)</f>
        <v>0</v>
      </c>
      <c r="AI1559" s="51" t="str">
        <f>IFERROR(INDEX(tblDisruptions[Event type],MATCH(tblWorkPackages[[#This Row],[Work package ID]],tblDisruptions[Work package ID],0)),"None")</f>
        <v>None</v>
      </c>
      <c r="AJ1559" s="51" t="str">
        <f>TEXT(tblWorkPackages[[#This Row],[Due date serial]],"yyyy-mm")</f>
        <v>2025-10</v>
      </c>
    </row>
    <row r="1560" spans="1:36" ht="15" x14ac:dyDescent="0.25">
      <c r="A1560" s="53" t="s">
        <v>2468</v>
      </c>
      <c r="B1560" s="53" t="s">
        <v>133</v>
      </c>
      <c r="C1560" s="53" t="s">
        <v>232</v>
      </c>
      <c r="D1560" s="53" t="s">
        <v>681</v>
      </c>
      <c r="E1560" s="53" t="s">
        <v>223</v>
      </c>
      <c r="F1560" s="53" t="s">
        <v>182</v>
      </c>
      <c r="G1560" s="53" t="s">
        <v>154</v>
      </c>
      <c r="H1560" s="53">
        <v>4</v>
      </c>
      <c r="I1560" s="53" t="s">
        <v>130</v>
      </c>
      <c r="J1560" s="53">
        <v>0</v>
      </c>
      <c r="K1560" s="53">
        <v>0</v>
      </c>
      <c r="L1560" s="53">
        <v>21.8</v>
      </c>
      <c r="M1560" s="53" t="s">
        <v>253</v>
      </c>
      <c r="N1560" s="53">
        <v>19.3</v>
      </c>
      <c r="O1560" s="51" t="str">
        <f>TEXT(tblWorkPackages[[#This Row],[Request date serial]]-WEEKDAY(tblWorkPackages[[#This Row],[Request date serial]],3),"yyyy-mm-dd")</f>
        <v>2025-01-06</v>
      </c>
      <c r="P1560" s="51">
        <f>ABS(tblWorkPackages[[#This Row],[Actual labor hours]]-tblWorkPackages[[#This Row],[Estimated labor hours]])</f>
        <v>2.5</v>
      </c>
      <c r="Q1560" s="51">
        <f>IF(tblWorkPackages[[#This Row],[Actual labor hours]]&gt;tblWorkPackages[[#This Row],[Estimated labor hours]],1,0)</f>
        <v>0</v>
      </c>
      <c r="R1560" s="51">
        <f>tblWorkPackages[[#This Row],[Actual labor hours]]-tblWorkPackages[[#This Row],[Estimated labor hours]]</f>
        <v>-2.5</v>
      </c>
      <c r="S1560" s="51" t="str">
        <f>IF(tblWorkPackages[[#This Row],[Request date serial]]&lt;ValidationStart,"Train 2024",IF(tblWorkPackages[[#This Row],[Request date serial]]&lt;HoldoutStart,"Validation H1","Holdout H2"))</f>
        <v>Validation H1</v>
      </c>
      <c r="T1560" s="51">
        <f>IF(tblWorkPackages[[#This Row],[Time split]]="Train 2024","",tblWorkPackages[[#This Row],[Estimated labor hours]]+VLOOKUP(tblWorkPackages[[#This Row],[Task type]],'Forecast validation'!$A$14:$E$25,IF(tblWorkPackages[[#This Row],[Time split]]="Validation H1",4,5),FALSE()))</f>
        <v>22.6824175824176</v>
      </c>
      <c r="U1560" s="51">
        <f>IF(tblWorkPackages[[#This Row],[Calibrated forecast hours]]="","",ABS(tblWorkPackages[[#This Row],[Actual labor hours]]-tblWorkPackages[[#This Row],[Calibrated forecast hours]]))</f>
        <v>3.38241758241758</v>
      </c>
      <c r="V1560" s="51">
        <f>IF(tblWorkPackages[[#This Row],[Time split]]="Train 2024",tblWorkPackages[[#This Row],[Estimated labor hours]],tblWorkPackages[[#This Row],[Calibrated forecast hours]])</f>
        <v>22.6824175824176</v>
      </c>
      <c r="W1560" s="64">
        <f>DATEVALUE(tblWorkPackages[[#This Row],[Request date]])</f>
        <v>45668.0</v>
      </c>
      <c r="X1560" s="64">
        <f>DATEVALUE(tblWorkPackages[[#This Row],[Due date]])</f>
        <v>45681.0</v>
      </c>
      <c r="Y1560" s="64">
        <f>DATEVALUE(tblWorkPackages[[#This Row],[Completion date]])</f>
        <v>45677.0</v>
      </c>
      <c r="Z1560" s="64">
        <f>_xlfn.MINIFS(tblLaborEntries[Work date serial],tblLaborEntries[Work package ID],tblWorkPackages[[#This Row],[Work package ID]])</f>
        <v>45673.0</v>
      </c>
      <c r="AA1560" s="64">
        <f>_xlfn.MAXIFS(tblLaborEntries[Work date serial],tblLaborEntries[Work package ID],tblWorkPackages[[#This Row],[Work package ID]])</f>
        <v>45675.0</v>
      </c>
      <c r="AB1560" s="65">
        <f>IF(tblWorkPackages[[#This Row],[Completion date serial]]&gt;tblWorkPackages[[#This Row],[Due date serial]],1,0)</f>
        <v>0</v>
      </c>
      <c r="AC1560" s="65">
        <f>MAX(0,tblWorkPackages[[#This Row],[Completion date serial]]-tblWorkPackages[[#This Row],[Due date serial]])</f>
        <v>0</v>
      </c>
      <c r="AD1560" s="65">
        <f>tblWorkPackages[[#This Row],[First labor date]]-tblWorkPackages[[#This Row],[Request date serial]]</f>
        <v>5</v>
      </c>
      <c r="AE1560" s="65">
        <f>tblWorkPackages[[#This Row],[Last labor date]]-tblWorkPackages[[#This Row],[First labor date]]</f>
        <v>2</v>
      </c>
      <c r="AF1560" s="65">
        <f>tblWorkPackages[[#This Row],[Completion date serial]]-tblWorkPackages[[#This Row],[Last labor date]]</f>
        <v>2</v>
      </c>
      <c r="AG1560" s="65">
        <f>tblWorkPackages[[#This Row],[Completion date serial]]-tblWorkPackages[[#This Row],[Request date serial]]</f>
        <v>9</v>
      </c>
      <c r="AH1560" s="65">
        <f>IFERROR(INDEX(tblParts[Delay days],MATCH(tblWorkPackages[[#This Row],[Work package ID]],tblParts[Work package ID],0)),0)</f>
        <v>0</v>
      </c>
      <c r="AI1560" s="51" t="str">
        <f>IFERROR(INDEX(tblDisruptions[Event type],MATCH(tblWorkPackages[[#This Row],[Work package ID]],tblDisruptions[Work package ID],0)),"None")</f>
        <v>None</v>
      </c>
      <c r="AJ1560" s="51" t="str">
        <f>TEXT(tblWorkPackages[[#This Row],[Due date serial]],"yyyy-mm")</f>
        <v>2025-01</v>
      </c>
    </row>
    <row r="1561" spans="1:36" ht="15" x14ac:dyDescent="0.25">
      <c r="A1561" s="53" t="s">
        <v>2469</v>
      </c>
      <c r="B1561" s="53" t="s">
        <v>150</v>
      </c>
      <c r="C1561" s="53" t="s">
        <v>1125</v>
      </c>
      <c r="D1561" s="53" t="s">
        <v>564</v>
      </c>
      <c r="E1561" s="53" t="s">
        <v>237</v>
      </c>
      <c r="F1561" s="53" t="s">
        <v>182</v>
      </c>
      <c r="G1561" s="53" t="s">
        <v>138</v>
      </c>
      <c r="H1561" s="53">
        <v>3</v>
      </c>
      <c r="I1561" s="53" t="s">
        <v>130</v>
      </c>
      <c r="J1561" s="53">
        <v>0</v>
      </c>
      <c r="K1561" s="53">
        <v>0</v>
      </c>
      <c r="L1561" s="53">
        <v>8.3000000000000007</v>
      </c>
      <c r="M1561" s="53" t="s">
        <v>563</v>
      </c>
      <c r="N1561" s="53">
        <v>9.4</v>
      </c>
      <c r="O1561" s="51" t="str">
        <f>TEXT(tblWorkPackages[[#This Row],[Request date serial]]-WEEKDAY(tblWorkPackages[[#This Row],[Request date serial]],3),"yyyy-mm-dd")</f>
        <v>2024-05-27</v>
      </c>
      <c r="P1561" s="51">
        <f>ABS(tblWorkPackages[[#This Row],[Actual labor hours]]-tblWorkPackages[[#This Row],[Estimated labor hours]])</f>
        <v>1.1</v>
      </c>
      <c r="Q1561" s="51">
        <f>IF(tblWorkPackages[[#This Row],[Actual labor hours]]&gt;tblWorkPackages[[#This Row],[Estimated labor hours]],1,0)</f>
        <v>1</v>
      </c>
      <c r="R1561" s="51">
        <f>tblWorkPackages[[#This Row],[Actual labor hours]]-tblWorkPackages[[#This Row],[Estimated labor hours]]</f>
        <v>1.1</v>
      </c>
      <c r="S1561" s="51" t="str">
        <f>IF(tblWorkPackages[[#This Row],[Request date serial]]&lt;ValidationStart,"Train 2024",IF(tblWorkPackages[[#This Row],[Request date serial]]&lt;HoldoutStart,"Validation H1","Holdout H2"))</f>
        <v>Train 2024</v>
      </c>
      <c r="T1561" s="51" t="str">
        <f>IF(tblWorkPackages[[#This Row],[Time split]]="Train 2024","",tblWorkPackages[[#This Row],[Estimated labor hours]]+VLOOKUP(tblWorkPackages[[#This Row],[Task type]],'Forecast validation'!$A$14:$E$25,IF(tblWorkPackages[[#This Row],[Time split]]="Validation H1",4,5),FALSE()))</f>
        <v/>
      </c>
      <c r="U1561" s="51" t="str">
        <f>IF(tblWorkPackages[[#This Row],[Calibrated forecast hours]]="","",ABS(tblWorkPackages[[#This Row],[Actual labor hours]]-tblWorkPackages[[#This Row],[Calibrated forecast hours]]))</f>
        <v/>
      </c>
      <c r="V1561" s="51">
        <f>IF(tblWorkPackages[[#This Row],[Time split]]="Train 2024",tblWorkPackages[[#This Row],[Estimated labor hours]],tblWorkPackages[[#This Row],[Calibrated forecast hours]])</f>
        <v>8.3</v>
      </c>
      <c r="W1561" s="64">
        <f>DATEVALUE(tblWorkPackages[[#This Row],[Request date]])</f>
        <v>45440.0</v>
      </c>
      <c r="X1561" s="64">
        <f>DATEVALUE(tblWorkPackages[[#This Row],[Due date]])</f>
        <v>45453.0</v>
      </c>
      <c r="Y1561" s="64">
        <f>DATEVALUE(tblWorkPackages[[#This Row],[Completion date]])</f>
        <v>45447.0</v>
      </c>
      <c r="Z1561" s="64">
        <f>_xlfn.MINIFS(tblLaborEntries[Work date serial],tblLaborEntries[Work package ID],tblWorkPackages[[#This Row],[Work package ID]])</f>
        <v>45442.0</v>
      </c>
      <c r="AA1561" s="64">
        <f>_xlfn.MAXIFS(tblLaborEntries[Work date serial],tblLaborEntries[Work package ID],tblWorkPackages[[#This Row],[Work package ID]])</f>
        <v>45444.0</v>
      </c>
      <c r="AB1561" s="65">
        <f>IF(tblWorkPackages[[#This Row],[Completion date serial]]&gt;tblWorkPackages[[#This Row],[Due date serial]],1,0)</f>
        <v>0</v>
      </c>
      <c r="AC1561" s="65">
        <f>MAX(0,tblWorkPackages[[#This Row],[Completion date serial]]-tblWorkPackages[[#This Row],[Due date serial]])</f>
        <v>0</v>
      </c>
      <c r="AD1561" s="65">
        <f>tblWorkPackages[[#This Row],[First labor date]]-tblWorkPackages[[#This Row],[Request date serial]]</f>
        <v>2</v>
      </c>
      <c r="AE1561" s="65">
        <f>tblWorkPackages[[#This Row],[Last labor date]]-tblWorkPackages[[#This Row],[First labor date]]</f>
        <v>2</v>
      </c>
      <c r="AF1561" s="65">
        <f>tblWorkPackages[[#This Row],[Completion date serial]]-tblWorkPackages[[#This Row],[Last labor date]]</f>
        <v>3</v>
      </c>
      <c r="AG1561" s="65">
        <f>tblWorkPackages[[#This Row],[Completion date serial]]-tblWorkPackages[[#This Row],[Request date serial]]</f>
        <v>7</v>
      </c>
      <c r="AH1561" s="65">
        <f>IFERROR(INDEX(tblParts[Delay days],MATCH(tblWorkPackages[[#This Row],[Work package ID]],tblParts[Work package ID],0)),0)</f>
        <v>0</v>
      </c>
      <c r="AI1561" s="51" t="str">
        <f>IFERROR(INDEX(tblDisruptions[Event type],MATCH(tblWorkPackages[[#This Row],[Work package ID]],tblDisruptions[Work package ID],0)),"None")</f>
        <v>None</v>
      </c>
      <c r="AJ1561" s="51" t="str">
        <f>TEXT(tblWorkPackages[[#This Row],[Due date serial]],"yyyy-mm")</f>
        <v>2024-06</v>
      </c>
    </row>
    <row r="1562" spans="1:36" ht="15" x14ac:dyDescent="0.25">
      <c r="A1562" s="53" t="s">
        <v>2470</v>
      </c>
      <c r="B1562" s="53" t="s">
        <v>287</v>
      </c>
      <c r="C1562" s="53" t="s">
        <v>446</v>
      </c>
      <c r="D1562" s="53" t="s">
        <v>589</v>
      </c>
      <c r="E1562" s="53" t="s">
        <v>223</v>
      </c>
      <c r="F1562" s="53" t="s">
        <v>182</v>
      </c>
      <c r="G1562" s="53" t="s">
        <v>154</v>
      </c>
      <c r="H1562" s="53">
        <v>1</v>
      </c>
      <c r="I1562" s="53" t="s">
        <v>147</v>
      </c>
      <c r="J1562" s="53">
        <v>0</v>
      </c>
      <c r="K1562" s="53">
        <v>0</v>
      </c>
      <c r="L1562" s="53">
        <v>9.1999999999999993</v>
      </c>
      <c r="M1562" s="53" t="s">
        <v>467</v>
      </c>
      <c r="N1562" s="53">
        <v>9.1999999999999993</v>
      </c>
      <c r="O1562" s="51" t="str">
        <f>TEXT(tblWorkPackages[[#This Row],[Request date serial]]-WEEKDAY(tblWorkPackages[[#This Row],[Request date serial]],3),"yyyy-mm-dd")</f>
        <v>2025-03-17</v>
      </c>
      <c r="P1562" s="51">
        <f>ABS(tblWorkPackages[[#This Row],[Actual labor hours]]-tblWorkPackages[[#This Row],[Estimated labor hours]])</f>
        <v>0</v>
      </c>
      <c r="Q1562" s="51">
        <f>IF(tblWorkPackages[[#This Row],[Actual labor hours]]&gt;tblWorkPackages[[#This Row],[Estimated labor hours]],1,0)</f>
        <v>0</v>
      </c>
      <c r="R1562" s="51">
        <f>tblWorkPackages[[#This Row],[Actual labor hours]]-tblWorkPackages[[#This Row],[Estimated labor hours]]</f>
        <v>0</v>
      </c>
      <c r="S1562" s="51" t="str">
        <f>IF(tblWorkPackages[[#This Row],[Request date serial]]&lt;ValidationStart,"Train 2024",IF(tblWorkPackages[[#This Row],[Request date serial]]&lt;HoldoutStart,"Validation H1","Holdout H2"))</f>
        <v>Validation H1</v>
      </c>
      <c r="T1562" s="51">
        <f>IF(tblWorkPackages[[#This Row],[Time split]]="Train 2024","",tblWorkPackages[[#This Row],[Estimated labor hours]]+VLOOKUP(tblWorkPackages[[#This Row],[Task type]],'Forecast validation'!$A$14:$E$25,IF(tblWorkPackages[[#This Row],[Time split]]="Validation H1",4,5),FALSE()))</f>
        <v>10.0824175824176</v>
      </c>
      <c r="U1562" s="51">
        <f>IF(tblWorkPackages[[#This Row],[Calibrated forecast hours]]="","",ABS(tblWorkPackages[[#This Row],[Actual labor hours]]-tblWorkPackages[[#This Row],[Calibrated forecast hours]]))</f>
        <v>0.882417582417583</v>
      </c>
      <c r="V1562" s="51">
        <f>IF(tblWorkPackages[[#This Row],[Time split]]="Train 2024",tblWorkPackages[[#This Row],[Estimated labor hours]],tblWorkPackages[[#This Row],[Calibrated forecast hours]])</f>
        <v>10.0824175824176</v>
      </c>
      <c r="W1562" s="64">
        <f>DATEVALUE(tblWorkPackages[[#This Row],[Request date]])</f>
        <v>45737.0</v>
      </c>
      <c r="X1562" s="64">
        <f>DATEVALUE(tblWorkPackages[[#This Row],[Due date]])</f>
        <v>45739.0</v>
      </c>
      <c r="Y1562" s="64">
        <f>DATEVALUE(tblWorkPackages[[#This Row],[Completion date]])</f>
        <v>45752.0</v>
      </c>
      <c r="Z1562" s="64">
        <f>_xlfn.MINIFS(tblLaborEntries[Work date serial],tblLaborEntries[Work package ID],tblWorkPackages[[#This Row],[Work package ID]])</f>
        <v>45751.0</v>
      </c>
      <c r="AA1562" s="64">
        <f>_xlfn.MAXIFS(tblLaborEntries[Work date serial],tblLaborEntries[Work package ID],tblWorkPackages[[#This Row],[Work package ID]])</f>
        <v>45752.0</v>
      </c>
      <c r="AB1562" s="65">
        <f>IF(tblWorkPackages[[#This Row],[Completion date serial]]&gt;tblWorkPackages[[#This Row],[Due date serial]],1,0)</f>
        <v>1</v>
      </c>
      <c r="AC1562" s="65">
        <f>MAX(0,tblWorkPackages[[#This Row],[Completion date serial]]-tblWorkPackages[[#This Row],[Due date serial]])</f>
        <v>13</v>
      </c>
      <c r="AD1562" s="65">
        <f>tblWorkPackages[[#This Row],[First labor date]]-tblWorkPackages[[#This Row],[Request date serial]]</f>
        <v>14</v>
      </c>
      <c r="AE1562" s="65">
        <f>tblWorkPackages[[#This Row],[Last labor date]]-tblWorkPackages[[#This Row],[First labor date]]</f>
        <v>1</v>
      </c>
      <c r="AF1562" s="65">
        <f>tblWorkPackages[[#This Row],[Completion date serial]]-tblWorkPackages[[#This Row],[Last labor date]]</f>
        <v>0</v>
      </c>
      <c r="AG1562" s="65">
        <f>tblWorkPackages[[#This Row],[Completion date serial]]-tblWorkPackages[[#This Row],[Request date serial]]</f>
        <v>15</v>
      </c>
      <c r="AH1562" s="65">
        <f>IFERROR(INDEX(tblParts[Delay days],MATCH(tblWorkPackages[[#This Row],[Work package ID]],tblParts[Work package ID],0)),0)</f>
        <v>0</v>
      </c>
      <c r="AI1562" s="51" t="str">
        <f>IFERROR(INDEX(tblDisruptions[Event type],MATCH(tblWorkPackages[[#This Row],[Work package ID]],tblDisruptions[Work package ID],0)),"None")</f>
        <v>None</v>
      </c>
      <c r="AJ1562" s="51" t="str">
        <f>TEXT(tblWorkPackages[[#This Row],[Due date serial]],"yyyy-mm")</f>
        <v>2025-03</v>
      </c>
    </row>
    <row r="1563" spans="1:36" ht="15" x14ac:dyDescent="0.25">
      <c r="A1563" s="53" t="s">
        <v>2471</v>
      </c>
      <c r="B1563" s="53" t="s">
        <v>287</v>
      </c>
      <c r="C1563" s="53" t="s">
        <v>471</v>
      </c>
      <c r="D1563" s="53" t="s">
        <v>339</v>
      </c>
      <c r="E1563" s="53" t="s">
        <v>223</v>
      </c>
      <c r="F1563" s="53" t="s">
        <v>182</v>
      </c>
      <c r="G1563" s="53" t="s">
        <v>154</v>
      </c>
      <c r="H1563" s="53">
        <v>4</v>
      </c>
      <c r="I1563" s="53" t="s">
        <v>130</v>
      </c>
      <c r="J1563" s="53">
        <v>0</v>
      </c>
      <c r="K1563" s="53">
        <v>0</v>
      </c>
      <c r="L1563" s="53">
        <v>25.7</v>
      </c>
      <c r="M1563" s="53" t="s">
        <v>995</v>
      </c>
      <c r="N1563" s="53">
        <v>29.4</v>
      </c>
      <c r="O1563" s="51" t="str">
        <f>TEXT(tblWorkPackages[[#This Row],[Request date serial]]-WEEKDAY(tblWorkPackages[[#This Row],[Request date serial]],3),"yyyy-mm-dd")</f>
        <v>2024-04-29</v>
      </c>
      <c r="P1563" s="51">
        <f>ABS(tblWorkPackages[[#This Row],[Actual labor hours]]-tblWorkPackages[[#This Row],[Estimated labor hours]])</f>
        <v>3.7</v>
      </c>
      <c r="Q1563" s="51">
        <f>IF(tblWorkPackages[[#This Row],[Actual labor hours]]&gt;tblWorkPackages[[#This Row],[Estimated labor hours]],1,0)</f>
        <v>1</v>
      </c>
      <c r="R1563" s="51">
        <f>tblWorkPackages[[#This Row],[Actual labor hours]]-tblWorkPackages[[#This Row],[Estimated labor hours]]</f>
        <v>3.7</v>
      </c>
      <c r="S1563" s="51" t="str">
        <f>IF(tblWorkPackages[[#This Row],[Request date serial]]&lt;ValidationStart,"Train 2024",IF(tblWorkPackages[[#This Row],[Request date serial]]&lt;HoldoutStart,"Validation H1","Holdout H2"))</f>
        <v>Train 2024</v>
      </c>
      <c r="T1563" s="51" t="str">
        <f>IF(tblWorkPackages[[#This Row],[Time split]]="Train 2024","",tblWorkPackages[[#This Row],[Estimated labor hours]]+VLOOKUP(tblWorkPackages[[#This Row],[Task type]],'Forecast validation'!$A$14:$E$25,IF(tblWorkPackages[[#This Row],[Time split]]="Validation H1",4,5),FALSE()))</f>
        <v/>
      </c>
      <c r="U1563" s="51" t="str">
        <f>IF(tblWorkPackages[[#This Row],[Calibrated forecast hours]]="","",ABS(tblWorkPackages[[#This Row],[Actual labor hours]]-tblWorkPackages[[#This Row],[Calibrated forecast hours]]))</f>
        <v/>
      </c>
      <c r="V1563" s="51">
        <f>IF(tblWorkPackages[[#This Row],[Time split]]="Train 2024",tblWorkPackages[[#This Row],[Estimated labor hours]],tblWorkPackages[[#This Row],[Calibrated forecast hours]])</f>
        <v>25.7</v>
      </c>
      <c r="W1563" s="64">
        <f>DATEVALUE(tblWorkPackages[[#This Row],[Request date]])</f>
        <v>45413.0</v>
      </c>
      <c r="X1563" s="64">
        <f>DATEVALUE(tblWorkPackages[[#This Row],[Due date]])</f>
        <v>45426.0</v>
      </c>
      <c r="Y1563" s="64">
        <f>DATEVALUE(tblWorkPackages[[#This Row],[Completion date]])</f>
        <v>45419.0</v>
      </c>
      <c r="Z1563" s="64">
        <f>_xlfn.MINIFS(tblLaborEntries[Work date serial],tblLaborEntries[Work package ID],tblWorkPackages[[#This Row],[Work package ID]])</f>
        <v>45416.0</v>
      </c>
      <c r="AA1563" s="64">
        <f>_xlfn.MAXIFS(tblLaborEntries[Work date serial],tblLaborEntries[Work package ID],tblWorkPackages[[#This Row],[Work package ID]])</f>
        <v>45418.0</v>
      </c>
      <c r="AB1563" s="65">
        <f>IF(tblWorkPackages[[#This Row],[Completion date serial]]&gt;tblWorkPackages[[#This Row],[Due date serial]],1,0)</f>
        <v>0</v>
      </c>
      <c r="AC1563" s="65">
        <f>MAX(0,tblWorkPackages[[#This Row],[Completion date serial]]-tblWorkPackages[[#This Row],[Due date serial]])</f>
        <v>0</v>
      </c>
      <c r="AD1563" s="65">
        <f>tblWorkPackages[[#This Row],[First labor date]]-tblWorkPackages[[#This Row],[Request date serial]]</f>
        <v>3</v>
      </c>
      <c r="AE1563" s="65">
        <f>tblWorkPackages[[#This Row],[Last labor date]]-tblWorkPackages[[#This Row],[First labor date]]</f>
        <v>2</v>
      </c>
      <c r="AF1563" s="65">
        <f>tblWorkPackages[[#This Row],[Completion date serial]]-tblWorkPackages[[#This Row],[Last labor date]]</f>
        <v>1</v>
      </c>
      <c r="AG1563" s="65">
        <f>tblWorkPackages[[#This Row],[Completion date serial]]-tblWorkPackages[[#This Row],[Request date serial]]</f>
        <v>6</v>
      </c>
      <c r="AH1563" s="65">
        <f>IFERROR(INDEX(tblParts[Delay days],MATCH(tblWorkPackages[[#This Row],[Work package ID]],tblParts[Work package ID],0)),0)</f>
        <v>0</v>
      </c>
      <c r="AI1563" s="51" t="str">
        <f>IFERROR(INDEX(tblDisruptions[Event type],MATCH(tblWorkPackages[[#This Row],[Work package ID]],tblDisruptions[Work package ID],0)),"None")</f>
        <v>None</v>
      </c>
      <c r="AJ1563" s="51" t="str">
        <f>TEXT(tblWorkPackages[[#This Row],[Due date serial]],"yyyy-mm")</f>
        <v>2024-05</v>
      </c>
    </row>
    <row r="1564" spans="1:36" ht="15" x14ac:dyDescent="0.25">
      <c r="A1564" s="53" t="s">
        <v>2472</v>
      </c>
      <c r="B1564" s="53" t="s">
        <v>150</v>
      </c>
      <c r="C1564" s="53" t="s">
        <v>445</v>
      </c>
      <c r="D1564" s="53" t="s">
        <v>270</v>
      </c>
      <c r="E1564" s="53" t="s">
        <v>242</v>
      </c>
      <c r="F1564" s="53" t="s">
        <v>243</v>
      </c>
      <c r="G1564" s="53" t="s">
        <v>129</v>
      </c>
      <c r="H1564" s="53">
        <v>3</v>
      </c>
      <c r="I1564" s="53" t="s">
        <v>130</v>
      </c>
      <c r="J1564" s="53">
        <v>1</v>
      </c>
      <c r="K1564" s="53">
        <v>0</v>
      </c>
      <c r="L1564" s="53">
        <v>13.6</v>
      </c>
      <c r="M1564" s="53" t="s">
        <v>126</v>
      </c>
      <c r="N1564" s="53">
        <v>13.5</v>
      </c>
      <c r="O1564" s="51" t="str">
        <f>TEXT(tblWorkPackages[[#This Row],[Request date serial]]-WEEKDAY(tblWorkPackages[[#This Row],[Request date serial]],3),"yyyy-mm-dd")</f>
        <v>2025-03-17</v>
      </c>
      <c r="P1564" s="51">
        <f>ABS(tblWorkPackages[[#This Row],[Actual labor hours]]-tblWorkPackages[[#This Row],[Estimated labor hours]])</f>
        <v>0.0999999999999996</v>
      </c>
      <c r="Q1564" s="51">
        <f>IF(tblWorkPackages[[#This Row],[Actual labor hours]]&gt;tblWorkPackages[[#This Row],[Estimated labor hours]],1,0)</f>
        <v>0</v>
      </c>
      <c r="R1564" s="51">
        <f>tblWorkPackages[[#This Row],[Actual labor hours]]-tblWorkPackages[[#This Row],[Estimated labor hours]]</f>
        <v>-0.0999999999999996</v>
      </c>
      <c r="S1564" s="51" t="str">
        <f>IF(tblWorkPackages[[#This Row],[Request date serial]]&lt;ValidationStart,"Train 2024",IF(tblWorkPackages[[#This Row],[Request date serial]]&lt;HoldoutStart,"Validation H1","Holdout H2"))</f>
        <v>Validation H1</v>
      </c>
      <c r="T1564" s="51">
        <f>IF(tblWorkPackages[[#This Row],[Time split]]="Train 2024","",tblWorkPackages[[#This Row],[Estimated labor hours]]+VLOOKUP(tblWorkPackages[[#This Row],[Task type]],'Forecast validation'!$A$14:$E$25,IF(tblWorkPackages[[#This Row],[Time split]]="Validation H1",4,5),FALSE()))</f>
        <v>14.1561224489796</v>
      </c>
      <c r="U1564" s="51">
        <f>IF(tblWorkPackages[[#This Row],[Calibrated forecast hours]]="","",ABS(tblWorkPackages[[#This Row],[Actual labor hours]]-tblWorkPackages[[#This Row],[Calibrated forecast hours]]))</f>
        <v>0.656122448979591</v>
      </c>
      <c r="V1564" s="51">
        <f>IF(tblWorkPackages[[#This Row],[Time split]]="Train 2024",tblWorkPackages[[#This Row],[Estimated labor hours]],tblWorkPackages[[#This Row],[Calibrated forecast hours]])</f>
        <v>14.1561224489796</v>
      </c>
      <c r="W1564" s="64">
        <f>DATEVALUE(tblWorkPackages[[#This Row],[Request date]])</f>
        <v>45735.0</v>
      </c>
      <c r="X1564" s="64">
        <f>DATEVALUE(tblWorkPackages[[#This Row],[Due date]])</f>
        <v>45748.0</v>
      </c>
      <c r="Y1564" s="64">
        <f>DATEVALUE(tblWorkPackages[[#This Row],[Completion date]])</f>
        <v>45793.0</v>
      </c>
      <c r="Z1564" s="64">
        <f>_xlfn.MINIFS(tblLaborEntries[Work date serial],tblLaborEntries[Work package ID],tblWorkPackages[[#This Row],[Work package ID]])</f>
        <v>45790.0</v>
      </c>
      <c r="AA1564" s="64">
        <f>_xlfn.MAXIFS(tblLaborEntries[Work date serial],tblLaborEntries[Work package ID],tblWorkPackages[[#This Row],[Work package ID]])</f>
        <v>45791.0</v>
      </c>
      <c r="AB1564" s="65">
        <f>IF(tblWorkPackages[[#This Row],[Completion date serial]]&gt;tblWorkPackages[[#This Row],[Due date serial]],1,0)</f>
        <v>1</v>
      </c>
      <c r="AC1564" s="65">
        <f>MAX(0,tblWorkPackages[[#This Row],[Completion date serial]]-tblWorkPackages[[#This Row],[Due date serial]])</f>
        <v>45</v>
      </c>
      <c r="AD1564" s="65">
        <f>tblWorkPackages[[#This Row],[First labor date]]-tblWorkPackages[[#This Row],[Request date serial]]</f>
        <v>55</v>
      </c>
      <c r="AE1564" s="65">
        <f>tblWorkPackages[[#This Row],[Last labor date]]-tblWorkPackages[[#This Row],[First labor date]]</f>
        <v>1</v>
      </c>
      <c r="AF1564" s="65">
        <f>tblWorkPackages[[#This Row],[Completion date serial]]-tblWorkPackages[[#This Row],[Last labor date]]</f>
        <v>2</v>
      </c>
      <c r="AG1564" s="65">
        <f>tblWorkPackages[[#This Row],[Completion date serial]]-tblWorkPackages[[#This Row],[Request date serial]]</f>
        <v>58</v>
      </c>
      <c r="AH1564" s="65">
        <f>IFERROR(INDEX(tblParts[Delay days],MATCH(tblWorkPackages[[#This Row],[Work package ID]],tblParts[Work package ID],0)),0)</f>
        <v>0</v>
      </c>
      <c r="AI1564" s="51" t="str">
        <f>IFERROR(INDEX(tblDisruptions[Event type],MATCH(tblWorkPackages[[#This Row],[Work package ID]],tblDisruptions[Work package ID],0)),"None")</f>
        <v>None</v>
      </c>
      <c r="AJ1564" s="51" t="str">
        <f>TEXT(tblWorkPackages[[#This Row],[Due date serial]],"yyyy-mm")</f>
        <v>2025-04</v>
      </c>
    </row>
    <row r="1565" spans="1:36" ht="15" x14ac:dyDescent="0.25">
      <c r="A1565" s="53" t="s">
        <v>2473</v>
      </c>
      <c r="B1565" s="53" t="s">
        <v>141</v>
      </c>
      <c r="C1565" s="53" t="s">
        <v>364</v>
      </c>
      <c r="D1565" s="53" t="s">
        <v>597</v>
      </c>
      <c r="E1565" s="53" t="s">
        <v>181</v>
      </c>
      <c r="F1565" s="53" t="s">
        <v>182</v>
      </c>
      <c r="G1565" s="53" t="s">
        <v>138</v>
      </c>
      <c r="H1565" s="53">
        <v>3</v>
      </c>
      <c r="I1565" s="53" t="s">
        <v>130</v>
      </c>
      <c r="J1565" s="53">
        <v>0</v>
      </c>
      <c r="K1565" s="53">
        <v>1</v>
      </c>
      <c r="L1565" s="53">
        <v>11.3</v>
      </c>
      <c r="M1565" s="53" t="s">
        <v>597</v>
      </c>
      <c r="N1565" s="53">
        <v>12.3</v>
      </c>
      <c r="O1565" s="51" t="str">
        <f>TEXT(tblWorkPackages[[#This Row],[Request date serial]]-WEEKDAY(tblWorkPackages[[#This Row],[Request date serial]],3),"yyyy-mm-dd")</f>
        <v>2025-05-12</v>
      </c>
      <c r="P1565" s="51">
        <f>ABS(tblWorkPackages[[#This Row],[Actual labor hours]]-tblWorkPackages[[#This Row],[Estimated labor hours]])</f>
        <v>1</v>
      </c>
      <c r="Q1565" s="51">
        <f>IF(tblWorkPackages[[#This Row],[Actual labor hours]]&gt;tblWorkPackages[[#This Row],[Estimated labor hours]],1,0)</f>
        <v>1</v>
      </c>
      <c r="R1565" s="51">
        <f>tblWorkPackages[[#This Row],[Actual labor hours]]-tblWorkPackages[[#This Row],[Estimated labor hours]]</f>
        <v>1</v>
      </c>
      <c r="S1565" s="51" t="str">
        <f>IF(tblWorkPackages[[#This Row],[Request date serial]]&lt;ValidationStart,"Train 2024",IF(tblWorkPackages[[#This Row],[Request date serial]]&lt;HoldoutStart,"Validation H1","Holdout H2"))</f>
        <v>Validation H1</v>
      </c>
      <c r="T1565" s="51">
        <f>IF(tblWorkPackages[[#This Row],[Time split]]="Train 2024","",tblWorkPackages[[#This Row],[Estimated labor hours]]+VLOOKUP(tblWorkPackages[[#This Row],[Task type]],'Forecast validation'!$A$14:$E$25,IF(tblWorkPackages[[#This Row],[Time split]]="Validation H1",4,5),FALSE()))</f>
        <v>11.8840909090909</v>
      </c>
      <c r="U1565" s="51">
        <f>IF(tblWorkPackages[[#This Row],[Calibrated forecast hours]]="","",ABS(tblWorkPackages[[#This Row],[Actual labor hours]]-tblWorkPackages[[#This Row],[Calibrated forecast hours]]))</f>
        <v>0.415909090909091</v>
      </c>
      <c r="V1565" s="51">
        <f>IF(tblWorkPackages[[#This Row],[Time split]]="Train 2024",tblWorkPackages[[#This Row],[Estimated labor hours]],tblWorkPackages[[#This Row],[Calibrated forecast hours]])</f>
        <v>11.8840909090909</v>
      </c>
      <c r="W1565" s="64">
        <f>DATEVALUE(tblWorkPackages[[#This Row],[Request date]])</f>
        <v>45790.0</v>
      </c>
      <c r="X1565" s="64">
        <f>DATEVALUE(tblWorkPackages[[#This Row],[Due date]])</f>
        <v>45803.0</v>
      </c>
      <c r="Y1565" s="64">
        <f>DATEVALUE(tblWorkPackages[[#This Row],[Completion date]])</f>
        <v>45803.0</v>
      </c>
      <c r="Z1565" s="64">
        <f>_xlfn.MINIFS(tblLaborEntries[Work date serial],tblLaborEntries[Work package ID],tblWorkPackages[[#This Row],[Work package ID]])</f>
        <v>45798.0</v>
      </c>
      <c r="AA1565" s="64">
        <f>_xlfn.MAXIFS(tblLaborEntries[Work date serial],tblLaborEntries[Work package ID],tblWorkPackages[[#This Row],[Work package ID]])</f>
        <v>45800.0</v>
      </c>
      <c r="AB1565" s="65">
        <f>IF(tblWorkPackages[[#This Row],[Completion date serial]]&gt;tblWorkPackages[[#This Row],[Due date serial]],1,0)</f>
        <v>0</v>
      </c>
      <c r="AC1565" s="65">
        <f>MAX(0,tblWorkPackages[[#This Row],[Completion date serial]]-tblWorkPackages[[#This Row],[Due date serial]])</f>
        <v>0</v>
      </c>
      <c r="AD1565" s="65">
        <f>tblWorkPackages[[#This Row],[First labor date]]-tblWorkPackages[[#This Row],[Request date serial]]</f>
        <v>8</v>
      </c>
      <c r="AE1565" s="65">
        <f>tblWorkPackages[[#This Row],[Last labor date]]-tblWorkPackages[[#This Row],[First labor date]]</f>
        <v>2</v>
      </c>
      <c r="AF1565" s="65">
        <f>tblWorkPackages[[#This Row],[Completion date serial]]-tblWorkPackages[[#This Row],[Last labor date]]</f>
        <v>3</v>
      </c>
      <c r="AG1565" s="65">
        <f>tblWorkPackages[[#This Row],[Completion date serial]]-tblWorkPackages[[#This Row],[Request date serial]]</f>
        <v>13</v>
      </c>
      <c r="AH1565" s="65">
        <f>IFERROR(INDEX(tblParts[Delay days],MATCH(tblWorkPackages[[#This Row],[Work package ID]],tblParts[Work package ID],0)),0)</f>
        <v>0</v>
      </c>
      <c r="AI1565" s="51" t="str">
        <f>IFERROR(INDEX(tblDisruptions[Event type],MATCH(tblWorkPackages[[#This Row],[Work package ID]],tblDisruptions[Work package ID],0)),"None")</f>
        <v>None</v>
      </c>
      <c r="AJ1565" s="51" t="str">
        <f>TEXT(tblWorkPackages[[#This Row],[Due date serial]],"yyyy-mm")</f>
        <v>2025-05</v>
      </c>
    </row>
    <row r="1566" spans="1:36" ht="15" x14ac:dyDescent="0.25">
      <c r="A1566" s="53" t="s">
        <v>2474</v>
      </c>
      <c r="B1566" s="53" t="s">
        <v>203</v>
      </c>
      <c r="C1566" s="53" t="s">
        <v>625</v>
      </c>
      <c r="D1566" s="53" t="s">
        <v>636</v>
      </c>
      <c r="E1566" s="53" t="s">
        <v>136</v>
      </c>
      <c r="F1566" s="53" t="s">
        <v>137</v>
      </c>
      <c r="G1566" s="53" t="s">
        <v>138</v>
      </c>
      <c r="H1566" s="53">
        <v>1</v>
      </c>
      <c r="I1566" s="53" t="s">
        <v>130</v>
      </c>
      <c r="J1566" s="53">
        <v>0</v>
      </c>
      <c r="K1566" s="53">
        <v>0</v>
      </c>
      <c r="L1566" s="53">
        <v>7.8</v>
      </c>
      <c r="M1566" s="53" t="s">
        <v>1158</v>
      </c>
      <c r="N1566" s="53">
        <v>8.3000000000000007</v>
      </c>
      <c r="O1566" s="51" t="str">
        <f>TEXT(tblWorkPackages[[#This Row],[Request date serial]]-WEEKDAY(tblWorkPackages[[#This Row],[Request date serial]],3),"yyyy-mm-dd")</f>
        <v>2025-09-22</v>
      </c>
      <c r="P1566" s="51">
        <f>ABS(tblWorkPackages[[#This Row],[Actual labor hours]]-tblWorkPackages[[#This Row],[Estimated labor hours]])</f>
        <v>0.500000000000001</v>
      </c>
      <c r="Q1566" s="51">
        <f>IF(tblWorkPackages[[#This Row],[Actual labor hours]]&gt;tblWorkPackages[[#This Row],[Estimated labor hours]],1,0)</f>
        <v>1</v>
      </c>
      <c r="R1566" s="51">
        <f>tblWorkPackages[[#This Row],[Actual labor hours]]-tblWorkPackages[[#This Row],[Estimated labor hours]]</f>
        <v>0.500000000000001</v>
      </c>
      <c r="S1566" s="51" t="str">
        <f>IF(tblWorkPackages[[#This Row],[Request date serial]]&lt;ValidationStart,"Train 2024",IF(tblWorkPackages[[#This Row],[Request date serial]]&lt;HoldoutStart,"Validation H1","Holdout H2"))</f>
        <v>Holdout H2</v>
      </c>
      <c r="T1566" s="51">
        <f>IF(tblWorkPackages[[#This Row],[Time split]]="Train 2024","",tblWorkPackages[[#This Row],[Estimated labor hours]]+VLOOKUP(tblWorkPackages[[#This Row],[Task type]],'Forecast validation'!$A$14:$E$25,IF(tblWorkPackages[[#This Row],[Time split]]="Validation H1",4,5),FALSE()))</f>
        <v>8.72075471698113</v>
      </c>
      <c r="U1566" s="51">
        <f>IF(tblWorkPackages[[#This Row],[Calibrated forecast hours]]="","",ABS(tblWorkPackages[[#This Row],[Actual labor hours]]-tblWorkPackages[[#This Row],[Calibrated forecast hours]]))</f>
        <v>0.420754716981131</v>
      </c>
      <c r="V1566" s="51">
        <f>IF(tblWorkPackages[[#This Row],[Time split]]="Train 2024",tblWorkPackages[[#This Row],[Estimated labor hours]],tblWorkPackages[[#This Row],[Calibrated forecast hours]])</f>
        <v>8.72075471698113</v>
      </c>
      <c r="W1566" s="64">
        <f>DATEVALUE(tblWorkPackages[[#This Row],[Request date]])</f>
        <v>45924.0</v>
      </c>
      <c r="X1566" s="64">
        <f>DATEVALUE(tblWorkPackages[[#This Row],[Due date]])</f>
        <v>45937.0</v>
      </c>
      <c r="Y1566" s="64">
        <f>DATEVALUE(tblWorkPackages[[#This Row],[Completion date]])</f>
        <v>45927.0</v>
      </c>
      <c r="Z1566" s="64">
        <f>_xlfn.MINIFS(tblLaborEntries[Work date serial],tblLaborEntries[Work package ID],tblWorkPackages[[#This Row],[Work package ID]])</f>
        <v>45926.0</v>
      </c>
      <c r="AA1566" s="64">
        <f>_xlfn.MAXIFS(tblLaborEntries[Work date serial],tblLaborEntries[Work package ID],tblWorkPackages[[#This Row],[Work package ID]])</f>
        <v>45927.0</v>
      </c>
      <c r="AB1566" s="65">
        <f>IF(tblWorkPackages[[#This Row],[Completion date serial]]&gt;tblWorkPackages[[#This Row],[Due date serial]],1,0)</f>
        <v>0</v>
      </c>
      <c r="AC1566" s="65">
        <f>MAX(0,tblWorkPackages[[#This Row],[Completion date serial]]-tblWorkPackages[[#This Row],[Due date serial]])</f>
        <v>0</v>
      </c>
      <c r="AD1566" s="65">
        <f>tblWorkPackages[[#This Row],[First labor date]]-tblWorkPackages[[#This Row],[Request date serial]]</f>
        <v>2</v>
      </c>
      <c r="AE1566" s="65">
        <f>tblWorkPackages[[#This Row],[Last labor date]]-tblWorkPackages[[#This Row],[First labor date]]</f>
        <v>1</v>
      </c>
      <c r="AF1566" s="65">
        <f>tblWorkPackages[[#This Row],[Completion date serial]]-tblWorkPackages[[#This Row],[Last labor date]]</f>
        <v>0</v>
      </c>
      <c r="AG1566" s="65">
        <f>tblWorkPackages[[#This Row],[Completion date serial]]-tblWorkPackages[[#This Row],[Request date serial]]</f>
        <v>3</v>
      </c>
      <c r="AH1566" s="65">
        <f>IFERROR(INDEX(tblParts[Delay days],MATCH(tblWorkPackages[[#This Row],[Work package ID]],tblParts[Work package ID],0)),0)</f>
        <v>0</v>
      </c>
      <c r="AI1566" s="51" t="str">
        <f>IFERROR(INDEX(tblDisruptions[Event type],MATCH(tblWorkPackages[[#This Row],[Work package ID]],tblDisruptions[Work package ID],0)),"None")</f>
        <v>None</v>
      </c>
      <c r="AJ1566" s="51" t="str">
        <f>TEXT(tblWorkPackages[[#This Row],[Due date serial]],"yyyy-mm")</f>
        <v>2025-10</v>
      </c>
    </row>
    <row r="1567" spans="1:36" ht="15" x14ac:dyDescent="0.25">
      <c r="A1567" s="53" t="s">
        <v>2475</v>
      </c>
      <c r="B1567" s="53" t="s">
        <v>150</v>
      </c>
      <c r="C1567" s="53" t="s">
        <v>305</v>
      </c>
      <c r="D1567" s="53" t="s">
        <v>642</v>
      </c>
      <c r="E1567" s="53" t="s">
        <v>160</v>
      </c>
      <c r="F1567" s="53" t="s">
        <v>128</v>
      </c>
      <c r="G1567" s="53" t="s">
        <v>138</v>
      </c>
      <c r="H1567" s="53">
        <v>1</v>
      </c>
      <c r="I1567" s="53" t="s">
        <v>130</v>
      </c>
      <c r="J1567" s="53">
        <v>0</v>
      </c>
      <c r="K1567" s="53">
        <v>0</v>
      </c>
      <c r="L1567" s="53">
        <v>3.2</v>
      </c>
      <c r="M1567" s="53" t="s">
        <v>1320</v>
      </c>
      <c r="N1567" s="53">
        <v>3.2</v>
      </c>
      <c r="O1567" s="51" t="str">
        <f>TEXT(tblWorkPackages[[#This Row],[Request date serial]]-WEEKDAY(tblWorkPackages[[#This Row],[Request date serial]],3),"yyyy-mm-dd")</f>
        <v>2024-07-01</v>
      </c>
      <c r="P1567" s="51">
        <f>ABS(tblWorkPackages[[#This Row],[Actual labor hours]]-tblWorkPackages[[#This Row],[Estimated labor hours]])</f>
        <v>0</v>
      </c>
      <c r="Q1567" s="51">
        <f>IF(tblWorkPackages[[#This Row],[Actual labor hours]]&gt;tblWorkPackages[[#This Row],[Estimated labor hours]],1,0)</f>
        <v>0</v>
      </c>
      <c r="R1567" s="51">
        <f>tblWorkPackages[[#This Row],[Actual labor hours]]-tblWorkPackages[[#This Row],[Estimated labor hours]]</f>
        <v>0</v>
      </c>
      <c r="S1567" s="51" t="str">
        <f>IF(tblWorkPackages[[#This Row],[Request date serial]]&lt;ValidationStart,"Train 2024",IF(tblWorkPackages[[#This Row],[Request date serial]]&lt;HoldoutStart,"Validation H1","Holdout H2"))</f>
        <v>Train 2024</v>
      </c>
      <c r="T1567" s="51" t="str">
        <f>IF(tblWorkPackages[[#This Row],[Time split]]="Train 2024","",tblWorkPackages[[#This Row],[Estimated labor hours]]+VLOOKUP(tblWorkPackages[[#This Row],[Task type]],'Forecast validation'!$A$14:$E$25,IF(tblWorkPackages[[#This Row],[Time split]]="Validation H1",4,5),FALSE()))</f>
        <v/>
      </c>
      <c r="U1567" s="51" t="str">
        <f>IF(tblWorkPackages[[#This Row],[Calibrated forecast hours]]="","",ABS(tblWorkPackages[[#This Row],[Actual labor hours]]-tblWorkPackages[[#This Row],[Calibrated forecast hours]]))</f>
        <v/>
      </c>
      <c r="V1567" s="51">
        <f>IF(tblWorkPackages[[#This Row],[Time split]]="Train 2024",tblWorkPackages[[#This Row],[Estimated labor hours]],tblWorkPackages[[#This Row],[Calibrated forecast hours]])</f>
        <v>3.2</v>
      </c>
      <c r="W1567" s="64">
        <f>DATEVALUE(tblWorkPackages[[#This Row],[Request date]])</f>
        <v>45475.0</v>
      </c>
      <c r="X1567" s="64">
        <f>DATEVALUE(tblWorkPackages[[#This Row],[Due date]])</f>
        <v>45488.0</v>
      </c>
      <c r="Y1567" s="64">
        <f>DATEVALUE(tblWorkPackages[[#This Row],[Completion date]])</f>
        <v>45499.0</v>
      </c>
      <c r="Z1567" s="64">
        <f>_xlfn.MINIFS(tblLaborEntries[Work date serial],tblLaborEntries[Work package ID],tblWorkPackages[[#This Row],[Work package ID]])</f>
        <v>45496.0</v>
      </c>
      <c r="AA1567" s="64">
        <f>_xlfn.MAXIFS(tblLaborEntries[Work date serial],tblLaborEntries[Work package ID],tblWorkPackages[[#This Row],[Work package ID]])</f>
        <v>45498.0</v>
      </c>
      <c r="AB1567" s="65">
        <f>IF(tblWorkPackages[[#This Row],[Completion date serial]]&gt;tblWorkPackages[[#This Row],[Due date serial]],1,0)</f>
        <v>1</v>
      </c>
      <c r="AC1567" s="65">
        <f>MAX(0,tblWorkPackages[[#This Row],[Completion date serial]]-tblWorkPackages[[#This Row],[Due date serial]])</f>
        <v>11</v>
      </c>
      <c r="AD1567" s="65">
        <f>tblWorkPackages[[#This Row],[First labor date]]-tblWorkPackages[[#This Row],[Request date serial]]</f>
        <v>21</v>
      </c>
      <c r="AE1567" s="65">
        <f>tblWorkPackages[[#This Row],[Last labor date]]-tblWorkPackages[[#This Row],[First labor date]]</f>
        <v>2</v>
      </c>
      <c r="AF1567" s="65">
        <f>tblWorkPackages[[#This Row],[Completion date serial]]-tblWorkPackages[[#This Row],[Last labor date]]</f>
        <v>1</v>
      </c>
      <c r="AG1567" s="65">
        <f>tblWorkPackages[[#This Row],[Completion date serial]]-tblWorkPackages[[#This Row],[Request date serial]]</f>
        <v>24</v>
      </c>
      <c r="AH1567" s="65">
        <f>IFERROR(INDEX(tblParts[Delay days],MATCH(tblWorkPackages[[#This Row],[Work package ID]],tblParts[Work package ID],0)),0)</f>
        <v>0</v>
      </c>
      <c r="AI1567" s="51" t="str">
        <f>IFERROR(INDEX(tblDisruptions[Event type],MATCH(tblWorkPackages[[#This Row],[Work package ID]],tblDisruptions[Work package ID],0)),"None")</f>
        <v>None</v>
      </c>
      <c r="AJ1567" s="51" t="str">
        <f>TEXT(tblWorkPackages[[#This Row],[Due date serial]],"yyyy-mm")</f>
        <v>2024-07</v>
      </c>
    </row>
    <row r="1568" spans="1:36" ht="15" x14ac:dyDescent="0.25">
      <c r="A1568" s="53" t="s">
        <v>2476</v>
      </c>
      <c r="B1568" s="53" t="s">
        <v>157</v>
      </c>
      <c r="C1568" s="53" t="s">
        <v>844</v>
      </c>
      <c r="D1568" s="53" t="s">
        <v>1151</v>
      </c>
      <c r="E1568" s="53" t="s">
        <v>144</v>
      </c>
      <c r="F1568" s="53" t="s">
        <v>145</v>
      </c>
      <c r="G1568" s="53" t="s">
        <v>146</v>
      </c>
      <c r="H1568" s="53">
        <v>4</v>
      </c>
      <c r="I1568" s="53" t="s">
        <v>176</v>
      </c>
      <c r="J1568" s="53">
        <v>0</v>
      </c>
      <c r="K1568" s="53">
        <v>1</v>
      </c>
      <c r="L1568" s="53">
        <v>16.8</v>
      </c>
      <c r="M1568" s="53" t="s">
        <v>211</v>
      </c>
      <c r="N1568" s="53">
        <v>18</v>
      </c>
      <c r="O1568" s="51" t="str">
        <f>TEXT(tblWorkPackages[[#This Row],[Request date serial]]-WEEKDAY(tblWorkPackages[[#This Row],[Request date serial]],3),"yyyy-mm-dd")</f>
        <v>2025-08-04</v>
      </c>
      <c r="P1568" s="51">
        <f>ABS(tblWorkPackages[[#This Row],[Actual labor hours]]-tblWorkPackages[[#This Row],[Estimated labor hours]])</f>
        <v>1.2</v>
      </c>
      <c r="Q1568" s="51">
        <f>IF(tblWorkPackages[[#This Row],[Actual labor hours]]&gt;tblWorkPackages[[#This Row],[Estimated labor hours]],1,0)</f>
        <v>1</v>
      </c>
      <c r="R1568" s="51">
        <f>tblWorkPackages[[#This Row],[Actual labor hours]]-tblWorkPackages[[#This Row],[Estimated labor hours]]</f>
        <v>1.2</v>
      </c>
      <c r="S1568" s="51" t="str">
        <f>IF(tblWorkPackages[[#This Row],[Request date serial]]&lt;ValidationStart,"Train 2024",IF(tblWorkPackages[[#This Row],[Request date serial]]&lt;HoldoutStart,"Validation H1","Holdout H2"))</f>
        <v>Holdout H2</v>
      </c>
      <c r="T1568" s="51">
        <f>IF(tblWorkPackages[[#This Row],[Time split]]="Train 2024","",tblWorkPackages[[#This Row],[Estimated labor hours]]+VLOOKUP(tblWorkPackages[[#This Row],[Task type]],'Forecast validation'!$A$14:$E$25,IF(tblWorkPackages[[#This Row],[Time split]]="Validation H1",4,5),FALSE()))</f>
        <v>17.7735483870968</v>
      </c>
      <c r="U1568" s="51">
        <f>IF(tblWorkPackages[[#This Row],[Calibrated forecast hours]]="","",ABS(tblWorkPackages[[#This Row],[Actual labor hours]]-tblWorkPackages[[#This Row],[Calibrated forecast hours]]))</f>
        <v>0.226451612903226</v>
      </c>
      <c r="V1568" s="51">
        <f>IF(tblWorkPackages[[#This Row],[Time split]]="Train 2024",tblWorkPackages[[#This Row],[Estimated labor hours]],tblWorkPackages[[#This Row],[Calibrated forecast hours]])</f>
        <v>17.7735483870968</v>
      </c>
      <c r="W1568" s="64">
        <f>DATEVALUE(tblWorkPackages[[#This Row],[Request date]])</f>
        <v>45874.0</v>
      </c>
      <c r="X1568" s="64">
        <f>DATEVALUE(tblWorkPackages[[#This Row],[Due date]])</f>
        <v>45880.0</v>
      </c>
      <c r="Y1568" s="64">
        <f>DATEVALUE(tblWorkPackages[[#This Row],[Completion date]])</f>
        <v>45882.0</v>
      </c>
      <c r="Z1568" s="64">
        <f>_xlfn.MINIFS(tblLaborEntries[Work date serial],tblLaborEntries[Work package ID],tblWorkPackages[[#This Row],[Work package ID]])</f>
        <v>45878.0</v>
      </c>
      <c r="AA1568" s="64">
        <f>_xlfn.MAXIFS(tblLaborEntries[Work date serial],tblLaborEntries[Work package ID],tblWorkPackages[[#This Row],[Work package ID]])</f>
        <v>45880.0</v>
      </c>
      <c r="AB1568" s="65">
        <f>IF(tblWorkPackages[[#This Row],[Completion date serial]]&gt;tblWorkPackages[[#This Row],[Due date serial]],1,0)</f>
        <v>1</v>
      </c>
      <c r="AC1568" s="65">
        <f>MAX(0,tblWorkPackages[[#This Row],[Completion date serial]]-tblWorkPackages[[#This Row],[Due date serial]])</f>
        <v>2</v>
      </c>
      <c r="AD1568" s="65">
        <f>tblWorkPackages[[#This Row],[First labor date]]-tblWorkPackages[[#This Row],[Request date serial]]</f>
        <v>4</v>
      </c>
      <c r="AE1568" s="65">
        <f>tblWorkPackages[[#This Row],[Last labor date]]-tblWorkPackages[[#This Row],[First labor date]]</f>
        <v>2</v>
      </c>
      <c r="AF1568" s="65">
        <f>tblWorkPackages[[#This Row],[Completion date serial]]-tblWorkPackages[[#This Row],[Last labor date]]</f>
        <v>2</v>
      </c>
      <c r="AG1568" s="65">
        <f>tblWorkPackages[[#This Row],[Completion date serial]]-tblWorkPackages[[#This Row],[Request date serial]]</f>
        <v>8</v>
      </c>
      <c r="AH1568" s="65">
        <f>IFERROR(INDEX(tblParts[Delay days],MATCH(tblWorkPackages[[#This Row],[Work package ID]],tblParts[Work package ID],0)),0)</f>
        <v>0</v>
      </c>
      <c r="AI1568" s="51" t="str">
        <f>IFERROR(INDEX(tblDisruptions[Event type],MATCH(tblWorkPackages[[#This Row],[Work package ID]],tblDisruptions[Work package ID],0)),"None")</f>
        <v>None</v>
      </c>
      <c r="AJ1568" s="51" t="str">
        <f>TEXT(tblWorkPackages[[#This Row],[Due date serial]],"yyyy-mm")</f>
        <v>2025-08</v>
      </c>
    </row>
    <row r="1569" spans="1:36" ht="15" x14ac:dyDescent="0.25">
      <c r="A1569" s="53" t="s">
        <v>2477</v>
      </c>
      <c r="B1569" s="53" t="s">
        <v>133</v>
      </c>
      <c r="C1569" s="53" t="s">
        <v>546</v>
      </c>
      <c r="D1569" s="53" t="s">
        <v>351</v>
      </c>
      <c r="E1569" s="53" t="s">
        <v>127</v>
      </c>
      <c r="F1569" s="53" t="s">
        <v>128</v>
      </c>
      <c r="G1569" s="53" t="s">
        <v>129</v>
      </c>
      <c r="H1569" s="53">
        <v>3</v>
      </c>
      <c r="I1569" s="53" t="s">
        <v>130</v>
      </c>
      <c r="J1569" s="53">
        <v>0</v>
      </c>
      <c r="K1569" s="53">
        <v>0</v>
      </c>
      <c r="L1569" s="53">
        <v>9.3000000000000007</v>
      </c>
      <c r="M1569" s="53" t="s">
        <v>214</v>
      </c>
      <c r="N1569" s="53">
        <v>9.5</v>
      </c>
      <c r="O1569" s="51" t="str">
        <f>TEXT(tblWorkPackages[[#This Row],[Request date serial]]-WEEKDAY(tblWorkPackages[[#This Row],[Request date serial]],3),"yyyy-mm-dd")</f>
        <v>2024-01-15</v>
      </c>
      <c r="P1569" s="51">
        <f>ABS(tblWorkPackages[[#This Row],[Actual labor hours]]-tblWorkPackages[[#This Row],[Estimated labor hours]])</f>
        <v>0.199999999999999</v>
      </c>
      <c r="Q1569" s="51">
        <f>IF(tblWorkPackages[[#This Row],[Actual labor hours]]&gt;tblWorkPackages[[#This Row],[Estimated labor hours]],1,0)</f>
        <v>1</v>
      </c>
      <c r="R1569" s="51">
        <f>tblWorkPackages[[#This Row],[Actual labor hours]]-tblWorkPackages[[#This Row],[Estimated labor hours]]</f>
        <v>0.199999999999999</v>
      </c>
      <c r="S1569" s="51" t="str">
        <f>IF(tblWorkPackages[[#This Row],[Request date serial]]&lt;ValidationStart,"Train 2024",IF(tblWorkPackages[[#This Row],[Request date serial]]&lt;HoldoutStart,"Validation H1","Holdout H2"))</f>
        <v>Train 2024</v>
      </c>
      <c r="T1569" s="51" t="str">
        <f>IF(tblWorkPackages[[#This Row],[Time split]]="Train 2024","",tblWorkPackages[[#This Row],[Estimated labor hours]]+VLOOKUP(tblWorkPackages[[#This Row],[Task type]],'Forecast validation'!$A$14:$E$25,IF(tblWorkPackages[[#This Row],[Time split]]="Validation H1",4,5),FALSE()))</f>
        <v/>
      </c>
      <c r="U1569" s="51" t="str">
        <f>IF(tblWorkPackages[[#This Row],[Calibrated forecast hours]]="","",ABS(tblWorkPackages[[#This Row],[Actual labor hours]]-tblWorkPackages[[#This Row],[Calibrated forecast hours]]))</f>
        <v/>
      </c>
      <c r="V1569" s="51">
        <f>IF(tblWorkPackages[[#This Row],[Time split]]="Train 2024",tblWorkPackages[[#This Row],[Estimated labor hours]],tblWorkPackages[[#This Row],[Calibrated forecast hours]])</f>
        <v>9.3</v>
      </c>
      <c r="W1569" s="64">
        <f>DATEVALUE(tblWorkPackages[[#This Row],[Request date]])</f>
        <v>45306.0</v>
      </c>
      <c r="X1569" s="64">
        <f>DATEVALUE(tblWorkPackages[[#This Row],[Due date]])</f>
        <v>45319.0</v>
      </c>
      <c r="Y1569" s="64">
        <f>DATEVALUE(tblWorkPackages[[#This Row],[Completion date]])</f>
        <v>45311.0</v>
      </c>
      <c r="Z1569" s="64">
        <f>_xlfn.MINIFS(tblLaborEntries[Work date serial],tblLaborEntries[Work package ID],tblWorkPackages[[#This Row],[Work package ID]])</f>
        <v>45307.0</v>
      </c>
      <c r="AA1569" s="64">
        <f>_xlfn.MAXIFS(tblLaborEntries[Work date serial],tblLaborEntries[Work package ID],tblWorkPackages[[#This Row],[Work package ID]])</f>
        <v>45308.0</v>
      </c>
      <c r="AB1569" s="65">
        <f>IF(tblWorkPackages[[#This Row],[Completion date serial]]&gt;tblWorkPackages[[#This Row],[Due date serial]],1,0)</f>
        <v>0</v>
      </c>
      <c r="AC1569" s="65">
        <f>MAX(0,tblWorkPackages[[#This Row],[Completion date serial]]-tblWorkPackages[[#This Row],[Due date serial]])</f>
        <v>0</v>
      </c>
      <c r="AD1569" s="65">
        <f>tblWorkPackages[[#This Row],[First labor date]]-tblWorkPackages[[#This Row],[Request date serial]]</f>
        <v>1</v>
      </c>
      <c r="AE1569" s="65">
        <f>tblWorkPackages[[#This Row],[Last labor date]]-tblWorkPackages[[#This Row],[First labor date]]</f>
        <v>1</v>
      </c>
      <c r="AF1569" s="65">
        <f>tblWorkPackages[[#This Row],[Completion date serial]]-tblWorkPackages[[#This Row],[Last labor date]]</f>
        <v>3</v>
      </c>
      <c r="AG1569" s="65">
        <f>tblWorkPackages[[#This Row],[Completion date serial]]-tblWorkPackages[[#This Row],[Request date serial]]</f>
        <v>5</v>
      </c>
      <c r="AH1569" s="65">
        <f>IFERROR(INDEX(tblParts[Delay days],MATCH(tblWorkPackages[[#This Row],[Work package ID]],tblParts[Work package ID],0)),0)</f>
        <v>0</v>
      </c>
      <c r="AI1569" s="51" t="str">
        <f>IFERROR(INDEX(tblDisruptions[Event type],MATCH(tblWorkPackages[[#This Row],[Work package ID]],tblDisruptions[Work package ID],0)),"None")</f>
        <v>None</v>
      </c>
      <c r="AJ1569" s="51" t="str">
        <f>TEXT(tblWorkPackages[[#This Row],[Due date serial]],"yyyy-mm")</f>
        <v>2024-01</v>
      </c>
    </row>
    <row r="1570" spans="1:36" ht="15" x14ac:dyDescent="0.25">
      <c r="A1570" s="53" t="s">
        <v>2478</v>
      </c>
      <c r="B1570" s="53" t="s">
        <v>133</v>
      </c>
      <c r="C1570" s="53" t="s">
        <v>304</v>
      </c>
      <c r="D1570" s="53" t="s">
        <v>524</v>
      </c>
      <c r="E1570" s="53" t="s">
        <v>237</v>
      </c>
      <c r="F1570" s="53" t="s">
        <v>182</v>
      </c>
      <c r="G1570" s="53" t="s">
        <v>138</v>
      </c>
      <c r="H1570" s="53">
        <v>1</v>
      </c>
      <c r="I1570" s="53" t="s">
        <v>130</v>
      </c>
      <c r="J1570" s="53">
        <v>0</v>
      </c>
      <c r="K1570" s="53">
        <v>1</v>
      </c>
      <c r="L1570" s="53">
        <v>3.5</v>
      </c>
      <c r="M1570" s="53" t="s">
        <v>550</v>
      </c>
      <c r="N1570" s="53">
        <v>4.4000000000000004</v>
      </c>
      <c r="O1570" s="51" t="str">
        <f>TEXT(tblWorkPackages[[#This Row],[Request date serial]]-WEEKDAY(tblWorkPackages[[#This Row],[Request date serial]],3),"yyyy-mm-dd")</f>
        <v>2024-06-24</v>
      </c>
      <c r="P1570" s="51">
        <f>ABS(tblWorkPackages[[#This Row],[Actual labor hours]]-tblWorkPackages[[#This Row],[Estimated labor hours]])</f>
        <v>0.9</v>
      </c>
      <c r="Q1570" s="51">
        <f>IF(tblWorkPackages[[#This Row],[Actual labor hours]]&gt;tblWorkPackages[[#This Row],[Estimated labor hours]],1,0)</f>
        <v>1</v>
      </c>
      <c r="R1570" s="51">
        <f>tblWorkPackages[[#This Row],[Actual labor hours]]-tblWorkPackages[[#This Row],[Estimated labor hours]]</f>
        <v>0.9</v>
      </c>
      <c r="S1570" s="51" t="str">
        <f>IF(tblWorkPackages[[#This Row],[Request date serial]]&lt;ValidationStart,"Train 2024",IF(tblWorkPackages[[#This Row],[Request date serial]]&lt;HoldoutStart,"Validation H1","Holdout H2"))</f>
        <v>Train 2024</v>
      </c>
      <c r="T1570" s="51" t="str">
        <f>IF(tblWorkPackages[[#This Row],[Time split]]="Train 2024","",tblWorkPackages[[#This Row],[Estimated labor hours]]+VLOOKUP(tblWorkPackages[[#This Row],[Task type]],'Forecast validation'!$A$14:$E$25,IF(tblWorkPackages[[#This Row],[Time split]]="Validation H1",4,5),FALSE()))</f>
        <v/>
      </c>
      <c r="U1570" s="51" t="str">
        <f>IF(tblWorkPackages[[#This Row],[Calibrated forecast hours]]="","",ABS(tblWorkPackages[[#This Row],[Actual labor hours]]-tblWorkPackages[[#This Row],[Calibrated forecast hours]]))</f>
        <v/>
      </c>
      <c r="V1570" s="51">
        <f>IF(tblWorkPackages[[#This Row],[Time split]]="Train 2024",tblWorkPackages[[#This Row],[Estimated labor hours]],tblWorkPackages[[#This Row],[Calibrated forecast hours]])</f>
        <v>3.5</v>
      </c>
      <c r="W1570" s="64">
        <f>DATEVALUE(tblWorkPackages[[#This Row],[Request date]])</f>
        <v>45470.0</v>
      </c>
      <c r="X1570" s="64">
        <f>DATEVALUE(tblWorkPackages[[#This Row],[Due date]])</f>
        <v>45483.0</v>
      </c>
      <c r="Y1570" s="64">
        <f>DATEVALUE(tblWorkPackages[[#This Row],[Completion date]])</f>
        <v>45482.0</v>
      </c>
      <c r="Z1570" s="64">
        <f>_xlfn.MINIFS(tblLaborEntries[Work date serial],tblLaborEntries[Work package ID],tblWorkPackages[[#This Row],[Work package ID]])</f>
        <v>45482.0</v>
      </c>
      <c r="AA1570" s="64">
        <f>_xlfn.MAXIFS(tblLaborEntries[Work date serial],tblLaborEntries[Work package ID],tblWorkPackages[[#This Row],[Work package ID]])</f>
        <v>45482.0</v>
      </c>
      <c r="AB1570" s="65">
        <f>IF(tblWorkPackages[[#This Row],[Completion date serial]]&gt;tblWorkPackages[[#This Row],[Due date serial]],1,0)</f>
        <v>0</v>
      </c>
      <c r="AC1570" s="65">
        <f>MAX(0,tblWorkPackages[[#This Row],[Completion date serial]]-tblWorkPackages[[#This Row],[Due date serial]])</f>
        <v>0</v>
      </c>
      <c r="AD1570" s="65">
        <f>tblWorkPackages[[#This Row],[First labor date]]-tblWorkPackages[[#This Row],[Request date serial]]</f>
        <v>12</v>
      </c>
      <c r="AE1570" s="65">
        <f>tblWorkPackages[[#This Row],[Last labor date]]-tblWorkPackages[[#This Row],[First labor date]]</f>
        <v>0</v>
      </c>
      <c r="AF1570" s="65">
        <f>tblWorkPackages[[#This Row],[Completion date serial]]-tblWorkPackages[[#This Row],[Last labor date]]</f>
        <v>0</v>
      </c>
      <c r="AG1570" s="65">
        <f>tblWorkPackages[[#This Row],[Completion date serial]]-tblWorkPackages[[#This Row],[Request date serial]]</f>
        <v>12</v>
      </c>
      <c r="AH1570" s="65">
        <f>IFERROR(INDEX(tblParts[Delay days],MATCH(tblWorkPackages[[#This Row],[Work package ID]],tblParts[Work package ID],0)),0)</f>
        <v>0</v>
      </c>
      <c r="AI1570" s="51" t="str">
        <f>IFERROR(INDEX(tblDisruptions[Event type],MATCH(tblWorkPackages[[#This Row],[Work package ID]],tblDisruptions[Work package ID],0)),"None")</f>
        <v>None</v>
      </c>
      <c r="AJ1570" s="51" t="str">
        <f>TEXT(tblWorkPackages[[#This Row],[Due date serial]],"yyyy-mm")</f>
        <v>2024-07</v>
      </c>
    </row>
    <row r="1571" spans="1:36" ht="15" x14ac:dyDescent="0.25">
      <c r="A1571" s="53" t="s">
        <v>2479</v>
      </c>
      <c r="B1571" s="53" t="s">
        <v>287</v>
      </c>
      <c r="C1571" s="53" t="s">
        <v>296</v>
      </c>
      <c r="D1571" s="53" t="s">
        <v>152</v>
      </c>
      <c r="E1571" s="53" t="s">
        <v>272</v>
      </c>
      <c r="F1571" s="53" t="s">
        <v>145</v>
      </c>
      <c r="G1571" s="53" t="s">
        <v>273</v>
      </c>
      <c r="H1571" s="53">
        <v>3</v>
      </c>
      <c r="I1571" s="53" t="s">
        <v>176</v>
      </c>
      <c r="J1571" s="53">
        <v>0</v>
      </c>
      <c r="K1571" s="53">
        <v>1</v>
      </c>
      <c r="L1571" s="53">
        <v>15</v>
      </c>
      <c r="M1571" s="53" t="s">
        <v>264</v>
      </c>
      <c r="N1571" s="53">
        <v>17.2</v>
      </c>
      <c r="O1571" s="51" t="str">
        <f>TEXT(tblWorkPackages[[#This Row],[Request date serial]]-WEEKDAY(tblWorkPackages[[#This Row],[Request date serial]],3),"yyyy-mm-dd")</f>
        <v>2024-08-19</v>
      </c>
      <c r="P1571" s="51">
        <f>ABS(tblWorkPackages[[#This Row],[Actual labor hours]]-tblWorkPackages[[#This Row],[Estimated labor hours]])</f>
        <v>2.2</v>
      </c>
      <c r="Q1571" s="51">
        <f>IF(tblWorkPackages[[#This Row],[Actual labor hours]]&gt;tblWorkPackages[[#This Row],[Estimated labor hours]],1,0)</f>
        <v>1</v>
      </c>
      <c r="R1571" s="51">
        <f>tblWorkPackages[[#This Row],[Actual labor hours]]-tblWorkPackages[[#This Row],[Estimated labor hours]]</f>
        <v>2.2</v>
      </c>
      <c r="S1571" s="51" t="str">
        <f>IF(tblWorkPackages[[#This Row],[Request date serial]]&lt;ValidationStart,"Train 2024",IF(tblWorkPackages[[#This Row],[Request date serial]]&lt;HoldoutStart,"Validation H1","Holdout H2"))</f>
        <v>Train 2024</v>
      </c>
      <c r="T1571" s="51" t="str">
        <f>IF(tblWorkPackages[[#This Row],[Time split]]="Train 2024","",tblWorkPackages[[#This Row],[Estimated labor hours]]+VLOOKUP(tblWorkPackages[[#This Row],[Task type]],'Forecast validation'!$A$14:$E$25,IF(tblWorkPackages[[#This Row],[Time split]]="Validation H1",4,5),FALSE()))</f>
        <v/>
      </c>
      <c r="U1571" s="51" t="str">
        <f>IF(tblWorkPackages[[#This Row],[Calibrated forecast hours]]="","",ABS(tblWorkPackages[[#This Row],[Actual labor hours]]-tblWorkPackages[[#This Row],[Calibrated forecast hours]]))</f>
        <v/>
      </c>
      <c r="V1571" s="51">
        <f>IF(tblWorkPackages[[#This Row],[Time split]]="Train 2024",tblWorkPackages[[#This Row],[Estimated labor hours]],tblWorkPackages[[#This Row],[Calibrated forecast hours]])</f>
        <v>15</v>
      </c>
      <c r="W1571" s="64">
        <f>DATEVALUE(tblWorkPackages[[#This Row],[Request date]])</f>
        <v>45523.0</v>
      </c>
      <c r="X1571" s="64">
        <f>DATEVALUE(tblWorkPackages[[#This Row],[Due date]])</f>
        <v>45529.0</v>
      </c>
      <c r="Y1571" s="64">
        <f>DATEVALUE(tblWorkPackages[[#This Row],[Completion date]])</f>
        <v>45528.0</v>
      </c>
      <c r="Z1571" s="64">
        <f>_xlfn.MINIFS(tblLaborEntries[Work date serial],tblLaborEntries[Work package ID],tblWorkPackages[[#This Row],[Work package ID]])</f>
        <v>45526.0</v>
      </c>
      <c r="AA1571" s="64">
        <f>_xlfn.MAXIFS(tblLaborEntries[Work date serial],tblLaborEntries[Work package ID],tblWorkPackages[[#This Row],[Work package ID]])</f>
        <v>45527.0</v>
      </c>
      <c r="AB1571" s="65">
        <f>IF(tblWorkPackages[[#This Row],[Completion date serial]]&gt;tblWorkPackages[[#This Row],[Due date serial]],1,0)</f>
        <v>0</v>
      </c>
      <c r="AC1571" s="65">
        <f>MAX(0,tblWorkPackages[[#This Row],[Completion date serial]]-tblWorkPackages[[#This Row],[Due date serial]])</f>
        <v>0</v>
      </c>
      <c r="AD1571" s="65">
        <f>tblWorkPackages[[#This Row],[First labor date]]-tblWorkPackages[[#This Row],[Request date serial]]</f>
        <v>3</v>
      </c>
      <c r="AE1571" s="65">
        <f>tblWorkPackages[[#This Row],[Last labor date]]-tblWorkPackages[[#This Row],[First labor date]]</f>
        <v>1</v>
      </c>
      <c r="AF1571" s="65">
        <f>tblWorkPackages[[#This Row],[Completion date serial]]-tblWorkPackages[[#This Row],[Last labor date]]</f>
        <v>1</v>
      </c>
      <c r="AG1571" s="65">
        <f>tblWorkPackages[[#This Row],[Completion date serial]]-tblWorkPackages[[#This Row],[Request date serial]]</f>
        <v>5</v>
      </c>
      <c r="AH1571" s="65">
        <f>IFERROR(INDEX(tblParts[Delay days],MATCH(tblWorkPackages[[#This Row],[Work package ID]],tblParts[Work package ID],0)),0)</f>
        <v>0</v>
      </c>
      <c r="AI1571" s="51" t="str">
        <f>IFERROR(INDEX(tblDisruptions[Event type],MATCH(tblWorkPackages[[#This Row],[Work package ID]],tblDisruptions[Work package ID],0)),"None")</f>
        <v>None</v>
      </c>
      <c r="AJ1571" s="51" t="str">
        <f>TEXT(tblWorkPackages[[#This Row],[Due date serial]],"yyyy-mm")</f>
        <v>2024-08</v>
      </c>
    </row>
    <row r="1572" spans="1:36" ht="15" x14ac:dyDescent="0.25">
      <c r="A1572" s="53" t="s">
        <v>2480</v>
      </c>
      <c r="B1572" s="53" t="s">
        <v>250</v>
      </c>
      <c r="C1572" s="53" t="s">
        <v>1051</v>
      </c>
      <c r="D1572" s="53" t="s">
        <v>748</v>
      </c>
      <c r="E1572" s="53" t="s">
        <v>237</v>
      </c>
      <c r="F1572" s="53" t="s">
        <v>182</v>
      </c>
      <c r="G1572" s="53" t="s">
        <v>138</v>
      </c>
      <c r="H1572" s="53">
        <v>2</v>
      </c>
      <c r="I1572" s="53" t="s">
        <v>130</v>
      </c>
      <c r="J1572" s="53">
        <v>0</v>
      </c>
      <c r="K1572" s="53">
        <v>0</v>
      </c>
      <c r="L1572" s="53">
        <v>5.5</v>
      </c>
      <c r="M1572" s="53" t="s">
        <v>759</v>
      </c>
      <c r="N1572" s="53">
        <v>5.0999999999999996</v>
      </c>
      <c r="O1572" s="51" t="str">
        <f>TEXT(tblWorkPackages[[#This Row],[Request date serial]]-WEEKDAY(tblWorkPackages[[#This Row],[Request date serial]],3),"yyyy-mm-dd")</f>
        <v>2024-01-29</v>
      </c>
      <c r="P1572" s="51">
        <f>ABS(tblWorkPackages[[#This Row],[Actual labor hours]]-tblWorkPackages[[#This Row],[Estimated labor hours]])</f>
        <v>0.4</v>
      </c>
      <c r="Q1572" s="51">
        <f>IF(tblWorkPackages[[#This Row],[Actual labor hours]]&gt;tblWorkPackages[[#This Row],[Estimated labor hours]],1,0)</f>
        <v>0</v>
      </c>
      <c r="R1572" s="51">
        <f>tblWorkPackages[[#This Row],[Actual labor hours]]-tblWorkPackages[[#This Row],[Estimated labor hours]]</f>
        <v>-0.4</v>
      </c>
      <c r="S1572" s="51" t="str">
        <f>IF(tblWorkPackages[[#This Row],[Request date serial]]&lt;ValidationStart,"Train 2024",IF(tblWorkPackages[[#This Row],[Request date serial]]&lt;HoldoutStart,"Validation H1","Holdout H2"))</f>
        <v>Train 2024</v>
      </c>
      <c r="T1572" s="51" t="str">
        <f>IF(tblWorkPackages[[#This Row],[Time split]]="Train 2024","",tblWorkPackages[[#This Row],[Estimated labor hours]]+VLOOKUP(tblWorkPackages[[#This Row],[Task type]],'Forecast validation'!$A$14:$E$25,IF(tblWorkPackages[[#This Row],[Time split]]="Validation H1",4,5),FALSE()))</f>
        <v/>
      </c>
      <c r="U1572" s="51" t="str">
        <f>IF(tblWorkPackages[[#This Row],[Calibrated forecast hours]]="","",ABS(tblWorkPackages[[#This Row],[Actual labor hours]]-tblWorkPackages[[#This Row],[Calibrated forecast hours]]))</f>
        <v/>
      </c>
      <c r="V1572" s="51">
        <f>IF(tblWorkPackages[[#This Row],[Time split]]="Train 2024",tblWorkPackages[[#This Row],[Estimated labor hours]],tblWorkPackages[[#This Row],[Calibrated forecast hours]])</f>
        <v>5.5</v>
      </c>
      <c r="W1572" s="64">
        <f>DATEVALUE(tblWorkPackages[[#This Row],[Request date]])</f>
        <v>45326.0</v>
      </c>
      <c r="X1572" s="64">
        <f>DATEVALUE(tblWorkPackages[[#This Row],[Due date]])</f>
        <v>45339.0</v>
      </c>
      <c r="Y1572" s="64">
        <f>DATEVALUE(tblWorkPackages[[#This Row],[Completion date]])</f>
        <v>45363.0</v>
      </c>
      <c r="Z1572" s="64">
        <f>_xlfn.MINIFS(tblLaborEntries[Work date serial],tblLaborEntries[Work package ID],tblWorkPackages[[#This Row],[Work package ID]])</f>
        <v>45360.0</v>
      </c>
      <c r="AA1572" s="64">
        <f>_xlfn.MAXIFS(tblLaborEntries[Work date serial],tblLaborEntries[Work package ID],tblWorkPackages[[#This Row],[Work package ID]])</f>
        <v>45361.0</v>
      </c>
      <c r="AB1572" s="65">
        <f>IF(tblWorkPackages[[#This Row],[Completion date serial]]&gt;tblWorkPackages[[#This Row],[Due date serial]],1,0)</f>
        <v>1</v>
      </c>
      <c r="AC1572" s="65">
        <f>MAX(0,tblWorkPackages[[#This Row],[Completion date serial]]-tblWorkPackages[[#This Row],[Due date serial]])</f>
        <v>24</v>
      </c>
      <c r="AD1572" s="65">
        <f>tblWorkPackages[[#This Row],[First labor date]]-tblWorkPackages[[#This Row],[Request date serial]]</f>
        <v>34</v>
      </c>
      <c r="AE1572" s="65">
        <f>tblWorkPackages[[#This Row],[Last labor date]]-tblWorkPackages[[#This Row],[First labor date]]</f>
        <v>1</v>
      </c>
      <c r="AF1572" s="65">
        <f>tblWorkPackages[[#This Row],[Completion date serial]]-tblWorkPackages[[#This Row],[Last labor date]]</f>
        <v>2</v>
      </c>
      <c r="AG1572" s="65">
        <f>tblWorkPackages[[#This Row],[Completion date serial]]-tblWorkPackages[[#This Row],[Request date serial]]</f>
        <v>37</v>
      </c>
      <c r="AH1572" s="65">
        <f>IFERROR(INDEX(tblParts[Delay days],MATCH(tblWorkPackages[[#This Row],[Work package ID]],tblParts[Work package ID],0)),0)</f>
        <v>0</v>
      </c>
      <c r="AI1572" s="51" t="str">
        <f>IFERROR(INDEX(tblDisruptions[Event type],MATCH(tblWorkPackages[[#This Row],[Work package ID]],tblDisruptions[Work package ID],0)),"None")</f>
        <v>None</v>
      </c>
      <c r="AJ1572" s="51" t="str">
        <f>TEXT(tblWorkPackages[[#This Row],[Due date serial]],"yyyy-mm")</f>
        <v>2024-02</v>
      </c>
    </row>
    <row r="1573" spans="1:36" ht="15" x14ac:dyDescent="0.25">
      <c r="A1573" s="53" t="s">
        <v>2481</v>
      </c>
      <c r="B1573" s="53" t="s">
        <v>168</v>
      </c>
      <c r="C1573" s="53" t="s">
        <v>924</v>
      </c>
      <c r="D1573" s="53" t="s">
        <v>1184</v>
      </c>
      <c r="E1573" s="53" t="s">
        <v>136</v>
      </c>
      <c r="F1573" s="53" t="s">
        <v>137</v>
      </c>
      <c r="G1573" s="53" t="s">
        <v>138</v>
      </c>
      <c r="H1573" s="53">
        <v>2</v>
      </c>
      <c r="I1573" s="53" t="s">
        <v>130</v>
      </c>
      <c r="J1573" s="53">
        <v>0</v>
      </c>
      <c r="K1573" s="53">
        <v>0</v>
      </c>
      <c r="L1573" s="53">
        <v>16.100000000000001</v>
      </c>
      <c r="M1573" s="53" t="s">
        <v>183</v>
      </c>
      <c r="N1573" s="53">
        <v>12.5</v>
      </c>
      <c r="O1573" s="51" t="str">
        <f>TEXT(tblWorkPackages[[#This Row],[Request date serial]]-WEEKDAY(tblWorkPackages[[#This Row],[Request date serial]],3),"yyyy-mm-dd")</f>
        <v>2025-05-12</v>
      </c>
      <c r="P1573" s="51">
        <f>ABS(tblWorkPackages[[#This Row],[Actual labor hours]]-tblWorkPackages[[#This Row],[Estimated labor hours]])</f>
        <v>3.6</v>
      </c>
      <c r="Q1573" s="51">
        <f>IF(tblWorkPackages[[#This Row],[Actual labor hours]]&gt;tblWorkPackages[[#This Row],[Estimated labor hours]],1,0)</f>
        <v>0</v>
      </c>
      <c r="R1573" s="51">
        <f>tblWorkPackages[[#This Row],[Actual labor hours]]-tblWorkPackages[[#This Row],[Estimated labor hours]]</f>
        <v>-3.6</v>
      </c>
      <c r="S1573" s="51" t="str">
        <f>IF(tblWorkPackages[[#This Row],[Request date serial]]&lt;ValidationStart,"Train 2024",IF(tblWorkPackages[[#This Row],[Request date serial]]&lt;HoldoutStart,"Validation H1","Holdout H2"))</f>
        <v>Validation H1</v>
      </c>
      <c r="T1573" s="51">
        <f>IF(tblWorkPackages[[#This Row],[Time split]]="Train 2024","",tblWorkPackages[[#This Row],[Estimated labor hours]]+VLOOKUP(tblWorkPackages[[#This Row],[Task type]],'Forecast validation'!$A$14:$E$25,IF(tblWorkPackages[[#This Row],[Time split]]="Validation H1",4,5),FALSE()))</f>
        <v>16.9765306122449</v>
      </c>
      <c r="U1573" s="51">
        <f>IF(tblWorkPackages[[#This Row],[Calibrated forecast hours]]="","",ABS(tblWorkPackages[[#This Row],[Actual labor hours]]-tblWorkPackages[[#This Row],[Calibrated forecast hours]]))</f>
        <v>4.4765306122449</v>
      </c>
      <c r="V1573" s="51">
        <f>IF(tblWorkPackages[[#This Row],[Time split]]="Train 2024",tblWorkPackages[[#This Row],[Estimated labor hours]],tblWorkPackages[[#This Row],[Calibrated forecast hours]])</f>
        <v>16.9765306122449</v>
      </c>
      <c r="W1573" s="64">
        <f>DATEVALUE(tblWorkPackages[[#This Row],[Request date]])</f>
        <v>45789.0</v>
      </c>
      <c r="X1573" s="64">
        <f>DATEVALUE(tblWorkPackages[[#This Row],[Due date]])</f>
        <v>45802.0</v>
      </c>
      <c r="Y1573" s="64">
        <f>DATEVALUE(tblWorkPackages[[#This Row],[Completion date]])</f>
        <v>45799.0</v>
      </c>
      <c r="Z1573" s="64">
        <f>_xlfn.MINIFS(tblLaborEntries[Work date serial],tblLaborEntries[Work package ID],tblWorkPackages[[#This Row],[Work package ID]])</f>
        <v>45795.0</v>
      </c>
      <c r="AA1573" s="64">
        <f>_xlfn.MAXIFS(tblLaborEntries[Work date serial],tblLaborEntries[Work package ID],tblWorkPackages[[#This Row],[Work package ID]])</f>
        <v>45796.0</v>
      </c>
      <c r="AB1573" s="65">
        <f>IF(tblWorkPackages[[#This Row],[Completion date serial]]&gt;tblWorkPackages[[#This Row],[Due date serial]],1,0)</f>
        <v>0</v>
      </c>
      <c r="AC1573" s="65">
        <f>MAX(0,tblWorkPackages[[#This Row],[Completion date serial]]-tblWorkPackages[[#This Row],[Due date serial]])</f>
        <v>0</v>
      </c>
      <c r="AD1573" s="65">
        <f>tblWorkPackages[[#This Row],[First labor date]]-tblWorkPackages[[#This Row],[Request date serial]]</f>
        <v>6</v>
      </c>
      <c r="AE1573" s="65">
        <f>tblWorkPackages[[#This Row],[Last labor date]]-tblWorkPackages[[#This Row],[First labor date]]</f>
        <v>1</v>
      </c>
      <c r="AF1573" s="65">
        <f>tblWorkPackages[[#This Row],[Completion date serial]]-tblWorkPackages[[#This Row],[Last labor date]]</f>
        <v>3</v>
      </c>
      <c r="AG1573" s="65">
        <f>tblWorkPackages[[#This Row],[Completion date serial]]-tblWorkPackages[[#This Row],[Request date serial]]</f>
        <v>10</v>
      </c>
      <c r="AH1573" s="65">
        <f>IFERROR(INDEX(tblParts[Delay days],MATCH(tblWorkPackages[[#This Row],[Work package ID]],tblParts[Work package ID],0)),0)</f>
        <v>0</v>
      </c>
      <c r="AI1573" s="51" t="str">
        <f>IFERROR(INDEX(tblDisruptions[Event type],MATCH(tblWorkPackages[[#This Row],[Work package ID]],tblDisruptions[Work package ID],0)),"None")</f>
        <v>None</v>
      </c>
      <c r="AJ1573" s="51" t="str">
        <f>TEXT(tblWorkPackages[[#This Row],[Due date serial]],"yyyy-mm")</f>
        <v>2025-05</v>
      </c>
    </row>
    <row r="1574" spans="1:36" ht="15" x14ac:dyDescent="0.25">
      <c r="A1574" s="53" t="s">
        <v>2482</v>
      </c>
      <c r="B1574" s="53" t="s">
        <v>124</v>
      </c>
      <c r="C1574" s="53" t="s">
        <v>1183</v>
      </c>
      <c r="D1574" s="53" t="s">
        <v>1035</v>
      </c>
      <c r="E1574" s="53" t="s">
        <v>200</v>
      </c>
      <c r="F1574" s="53" t="s">
        <v>128</v>
      </c>
      <c r="G1574" s="53" t="s">
        <v>129</v>
      </c>
      <c r="H1574" s="53">
        <v>3</v>
      </c>
      <c r="I1574" s="53" t="s">
        <v>130</v>
      </c>
      <c r="J1574" s="53">
        <v>0</v>
      </c>
      <c r="K1574" s="53">
        <v>1</v>
      </c>
      <c r="L1574" s="53">
        <v>4.7</v>
      </c>
      <c r="M1574" s="53" t="s">
        <v>567</v>
      </c>
      <c r="N1574" s="53">
        <v>4.0999999999999996</v>
      </c>
      <c r="O1574" s="51" t="str">
        <f>TEXT(tblWorkPackages[[#This Row],[Request date serial]]-WEEKDAY(tblWorkPackages[[#This Row],[Request date serial]],3),"yyyy-mm-dd")</f>
        <v>2025-05-19</v>
      </c>
      <c r="P1574" s="51">
        <f>ABS(tblWorkPackages[[#This Row],[Actual labor hours]]-tblWorkPackages[[#This Row],[Estimated labor hours]])</f>
        <v>0.600000000000001</v>
      </c>
      <c r="Q1574" s="51">
        <f>IF(tblWorkPackages[[#This Row],[Actual labor hours]]&gt;tblWorkPackages[[#This Row],[Estimated labor hours]],1,0)</f>
        <v>0</v>
      </c>
      <c r="R1574" s="51">
        <f>tblWorkPackages[[#This Row],[Actual labor hours]]-tblWorkPackages[[#This Row],[Estimated labor hours]]</f>
        <v>-0.600000000000001</v>
      </c>
      <c r="S1574" s="51" t="str">
        <f>IF(tblWorkPackages[[#This Row],[Request date serial]]&lt;ValidationStart,"Train 2024",IF(tblWorkPackages[[#This Row],[Request date serial]]&lt;HoldoutStart,"Validation H1","Holdout H2"))</f>
        <v>Validation H1</v>
      </c>
      <c r="T1574" s="51">
        <f>IF(tblWorkPackages[[#This Row],[Time split]]="Train 2024","",tblWorkPackages[[#This Row],[Estimated labor hours]]+VLOOKUP(tblWorkPackages[[#This Row],[Task type]],'Forecast validation'!$A$14:$E$25,IF(tblWorkPackages[[#This Row],[Time split]]="Validation H1",4,5),FALSE()))</f>
        <v>5.03069306930693</v>
      </c>
      <c r="U1574" s="51">
        <f>IF(tblWorkPackages[[#This Row],[Calibrated forecast hours]]="","",ABS(tblWorkPackages[[#This Row],[Actual labor hours]]-tblWorkPackages[[#This Row],[Calibrated forecast hours]]))</f>
        <v>0.930693069306932</v>
      </c>
      <c r="V1574" s="51">
        <f>IF(tblWorkPackages[[#This Row],[Time split]]="Train 2024",tblWorkPackages[[#This Row],[Estimated labor hours]],tblWorkPackages[[#This Row],[Calibrated forecast hours]])</f>
        <v>5.03069306930693</v>
      </c>
      <c r="W1574" s="64">
        <f>DATEVALUE(tblWorkPackages[[#This Row],[Request date]])</f>
        <v>45798.0</v>
      </c>
      <c r="X1574" s="64">
        <f>DATEVALUE(tblWorkPackages[[#This Row],[Due date]])</f>
        <v>45811.0</v>
      </c>
      <c r="Y1574" s="64">
        <f>DATEVALUE(tblWorkPackages[[#This Row],[Completion date]])</f>
        <v>45800.0</v>
      </c>
      <c r="Z1574" s="64">
        <f>_xlfn.MINIFS(tblLaborEntries[Work date serial],tblLaborEntries[Work package ID],tblWorkPackages[[#This Row],[Work package ID]])</f>
        <v>45800.0</v>
      </c>
      <c r="AA1574" s="64">
        <f>_xlfn.MAXIFS(tblLaborEntries[Work date serial],tblLaborEntries[Work package ID],tblWorkPackages[[#This Row],[Work package ID]])</f>
        <v>45800.0</v>
      </c>
      <c r="AB1574" s="65">
        <f>IF(tblWorkPackages[[#This Row],[Completion date serial]]&gt;tblWorkPackages[[#This Row],[Due date serial]],1,0)</f>
        <v>0</v>
      </c>
      <c r="AC1574" s="65">
        <f>MAX(0,tblWorkPackages[[#This Row],[Completion date serial]]-tblWorkPackages[[#This Row],[Due date serial]])</f>
        <v>0</v>
      </c>
      <c r="AD1574" s="65">
        <f>tblWorkPackages[[#This Row],[First labor date]]-tblWorkPackages[[#This Row],[Request date serial]]</f>
        <v>2</v>
      </c>
      <c r="AE1574" s="65">
        <f>tblWorkPackages[[#This Row],[Last labor date]]-tblWorkPackages[[#This Row],[First labor date]]</f>
        <v>0</v>
      </c>
      <c r="AF1574" s="65">
        <f>tblWorkPackages[[#This Row],[Completion date serial]]-tblWorkPackages[[#This Row],[Last labor date]]</f>
        <v>0</v>
      </c>
      <c r="AG1574" s="65">
        <f>tblWorkPackages[[#This Row],[Completion date serial]]-tblWorkPackages[[#This Row],[Request date serial]]</f>
        <v>2</v>
      </c>
      <c r="AH1574" s="65">
        <f>IFERROR(INDEX(tblParts[Delay days],MATCH(tblWorkPackages[[#This Row],[Work package ID]],tblParts[Work package ID],0)),0)</f>
        <v>0</v>
      </c>
      <c r="AI1574" s="51" t="str">
        <f>IFERROR(INDEX(tblDisruptions[Event type],MATCH(tblWorkPackages[[#This Row],[Work package ID]],tblDisruptions[Work package ID],0)),"None")</f>
        <v>None</v>
      </c>
      <c r="AJ1574" s="51" t="str">
        <f>TEXT(tblWorkPackages[[#This Row],[Due date serial]],"yyyy-mm")</f>
        <v>2025-06</v>
      </c>
    </row>
    <row r="1575" spans="1:36" ht="15" x14ac:dyDescent="0.25">
      <c r="A1575" s="53" t="s">
        <v>2483</v>
      </c>
      <c r="B1575" s="53" t="s">
        <v>230</v>
      </c>
      <c r="C1575" s="53" t="s">
        <v>296</v>
      </c>
      <c r="D1575" s="53" t="s">
        <v>265</v>
      </c>
      <c r="E1575" s="53" t="s">
        <v>242</v>
      </c>
      <c r="F1575" s="53" t="s">
        <v>243</v>
      </c>
      <c r="G1575" s="53" t="s">
        <v>129</v>
      </c>
      <c r="H1575" s="53">
        <v>4</v>
      </c>
      <c r="I1575" s="53" t="s">
        <v>130</v>
      </c>
      <c r="J1575" s="53">
        <v>0</v>
      </c>
      <c r="K1575" s="53">
        <v>0</v>
      </c>
      <c r="L1575" s="53">
        <v>15.6</v>
      </c>
      <c r="M1575" s="53" t="s">
        <v>433</v>
      </c>
      <c r="N1575" s="53">
        <v>13.8</v>
      </c>
      <c r="O1575" s="51" t="str">
        <f>TEXT(tblWorkPackages[[#This Row],[Request date serial]]-WEEKDAY(tblWorkPackages[[#This Row],[Request date serial]],3),"yyyy-mm-dd")</f>
        <v>2024-08-19</v>
      </c>
      <c r="P1575" s="51">
        <f>ABS(tblWorkPackages[[#This Row],[Actual labor hours]]-tblWorkPackages[[#This Row],[Estimated labor hours]])</f>
        <v>1.8</v>
      </c>
      <c r="Q1575" s="51">
        <f>IF(tblWorkPackages[[#This Row],[Actual labor hours]]&gt;tblWorkPackages[[#This Row],[Estimated labor hours]],1,0)</f>
        <v>0</v>
      </c>
      <c r="R1575" s="51">
        <f>tblWorkPackages[[#This Row],[Actual labor hours]]-tblWorkPackages[[#This Row],[Estimated labor hours]]</f>
        <v>-1.8</v>
      </c>
      <c r="S1575" s="51" t="str">
        <f>IF(tblWorkPackages[[#This Row],[Request date serial]]&lt;ValidationStart,"Train 2024",IF(tblWorkPackages[[#This Row],[Request date serial]]&lt;HoldoutStart,"Validation H1","Holdout H2"))</f>
        <v>Train 2024</v>
      </c>
      <c r="T1575" s="51" t="str">
        <f>IF(tblWorkPackages[[#This Row],[Time split]]="Train 2024","",tblWorkPackages[[#This Row],[Estimated labor hours]]+VLOOKUP(tblWorkPackages[[#This Row],[Task type]],'Forecast validation'!$A$14:$E$25,IF(tblWorkPackages[[#This Row],[Time split]]="Validation H1",4,5),FALSE()))</f>
        <v/>
      </c>
      <c r="U1575" s="51" t="str">
        <f>IF(tblWorkPackages[[#This Row],[Calibrated forecast hours]]="","",ABS(tblWorkPackages[[#This Row],[Actual labor hours]]-tblWorkPackages[[#This Row],[Calibrated forecast hours]]))</f>
        <v/>
      </c>
      <c r="V1575" s="51">
        <f>IF(tblWorkPackages[[#This Row],[Time split]]="Train 2024",tblWorkPackages[[#This Row],[Estimated labor hours]],tblWorkPackages[[#This Row],[Calibrated forecast hours]])</f>
        <v>15.6</v>
      </c>
      <c r="W1575" s="64">
        <f>DATEVALUE(tblWorkPackages[[#This Row],[Request date]])</f>
        <v>45523.0</v>
      </c>
      <c r="X1575" s="64">
        <f>DATEVALUE(tblWorkPackages[[#This Row],[Due date]])</f>
        <v>45536.0</v>
      </c>
      <c r="Y1575" s="64">
        <f>DATEVALUE(tblWorkPackages[[#This Row],[Completion date]])</f>
        <v>45539.0</v>
      </c>
      <c r="Z1575" s="64">
        <f>_xlfn.MINIFS(tblLaborEntries[Work date serial],tblLaborEntries[Work package ID],tblWorkPackages[[#This Row],[Work package ID]])</f>
        <v>45538.0</v>
      </c>
      <c r="AA1575" s="64">
        <f>_xlfn.MAXIFS(tblLaborEntries[Work date serial],tblLaborEntries[Work package ID],tblWorkPackages[[#This Row],[Work package ID]])</f>
        <v>45538.0</v>
      </c>
      <c r="AB1575" s="65">
        <f>IF(tblWorkPackages[[#This Row],[Completion date serial]]&gt;tblWorkPackages[[#This Row],[Due date serial]],1,0)</f>
        <v>1</v>
      </c>
      <c r="AC1575" s="65">
        <f>MAX(0,tblWorkPackages[[#This Row],[Completion date serial]]-tblWorkPackages[[#This Row],[Due date serial]])</f>
        <v>3</v>
      </c>
      <c r="AD1575" s="65">
        <f>tblWorkPackages[[#This Row],[First labor date]]-tblWorkPackages[[#This Row],[Request date serial]]</f>
        <v>15</v>
      </c>
      <c r="AE1575" s="65">
        <f>tblWorkPackages[[#This Row],[Last labor date]]-tblWorkPackages[[#This Row],[First labor date]]</f>
        <v>0</v>
      </c>
      <c r="AF1575" s="65">
        <f>tblWorkPackages[[#This Row],[Completion date serial]]-tblWorkPackages[[#This Row],[Last labor date]]</f>
        <v>1</v>
      </c>
      <c r="AG1575" s="65">
        <f>tblWorkPackages[[#This Row],[Completion date serial]]-tblWorkPackages[[#This Row],[Request date serial]]</f>
        <v>16</v>
      </c>
      <c r="AH1575" s="65">
        <f>IFERROR(INDEX(tblParts[Delay days],MATCH(tblWorkPackages[[#This Row],[Work package ID]],tblParts[Work package ID],0)),0)</f>
        <v>0</v>
      </c>
      <c r="AI1575" s="51" t="str">
        <f>IFERROR(INDEX(tblDisruptions[Event type],MATCH(tblWorkPackages[[#This Row],[Work package ID]],tblDisruptions[Work package ID],0)),"None")</f>
        <v>None</v>
      </c>
      <c r="AJ1575" s="51" t="str">
        <f>TEXT(tblWorkPackages[[#This Row],[Due date serial]],"yyyy-mm")</f>
        <v>2024-09</v>
      </c>
    </row>
    <row r="1576" spans="1:36" ht="15" x14ac:dyDescent="0.25">
      <c r="A1576" s="53" t="s">
        <v>2484</v>
      </c>
      <c r="B1576" s="53" t="s">
        <v>185</v>
      </c>
      <c r="C1576" s="53" t="s">
        <v>871</v>
      </c>
      <c r="D1576" s="53" t="s">
        <v>1446</v>
      </c>
      <c r="E1576" s="53" t="s">
        <v>181</v>
      </c>
      <c r="F1576" s="53" t="s">
        <v>182</v>
      </c>
      <c r="G1576" s="53" t="s">
        <v>138</v>
      </c>
      <c r="H1576" s="53">
        <v>4</v>
      </c>
      <c r="I1576" s="53" t="s">
        <v>130</v>
      </c>
      <c r="J1576" s="53">
        <v>0</v>
      </c>
      <c r="K1576" s="53">
        <v>0</v>
      </c>
      <c r="L1576" s="53">
        <v>16.3</v>
      </c>
      <c r="M1576" s="53" t="s">
        <v>466</v>
      </c>
      <c r="N1576" s="53">
        <v>16.600000000000001</v>
      </c>
      <c r="O1576" s="51" t="str">
        <f>TEXT(tblWorkPackages[[#This Row],[Request date serial]]-WEEKDAY(tblWorkPackages[[#This Row],[Request date serial]],3),"yyyy-mm-dd")</f>
        <v>2025-03-17</v>
      </c>
      <c r="P1576" s="51">
        <f>ABS(tblWorkPackages[[#This Row],[Actual labor hours]]-tblWorkPackages[[#This Row],[Estimated labor hours]])</f>
        <v>0.300000000000001</v>
      </c>
      <c r="Q1576" s="51">
        <f>IF(tblWorkPackages[[#This Row],[Actual labor hours]]&gt;tblWorkPackages[[#This Row],[Estimated labor hours]],1,0)</f>
        <v>1</v>
      </c>
      <c r="R1576" s="51">
        <f>tblWorkPackages[[#This Row],[Actual labor hours]]-tblWorkPackages[[#This Row],[Estimated labor hours]]</f>
        <v>0.300000000000001</v>
      </c>
      <c r="S1576" s="51" t="str">
        <f>IF(tblWorkPackages[[#This Row],[Request date serial]]&lt;ValidationStart,"Train 2024",IF(tblWorkPackages[[#This Row],[Request date serial]]&lt;HoldoutStart,"Validation H1","Holdout H2"))</f>
        <v>Validation H1</v>
      </c>
      <c r="T1576" s="51">
        <f>IF(tblWorkPackages[[#This Row],[Time split]]="Train 2024","",tblWorkPackages[[#This Row],[Estimated labor hours]]+VLOOKUP(tblWorkPackages[[#This Row],[Task type]],'Forecast validation'!$A$14:$E$25,IF(tblWorkPackages[[#This Row],[Time split]]="Validation H1",4,5),FALSE()))</f>
        <v>16.8840909090909</v>
      </c>
      <c r="U1576" s="51">
        <f>IF(tblWorkPackages[[#This Row],[Calibrated forecast hours]]="","",ABS(tblWorkPackages[[#This Row],[Actual labor hours]]-tblWorkPackages[[#This Row],[Calibrated forecast hours]]))</f>
        <v>0.28409090909091</v>
      </c>
      <c r="V1576" s="51">
        <f>IF(tblWorkPackages[[#This Row],[Time split]]="Train 2024",tblWorkPackages[[#This Row],[Estimated labor hours]],tblWorkPackages[[#This Row],[Calibrated forecast hours]])</f>
        <v>16.8840909090909</v>
      </c>
      <c r="W1576" s="64">
        <f>DATEVALUE(tblWorkPackages[[#This Row],[Request date]])</f>
        <v>45738.0</v>
      </c>
      <c r="X1576" s="64">
        <f>DATEVALUE(tblWorkPackages[[#This Row],[Due date]])</f>
        <v>45751.0</v>
      </c>
      <c r="Y1576" s="64">
        <f>DATEVALUE(tblWorkPackages[[#This Row],[Completion date]])</f>
        <v>45746.0</v>
      </c>
      <c r="Z1576" s="64">
        <f>_xlfn.MINIFS(tblLaborEntries[Work date serial],tblLaborEntries[Work package ID],tblWorkPackages[[#This Row],[Work package ID]])</f>
        <v>45742.0</v>
      </c>
      <c r="AA1576" s="64">
        <f>_xlfn.MAXIFS(tblLaborEntries[Work date serial],tblLaborEntries[Work package ID],tblWorkPackages[[#This Row],[Work package ID]])</f>
        <v>45744.0</v>
      </c>
      <c r="AB1576" s="65">
        <f>IF(tblWorkPackages[[#This Row],[Completion date serial]]&gt;tblWorkPackages[[#This Row],[Due date serial]],1,0)</f>
        <v>0</v>
      </c>
      <c r="AC1576" s="65">
        <f>MAX(0,tblWorkPackages[[#This Row],[Completion date serial]]-tblWorkPackages[[#This Row],[Due date serial]])</f>
        <v>0</v>
      </c>
      <c r="AD1576" s="65">
        <f>tblWorkPackages[[#This Row],[First labor date]]-tblWorkPackages[[#This Row],[Request date serial]]</f>
        <v>4</v>
      </c>
      <c r="AE1576" s="65">
        <f>tblWorkPackages[[#This Row],[Last labor date]]-tblWorkPackages[[#This Row],[First labor date]]</f>
        <v>2</v>
      </c>
      <c r="AF1576" s="65">
        <f>tblWorkPackages[[#This Row],[Completion date serial]]-tblWorkPackages[[#This Row],[Last labor date]]</f>
        <v>2</v>
      </c>
      <c r="AG1576" s="65">
        <f>tblWorkPackages[[#This Row],[Completion date serial]]-tblWorkPackages[[#This Row],[Request date serial]]</f>
        <v>8</v>
      </c>
      <c r="AH1576" s="65">
        <f>IFERROR(INDEX(tblParts[Delay days],MATCH(tblWorkPackages[[#This Row],[Work package ID]],tblParts[Work package ID],0)),0)</f>
        <v>0</v>
      </c>
      <c r="AI1576" s="51" t="str">
        <f>IFERROR(INDEX(tblDisruptions[Event type],MATCH(tblWorkPackages[[#This Row],[Work package ID]],tblDisruptions[Work package ID],0)),"None")</f>
        <v>None</v>
      </c>
      <c r="AJ1576" s="51" t="str">
        <f>TEXT(tblWorkPackages[[#This Row],[Due date serial]],"yyyy-mm")</f>
        <v>2025-04</v>
      </c>
    </row>
    <row r="1577" spans="1:36" ht="15" x14ac:dyDescent="0.25">
      <c r="A1577" s="53" t="s">
        <v>2485</v>
      </c>
      <c r="B1577" s="53" t="s">
        <v>185</v>
      </c>
      <c r="C1577" s="53" t="s">
        <v>856</v>
      </c>
      <c r="D1577" s="53" t="s">
        <v>1014</v>
      </c>
      <c r="E1577" s="53" t="s">
        <v>127</v>
      </c>
      <c r="F1577" s="53" t="s">
        <v>128</v>
      </c>
      <c r="G1577" s="53" t="s">
        <v>129</v>
      </c>
      <c r="H1577" s="53">
        <v>1</v>
      </c>
      <c r="I1577" s="53" t="s">
        <v>130</v>
      </c>
      <c r="J1577" s="53">
        <v>0</v>
      </c>
      <c r="K1577" s="53">
        <v>0</v>
      </c>
      <c r="L1577" s="53">
        <v>4.7</v>
      </c>
      <c r="M1577" s="53" t="s">
        <v>849</v>
      </c>
      <c r="N1577" s="53">
        <v>5.7</v>
      </c>
      <c r="O1577" s="51" t="str">
        <f>TEXT(tblWorkPackages[[#This Row],[Request date serial]]-WEEKDAY(tblWorkPackages[[#This Row],[Request date serial]],3),"yyyy-mm-dd")</f>
        <v>2025-12-22</v>
      </c>
      <c r="P1577" s="51">
        <f>ABS(tblWorkPackages[[#This Row],[Actual labor hours]]-tblWorkPackages[[#This Row],[Estimated labor hours]])</f>
        <v>1</v>
      </c>
      <c r="Q1577" s="51">
        <f>IF(tblWorkPackages[[#This Row],[Actual labor hours]]&gt;tblWorkPackages[[#This Row],[Estimated labor hours]],1,0)</f>
        <v>1</v>
      </c>
      <c r="R1577" s="51">
        <f>tblWorkPackages[[#This Row],[Actual labor hours]]-tblWorkPackages[[#This Row],[Estimated labor hours]]</f>
        <v>1</v>
      </c>
      <c r="S1577" s="51" t="str">
        <f>IF(tblWorkPackages[[#This Row],[Request date serial]]&lt;ValidationStart,"Train 2024",IF(tblWorkPackages[[#This Row],[Request date serial]]&lt;HoldoutStart,"Validation H1","Holdout H2"))</f>
        <v>Holdout H2</v>
      </c>
      <c r="T1577" s="51">
        <f>IF(tblWorkPackages[[#This Row],[Time split]]="Train 2024","",tblWorkPackages[[#This Row],[Estimated labor hours]]+VLOOKUP(tblWorkPackages[[#This Row],[Task type]],'Forecast validation'!$A$14:$E$25,IF(tblWorkPackages[[#This Row],[Time split]]="Validation H1",4,5),FALSE()))</f>
        <v>5.24341085271318</v>
      </c>
      <c r="U1577" s="51">
        <f>IF(tblWorkPackages[[#This Row],[Calibrated forecast hours]]="","",ABS(tblWorkPackages[[#This Row],[Actual labor hours]]-tblWorkPackages[[#This Row],[Calibrated forecast hours]]))</f>
        <v>0.456589147286822</v>
      </c>
      <c r="V1577" s="51">
        <f>IF(tblWorkPackages[[#This Row],[Time split]]="Train 2024",tblWorkPackages[[#This Row],[Estimated labor hours]],tblWorkPackages[[#This Row],[Calibrated forecast hours]])</f>
        <v>5.24341085271318</v>
      </c>
      <c r="W1577" s="64">
        <f>DATEVALUE(tblWorkPackages[[#This Row],[Request date]])</f>
        <v>46014.0</v>
      </c>
      <c r="X1577" s="64">
        <f>DATEVALUE(tblWorkPackages[[#This Row],[Due date]])</f>
        <v>46027.0</v>
      </c>
      <c r="Y1577" s="64">
        <f>DATEVALUE(tblWorkPackages[[#This Row],[Completion date]])</f>
        <v>46019.0</v>
      </c>
      <c r="Z1577" s="64">
        <f>_xlfn.MINIFS(tblLaborEntries[Work date serial],tblLaborEntries[Work package ID],tblWorkPackages[[#This Row],[Work package ID]])</f>
        <v>46015.0</v>
      </c>
      <c r="AA1577" s="64">
        <f>_xlfn.MAXIFS(tblLaborEntries[Work date serial],tblLaborEntries[Work package ID],tblWorkPackages[[#This Row],[Work package ID]])</f>
        <v>46016.0</v>
      </c>
      <c r="AB1577" s="65">
        <f>IF(tblWorkPackages[[#This Row],[Completion date serial]]&gt;tblWorkPackages[[#This Row],[Due date serial]],1,0)</f>
        <v>0</v>
      </c>
      <c r="AC1577" s="65">
        <f>MAX(0,tblWorkPackages[[#This Row],[Completion date serial]]-tblWorkPackages[[#This Row],[Due date serial]])</f>
        <v>0</v>
      </c>
      <c r="AD1577" s="65">
        <f>tblWorkPackages[[#This Row],[First labor date]]-tblWorkPackages[[#This Row],[Request date serial]]</f>
        <v>1</v>
      </c>
      <c r="AE1577" s="65">
        <f>tblWorkPackages[[#This Row],[Last labor date]]-tblWorkPackages[[#This Row],[First labor date]]</f>
        <v>1</v>
      </c>
      <c r="AF1577" s="65">
        <f>tblWorkPackages[[#This Row],[Completion date serial]]-tblWorkPackages[[#This Row],[Last labor date]]</f>
        <v>3</v>
      </c>
      <c r="AG1577" s="65">
        <f>tblWorkPackages[[#This Row],[Completion date serial]]-tblWorkPackages[[#This Row],[Request date serial]]</f>
        <v>5</v>
      </c>
      <c r="AH1577" s="65">
        <f>IFERROR(INDEX(tblParts[Delay days],MATCH(tblWorkPackages[[#This Row],[Work package ID]],tblParts[Work package ID],0)),0)</f>
        <v>0</v>
      </c>
      <c r="AI1577" s="51" t="str">
        <f>IFERROR(INDEX(tblDisruptions[Event type],MATCH(tblWorkPackages[[#This Row],[Work package ID]],tblDisruptions[Work package ID],0)),"None")</f>
        <v>None</v>
      </c>
      <c r="AJ1577" s="51" t="str">
        <f>TEXT(tblWorkPackages[[#This Row],[Due date serial]],"yyyy-mm")</f>
        <v>2026-01</v>
      </c>
    </row>
    <row r="1578" spans="1:36" ht="15" x14ac:dyDescent="0.25">
      <c r="A1578" s="53" t="s">
        <v>2486</v>
      </c>
      <c r="B1578" s="53" t="s">
        <v>124</v>
      </c>
      <c r="C1578" s="53" t="s">
        <v>265</v>
      </c>
      <c r="D1578" s="53" t="s">
        <v>846</v>
      </c>
      <c r="E1578" s="53" t="s">
        <v>223</v>
      </c>
      <c r="F1578" s="53" t="s">
        <v>182</v>
      </c>
      <c r="G1578" s="53" t="s">
        <v>154</v>
      </c>
      <c r="H1578" s="53">
        <v>1</v>
      </c>
      <c r="I1578" s="53" t="s">
        <v>176</v>
      </c>
      <c r="J1578" s="53">
        <v>0</v>
      </c>
      <c r="K1578" s="53">
        <v>0</v>
      </c>
      <c r="L1578" s="53">
        <v>7.5</v>
      </c>
      <c r="M1578" s="53" t="s">
        <v>874</v>
      </c>
      <c r="N1578" s="53">
        <v>8.5</v>
      </c>
      <c r="O1578" s="51" t="str">
        <f>TEXT(tblWorkPackages[[#This Row],[Request date serial]]-WEEKDAY(tblWorkPackages[[#This Row],[Request date serial]],3),"yyyy-mm-dd")</f>
        <v>2024-08-26</v>
      </c>
      <c r="P1578" s="51">
        <f>ABS(tblWorkPackages[[#This Row],[Actual labor hours]]-tblWorkPackages[[#This Row],[Estimated labor hours]])</f>
        <v>1</v>
      </c>
      <c r="Q1578" s="51">
        <f>IF(tblWorkPackages[[#This Row],[Actual labor hours]]&gt;tblWorkPackages[[#This Row],[Estimated labor hours]],1,0)</f>
        <v>1</v>
      </c>
      <c r="R1578" s="51">
        <f>tblWorkPackages[[#This Row],[Actual labor hours]]-tblWorkPackages[[#This Row],[Estimated labor hours]]</f>
        <v>1</v>
      </c>
      <c r="S1578" s="51" t="str">
        <f>IF(tblWorkPackages[[#This Row],[Request date serial]]&lt;ValidationStart,"Train 2024",IF(tblWorkPackages[[#This Row],[Request date serial]]&lt;HoldoutStart,"Validation H1","Holdout H2"))</f>
        <v>Train 2024</v>
      </c>
      <c r="T1578" s="51" t="str">
        <f>IF(tblWorkPackages[[#This Row],[Time split]]="Train 2024","",tblWorkPackages[[#This Row],[Estimated labor hours]]+VLOOKUP(tblWorkPackages[[#This Row],[Task type]],'Forecast validation'!$A$14:$E$25,IF(tblWorkPackages[[#This Row],[Time split]]="Validation H1",4,5),FALSE()))</f>
        <v/>
      </c>
      <c r="U1578" s="51" t="str">
        <f>IF(tblWorkPackages[[#This Row],[Calibrated forecast hours]]="","",ABS(tblWorkPackages[[#This Row],[Actual labor hours]]-tblWorkPackages[[#This Row],[Calibrated forecast hours]]))</f>
        <v/>
      </c>
      <c r="V1578" s="51">
        <f>IF(tblWorkPackages[[#This Row],[Time split]]="Train 2024",tblWorkPackages[[#This Row],[Estimated labor hours]],tblWorkPackages[[#This Row],[Calibrated forecast hours]])</f>
        <v>7.5</v>
      </c>
      <c r="W1578" s="64">
        <f>DATEVALUE(tblWorkPackages[[#This Row],[Request date]])</f>
        <v>45536.0</v>
      </c>
      <c r="X1578" s="64">
        <f>DATEVALUE(tblWorkPackages[[#This Row],[Due date]])</f>
        <v>45542.0</v>
      </c>
      <c r="Y1578" s="64">
        <f>DATEVALUE(tblWorkPackages[[#This Row],[Completion date]])</f>
        <v>45548.0</v>
      </c>
      <c r="Z1578" s="64">
        <f>_xlfn.MINIFS(tblLaborEntries[Work date serial],tblLaborEntries[Work package ID],tblWorkPackages[[#This Row],[Work package ID]])</f>
        <v>45546.0</v>
      </c>
      <c r="AA1578" s="64">
        <f>_xlfn.MAXIFS(tblLaborEntries[Work date serial],tblLaborEntries[Work package ID],tblWorkPackages[[#This Row],[Work package ID]])</f>
        <v>45548.0</v>
      </c>
      <c r="AB1578" s="65">
        <f>IF(tblWorkPackages[[#This Row],[Completion date serial]]&gt;tblWorkPackages[[#This Row],[Due date serial]],1,0)</f>
        <v>1</v>
      </c>
      <c r="AC1578" s="65">
        <f>MAX(0,tblWorkPackages[[#This Row],[Completion date serial]]-tblWorkPackages[[#This Row],[Due date serial]])</f>
        <v>6</v>
      </c>
      <c r="AD1578" s="65">
        <f>tblWorkPackages[[#This Row],[First labor date]]-tblWorkPackages[[#This Row],[Request date serial]]</f>
        <v>10</v>
      </c>
      <c r="AE1578" s="65">
        <f>tblWorkPackages[[#This Row],[Last labor date]]-tblWorkPackages[[#This Row],[First labor date]]</f>
        <v>2</v>
      </c>
      <c r="AF1578" s="65">
        <f>tblWorkPackages[[#This Row],[Completion date serial]]-tblWorkPackages[[#This Row],[Last labor date]]</f>
        <v>0</v>
      </c>
      <c r="AG1578" s="65">
        <f>tblWorkPackages[[#This Row],[Completion date serial]]-tblWorkPackages[[#This Row],[Request date serial]]</f>
        <v>12</v>
      </c>
      <c r="AH1578" s="65">
        <f>IFERROR(INDEX(tblParts[Delay days],MATCH(tblWorkPackages[[#This Row],[Work package ID]],tblParts[Work package ID],0)),0)</f>
        <v>0</v>
      </c>
      <c r="AI1578" s="51" t="str">
        <f>IFERROR(INDEX(tblDisruptions[Event type],MATCH(tblWorkPackages[[#This Row],[Work package ID]],tblDisruptions[Work package ID],0)),"None")</f>
        <v>None</v>
      </c>
      <c r="AJ1578" s="51" t="str">
        <f>TEXT(tblWorkPackages[[#This Row],[Due date serial]],"yyyy-mm")</f>
        <v>2024-09</v>
      </c>
    </row>
    <row r="1579" spans="1:36" ht="15" x14ac:dyDescent="0.25">
      <c r="A1579" s="53" t="s">
        <v>2487</v>
      </c>
      <c r="B1579" s="53" t="s">
        <v>141</v>
      </c>
      <c r="C1579" s="53" t="s">
        <v>1627</v>
      </c>
      <c r="D1579" s="53" t="s">
        <v>413</v>
      </c>
      <c r="E1579" s="53" t="s">
        <v>237</v>
      </c>
      <c r="F1579" s="53" t="s">
        <v>182</v>
      </c>
      <c r="G1579" s="53" t="s">
        <v>138</v>
      </c>
      <c r="H1579" s="53">
        <v>4</v>
      </c>
      <c r="I1579" s="53" t="s">
        <v>130</v>
      </c>
      <c r="J1579" s="53">
        <v>0</v>
      </c>
      <c r="K1579" s="53">
        <v>1</v>
      </c>
      <c r="L1579" s="53">
        <v>10.1</v>
      </c>
      <c r="M1579" s="53" t="s">
        <v>291</v>
      </c>
      <c r="N1579" s="53">
        <v>11.7</v>
      </c>
      <c r="O1579" s="51" t="str">
        <f>TEXT(tblWorkPackages[[#This Row],[Request date serial]]-WEEKDAY(tblWorkPackages[[#This Row],[Request date serial]],3),"yyyy-mm-dd")</f>
        <v>2025-02-10</v>
      </c>
      <c r="P1579" s="51">
        <f>ABS(tblWorkPackages[[#This Row],[Actual labor hours]]-tblWorkPackages[[#This Row],[Estimated labor hours]])</f>
        <v>1.6</v>
      </c>
      <c r="Q1579" s="51">
        <f>IF(tblWorkPackages[[#This Row],[Actual labor hours]]&gt;tblWorkPackages[[#This Row],[Estimated labor hours]],1,0)</f>
        <v>1</v>
      </c>
      <c r="R1579" s="51">
        <f>tblWorkPackages[[#This Row],[Actual labor hours]]-tblWorkPackages[[#This Row],[Estimated labor hours]]</f>
        <v>1.6</v>
      </c>
      <c r="S1579" s="51" t="str">
        <f>IF(tblWorkPackages[[#This Row],[Request date serial]]&lt;ValidationStart,"Train 2024",IF(tblWorkPackages[[#This Row],[Request date serial]]&lt;HoldoutStart,"Validation H1","Holdout H2"))</f>
        <v>Validation H1</v>
      </c>
      <c r="T1579" s="51">
        <f>IF(tblWorkPackages[[#This Row],[Time split]]="Train 2024","",tblWorkPackages[[#This Row],[Estimated labor hours]]+VLOOKUP(tblWorkPackages[[#This Row],[Task type]],'Forecast validation'!$A$14:$E$25,IF(tblWorkPackages[[#This Row],[Time split]]="Validation H1",4,5),FALSE()))</f>
        <v>10.6037037037037</v>
      </c>
      <c r="U1579" s="51">
        <f>IF(tblWorkPackages[[#This Row],[Calibrated forecast hours]]="","",ABS(tblWorkPackages[[#This Row],[Actual labor hours]]-tblWorkPackages[[#This Row],[Calibrated forecast hours]]))</f>
        <v>1.0962962962963</v>
      </c>
      <c r="V1579" s="51">
        <f>IF(tblWorkPackages[[#This Row],[Time split]]="Train 2024",tblWorkPackages[[#This Row],[Estimated labor hours]],tblWorkPackages[[#This Row],[Calibrated forecast hours]])</f>
        <v>10.6037037037037</v>
      </c>
      <c r="W1579" s="64">
        <f>DATEVALUE(tblWorkPackages[[#This Row],[Request date]])</f>
        <v>45704.0</v>
      </c>
      <c r="X1579" s="64">
        <f>DATEVALUE(tblWorkPackages[[#This Row],[Due date]])</f>
        <v>45717.0</v>
      </c>
      <c r="Y1579" s="64">
        <f>DATEVALUE(tblWorkPackages[[#This Row],[Completion date]])</f>
        <v>45709.0</v>
      </c>
      <c r="Z1579" s="64">
        <f>_xlfn.MINIFS(tblLaborEntries[Work date serial],tblLaborEntries[Work package ID],tblWorkPackages[[#This Row],[Work package ID]])</f>
        <v>45707.0</v>
      </c>
      <c r="AA1579" s="64">
        <f>_xlfn.MAXIFS(tblLaborEntries[Work date serial],tblLaborEntries[Work package ID],tblWorkPackages[[#This Row],[Work package ID]])</f>
        <v>45708.0</v>
      </c>
      <c r="AB1579" s="65">
        <f>IF(tblWorkPackages[[#This Row],[Completion date serial]]&gt;tblWorkPackages[[#This Row],[Due date serial]],1,0)</f>
        <v>0</v>
      </c>
      <c r="AC1579" s="65">
        <f>MAX(0,tblWorkPackages[[#This Row],[Completion date serial]]-tblWorkPackages[[#This Row],[Due date serial]])</f>
        <v>0</v>
      </c>
      <c r="AD1579" s="65">
        <f>tblWorkPackages[[#This Row],[First labor date]]-tblWorkPackages[[#This Row],[Request date serial]]</f>
        <v>3</v>
      </c>
      <c r="AE1579" s="65">
        <f>tblWorkPackages[[#This Row],[Last labor date]]-tblWorkPackages[[#This Row],[First labor date]]</f>
        <v>1</v>
      </c>
      <c r="AF1579" s="65">
        <f>tblWorkPackages[[#This Row],[Completion date serial]]-tblWorkPackages[[#This Row],[Last labor date]]</f>
        <v>1</v>
      </c>
      <c r="AG1579" s="65">
        <f>tblWorkPackages[[#This Row],[Completion date serial]]-tblWorkPackages[[#This Row],[Request date serial]]</f>
        <v>5</v>
      </c>
      <c r="AH1579" s="65">
        <f>IFERROR(INDEX(tblParts[Delay days],MATCH(tblWorkPackages[[#This Row],[Work package ID]],tblParts[Work package ID],0)),0)</f>
        <v>0</v>
      </c>
      <c r="AI1579" s="51" t="str">
        <f>IFERROR(INDEX(tblDisruptions[Event type],MATCH(tblWorkPackages[[#This Row],[Work package ID]],tblDisruptions[Work package ID],0)),"None")</f>
        <v>None</v>
      </c>
      <c r="AJ1579" s="51" t="str">
        <f>TEXT(tblWorkPackages[[#This Row],[Due date serial]],"yyyy-mm")</f>
        <v>2025-03</v>
      </c>
    </row>
    <row r="1580" spans="1:36" ht="15" x14ac:dyDescent="0.25">
      <c r="A1580" s="53" t="s">
        <v>2488</v>
      </c>
      <c r="B1580" s="53" t="s">
        <v>141</v>
      </c>
      <c r="C1580" s="53" t="s">
        <v>1072</v>
      </c>
      <c r="D1580" s="53" t="s">
        <v>255</v>
      </c>
      <c r="E1580" s="53" t="s">
        <v>223</v>
      </c>
      <c r="F1580" s="53" t="s">
        <v>182</v>
      </c>
      <c r="G1580" s="53" t="s">
        <v>154</v>
      </c>
      <c r="H1580" s="53">
        <v>3</v>
      </c>
      <c r="I1580" s="53" t="s">
        <v>147</v>
      </c>
      <c r="J1580" s="53">
        <v>0</v>
      </c>
      <c r="K1580" s="53">
        <v>0</v>
      </c>
      <c r="L1580" s="53">
        <v>15.7</v>
      </c>
      <c r="M1580" s="53" t="s">
        <v>1682</v>
      </c>
      <c r="N1580" s="53">
        <v>14.2</v>
      </c>
      <c r="O1580" s="51" t="str">
        <f>TEXT(tblWorkPackages[[#This Row],[Request date serial]]-WEEKDAY(tblWorkPackages[[#This Row],[Request date serial]],3),"yyyy-mm-dd")</f>
        <v>2024-12-02</v>
      </c>
      <c r="P1580" s="51">
        <f>ABS(tblWorkPackages[[#This Row],[Actual labor hours]]-tblWorkPackages[[#This Row],[Estimated labor hours]])</f>
        <v>1.5</v>
      </c>
      <c r="Q1580" s="51">
        <f>IF(tblWorkPackages[[#This Row],[Actual labor hours]]&gt;tblWorkPackages[[#This Row],[Estimated labor hours]],1,0)</f>
        <v>0</v>
      </c>
      <c r="R1580" s="51">
        <f>tblWorkPackages[[#This Row],[Actual labor hours]]-tblWorkPackages[[#This Row],[Estimated labor hours]]</f>
        <v>-1.5</v>
      </c>
      <c r="S1580" s="51" t="str">
        <f>IF(tblWorkPackages[[#This Row],[Request date serial]]&lt;ValidationStart,"Train 2024",IF(tblWorkPackages[[#This Row],[Request date serial]]&lt;HoldoutStart,"Validation H1","Holdout H2"))</f>
        <v>Train 2024</v>
      </c>
      <c r="T1580" s="51" t="str">
        <f>IF(tblWorkPackages[[#This Row],[Time split]]="Train 2024","",tblWorkPackages[[#This Row],[Estimated labor hours]]+VLOOKUP(tblWorkPackages[[#This Row],[Task type]],'Forecast validation'!$A$14:$E$25,IF(tblWorkPackages[[#This Row],[Time split]]="Validation H1",4,5),FALSE()))</f>
        <v/>
      </c>
      <c r="U1580" s="51" t="str">
        <f>IF(tblWorkPackages[[#This Row],[Calibrated forecast hours]]="","",ABS(tblWorkPackages[[#This Row],[Actual labor hours]]-tblWorkPackages[[#This Row],[Calibrated forecast hours]]))</f>
        <v/>
      </c>
      <c r="V1580" s="51">
        <f>IF(tblWorkPackages[[#This Row],[Time split]]="Train 2024",tblWorkPackages[[#This Row],[Estimated labor hours]],tblWorkPackages[[#This Row],[Calibrated forecast hours]])</f>
        <v>15.7</v>
      </c>
      <c r="W1580" s="64">
        <f>DATEVALUE(tblWorkPackages[[#This Row],[Request date]])</f>
        <v>45630.0</v>
      </c>
      <c r="X1580" s="64">
        <f>DATEVALUE(tblWorkPackages[[#This Row],[Due date]])</f>
        <v>45632.0</v>
      </c>
      <c r="Y1580" s="64">
        <f>DATEVALUE(tblWorkPackages[[#This Row],[Completion date]])</f>
        <v>45660.0</v>
      </c>
      <c r="Z1580" s="64">
        <f>_xlfn.MINIFS(tblLaborEntries[Work date serial],tblLaborEntries[Work package ID],tblWorkPackages[[#This Row],[Work package ID]])</f>
        <v>45656.0</v>
      </c>
      <c r="AA1580" s="64">
        <f>_xlfn.MAXIFS(tblLaborEntries[Work date serial],tblLaborEntries[Work package ID],tblWorkPackages[[#This Row],[Work package ID]])</f>
        <v>45658.0</v>
      </c>
      <c r="AB1580" s="65">
        <f>IF(tblWorkPackages[[#This Row],[Completion date serial]]&gt;tblWorkPackages[[#This Row],[Due date serial]],1,0)</f>
        <v>1</v>
      </c>
      <c r="AC1580" s="65">
        <f>MAX(0,tblWorkPackages[[#This Row],[Completion date serial]]-tblWorkPackages[[#This Row],[Due date serial]])</f>
        <v>28</v>
      </c>
      <c r="AD1580" s="65">
        <f>tblWorkPackages[[#This Row],[First labor date]]-tblWorkPackages[[#This Row],[Request date serial]]</f>
        <v>26</v>
      </c>
      <c r="AE1580" s="65">
        <f>tblWorkPackages[[#This Row],[Last labor date]]-tblWorkPackages[[#This Row],[First labor date]]</f>
        <v>2</v>
      </c>
      <c r="AF1580" s="65">
        <f>tblWorkPackages[[#This Row],[Completion date serial]]-tblWorkPackages[[#This Row],[Last labor date]]</f>
        <v>2</v>
      </c>
      <c r="AG1580" s="65">
        <f>tblWorkPackages[[#This Row],[Completion date serial]]-tblWorkPackages[[#This Row],[Request date serial]]</f>
        <v>30</v>
      </c>
      <c r="AH1580" s="65">
        <f>IFERROR(INDEX(tblParts[Delay days],MATCH(tblWorkPackages[[#This Row],[Work package ID]],tblParts[Work package ID],0)),0)</f>
        <v>0</v>
      </c>
      <c r="AI1580" s="51" t="str">
        <f>IFERROR(INDEX(tblDisruptions[Event type],MATCH(tblWorkPackages[[#This Row],[Work package ID]],tblDisruptions[Work package ID],0)),"None")</f>
        <v>None</v>
      </c>
      <c r="AJ1580" s="51" t="str">
        <f>TEXT(tblWorkPackages[[#This Row],[Due date serial]],"yyyy-mm")</f>
        <v>2024-12</v>
      </c>
    </row>
    <row r="1581" spans="1:36" ht="15" x14ac:dyDescent="0.25">
      <c r="A1581" s="53" t="s">
        <v>2489</v>
      </c>
      <c r="B1581" s="53" t="s">
        <v>250</v>
      </c>
      <c r="C1581" s="53" t="s">
        <v>1620</v>
      </c>
      <c r="D1581" s="53" t="s">
        <v>1480</v>
      </c>
      <c r="E1581" s="53" t="s">
        <v>153</v>
      </c>
      <c r="F1581" s="53" t="s">
        <v>128</v>
      </c>
      <c r="G1581" s="53" t="s">
        <v>154</v>
      </c>
      <c r="H1581" s="53">
        <v>2</v>
      </c>
      <c r="I1581" s="53" t="s">
        <v>130</v>
      </c>
      <c r="J1581" s="53">
        <v>0</v>
      </c>
      <c r="K1581" s="53">
        <v>0</v>
      </c>
      <c r="L1581" s="53">
        <v>10.4</v>
      </c>
      <c r="M1581" s="53" t="s">
        <v>270</v>
      </c>
      <c r="N1581" s="53">
        <v>13</v>
      </c>
      <c r="O1581" s="51" t="str">
        <f>TEXT(tblWorkPackages[[#This Row],[Request date serial]]-WEEKDAY(tblWorkPackages[[#This Row],[Request date serial]],3),"yyyy-mm-dd")</f>
        <v>2025-03-24</v>
      </c>
      <c r="P1581" s="51">
        <f>ABS(tblWorkPackages[[#This Row],[Actual labor hours]]-tblWorkPackages[[#This Row],[Estimated labor hours]])</f>
        <v>2.6</v>
      </c>
      <c r="Q1581" s="51">
        <f>IF(tblWorkPackages[[#This Row],[Actual labor hours]]&gt;tblWorkPackages[[#This Row],[Estimated labor hours]],1,0)</f>
        <v>1</v>
      </c>
      <c r="R1581" s="51">
        <f>tblWorkPackages[[#This Row],[Actual labor hours]]-tblWorkPackages[[#This Row],[Estimated labor hours]]</f>
        <v>2.6</v>
      </c>
      <c r="S1581" s="51" t="str">
        <f>IF(tblWorkPackages[[#This Row],[Request date serial]]&lt;ValidationStart,"Train 2024",IF(tblWorkPackages[[#This Row],[Request date serial]]&lt;HoldoutStart,"Validation H1","Holdout H2"))</f>
        <v>Validation H1</v>
      </c>
      <c r="T1581" s="51">
        <f>IF(tblWorkPackages[[#This Row],[Time split]]="Train 2024","",tblWorkPackages[[#This Row],[Estimated labor hours]]+VLOOKUP(tblWorkPackages[[#This Row],[Task type]],'Forecast validation'!$A$14:$E$25,IF(tblWorkPackages[[#This Row],[Time split]]="Validation H1",4,5),FALSE()))</f>
        <v>10.9462264150943</v>
      </c>
      <c r="U1581" s="51">
        <f>IF(tblWorkPackages[[#This Row],[Calibrated forecast hours]]="","",ABS(tblWorkPackages[[#This Row],[Actual labor hours]]-tblWorkPackages[[#This Row],[Calibrated forecast hours]]))</f>
        <v>2.05377358490566</v>
      </c>
      <c r="V1581" s="51">
        <f>IF(tblWorkPackages[[#This Row],[Time split]]="Train 2024",tblWorkPackages[[#This Row],[Estimated labor hours]],tblWorkPackages[[#This Row],[Calibrated forecast hours]])</f>
        <v>10.9462264150943</v>
      </c>
      <c r="W1581" s="64">
        <f>DATEVALUE(tblWorkPackages[[#This Row],[Request date]])</f>
        <v>45741.0</v>
      </c>
      <c r="X1581" s="64">
        <f>DATEVALUE(tblWorkPackages[[#This Row],[Due date]])</f>
        <v>45754.0</v>
      </c>
      <c r="Y1581" s="64">
        <f>DATEVALUE(tblWorkPackages[[#This Row],[Completion date]])</f>
        <v>45748.0</v>
      </c>
      <c r="Z1581" s="64">
        <f>_xlfn.MINIFS(tblLaborEntries[Work date serial],tblLaborEntries[Work package ID],tblWorkPackages[[#This Row],[Work package ID]])</f>
        <v>45745.0</v>
      </c>
      <c r="AA1581" s="64">
        <f>_xlfn.MAXIFS(tblLaborEntries[Work date serial],tblLaborEntries[Work package ID],tblWorkPackages[[#This Row],[Work package ID]])</f>
        <v>45745.0</v>
      </c>
      <c r="AB1581" s="65">
        <f>IF(tblWorkPackages[[#This Row],[Completion date serial]]&gt;tblWorkPackages[[#This Row],[Due date serial]],1,0)</f>
        <v>0</v>
      </c>
      <c r="AC1581" s="65">
        <f>MAX(0,tblWorkPackages[[#This Row],[Completion date serial]]-tblWorkPackages[[#This Row],[Due date serial]])</f>
        <v>0</v>
      </c>
      <c r="AD1581" s="65">
        <f>tblWorkPackages[[#This Row],[First labor date]]-tblWorkPackages[[#This Row],[Request date serial]]</f>
        <v>4</v>
      </c>
      <c r="AE1581" s="65">
        <f>tblWorkPackages[[#This Row],[Last labor date]]-tblWorkPackages[[#This Row],[First labor date]]</f>
        <v>0</v>
      </c>
      <c r="AF1581" s="65">
        <f>tblWorkPackages[[#This Row],[Completion date serial]]-tblWorkPackages[[#This Row],[Last labor date]]</f>
        <v>3</v>
      </c>
      <c r="AG1581" s="65">
        <f>tblWorkPackages[[#This Row],[Completion date serial]]-tblWorkPackages[[#This Row],[Request date serial]]</f>
        <v>7</v>
      </c>
      <c r="AH1581" s="65">
        <f>IFERROR(INDEX(tblParts[Delay days],MATCH(tblWorkPackages[[#This Row],[Work package ID]],tblParts[Work package ID],0)),0)</f>
        <v>0</v>
      </c>
      <c r="AI1581" s="51" t="str">
        <f>IFERROR(INDEX(tblDisruptions[Event type],MATCH(tblWorkPackages[[#This Row],[Work package ID]],tblDisruptions[Work package ID],0)),"None")</f>
        <v>None</v>
      </c>
      <c r="AJ1581" s="51" t="str">
        <f>TEXT(tblWorkPackages[[#This Row],[Due date serial]],"yyyy-mm")</f>
        <v>2025-04</v>
      </c>
    </row>
    <row r="1582" spans="1:36" ht="15" x14ac:dyDescent="0.25">
      <c r="A1582" s="53" t="s">
        <v>2490</v>
      </c>
      <c r="B1582" s="53" t="s">
        <v>141</v>
      </c>
      <c r="C1582" s="53" t="s">
        <v>311</v>
      </c>
      <c r="D1582" s="53" t="s">
        <v>492</v>
      </c>
      <c r="E1582" s="53" t="s">
        <v>153</v>
      </c>
      <c r="F1582" s="53" t="s">
        <v>128</v>
      </c>
      <c r="G1582" s="53" t="s">
        <v>154</v>
      </c>
      <c r="H1582" s="53">
        <v>4</v>
      </c>
      <c r="I1582" s="53" t="s">
        <v>130</v>
      </c>
      <c r="J1582" s="53">
        <v>0</v>
      </c>
      <c r="K1582" s="53">
        <v>1</v>
      </c>
      <c r="L1582" s="53">
        <v>16.3</v>
      </c>
      <c r="M1582" s="53" t="s">
        <v>211</v>
      </c>
      <c r="N1582" s="53">
        <v>14</v>
      </c>
      <c r="O1582" s="51" t="str">
        <f>TEXT(tblWorkPackages[[#This Row],[Request date serial]]-WEEKDAY(tblWorkPackages[[#This Row],[Request date serial]],3),"yyyy-mm-dd")</f>
        <v>2025-08-11</v>
      </c>
      <c r="P1582" s="51">
        <f>ABS(tblWorkPackages[[#This Row],[Actual labor hours]]-tblWorkPackages[[#This Row],[Estimated labor hours]])</f>
        <v>2.3</v>
      </c>
      <c r="Q1582" s="51">
        <f>IF(tblWorkPackages[[#This Row],[Actual labor hours]]&gt;tblWorkPackages[[#This Row],[Estimated labor hours]],1,0)</f>
        <v>0</v>
      </c>
      <c r="R1582" s="51">
        <f>tblWorkPackages[[#This Row],[Actual labor hours]]-tblWorkPackages[[#This Row],[Estimated labor hours]]</f>
        <v>-2.3</v>
      </c>
      <c r="S1582" s="51" t="str">
        <f>IF(tblWorkPackages[[#This Row],[Request date serial]]&lt;ValidationStart,"Train 2024",IF(tblWorkPackages[[#This Row],[Request date serial]]&lt;HoldoutStart,"Validation H1","Holdout H2"))</f>
        <v>Holdout H2</v>
      </c>
      <c r="T1582" s="51">
        <f>IF(tblWorkPackages[[#This Row],[Time split]]="Train 2024","",tblWorkPackages[[#This Row],[Estimated labor hours]]+VLOOKUP(tblWorkPackages[[#This Row],[Task type]],'Forecast validation'!$A$14:$E$25,IF(tblWorkPackages[[#This Row],[Time split]]="Validation H1",4,5),FALSE()))</f>
        <v>16.9026666666667</v>
      </c>
      <c r="U1582" s="51">
        <f>IF(tblWorkPackages[[#This Row],[Calibrated forecast hours]]="","",ABS(tblWorkPackages[[#This Row],[Actual labor hours]]-tblWorkPackages[[#This Row],[Calibrated forecast hours]]))</f>
        <v>2.90266666666667</v>
      </c>
      <c r="V1582" s="51">
        <f>IF(tblWorkPackages[[#This Row],[Time split]]="Train 2024",tblWorkPackages[[#This Row],[Estimated labor hours]],tblWorkPackages[[#This Row],[Calibrated forecast hours]])</f>
        <v>16.9026666666667</v>
      </c>
      <c r="W1582" s="64">
        <f>DATEVALUE(tblWorkPackages[[#This Row],[Request date]])</f>
        <v>45881.0</v>
      </c>
      <c r="X1582" s="64">
        <f>DATEVALUE(tblWorkPackages[[#This Row],[Due date]])</f>
        <v>45894.0</v>
      </c>
      <c r="Y1582" s="64">
        <f>DATEVALUE(tblWorkPackages[[#This Row],[Completion date]])</f>
        <v>45882.0</v>
      </c>
      <c r="Z1582" s="64">
        <f>_xlfn.MINIFS(tblLaborEntries[Work date serial],tblLaborEntries[Work package ID],tblWorkPackages[[#This Row],[Work package ID]])</f>
        <v>45882.0</v>
      </c>
      <c r="AA1582" s="64">
        <f>_xlfn.MAXIFS(tblLaborEntries[Work date serial],tblLaborEntries[Work package ID],tblWorkPackages[[#This Row],[Work package ID]])</f>
        <v>45882.0</v>
      </c>
      <c r="AB1582" s="65">
        <f>IF(tblWorkPackages[[#This Row],[Completion date serial]]&gt;tblWorkPackages[[#This Row],[Due date serial]],1,0)</f>
        <v>0</v>
      </c>
      <c r="AC1582" s="65">
        <f>MAX(0,tblWorkPackages[[#This Row],[Completion date serial]]-tblWorkPackages[[#This Row],[Due date serial]])</f>
        <v>0</v>
      </c>
      <c r="AD1582" s="65">
        <f>tblWorkPackages[[#This Row],[First labor date]]-tblWorkPackages[[#This Row],[Request date serial]]</f>
        <v>1</v>
      </c>
      <c r="AE1582" s="65">
        <f>tblWorkPackages[[#This Row],[Last labor date]]-tblWorkPackages[[#This Row],[First labor date]]</f>
        <v>0</v>
      </c>
      <c r="AF1582" s="65">
        <f>tblWorkPackages[[#This Row],[Completion date serial]]-tblWorkPackages[[#This Row],[Last labor date]]</f>
        <v>0</v>
      </c>
      <c r="AG1582" s="65">
        <f>tblWorkPackages[[#This Row],[Completion date serial]]-tblWorkPackages[[#This Row],[Request date serial]]</f>
        <v>1</v>
      </c>
      <c r="AH1582" s="65">
        <f>IFERROR(INDEX(tblParts[Delay days],MATCH(tblWorkPackages[[#This Row],[Work package ID]],tblParts[Work package ID],0)),0)</f>
        <v>0</v>
      </c>
      <c r="AI1582" s="51" t="str">
        <f>IFERROR(INDEX(tblDisruptions[Event type],MATCH(tblWorkPackages[[#This Row],[Work package ID]],tblDisruptions[Work package ID],0)),"None")</f>
        <v>None</v>
      </c>
      <c r="AJ1582" s="51" t="str">
        <f>TEXT(tblWorkPackages[[#This Row],[Due date serial]],"yyyy-mm")</f>
        <v>2025-08</v>
      </c>
    </row>
    <row r="1583" spans="1:36" ht="15" x14ac:dyDescent="0.25">
      <c r="A1583" s="53" t="s">
        <v>2491</v>
      </c>
      <c r="B1583" s="53" t="s">
        <v>250</v>
      </c>
      <c r="C1583" s="53" t="s">
        <v>703</v>
      </c>
      <c r="D1583" s="53" t="s">
        <v>761</v>
      </c>
      <c r="E1583" s="53" t="s">
        <v>237</v>
      </c>
      <c r="F1583" s="53" t="s">
        <v>182</v>
      </c>
      <c r="G1583" s="53" t="s">
        <v>138</v>
      </c>
      <c r="H1583" s="53">
        <v>4</v>
      </c>
      <c r="I1583" s="53" t="s">
        <v>176</v>
      </c>
      <c r="J1583" s="53">
        <v>1</v>
      </c>
      <c r="K1583" s="53">
        <v>0</v>
      </c>
      <c r="L1583" s="53">
        <v>10.1</v>
      </c>
      <c r="M1583" s="53" t="s">
        <v>304</v>
      </c>
      <c r="N1583" s="53">
        <v>15.3</v>
      </c>
      <c r="O1583" s="51" t="str">
        <f>TEXT(tblWorkPackages[[#This Row],[Request date serial]]-WEEKDAY(tblWorkPackages[[#This Row],[Request date serial]],3),"yyyy-mm-dd")</f>
        <v>2024-06-10</v>
      </c>
      <c r="P1583" s="51">
        <f>ABS(tblWorkPackages[[#This Row],[Actual labor hours]]-tblWorkPackages[[#This Row],[Estimated labor hours]])</f>
        <v>5.2</v>
      </c>
      <c r="Q1583" s="51">
        <f>IF(tblWorkPackages[[#This Row],[Actual labor hours]]&gt;tblWorkPackages[[#This Row],[Estimated labor hours]],1,0)</f>
        <v>1</v>
      </c>
      <c r="R1583" s="51">
        <f>tblWorkPackages[[#This Row],[Actual labor hours]]-tblWorkPackages[[#This Row],[Estimated labor hours]]</f>
        <v>5.2</v>
      </c>
      <c r="S1583" s="51" t="str">
        <f>IF(tblWorkPackages[[#This Row],[Request date serial]]&lt;ValidationStart,"Train 2024",IF(tblWorkPackages[[#This Row],[Request date serial]]&lt;HoldoutStart,"Validation H1","Holdout H2"))</f>
        <v>Train 2024</v>
      </c>
      <c r="T1583" s="51" t="str">
        <f>IF(tblWorkPackages[[#This Row],[Time split]]="Train 2024","",tblWorkPackages[[#This Row],[Estimated labor hours]]+VLOOKUP(tblWorkPackages[[#This Row],[Task type]],'Forecast validation'!$A$14:$E$25,IF(tblWorkPackages[[#This Row],[Time split]]="Validation H1",4,5),FALSE()))</f>
        <v/>
      </c>
      <c r="U1583" s="51" t="str">
        <f>IF(tblWorkPackages[[#This Row],[Calibrated forecast hours]]="","",ABS(tblWorkPackages[[#This Row],[Actual labor hours]]-tblWorkPackages[[#This Row],[Calibrated forecast hours]]))</f>
        <v/>
      </c>
      <c r="V1583" s="51">
        <f>IF(tblWorkPackages[[#This Row],[Time split]]="Train 2024",tblWorkPackages[[#This Row],[Estimated labor hours]],tblWorkPackages[[#This Row],[Calibrated forecast hours]])</f>
        <v>10.1</v>
      </c>
      <c r="W1583" s="64">
        <f>DATEVALUE(tblWorkPackages[[#This Row],[Request date]])</f>
        <v>45454.0</v>
      </c>
      <c r="X1583" s="64">
        <f>DATEVALUE(tblWorkPackages[[#This Row],[Due date]])</f>
        <v>45460.0</v>
      </c>
      <c r="Y1583" s="64">
        <f>DATEVALUE(tblWorkPackages[[#This Row],[Completion date]])</f>
        <v>45470.0</v>
      </c>
      <c r="Z1583" s="64">
        <f>_xlfn.MINIFS(tblLaborEntries[Work date serial],tblLaborEntries[Work package ID],tblWorkPackages[[#This Row],[Work package ID]])</f>
        <v>45467.0</v>
      </c>
      <c r="AA1583" s="64">
        <f>_xlfn.MAXIFS(tblLaborEntries[Work date serial],tblLaborEntries[Work package ID],tblWorkPackages[[#This Row],[Work package ID]])</f>
        <v>45469.0</v>
      </c>
      <c r="AB1583" s="65">
        <f>IF(tblWorkPackages[[#This Row],[Completion date serial]]&gt;tblWorkPackages[[#This Row],[Due date serial]],1,0)</f>
        <v>1</v>
      </c>
      <c r="AC1583" s="65">
        <f>MAX(0,tblWorkPackages[[#This Row],[Completion date serial]]-tblWorkPackages[[#This Row],[Due date serial]])</f>
        <v>10</v>
      </c>
      <c r="AD1583" s="65">
        <f>tblWorkPackages[[#This Row],[First labor date]]-tblWorkPackages[[#This Row],[Request date serial]]</f>
        <v>13</v>
      </c>
      <c r="AE1583" s="65">
        <f>tblWorkPackages[[#This Row],[Last labor date]]-tblWorkPackages[[#This Row],[First labor date]]</f>
        <v>2</v>
      </c>
      <c r="AF1583" s="65">
        <f>tblWorkPackages[[#This Row],[Completion date serial]]-tblWorkPackages[[#This Row],[Last labor date]]</f>
        <v>1</v>
      </c>
      <c r="AG1583" s="65">
        <f>tblWorkPackages[[#This Row],[Completion date serial]]-tblWorkPackages[[#This Row],[Request date serial]]</f>
        <v>16</v>
      </c>
      <c r="AH1583" s="65">
        <f>IFERROR(INDEX(tblParts[Delay days],MATCH(tblWorkPackages[[#This Row],[Work package ID]],tblParts[Work package ID],0)),0)</f>
        <v>0</v>
      </c>
      <c r="AI1583" s="51" t="str">
        <f>IFERROR(INDEX(tblDisruptions[Event type],MATCH(tblWorkPackages[[#This Row],[Work package ID]],tblDisruptions[Work package ID],0)),"None")</f>
        <v>None</v>
      </c>
      <c r="AJ1583" s="51" t="str">
        <f>TEXT(tblWorkPackages[[#This Row],[Due date serial]],"yyyy-mm")</f>
        <v>2024-06</v>
      </c>
    </row>
    <row r="1584" spans="1:36" ht="15" x14ac:dyDescent="0.25">
      <c r="A1584" s="53" t="s">
        <v>2492</v>
      </c>
      <c r="B1584" s="53" t="s">
        <v>230</v>
      </c>
      <c r="C1584" s="53" t="s">
        <v>951</v>
      </c>
      <c r="D1584" s="53" t="s">
        <v>771</v>
      </c>
      <c r="E1584" s="53" t="s">
        <v>200</v>
      </c>
      <c r="F1584" s="53" t="s">
        <v>128</v>
      </c>
      <c r="G1584" s="53" t="s">
        <v>129</v>
      </c>
      <c r="H1584" s="53">
        <v>3</v>
      </c>
      <c r="I1584" s="53" t="s">
        <v>176</v>
      </c>
      <c r="J1584" s="53">
        <v>0</v>
      </c>
      <c r="K1584" s="53">
        <v>0</v>
      </c>
      <c r="L1584" s="53">
        <v>3.9</v>
      </c>
      <c r="M1584" s="53" t="s">
        <v>947</v>
      </c>
      <c r="N1584" s="53">
        <v>5</v>
      </c>
      <c r="O1584" s="51" t="str">
        <f>TEXT(tblWorkPackages[[#This Row],[Request date serial]]-WEEKDAY(tblWorkPackages[[#This Row],[Request date serial]],3),"yyyy-mm-dd")</f>
        <v>2024-09-30</v>
      </c>
      <c r="P1584" s="51">
        <f>ABS(tblWorkPackages[[#This Row],[Actual labor hours]]-tblWorkPackages[[#This Row],[Estimated labor hours]])</f>
        <v>1.1</v>
      </c>
      <c r="Q1584" s="51">
        <f>IF(tblWorkPackages[[#This Row],[Actual labor hours]]&gt;tblWorkPackages[[#This Row],[Estimated labor hours]],1,0)</f>
        <v>1</v>
      </c>
      <c r="R1584" s="51">
        <f>tblWorkPackages[[#This Row],[Actual labor hours]]-tblWorkPackages[[#This Row],[Estimated labor hours]]</f>
        <v>1.1</v>
      </c>
      <c r="S1584" s="51" t="str">
        <f>IF(tblWorkPackages[[#This Row],[Request date serial]]&lt;ValidationStart,"Train 2024",IF(tblWorkPackages[[#This Row],[Request date serial]]&lt;HoldoutStart,"Validation H1","Holdout H2"))</f>
        <v>Train 2024</v>
      </c>
      <c r="T1584" s="51" t="str">
        <f>IF(tblWorkPackages[[#This Row],[Time split]]="Train 2024","",tblWorkPackages[[#This Row],[Estimated labor hours]]+VLOOKUP(tblWorkPackages[[#This Row],[Task type]],'Forecast validation'!$A$14:$E$25,IF(tblWorkPackages[[#This Row],[Time split]]="Validation H1",4,5),FALSE()))</f>
        <v/>
      </c>
      <c r="U1584" s="51" t="str">
        <f>IF(tblWorkPackages[[#This Row],[Calibrated forecast hours]]="","",ABS(tblWorkPackages[[#This Row],[Actual labor hours]]-tblWorkPackages[[#This Row],[Calibrated forecast hours]]))</f>
        <v/>
      </c>
      <c r="V1584" s="51">
        <f>IF(tblWorkPackages[[#This Row],[Time split]]="Train 2024",tblWorkPackages[[#This Row],[Estimated labor hours]],tblWorkPackages[[#This Row],[Calibrated forecast hours]])</f>
        <v>3.9</v>
      </c>
      <c r="W1584" s="64">
        <f>DATEVALUE(tblWorkPackages[[#This Row],[Request date]])</f>
        <v>45565.0</v>
      </c>
      <c r="X1584" s="64">
        <f>DATEVALUE(tblWorkPackages[[#This Row],[Due date]])</f>
        <v>45571.0</v>
      </c>
      <c r="Y1584" s="64">
        <f>DATEVALUE(tblWorkPackages[[#This Row],[Completion date]])</f>
        <v>45570.0</v>
      </c>
      <c r="Z1584" s="64">
        <f>_xlfn.MINIFS(tblLaborEntries[Work date serial],tblLaborEntries[Work package ID],tblWorkPackages[[#This Row],[Work package ID]])</f>
        <v>45568.0</v>
      </c>
      <c r="AA1584" s="64">
        <f>_xlfn.MAXIFS(tblLaborEntries[Work date serial],tblLaborEntries[Work package ID],tblWorkPackages[[#This Row],[Work package ID]])</f>
        <v>45568.0</v>
      </c>
      <c r="AB1584" s="65">
        <f>IF(tblWorkPackages[[#This Row],[Completion date serial]]&gt;tblWorkPackages[[#This Row],[Due date serial]],1,0)</f>
        <v>0</v>
      </c>
      <c r="AC1584" s="65">
        <f>MAX(0,tblWorkPackages[[#This Row],[Completion date serial]]-tblWorkPackages[[#This Row],[Due date serial]])</f>
        <v>0</v>
      </c>
      <c r="AD1584" s="65">
        <f>tblWorkPackages[[#This Row],[First labor date]]-tblWorkPackages[[#This Row],[Request date serial]]</f>
        <v>3</v>
      </c>
      <c r="AE1584" s="65">
        <f>tblWorkPackages[[#This Row],[Last labor date]]-tblWorkPackages[[#This Row],[First labor date]]</f>
        <v>0</v>
      </c>
      <c r="AF1584" s="65">
        <f>tblWorkPackages[[#This Row],[Completion date serial]]-tblWorkPackages[[#This Row],[Last labor date]]</f>
        <v>2</v>
      </c>
      <c r="AG1584" s="65">
        <f>tblWorkPackages[[#This Row],[Completion date serial]]-tblWorkPackages[[#This Row],[Request date serial]]</f>
        <v>5</v>
      </c>
      <c r="AH1584" s="65">
        <f>IFERROR(INDEX(tblParts[Delay days],MATCH(tblWorkPackages[[#This Row],[Work package ID]],tblParts[Work package ID],0)),0)</f>
        <v>0</v>
      </c>
      <c r="AI1584" s="51" t="str">
        <f>IFERROR(INDEX(tblDisruptions[Event type],MATCH(tblWorkPackages[[#This Row],[Work package ID]],tblDisruptions[Work package ID],0)),"None")</f>
        <v>None</v>
      </c>
      <c r="AJ1584" s="51" t="str">
        <f>TEXT(tblWorkPackages[[#This Row],[Due date serial]],"yyyy-mm")</f>
        <v>2024-10</v>
      </c>
    </row>
    <row r="1585" spans="1:36" ht="15" x14ac:dyDescent="0.25">
      <c r="A1585" s="53" t="s">
        <v>2493</v>
      </c>
      <c r="B1585" s="53" t="s">
        <v>124</v>
      </c>
      <c r="C1585" s="53" t="s">
        <v>531</v>
      </c>
      <c r="D1585" s="53" t="s">
        <v>746</v>
      </c>
      <c r="E1585" s="53" t="s">
        <v>223</v>
      </c>
      <c r="F1585" s="53" t="s">
        <v>182</v>
      </c>
      <c r="G1585" s="53" t="s">
        <v>154</v>
      </c>
      <c r="H1585" s="53">
        <v>1</v>
      </c>
      <c r="I1585" s="53" t="s">
        <v>176</v>
      </c>
      <c r="J1585" s="53">
        <v>0</v>
      </c>
      <c r="K1585" s="53">
        <v>0</v>
      </c>
      <c r="L1585" s="53">
        <v>8.3000000000000007</v>
      </c>
      <c r="M1585" s="53" t="s">
        <v>521</v>
      </c>
      <c r="N1585" s="53">
        <v>8.8000000000000007</v>
      </c>
      <c r="O1585" s="51" t="str">
        <f>TEXT(tblWorkPackages[[#This Row],[Request date serial]]-WEEKDAY(tblWorkPackages[[#This Row],[Request date serial]],3),"yyyy-mm-dd")</f>
        <v>2025-07-14</v>
      </c>
      <c r="P1585" s="51">
        <f>ABS(tblWorkPackages[[#This Row],[Actual labor hours]]-tblWorkPackages[[#This Row],[Estimated labor hours]])</f>
        <v>0.5</v>
      </c>
      <c r="Q1585" s="51">
        <f>IF(tblWorkPackages[[#This Row],[Actual labor hours]]&gt;tblWorkPackages[[#This Row],[Estimated labor hours]],1,0)</f>
        <v>1</v>
      </c>
      <c r="R1585" s="51">
        <f>tblWorkPackages[[#This Row],[Actual labor hours]]-tblWorkPackages[[#This Row],[Estimated labor hours]]</f>
        <v>0.5</v>
      </c>
      <c r="S1585" s="51" t="str">
        <f>IF(tblWorkPackages[[#This Row],[Request date serial]]&lt;ValidationStart,"Train 2024",IF(tblWorkPackages[[#This Row],[Request date serial]]&lt;HoldoutStart,"Validation H1","Holdout H2"))</f>
        <v>Holdout H2</v>
      </c>
      <c r="T1585" s="51">
        <f>IF(tblWorkPackages[[#This Row],[Time split]]="Train 2024","",tblWorkPackages[[#This Row],[Estimated labor hours]]+VLOOKUP(tblWorkPackages[[#This Row],[Task type]],'Forecast validation'!$A$14:$E$25,IF(tblWorkPackages[[#This Row],[Time split]]="Validation H1",4,5),FALSE()))</f>
        <v>9.22465753424658</v>
      </c>
      <c r="U1585" s="51">
        <f>IF(tblWorkPackages[[#This Row],[Calibrated forecast hours]]="","",ABS(tblWorkPackages[[#This Row],[Actual labor hours]]-tblWorkPackages[[#This Row],[Calibrated forecast hours]]))</f>
        <v>0.424657534246576</v>
      </c>
      <c r="V1585" s="51">
        <f>IF(tblWorkPackages[[#This Row],[Time split]]="Train 2024",tblWorkPackages[[#This Row],[Estimated labor hours]],tblWorkPackages[[#This Row],[Calibrated forecast hours]])</f>
        <v>9.22465753424658</v>
      </c>
      <c r="W1585" s="64">
        <f>DATEVALUE(tblWorkPackages[[#This Row],[Request date]])</f>
        <v>45854.0</v>
      </c>
      <c r="X1585" s="64">
        <f>DATEVALUE(tblWorkPackages[[#This Row],[Due date]])</f>
        <v>45860.0</v>
      </c>
      <c r="Y1585" s="64">
        <f>DATEVALUE(tblWorkPackages[[#This Row],[Completion date]])</f>
        <v>45903.0</v>
      </c>
      <c r="Z1585" s="64">
        <f>_xlfn.MINIFS(tblLaborEntries[Work date serial],tblLaborEntries[Work package ID],tblWorkPackages[[#This Row],[Work package ID]])</f>
        <v>45898.0</v>
      </c>
      <c r="AA1585" s="64">
        <f>_xlfn.MAXIFS(tblLaborEntries[Work date serial],tblLaborEntries[Work package ID],tblWorkPackages[[#This Row],[Work package ID]])</f>
        <v>45900.0</v>
      </c>
      <c r="AB1585" s="65">
        <f>IF(tblWorkPackages[[#This Row],[Completion date serial]]&gt;tblWorkPackages[[#This Row],[Due date serial]],1,0)</f>
        <v>1</v>
      </c>
      <c r="AC1585" s="65">
        <f>MAX(0,tblWorkPackages[[#This Row],[Completion date serial]]-tblWorkPackages[[#This Row],[Due date serial]])</f>
        <v>43</v>
      </c>
      <c r="AD1585" s="65">
        <f>tblWorkPackages[[#This Row],[First labor date]]-tblWorkPackages[[#This Row],[Request date serial]]</f>
        <v>44</v>
      </c>
      <c r="AE1585" s="65">
        <f>tblWorkPackages[[#This Row],[Last labor date]]-tblWorkPackages[[#This Row],[First labor date]]</f>
        <v>2</v>
      </c>
      <c r="AF1585" s="65">
        <f>tblWorkPackages[[#This Row],[Completion date serial]]-tblWorkPackages[[#This Row],[Last labor date]]</f>
        <v>3</v>
      </c>
      <c r="AG1585" s="65">
        <f>tblWorkPackages[[#This Row],[Completion date serial]]-tblWorkPackages[[#This Row],[Request date serial]]</f>
        <v>49</v>
      </c>
      <c r="AH1585" s="65">
        <f>IFERROR(INDEX(tblParts[Delay days],MATCH(tblWorkPackages[[#This Row],[Work package ID]],tblParts[Work package ID],0)),0)</f>
        <v>0</v>
      </c>
      <c r="AI1585" s="51" t="str">
        <f>IFERROR(INDEX(tblDisruptions[Event type],MATCH(tblWorkPackages[[#This Row],[Work package ID]],tblDisruptions[Work package ID],0)),"None")</f>
        <v>None</v>
      </c>
      <c r="AJ1585" s="51" t="str">
        <f>TEXT(tblWorkPackages[[#This Row],[Due date serial]],"yyyy-mm")</f>
        <v>2025-07</v>
      </c>
    </row>
    <row r="1586" spans="1:36" ht="15" x14ac:dyDescent="0.25">
      <c r="A1586" s="53" t="s">
        <v>2494</v>
      </c>
      <c r="B1586" s="53" t="s">
        <v>133</v>
      </c>
      <c r="C1586" s="53" t="s">
        <v>871</v>
      </c>
      <c r="D1586" s="53" t="s">
        <v>1446</v>
      </c>
      <c r="E1586" s="53" t="s">
        <v>200</v>
      </c>
      <c r="F1586" s="53" t="s">
        <v>128</v>
      </c>
      <c r="G1586" s="53" t="s">
        <v>129</v>
      </c>
      <c r="H1586" s="53">
        <v>3</v>
      </c>
      <c r="I1586" s="53" t="s">
        <v>130</v>
      </c>
      <c r="J1586" s="53">
        <v>0</v>
      </c>
      <c r="K1586" s="53">
        <v>0</v>
      </c>
      <c r="L1586" s="53">
        <v>4.4000000000000004</v>
      </c>
      <c r="M1586" s="53" t="s">
        <v>270</v>
      </c>
      <c r="N1586" s="53">
        <v>3.4</v>
      </c>
      <c r="O1586" s="51" t="str">
        <f>TEXT(tblWorkPackages[[#This Row],[Request date serial]]-WEEKDAY(tblWorkPackages[[#This Row],[Request date serial]],3),"yyyy-mm-dd")</f>
        <v>2025-03-17</v>
      </c>
      <c r="P1586" s="51">
        <f>ABS(tblWorkPackages[[#This Row],[Actual labor hours]]-tblWorkPackages[[#This Row],[Estimated labor hours]])</f>
        <v>1</v>
      </c>
      <c r="Q1586" s="51">
        <f>IF(tblWorkPackages[[#This Row],[Actual labor hours]]&gt;tblWorkPackages[[#This Row],[Estimated labor hours]],1,0)</f>
        <v>0</v>
      </c>
      <c r="R1586" s="51">
        <f>tblWorkPackages[[#This Row],[Actual labor hours]]-tblWorkPackages[[#This Row],[Estimated labor hours]]</f>
        <v>-1</v>
      </c>
      <c r="S1586" s="51" t="str">
        <f>IF(tblWorkPackages[[#This Row],[Request date serial]]&lt;ValidationStart,"Train 2024",IF(tblWorkPackages[[#This Row],[Request date serial]]&lt;HoldoutStart,"Validation H1","Holdout H2"))</f>
        <v>Validation H1</v>
      </c>
      <c r="T1586" s="51">
        <f>IF(tblWorkPackages[[#This Row],[Time split]]="Train 2024","",tblWorkPackages[[#This Row],[Estimated labor hours]]+VLOOKUP(tblWorkPackages[[#This Row],[Task type]],'Forecast validation'!$A$14:$E$25,IF(tblWorkPackages[[#This Row],[Time split]]="Validation H1",4,5),FALSE()))</f>
        <v>4.73069306930693</v>
      </c>
      <c r="U1586" s="51">
        <f>IF(tblWorkPackages[[#This Row],[Calibrated forecast hours]]="","",ABS(tblWorkPackages[[#This Row],[Actual labor hours]]-tblWorkPackages[[#This Row],[Calibrated forecast hours]]))</f>
        <v>1.33069306930693</v>
      </c>
      <c r="V1586" s="51">
        <f>IF(tblWorkPackages[[#This Row],[Time split]]="Train 2024",tblWorkPackages[[#This Row],[Estimated labor hours]],tblWorkPackages[[#This Row],[Calibrated forecast hours]])</f>
        <v>4.73069306930693</v>
      </c>
      <c r="W1586" s="64">
        <f>DATEVALUE(tblWorkPackages[[#This Row],[Request date]])</f>
        <v>45738.0</v>
      </c>
      <c r="X1586" s="64">
        <f>DATEVALUE(tblWorkPackages[[#This Row],[Due date]])</f>
        <v>45751.0</v>
      </c>
      <c r="Y1586" s="64">
        <f>DATEVALUE(tblWorkPackages[[#This Row],[Completion date]])</f>
        <v>45748.0</v>
      </c>
      <c r="Z1586" s="64">
        <f>_xlfn.MINIFS(tblLaborEntries[Work date serial],tblLaborEntries[Work package ID],tblWorkPackages[[#This Row],[Work package ID]])</f>
        <v>45746.0</v>
      </c>
      <c r="AA1586" s="64">
        <f>_xlfn.MAXIFS(tblLaborEntries[Work date serial],tblLaborEntries[Work package ID],tblWorkPackages[[#This Row],[Work package ID]])</f>
        <v>45748.0</v>
      </c>
      <c r="AB1586" s="65">
        <f>IF(tblWorkPackages[[#This Row],[Completion date serial]]&gt;tblWorkPackages[[#This Row],[Due date serial]],1,0)</f>
        <v>0</v>
      </c>
      <c r="AC1586" s="65">
        <f>MAX(0,tblWorkPackages[[#This Row],[Completion date serial]]-tblWorkPackages[[#This Row],[Due date serial]])</f>
        <v>0</v>
      </c>
      <c r="AD1586" s="65">
        <f>tblWorkPackages[[#This Row],[First labor date]]-tblWorkPackages[[#This Row],[Request date serial]]</f>
        <v>8</v>
      </c>
      <c r="AE1586" s="65">
        <f>tblWorkPackages[[#This Row],[Last labor date]]-tblWorkPackages[[#This Row],[First labor date]]</f>
        <v>2</v>
      </c>
      <c r="AF1586" s="65">
        <f>tblWorkPackages[[#This Row],[Completion date serial]]-tblWorkPackages[[#This Row],[Last labor date]]</f>
        <v>0</v>
      </c>
      <c r="AG1586" s="65">
        <f>tblWorkPackages[[#This Row],[Completion date serial]]-tblWorkPackages[[#This Row],[Request date serial]]</f>
        <v>10</v>
      </c>
      <c r="AH1586" s="65">
        <f>IFERROR(INDEX(tblParts[Delay days],MATCH(tblWorkPackages[[#This Row],[Work package ID]],tblParts[Work package ID],0)),0)</f>
        <v>0</v>
      </c>
      <c r="AI1586" s="51" t="str">
        <f>IFERROR(INDEX(tblDisruptions[Event type],MATCH(tblWorkPackages[[#This Row],[Work package ID]],tblDisruptions[Work package ID],0)),"None")</f>
        <v>None</v>
      </c>
      <c r="AJ1586" s="51" t="str">
        <f>TEXT(tblWorkPackages[[#This Row],[Due date serial]],"yyyy-mm")</f>
        <v>2025-04</v>
      </c>
    </row>
    <row r="1587" spans="1:36" ht="15" x14ac:dyDescent="0.25">
      <c r="A1587" s="53" t="s">
        <v>2495</v>
      </c>
      <c r="B1587" s="53" t="s">
        <v>203</v>
      </c>
      <c r="C1587" s="53" t="s">
        <v>208</v>
      </c>
      <c r="D1587" s="53" t="s">
        <v>584</v>
      </c>
      <c r="E1587" s="53" t="s">
        <v>223</v>
      </c>
      <c r="F1587" s="53" t="s">
        <v>182</v>
      </c>
      <c r="G1587" s="53" t="s">
        <v>154</v>
      </c>
      <c r="H1587" s="53">
        <v>4</v>
      </c>
      <c r="I1587" s="53" t="s">
        <v>147</v>
      </c>
      <c r="J1587" s="53">
        <v>0</v>
      </c>
      <c r="K1587" s="53">
        <v>0</v>
      </c>
      <c r="L1587" s="53">
        <v>19.8</v>
      </c>
      <c r="M1587" s="53" t="s">
        <v>1151</v>
      </c>
      <c r="N1587" s="53">
        <v>24.8</v>
      </c>
      <c r="O1587" s="51" t="str">
        <f>TEXT(tblWorkPackages[[#This Row],[Request date serial]]-WEEKDAY(tblWorkPackages[[#This Row],[Request date serial]],3),"yyyy-mm-dd")</f>
        <v>2025-08-04</v>
      </c>
      <c r="P1587" s="51">
        <f>ABS(tblWorkPackages[[#This Row],[Actual labor hours]]-tblWorkPackages[[#This Row],[Estimated labor hours]])</f>
        <v>5</v>
      </c>
      <c r="Q1587" s="51">
        <f>IF(tblWorkPackages[[#This Row],[Actual labor hours]]&gt;tblWorkPackages[[#This Row],[Estimated labor hours]],1,0)</f>
        <v>1</v>
      </c>
      <c r="R1587" s="51">
        <f>tblWorkPackages[[#This Row],[Actual labor hours]]-tblWorkPackages[[#This Row],[Estimated labor hours]]</f>
        <v>5</v>
      </c>
      <c r="S1587" s="51" t="str">
        <f>IF(tblWorkPackages[[#This Row],[Request date serial]]&lt;ValidationStart,"Train 2024",IF(tblWorkPackages[[#This Row],[Request date serial]]&lt;HoldoutStart,"Validation H1","Holdout H2"))</f>
        <v>Holdout H2</v>
      </c>
      <c r="T1587" s="51">
        <f>IF(tblWorkPackages[[#This Row],[Time split]]="Train 2024","",tblWorkPackages[[#This Row],[Estimated labor hours]]+VLOOKUP(tblWorkPackages[[#This Row],[Task type]],'Forecast validation'!$A$14:$E$25,IF(tblWorkPackages[[#This Row],[Time split]]="Validation H1",4,5),FALSE()))</f>
        <v>20.7246575342466</v>
      </c>
      <c r="U1587" s="51">
        <f>IF(tblWorkPackages[[#This Row],[Calibrated forecast hours]]="","",ABS(tblWorkPackages[[#This Row],[Actual labor hours]]-tblWorkPackages[[#This Row],[Calibrated forecast hours]]))</f>
        <v>4.07534246575343</v>
      </c>
      <c r="V1587" s="51">
        <f>IF(tblWorkPackages[[#This Row],[Time split]]="Train 2024",tblWorkPackages[[#This Row],[Estimated labor hours]],tblWorkPackages[[#This Row],[Calibrated forecast hours]])</f>
        <v>20.7246575342466</v>
      </c>
      <c r="W1587" s="64">
        <f>DATEVALUE(tblWorkPackages[[#This Row],[Request date]])</f>
        <v>45877.0</v>
      </c>
      <c r="X1587" s="64">
        <f>DATEVALUE(tblWorkPackages[[#This Row],[Due date]])</f>
        <v>45879.0</v>
      </c>
      <c r="Y1587" s="64">
        <f>DATEVALUE(tblWorkPackages[[#This Row],[Completion date]])</f>
        <v>45880.0</v>
      </c>
      <c r="Z1587" s="64">
        <f>_xlfn.MINIFS(tblLaborEntries[Work date serial],tblLaborEntries[Work package ID],tblWorkPackages[[#This Row],[Work package ID]])</f>
        <v>45879.0</v>
      </c>
      <c r="AA1587" s="64">
        <f>_xlfn.MAXIFS(tblLaborEntries[Work date serial],tblLaborEntries[Work package ID],tblWorkPackages[[#This Row],[Work package ID]])</f>
        <v>45879.0</v>
      </c>
      <c r="AB1587" s="65">
        <f>IF(tblWorkPackages[[#This Row],[Completion date serial]]&gt;tblWorkPackages[[#This Row],[Due date serial]],1,0)</f>
        <v>1</v>
      </c>
      <c r="AC1587" s="65">
        <f>MAX(0,tblWorkPackages[[#This Row],[Completion date serial]]-tblWorkPackages[[#This Row],[Due date serial]])</f>
        <v>1</v>
      </c>
      <c r="AD1587" s="65">
        <f>tblWorkPackages[[#This Row],[First labor date]]-tblWorkPackages[[#This Row],[Request date serial]]</f>
        <v>2</v>
      </c>
      <c r="AE1587" s="65">
        <f>tblWorkPackages[[#This Row],[Last labor date]]-tblWorkPackages[[#This Row],[First labor date]]</f>
        <v>0</v>
      </c>
      <c r="AF1587" s="65">
        <f>tblWorkPackages[[#This Row],[Completion date serial]]-tblWorkPackages[[#This Row],[Last labor date]]</f>
        <v>1</v>
      </c>
      <c r="AG1587" s="65">
        <f>tblWorkPackages[[#This Row],[Completion date serial]]-tblWorkPackages[[#This Row],[Request date serial]]</f>
        <v>3</v>
      </c>
      <c r="AH1587" s="65">
        <f>IFERROR(INDEX(tblParts[Delay days],MATCH(tblWorkPackages[[#This Row],[Work package ID]],tblParts[Work package ID],0)),0)</f>
        <v>0</v>
      </c>
      <c r="AI1587" s="51" t="str">
        <f>IFERROR(INDEX(tblDisruptions[Event type],MATCH(tblWorkPackages[[#This Row],[Work package ID]],tblDisruptions[Work package ID],0)),"None")</f>
        <v>None</v>
      </c>
      <c r="AJ1587" s="51" t="str">
        <f>TEXT(tblWorkPackages[[#This Row],[Due date serial]],"yyyy-mm")</f>
        <v>2025-08</v>
      </c>
    </row>
    <row r="1588" spans="1:36" ht="15" x14ac:dyDescent="0.25">
      <c r="A1588" s="53" t="s">
        <v>2496</v>
      </c>
      <c r="B1588" s="53" t="s">
        <v>141</v>
      </c>
      <c r="C1588" s="53" t="s">
        <v>2263</v>
      </c>
      <c r="D1588" s="53" t="s">
        <v>1948</v>
      </c>
      <c r="E1588" s="53" t="s">
        <v>160</v>
      </c>
      <c r="F1588" s="53" t="s">
        <v>128</v>
      </c>
      <c r="G1588" s="53" t="s">
        <v>138</v>
      </c>
      <c r="H1588" s="53">
        <v>3</v>
      </c>
      <c r="I1588" s="53" t="s">
        <v>176</v>
      </c>
      <c r="J1588" s="53">
        <v>0</v>
      </c>
      <c r="K1588" s="53">
        <v>0</v>
      </c>
      <c r="L1588" s="53">
        <v>5.5</v>
      </c>
      <c r="M1588" s="53" t="s">
        <v>933</v>
      </c>
      <c r="N1588" s="53">
        <v>5.5</v>
      </c>
      <c r="O1588" s="51" t="str">
        <f>TEXT(tblWorkPackages[[#This Row],[Request date serial]]-WEEKDAY(tblWorkPackages[[#This Row],[Request date serial]],3),"yyyy-mm-dd")</f>
        <v>2024-11-04</v>
      </c>
      <c r="P1588" s="51">
        <f>ABS(tblWorkPackages[[#This Row],[Actual labor hours]]-tblWorkPackages[[#This Row],[Estimated labor hours]])</f>
        <v>0</v>
      </c>
      <c r="Q1588" s="51">
        <f>IF(tblWorkPackages[[#This Row],[Actual labor hours]]&gt;tblWorkPackages[[#This Row],[Estimated labor hours]],1,0)</f>
        <v>0</v>
      </c>
      <c r="R1588" s="51">
        <f>tblWorkPackages[[#This Row],[Actual labor hours]]-tblWorkPackages[[#This Row],[Estimated labor hours]]</f>
        <v>0</v>
      </c>
      <c r="S1588" s="51" t="str">
        <f>IF(tblWorkPackages[[#This Row],[Request date serial]]&lt;ValidationStart,"Train 2024",IF(tblWorkPackages[[#This Row],[Request date serial]]&lt;HoldoutStart,"Validation H1","Holdout H2"))</f>
        <v>Train 2024</v>
      </c>
      <c r="T1588" s="51" t="str">
        <f>IF(tblWorkPackages[[#This Row],[Time split]]="Train 2024","",tblWorkPackages[[#This Row],[Estimated labor hours]]+VLOOKUP(tblWorkPackages[[#This Row],[Task type]],'Forecast validation'!$A$14:$E$25,IF(tblWorkPackages[[#This Row],[Time split]]="Validation H1",4,5),FALSE()))</f>
        <v/>
      </c>
      <c r="U1588" s="51" t="str">
        <f>IF(tblWorkPackages[[#This Row],[Calibrated forecast hours]]="","",ABS(tblWorkPackages[[#This Row],[Actual labor hours]]-tblWorkPackages[[#This Row],[Calibrated forecast hours]]))</f>
        <v/>
      </c>
      <c r="V1588" s="51">
        <f>IF(tblWorkPackages[[#This Row],[Time split]]="Train 2024",tblWorkPackages[[#This Row],[Estimated labor hours]],tblWorkPackages[[#This Row],[Calibrated forecast hours]])</f>
        <v>5.5</v>
      </c>
      <c r="W1588" s="64">
        <f>DATEVALUE(tblWorkPackages[[#This Row],[Request date]])</f>
        <v>45605.0</v>
      </c>
      <c r="X1588" s="64">
        <f>DATEVALUE(tblWorkPackages[[#This Row],[Due date]])</f>
        <v>45611.0</v>
      </c>
      <c r="Y1588" s="64">
        <f>DATEVALUE(tblWorkPackages[[#This Row],[Completion date]])</f>
        <v>45625.0</v>
      </c>
      <c r="Z1588" s="64">
        <f>_xlfn.MINIFS(tblLaborEntries[Work date serial],tblLaborEntries[Work package ID],tblWorkPackages[[#This Row],[Work package ID]])</f>
        <v>45623.0</v>
      </c>
      <c r="AA1588" s="64">
        <f>_xlfn.MAXIFS(tblLaborEntries[Work date serial],tblLaborEntries[Work package ID],tblWorkPackages[[#This Row],[Work package ID]])</f>
        <v>45623.0</v>
      </c>
      <c r="AB1588" s="65">
        <f>IF(tblWorkPackages[[#This Row],[Completion date serial]]&gt;tblWorkPackages[[#This Row],[Due date serial]],1,0)</f>
        <v>1</v>
      </c>
      <c r="AC1588" s="65">
        <f>MAX(0,tblWorkPackages[[#This Row],[Completion date serial]]-tblWorkPackages[[#This Row],[Due date serial]])</f>
        <v>14</v>
      </c>
      <c r="AD1588" s="65">
        <f>tblWorkPackages[[#This Row],[First labor date]]-tblWorkPackages[[#This Row],[Request date serial]]</f>
        <v>18</v>
      </c>
      <c r="AE1588" s="65">
        <f>tblWorkPackages[[#This Row],[Last labor date]]-tblWorkPackages[[#This Row],[First labor date]]</f>
        <v>0</v>
      </c>
      <c r="AF1588" s="65">
        <f>tblWorkPackages[[#This Row],[Completion date serial]]-tblWorkPackages[[#This Row],[Last labor date]]</f>
        <v>2</v>
      </c>
      <c r="AG1588" s="65">
        <f>tblWorkPackages[[#This Row],[Completion date serial]]-tblWorkPackages[[#This Row],[Request date serial]]</f>
        <v>20</v>
      </c>
      <c r="AH1588" s="65">
        <f>IFERROR(INDEX(tblParts[Delay days],MATCH(tblWorkPackages[[#This Row],[Work package ID]],tblParts[Work package ID],0)),0)</f>
        <v>0</v>
      </c>
      <c r="AI1588" s="51" t="str">
        <f>IFERROR(INDEX(tblDisruptions[Event type],MATCH(tblWorkPackages[[#This Row],[Work package ID]],tblDisruptions[Work package ID],0)),"None")</f>
        <v>None</v>
      </c>
      <c r="AJ1588" s="51" t="str">
        <f>TEXT(tblWorkPackages[[#This Row],[Due date serial]],"yyyy-mm")</f>
        <v>2024-11</v>
      </c>
    </row>
    <row r="1589" spans="1:36" ht="15" x14ac:dyDescent="0.25">
      <c r="A1589" s="53" t="s">
        <v>2497</v>
      </c>
      <c r="B1589" s="53" t="s">
        <v>163</v>
      </c>
      <c r="C1589" s="53" t="s">
        <v>890</v>
      </c>
      <c r="D1589" s="53" t="s">
        <v>1200</v>
      </c>
      <c r="E1589" s="53" t="s">
        <v>209</v>
      </c>
      <c r="F1589" s="53" t="s">
        <v>145</v>
      </c>
      <c r="G1589" s="53" t="s">
        <v>210</v>
      </c>
      <c r="H1589" s="53">
        <v>1</v>
      </c>
      <c r="I1589" s="53" t="s">
        <v>176</v>
      </c>
      <c r="J1589" s="53">
        <v>0</v>
      </c>
      <c r="K1589" s="53">
        <v>1</v>
      </c>
      <c r="L1589" s="53">
        <v>11.8</v>
      </c>
      <c r="M1589" s="53" t="s">
        <v>515</v>
      </c>
      <c r="N1589" s="53">
        <v>12.6</v>
      </c>
      <c r="O1589" s="51" t="str">
        <f>TEXT(tblWorkPackages[[#This Row],[Request date serial]]-WEEKDAY(tblWorkPackages[[#This Row],[Request date serial]],3),"yyyy-mm-dd")</f>
        <v>2024-11-11</v>
      </c>
      <c r="P1589" s="51">
        <f>ABS(tblWorkPackages[[#This Row],[Actual labor hours]]-tblWorkPackages[[#This Row],[Estimated labor hours]])</f>
        <v>0.799999999999999</v>
      </c>
      <c r="Q1589" s="51">
        <f>IF(tblWorkPackages[[#This Row],[Actual labor hours]]&gt;tblWorkPackages[[#This Row],[Estimated labor hours]],1,0)</f>
        <v>1</v>
      </c>
      <c r="R1589" s="51">
        <f>tblWorkPackages[[#This Row],[Actual labor hours]]-tblWorkPackages[[#This Row],[Estimated labor hours]]</f>
        <v>0.799999999999999</v>
      </c>
      <c r="S1589" s="51" t="str">
        <f>IF(tblWorkPackages[[#This Row],[Request date serial]]&lt;ValidationStart,"Train 2024",IF(tblWorkPackages[[#This Row],[Request date serial]]&lt;HoldoutStart,"Validation H1","Holdout H2"))</f>
        <v>Train 2024</v>
      </c>
      <c r="T1589" s="51" t="str">
        <f>IF(tblWorkPackages[[#This Row],[Time split]]="Train 2024","",tblWorkPackages[[#This Row],[Estimated labor hours]]+VLOOKUP(tblWorkPackages[[#This Row],[Task type]],'Forecast validation'!$A$14:$E$25,IF(tblWorkPackages[[#This Row],[Time split]]="Validation H1",4,5),FALSE()))</f>
        <v/>
      </c>
      <c r="U1589" s="51" t="str">
        <f>IF(tblWorkPackages[[#This Row],[Calibrated forecast hours]]="","",ABS(tblWorkPackages[[#This Row],[Actual labor hours]]-tblWorkPackages[[#This Row],[Calibrated forecast hours]]))</f>
        <v/>
      </c>
      <c r="V1589" s="51">
        <f>IF(tblWorkPackages[[#This Row],[Time split]]="Train 2024",tblWorkPackages[[#This Row],[Estimated labor hours]],tblWorkPackages[[#This Row],[Calibrated forecast hours]])</f>
        <v>11.8</v>
      </c>
      <c r="W1589" s="64">
        <f>DATEVALUE(tblWorkPackages[[#This Row],[Request date]])</f>
        <v>45613.0</v>
      </c>
      <c r="X1589" s="64">
        <f>DATEVALUE(tblWorkPackages[[#This Row],[Due date]])</f>
        <v>45619.0</v>
      </c>
      <c r="Y1589" s="64">
        <f>DATEVALUE(tblWorkPackages[[#This Row],[Completion date]])</f>
        <v>45621.0</v>
      </c>
      <c r="Z1589" s="64">
        <f>_xlfn.MINIFS(tblLaborEntries[Work date serial],tblLaborEntries[Work package ID],tblWorkPackages[[#This Row],[Work package ID]])</f>
        <v>45617.0</v>
      </c>
      <c r="AA1589" s="64">
        <f>_xlfn.MAXIFS(tblLaborEntries[Work date serial],tblLaborEntries[Work package ID],tblWorkPackages[[#This Row],[Work package ID]])</f>
        <v>45618.0</v>
      </c>
      <c r="AB1589" s="65">
        <f>IF(tblWorkPackages[[#This Row],[Completion date serial]]&gt;tblWorkPackages[[#This Row],[Due date serial]],1,0)</f>
        <v>1</v>
      </c>
      <c r="AC1589" s="65">
        <f>MAX(0,tblWorkPackages[[#This Row],[Completion date serial]]-tblWorkPackages[[#This Row],[Due date serial]])</f>
        <v>2</v>
      </c>
      <c r="AD1589" s="65">
        <f>tblWorkPackages[[#This Row],[First labor date]]-tblWorkPackages[[#This Row],[Request date serial]]</f>
        <v>4</v>
      </c>
      <c r="AE1589" s="65">
        <f>tblWorkPackages[[#This Row],[Last labor date]]-tblWorkPackages[[#This Row],[First labor date]]</f>
        <v>1</v>
      </c>
      <c r="AF1589" s="65">
        <f>tblWorkPackages[[#This Row],[Completion date serial]]-tblWorkPackages[[#This Row],[Last labor date]]</f>
        <v>3</v>
      </c>
      <c r="AG1589" s="65">
        <f>tblWorkPackages[[#This Row],[Completion date serial]]-tblWorkPackages[[#This Row],[Request date serial]]</f>
        <v>8</v>
      </c>
      <c r="AH1589" s="65">
        <f>IFERROR(INDEX(tblParts[Delay days],MATCH(tblWorkPackages[[#This Row],[Work package ID]],tblParts[Work package ID],0)),0)</f>
        <v>0</v>
      </c>
      <c r="AI1589" s="51" t="str">
        <f>IFERROR(INDEX(tblDisruptions[Event type],MATCH(tblWorkPackages[[#This Row],[Work package ID]],tblDisruptions[Work package ID],0)),"None")</f>
        <v>None</v>
      </c>
      <c r="AJ1589" s="51" t="str">
        <f>TEXT(tblWorkPackages[[#This Row],[Due date serial]],"yyyy-mm")</f>
        <v>2024-11</v>
      </c>
    </row>
    <row r="1590" spans="1:36" ht="15" x14ac:dyDescent="0.25">
      <c r="A1590" s="53" t="s">
        <v>2498</v>
      </c>
      <c r="B1590" s="53" t="s">
        <v>185</v>
      </c>
      <c r="C1590" s="53" t="s">
        <v>1301</v>
      </c>
      <c r="D1590" s="53" t="s">
        <v>909</v>
      </c>
      <c r="E1590" s="53" t="s">
        <v>200</v>
      </c>
      <c r="F1590" s="53" t="s">
        <v>128</v>
      </c>
      <c r="G1590" s="53" t="s">
        <v>129</v>
      </c>
      <c r="H1590" s="53">
        <v>2</v>
      </c>
      <c r="I1590" s="53" t="s">
        <v>130</v>
      </c>
      <c r="J1590" s="53">
        <v>0</v>
      </c>
      <c r="K1590" s="53">
        <v>1</v>
      </c>
      <c r="L1590" s="53">
        <v>2.9</v>
      </c>
      <c r="M1590" s="53" t="s">
        <v>1427</v>
      </c>
      <c r="N1590" s="53">
        <v>2.8</v>
      </c>
      <c r="O1590" s="51" t="str">
        <f>TEXT(tblWorkPackages[[#This Row],[Request date serial]]-WEEKDAY(tblWorkPackages[[#This Row],[Request date serial]],3),"yyyy-mm-dd")</f>
        <v>2025-11-24</v>
      </c>
      <c r="P1590" s="51">
        <f>ABS(tblWorkPackages[[#This Row],[Actual labor hours]]-tblWorkPackages[[#This Row],[Estimated labor hours]])</f>
        <v>0.1</v>
      </c>
      <c r="Q1590" s="51">
        <f>IF(tblWorkPackages[[#This Row],[Actual labor hours]]&gt;tblWorkPackages[[#This Row],[Estimated labor hours]],1,0)</f>
        <v>0</v>
      </c>
      <c r="R1590" s="51">
        <f>tblWorkPackages[[#This Row],[Actual labor hours]]-tblWorkPackages[[#This Row],[Estimated labor hours]]</f>
        <v>-0.1</v>
      </c>
      <c r="S1590" s="51" t="str">
        <f>IF(tblWorkPackages[[#This Row],[Request date serial]]&lt;ValidationStart,"Train 2024",IF(tblWorkPackages[[#This Row],[Request date serial]]&lt;HoldoutStart,"Validation H1","Holdout H2"))</f>
        <v>Holdout H2</v>
      </c>
      <c r="T1590" s="51">
        <f>IF(tblWorkPackages[[#This Row],[Time split]]="Train 2024","",tblWorkPackages[[#This Row],[Estimated labor hours]]+VLOOKUP(tblWorkPackages[[#This Row],[Task type]],'Forecast validation'!$A$14:$E$25,IF(tblWorkPackages[[#This Row],[Time split]]="Validation H1",4,5),FALSE()))</f>
        <v>3.22893081761006</v>
      </c>
      <c r="U1590" s="51">
        <f>IF(tblWorkPackages[[#This Row],[Calibrated forecast hours]]="","",ABS(tblWorkPackages[[#This Row],[Actual labor hours]]-tblWorkPackages[[#This Row],[Calibrated forecast hours]]))</f>
        <v>0.428930817610063</v>
      </c>
      <c r="V1590" s="51">
        <f>IF(tblWorkPackages[[#This Row],[Time split]]="Train 2024",tblWorkPackages[[#This Row],[Estimated labor hours]],tblWorkPackages[[#This Row],[Calibrated forecast hours]])</f>
        <v>3.22893081761006</v>
      </c>
      <c r="W1590" s="64">
        <f>DATEVALUE(tblWorkPackages[[#This Row],[Request date]])</f>
        <v>45986.0</v>
      </c>
      <c r="X1590" s="64">
        <f>DATEVALUE(tblWorkPackages[[#This Row],[Due date]])</f>
        <v>45999.0</v>
      </c>
      <c r="Y1590" s="64">
        <f>DATEVALUE(tblWorkPackages[[#This Row],[Completion date]])</f>
        <v>45987.0</v>
      </c>
      <c r="Z1590" s="64">
        <f>_xlfn.MINIFS(tblLaborEntries[Work date serial],tblLaborEntries[Work package ID],tblWorkPackages[[#This Row],[Work package ID]])</f>
        <v>45987.0</v>
      </c>
      <c r="AA1590" s="64">
        <f>_xlfn.MAXIFS(tblLaborEntries[Work date serial],tblLaborEntries[Work package ID],tblWorkPackages[[#This Row],[Work package ID]])</f>
        <v>45987.0</v>
      </c>
      <c r="AB1590" s="65">
        <f>IF(tblWorkPackages[[#This Row],[Completion date serial]]&gt;tblWorkPackages[[#This Row],[Due date serial]],1,0)</f>
        <v>0</v>
      </c>
      <c r="AC1590" s="65">
        <f>MAX(0,tblWorkPackages[[#This Row],[Completion date serial]]-tblWorkPackages[[#This Row],[Due date serial]])</f>
        <v>0</v>
      </c>
      <c r="AD1590" s="65">
        <f>tblWorkPackages[[#This Row],[First labor date]]-tblWorkPackages[[#This Row],[Request date serial]]</f>
        <v>1</v>
      </c>
      <c r="AE1590" s="65">
        <f>tblWorkPackages[[#This Row],[Last labor date]]-tblWorkPackages[[#This Row],[First labor date]]</f>
        <v>0</v>
      </c>
      <c r="AF1590" s="65">
        <f>tblWorkPackages[[#This Row],[Completion date serial]]-tblWorkPackages[[#This Row],[Last labor date]]</f>
        <v>0</v>
      </c>
      <c r="AG1590" s="65">
        <f>tblWorkPackages[[#This Row],[Completion date serial]]-tblWorkPackages[[#This Row],[Request date serial]]</f>
        <v>1</v>
      </c>
      <c r="AH1590" s="65">
        <f>IFERROR(INDEX(tblParts[Delay days],MATCH(tblWorkPackages[[#This Row],[Work package ID]],tblParts[Work package ID],0)),0)</f>
        <v>0</v>
      </c>
      <c r="AI1590" s="51" t="str">
        <f>IFERROR(INDEX(tblDisruptions[Event type],MATCH(tblWorkPackages[[#This Row],[Work package ID]],tblDisruptions[Work package ID],0)),"None")</f>
        <v>None</v>
      </c>
      <c r="AJ1590" s="51" t="str">
        <f>TEXT(tblWorkPackages[[#This Row],[Due date serial]],"yyyy-mm")</f>
        <v>2025-12</v>
      </c>
    </row>
    <row r="1591" spans="1:36" ht="15" x14ac:dyDescent="0.25">
      <c r="A1591" s="53" t="s">
        <v>2499</v>
      </c>
      <c r="B1591" s="53" t="s">
        <v>203</v>
      </c>
      <c r="C1591" s="53" t="s">
        <v>729</v>
      </c>
      <c r="D1591" s="53" t="s">
        <v>740</v>
      </c>
      <c r="E1591" s="53" t="s">
        <v>153</v>
      </c>
      <c r="F1591" s="53" t="s">
        <v>128</v>
      </c>
      <c r="G1591" s="53" t="s">
        <v>154</v>
      </c>
      <c r="H1591" s="53">
        <v>3</v>
      </c>
      <c r="I1591" s="53" t="s">
        <v>130</v>
      </c>
      <c r="J1591" s="53">
        <v>0</v>
      </c>
      <c r="K1591" s="53">
        <v>0</v>
      </c>
      <c r="L1591" s="53">
        <v>13.2</v>
      </c>
      <c r="M1591" s="53" t="s">
        <v>740</v>
      </c>
      <c r="N1591" s="53">
        <v>12.7</v>
      </c>
      <c r="O1591" s="51" t="str">
        <f>TEXT(tblWorkPackages[[#This Row],[Request date serial]]-WEEKDAY(tblWorkPackages[[#This Row],[Request date serial]],3),"yyyy-mm-dd")</f>
        <v>2025-05-05</v>
      </c>
      <c r="P1591" s="51">
        <f>ABS(tblWorkPackages[[#This Row],[Actual labor hours]]-tblWorkPackages[[#This Row],[Estimated labor hours]])</f>
        <v>0.5</v>
      </c>
      <c r="Q1591" s="51">
        <f>IF(tblWorkPackages[[#This Row],[Actual labor hours]]&gt;tblWorkPackages[[#This Row],[Estimated labor hours]],1,0)</f>
        <v>0</v>
      </c>
      <c r="R1591" s="51">
        <f>tblWorkPackages[[#This Row],[Actual labor hours]]-tblWorkPackages[[#This Row],[Estimated labor hours]]</f>
        <v>-0.5</v>
      </c>
      <c r="S1591" s="51" t="str">
        <f>IF(tblWorkPackages[[#This Row],[Request date serial]]&lt;ValidationStart,"Train 2024",IF(tblWorkPackages[[#This Row],[Request date serial]]&lt;HoldoutStart,"Validation H1","Holdout H2"))</f>
        <v>Validation H1</v>
      </c>
      <c r="T1591" s="51">
        <f>IF(tblWorkPackages[[#This Row],[Time split]]="Train 2024","",tblWorkPackages[[#This Row],[Estimated labor hours]]+VLOOKUP(tblWorkPackages[[#This Row],[Task type]],'Forecast validation'!$A$14:$E$25,IF(tblWorkPackages[[#This Row],[Time split]]="Validation H1",4,5),FALSE()))</f>
        <v>13.7462264150943</v>
      </c>
      <c r="U1591" s="51">
        <f>IF(tblWorkPackages[[#This Row],[Calibrated forecast hours]]="","",ABS(tblWorkPackages[[#This Row],[Actual labor hours]]-tblWorkPackages[[#This Row],[Calibrated forecast hours]]))</f>
        <v>1.04622641509434</v>
      </c>
      <c r="V1591" s="51">
        <f>IF(tblWorkPackages[[#This Row],[Time split]]="Train 2024",tblWorkPackages[[#This Row],[Estimated labor hours]],tblWorkPackages[[#This Row],[Calibrated forecast hours]])</f>
        <v>13.7462264150943</v>
      </c>
      <c r="W1591" s="64">
        <f>DATEVALUE(tblWorkPackages[[#This Row],[Request date]])</f>
        <v>45784.0</v>
      </c>
      <c r="X1591" s="64">
        <f>DATEVALUE(tblWorkPackages[[#This Row],[Due date]])</f>
        <v>45797.0</v>
      </c>
      <c r="Y1591" s="64">
        <f>DATEVALUE(tblWorkPackages[[#This Row],[Completion date]])</f>
        <v>45797.0</v>
      </c>
      <c r="Z1591" s="64">
        <f>_xlfn.MINIFS(tblLaborEntries[Work date serial],tblLaborEntries[Work package ID],tblWorkPackages[[#This Row],[Work package ID]])</f>
        <v>45795.0</v>
      </c>
      <c r="AA1591" s="64">
        <f>_xlfn.MAXIFS(tblLaborEntries[Work date serial],tblLaborEntries[Work package ID],tblWorkPackages[[#This Row],[Work package ID]])</f>
        <v>45796.0</v>
      </c>
      <c r="AB1591" s="65">
        <f>IF(tblWorkPackages[[#This Row],[Completion date serial]]&gt;tblWorkPackages[[#This Row],[Due date serial]],1,0)</f>
        <v>0</v>
      </c>
      <c r="AC1591" s="65">
        <f>MAX(0,tblWorkPackages[[#This Row],[Completion date serial]]-tblWorkPackages[[#This Row],[Due date serial]])</f>
        <v>0</v>
      </c>
      <c r="AD1591" s="65">
        <f>tblWorkPackages[[#This Row],[First labor date]]-tblWorkPackages[[#This Row],[Request date serial]]</f>
        <v>11</v>
      </c>
      <c r="AE1591" s="65">
        <f>tblWorkPackages[[#This Row],[Last labor date]]-tblWorkPackages[[#This Row],[First labor date]]</f>
        <v>1</v>
      </c>
      <c r="AF1591" s="65">
        <f>tblWorkPackages[[#This Row],[Completion date serial]]-tblWorkPackages[[#This Row],[Last labor date]]</f>
        <v>1</v>
      </c>
      <c r="AG1591" s="65">
        <f>tblWorkPackages[[#This Row],[Completion date serial]]-tblWorkPackages[[#This Row],[Request date serial]]</f>
        <v>13</v>
      </c>
      <c r="AH1591" s="65">
        <f>IFERROR(INDEX(tblParts[Delay days],MATCH(tblWorkPackages[[#This Row],[Work package ID]],tblParts[Work package ID],0)),0)</f>
        <v>0</v>
      </c>
      <c r="AI1591" s="51" t="str">
        <f>IFERROR(INDEX(tblDisruptions[Event type],MATCH(tblWorkPackages[[#This Row],[Work package ID]],tblDisruptions[Work package ID],0)),"None")</f>
        <v>None</v>
      </c>
      <c r="AJ1591" s="51" t="str">
        <f>TEXT(tblWorkPackages[[#This Row],[Due date serial]],"yyyy-mm")</f>
        <v>2025-05</v>
      </c>
    </row>
    <row r="1592" spans="1:36" ht="15" x14ac:dyDescent="0.25">
      <c r="A1592" s="53" t="s">
        <v>2500</v>
      </c>
      <c r="B1592" s="53" t="s">
        <v>287</v>
      </c>
      <c r="C1592" s="53" t="s">
        <v>1230</v>
      </c>
      <c r="D1592" s="53" t="s">
        <v>161</v>
      </c>
      <c r="E1592" s="53" t="s">
        <v>200</v>
      </c>
      <c r="F1592" s="53" t="s">
        <v>128</v>
      </c>
      <c r="G1592" s="53" t="s">
        <v>129</v>
      </c>
      <c r="H1592" s="53">
        <v>2</v>
      </c>
      <c r="I1592" s="53" t="s">
        <v>130</v>
      </c>
      <c r="J1592" s="53">
        <v>1</v>
      </c>
      <c r="K1592" s="53">
        <v>0</v>
      </c>
      <c r="L1592" s="53">
        <v>2.8</v>
      </c>
      <c r="M1592" s="53" t="s">
        <v>555</v>
      </c>
      <c r="N1592" s="53">
        <v>4.4000000000000004</v>
      </c>
      <c r="O1592" s="51" t="str">
        <f>TEXT(tblWorkPackages[[#This Row],[Request date serial]]-WEEKDAY(tblWorkPackages[[#This Row],[Request date serial]],3),"yyyy-mm-dd")</f>
        <v>2024-11-18</v>
      </c>
      <c r="P1592" s="51">
        <f>ABS(tblWorkPackages[[#This Row],[Actual labor hours]]-tblWorkPackages[[#This Row],[Estimated labor hours]])</f>
        <v>1.6</v>
      </c>
      <c r="Q1592" s="51">
        <f>IF(tblWorkPackages[[#This Row],[Actual labor hours]]&gt;tblWorkPackages[[#This Row],[Estimated labor hours]],1,0)</f>
        <v>1</v>
      </c>
      <c r="R1592" s="51">
        <f>tblWorkPackages[[#This Row],[Actual labor hours]]-tblWorkPackages[[#This Row],[Estimated labor hours]]</f>
        <v>1.6</v>
      </c>
      <c r="S1592" s="51" t="str">
        <f>IF(tblWorkPackages[[#This Row],[Request date serial]]&lt;ValidationStart,"Train 2024",IF(tblWorkPackages[[#This Row],[Request date serial]]&lt;HoldoutStart,"Validation H1","Holdout H2"))</f>
        <v>Train 2024</v>
      </c>
      <c r="T1592" s="51" t="str">
        <f>IF(tblWorkPackages[[#This Row],[Time split]]="Train 2024","",tblWorkPackages[[#This Row],[Estimated labor hours]]+VLOOKUP(tblWorkPackages[[#This Row],[Task type]],'Forecast validation'!$A$14:$E$25,IF(tblWorkPackages[[#This Row],[Time split]]="Validation H1",4,5),FALSE()))</f>
        <v/>
      </c>
      <c r="U1592" s="51" t="str">
        <f>IF(tblWorkPackages[[#This Row],[Calibrated forecast hours]]="","",ABS(tblWorkPackages[[#This Row],[Actual labor hours]]-tblWorkPackages[[#This Row],[Calibrated forecast hours]]))</f>
        <v/>
      </c>
      <c r="V1592" s="51">
        <f>IF(tblWorkPackages[[#This Row],[Time split]]="Train 2024",tblWorkPackages[[#This Row],[Estimated labor hours]],tblWorkPackages[[#This Row],[Calibrated forecast hours]])</f>
        <v>2.8</v>
      </c>
      <c r="W1592" s="64">
        <f>DATEVALUE(tblWorkPackages[[#This Row],[Request date]])</f>
        <v>45615.0</v>
      </c>
      <c r="X1592" s="64">
        <f>DATEVALUE(tblWorkPackages[[#This Row],[Due date]])</f>
        <v>45628.0</v>
      </c>
      <c r="Y1592" s="64">
        <f>DATEVALUE(tblWorkPackages[[#This Row],[Completion date]])</f>
        <v>45622.0</v>
      </c>
      <c r="Z1592" s="64">
        <f>_xlfn.MINIFS(tblLaborEntries[Work date serial],tblLaborEntries[Work package ID],tblWorkPackages[[#This Row],[Work package ID]])</f>
        <v>45618.0</v>
      </c>
      <c r="AA1592" s="64">
        <f>_xlfn.MAXIFS(tblLaborEntries[Work date serial],tblLaborEntries[Work package ID],tblWorkPackages[[#This Row],[Work package ID]])</f>
        <v>45620.0</v>
      </c>
      <c r="AB1592" s="65">
        <f>IF(tblWorkPackages[[#This Row],[Completion date serial]]&gt;tblWorkPackages[[#This Row],[Due date serial]],1,0)</f>
        <v>0</v>
      </c>
      <c r="AC1592" s="65">
        <f>MAX(0,tblWorkPackages[[#This Row],[Completion date serial]]-tblWorkPackages[[#This Row],[Due date serial]])</f>
        <v>0</v>
      </c>
      <c r="AD1592" s="65">
        <f>tblWorkPackages[[#This Row],[First labor date]]-tblWorkPackages[[#This Row],[Request date serial]]</f>
        <v>3</v>
      </c>
      <c r="AE1592" s="65">
        <f>tblWorkPackages[[#This Row],[Last labor date]]-tblWorkPackages[[#This Row],[First labor date]]</f>
        <v>2</v>
      </c>
      <c r="AF1592" s="65">
        <f>tblWorkPackages[[#This Row],[Completion date serial]]-tblWorkPackages[[#This Row],[Last labor date]]</f>
        <v>2</v>
      </c>
      <c r="AG1592" s="65">
        <f>tblWorkPackages[[#This Row],[Completion date serial]]-tblWorkPackages[[#This Row],[Request date serial]]</f>
        <v>7</v>
      </c>
      <c r="AH1592" s="65">
        <f>IFERROR(INDEX(tblParts[Delay days],MATCH(tblWorkPackages[[#This Row],[Work package ID]],tblParts[Work package ID],0)),0)</f>
        <v>0</v>
      </c>
      <c r="AI1592" s="51" t="str">
        <f>IFERROR(INDEX(tblDisruptions[Event type],MATCH(tblWorkPackages[[#This Row],[Work package ID]],tblDisruptions[Work package ID],0)),"None")</f>
        <v>None</v>
      </c>
      <c r="AJ1592" s="51" t="str">
        <f>TEXT(tblWorkPackages[[#This Row],[Due date serial]],"yyyy-mm")</f>
        <v>2024-12</v>
      </c>
    </row>
    <row r="1593" spans="1:36" ht="15" x14ac:dyDescent="0.25">
      <c r="A1593" s="53" t="s">
        <v>2501</v>
      </c>
      <c r="B1593" s="53" t="s">
        <v>230</v>
      </c>
      <c r="C1593" s="53" t="s">
        <v>261</v>
      </c>
      <c r="D1593" s="53" t="s">
        <v>1062</v>
      </c>
      <c r="E1593" s="53" t="s">
        <v>209</v>
      </c>
      <c r="F1593" s="53" t="s">
        <v>145</v>
      </c>
      <c r="G1593" s="53" t="s">
        <v>210</v>
      </c>
      <c r="H1593" s="53">
        <v>3</v>
      </c>
      <c r="I1593" s="53" t="s">
        <v>176</v>
      </c>
      <c r="J1593" s="53">
        <v>0</v>
      </c>
      <c r="K1593" s="53">
        <v>1</v>
      </c>
      <c r="L1593" s="53">
        <v>30.1</v>
      </c>
      <c r="M1593" s="53" t="s">
        <v>826</v>
      </c>
      <c r="N1593" s="53">
        <v>51.1</v>
      </c>
      <c r="O1593" s="51" t="str">
        <f>TEXT(tblWorkPackages[[#This Row],[Request date serial]]-WEEKDAY(tblWorkPackages[[#This Row],[Request date serial]],3),"yyyy-mm-dd")</f>
        <v>2025-01-13</v>
      </c>
      <c r="P1593" s="51">
        <f>ABS(tblWorkPackages[[#This Row],[Actual labor hours]]-tblWorkPackages[[#This Row],[Estimated labor hours]])</f>
        <v>21</v>
      </c>
      <c r="Q1593" s="51">
        <f>IF(tblWorkPackages[[#This Row],[Actual labor hours]]&gt;tblWorkPackages[[#This Row],[Estimated labor hours]],1,0)</f>
        <v>1</v>
      </c>
      <c r="R1593" s="51">
        <f>tblWorkPackages[[#This Row],[Actual labor hours]]-tblWorkPackages[[#This Row],[Estimated labor hours]]</f>
        <v>21</v>
      </c>
      <c r="S1593" s="51" t="str">
        <f>IF(tblWorkPackages[[#This Row],[Request date serial]]&lt;ValidationStart,"Train 2024",IF(tblWorkPackages[[#This Row],[Request date serial]]&lt;HoldoutStart,"Validation H1","Holdout H2"))</f>
        <v>Validation H1</v>
      </c>
      <c r="T1593" s="51">
        <f>IF(tblWorkPackages[[#This Row],[Time split]]="Train 2024","",tblWorkPackages[[#This Row],[Estimated labor hours]]+VLOOKUP(tblWorkPackages[[#This Row],[Task type]],'Forecast validation'!$A$14:$E$25,IF(tblWorkPackages[[#This Row],[Time split]]="Validation H1",4,5),FALSE()))</f>
        <v>31.2029850746269</v>
      </c>
      <c r="U1593" s="51">
        <f>IF(tblWorkPackages[[#This Row],[Calibrated forecast hours]]="","",ABS(tblWorkPackages[[#This Row],[Actual labor hours]]-tblWorkPackages[[#This Row],[Calibrated forecast hours]]))</f>
        <v>19.8970149253731</v>
      </c>
      <c r="V1593" s="51">
        <f>IF(tblWorkPackages[[#This Row],[Time split]]="Train 2024",tblWorkPackages[[#This Row],[Estimated labor hours]],tblWorkPackages[[#This Row],[Calibrated forecast hours]])</f>
        <v>31.2029850746269</v>
      </c>
      <c r="W1593" s="64">
        <f>DATEVALUE(tblWorkPackages[[#This Row],[Request date]])</f>
        <v>45676.0</v>
      </c>
      <c r="X1593" s="64">
        <f>DATEVALUE(tblWorkPackages[[#This Row],[Due date]])</f>
        <v>45682.0</v>
      </c>
      <c r="Y1593" s="64">
        <f>DATEVALUE(tblWorkPackages[[#This Row],[Completion date]])</f>
        <v>45724.0</v>
      </c>
      <c r="Z1593" s="64">
        <f>_xlfn.MINIFS(tblLaborEntries[Work date serial],tblLaborEntries[Work package ID],tblWorkPackages[[#This Row],[Work package ID]])</f>
        <v>45720.0</v>
      </c>
      <c r="AA1593" s="64">
        <f>_xlfn.MAXIFS(tblLaborEntries[Work date serial],tblLaborEntries[Work package ID],tblWorkPackages[[#This Row],[Work package ID]])</f>
        <v>45721.0</v>
      </c>
      <c r="AB1593" s="65">
        <f>IF(tblWorkPackages[[#This Row],[Completion date serial]]&gt;tblWorkPackages[[#This Row],[Due date serial]],1,0)</f>
        <v>1</v>
      </c>
      <c r="AC1593" s="65">
        <f>MAX(0,tblWorkPackages[[#This Row],[Completion date serial]]-tblWorkPackages[[#This Row],[Due date serial]])</f>
        <v>42</v>
      </c>
      <c r="AD1593" s="65">
        <f>tblWorkPackages[[#This Row],[First labor date]]-tblWorkPackages[[#This Row],[Request date serial]]</f>
        <v>44</v>
      </c>
      <c r="AE1593" s="65">
        <f>tblWorkPackages[[#This Row],[Last labor date]]-tblWorkPackages[[#This Row],[First labor date]]</f>
        <v>1</v>
      </c>
      <c r="AF1593" s="65">
        <f>tblWorkPackages[[#This Row],[Completion date serial]]-tblWorkPackages[[#This Row],[Last labor date]]</f>
        <v>3</v>
      </c>
      <c r="AG1593" s="65">
        <f>tblWorkPackages[[#This Row],[Completion date serial]]-tblWorkPackages[[#This Row],[Request date serial]]</f>
        <v>48</v>
      </c>
      <c r="AH1593" s="65">
        <f>IFERROR(INDEX(tblParts[Delay days],MATCH(tblWorkPackages[[#This Row],[Work package ID]],tblParts[Work package ID],0)),0)</f>
        <v>13</v>
      </c>
      <c r="AI1593" s="51" t="str">
        <f>IFERROR(INDEX(tblDisruptions[Event type],MATCH(tblWorkPackages[[#This Row],[Work package ID]],tblDisruptions[Work package ID],0)),"None")</f>
        <v>Part delay</v>
      </c>
      <c r="AJ1593" s="51" t="str">
        <f>TEXT(tblWorkPackages[[#This Row],[Due date serial]],"yyyy-mm")</f>
        <v>2025-01</v>
      </c>
    </row>
    <row r="1594" spans="1:36" ht="15" x14ac:dyDescent="0.25">
      <c r="A1594" s="53" t="s">
        <v>2502</v>
      </c>
      <c r="B1594" s="53" t="s">
        <v>150</v>
      </c>
      <c r="C1594" s="53" t="s">
        <v>341</v>
      </c>
      <c r="D1594" s="53" t="s">
        <v>342</v>
      </c>
      <c r="E1594" s="53" t="s">
        <v>242</v>
      </c>
      <c r="F1594" s="53" t="s">
        <v>243</v>
      </c>
      <c r="G1594" s="53" t="s">
        <v>129</v>
      </c>
      <c r="H1594" s="53">
        <v>3</v>
      </c>
      <c r="I1594" s="53" t="s">
        <v>130</v>
      </c>
      <c r="J1594" s="53">
        <v>0</v>
      </c>
      <c r="K1594" s="53">
        <v>1</v>
      </c>
      <c r="L1594" s="53">
        <v>12.3</v>
      </c>
      <c r="M1594" s="53" t="s">
        <v>842</v>
      </c>
      <c r="N1594" s="53">
        <v>15.5</v>
      </c>
      <c r="O1594" s="51" t="str">
        <f>TEXT(tblWorkPackages[[#This Row],[Request date serial]]-WEEKDAY(tblWorkPackages[[#This Row],[Request date serial]],3),"yyyy-mm-dd")</f>
        <v>2025-07-14</v>
      </c>
      <c r="P1594" s="51">
        <f>ABS(tblWorkPackages[[#This Row],[Actual labor hours]]-tblWorkPackages[[#This Row],[Estimated labor hours]])</f>
        <v>3.2</v>
      </c>
      <c r="Q1594" s="51">
        <f>IF(tblWorkPackages[[#This Row],[Actual labor hours]]&gt;tblWorkPackages[[#This Row],[Estimated labor hours]],1,0)</f>
        <v>1</v>
      </c>
      <c r="R1594" s="51">
        <f>tblWorkPackages[[#This Row],[Actual labor hours]]-tblWorkPackages[[#This Row],[Estimated labor hours]]</f>
        <v>3.2</v>
      </c>
      <c r="S1594" s="51" t="str">
        <f>IF(tblWorkPackages[[#This Row],[Request date serial]]&lt;ValidationStart,"Train 2024",IF(tblWorkPackages[[#This Row],[Request date serial]]&lt;HoldoutStart,"Validation H1","Holdout H2"))</f>
        <v>Holdout H2</v>
      </c>
      <c r="T1594" s="51">
        <f>IF(tblWorkPackages[[#This Row],[Time split]]="Train 2024","",tblWorkPackages[[#This Row],[Estimated labor hours]]+VLOOKUP(tblWorkPackages[[#This Row],[Task type]],'Forecast validation'!$A$14:$E$25,IF(tblWorkPackages[[#This Row],[Time split]]="Validation H1",4,5),FALSE()))</f>
        <v>13.1254545454545</v>
      </c>
      <c r="U1594" s="51">
        <f>IF(tblWorkPackages[[#This Row],[Calibrated forecast hours]]="","",ABS(tblWorkPackages[[#This Row],[Actual labor hours]]-tblWorkPackages[[#This Row],[Calibrated forecast hours]]))</f>
        <v>2.37454545454545</v>
      </c>
      <c r="V1594" s="51">
        <f>IF(tblWorkPackages[[#This Row],[Time split]]="Train 2024",tblWorkPackages[[#This Row],[Estimated labor hours]],tblWorkPackages[[#This Row],[Calibrated forecast hours]])</f>
        <v>13.1254545454545</v>
      </c>
      <c r="W1594" s="64">
        <f>DATEVALUE(tblWorkPackages[[#This Row],[Request date]])</f>
        <v>45858.0</v>
      </c>
      <c r="X1594" s="64">
        <f>DATEVALUE(tblWorkPackages[[#This Row],[Due date]])</f>
        <v>45871.0</v>
      </c>
      <c r="Y1594" s="64">
        <f>DATEVALUE(tblWorkPackages[[#This Row],[Completion date]])</f>
        <v>45865.0</v>
      </c>
      <c r="Z1594" s="64">
        <f>_xlfn.MINIFS(tblLaborEntries[Work date serial],tblLaborEntries[Work package ID],tblWorkPackages[[#This Row],[Work package ID]])</f>
        <v>45864.0</v>
      </c>
      <c r="AA1594" s="64">
        <f>_xlfn.MAXIFS(tblLaborEntries[Work date serial],tblLaborEntries[Work package ID],tblWorkPackages[[#This Row],[Work package ID]])</f>
        <v>45865.0</v>
      </c>
      <c r="AB1594" s="65">
        <f>IF(tblWorkPackages[[#This Row],[Completion date serial]]&gt;tblWorkPackages[[#This Row],[Due date serial]],1,0)</f>
        <v>0</v>
      </c>
      <c r="AC1594" s="65">
        <f>MAX(0,tblWorkPackages[[#This Row],[Completion date serial]]-tblWorkPackages[[#This Row],[Due date serial]])</f>
        <v>0</v>
      </c>
      <c r="AD1594" s="65">
        <f>tblWorkPackages[[#This Row],[First labor date]]-tblWorkPackages[[#This Row],[Request date serial]]</f>
        <v>6</v>
      </c>
      <c r="AE1594" s="65">
        <f>tblWorkPackages[[#This Row],[Last labor date]]-tblWorkPackages[[#This Row],[First labor date]]</f>
        <v>1</v>
      </c>
      <c r="AF1594" s="65">
        <f>tblWorkPackages[[#This Row],[Completion date serial]]-tblWorkPackages[[#This Row],[Last labor date]]</f>
        <v>0</v>
      </c>
      <c r="AG1594" s="65">
        <f>tblWorkPackages[[#This Row],[Completion date serial]]-tblWorkPackages[[#This Row],[Request date serial]]</f>
        <v>7</v>
      </c>
      <c r="AH1594" s="65">
        <f>IFERROR(INDEX(tblParts[Delay days],MATCH(tblWorkPackages[[#This Row],[Work package ID]],tblParts[Work package ID],0)),0)</f>
        <v>0</v>
      </c>
      <c r="AI1594" s="51" t="str">
        <f>IFERROR(INDEX(tblDisruptions[Event type],MATCH(tblWorkPackages[[#This Row],[Work package ID]],tblDisruptions[Work package ID],0)),"None")</f>
        <v>None</v>
      </c>
      <c r="AJ1594" s="51" t="str">
        <f>TEXT(tblWorkPackages[[#This Row],[Due date serial]],"yyyy-mm")</f>
        <v>2025-08</v>
      </c>
    </row>
    <row r="1595" spans="1:36" ht="15" x14ac:dyDescent="0.25">
      <c r="A1595" s="53" t="s">
        <v>2503</v>
      </c>
      <c r="B1595" s="53" t="s">
        <v>173</v>
      </c>
      <c r="C1595" s="53" t="s">
        <v>779</v>
      </c>
      <c r="D1595" s="53" t="s">
        <v>1048</v>
      </c>
      <c r="E1595" s="53" t="s">
        <v>136</v>
      </c>
      <c r="F1595" s="53" t="s">
        <v>137</v>
      </c>
      <c r="G1595" s="53" t="s">
        <v>138</v>
      </c>
      <c r="H1595" s="53">
        <v>4</v>
      </c>
      <c r="I1595" s="53" t="s">
        <v>176</v>
      </c>
      <c r="J1595" s="53">
        <v>0</v>
      </c>
      <c r="K1595" s="53">
        <v>0</v>
      </c>
      <c r="L1595" s="53">
        <v>23.6</v>
      </c>
      <c r="M1595" s="53" t="s">
        <v>1162</v>
      </c>
      <c r="N1595" s="53">
        <v>28.6</v>
      </c>
      <c r="O1595" s="51" t="str">
        <f>TEXT(tblWorkPackages[[#This Row],[Request date serial]]-WEEKDAY(tblWorkPackages[[#This Row],[Request date serial]],3),"yyyy-mm-dd")</f>
        <v>2025-12-22</v>
      </c>
      <c r="P1595" s="51">
        <f>ABS(tblWorkPackages[[#This Row],[Actual labor hours]]-tblWorkPackages[[#This Row],[Estimated labor hours]])</f>
        <v>5</v>
      </c>
      <c r="Q1595" s="51">
        <f>IF(tblWorkPackages[[#This Row],[Actual labor hours]]&gt;tblWorkPackages[[#This Row],[Estimated labor hours]],1,0)</f>
        <v>1</v>
      </c>
      <c r="R1595" s="51">
        <f>tblWorkPackages[[#This Row],[Actual labor hours]]-tblWorkPackages[[#This Row],[Estimated labor hours]]</f>
        <v>5</v>
      </c>
      <c r="S1595" s="51" t="str">
        <f>IF(tblWorkPackages[[#This Row],[Request date serial]]&lt;ValidationStart,"Train 2024",IF(tblWorkPackages[[#This Row],[Request date serial]]&lt;HoldoutStart,"Validation H1","Holdout H2"))</f>
        <v>Holdout H2</v>
      </c>
      <c r="T1595" s="51">
        <f>IF(tblWorkPackages[[#This Row],[Time split]]="Train 2024","",tblWorkPackages[[#This Row],[Estimated labor hours]]+VLOOKUP(tblWorkPackages[[#This Row],[Task type]],'Forecast validation'!$A$14:$E$25,IF(tblWorkPackages[[#This Row],[Time split]]="Validation H1",4,5),FALSE()))</f>
        <v>24.5207547169811</v>
      </c>
      <c r="U1595" s="51">
        <f>IF(tblWorkPackages[[#This Row],[Calibrated forecast hours]]="","",ABS(tblWorkPackages[[#This Row],[Actual labor hours]]-tblWorkPackages[[#This Row],[Calibrated forecast hours]]))</f>
        <v>4.07924528301887</v>
      </c>
      <c r="V1595" s="51">
        <f>IF(tblWorkPackages[[#This Row],[Time split]]="Train 2024",tblWorkPackages[[#This Row],[Estimated labor hours]],tblWorkPackages[[#This Row],[Calibrated forecast hours]])</f>
        <v>24.5207547169811</v>
      </c>
      <c r="W1595" s="64">
        <f>DATEVALUE(tblWorkPackages[[#This Row],[Request date]])</f>
        <v>46018.0</v>
      </c>
      <c r="X1595" s="64">
        <f>DATEVALUE(tblWorkPackages[[#This Row],[Due date]])</f>
        <v>46024.0</v>
      </c>
      <c r="Y1595" s="64">
        <f>DATEVALUE(tblWorkPackages[[#This Row],[Completion date]])</f>
        <v>46023.0</v>
      </c>
      <c r="Z1595" s="64">
        <f>_xlfn.MINIFS(tblLaborEntries[Work date serial],tblLaborEntries[Work package ID],tblWorkPackages[[#This Row],[Work package ID]])</f>
        <v>46020.0</v>
      </c>
      <c r="AA1595" s="64">
        <f>_xlfn.MAXIFS(tblLaborEntries[Work date serial],tblLaborEntries[Work package ID],tblWorkPackages[[#This Row],[Work package ID]])</f>
        <v>46022.0</v>
      </c>
      <c r="AB1595" s="65">
        <f>IF(tblWorkPackages[[#This Row],[Completion date serial]]&gt;tblWorkPackages[[#This Row],[Due date serial]],1,0)</f>
        <v>0</v>
      </c>
      <c r="AC1595" s="65">
        <f>MAX(0,tblWorkPackages[[#This Row],[Completion date serial]]-tblWorkPackages[[#This Row],[Due date serial]])</f>
        <v>0</v>
      </c>
      <c r="AD1595" s="65">
        <f>tblWorkPackages[[#This Row],[First labor date]]-tblWorkPackages[[#This Row],[Request date serial]]</f>
        <v>2</v>
      </c>
      <c r="AE1595" s="65">
        <f>tblWorkPackages[[#This Row],[Last labor date]]-tblWorkPackages[[#This Row],[First labor date]]</f>
        <v>2</v>
      </c>
      <c r="AF1595" s="65">
        <f>tblWorkPackages[[#This Row],[Completion date serial]]-tblWorkPackages[[#This Row],[Last labor date]]</f>
        <v>1</v>
      </c>
      <c r="AG1595" s="65">
        <f>tblWorkPackages[[#This Row],[Completion date serial]]-tblWorkPackages[[#This Row],[Request date serial]]</f>
        <v>5</v>
      </c>
      <c r="AH1595" s="65">
        <f>IFERROR(INDEX(tblParts[Delay days],MATCH(tblWorkPackages[[#This Row],[Work package ID]],tblParts[Work package ID],0)),0)</f>
        <v>0</v>
      </c>
      <c r="AI1595" s="51" t="str">
        <f>IFERROR(INDEX(tblDisruptions[Event type],MATCH(tblWorkPackages[[#This Row],[Work package ID]],tblDisruptions[Work package ID],0)),"None")</f>
        <v>Technician absence</v>
      </c>
      <c r="AJ1595" s="51" t="str">
        <f>TEXT(tblWorkPackages[[#This Row],[Due date serial]],"yyyy-mm")</f>
        <v>2026-01</v>
      </c>
    </row>
    <row r="1596" spans="1:36" ht="15" x14ac:dyDescent="0.25">
      <c r="A1596" s="53" t="s">
        <v>2504</v>
      </c>
      <c r="B1596" s="53" t="s">
        <v>185</v>
      </c>
      <c r="C1596" s="53" t="s">
        <v>126</v>
      </c>
      <c r="D1596" s="53" t="s">
        <v>618</v>
      </c>
      <c r="E1596" s="53" t="s">
        <v>127</v>
      </c>
      <c r="F1596" s="53" t="s">
        <v>128</v>
      </c>
      <c r="G1596" s="53" t="s">
        <v>129</v>
      </c>
      <c r="H1596" s="53">
        <v>1</v>
      </c>
      <c r="I1596" s="53" t="s">
        <v>130</v>
      </c>
      <c r="J1596" s="53">
        <v>0</v>
      </c>
      <c r="K1596" s="53">
        <v>0</v>
      </c>
      <c r="L1596" s="53">
        <v>5.5</v>
      </c>
      <c r="M1596" s="53" t="s">
        <v>2009</v>
      </c>
      <c r="N1596" s="53">
        <v>5.5</v>
      </c>
      <c r="O1596" s="51" t="str">
        <f>TEXT(tblWorkPackages[[#This Row],[Request date serial]]-WEEKDAY(tblWorkPackages[[#This Row],[Request date serial]],3),"yyyy-mm-dd")</f>
        <v>2025-05-12</v>
      </c>
      <c r="P1596" s="51">
        <f>ABS(tblWorkPackages[[#This Row],[Actual labor hours]]-tblWorkPackages[[#This Row],[Estimated labor hours]])</f>
        <v>0</v>
      </c>
      <c r="Q1596" s="51">
        <f>IF(tblWorkPackages[[#This Row],[Actual labor hours]]&gt;tblWorkPackages[[#This Row],[Estimated labor hours]],1,0)</f>
        <v>0</v>
      </c>
      <c r="R1596" s="51">
        <f>tblWorkPackages[[#This Row],[Actual labor hours]]-tblWorkPackages[[#This Row],[Estimated labor hours]]</f>
        <v>0</v>
      </c>
      <c r="S1596" s="51" t="str">
        <f>IF(tblWorkPackages[[#This Row],[Request date serial]]&lt;ValidationStart,"Train 2024",IF(tblWorkPackages[[#This Row],[Request date serial]]&lt;HoldoutStart,"Validation H1","Holdout H2"))</f>
        <v>Validation H1</v>
      </c>
      <c r="T1596" s="51">
        <f>IF(tblWorkPackages[[#This Row],[Time split]]="Train 2024","",tblWorkPackages[[#This Row],[Estimated labor hours]]+VLOOKUP(tblWorkPackages[[#This Row],[Task type]],'Forecast validation'!$A$14:$E$25,IF(tblWorkPackages[[#This Row],[Time split]]="Validation H1",4,5),FALSE()))</f>
        <v>5.97564102564103</v>
      </c>
      <c r="U1596" s="51">
        <f>IF(tblWorkPackages[[#This Row],[Calibrated forecast hours]]="","",ABS(tblWorkPackages[[#This Row],[Actual labor hours]]-tblWorkPackages[[#This Row],[Calibrated forecast hours]]))</f>
        <v>0.475641025641026</v>
      </c>
      <c r="V1596" s="51">
        <f>IF(tblWorkPackages[[#This Row],[Time split]]="Train 2024",tblWorkPackages[[#This Row],[Estimated labor hours]],tblWorkPackages[[#This Row],[Calibrated forecast hours]])</f>
        <v>5.97564102564103</v>
      </c>
      <c r="W1596" s="64">
        <f>DATEVALUE(tblWorkPackages[[#This Row],[Request date]])</f>
        <v>45793.0</v>
      </c>
      <c r="X1596" s="64">
        <f>DATEVALUE(tblWorkPackages[[#This Row],[Due date]])</f>
        <v>45806.0</v>
      </c>
      <c r="Y1596" s="64">
        <f>DATEVALUE(tblWorkPackages[[#This Row],[Completion date]])</f>
        <v>45810.0</v>
      </c>
      <c r="Z1596" s="64">
        <f>_xlfn.MINIFS(tblLaborEntries[Work date serial],tblLaborEntries[Work package ID],tblWorkPackages[[#This Row],[Work package ID]])</f>
        <v>45807.0</v>
      </c>
      <c r="AA1596" s="64">
        <f>_xlfn.MAXIFS(tblLaborEntries[Work date serial],tblLaborEntries[Work package ID],tblWorkPackages[[#This Row],[Work package ID]])</f>
        <v>45808.0</v>
      </c>
      <c r="AB1596" s="65">
        <f>IF(tblWorkPackages[[#This Row],[Completion date serial]]&gt;tblWorkPackages[[#This Row],[Due date serial]],1,0)</f>
        <v>1</v>
      </c>
      <c r="AC1596" s="65">
        <f>MAX(0,tblWorkPackages[[#This Row],[Completion date serial]]-tblWorkPackages[[#This Row],[Due date serial]])</f>
        <v>4</v>
      </c>
      <c r="AD1596" s="65">
        <f>tblWorkPackages[[#This Row],[First labor date]]-tblWorkPackages[[#This Row],[Request date serial]]</f>
        <v>14</v>
      </c>
      <c r="AE1596" s="65">
        <f>tblWorkPackages[[#This Row],[Last labor date]]-tblWorkPackages[[#This Row],[First labor date]]</f>
        <v>1</v>
      </c>
      <c r="AF1596" s="65">
        <f>tblWorkPackages[[#This Row],[Completion date serial]]-tblWorkPackages[[#This Row],[Last labor date]]</f>
        <v>2</v>
      </c>
      <c r="AG1596" s="65">
        <f>tblWorkPackages[[#This Row],[Completion date serial]]-tblWorkPackages[[#This Row],[Request date serial]]</f>
        <v>17</v>
      </c>
      <c r="AH1596" s="65">
        <f>IFERROR(INDEX(tblParts[Delay days],MATCH(tblWorkPackages[[#This Row],[Work package ID]],tblParts[Work package ID],0)),0)</f>
        <v>0</v>
      </c>
      <c r="AI1596" s="51" t="str">
        <f>IFERROR(INDEX(tblDisruptions[Event type],MATCH(tblWorkPackages[[#This Row],[Work package ID]],tblDisruptions[Work package ID],0)),"None")</f>
        <v>None</v>
      </c>
      <c r="AJ1596" s="51" t="str">
        <f>TEXT(tblWorkPackages[[#This Row],[Due date serial]],"yyyy-mm")</f>
        <v>2025-05</v>
      </c>
    </row>
    <row r="1597" spans="1:36" ht="15" x14ac:dyDescent="0.25">
      <c r="A1597" s="53" t="s">
        <v>2505</v>
      </c>
      <c r="B1597" s="53" t="s">
        <v>133</v>
      </c>
      <c r="C1597" s="53" t="s">
        <v>486</v>
      </c>
      <c r="D1597" s="53" t="s">
        <v>1058</v>
      </c>
      <c r="E1597" s="53" t="s">
        <v>127</v>
      </c>
      <c r="F1597" s="53" t="s">
        <v>128</v>
      </c>
      <c r="G1597" s="53" t="s">
        <v>129</v>
      </c>
      <c r="H1597" s="53">
        <v>4</v>
      </c>
      <c r="I1597" s="53" t="s">
        <v>130</v>
      </c>
      <c r="J1597" s="53">
        <v>0</v>
      </c>
      <c r="K1597" s="53">
        <v>0</v>
      </c>
      <c r="L1597" s="53">
        <v>12.6</v>
      </c>
      <c r="M1597" s="53" t="s">
        <v>261</v>
      </c>
      <c r="N1597" s="53">
        <v>14.6</v>
      </c>
      <c r="O1597" s="51" t="str">
        <f>TEXT(tblWorkPackages[[#This Row],[Request date serial]]-WEEKDAY(tblWorkPackages[[#This Row],[Request date serial]],3),"yyyy-mm-dd")</f>
        <v>2025-01-06</v>
      </c>
      <c r="P1597" s="51">
        <f>ABS(tblWorkPackages[[#This Row],[Actual labor hours]]-tblWorkPackages[[#This Row],[Estimated labor hours]])</f>
        <v>2</v>
      </c>
      <c r="Q1597" s="51">
        <f>IF(tblWorkPackages[[#This Row],[Actual labor hours]]&gt;tblWorkPackages[[#This Row],[Estimated labor hours]],1,0)</f>
        <v>1</v>
      </c>
      <c r="R1597" s="51">
        <f>tblWorkPackages[[#This Row],[Actual labor hours]]-tblWorkPackages[[#This Row],[Estimated labor hours]]</f>
        <v>2</v>
      </c>
      <c r="S1597" s="51" t="str">
        <f>IF(tblWorkPackages[[#This Row],[Request date serial]]&lt;ValidationStart,"Train 2024",IF(tblWorkPackages[[#This Row],[Request date serial]]&lt;HoldoutStart,"Validation H1","Holdout H2"))</f>
        <v>Validation H1</v>
      </c>
      <c r="T1597" s="51">
        <f>IF(tblWorkPackages[[#This Row],[Time split]]="Train 2024","",tblWorkPackages[[#This Row],[Estimated labor hours]]+VLOOKUP(tblWorkPackages[[#This Row],[Task type]],'Forecast validation'!$A$14:$E$25,IF(tblWorkPackages[[#This Row],[Time split]]="Validation H1",4,5),FALSE()))</f>
        <v>13.075641025641</v>
      </c>
      <c r="U1597" s="51">
        <f>IF(tblWorkPackages[[#This Row],[Calibrated forecast hours]]="","",ABS(tblWorkPackages[[#This Row],[Actual labor hours]]-tblWorkPackages[[#This Row],[Calibrated forecast hours]]))</f>
        <v>1.52435897435898</v>
      </c>
      <c r="V1597" s="51">
        <f>IF(tblWorkPackages[[#This Row],[Time split]]="Train 2024",tblWorkPackages[[#This Row],[Estimated labor hours]],tblWorkPackages[[#This Row],[Calibrated forecast hours]])</f>
        <v>13.075641025641</v>
      </c>
      <c r="W1597" s="64">
        <f>DATEVALUE(tblWorkPackages[[#This Row],[Request date]])</f>
        <v>45667.0</v>
      </c>
      <c r="X1597" s="64">
        <f>DATEVALUE(tblWorkPackages[[#This Row],[Due date]])</f>
        <v>45680.0</v>
      </c>
      <c r="Y1597" s="64">
        <f>DATEVALUE(tblWorkPackages[[#This Row],[Completion date]])</f>
        <v>45676.0</v>
      </c>
      <c r="Z1597" s="64">
        <f>_xlfn.MINIFS(tblLaborEntries[Work date serial],tblLaborEntries[Work package ID],tblWorkPackages[[#This Row],[Work package ID]])</f>
        <v>45671.0</v>
      </c>
      <c r="AA1597" s="64">
        <f>_xlfn.MAXIFS(tblLaborEntries[Work date serial],tblLaborEntries[Work package ID],tblWorkPackages[[#This Row],[Work package ID]])</f>
        <v>45673.0</v>
      </c>
      <c r="AB1597" s="65">
        <f>IF(tblWorkPackages[[#This Row],[Completion date serial]]&gt;tblWorkPackages[[#This Row],[Due date serial]],1,0)</f>
        <v>0</v>
      </c>
      <c r="AC1597" s="65">
        <f>MAX(0,tblWorkPackages[[#This Row],[Completion date serial]]-tblWorkPackages[[#This Row],[Due date serial]])</f>
        <v>0</v>
      </c>
      <c r="AD1597" s="65">
        <f>tblWorkPackages[[#This Row],[First labor date]]-tblWorkPackages[[#This Row],[Request date serial]]</f>
        <v>4</v>
      </c>
      <c r="AE1597" s="65">
        <f>tblWorkPackages[[#This Row],[Last labor date]]-tblWorkPackages[[#This Row],[First labor date]]</f>
        <v>2</v>
      </c>
      <c r="AF1597" s="65">
        <f>tblWorkPackages[[#This Row],[Completion date serial]]-tblWorkPackages[[#This Row],[Last labor date]]</f>
        <v>3</v>
      </c>
      <c r="AG1597" s="65">
        <f>tblWorkPackages[[#This Row],[Completion date serial]]-tblWorkPackages[[#This Row],[Request date serial]]</f>
        <v>9</v>
      </c>
      <c r="AH1597" s="65">
        <f>IFERROR(INDEX(tblParts[Delay days],MATCH(tblWorkPackages[[#This Row],[Work package ID]],tblParts[Work package ID],0)),0)</f>
        <v>0</v>
      </c>
      <c r="AI1597" s="51" t="str">
        <f>IFERROR(INDEX(tblDisruptions[Event type],MATCH(tblWorkPackages[[#This Row],[Work package ID]],tblDisruptions[Work package ID],0)),"None")</f>
        <v>None</v>
      </c>
      <c r="AJ1597" s="51" t="str">
        <f>TEXT(tblWorkPackages[[#This Row],[Due date serial]],"yyyy-mm")</f>
        <v>2025-01</v>
      </c>
    </row>
    <row r="1598" spans="1:36" ht="15" x14ac:dyDescent="0.25">
      <c r="A1598" s="53" t="s">
        <v>2506</v>
      </c>
      <c r="B1598" s="53" t="s">
        <v>150</v>
      </c>
      <c r="C1598" s="53" t="s">
        <v>797</v>
      </c>
      <c r="D1598" s="53" t="s">
        <v>658</v>
      </c>
      <c r="E1598" s="53" t="s">
        <v>272</v>
      </c>
      <c r="F1598" s="53" t="s">
        <v>145</v>
      </c>
      <c r="G1598" s="53" t="s">
        <v>273</v>
      </c>
      <c r="H1598" s="53">
        <v>1</v>
      </c>
      <c r="I1598" s="53" t="s">
        <v>176</v>
      </c>
      <c r="J1598" s="53">
        <v>0</v>
      </c>
      <c r="K1598" s="53">
        <v>0</v>
      </c>
      <c r="L1598" s="53">
        <v>7.9</v>
      </c>
      <c r="M1598" s="53" t="s">
        <v>1473</v>
      </c>
      <c r="N1598" s="53">
        <v>9.1</v>
      </c>
      <c r="O1598" s="51" t="str">
        <f>TEXT(tblWorkPackages[[#This Row],[Request date serial]]-WEEKDAY(tblWorkPackages[[#This Row],[Request date serial]],3),"yyyy-mm-dd")</f>
        <v>2025-07-28</v>
      </c>
      <c r="P1598" s="51">
        <f>ABS(tblWorkPackages[[#This Row],[Actual labor hours]]-tblWorkPackages[[#This Row],[Estimated labor hours]])</f>
        <v>1.2</v>
      </c>
      <c r="Q1598" s="51">
        <f>IF(tblWorkPackages[[#This Row],[Actual labor hours]]&gt;tblWorkPackages[[#This Row],[Estimated labor hours]],1,0)</f>
        <v>1</v>
      </c>
      <c r="R1598" s="51">
        <f>tblWorkPackages[[#This Row],[Actual labor hours]]-tblWorkPackages[[#This Row],[Estimated labor hours]]</f>
        <v>1.2</v>
      </c>
      <c r="S1598" s="51" t="str">
        <f>IF(tblWorkPackages[[#This Row],[Request date serial]]&lt;ValidationStart,"Train 2024",IF(tblWorkPackages[[#This Row],[Request date serial]]&lt;HoldoutStart,"Validation H1","Holdout H2"))</f>
        <v>Holdout H2</v>
      </c>
      <c r="T1598" s="51">
        <f>IF(tblWorkPackages[[#This Row],[Time split]]="Train 2024","",tblWorkPackages[[#This Row],[Estimated labor hours]]+VLOOKUP(tblWorkPackages[[#This Row],[Task type]],'Forecast validation'!$A$14:$E$25,IF(tblWorkPackages[[#This Row],[Time split]]="Validation H1",4,5),FALSE()))</f>
        <v>8.88515625</v>
      </c>
      <c r="U1598" s="51">
        <f>IF(tblWorkPackages[[#This Row],[Calibrated forecast hours]]="","",ABS(tblWorkPackages[[#This Row],[Actual labor hours]]-tblWorkPackages[[#This Row],[Calibrated forecast hours]]))</f>
        <v>0.21484375</v>
      </c>
      <c r="V1598" s="51">
        <f>IF(tblWorkPackages[[#This Row],[Time split]]="Train 2024",tblWorkPackages[[#This Row],[Estimated labor hours]],tblWorkPackages[[#This Row],[Calibrated forecast hours]])</f>
        <v>8.88515625</v>
      </c>
      <c r="W1598" s="64">
        <f>DATEVALUE(tblWorkPackages[[#This Row],[Request date]])</f>
        <v>45867.0</v>
      </c>
      <c r="X1598" s="64">
        <f>DATEVALUE(tblWorkPackages[[#This Row],[Due date]])</f>
        <v>45873.0</v>
      </c>
      <c r="Y1598" s="64">
        <f>DATEVALUE(tblWorkPackages[[#This Row],[Completion date]])</f>
        <v>45869.0</v>
      </c>
      <c r="Z1598" s="64">
        <f>_xlfn.MINIFS(tblLaborEntries[Work date serial],tblLaborEntries[Work package ID],tblWorkPackages[[#This Row],[Work package ID]])</f>
        <v>45868.0</v>
      </c>
      <c r="AA1598" s="64">
        <f>_xlfn.MAXIFS(tblLaborEntries[Work date serial],tblLaborEntries[Work package ID],tblWorkPackages[[#This Row],[Work package ID]])</f>
        <v>45869.0</v>
      </c>
      <c r="AB1598" s="65">
        <f>IF(tblWorkPackages[[#This Row],[Completion date serial]]&gt;tblWorkPackages[[#This Row],[Due date serial]],1,0)</f>
        <v>0</v>
      </c>
      <c r="AC1598" s="65">
        <f>MAX(0,tblWorkPackages[[#This Row],[Completion date serial]]-tblWorkPackages[[#This Row],[Due date serial]])</f>
        <v>0</v>
      </c>
      <c r="AD1598" s="65">
        <f>tblWorkPackages[[#This Row],[First labor date]]-tblWorkPackages[[#This Row],[Request date serial]]</f>
        <v>1</v>
      </c>
      <c r="AE1598" s="65">
        <f>tblWorkPackages[[#This Row],[Last labor date]]-tblWorkPackages[[#This Row],[First labor date]]</f>
        <v>1</v>
      </c>
      <c r="AF1598" s="65">
        <f>tblWorkPackages[[#This Row],[Completion date serial]]-tblWorkPackages[[#This Row],[Last labor date]]</f>
        <v>0</v>
      </c>
      <c r="AG1598" s="65">
        <f>tblWorkPackages[[#This Row],[Completion date serial]]-tblWorkPackages[[#This Row],[Request date serial]]</f>
        <v>2</v>
      </c>
      <c r="AH1598" s="65">
        <f>IFERROR(INDEX(tblParts[Delay days],MATCH(tblWorkPackages[[#This Row],[Work package ID]],tblParts[Work package ID],0)),0)</f>
        <v>0</v>
      </c>
      <c r="AI1598" s="51" t="str">
        <f>IFERROR(INDEX(tblDisruptions[Event type],MATCH(tblWorkPackages[[#This Row],[Work package ID]],tblDisruptions[Work package ID],0)),"None")</f>
        <v>None</v>
      </c>
      <c r="AJ1598" s="51" t="str">
        <f>TEXT(tblWorkPackages[[#This Row],[Due date serial]],"yyyy-mm")</f>
        <v>2025-08</v>
      </c>
    </row>
    <row r="1599" spans="1:36" ht="15" x14ac:dyDescent="0.25">
      <c r="A1599" s="53" t="s">
        <v>2507</v>
      </c>
      <c r="B1599" s="53" t="s">
        <v>250</v>
      </c>
      <c r="C1599" s="53" t="s">
        <v>1974</v>
      </c>
      <c r="D1599" s="53" t="s">
        <v>213</v>
      </c>
      <c r="E1599" s="53" t="s">
        <v>242</v>
      </c>
      <c r="F1599" s="53" t="s">
        <v>243</v>
      </c>
      <c r="G1599" s="53" t="s">
        <v>129</v>
      </c>
      <c r="H1599" s="53">
        <v>1</v>
      </c>
      <c r="I1599" s="53" t="s">
        <v>130</v>
      </c>
      <c r="J1599" s="53">
        <v>0</v>
      </c>
      <c r="K1599" s="53">
        <v>0</v>
      </c>
      <c r="L1599" s="53">
        <v>5.6</v>
      </c>
      <c r="M1599" s="53" t="s">
        <v>1965</v>
      </c>
      <c r="N1599" s="53">
        <v>5.6</v>
      </c>
      <c r="O1599" s="51" t="str">
        <f>TEXT(tblWorkPackages[[#This Row],[Request date serial]]-WEEKDAY(tblWorkPackages[[#This Row],[Request date serial]],3),"yyyy-mm-dd")</f>
        <v>2024-01-01</v>
      </c>
      <c r="P1599" s="51">
        <f>ABS(tblWorkPackages[[#This Row],[Actual labor hours]]-tblWorkPackages[[#This Row],[Estimated labor hours]])</f>
        <v>0</v>
      </c>
      <c r="Q1599" s="51">
        <f>IF(tblWorkPackages[[#This Row],[Actual labor hours]]&gt;tblWorkPackages[[#This Row],[Estimated labor hours]],1,0)</f>
        <v>0</v>
      </c>
      <c r="R1599" s="51">
        <f>tblWorkPackages[[#This Row],[Actual labor hours]]-tblWorkPackages[[#This Row],[Estimated labor hours]]</f>
        <v>0</v>
      </c>
      <c r="S1599" s="51" t="str">
        <f>IF(tblWorkPackages[[#This Row],[Request date serial]]&lt;ValidationStart,"Train 2024",IF(tblWorkPackages[[#This Row],[Request date serial]]&lt;HoldoutStart,"Validation H1","Holdout H2"))</f>
        <v>Train 2024</v>
      </c>
      <c r="T1599" s="51" t="str">
        <f>IF(tblWorkPackages[[#This Row],[Time split]]="Train 2024","",tblWorkPackages[[#This Row],[Estimated labor hours]]+VLOOKUP(tblWorkPackages[[#This Row],[Task type]],'Forecast validation'!$A$14:$E$25,IF(tblWorkPackages[[#This Row],[Time split]]="Validation H1",4,5),FALSE()))</f>
        <v/>
      </c>
      <c r="U1599" s="51" t="str">
        <f>IF(tblWorkPackages[[#This Row],[Calibrated forecast hours]]="","",ABS(tblWorkPackages[[#This Row],[Actual labor hours]]-tblWorkPackages[[#This Row],[Calibrated forecast hours]]))</f>
        <v/>
      </c>
      <c r="V1599" s="51">
        <f>IF(tblWorkPackages[[#This Row],[Time split]]="Train 2024",tblWorkPackages[[#This Row],[Estimated labor hours]],tblWorkPackages[[#This Row],[Calibrated forecast hours]])</f>
        <v>5.6</v>
      </c>
      <c r="W1599" s="64">
        <f>DATEVALUE(tblWorkPackages[[#This Row],[Request date]])</f>
        <v>45292.0</v>
      </c>
      <c r="X1599" s="64">
        <f>DATEVALUE(tblWorkPackages[[#This Row],[Due date]])</f>
        <v>45305.0</v>
      </c>
      <c r="Y1599" s="64">
        <f>DATEVALUE(tblWorkPackages[[#This Row],[Completion date]])</f>
        <v>45304.0</v>
      </c>
      <c r="Z1599" s="64">
        <f>_xlfn.MINIFS(tblLaborEntries[Work date serial],tblLaborEntries[Work package ID],tblWorkPackages[[#This Row],[Work package ID]])</f>
        <v>45301.0</v>
      </c>
      <c r="AA1599" s="64">
        <f>_xlfn.MAXIFS(tblLaborEntries[Work date serial],tblLaborEntries[Work package ID],tblWorkPackages[[#This Row],[Work package ID]])</f>
        <v>45303.0</v>
      </c>
      <c r="AB1599" s="65">
        <f>IF(tblWorkPackages[[#This Row],[Completion date serial]]&gt;tblWorkPackages[[#This Row],[Due date serial]],1,0)</f>
        <v>0</v>
      </c>
      <c r="AC1599" s="65">
        <f>MAX(0,tblWorkPackages[[#This Row],[Completion date serial]]-tblWorkPackages[[#This Row],[Due date serial]])</f>
        <v>0</v>
      </c>
      <c r="AD1599" s="65">
        <f>tblWorkPackages[[#This Row],[First labor date]]-tblWorkPackages[[#This Row],[Request date serial]]</f>
        <v>9</v>
      </c>
      <c r="AE1599" s="65">
        <f>tblWorkPackages[[#This Row],[Last labor date]]-tblWorkPackages[[#This Row],[First labor date]]</f>
        <v>2</v>
      </c>
      <c r="AF1599" s="65">
        <f>tblWorkPackages[[#This Row],[Completion date serial]]-tblWorkPackages[[#This Row],[Last labor date]]</f>
        <v>1</v>
      </c>
      <c r="AG1599" s="65">
        <f>tblWorkPackages[[#This Row],[Completion date serial]]-tblWorkPackages[[#This Row],[Request date serial]]</f>
        <v>12</v>
      </c>
      <c r="AH1599" s="65">
        <f>IFERROR(INDEX(tblParts[Delay days],MATCH(tblWorkPackages[[#This Row],[Work package ID]],tblParts[Work package ID],0)),0)</f>
        <v>0</v>
      </c>
      <c r="AI1599" s="51" t="str">
        <f>IFERROR(INDEX(tblDisruptions[Event type],MATCH(tblWorkPackages[[#This Row],[Work package ID]],tblDisruptions[Work package ID],0)),"None")</f>
        <v>None</v>
      </c>
      <c r="AJ1599" s="51" t="str">
        <f>TEXT(tblWorkPackages[[#This Row],[Due date serial]],"yyyy-mm")</f>
        <v>2024-01</v>
      </c>
    </row>
    <row r="1600" spans="1:36" ht="15" x14ac:dyDescent="0.25">
      <c r="A1600" s="53" t="s">
        <v>2508</v>
      </c>
      <c r="B1600" s="53" t="s">
        <v>235</v>
      </c>
      <c r="C1600" s="53" t="s">
        <v>2509</v>
      </c>
      <c r="D1600" s="53" t="s">
        <v>1244</v>
      </c>
      <c r="E1600" s="53" t="s">
        <v>181</v>
      </c>
      <c r="F1600" s="53" t="s">
        <v>182</v>
      </c>
      <c r="G1600" s="53" t="s">
        <v>138</v>
      </c>
      <c r="H1600" s="53">
        <v>1</v>
      </c>
      <c r="I1600" s="53" t="s">
        <v>130</v>
      </c>
      <c r="J1600" s="53">
        <v>0</v>
      </c>
      <c r="K1600" s="53">
        <v>0</v>
      </c>
      <c r="L1600" s="53">
        <v>5.6</v>
      </c>
      <c r="M1600" s="53" t="s">
        <v>784</v>
      </c>
      <c r="N1600" s="53">
        <v>7.3</v>
      </c>
      <c r="O1600" s="51" t="str">
        <f>TEXT(tblWorkPackages[[#This Row],[Request date serial]]-WEEKDAY(tblWorkPackages[[#This Row],[Request date serial]],3),"yyyy-mm-dd")</f>
        <v>2025-04-07</v>
      </c>
      <c r="P1600" s="51">
        <f>ABS(tblWorkPackages[[#This Row],[Actual labor hours]]-tblWorkPackages[[#This Row],[Estimated labor hours]])</f>
        <v>1.7</v>
      </c>
      <c r="Q1600" s="51">
        <f>IF(tblWorkPackages[[#This Row],[Actual labor hours]]&gt;tblWorkPackages[[#This Row],[Estimated labor hours]],1,0)</f>
        <v>1</v>
      </c>
      <c r="R1600" s="51">
        <f>tblWorkPackages[[#This Row],[Actual labor hours]]-tblWorkPackages[[#This Row],[Estimated labor hours]]</f>
        <v>1.7</v>
      </c>
      <c r="S1600" s="51" t="str">
        <f>IF(tblWorkPackages[[#This Row],[Request date serial]]&lt;ValidationStart,"Train 2024",IF(tblWorkPackages[[#This Row],[Request date serial]]&lt;HoldoutStart,"Validation H1","Holdout H2"))</f>
        <v>Validation H1</v>
      </c>
      <c r="T1600" s="51">
        <f>IF(tblWorkPackages[[#This Row],[Time split]]="Train 2024","",tblWorkPackages[[#This Row],[Estimated labor hours]]+VLOOKUP(tblWorkPackages[[#This Row],[Task type]],'Forecast validation'!$A$14:$E$25,IF(tblWorkPackages[[#This Row],[Time split]]="Validation H1",4,5),FALSE()))</f>
        <v>6.18409090909091</v>
      </c>
      <c r="U1600" s="51">
        <f>IF(tblWorkPackages[[#This Row],[Calibrated forecast hours]]="","",ABS(tblWorkPackages[[#This Row],[Actual labor hours]]-tblWorkPackages[[#This Row],[Calibrated forecast hours]]))</f>
        <v>1.11590909090909</v>
      </c>
      <c r="V1600" s="51">
        <f>IF(tblWorkPackages[[#This Row],[Time split]]="Train 2024",tblWorkPackages[[#This Row],[Estimated labor hours]],tblWorkPackages[[#This Row],[Calibrated forecast hours]])</f>
        <v>6.18409090909091</v>
      </c>
      <c r="W1600" s="64">
        <f>DATEVALUE(tblWorkPackages[[#This Row],[Request date]])</f>
        <v>45760.0</v>
      </c>
      <c r="X1600" s="64">
        <f>DATEVALUE(tblWorkPackages[[#This Row],[Due date]])</f>
        <v>45773.0</v>
      </c>
      <c r="Y1600" s="64">
        <f>DATEVALUE(tblWorkPackages[[#This Row],[Completion date]])</f>
        <v>45765.0</v>
      </c>
      <c r="Z1600" s="64">
        <f>_xlfn.MINIFS(tblLaborEntries[Work date serial],tblLaborEntries[Work package ID],tblWorkPackages[[#This Row],[Work package ID]])</f>
        <v>45762.0</v>
      </c>
      <c r="AA1600" s="64">
        <f>_xlfn.MAXIFS(tblLaborEntries[Work date serial],tblLaborEntries[Work package ID],tblWorkPackages[[#This Row],[Work package ID]])</f>
        <v>45763.0</v>
      </c>
      <c r="AB1600" s="65">
        <f>IF(tblWorkPackages[[#This Row],[Completion date serial]]&gt;tblWorkPackages[[#This Row],[Due date serial]],1,0)</f>
        <v>0</v>
      </c>
      <c r="AC1600" s="65">
        <f>MAX(0,tblWorkPackages[[#This Row],[Completion date serial]]-tblWorkPackages[[#This Row],[Due date serial]])</f>
        <v>0</v>
      </c>
      <c r="AD1600" s="65">
        <f>tblWorkPackages[[#This Row],[First labor date]]-tblWorkPackages[[#This Row],[Request date serial]]</f>
        <v>2</v>
      </c>
      <c r="AE1600" s="65">
        <f>tblWorkPackages[[#This Row],[Last labor date]]-tblWorkPackages[[#This Row],[First labor date]]</f>
        <v>1</v>
      </c>
      <c r="AF1600" s="65">
        <f>tblWorkPackages[[#This Row],[Completion date serial]]-tblWorkPackages[[#This Row],[Last labor date]]</f>
        <v>2</v>
      </c>
      <c r="AG1600" s="65">
        <f>tblWorkPackages[[#This Row],[Completion date serial]]-tblWorkPackages[[#This Row],[Request date serial]]</f>
        <v>5</v>
      </c>
      <c r="AH1600" s="65">
        <f>IFERROR(INDEX(tblParts[Delay days],MATCH(tblWorkPackages[[#This Row],[Work package ID]],tblParts[Work package ID],0)),0)</f>
        <v>0</v>
      </c>
      <c r="AI1600" s="51" t="str">
        <f>IFERROR(INDEX(tblDisruptions[Event type],MATCH(tblWorkPackages[[#This Row],[Work package ID]],tblDisruptions[Work package ID],0)),"None")</f>
        <v>Technician absence</v>
      </c>
      <c r="AJ1600" s="51" t="str">
        <f>TEXT(tblWorkPackages[[#This Row],[Due date serial]],"yyyy-mm")</f>
        <v>2025-04</v>
      </c>
    </row>
    <row r="1601" spans="1:36" ht="15" x14ac:dyDescent="0.25">
      <c r="A1601" s="53" t="s">
        <v>2510</v>
      </c>
      <c r="B1601" s="53" t="s">
        <v>157</v>
      </c>
      <c r="C1601" s="53" t="s">
        <v>631</v>
      </c>
      <c r="D1601" s="53" t="s">
        <v>299</v>
      </c>
      <c r="E1601" s="53" t="s">
        <v>136</v>
      </c>
      <c r="F1601" s="53" t="s">
        <v>137</v>
      </c>
      <c r="G1601" s="53" t="s">
        <v>138</v>
      </c>
      <c r="H1601" s="53">
        <v>3</v>
      </c>
      <c r="I1601" s="53" t="s">
        <v>130</v>
      </c>
      <c r="J1601" s="53">
        <v>0</v>
      </c>
      <c r="K1601" s="53">
        <v>0</v>
      </c>
      <c r="L1601" s="53">
        <v>19.899999999999999</v>
      </c>
      <c r="M1601" s="53" t="s">
        <v>931</v>
      </c>
      <c r="N1601" s="53">
        <v>23</v>
      </c>
      <c r="O1601" s="51" t="str">
        <f>TEXT(tblWorkPackages[[#This Row],[Request date serial]]-WEEKDAY(tblWorkPackages[[#This Row],[Request date serial]],3),"yyyy-mm-dd")</f>
        <v>2024-03-25</v>
      </c>
      <c r="P1601" s="51">
        <f>ABS(tblWorkPackages[[#This Row],[Actual labor hours]]-tblWorkPackages[[#This Row],[Estimated labor hours]])</f>
        <v>3.1</v>
      </c>
      <c r="Q1601" s="51">
        <f>IF(tblWorkPackages[[#This Row],[Actual labor hours]]&gt;tblWorkPackages[[#This Row],[Estimated labor hours]],1,0)</f>
        <v>1</v>
      </c>
      <c r="R1601" s="51">
        <f>tblWorkPackages[[#This Row],[Actual labor hours]]-tblWorkPackages[[#This Row],[Estimated labor hours]]</f>
        <v>3.1</v>
      </c>
      <c r="S1601" s="51" t="str">
        <f>IF(tblWorkPackages[[#This Row],[Request date serial]]&lt;ValidationStart,"Train 2024",IF(tblWorkPackages[[#This Row],[Request date serial]]&lt;HoldoutStart,"Validation H1","Holdout H2"))</f>
        <v>Train 2024</v>
      </c>
      <c r="T1601" s="51" t="str">
        <f>IF(tblWorkPackages[[#This Row],[Time split]]="Train 2024","",tblWorkPackages[[#This Row],[Estimated labor hours]]+VLOOKUP(tblWorkPackages[[#This Row],[Task type]],'Forecast validation'!$A$14:$E$25,IF(tblWorkPackages[[#This Row],[Time split]]="Validation H1",4,5),FALSE()))</f>
        <v/>
      </c>
      <c r="U1601" s="51" t="str">
        <f>IF(tblWorkPackages[[#This Row],[Calibrated forecast hours]]="","",ABS(tblWorkPackages[[#This Row],[Actual labor hours]]-tblWorkPackages[[#This Row],[Calibrated forecast hours]]))</f>
        <v/>
      </c>
      <c r="V1601" s="51">
        <f>IF(tblWorkPackages[[#This Row],[Time split]]="Train 2024",tblWorkPackages[[#This Row],[Estimated labor hours]],tblWorkPackages[[#This Row],[Calibrated forecast hours]])</f>
        <v>19.9</v>
      </c>
      <c r="W1601" s="64">
        <f>DATEVALUE(tblWorkPackages[[#This Row],[Request date]])</f>
        <v>45382.0</v>
      </c>
      <c r="X1601" s="64">
        <f>DATEVALUE(tblWorkPackages[[#This Row],[Due date]])</f>
        <v>45395.0</v>
      </c>
      <c r="Y1601" s="64">
        <f>DATEVALUE(tblWorkPackages[[#This Row],[Completion date]])</f>
        <v>45410.0</v>
      </c>
      <c r="Z1601" s="64">
        <f>_xlfn.MINIFS(tblLaborEntries[Work date serial],tblLaborEntries[Work package ID],tblWorkPackages[[#This Row],[Work package ID]])</f>
        <v>45405.0</v>
      </c>
      <c r="AA1601" s="64">
        <f>_xlfn.MAXIFS(tblLaborEntries[Work date serial],tblLaborEntries[Work package ID],tblWorkPackages[[#This Row],[Work package ID]])</f>
        <v>45407.0</v>
      </c>
      <c r="AB1601" s="65">
        <f>IF(tblWorkPackages[[#This Row],[Completion date serial]]&gt;tblWorkPackages[[#This Row],[Due date serial]],1,0)</f>
        <v>1</v>
      </c>
      <c r="AC1601" s="65">
        <f>MAX(0,tblWorkPackages[[#This Row],[Completion date serial]]-tblWorkPackages[[#This Row],[Due date serial]])</f>
        <v>15</v>
      </c>
      <c r="AD1601" s="65">
        <f>tblWorkPackages[[#This Row],[First labor date]]-tblWorkPackages[[#This Row],[Request date serial]]</f>
        <v>23</v>
      </c>
      <c r="AE1601" s="65">
        <f>tblWorkPackages[[#This Row],[Last labor date]]-tblWorkPackages[[#This Row],[First labor date]]</f>
        <v>2</v>
      </c>
      <c r="AF1601" s="65">
        <f>tblWorkPackages[[#This Row],[Completion date serial]]-tblWorkPackages[[#This Row],[Last labor date]]</f>
        <v>3</v>
      </c>
      <c r="AG1601" s="65">
        <f>tblWorkPackages[[#This Row],[Completion date serial]]-tblWorkPackages[[#This Row],[Request date serial]]</f>
        <v>28</v>
      </c>
      <c r="AH1601" s="65">
        <f>IFERROR(INDEX(tblParts[Delay days],MATCH(tblWorkPackages[[#This Row],[Work package ID]],tblParts[Work package ID],0)),0)</f>
        <v>0</v>
      </c>
      <c r="AI1601" s="51" t="str">
        <f>IFERROR(INDEX(tblDisruptions[Event type],MATCH(tblWorkPackages[[#This Row],[Work package ID]],tblDisruptions[Work package ID],0)),"None")</f>
        <v>None</v>
      </c>
      <c r="AJ1601" s="51" t="str">
        <f>TEXT(tblWorkPackages[[#This Row],[Due date serial]],"yyyy-mm")</f>
        <v>2024-04</v>
      </c>
    </row>
    <row r="1602" spans="1:36" ht="15" x14ac:dyDescent="0.25">
      <c r="A1602" s="53" t="s">
        <v>2511</v>
      </c>
      <c r="B1602" s="53" t="s">
        <v>230</v>
      </c>
      <c r="C1602" s="53" t="s">
        <v>2029</v>
      </c>
      <c r="D1602" s="53" t="s">
        <v>937</v>
      </c>
      <c r="E1602" s="53" t="s">
        <v>200</v>
      </c>
      <c r="F1602" s="53" t="s">
        <v>128</v>
      </c>
      <c r="G1602" s="53" t="s">
        <v>129</v>
      </c>
      <c r="H1602" s="53">
        <v>1</v>
      </c>
      <c r="I1602" s="53" t="s">
        <v>130</v>
      </c>
      <c r="J1602" s="53">
        <v>0</v>
      </c>
      <c r="K1602" s="53">
        <v>1</v>
      </c>
      <c r="L1602" s="53">
        <v>1.9</v>
      </c>
      <c r="M1602" s="53" t="s">
        <v>307</v>
      </c>
      <c r="N1602" s="53">
        <v>1.5</v>
      </c>
      <c r="O1602" s="51" t="str">
        <f>TEXT(tblWorkPackages[[#This Row],[Request date serial]]-WEEKDAY(tblWorkPackages[[#This Row],[Request date serial]],3),"yyyy-mm-dd")</f>
        <v>2025-10-27</v>
      </c>
      <c r="P1602" s="51">
        <f>ABS(tblWorkPackages[[#This Row],[Actual labor hours]]-tblWorkPackages[[#This Row],[Estimated labor hours]])</f>
        <v>0.4</v>
      </c>
      <c r="Q1602" s="51">
        <f>IF(tblWorkPackages[[#This Row],[Actual labor hours]]&gt;tblWorkPackages[[#This Row],[Estimated labor hours]],1,0)</f>
        <v>0</v>
      </c>
      <c r="R1602" s="51">
        <f>tblWorkPackages[[#This Row],[Actual labor hours]]-tblWorkPackages[[#This Row],[Estimated labor hours]]</f>
        <v>-0.4</v>
      </c>
      <c r="S1602" s="51" t="str">
        <f>IF(tblWorkPackages[[#This Row],[Request date serial]]&lt;ValidationStart,"Train 2024",IF(tblWorkPackages[[#This Row],[Request date serial]]&lt;HoldoutStart,"Validation H1","Holdout H2"))</f>
        <v>Holdout H2</v>
      </c>
      <c r="T1602" s="51">
        <f>IF(tblWorkPackages[[#This Row],[Time split]]="Train 2024","",tblWorkPackages[[#This Row],[Estimated labor hours]]+VLOOKUP(tblWorkPackages[[#This Row],[Task type]],'Forecast validation'!$A$14:$E$25,IF(tblWorkPackages[[#This Row],[Time split]]="Validation H1",4,5),FALSE()))</f>
        <v>2.22893081761006</v>
      </c>
      <c r="U1602" s="51">
        <f>IF(tblWorkPackages[[#This Row],[Calibrated forecast hours]]="","",ABS(tblWorkPackages[[#This Row],[Actual labor hours]]-tblWorkPackages[[#This Row],[Calibrated forecast hours]]))</f>
        <v>0.728930817610063</v>
      </c>
      <c r="V1602" s="51">
        <f>IF(tblWorkPackages[[#This Row],[Time split]]="Train 2024",tblWorkPackages[[#This Row],[Estimated labor hours]],tblWorkPackages[[#This Row],[Calibrated forecast hours]])</f>
        <v>2.22893081761006</v>
      </c>
      <c r="W1602" s="64">
        <f>DATEVALUE(tblWorkPackages[[#This Row],[Request date]])</f>
        <v>45958.0</v>
      </c>
      <c r="X1602" s="64">
        <f>DATEVALUE(tblWorkPackages[[#This Row],[Due date]])</f>
        <v>45971.0</v>
      </c>
      <c r="Y1602" s="64">
        <f>DATEVALUE(tblWorkPackages[[#This Row],[Completion date]])</f>
        <v>45964.0</v>
      </c>
      <c r="Z1602" s="64">
        <f>_xlfn.MINIFS(tblLaborEntries[Work date serial],tblLaborEntries[Work package ID],tblWorkPackages[[#This Row],[Work package ID]])</f>
        <v>45962.0</v>
      </c>
      <c r="AA1602" s="64">
        <f>_xlfn.MAXIFS(tblLaborEntries[Work date serial],tblLaborEntries[Work package ID],tblWorkPackages[[#This Row],[Work package ID]])</f>
        <v>45964.0</v>
      </c>
      <c r="AB1602" s="65">
        <f>IF(tblWorkPackages[[#This Row],[Completion date serial]]&gt;tblWorkPackages[[#This Row],[Due date serial]],1,0)</f>
        <v>0</v>
      </c>
      <c r="AC1602" s="65">
        <f>MAX(0,tblWorkPackages[[#This Row],[Completion date serial]]-tblWorkPackages[[#This Row],[Due date serial]])</f>
        <v>0</v>
      </c>
      <c r="AD1602" s="65">
        <f>tblWorkPackages[[#This Row],[First labor date]]-tblWorkPackages[[#This Row],[Request date serial]]</f>
        <v>4</v>
      </c>
      <c r="AE1602" s="65">
        <f>tblWorkPackages[[#This Row],[Last labor date]]-tblWorkPackages[[#This Row],[First labor date]]</f>
        <v>2</v>
      </c>
      <c r="AF1602" s="65">
        <f>tblWorkPackages[[#This Row],[Completion date serial]]-tblWorkPackages[[#This Row],[Last labor date]]</f>
        <v>0</v>
      </c>
      <c r="AG1602" s="65">
        <f>tblWorkPackages[[#This Row],[Completion date serial]]-tblWorkPackages[[#This Row],[Request date serial]]</f>
        <v>6</v>
      </c>
      <c r="AH1602" s="65">
        <f>IFERROR(INDEX(tblParts[Delay days],MATCH(tblWorkPackages[[#This Row],[Work package ID]],tblParts[Work package ID],0)),0)</f>
        <v>0</v>
      </c>
      <c r="AI1602" s="51" t="str">
        <f>IFERROR(INDEX(tblDisruptions[Event type],MATCH(tblWorkPackages[[#This Row],[Work package ID]],tblDisruptions[Work package ID],0)),"None")</f>
        <v>None</v>
      </c>
      <c r="AJ1602" s="51" t="str">
        <f>TEXT(tblWorkPackages[[#This Row],[Due date serial]],"yyyy-mm")</f>
        <v>2025-11</v>
      </c>
    </row>
    <row r="1603" spans="1:36" ht="15" x14ac:dyDescent="0.25">
      <c r="A1603" s="53" t="s">
        <v>2512</v>
      </c>
      <c r="B1603" s="53" t="s">
        <v>150</v>
      </c>
      <c r="C1603" s="53" t="s">
        <v>651</v>
      </c>
      <c r="D1603" s="53" t="s">
        <v>1161</v>
      </c>
      <c r="E1603" s="53" t="s">
        <v>223</v>
      </c>
      <c r="F1603" s="53" t="s">
        <v>182</v>
      </c>
      <c r="G1603" s="53" t="s">
        <v>154</v>
      </c>
      <c r="H1603" s="53">
        <v>2</v>
      </c>
      <c r="I1603" s="53" t="s">
        <v>130</v>
      </c>
      <c r="J1603" s="53">
        <v>0</v>
      </c>
      <c r="K1603" s="53">
        <v>0</v>
      </c>
      <c r="L1603" s="53">
        <v>12.3</v>
      </c>
      <c r="M1603" s="53" t="s">
        <v>909</v>
      </c>
      <c r="N1603" s="53">
        <v>12.3</v>
      </c>
      <c r="O1603" s="51" t="str">
        <f>TEXT(tblWorkPackages[[#This Row],[Request date serial]]-WEEKDAY(tblWorkPackages[[#This Row],[Request date serial]],3),"yyyy-mm-dd")</f>
        <v>2025-12-01</v>
      </c>
      <c r="P1603" s="51">
        <f>ABS(tblWorkPackages[[#This Row],[Actual labor hours]]-tblWorkPackages[[#This Row],[Estimated labor hours]])</f>
        <v>0</v>
      </c>
      <c r="Q1603" s="51">
        <f>IF(tblWorkPackages[[#This Row],[Actual labor hours]]&gt;tblWorkPackages[[#This Row],[Estimated labor hours]],1,0)</f>
        <v>0</v>
      </c>
      <c r="R1603" s="51">
        <f>tblWorkPackages[[#This Row],[Actual labor hours]]-tblWorkPackages[[#This Row],[Estimated labor hours]]</f>
        <v>0</v>
      </c>
      <c r="S1603" s="51" t="str">
        <f>IF(tblWorkPackages[[#This Row],[Request date serial]]&lt;ValidationStart,"Train 2024",IF(tblWorkPackages[[#This Row],[Request date serial]]&lt;HoldoutStart,"Validation H1","Holdout H2"))</f>
        <v>Holdout H2</v>
      </c>
      <c r="T1603" s="51">
        <f>IF(tblWorkPackages[[#This Row],[Time split]]="Train 2024","",tblWorkPackages[[#This Row],[Estimated labor hours]]+VLOOKUP(tblWorkPackages[[#This Row],[Task type]],'Forecast validation'!$A$14:$E$25,IF(tblWorkPackages[[#This Row],[Time split]]="Validation H1",4,5),FALSE()))</f>
        <v>13.2246575342466</v>
      </c>
      <c r="U1603" s="51">
        <f>IF(tblWorkPackages[[#This Row],[Calibrated forecast hours]]="","",ABS(tblWorkPackages[[#This Row],[Actual labor hours]]-tblWorkPackages[[#This Row],[Calibrated forecast hours]]))</f>
        <v>0.924657534246576</v>
      </c>
      <c r="V1603" s="51">
        <f>IF(tblWorkPackages[[#This Row],[Time split]]="Train 2024",tblWorkPackages[[#This Row],[Estimated labor hours]],tblWorkPackages[[#This Row],[Calibrated forecast hours]])</f>
        <v>13.2246575342466</v>
      </c>
      <c r="W1603" s="64">
        <f>DATEVALUE(tblWorkPackages[[#This Row],[Request date]])</f>
        <v>45997.0</v>
      </c>
      <c r="X1603" s="64">
        <f>DATEVALUE(tblWorkPackages[[#This Row],[Due date]])</f>
        <v>46010.0</v>
      </c>
      <c r="Y1603" s="64">
        <f>DATEVALUE(tblWorkPackages[[#This Row],[Completion date]])</f>
        <v>45999.0</v>
      </c>
      <c r="Z1603" s="64">
        <f>_xlfn.MINIFS(tblLaborEntries[Work date serial],tblLaborEntries[Work package ID],tblWorkPackages[[#This Row],[Work package ID]])</f>
        <v>45998.0</v>
      </c>
      <c r="AA1603" s="64">
        <f>_xlfn.MAXIFS(tblLaborEntries[Work date serial],tblLaborEntries[Work package ID],tblWorkPackages[[#This Row],[Work package ID]])</f>
        <v>45998.0</v>
      </c>
      <c r="AB1603" s="65">
        <f>IF(tblWorkPackages[[#This Row],[Completion date serial]]&gt;tblWorkPackages[[#This Row],[Due date serial]],1,0)</f>
        <v>0</v>
      </c>
      <c r="AC1603" s="65">
        <f>MAX(0,tblWorkPackages[[#This Row],[Completion date serial]]-tblWorkPackages[[#This Row],[Due date serial]])</f>
        <v>0</v>
      </c>
      <c r="AD1603" s="65">
        <f>tblWorkPackages[[#This Row],[First labor date]]-tblWorkPackages[[#This Row],[Request date serial]]</f>
        <v>1</v>
      </c>
      <c r="AE1603" s="65">
        <f>tblWorkPackages[[#This Row],[Last labor date]]-tblWorkPackages[[#This Row],[First labor date]]</f>
        <v>0</v>
      </c>
      <c r="AF1603" s="65">
        <f>tblWorkPackages[[#This Row],[Completion date serial]]-tblWorkPackages[[#This Row],[Last labor date]]</f>
        <v>1</v>
      </c>
      <c r="AG1603" s="65">
        <f>tblWorkPackages[[#This Row],[Completion date serial]]-tblWorkPackages[[#This Row],[Request date serial]]</f>
        <v>2</v>
      </c>
      <c r="AH1603" s="65">
        <f>IFERROR(INDEX(tblParts[Delay days],MATCH(tblWorkPackages[[#This Row],[Work package ID]],tblParts[Work package ID],0)),0)</f>
        <v>0</v>
      </c>
      <c r="AI1603" s="51" t="str">
        <f>IFERROR(INDEX(tblDisruptions[Event type],MATCH(tblWorkPackages[[#This Row],[Work package ID]],tblDisruptions[Work package ID],0)),"None")</f>
        <v>None</v>
      </c>
      <c r="AJ1603" s="51" t="str">
        <f>TEXT(tblWorkPackages[[#This Row],[Due date serial]],"yyyy-mm")</f>
        <v>2025-12</v>
      </c>
    </row>
    <row r="1604" spans="1:36" ht="15" x14ac:dyDescent="0.25">
      <c r="A1604" s="53" t="s">
        <v>2513</v>
      </c>
      <c r="B1604" s="53" t="s">
        <v>124</v>
      </c>
      <c r="C1604" s="53" t="s">
        <v>1213</v>
      </c>
      <c r="D1604" s="53" t="s">
        <v>856</v>
      </c>
      <c r="E1604" s="53" t="s">
        <v>242</v>
      </c>
      <c r="F1604" s="53" t="s">
        <v>243</v>
      </c>
      <c r="G1604" s="53" t="s">
        <v>129</v>
      </c>
      <c r="H1604" s="53">
        <v>2</v>
      </c>
      <c r="I1604" s="53" t="s">
        <v>176</v>
      </c>
      <c r="J1604" s="53">
        <v>0</v>
      </c>
      <c r="K1604" s="53">
        <v>0</v>
      </c>
      <c r="L1604" s="53">
        <v>8.1999999999999993</v>
      </c>
      <c r="M1604" s="53" t="s">
        <v>1048</v>
      </c>
      <c r="N1604" s="53">
        <v>9</v>
      </c>
      <c r="O1604" s="51" t="str">
        <f>TEXT(tblWorkPackages[[#This Row],[Request date serial]]-WEEKDAY(tblWorkPackages[[#This Row],[Request date serial]],3),"yyyy-mm-dd")</f>
        <v>2025-12-15</v>
      </c>
      <c r="P1604" s="51">
        <f>ABS(tblWorkPackages[[#This Row],[Actual labor hours]]-tblWorkPackages[[#This Row],[Estimated labor hours]])</f>
        <v>0.800000000000001</v>
      </c>
      <c r="Q1604" s="51">
        <f>IF(tblWorkPackages[[#This Row],[Actual labor hours]]&gt;tblWorkPackages[[#This Row],[Estimated labor hours]],1,0)</f>
        <v>1</v>
      </c>
      <c r="R1604" s="51">
        <f>tblWorkPackages[[#This Row],[Actual labor hours]]-tblWorkPackages[[#This Row],[Estimated labor hours]]</f>
        <v>0.800000000000001</v>
      </c>
      <c r="S1604" s="51" t="str">
        <f>IF(tblWorkPackages[[#This Row],[Request date serial]]&lt;ValidationStart,"Train 2024",IF(tblWorkPackages[[#This Row],[Request date serial]]&lt;HoldoutStart,"Validation H1","Holdout H2"))</f>
        <v>Holdout H2</v>
      </c>
      <c r="T1604" s="51">
        <f>IF(tblWorkPackages[[#This Row],[Time split]]="Train 2024","",tblWorkPackages[[#This Row],[Estimated labor hours]]+VLOOKUP(tblWorkPackages[[#This Row],[Task type]],'Forecast validation'!$A$14:$E$25,IF(tblWorkPackages[[#This Row],[Time split]]="Validation H1",4,5),FALSE()))</f>
        <v>9.02545454545455</v>
      </c>
      <c r="U1604" s="51">
        <f>IF(tblWorkPackages[[#This Row],[Calibrated forecast hours]]="","",ABS(tblWorkPackages[[#This Row],[Actual labor hours]]-tblWorkPackages[[#This Row],[Calibrated forecast hours]]))</f>
        <v>0.0254545454545454</v>
      </c>
      <c r="V1604" s="51">
        <f>IF(tblWorkPackages[[#This Row],[Time split]]="Train 2024",tblWorkPackages[[#This Row],[Estimated labor hours]],tblWorkPackages[[#This Row],[Calibrated forecast hours]])</f>
        <v>9.02545454545455</v>
      </c>
      <c r="W1604" s="64">
        <f>DATEVALUE(tblWorkPackages[[#This Row],[Request date]])</f>
        <v>46008.0</v>
      </c>
      <c r="X1604" s="64">
        <f>DATEVALUE(tblWorkPackages[[#This Row],[Due date]])</f>
        <v>46014.0</v>
      </c>
      <c r="Y1604" s="64">
        <f>DATEVALUE(tblWorkPackages[[#This Row],[Completion date]])</f>
        <v>46024.0</v>
      </c>
      <c r="Z1604" s="64">
        <f>_xlfn.MINIFS(tblLaborEntries[Work date serial],tblLaborEntries[Work package ID],tblWorkPackages[[#This Row],[Work package ID]])</f>
        <v>46020.0</v>
      </c>
      <c r="AA1604" s="64">
        <f>_xlfn.MAXIFS(tblLaborEntries[Work date serial],tblLaborEntries[Work package ID],tblWorkPackages[[#This Row],[Work package ID]])</f>
        <v>46022.0</v>
      </c>
      <c r="AB1604" s="65">
        <f>IF(tblWorkPackages[[#This Row],[Completion date serial]]&gt;tblWorkPackages[[#This Row],[Due date serial]],1,0)</f>
        <v>1</v>
      </c>
      <c r="AC1604" s="65">
        <f>MAX(0,tblWorkPackages[[#This Row],[Completion date serial]]-tblWorkPackages[[#This Row],[Due date serial]])</f>
        <v>10</v>
      </c>
      <c r="AD1604" s="65">
        <f>tblWorkPackages[[#This Row],[First labor date]]-tblWorkPackages[[#This Row],[Request date serial]]</f>
        <v>12</v>
      </c>
      <c r="AE1604" s="65">
        <f>tblWorkPackages[[#This Row],[Last labor date]]-tblWorkPackages[[#This Row],[First labor date]]</f>
        <v>2</v>
      </c>
      <c r="AF1604" s="65">
        <f>tblWorkPackages[[#This Row],[Completion date serial]]-tblWorkPackages[[#This Row],[Last labor date]]</f>
        <v>2</v>
      </c>
      <c r="AG1604" s="65">
        <f>tblWorkPackages[[#This Row],[Completion date serial]]-tblWorkPackages[[#This Row],[Request date serial]]</f>
        <v>16</v>
      </c>
      <c r="AH1604" s="65">
        <f>IFERROR(INDEX(tblParts[Delay days],MATCH(tblWorkPackages[[#This Row],[Work package ID]],tblParts[Work package ID],0)),0)</f>
        <v>0</v>
      </c>
      <c r="AI1604" s="51" t="str">
        <f>IFERROR(INDEX(tblDisruptions[Event type],MATCH(tblWorkPackages[[#This Row],[Work package ID]],tblDisruptions[Work package ID],0)),"None")</f>
        <v>None</v>
      </c>
      <c r="AJ1604" s="51" t="str">
        <f>TEXT(tblWorkPackages[[#This Row],[Due date serial]],"yyyy-mm")</f>
        <v>2025-12</v>
      </c>
    </row>
    <row r="1605" spans="1:36" ht="15" x14ac:dyDescent="0.25">
      <c r="A1605" s="53" t="s">
        <v>2514</v>
      </c>
      <c r="B1605" s="53" t="s">
        <v>157</v>
      </c>
      <c r="C1605" s="53" t="s">
        <v>1019</v>
      </c>
      <c r="D1605" s="53" t="s">
        <v>520</v>
      </c>
      <c r="E1605" s="53" t="s">
        <v>160</v>
      </c>
      <c r="F1605" s="53" t="s">
        <v>128</v>
      </c>
      <c r="G1605" s="53" t="s">
        <v>138</v>
      </c>
      <c r="H1605" s="53">
        <v>3</v>
      </c>
      <c r="I1605" s="53" t="s">
        <v>176</v>
      </c>
      <c r="J1605" s="53">
        <v>0</v>
      </c>
      <c r="K1605" s="53">
        <v>0</v>
      </c>
      <c r="L1605" s="53">
        <v>5.4</v>
      </c>
      <c r="M1605" s="53" t="s">
        <v>459</v>
      </c>
      <c r="N1605" s="53">
        <v>6.7</v>
      </c>
      <c r="O1605" s="51" t="str">
        <f>TEXT(tblWorkPackages[[#This Row],[Request date serial]]-WEEKDAY(tblWorkPackages[[#This Row],[Request date serial]],3),"yyyy-mm-dd")</f>
        <v>2025-08-11</v>
      </c>
      <c r="P1605" s="51">
        <f>ABS(tblWorkPackages[[#This Row],[Actual labor hours]]-tblWorkPackages[[#This Row],[Estimated labor hours]])</f>
        <v>1.3</v>
      </c>
      <c r="Q1605" s="51">
        <f>IF(tblWorkPackages[[#This Row],[Actual labor hours]]&gt;tblWorkPackages[[#This Row],[Estimated labor hours]],1,0)</f>
        <v>1</v>
      </c>
      <c r="R1605" s="51">
        <f>tblWorkPackages[[#This Row],[Actual labor hours]]-tblWorkPackages[[#This Row],[Estimated labor hours]]</f>
        <v>1.3</v>
      </c>
      <c r="S1605" s="51" t="str">
        <f>IF(tblWorkPackages[[#This Row],[Request date serial]]&lt;ValidationStart,"Train 2024",IF(tblWorkPackages[[#This Row],[Request date serial]]&lt;HoldoutStart,"Validation H1","Holdout H2"))</f>
        <v>Holdout H2</v>
      </c>
      <c r="T1605" s="51">
        <f>IF(tblWorkPackages[[#This Row],[Time split]]="Train 2024","",tblWorkPackages[[#This Row],[Estimated labor hours]]+VLOOKUP(tblWorkPackages[[#This Row],[Task type]],'Forecast validation'!$A$14:$E$25,IF(tblWorkPackages[[#This Row],[Time split]]="Validation H1",4,5),FALSE()))</f>
        <v>5.83739837398374</v>
      </c>
      <c r="U1605" s="51">
        <f>IF(tblWorkPackages[[#This Row],[Calibrated forecast hours]]="","",ABS(tblWorkPackages[[#This Row],[Actual labor hours]]-tblWorkPackages[[#This Row],[Calibrated forecast hours]]))</f>
        <v>0.86260162601626</v>
      </c>
      <c r="V1605" s="51">
        <f>IF(tblWorkPackages[[#This Row],[Time split]]="Train 2024",tblWorkPackages[[#This Row],[Estimated labor hours]],tblWorkPackages[[#This Row],[Calibrated forecast hours]])</f>
        <v>5.83739837398374</v>
      </c>
      <c r="W1605" s="64">
        <f>DATEVALUE(tblWorkPackages[[#This Row],[Request date]])</f>
        <v>45884.0</v>
      </c>
      <c r="X1605" s="64">
        <f>DATEVALUE(tblWorkPackages[[#This Row],[Due date]])</f>
        <v>45890.0</v>
      </c>
      <c r="Y1605" s="64">
        <f>DATEVALUE(tblWorkPackages[[#This Row],[Completion date]])</f>
        <v>45892.0</v>
      </c>
      <c r="Z1605" s="64">
        <f>_xlfn.MINIFS(tblLaborEntries[Work date serial],tblLaborEntries[Work package ID],tblWorkPackages[[#This Row],[Work package ID]])</f>
        <v>45887.0</v>
      </c>
      <c r="AA1605" s="64">
        <f>_xlfn.MAXIFS(tblLaborEntries[Work date serial],tblLaborEntries[Work package ID],tblWorkPackages[[#This Row],[Work package ID]])</f>
        <v>45889.0</v>
      </c>
      <c r="AB1605" s="65">
        <f>IF(tblWorkPackages[[#This Row],[Completion date serial]]&gt;tblWorkPackages[[#This Row],[Due date serial]],1,0)</f>
        <v>1</v>
      </c>
      <c r="AC1605" s="65">
        <f>MAX(0,tblWorkPackages[[#This Row],[Completion date serial]]-tblWorkPackages[[#This Row],[Due date serial]])</f>
        <v>2</v>
      </c>
      <c r="AD1605" s="65">
        <f>tblWorkPackages[[#This Row],[First labor date]]-tblWorkPackages[[#This Row],[Request date serial]]</f>
        <v>3</v>
      </c>
      <c r="AE1605" s="65">
        <f>tblWorkPackages[[#This Row],[Last labor date]]-tblWorkPackages[[#This Row],[First labor date]]</f>
        <v>2</v>
      </c>
      <c r="AF1605" s="65">
        <f>tblWorkPackages[[#This Row],[Completion date serial]]-tblWorkPackages[[#This Row],[Last labor date]]</f>
        <v>3</v>
      </c>
      <c r="AG1605" s="65">
        <f>tblWorkPackages[[#This Row],[Completion date serial]]-tblWorkPackages[[#This Row],[Request date serial]]</f>
        <v>8</v>
      </c>
      <c r="AH1605" s="65">
        <f>IFERROR(INDEX(tblParts[Delay days],MATCH(tblWorkPackages[[#This Row],[Work package ID]],tblParts[Work package ID],0)),0)</f>
        <v>0</v>
      </c>
      <c r="AI1605" s="51" t="str">
        <f>IFERROR(INDEX(tblDisruptions[Event type],MATCH(tblWorkPackages[[#This Row],[Work package ID]],tblDisruptions[Work package ID],0)),"None")</f>
        <v>None</v>
      </c>
      <c r="AJ1605" s="51" t="str">
        <f>TEXT(tblWorkPackages[[#This Row],[Due date serial]],"yyyy-mm")</f>
        <v>2025-08</v>
      </c>
    </row>
    <row r="1606" spans="1:36" ht="15" x14ac:dyDescent="0.25">
      <c r="A1606" s="53" t="s">
        <v>2515</v>
      </c>
      <c r="B1606" s="53" t="s">
        <v>287</v>
      </c>
      <c r="C1606" s="53" t="s">
        <v>821</v>
      </c>
      <c r="D1606" s="53" t="s">
        <v>407</v>
      </c>
      <c r="E1606" s="53" t="s">
        <v>136</v>
      </c>
      <c r="F1606" s="53" t="s">
        <v>137</v>
      </c>
      <c r="G1606" s="53" t="s">
        <v>138</v>
      </c>
      <c r="H1606" s="53">
        <v>1</v>
      </c>
      <c r="I1606" s="53" t="s">
        <v>130</v>
      </c>
      <c r="J1606" s="53">
        <v>0</v>
      </c>
      <c r="K1606" s="53">
        <v>0</v>
      </c>
      <c r="L1606" s="53">
        <v>10.6</v>
      </c>
      <c r="M1606" s="53" t="s">
        <v>853</v>
      </c>
      <c r="N1606" s="53">
        <v>12.2</v>
      </c>
      <c r="O1606" s="51" t="str">
        <f>TEXT(tblWorkPackages[[#This Row],[Request date serial]]-WEEKDAY(tblWorkPackages[[#This Row],[Request date serial]],3),"yyyy-mm-dd")</f>
        <v>2024-05-13</v>
      </c>
      <c r="P1606" s="51">
        <f>ABS(tblWorkPackages[[#This Row],[Actual labor hours]]-tblWorkPackages[[#This Row],[Estimated labor hours]])</f>
        <v>1.6</v>
      </c>
      <c r="Q1606" s="51">
        <f>IF(tblWorkPackages[[#This Row],[Actual labor hours]]&gt;tblWorkPackages[[#This Row],[Estimated labor hours]],1,0)</f>
        <v>1</v>
      </c>
      <c r="R1606" s="51">
        <f>tblWorkPackages[[#This Row],[Actual labor hours]]-tblWorkPackages[[#This Row],[Estimated labor hours]]</f>
        <v>1.6</v>
      </c>
      <c r="S1606" s="51" t="str">
        <f>IF(tblWorkPackages[[#This Row],[Request date serial]]&lt;ValidationStart,"Train 2024",IF(tblWorkPackages[[#This Row],[Request date serial]]&lt;HoldoutStart,"Validation H1","Holdout H2"))</f>
        <v>Train 2024</v>
      </c>
      <c r="T1606" s="51" t="str">
        <f>IF(tblWorkPackages[[#This Row],[Time split]]="Train 2024","",tblWorkPackages[[#This Row],[Estimated labor hours]]+VLOOKUP(tblWorkPackages[[#This Row],[Task type]],'Forecast validation'!$A$14:$E$25,IF(tblWorkPackages[[#This Row],[Time split]]="Validation H1",4,5),FALSE()))</f>
        <v/>
      </c>
      <c r="U1606" s="51" t="str">
        <f>IF(tblWorkPackages[[#This Row],[Calibrated forecast hours]]="","",ABS(tblWorkPackages[[#This Row],[Actual labor hours]]-tblWorkPackages[[#This Row],[Calibrated forecast hours]]))</f>
        <v/>
      </c>
      <c r="V1606" s="51">
        <f>IF(tblWorkPackages[[#This Row],[Time split]]="Train 2024",tblWorkPackages[[#This Row],[Estimated labor hours]],tblWorkPackages[[#This Row],[Calibrated forecast hours]])</f>
        <v>10.6</v>
      </c>
      <c r="W1606" s="64">
        <f>DATEVALUE(tblWorkPackages[[#This Row],[Request date]])</f>
        <v>45428.0</v>
      </c>
      <c r="X1606" s="64">
        <f>DATEVALUE(tblWorkPackages[[#This Row],[Due date]])</f>
        <v>45441.0</v>
      </c>
      <c r="Y1606" s="64">
        <f>DATEVALUE(tblWorkPackages[[#This Row],[Completion date]])</f>
        <v>45466.0</v>
      </c>
      <c r="Z1606" s="64">
        <f>_xlfn.MINIFS(tblLaborEntries[Work date serial],tblLaborEntries[Work package ID],tblWorkPackages[[#This Row],[Work package ID]])</f>
        <v>45464.0</v>
      </c>
      <c r="AA1606" s="64">
        <f>_xlfn.MAXIFS(tblLaborEntries[Work date serial],tblLaborEntries[Work package ID],tblWorkPackages[[#This Row],[Work package ID]])</f>
        <v>45466.0</v>
      </c>
      <c r="AB1606" s="65">
        <f>IF(tblWorkPackages[[#This Row],[Completion date serial]]&gt;tblWorkPackages[[#This Row],[Due date serial]],1,0)</f>
        <v>1</v>
      </c>
      <c r="AC1606" s="65">
        <f>MAX(0,tblWorkPackages[[#This Row],[Completion date serial]]-tblWorkPackages[[#This Row],[Due date serial]])</f>
        <v>25</v>
      </c>
      <c r="AD1606" s="65">
        <f>tblWorkPackages[[#This Row],[First labor date]]-tblWorkPackages[[#This Row],[Request date serial]]</f>
        <v>36</v>
      </c>
      <c r="AE1606" s="65">
        <f>tblWorkPackages[[#This Row],[Last labor date]]-tblWorkPackages[[#This Row],[First labor date]]</f>
        <v>2</v>
      </c>
      <c r="AF1606" s="65">
        <f>tblWorkPackages[[#This Row],[Completion date serial]]-tblWorkPackages[[#This Row],[Last labor date]]</f>
        <v>0</v>
      </c>
      <c r="AG1606" s="65">
        <f>tblWorkPackages[[#This Row],[Completion date serial]]-tblWorkPackages[[#This Row],[Request date serial]]</f>
        <v>38</v>
      </c>
      <c r="AH1606" s="65">
        <f>IFERROR(INDEX(tblParts[Delay days],MATCH(tblWorkPackages[[#This Row],[Work package ID]],tblParts[Work package ID],0)),0)</f>
        <v>0</v>
      </c>
      <c r="AI1606" s="51" t="str">
        <f>IFERROR(INDEX(tblDisruptions[Event type],MATCH(tblWorkPackages[[#This Row],[Work package ID]],tblDisruptions[Work package ID],0)),"None")</f>
        <v>None</v>
      </c>
      <c r="AJ1606" s="51" t="str">
        <f>TEXT(tblWorkPackages[[#This Row],[Due date serial]],"yyyy-mm")</f>
        <v>2024-05</v>
      </c>
    </row>
    <row r="1607" spans="1:36" ht="15" x14ac:dyDescent="0.25">
      <c r="A1607" s="53" t="s">
        <v>2516</v>
      </c>
      <c r="B1607" s="53" t="s">
        <v>150</v>
      </c>
      <c r="C1607" s="53" t="s">
        <v>827</v>
      </c>
      <c r="D1607" s="53" t="s">
        <v>1186</v>
      </c>
      <c r="E1607" s="53" t="s">
        <v>136</v>
      </c>
      <c r="F1607" s="53" t="s">
        <v>137</v>
      </c>
      <c r="G1607" s="53" t="s">
        <v>138</v>
      </c>
      <c r="H1607" s="53">
        <v>4</v>
      </c>
      <c r="I1607" s="53" t="s">
        <v>130</v>
      </c>
      <c r="J1607" s="53">
        <v>0</v>
      </c>
      <c r="K1607" s="53">
        <v>0</v>
      </c>
      <c r="L1607" s="53">
        <v>30.6</v>
      </c>
      <c r="M1607" s="53" t="s">
        <v>900</v>
      </c>
      <c r="N1607" s="53">
        <v>36.299999999999997</v>
      </c>
      <c r="O1607" s="51" t="str">
        <f>TEXT(tblWorkPackages[[#This Row],[Request date serial]]-WEEKDAY(tblWorkPackages[[#This Row],[Request date serial]],3),"yyyy-mm-dd")</f>
        <v>2025-02-24</v>
      </c>
      <c r="P1607" s="51">
        <f>ABS(tblWorkPackages[[#This Row],[Actual labor hours]]-tblWorkPackages[[#This Row],[Estimated labor hours]])</f>
        <v>5.7</v>
      </c>
      <c r="Q1607" s="51">
        <f>IF(tblWorkPackages[[#This Row],[Actual labor hours]]&gt;tblWorkPackages[[#This Row],[Estimated labor hours]],1,0)</f>
        <v>1</v>
      </c>
      <c r="R1607" s="51">
        <f>tblWorkPackages[[#This Row],[Actual labor hours]]-tblWorkPackages[[#This Row],[Estimated labor hours]]</f>
        <v>5.7</v>
      </c>
      <c r="S1607" s="51" t="str">
        <f>IF(tblWorkPackages[[#This Row],[Request date serial]]&lt;ValidationStart,"Train 2024",IF(tblWorkPackages[[#This Row],[Request date serial]]&lt;HoldoutStart,"Validation H1","Holdout H2"))</f>
        <v>Validation H1</v>
      </c>
      <c r="T1607" s="51">
        <f>IF(tblWorkPackages[[#This Row],[Time split]]="Train 2024","",tblWorkPackages[[#This Row],[Estimated labor hours]]+VLOOKUP(tblWorkPackages[[#This Row],[Task type]],'Forecast validation'!$A$14:$E$25,IF(tblWorkPackages[[#This Row],[Time split]]="Validation H1",4,5),FALSE()))</f>
        <v>31.4765306122449</v>
      </c>
      <c r="U1607" s="51">
        <f>IF(tblWorkPackages[[#This Row],[Calibrated forecast hours]]="","",ABS(tblWorkPackages[[#This Row],[Actual labor hours]]-tblWorkPackages[[#This Row],[Calibrated forecast hours]]))</f>
        <v>4.8234693877551</v>
      </c>
      <c r="V1607" s="51">
        <f>IF(tblWorkPackages[[#This Row],[Time split]]="Train 2024",tblWorkPackages[[#This Row],[Estimated labor hours]],tblWorkPackages[[#This Row],[Calibrated forecast hours]])</f>
        <v>31.4765306122449</v>
      </c>
      <c r="W1607" s="64">
        <f>DATEVALUE(tblWorkPackages[[#This Row],[Request date]])</f>
        <v>45718.0</v>
      </c>
      <c r="X1607" s="64">
        <f>DATEVALUE(tblWorkPackages[[#This Row],[Due date]])</f>
        <v>45731.0</v>
      </c>
      <c r="Y1607" s="64">
        <f>DATEVALUE(tblWorkPackages[[#This Row],[Completion date]])</f>
        <v>45728.0</v>
      </c>
      <c r="Z1607" s="64">
        <f>_xlfn.MINIFS(tblLaborEntries[Work date serial],tblLaborEntries[Work package ID],tblWorkPackages[[#This Row],[Work package ID]])</f>
        <v>45725.0</v>
      </c>
      <c r="AA1607" s="64">
        <f>_xlfn.MAXIFS(tblLaborEntries[Work date serial],tblLaborEntries[Work package ID],tblWorkPackages[[#This Row],[Work package ID]])</f>
        <v>45727.0</v>
      </c>
      <c r="AB1607" s="65">
        <f>IF(tblWorkPackages[[#This Row],[Completion date serial]]&gt;tblWorkPackages[[#This Row],[Due date serial]],1,0)</f>
        <v>0</v>
      </c>
      <c r="AC1607" s="65">
        <f>MAX(0,tblWorkPackages[[#This Row],[Completion date serial]]-tblWorkPackages[[#This Row],[Due date serial]])</f>
        <v>0</v>
      </c>
      <c r="AD1607" s="65">
        <f>tblWorkPackages[[#This Row],[First labor date]]-tblWorkPackages[[#This Row],[Request date serial]]</f>
        <v>7</v>
      </c>
      <c r="AE1607" s="65">
        <f>tblWorkPackages[[#This Row],[Last labor date]]-tblWorkPackages[[#This Row],[First labor date]]</f>
        <v>2</v>
      </c>
      <c r="AF1607" s="65">
        <f>tblWorkPackages[[#This Row],[Completion date serial]]-tblWorkPackages[[#This Row],[Last labor date]]</f>
        <v>1</v>
      </c>
      <c r="AG1607" s="65">
        <f>tblWorkPackages[[#This Row],[Completion date serial]]-tblWorkPackages[[#This Row],[Request date serial]]</f>
        <v>10</v>
      </c>
      <c r="AH1607" s="65">
        <f>IFERROR(INDEX(tblParts[Delay days],MATCH(tblWorkPackages[[#This Row],[Work package ID]],tblParts[Work package ID],0)),0)</f>
        <v>0</v>
      </c>
      <c r="AI1607" s="51" t="str">
        <f>IFERROR(INDEX(tblDisruptions[Event type],MATCH(tblWorkPackages[[#This Row],[Work package ID]],tblDisruptions[Work package ID],0)),"None")</f>
        <v>None</v>
      </c>
      <c r="AJ1607" s="51" t="str">
        <f>TEXT(tblWorkPackages[[#This Row],[Due date serial]],"yyyy-mm")</f>
        <v>2025-03</v>
      </c>
    </row>
    <row r="1608" spans="1:36" ht="15" x14ac:dyDescent="0.25">
      <c r="A1608" s="53" t="s">
        <v>2517</v>
      </c>
      <c r="B1608" s="53" t="s">
        <v>157</v>
      </c>
      <c r="C1608" s="53" t="s">
        <v>468</v>
      </c>
      <c r="D1608" s="53" t="s">
        <v>517</v>
      </c>
      <c r="E1608" s="53" t="s">
        <v>237</v>
      </c>
      <c r="F1608" s="53" t="s">
        <v>182</v>
      </c>
      <c r="G1608" s="53" t="s">
        <v>138</v>
      </c>
      <c r="H1608" s="53">
        <v>1</v>
      </c>
      <c r="I1608" s="53" t="s">
        <v>130</v>
      </c>
      <c r="J1608" s="53">
        <v>0</v>
      </c>
      <c r="K1608" s="53">
        <v>0</v>
      </c>
      <c r="L1608" s="53">
        <v>3.6</v>
      </c>
      <c r="M1608" s="53" t="s">
        <v>125</v>
      </c>
      <c r="N1608" s="53">
        <v>4.3</v>
      </c>
      <c r="O1608" s="51" t="str">
        <f>TEXT(tblWorkPackages[[#This Row],[Request date serial]]-WEEKDAY(tblWorkPackages[[#This Row],[Request date serial]],3),"yyyy-mm-dd")</f>
        <v>2025-04-28</v>
      </c>
      <c r="P1608" s="51">
        <f>ABS(tblWorkPackages[[#This Row],[Actual labor hours]]-tblWorkPackages[[#This Row],[Estimated labor hours]])</f>
        <v>0.7</v>
      </c>
      <c r="Q1608" s="51">
        <f>IF(tblWorkPackages[[#This Row],[Actual labor hours]]&gt;tblWorkPackages[[#This Row],[Estimated labor hours]],1,0)</f>
        <v>1</v>
      </c>
      <c r="R1608" s="51">
        <f>tblWorkPackages[[#This Row],[Actual labor hours]]-tblWorkPackages[[#This Row],[Estimated labor hours]]</f>
        <v>0.7</v>
      </c>
      <c r="S1608" s="51" t="str">
        <f>IF(tblWorkPackages[[#This Row],[Request date serial]]&lt;ValidationStart,"Train 2024",IF(tblWorkPackages[[#This Row],[Request date serial]]&lt;HoldoutStart,"Validation H1","Holdout H2"))</f>
        <v>Validation H1</v>
      </c>
      <c r="T1608" s="51">
        <f>IF(tblWorkPackages[[#This Row],[Time split]]="Train 2024","",tblWorkPackages[[#This Row],[Estimated labor hours]]+VLOOKUP(tblWorkPackages[[#This Row],[Task type]],'Forecast validation'!$A$14:$E$25,IF(tblWorkPackages[[#This Row],[Time split]]="Validation H1",4,5),FALSE()))</f>
        <v>4.1037037037037</v>
      </c>
      <c r="U1608" s="51">
        <f>IF(tblWorkPackages[[#This Row],[Calibrated forecast hours]]="","",ABS(tblWorkPackages[[#This Row],[Actual labor hours]]-tblWorkPackages[[#This Row],[Calibrated forecast hours]]))</f>
        <v>0.196296296296296</v>
      </c>
      <c r="V1608" s="51">
        <f>IF(tblWorkPackages[[#This Row],[Time split]]="Train 2024",tblWorkPackages[[#This Row],[Estimated labor hours]],tblWorkPackages[[#This Row],[Calibrated forecast hours]])</f>
        <v>4.1037037037037</v>
      </c>
      <c r="W1608" s="64">
        <f>DATEVALUE(tblWorkPackages[[#This Row],[Request date]])</f>
        <v>45775.0</v>
      </c>
      <c r="X1608" s="64">
        <f>DATEVALUE(tblWorkPackages[[#This Row],[Due date]])</f>
        <v>45788.0</v>
      </c>
      <c r="Y1608" s="64">
        <f>DATEVALUE(tblWorkPackages[[#This Row],[Completion date]])</f>
        <v>45780.0</v>
      </c>
      <c r="Z1608" s="64">
        <f>_xlfn.MINIFS(tblLaborEntries[Work date serial],tblLaborEntries[Work package ID],tblWorkPackages[[#This Row],[Work package ID]])</f>
        <v>45777.0</v>
      </c>
      <c r="AA1608" s="64">
        <f>_xlfn.MAXIFS(tblLaborEntries[Work date serial],tblLaborEntries[Work package ID],tblWorkPackages[[#This Row],[Work package ID]])</f>
        <v>45778.0</v>
      </c>
      <c r="AB1608" s="65">
        <f>IF(tblWorkPackages[[#This Row],[Completion date serial]]&gt;tblWorkPackages[[#This Row],[Due date serial]],1,0)</f>
        <v>0</v>
      </c>
      <c r="AC1608" s="65">
        <f>MAX(0,tblWorkPackages[[#This Row],[Completion date serial]]-tblWorkPackages[[#This Row],[Due date serial]])</f>
        <v>0</v>
      </c>
      <c r="AD1608" s="65">
        <f>tblWorkPackages[[#This Row],[First labor date]]-tblWorkPackages[[#This Row],[Request date serial]]</f>
        <v>2</v>
      </c>
      <c r="AE1608" s="65">
        <f>tblWorkPackages[[#This Row],[Last labor date]]-tblWorkPackages[[#This Row],[First labor date]]</f>
        <v>1</v>
      </c>
      <c r="AF1608" s="65">
        <f>tblWorkPackages[[#This Row],[Completion date serial]]-tblWorkPackages[[#This Row],[Last labor date]]</f>
        <v>2</v>
      </c>
      <c r="AG1608" s="65">
        <f>tblWorkPackages[[#This Row],[Completion date serial]]-tblWorkPackages[[#This Row],[Request date serial]]</f>
        <v>5</v>
      </c>
      <c r="AH1608" s="65">
        <f>IFERROR(INDEX(tblParts[Delay days],MATCH(tblWorkPackages[[#This Row],[Work package ID]],tblParts[Work package ID],0)),0)</f>
        <v>0</v>
      </c>
      <c r="AI1608" s="51" t="str">
        <f>IFERROR(INDEX(tblDisruptions[Event type],MATCH(tblWorkPackages[[#This Row],[Work package ID]],tblDisruptions[Work package ID],0)),"None")</f>
        <v>None</v>
      </c>
      <c r="AJ1608" s="51" t="str">
        <f>TEXT(tblWorkPackages[[#This Row],[Due date serial]],"yyyy-mm")</f>
        <v>2025-05</v>
      </c>
    </row>
    <row r="1609" spans="1:36" ht="15" x14ac:dyDescent="0.25">
      <c r="A1609" s="53" t="s">
        <v>2518</v>
      </c>
      <c r="B1609" s="53" t="s">
        <v>235</v>
      </c>
      <c r="C1609" s="53" t="s">
        <v>1728</v>
      </c>
      <c r="D1609" s="53" t="s">
        <v>956</v>
      </c>
      <c r="E1609" s="53" t="s">
        <v>127</v>
      </c>
      <c r="F1609" s="53" t="s">
        <v>128</v>
      </c>
      <c r="G1609" s="53" t="s">
        <v>129</v>
      </c>
      <c r="H1609" s="53">
        <v>4</v>
      </c>
      <c r="I1609" s="53" t="s">
        <v>130</v>
      </c>
      <c r="J1609" s="53">
        <v>0</v>
      </c>
      <c r="K1609" s="53">
        <v>1</v>
      </c>
      <c r="L1609" s="53">
        <v>14.4</v>
      </c>
      <c r="M1609" s="53" t="s">
        <v>705</v>
      </c>
      <c r="N1609" s="53">
        <v>13.1</v>
      </c>
      <c r="O1609" s="51" t="str">
        <f>TEXT(tblWorkPackages[[#This Row],[Request date serial]]-WEEKDAY(tblWorkPackages[[#This Row],[Request date serial]],3),"yyyy-mm-dd")</f>
        <v>2024-05-27</v>
      </c>
      <c r="P1609" s="51">
        <f>ABS(tblWorkPackages[[#This Row],[Actual labor hours]]-tblWorkPackages[[#This Row],[Estimated labor hours]])</f>
        <v>1.3</v>
      </c>
      <c r="Q1609" s="51">
        <f>IF(tblWorkPackages[[#This Row],[Actual labor hours]]&gt;tblWorkPackages[[#This Row],[Estimated labor hours]],1,0)</f>
        <v>0</v>
      </c>
      <c r="R1609" s="51">
        <f>tblWorkPackages[[#This Row],[Actual labor hours]]-tblWorkPackages[[#This Row],[Estimated labor hours]]</f>
        <v>-1.3</v>
      </c>
      <c r="S1609" s="51" t="str">
        <f>IF(tblWorkPackages[[#This Row],[Request date serial]]&lt;ValidationStart,"Train 2024",IF(tblWorkPackages[[#This Row],[Request date serial]]&lt;HoldoutStart,"Validation H1","Holdout H2"))</f>
        <v>Train 2024</v>
      </c>
      <c r="T1609" s="51" t="str">
        <f>IF(tblWorkPackages[[#This Row],[Time split]]="Train 2024","",tblWorkPackages[[#This Row],[Estimated labor hours]]+VLOOKUP(tblWorkPackages[[#This Row],[Task type]],'Forecast validation'!$A$14:$E$25,IF(tblWorkPackages[[#This Row],[Time split]]="Validation H1",4,5),FALSE()))</f>
        <v/>
      </c>
      <c r="U1609" s="51" t="str">
        <f>IF(tblWorkPackages[[#This Row],[Calibrated forecast hours]]="","",ABS(tblWorkPackages[[#This Row],[Actual labor hours]]-tblWorkPackages[[#This Row],[Calibrated forecast hours]]))</f>
        <v/>
      </c>
      <c r="V1609" s="51">
        <f>IF(tblWorkPackages[[#This Row],[Time split]]="Train 2024",tblWorkPackages[[#This Row],[Estimated labor hours]],tblWorkPackages[[#This Row],[Calibrated forecast hours]])</f>
        <v>14.4</v>
      </c>
      <c r="W1609" s="64">
        <f>DATEVALUE(tblWorkPackages[[#This Row],[Request date]])</f>
        <v>45443.0</v>
      </c>
      <c r="X1609" s="64">
        <f>DATEVALUE(tblWorkPackages[[#This Row],[Due date]])</f>
        <v>45456.0</v>
      </c>
      <c r="Y1609" s="64">
        <f>DATEVALUE(tblWorkPackages[[#This Row],[Completion date]])</f>
        <v>45461.0</v>
      </c>
      <c r="Z1609" s="64">
        <f>_xlfn.MINIFS(tblLaborEntries[Work date serial],tblLaborEntries[Work package ID],tblWorkPackages[[#This Row],[Work package ID]])</f>
        <v>45458.0</v>
      </c>
      <c r="AA1609" s="64">
        <f>_xlfn.MAXIFS(tblLaborEntries[Work date serial],tblLaborEntries[Work package ID],tblWorkPackages[[#This Row],[Work package ID]])</f>
        <v>45458.0</v>
      </c>
      <c r="AB1609" s="65">
        <f>IF(tblWorkPackages[[#This Row],[Completion date serial]]&gt;tblWorkPackages[[#This Row],[Due date serial]],1,0)</f>
        <v>1</v>
      </c>
      <c r="AC1609" s="65">
        <f>MAX(0,tblWorkPackages[[#This Row],[Completion date serial]]-tblWorkPackages[[#This Row],[Due date serial]])</f>
        <v>5</v>
      </c>
      <c r="AD1609" s="65">
        <f>tblWorkPackages[[#This Row],[First labor date]]-tblWorkPackages[[#This Row],[Request date serial]]</f>
        <v>15</v>
      </c>
      <c r="AE1609" s="65">
        <f>tblWorkPackages[[#This Row],[Last labor date]]-tblWorkPackages[[#This Row],[First labor date]]</f>
        <v>0</v>
      </c>
      <c r="AF1609" s="65">
        <f>tblWorkPackages[[#This Row],[Completion date serial]]-tblWorkPackages[[#This Row],[Last labor date]]</f>
        <v>3</v>
      </c>
      <c r="AG1609" s="65">
        <f>tblWorkPackages[[#This Row],[Completion date serial]]-tblWorkPackages[[#This Row],[Request date serial]]</f>
        <v>18</v>
      </c>
      <c r="AH1609" s="65">
        <f>IFERROR(INDEX(tblParts[Delay days],MATCH(tblWorkPackages[[#This Row],[Work package ID]],tblParts[Work package ID],0)),0)</f>
        <v>0</v>
      </c>
      <c r="AI1609" s="51" t="str">
        <f>IFERROR(INDEX(tblDisruptions[Event type],MATCH(tblWorkPackages[[#This Row],[Work package ID]],tblDisruptions[Work package ID],0)),"None")</f>
        <v>None</v>
      </c>
      <c r="AJ1609" s="51" t="str">
        <f>TEXT(tblWorkPackages[[#This Row],[Due date serial]],"yyyy-mm")</f>
        <v>2024-06</v>
      </c>
    </row>
    <row r="1610" spans="1:36" ht="15" x14ac:dyDescent="0.25">
      <c r="A1610" s="53" t="s">
        <v>2519</v>
      </c>
      <c r="B1610" s="53" t="s">
        <v>141</v>
      </c>
      <c r="C1610" s="53" t="s">
        <v>782</v>
      </c>
      <c r="D1610" s="53" t="s">
        <v>1765</v>
      </c>
      <c r="E1610" s="53" t="s">
        <v>200</v>
      </c>
      <c r="F1610" s="53" t="s">
        <v>128</v>
      </c>
      <c r="G1610" s="53" t="s">
        <v>129</v>
      </c>
      <c r="H1610" s="53">
        <v>4</v>
      </c>
      <c r="I1610" s="53" t="s">
        <v>147</v>
      </c>
      <c r="J1610" s="53">
        <v>0</v>
      </c>
      <c r="K1610" s="53">
        <v>0</v>
      </c>
      <c r="L1610" s="53">
        <v>5.2</v>
      </c>
      <c r="M1610" s="53" t="s">
        <v>296</v>
      </c>
      <c r="N1610" s="53">
        <v>6.2</v>
      </c>
      <c r="O1610" s="51" t="str">
        <f>TEXT(tblWorkPackages[[#This Row],[Request date serial]]-WEEKDAY(tblWorkPackages[[#This Row],[Request date serial]],3),"yyyy-mm-dd")</f>
        <v>2024-08-12</v>
      </c>
      <c r="P1610" s="51">
        <f>ABS(tblWorkPackages[[#This Row],[Actual labor hours]]-tblWorkPackages[[#This Row],[Estimated labor hours]])</f>
        <v>1</v>
      </c>
      <c r="Q1610" s="51">
        <f>IF(tblWorkPackages[[#This Row],[Actual labor hours]]&gt;tblWorkPackages[[#This Row],[Estimated labor hours]],1,0)</f>
        <v>1</v>
      </c>
      <c r="R1610" s="51">
        <f>tblWorkPackages[[#This Row],[Actual labor hours]]-tblWorkPackages[[#This Row],[Estimated labor hours]]</f>
        <v>1</v>
      </c>
      <c r="S1610" s="51" t="str">
        <f>IF(tblWorkPackages[[#This Row],[Request date serial]]&lt;ValidationStart,"Train 2024",IF(tblWorkPackages[[#This Row],[Request date serial]]&lt;HoldoutStart,"Validation H1","Holdout H2"))</f>
        <v>Train 2024</v>
      </c>
      <c r="T1610" s="51" t="str">
        <f>IF(tblWorkPackages[[#This Row],[Time split]]="Train 2024","",tblWorkPackages[[#This Row],[Estimated labor hours]]+VLOOKUP(tblWorkPackages[[#This Row],[Task type]],'Forecast validation'!$A$14:$E$25,IF(tblWorkPackages[[#This Row],[Time split]]="Validation H1",4,5),FALSE()))</f>
        <v/>
      </c>
      <c r="U1610" s="51" t="str">
        <f>IF(tblWorkPackages[[#This Row],[Calibrated forecast hours]]="","",ABS(tblWorkPackages[[#This Row],[Actual labor hours]]-tblWorkPackages[[#This Row],[Calibrated forecast hours]]))</f>
        <v/>
      </c>
      <c r="V1610" s="51">
        <f>IF(tblWorkPackages[[#This Row],[Time split]]="Train 2024",tblWorkPackages[[#This Row],[Estimated labor hours]],tblWorkPackages[[#This Row],[Calibrated forecast hours]])</f>
        <v>5.2</v>
      </c>
      <c r="W1610" s="64">
        <f>DATEVALUE(tblWorkPackages[[#This Row],[Request date]])</f>
        <v>45517.0</v>
      </c>
      <c r="X1610" s="64">
        <f>DATEVALUE(tblWorkPackages[[#This Row],[Due date]])</f>
        <v>45519.0</v>
      </c>
      <c r="Y1610" s="64">
        <f>DATEVALUE(tblWorkPackages[[#This Row],[Completion date]])</f>
        <v>45523.0</v>
      </c>
      <c r="Z1610" s="64">
        <f>_xlfn.MINIFS(tblLaborEntries[Work date serial],tblLaborEntries[Work package ID],tblWorkPackages[[#This Row],[Work package ID]])</f>
        <v>45521.0</v>
      </c>
      <c r="AA1610" s="64">
        <f>_xlfn.MAXIFS(tblLaborEntries[Work date serial],tblLaborEntries[Work package ID],tblWorkPackages[[#This Row],[Work package ID]])</f>
        <v>45523.0</v>
      </c>
      <c r="AB1610" s="65">
        <f>IF(tblWorkPackages[[#This Row],[Completion date serial]]&gt;tblWorkPackages[[#This Row],[Due date serial]],1,0)</f>
        <v>1</v>
      </c>
      <c r="AC1610" s="65">
        <f>MAX(0,tblWorkPackages[[#This Row],[Completion date serial]]-tblWorkPackages[[#This Row],[Due date serial]])</f>
        <v>4</v>
      </c>
      <c r="AD1610" s="65">
        <f>tblWorkPackages[[#This Row],[First labor date]]-tblWorkPackages[[#This Row],[Request date serial]]</f>
        <v>4</v>
      </c>
      <c r="AE1610" s="65">
        <f>tblWorkPackages[[#This Row],[Last labor date]]-tblWorkPackages[[#This Row],[First labor date]]</f>
        <v>2</v>
      </c>
      <c r="AF1610" s="65">
        <f>tblWorkPackages[[#This Row],[Completion date serial]]-tblWorkPackages[[#This Row],[Last labor date]]</f>
        <v>0</v>
      </c>
      <c r="AG1610" s="65">
        <f>tblWorkPackages[[#This Row],[Completion date serial]]-tblWorkPackages[[#This Row],[Request date serial]]</f>
        <v>6</v>
      </c>
      <c r="AH1610" s="65">
        <f>IFERROR(INDEX(tblParts[Delay days],MATCH(tblWorkPackages[[#This Row],[Work package ID]],tblParts[Work package ID],0)),0)</f>
        <v>0</v>
      </c>
      <c r="AI1610" s="51" t="str">
        <f>IFERROR(INDEX(tblDisruptions[Event type],MATCH(tblWorkPackages[[#This Row],[Work package ID]],tblDisruptions[Work package ID],0)),"None")</f>
        <v>None</v>
      </c>
      <c r="AJ1610" s="51" t="str">
        <f>TEXT(tblWorkPackages[[#This Row],[Due date serial]],"yyyy-mm")</f>
        <v>2024-08</v>
      </c>
    </row>
    <row r="1611" spans="1:36" ht="15" x14ac:dyDescent="0.25">
      <c r="A1611" s="53" t="s">
        <v>2520</v>
      </c>
      <c r="B1611" s="53" t="s">
        <v>230</v>
      </c>
      <c r="C1611" s="53" t="s">
        <v>1072</v>
      </c>
      <c r="D1611" s="53" t="s">
        <v>818</v>
      </c>
      <c r="E1611" s="53" t="s">
        <v>242</v>
      </c>
      <c r="F1611" s="53" t="s">
        <v>243</v>
      </c>
      <c r="G1611" s="53" t="s">
        <v>129</v>
      </c>
      <c r="H1611" s="53">
        <v>1</v>
      </c>
      <c r="I1611" s="53" t="s">
        <v>130</v>
      </c>
      <c r="J1611" s="53">
        <v>1</v>
      </c>
      <c r="K1611" s="53">
        <v>1</v>
      </c>
      <c r="L1611" s="53">
        <v>5.6</v>
      </c>
      <c r="M1611" s="53" t="s">
        <v>817</v>
      </c>
      <c r="N1611" s="53">
        <v>6.1</v>
      </c>
      <c r="O1611" s="51" t="str">
        <f>TEXT(tblWorkPackages[[#This Row],[Request date serial]]-WEEKDAY(tblWorkPackages[[#This Row],[Request date serial]],3),"yyyy-mm-dd")</f>
        <v>2024-12-02</v>
      </c>
      <c r="P1611" s="51">
        <f>ABS(tblWorkPackages[[#This Row],[Actual labor hours]]-tblWorkPackages[[#This Row],[Estimated labor hours]])</f>
        <v>0.5</v>
      </c>
      <c r="Q1611" s="51">
        <f>IF(tblWorkPackages[[#This Row],[Actual labor hours]]&gt;tblWorkPackages[[#This Row],[Estimated labor hours]],1,0)</f>
        <v>1</v>
      </c>
      <c r="R1611" s="51">
        <f>tblWorkPackages[[#This Row],[Actual labor hours]]-tblWorkPackages[[#This Row],[Estimated labor hours]]</f>
        <v>0.5</v>
      </c>
      <c r="S1611" s="51" t="str">
        <f>IF(tblWorkPackages[[#This Row],[Request date serial]]&lt;ValidationStart,"Train 2024",IF(tblWorkPackages[[#This Row],[Request date serial]]&lt;HoldoutStart,"Validation H1","Holdout H2"))</f>
        <v>Train 2024</v>
      </c>
      <c r="T1611" s="51" t="str">
        <f>IF(tblWorkPackages[[#This Row],[Time split]]="Train 2024","",tblWorkPackages[[#This Row],[Estimated labor hours]]+VLOOKUP(tblWorkPackages[[#This Row],[Task type]],'Forecast validation'!$A$14:$E$25,IF(tblWorkPackages[[#This Row],[Time split]]="Validation H1",4,5),FALSE()))</f>
        <v/>
      </c>
      <c r="U1611" s="51" t="str">
        <f>IF(tblWorkPackages[[#This Row],[Calibrated forecast hours]]="","",ABS(tblWorkPackages[[#This Row],[Actual labor hours]]-tblWorkPackages[[#This Row],[Calibrated forecast hours]]))</f>
        <v/>
      </c>
      <c r="V1611" s="51">
        <f>IF(tblWorkPackages[[#This Row],[Time split]]="Train 2024",tblWorkPackages[[#This Row],[Estimated labor hours]],tblWorkPackages[[#This Row],[Calibrated forecast hours]])</f>
        <v>5.6</v>
      </c>
      <c r="W1611" s="64">
        <f>DATEVALUE(tblWorkPackages[[#This Row],[Request date]])</f>
        <v>45630.0</v>
      </c>
      <c r="X1611" s="64">
        <f>DATEVALUE(tblWorkPackages[[#This Row],[Due date]])</f>
        <v>45643.0</v>
      </c>
      <c r="Y1611" s="64">
        <f>DATEVALUE(tblWorkPackages[[#This Row],[Completion date]])</f>
        <v>45637.0</v>
      </c>
      <c r="Z1611" s="64">
        <f>_xlfn.MINIFS(tblLaborEntries[Work date serial],tblLaborEntries[Work package ID],tblWorkPackages[[#This Row],[Work package ID]])</f>
        <v>45636.0</v>
      </c>
      <c r="AA1611" s="64">
        <f>_xlfn.MAXIFS(tblLaborEntries[Work date serial],tblLaborEntries[Work package ID],tblWorkPackages[[#This Row],[Work package ID]])</f>
        <v>45636.0</v>
      </c>
      <c r="AB1611" s="65">
        <f>IF(tblWorkPackages[[#This Row],[Completion date serial]]&gt;tblWorkPackages[[#This Row],[Due date serial]],1,0)</f>
        <v>0</v>
      </c>
      <c r="AC1611" s="65">
        <f>MAX(0,tblWorkPackages[[#This Row],[Completion date serial]]-tblWorkPackages[[#This Row],[Due date serial]])</f>
        <v>0</v>
      </c>
      <c r="AD1611" s="65">
        <f>tblWorkPackages[[#This Row],[First labor date]]-tblWorkPackages[[#This Row],[Request date serial]]</f>
        <v>6</v>
      </c>
      <c r="AE1611" s="65">
        <f>tblWorkPackages[[#This Row],[Last labor date]]-tblWorkPackages[[#This Row],[First labor date]]</f>
        <v>0</v>
      </c>
      <c r="AF1611" s="65">
        <f>tblWorkPackages[[#This Row],[Completion date serial]]-tblWorkPackages[[#This Row],[Last labor date]]</f>
        <v>1</v>
      </c>
      <c r="AG1611" s="65">
        <f>tblWorkPackages[[#This Row],[Completion date serial]]-tblWorkPackages[[#This Row],[Request date serial]]</f>
        <v>7</v>
      </c>
      <c r="AH1611" s="65">
        <f>IFERROR(INDEX(tblParts[Delay days],MATCH(tblWorkPackages[[#This Row],[Work package ID]],tblParts[Work package ID],0)),0)</f>
        <v>5</v>
      </c>
      <c r="AI1611" s="51" t="str">
        <f>IFERROR(INDEX(tblDisruptions[Event type],MATCH(tblWorkPackages[[#This Row],[Work package ID]],tblDisruptions[Work package ID],0)),"None")</f>
        <v>Part delay</v>
      </c>
      <c r="AJ1611" s="51" t="str">
        <f>TEXT(tblWorkPackages[[#This Row],[Due date serial]],"yyyy-mm")</f>
        <v>2024-12</v>
      </c>
    </row>
    <row r="1612" spans="1:36" ht="15" x14ac:dyDescent="0.25">
      <c r="A1612" s="53" t="s">
        <v>2521</v>
      </c>
      <c r="B1612" s="53" t="s">
        <v>173</v>
      </c>
      <c r="C1612" s="53" t="s">
        <v>697</v>
      </c>
      <c r="D1612" s="53" t="s">
        <v>291</v>
      </c>
      <c r="E1612" s="53" t="s">
        <v>237</v>
      </c>
      <c r="F1612" s="53" t="s">
        <v>182</v>
      </c>
      <c r="G1612" s="53" t="s">
        <v>138</v>
      </c>
      <c r="H1612" s="53">
        <v>2</v>
      </c>
      <c r="I1612" s="53" t="s">
        <v>176</v>
      </c>
      <c r="J1612" s="53">
        <v>0</v>
      </c>
      <c r="K1612" s="53">
        <v>0</v>
      </c>
      <c r="L1612" s="53">
        <v>5.3</v>
      </c>
      <c r="M1612" s="53" t="s">
        <v>354</v>
      </c>
      <c r="N1612" s="53">
        <v>6.6</v>
      </c>
      <c r="O1612" s="51" t="str">
        <f>TEXT(tblWorkPackages[[#This Row],[Request date serial]]-WEEKDAY(tblWorkPackages[[#This Row],[Request date serial]],3),"yyyy-mm-dd")</f>
        <v>2025-02-10</v>
      </c>
      <c r="P1612" s="51">
        <f>ABS(tblWorkPackages[[#This Row],[Actual labor hours]]-tblWorkPackages[[#This Row],[Estimated labor hours]])</f>
        <v>1.3</v>
      </c>
      <c r="Q1612" s="51">
        <f>IF(tblWorkPackages[[#This Row],[Actual labor hours]]&gt;tblWorkPackages[[#This Row],[Estimated labor hours]],1,0)</f>
        <v>1</v>
      </c>
      <c r="R1612" s="51">
        <f>tblWorkPackages[[#This Row],[Actual labor hours]]-tblWorkPackages[[#This Row],[Estimated labor hours]]</f>
        <v>1.3</v>
      </c>
      <c r="S1612" s="51" t="str">
        <f>IF(tblWorkPackages[[#This Row],[Request date serial]]&lt;ValidationStart,"Train 2024",IF(tblWorkPackages[[#This Row],[Request date serial]]&lt;HoldoutStart,"Validation H1","Holdout H2"))</f>
        <v>Validation H1</v>
      </c>
      <c r="T1612" s="51">
        <f>IF(tblWorkPackages[[#This Row],[Time split]]="Train 2024","",tblWorkPackages[[#This Row],[Estimated labor hours]]+VLOOKUP(tblWorkPackages[[#This Row],[Task type]],'Forecast validation'!$A$14:$E$25,IF(tblWorkPackages[[#This Row],[Time split]]="Validation H1",4,5),FALSE()))</f>
        <v>5.8037037037037</v>
      </c>
      <c r="U1612" s="51">
        <f>IF(tblWorkPackages[[#This Row],[Calibrated forecast hours]]="","",ABS(tblWorkPackages[[#This Row],[Actual labor hours]]-tblWorkPackages[[#This Row],[Calibrated forecast hours]]))</f>
        <v>0.796296296296296</v>
      </c>
      <c r="V1612" s="51">
        <f>IF(tblWorkPackages[[#This Row],[Time split]]="Train 2024",tblWorkPackages[[#This Row],[Estimated labor hours]],tblWorkPackages[[#This Row],[Calibrated forecast hours]])</f>
        <v>5.8037037037037</v>
      </c>
      <c r="W1612" s="64">
        <f>DATEVALUE(tblWorkPackages[[#This Row],[Request date]])</f>
        <v>45703.0</v>
      </c>
      <c r="X1612" s="64">
        <f>DATEVALUE(tblWorkPackages[[#This Row],[Due date]])</f>
        <v>45709.0</v>
      </c>
      <c r="Y1612" s="64">
        <f>DATEVALUE(tblWorkPackages[[#This Row],[Completion date]])</f>
        <v>45716.0</v>
      </c>
      <c r="Z1612" s="64">
        <f>_xlfn.MINIFS(tblLaborEntries[Work date serial],tblLaborEntries[Work package ID],tblWorkPackages[[#This Row],[Work package ID]])</f>
        <v>45713.0</v>
      </c>
      <c r="AA1612" s="64">
        <f>_xlfn.MAXIFS(tblLaborEntries[Work date serial],tblLaborEntries[Work package ID],tblWorkPackages[[#This Row],[Work package ID]])</f>
        <v>45714.0</v>
      </c>
      <c r="AB1612" s="65">
        <f>IF(tblWorkPackages[[#This Row],[Completion date serial]]&gt;tblWorkPackages[[#This Row],[Due date serial]],1,0)</f>
        <v>1</v>
      </c>
      <c r="AC1612" s="65">
        <f>MAX(0,tblWorkPackages[[#This Row],[Completion date serial]]-tblWorkPackages[[#This Row],[Due date serial]])</f>
        <v>7</v>
      </c>
      <c r="AD1612" s="65">
        <f>tblWorkPackages[[#This Row],[First labor date]]-tblWorkPackages[[#This Row],[Request date serial]]</f>
        <v>10</v>
      </c>
      <c r="AE1612" s="65">
        <f>tblWorkPackages[[#This Row],[Last labor date]]-tblWorkPackages[[#This Row],[First labor date]]</f>
        <v>1</v>
      </c>
      <c r="AF1612" s="65">
        <f>tblWorkPackages[[#This Row],[Completion date serial]]-tblWorkPackages[[#This Row],[Last labor date]]</f>
        <v>2</v>
      </c>
      <c r="AG1612" s="65">
        <f>tblWorkPackages[[#This Row],[Completion date serial]]-tblWorkPackages[[#This Row],[Request date serial]]</f>
        <v>13</v>
      </c>
      <c r="AH1612" s="65">
        <f>IFERROR(INDEX(tblParts[Delay days],MATCH(tblWorkPackages[[#This Row],[Work package ID]],tblParts[Work package ID],0)),0)</f>
        <v>0</v>
      </c>
      <c r="AI1612" s="51" t="str">
        <f>IFERROR(INDEX(tblDisruptions[Event type],MATCH(tblWorkPackages[[#This Row],[Work package ID]],tblDisruptions[Work package ID],0)),"None")</f>
        <v>None</v>
      </c>
      <c r="AJ1612" s="51" t="str">
        <f>TEXT(tblWorkPackages[[#This Row],[Due date serial]],"yyyy-mm")</f>
        <v>2025-02</v>
      </c>
    </row>
    <row r="1613" spans="1:36" ht="15" x14ac:dyDescent="0.25">
      <c r="A1613" s="53" t="s">
        <v>2522</v>
      </c>
      <c r="B1613" s="53" t="s">
        <v>230</v>
      </c>
      <c r="C1613" s="53" t="s">
        <v>631</v>
      </c>
      <c r="D1613" s="53" t="s">
        <v>609</v>
      </c>
      <c r="E1613" s="53" t="s">
        <v>242</v>
      </c>
      <c r="F1613" s="53" t="s">
        <v>243</v>
      </c>
      <c r="G1613" s="53" t="s">
        <v>129</v>
      </c>
      <c r="H1613" s="53">
        <v>3</v>
      </c>
      <c r="I1613" s="53" t="s">
        <v>147</v>
      </c>
      <c r="J1613" s="53">
        <v>0</v>
      </c>
      <c r="K1613" s="53">
        <v>1</v>
      </c>
      <c r="L1613" s="53">
        <v>13.6</v>
      </c>
      <c r="M1613" s="53" t="s">
        <v>321</v>
      </c>
      <c r="N1613" s="53">
        <v>16</v>
      </c>
      <c r="O1613" s="51" t="str">
        <f>TEXT(tblWorkPackages[[#This Row],[Request date serial]]-WEEKDAY(tblWorkPackages[[#This Row],[Request date serial]],3),"yyyy-mm-dd")</f>
        <v>2024-03-25</v>
      </c>
      <c r="P1613" s="51">
        <f>ABS(tblWorkPackages[[#This Row],[Actual labor hours]]-tblWorkPackages[[#This Row],[Estimated labor hours]])</f>
        <v>2.4</v>
      </c>
      <c r="Q1613" s="51">
        <f>IF(tblWorkPackages[[#This Row],[Actual labor hours]]&gt;tblWorkPackages[[#This Row],[Estimated labor hours]],1,0)</f>
        <v>1</v>
      </c>
      <c r="R1613" s="51">
        <f>tblWorkPackages[[#This Row],[Actual labor hours]]-tblWorkPackages[[#This Row],[Estimated labor hours]]</f>
        <v>2.4</v>
      </c>
      <c r="S1613" s="51" t="str">
        <f>IF(tblWorkPackages[[#This Row],[Request date serial]]&lt;ValidationStart,"Train 2024",IF(tblWorkPackages[[#This Row],[Request date serial]]&lt;HoldoutStart,"Validation H1","Holdout H2"))</f>
        <v>Train 2024</v>
      </c>
      <c r="T1613" s="51" t="str">
        <f>IF(tblWorkPackages[[#This Row],[Time split]]="Train 2024","",tblWorkPackages[[#This Row],[Estimated labor hours]]+VLOOKUP(tblWorkPackages[[#This Row],[Task type]],'Forecast validation'!$A$14:$E$25,IF(tblWorkPackages[[#This Row],[Time split]]="Validation H1",4,5),FALSE()))</f>
        <v/>
      </c>
      <c r="U1613" s="51" t="str">
        <f>IF(tblWorkPackages[[#This Row],[Calibrated forecast hours]]="","",ABS(tblWorkPackages[[#This Row],[Actual labor hours]]-tblWorkPackages[[#This Row],[Calibrated forecast hours]]))</f>
        <v/>
      </c>
      <c r="V1613" s="51">
        <f>IF(tblWorkPackages[[#This Row],[Time split]]="Train 2024",tblWorkPackages[[#This Row],[Estimated labor hours]],tblWorkPackages[[#This Row],[Calibrated forecast hours]])</f>
        <v>13.6</v>
      </c>
      <c r="W1613" s="64">
        <f>DATEVALUE(tblWorkPackages[[#This Row],[Request date]])</f>
        <v>45382.0</v>
      </c>
      <c r="X1613" s="64">
        <f>DATEVALUE(tblWorkPackages[[#This Row],[Due date]])</f>
        <v>45384.0</v>
      </c>
      <c r="Y1613" s="64">
        <f>DATEVALUE(tblWorkPackages[[#This Row],[Completion date]])</f>
        <v>45388.0</v>
      </c>
      <c r="Z1613" s="64">
        <f>_xlfn.MINIFS(tblLaborEntries[Work date serial],tblLaborEntries[Work package ID],tblWorkPackages[[#This Row],[Work package ID]])</f>
        <v>45385.0</v>
      </c>
      <c r="AA1613" s="64">
        <f>_xlfn.MAXIFS(tblLaborEntries[Work date serial],tblLaborEntries[Work package ID],tblWorkPackages[[#This Row],[Work package ID]])</f>
        <v>45385.0</v>
      </c>
      <c r="AB1613" s="65">
        <f>IF(tblWorkPackages[[#This Row],[Completion date serial]]&gt;tblWorkPackages[[#This Row],[Due date serial]],1,0)</f>
        <v>1</v>
      </c>
      <c r="AC1613" s="65">
        <f>MAX(0,tblWorkPackages[[#This Row],[Completion date serial]]-tblWorkPackages[[#This Row],[Due date serial]])</f>
        <v>4</v>
      </c>
      <c r="AD1613" s="65">
        <f>tblWorkPackages[[#This Row],[First labor date]]-tblWorkPackages[[#This Row],[Request date serial]]</f>
        <v>3</v>
      </c>
      <c r="AE1613" s="65">
        <f>tblWorkPackages[[#This Row],[Last labor date]]-tblWorkPackages[[#This Row],[First labor date]]</f>
        <v>0</v>
      </c>
      <c r="AF1613" s="65">
        <f>tblWorkPackages[[#This Row],[Completion date serial]]-tblWorkPackages[[#This Row],[Last labor date]]</f>
        <v>3</v>
      </c>
      <c r="AG1613" s="65">
        <f>tblWorkPackages[[#This Row],[Completion date serial]]-tblWorkPackages[[#This Row],[Request date serial]]</f>
        <v>6</v>
      </c>
      <c r="AH1613" s="65">
        <f>IFERROR(INDEX(tblParts[Delay days],MATCH(tblWorkPackages[[#This Row],[Work package ID]],tblParts[Work package ID],0)),0)</f>
        <v>0</v>
      </c>
      <c r="AI1613" s="51" t="str">
        <f>IFERROR(INDEX(tblDisruptions[Event type],MATCH(tblWorkPackages[[#This Row],[Work package ID]],tblDisruptions[Work package ID],0)),"None")</f>
        <v>None</v>
      </c>
      <c r="AJ1613" s="51" t="str">
        <f>TEXT(tblWorkPackages[[#This Row],[Due date serial]],"yyyy-mm")</f>
        <v>2024-04</v>
      </c>
    </row>
    <row r="1614" spans="1:36" ht="15" x14ac:dyDescent="0.25">
      <c r="A1614" s="53" t="s">
        <v>2523</v>
      </c>
      <c r="B1614" s="53" t="s">
        <v>163</v>
      </c>
      <c r="C1614" s="53" t="s">
        <v>720</v>
      </c>
      <c r="D1614" s="53" t="s">
        <v>1001</v>
      </c>
      <c r="E1614" s="53" t="s">
        <v>242</v>
      </c>
      <c r="F1614" s="53" t="s">
        <v>243</v>
      </c>
      <c r="G1614" s="53" t="s">
        <v>129</v>
      </c>
      <c r="H1614" s="53">
        <v>2</v>
      </c>
      <c r="I1614" s="53" t="s">
        <v>176</v>
      </c>
      <c r="J1614" s="53">
        <v>0</v>
      </c>
      <c r="K1614" s="53">
        <v>0</v>
      </c>
      <c r="L1614" s="53">
        <v>9</v>
      </c>
      <c r="M1614" s="53" t="s">
        <v>321</v>
      </c>
      <c r="N1614" s="53">
        <v>8.6999999999999993</v>
      </c>
      <c r="O1614" s="51" t="str">
        <f>TEXT(tblWorkPackages[[#This Row],[Request date serial]]-WEEKDAY(tblWorkPackages[[#This Row],[Request date serial]],3),"yyyy-mm-dd")</f>
        <v>2024-03-04</v>
      </c>
      <c r="P1614" s="51">
        <f>ABS(tblWorkPackages[[#This Row],[Actual labor hours]]-tblWorkPackages[[#This Row],[Estimated labor hours]])</f>
        <v>0.300000000000001</v>
      </c>
      <c r="Q1614" s="51">
        <f>IF(tblWorkPackages[[#This Row],[Actual labor hours]]&gt;tblWorkPackages[[#This Row],[Estimated labor hours]],1,0)</f>
        <v>0</v>
      </c>
      <c r="R1614" s="51">
        <f>tblWorkPackages[[#This Row],[Actual labor hours]]-tblWorkPackages[[#This Row],[Estimated labor hours]]</f>
        <v>-0.300000000000001</v>
      </c>
      <c r="S1614" s="51" t="str">
        <f>IF(tblWorkPackages[[#This Row],[Request date serial]]&lt;ValidationStart,"Train 2024",IF(tblWorkPackages[[#This Row],[Request date serial]]&lt;HoldoutStart,"Validation H1","Holdout H2"))</f>
        <v>Train 2024</v>
      </c>
      <c r="T1614" s="51" t="str">
        <f>IF(tblWorkPackages[[#This Row],[Time split]]="Train 2024","",tblWorkPackages[[#This Row],[Estimated labor hours]]+VLOOKUP(tblWorkPackages[[#This Row],[Task type]],'Forecast validation'!$A$14:$E$25,IF(tblWorkPackages[[#This Row],[Time split]]="Validation H1",4,5),FALSE()))</f>
        <v/>
      </c>
      <c r="U1614" s="51" t="str">
        <f>IF(tblWorkPackages[[#This Row],[Calibrated forecast hours]]="","",ABS(tblWorkPackages[[#This Row],[Actual labor hours]]-tblWorkPackages[[#This Row],[Calibrated forecast hours]]))</f>
        <v/>
      </c>
      <c r="V1614" s="51">
        <f>IF(tblWorkPackages[[#This Row],[Time split]]="Train 2024",tblWorkPackages[[#This Row],[Estimated labor hours]],tblWorkPackages[[#This Row],[Calibrated forecast hours]])</f>
        <v>9</v>
      </c>
      <c r="W1614" s="64">
        <f>DATEVALUE(tblWorkPackages[[#This Row],[Request date]])</f>
        <v>45359.0</v>
      </c>
      <c r="X1614" s="64">
        <f>DATEVALUE(tblWorkPackages[[#This Row],[Due date]])</f>
        <v>45365.0</v>
      </c>
      <c r="Y1614" s="64">
        <f>DATEVALUE(tblWorkPackages[[#This Row],[Completion date]])</f>
        <v>45388.0</v>
      </c>
      <c r="Z1614" s="64">
        <f>_xlfn.MINIFS(tblLaborEntries[Work date serial],tblLaborEntries[Work package ID],tblWorkPackages[[#This Row],[Work package ID]])</f>
        <v>45387.0</v>
      </c>
      <c r="AA1614" s="64">
        <f>_xlfn.MAXIFS(tblLaborEntries[Work date serial],tblLaborEntries[Work package ID],tblWorkPackages[[#This Row],[Work package ID]])</f>
        <v>45388.0</v>
      </c>
      <c r="AB1614" s="65">
        <f>IF(tblWorkPackages[[#This Row],[Completion date serial]]&gt;tblWorkPackages[[#This Row],[Due date serial]],1,0)</f>
        <v>1</v>
      </c>
      <c r="AC1614" s="65">
        <f>MAX(0,tblWorkPackages[[#This Row],[Completion date serial]]-tblWorkPackages[[#This Row],[Due date serial]])</f>
        <v>23</v>
      </c>
      <c r="AD1614" s="65">
        <f>tblWorkPackages[[#This Row],[First labor date]]-tblWorkPackages[[#This Row],[Request date serial]]</f>
        <v>28</v>
      </c>
      <c r="AE1614" s="65">
        <f>tblWorkPackages[[#This Row],[Last labor date]]-tblWorkPackages[[#This Row],[First labor date]]</f>
        <v>1</v>
      </c>
      <c r="AF1614" s="65">
        <f>tblWorkPackages[[#This Row],[Completion date serial]]-tblWorkPackages[[#This Row],[Last labor date]]</f>
        <v>0</v>
      </c>
      <c r="AG1614" s="65">
        <f>tblWorkPackages[[#This Row],[Completion date serial]]-tblWorkPackages[[#This Row],[Request date serial]]</f>
        <v>29</v>
      </c>
      <c r="AH1614" s="65">
        <f>IFERROR(INDEX(tblParts[Delay days],MATCH(tblWorkPackages[[#This Row],[Work package ID]],tblParts[Work package ID],0)),0)</f>
        <v>0</v>
      </c>
      <c r="AI1614" s="51" t="str">
        <f>IFERROR(INDEX(tblDisruptions[Event type],MATCH(tblWorkPackages[[#This Row],[Work package ID]],tblDisruptions[Work package ID],0)),"None")</f>
        <v>None</v>
      </c>
      <c r="AJ1614" s="51" t="str">
        <f>TEXT(tblWorkPackages[[#This Row],[Due date serial]],"yyyy-mm")</f>
        <v>2024-03</v>
      </c>
    </row>
    <row r="1615" spans="1:36" ht="15" x14ac:dyDescent="0.25">
      <c r="A1615" s="53" t="s">
        <v>2524</v>
      </c>
      <c r="B1615" s="53" t="s">
        <v>150</v>
      </c>
      <c r="C1615" s="53" t="s">
        <v>199</v>
      </c>
      <c r="D1615" s="53" t="s">
        <v>366</v>
      </c>
      <c r="E1615" s="53" t="s">
        <v>181</v>
      </c>
      <c r="F1615" s="53" t="s">
        <v>182</v>
      </c>
      <c r="G1615" s="53" t="s">
        <v>138</v>
      </c>
      <c r="H1615" s="53">
        <v>1</v>
      </c>
      <c r="I1615" s="53" t="s">
        <v>130</v>
      </c>
      <c r="J1615" s="53">
        <v>0</v>
      </c>
      <c r="K1615" s="53">
        <v>0</v>
      </c>
      <c r="L1615" s="53">
        <v>5.6</v>
      </c>
      <c r="M1615" s="53" t="s">
        <v>323</v>
      </c>
      <c r="N1615" s="53">
        <v>4.4000000000000004</v>
      </c>
      <c r="O1615" s="51" t="str">
        <f>TEXT(tblWorkPackages[[#This Row],[Request date serial]]-WEEKDAY(tblWorkPackages[[#This Row],[Request date serial]],3),"yyyy-mm-dd")</f>
        <v>2025-06-30</v>
      </c>
      <c r="P1615" s="51">
        <f>ABS(tblWorkPackages[[#This Row],[Actual labor hours]]-tblWorkPackages[[#This Row],[Estimated labor hours]])</f>
        <v>1.2</v>
      </c>
      <c r="Q1615" s="51">
        <f>IF(tblWorkPackages[[#This Row],[Actual labor hours]]&gt;tblWorkPackages[[#This Row],[Estimated labor hours]],1,0)</f>
        <v>0</v>
      </c>
      <c r="R1615" s="51">
        <f>tblWorkPackages[[#This Row],[Actual labor hours]]-tblWorkPackages[[#This Row],[Estimated labor hours]]</f>
        <v>-1.2</v>
      </c>
      <c r="S1615" s="51" t="str">
        <f>IF(tblWorkPackages[[#This Row],[Request date serial]]&lt;ValidationStart,"Train 2024",IF(tblWorkPackages[[#This Row],[Request date serial]]&lt;HoldoutStart,"Validation H1","Holdout H2"))</f>
        <v>Validation H1</v>
      </c>
      <c r="T1615" s="51">
        <f>IF(tblWorkPackages[[#This Row],[Time split]]="Train 2024","",tblWorkPackages[[#This Row],[Estimated labor hours]]+VLOOKUP(tblWorkPackages[[#This Row],[Task type]],'Forecast validation'!$A$14:$E$25,IF(tblWorkPackages[[#This Row],[Time split]]="Validation H1",4,5),FALSE()))</f>
        <v>6.18409090909091</v>
      </c>
      <c r="U1615" s="51">
        <f>IF(tblWorkPackages[[#This Row],[Calibrated forecast hours]]="","",ABS(tblWorkPackages[[#This Row],[Actual labor hours]]-tblWorkPackages[[#This Row],[Calibrated forecast hours]]))</f>
        <v>1.78409090909091</v>
      </c>
      <c r="V1615" s="51">
        <f>IF(tblWorkPackages[[#This Row],[Time split]]="Train 2024",tblWorkPackages[[#This Row],[Estimated labor hours]],tblWorkPackages[[#This Row],[Calibrated forecast hours]])</f>
        <v>6.18409090909091</v>
      </c>
      <c r="W1615" s="64">
        <f>DATEVALUE(tblWorkPackages[[#This Row],[Request date]])</f>
        <v>45838.0</v>
      </c>
      <c r="X1615" s="64">
        <f>DATEVALUE(tblWorkPackages[[#This Row],[Due date]])</f>
        <v>45851.0</v>
      </c>
      <c r="Y1615" s="64">
        <f>DATEVALUE(tblWorkPackages[[#This Row],[Completion date]])</f>
        <v>45845.0</v>
      </c>
      <c r="Z1615" s="64">
        <f>_xlfn.MINIFS(tblLaborEntries[Work date serial],tblLaborEntries[Work package ID],tblWorkPackages[[#This Row],[Work package ID]])</f>
        <v>45843.0</v>
      </c>
      <c r="AA1615" s="64">
        <f>_xlfn.MAXIFS(tblLaborEntries[Work date serial],tblLaborEntries[Work package ID],tblWorkPackages[[#This Row],[Work package ID]])</f>
        <v>45844.0</v>
      </c>
      <c r="AB1615" s="65">
        <f>IF(tblWorkPackages[[#This Row],[Completion date serial]]&gt;tblWorkPackages[[#This Row],[Due date serial]],1,0)</f>
        <v>0</v>
      </c>
      <c r="AC1615" s="65">
        <f>MAX(0,tblWorkPackages[[#This Row],[Completion date serial]]-tblWorkPackages[[#This Row],[Due date serial]])</f>
        <v>0</v>
      </c>
      <c r="AD1615" s="65">
        <f>tblWorkPackages[[#This Row],[First labor date]]-tblWorkPackages[[#This Row],[Request date serial]]</f>
        <v>5</v>
      </c>
      <c r="AE1615" s="65">
        <f>tblWorkPackages[[#This Row],[Last labor date]]-tblWorkPackages[[#This Row],[First labor date]]</f>
        <v>1</v>
      </c>
      <c r="AF1615" s="65">
        <f>tblWorkPackages[[#This Row],[Completion date serial]]-tblWorkPackages[[#This Row],[Last labor date]]</f>
        <v>1</v>
      </c>
      <c r="AG1615" s="65">
        <f>tblWorkPackages[[#This Row],[Completion date serial]]-tblWorkPackages[[#This Row],[Request date serial]]</f>
        <v>7</v>
      </c>
      <c r="AH1615" s="65">
        <f>IFERROR(INDEX(tblParts[Delay days],MATCH(tblWorkPackages[[#This Row],[Work package ID]],tblParts[Work package ID],0)),0)</f>
        <v>0</v>
      </c>
      <c r="AI1615" s="51" t="str">
        <f>IFERROR(INDEX(tblDisruptions[Event type],MATCH(tblWorkPackages[[#This Row],[Work package ID]],tblDisruptions[Work package ID],0)),"None")</f>
        <v>None</v>
      </c>
      <c r="AJ1615" s="51" t="str">
        <f>TEXT(tblWorkPackages[[#This Row],[Due date serial]],"yyyy-mm")</f>
        <v>2025-07</v>
      </c>
    </row>
    <row r="1616" spans="1:36" ht="15" x14ac:dyDescent="0.25">
      <c r="A1616" s="53" t="s">
        <v>2525</v>
      </c>
      <c r="B1616" s="53" t="s">
        <v>141</v>
      </c>
      <c r="C1616" s="53" t="s">
        <v>2009</v>
      </c>
      <c r="D1616" s="53" t="s">
        <v>713</v>
      </c>
      <c r="E1616" s="53" t="s">
        <v>144</v>
      </c>
      <c r="F1616" s="53" t="s">
        <v>145</v>
      </c>
      <c r="G1616" s="53" t="s">
        <v>146</v>
      </c>
      <c r="H1616" s="53">
        <v>3</v>
      </c>
      <c r="I1616" s="53" t="s">
        <v>130</v>
      </c>
      <c r="J1616" s="53">
        <v>0</v>
      </c>
      <c r="K1616" s="53">
        <v>1</v>
      </c>
      <c r="L1616" s="53">
        <v>15</v>
      </c>
      <c r="M1616" s="53" t="s">
        <v>741</v>
      </c>
      <c r="N1616" s="53">
        <v>17.2</v>
      </c>
      <c r="O1616" s="51" t="str">
        <f>TEXT(tblWorkPackages[[#This Row],[Request date serial]]-WEEKDAY(tblWorkPackages[[#This Row],[Request date serial]],3),"yyyy-mm-dd")</f>
        <v>2025-06-02</v>
      </c>
      <c r="P1616" s="51">
        <f>ABS(tblWorkPackages[[#This Row],[Actual labor hours]]-tblWorkPackages[[#This Row],[Estimated labor hours]])</f>
        <v>2.2</v>
      </c>
      <c r="Q1616" s="51">
        <f>IF(tblWorkPackages[[#This Row],[Actual labor hours]]&gt;tblWorkPackages[[#This Row],[Estimated labor hours]],1,0)</f>
        <v>1</v>
      </c>
      <c r="R1616" s="51">
        <f>tblWorkPackages[[#This Row],[Actual labor hours]]-tblWorkPackages[[#This Row],[Estimated labor hours]]</f>
        <v>2.2</v>
      </c>
      <c r="S1616" s="51" t="str">
        <f>IF(tblWorkPackages[[#This Row],[Request date serial]]&lt;ValidationStart,"Train 2024",IF(tblWorkPackages[[#This Row],[Request date serial]]&lt;HoldoutStart,"Validation H1","Holdout H2"))</f>
        <v>Validation H1</v>
      </c>
      <c r="T1616" s="51">
        <f>IF(tblWorkPackages[[#This Row],[Time split]]="Train 2024","",tblWorkPackages[[#This Row],[Estimated labor hours]]+VLOOKUP(tblWorkPackages[[#This Row],[Task type]],'Forecast validation'!$A$14:$E$25,IF(tblWorkPackages[[#This Row],[Time split]]="Validation H1",4,5),FALSE()))</f>
        <v>15.7547368421053</v>
      </c>
      <c r="U1616" s="51">
        <f>IF(tblWorkPackages[[#This Row],[Calibrated forecast hours]]="","",ABS(tblWorkPackages[[#This Row],[Actual labor hours]]-tblWorkPackages[[#This Row],[Calibrated forecast hours]]))</f>
        <v>1.44526315789474</v>
      </c>
      <c r="V1616" s="51">
        <f>IF(tblWorkPackages[[#This Row],[Time split]]="Train 2024",tblWorkPackages[[#This Row],[Estimated labor hours]],tblWorkPackages[[#This Row],[Calibrated forecast hours]])</f>
        <v>15.7547368421053</v>
      </c>
      <c r="W1616" s="64">
        <f>DATEVALUE(tblWorkPackages[[#This Row],[Request date]])</f>
        <v>45810.0</v>
      </c>
      <c r="X1616" s="64">
        <f>DATEVALUE(tblWorkPackages[[#This Row],[Due date]])</f>
        <v>45823.0</v>
      </c>
      <c r="Y1616" s="64">
        <f>DATEVALUE(tblWorkPackages[[#This Row],[Completion date]])</f>
        <v>45814.0</v>
      </c>
      <c r="Z1616" s="64">
        <f>_xlfn.MINIFS(tblLaborEntries[Work date serial],tblLaborEntries[Work package ID],tblWorkPackages[[#This Row],[Work package ID]])</f>
        <v>45811.0</v>
      </c>
      <c r="AA1616" s="64">
        <f>_xlfn.MAXIFS(tblLaborEntries[Work date serial],tblLaborEntries[Work package ID],tblWorkPackages[[#This Row],[Work package ID]])</f>
        <v>45812.0</v>
      </c>
      <c r="AB1616" s="65">
        <f>IF(tblWorkPackages[[#This Row],[Completion date serial]]&gt;tblWorkPackages[[#This Row],[Due date serial]],1,0)</f>
        <v>0</v>
      </c>
      <c r="AC1616" s="65">
        <f>MAX(0,tblWorkPackages[[#This Row],[Completion date serial]]-tblWorkPackages[[#This Row],[Due date serial]])</f>
        <v>0</v>
      </c>
      <c r="AD1616" s="65">
        <f>tblWorkPackages[[#This Row],[First labor date]]-tblWorkPackages[[#This Row],[Request date serial]]</f>
        <v>1</v>
      </c>
      <c r="AE1616" s="65">
        <f>tblWorkPackages[[#This Row],[Last labor date]]-tblWorkPackages[[#This Row],[First labor date]]</f>
        <v>1</v>
      </c>
      <c r="AF1616" s="65">
        <f>tblWorkPackages[[#This Row],[Completion date serial]]-tblWorkPackages[[#This Row],[Last labor date]]</f>
        <v>2</v>
      </c>
      <c r="AG1616" s="65">
        <f>tblWorkPackages[[#This Row],[Completion date serial]]-tblWorkPackages[[#This Row],[Request date serial]]</f>
        <v>4</v>
      </c>
      <c r="AH1616" s="65">
        <f>IFERROR(INDEX(tblParts[Delay days],MATCH(tblWorkPackages[[#This Row],[Work package ID]],tblParts[Work package ID],0)),0)</f>
        <v>0</v>
      </c>
      <c r="AI1616" s="51" t="str">
        <f>IFERROR(INDEX(tblDisruptions[Event type],MATCH(tblWorkPackages[[#This Row],[Work package ID]],tblDisruptions[Work package ID],0)),"None")</f>
        <v>None</v>
      </c>
      <c r="AJ1616" s="51" t="str">
        <f>TEXT(tblWorkPackages[[#This Row],[Due date serial]],"yyyy-mm")</f>
        <v>2025-06</v>
      </c>
    </row>
    <row r="1617" spans="1:36" ht="15" x14ac:dyDescent="0.25">
      <c r="A1617" s="53" t="s">
        <v>2526</v>
      </c>
      <c r="B1617" s="53" t="s">
        <v>230</v>
      </c>
      <c r="C1617" s="53" t="s">
        <v>746</v>
      </c>
      <c r="D1617" s="53" t="s">
        <v>658</v>
      </c>
      <c r="E1617" s="53" t="s">
        <v>223</v>
      </c>
      <c r="F1617" s="53" t="s">
        <v>182</v>
      </c>
      <c r="G1617" s="53" t="s">
        <v>154</v>
      </c>
      <c r="H1617" s="53">
        <v>3</v>
      </c>
      <c r="I1617" s="53" t="s">
        <v>130</v>
      </c>
      <c r="J1617" s="53">
        <v>0</v>
      </c>
      <c r="K1617" s="53">
        <v>0</v>
      </c>
      <c r="L1617" s="53">
        <v>17.8</v>
      </c>
      <c r="M1617" s="53" t="s">
        <v>208</v>
      </c>
      <c r="N1617" s="53">
        <v>20.5</v>
      </c>
      <c r="O1617" s="51" t="str">
        <f>TEXT(tblWorkPackages[[#This Row],[Request date serial]]-WEEKDAY(tblWorkPackages[[#This Row],[Request date serial]],3),"yyyy-mm-dd")</f>
        <v>2025-07-21</v>
      </c>
      <c r="P1617" s="51">
        <f>ABS(tblWorkPackages[[#This Row],[Actual labor hours]]-tblWorkPackages[[#This Row],[Estimated labor hours]])</f>
        <v>2.7</v>
      </c>
      <c r="Q1617" s="51">
        <f>IF(tblWorkPackages[[#This Row],[Actual labor hours]]&gt;tblWorkPackages[[#This Row],[Estimated labor hours]],1,0)</f>
        <v>1</v>
      </c>
      <c r="R1617" s="51">
        <f>tblWorkPackages[[#This Row],[Actual labor hours]]-tblWorkPackages[[#This Row],[Estimated labor hours]]</f>
        <v>2.7</v>
      </c>
      <c r="S1617" s="51" t="str">
        <f>IF(tblWorkPackages[[#This Row],[Request date serial]]&lt;ValidationStart,"Train 2024",IF(tblWorkPackages[[#This Row],[Request date serial]]&lt;HoldoutStart,"Validation H1","Holdout H2"))</f>
        <v>Holdout H2</v>
      </c>
      <c r="T1617" s="51">
        <f>IF(tblWorkPackages[[#This Row],[Time split]]="Train 2024","",tblWorkPackages[[#This Row],[Estimated labor hours]]+VLOOKUP(tblWorkPackages[[#This Row],[Task type]],'Forecast validation'!$A$14:$E$25,IF(tblWorkPackages[[#This Row],[Time split]]="Validation H1",4,5),FALSE()))</f>
        <v>18.7246575342466</v>
      </c>
      <c r="U1617" s="51">
        <f>IF(tblWorkPackages[[#This Row],[Calibrated forecast hours]]="","",ABS(tblWorkPackages[[#This Row],[Actual labor hours]]-tblWorkPackages[[#This Row],[Calibrated forecast hours]]))</f>
        <v>1.77534246575343</v>
      </c>
      <c r="V1617" s="51">
        <f>IF(tblWorkPackages[[#This Row],[Time split]]="Train 2024",tblWorkPackages[[#This Row],[Estimated labor hours]],tblWorkPackages[[#This Row],[Calibrated forecast hours]])</f>
        <v>18.7246575342466</v>
      </c>
      <c r="W1617" s="64">
        <f>DATEVALUE(tblWorkPackages[[#This Row],[Request date]])</f>
        <v>45860.0</v>
      </c>
      <c r="X1617" s="64">
        <f>DATEVALUE(tblWorkPackages[[#This Row],[Due date]])</f>
        <v>45873.0</v>
      </c>
      <c r="Y1617" s="64">
        <f>DATEVALUE(tblWorkPackages[[#This Row],[Completion date]])</f>
        <v>45877.0</v>
      </c>
      <c r="Z1617" s="64">
        <f>_xlfn.MINIFS(tblLaborEntries[Work date serial],tblLaborEntries[Work package ID],tblWorkPackages[[#This Row],[Work package ID]])</f>
        <v>45873.0</v>
      </c>
      <c r="AA1617" s="64">
        <f>_xlfn.MAXIFS(tblLaborEntries[Work date serial],tblLaborEntries[Work package ID],tblWorkPackages[[#This Row],[Work package ID]])</f>
        <v>45874.0</v>
      </c>
      <c r="AB1617" s="65">
        <f>IF(tblWorkPackages[[#This Row],[Completion date serial]]&gt;tblWorkPackages[[#This Row],[Due date serial]],1,0)</f>
        <v>1</v>
      </c>
      <c r="AC1617" s="65">
        <f>MAX(0,tblWorkPackages[[#This Row],[Completion date serial]]-tblWorkPackages[[#This Row],[Due date serial]])</f>
        <v>4</v>
      </c>
      <c r="AD1617" s="65">
        <f>tblWorkPackages[[#This Row],[First labor date]]-tblWorkPackages[[#This Row],[Request date serial]]</f>
        <v>13</v>
      </c>
      <c r="AE1617" s="65">
        <f>tblWorkPackages[[#This Row],[Last labor date]]-tblWorkPackages[[#This Row],[First labor date]]</f>
        <v>1</v>
      </c>
      <c r="AF1617" s="65">
        <f>tblWorkPackages[[#This Row],[Completion date serial]]-tblWorkPackages[[#This Row],[Last labor date]]</f>
        <v>3</v>
      </c>
      <c r="AG1617" s="65">
        <f>tblWorkPackages[[#This Row],[Completion date serial]]-tblWorkPackages[[#This Row],[Request date serial]]</f>
        <v>17</v>
      </c>
      <c r="AH1617" s="65">
        <f>IFERROR(INDEX(tblParts[Delay days],MATCH(tblWorkPackages[[#This Row],[Work package ID]],tblParts[Work package ID],0)),0)</f>
        <v>0</v>
      </c>
      <c r="AI1617" s="51" t="str">
        <f>IFERROR(INDEX(tblDisruptions[Event type],MATCH(tblWorkPackages[[#This Row],[Work package ID]],tblDisruptions[Work package ID],0)),"None")</f>
        <v>None</v>
      </c>
      <c r="AJ1617" s="51" t="str">
        <f>TEXT(tblWorkPackages[[#This Row],[Due date serial]],"yyyy-mm")</f>
        <v>2025-08</v>
      </c>
    </row>
    <row r="1618" spans="1:36" ht="15" x14ac:dyDescent="0.25">
      <c r="A1618" s="53" t="s">
        <v>2527</v>
      </c>
      <c r="B1618" s="53" t="s">
        <v>185</v>
      </c>
      <c r="C1618" s="53" t="s">
        <v>690</v>
      </c>
      <c r="D1618" s="53" t="s">
        <v>337</v>
      </c>
      <c r="E1618" s="53" t="s">
        <v>153</v>
      </c>
      <c r="F1618" s="53" t="s">
        <v>128</v>
      </c>
      <c r="G1618" s="53" t="s">
        <v>154</v>
      </c>
      <c r="H1618" s="53">
        <v>4</v>
      </c>
      <c r="I1618" s="53" t="s">
        <v>130</v>
      </c>
      <c r="J1618" s="53">
        <v>0</v>
      </c>
      <c r="K1618" s="53">
        <v>1</v>
      </c>
      <c r="L1618" s="53">
        <v>20.7</v>
      </c>
      <c r="M1618" s="53" t="s">
        <v>920</v>
      </c>
      <c r="N1618" s="53">
        <v>16.899999999999999</v>
      </c>
      <c r="O1618" s="51" t="str">
        <f>TEXT(tblWorkPackages[[#This Row],[Request date serial]]-WEEKDAY(tblWorkPackages[[#This Row],[Request date serial]],3),"yyyy-mm-dd")</f>
        <v>2024-04-15</v>
      </c>
      <c r="P1618" s="51">
        <f>ABS(tblWorkPackages[[#This Row],[Actual labor hours]]-tblWorkPackages[[#This Row],[Estimated labor hours]])</f>
        <v>3.8</v>
      </c>
      <c r="Q1618" s="51">
        <f>IF(tblWorkPackages[[#This Row],[Actual labor hours]]&gt;tblWorkPackages[[#This Row],[Estimated labor hours]],1,0)</f>
        <v>0</v>
      </c>
      <c r="R1618" s="51">
        <f>tblWorkPackages[[#This Row],[Actual labor hours]]-tblWorkPackages[[#This Row],[Estimated labor hours]]</f>
        <v>-3.8</v>
      </c>
      <c r="S1618" s="51" t="str">
        <f>IF(tblWorkPackages[[#This Row],[Request date serial]]&lt;ValidationStart,"Train 2024",IF(tblWorkPackages[[#This Row],[Request date serial]]&lt;HoldoutStart,"Validation H1","Holdout H2"))</f>
        <v>Train 2024</v>
      </c>
      <c r="T1618" s="51" t="str">
        <f>IF(tblWorkPackages[[#This Row],[Time split]]="Train 2024","",tblWorkPackages[[#This Row],[Estimated labor hours]]+VLOOKUP(tblWorkPackages[[#This Row],[Task type]],'Forecast validation'!$A$14:$E$25,IF(tblWorkPackages[[#This Row],[Time split]]="Validation H1",4,5),FALSE()))</f>
        <v/>
      </c>
      <c r="U1618" s="51" t="str">
        <f>IF(tblWorkPackages[[#This Row],[Calibrated forecast hours]]="","",ABS(tblWorkPackages[[#This Row],[Actual labor hours]]-tblWorkPackages[[#This Row],[Calibrated forecast hours]]))</f>
        <v/>
      </c>
      <c r="V1618" s="51">
        <f>IF(tblWorkPackages[[#This Row],[Time split]]="Train 2024",tblWorkPackages[[#This Row],[Estimated labor hours]],tblWorkPackages[[#This Row],[Calibrated forecast hours]])</f>
        <v>20.7</v>
      </c>
      <c r="W1618" s="64">
        <f>DATEVALUE(tblWorkPackages[[#This Row],[Request date]])</f>
        <v>45398.0</v>
      </c>
      <c r="X1618" s="64">
        <f>DATEVALUE(tblWorkPackages[[#This Row],[Due date]])</f>
        <v>45411.0</v>
      </c>
      <c r="Y1618" s="64">
        <f>DATEVALUE(tblWorkPackages[[#This Row],[Completion date]])</f>
        <v>45401.0</v>
      </c>
      <c r="Z1618" s="64">
        <f>_xlfn.MINIFS(tblLaborEntries[Work date serial],tblLaborEntries[Work package ID],tblWorkPackages[[#This Row],[Work package ID]])</f>
        <v>45401.0</v>
      </c>
      <c r="AA1618" s="64">
        <f>_xlfn.MAXIFS(tblLaborEntries[Work date serial],tblLaborEntries[Work package ID],tblWorkPackages[[#This Row],[Work package ID]])</f>
        <v>45401.0</v>
      </c>
      <c r="AB1618" s="65">
        <f>IF(tblWorkPackages[[#This Row],[Completion date serial]]&gt;tblWorkPackages[[#This Row],[Due date serial]],1,0)</f>
        <v>0</v>
      </c>
      <c r="AC1618" s="65">
        <f>MAX(0,tblWorkPackages[[#This Row],[Completion date serial]]-tblWorkPackages[[#This Row],[Due date serial]])</f>
        <v>0</v>
      </c>
      <c r="AD1618" s="65">
        <f>tblWorkPackages[[#This Row],[First labor date]]-tblWorkPackages[[#This Row],[Request date serial]]</f>
        <v>3</v>
      </c>
      <c r="AE1618" s="65">
        <f>tblWorkPackages[[#This Row],[Last labor date]]-tblWorkPackages[[#This Row],[First labor date]]</f>
        <v>0</v>
      </c>
      <c r="AF1618" s="65">
        <f>tblWorkPackages[[#This Row],[Completion date serial]]-tblWorkPackages[[#This Row],[Last labor date]]</f>
        <v>0</v>
      </c>
      <c r="AG1618" s="65">
        <f>tblWorkPackages[[#This Row],[Completion date serial]]-tblWorkPackages[[#This Row],[Request date serial]]</f>
        <v>3</v>
      </c>
      <c r="AH1618" s="65">
        <f>IFERROR(INDEX(tblParts[Delay days],MATCH(tblWorkPackages[[#This Row],[Work package ID]],tblParts[Work package ID],0)),0)</f>
        <v>0</v>
      </c>
      <c r="AI1618" s="51" t="str">
        <f>IFERROR(INDEX(tblDisruptions[Event type],MATCH(tblWorkPackages[[#This Row],[Work package ID]],tblDisruptions[Work package ID],0)),"None")</f>
        <v>None</v>
      </c>
      <c r="AJ1618" s="51" t="str">
        <f>TEXT(tblWorkPackages[[#This Row],[Due date serial]],"yyyy-mm")</f>
        <v>2024-04</v>
      </c>
    </row>
    <row r="1619" spans="1:36" ht="15" x14ac:dyDescent="0.25">
      <c r="A1619" s="53" t="s">
        <v>2528</v>
      </c>
      <c r="B1619" s="53" t="s">
        <v>150</v>
      </c>
      <c r="C1619" s="53" t="s">
        <v>600</v>
      </c>
      <c r="D1619" s="53" t="s">
        <v>877</v>
      </c>
      <c r="E1619" s="53" t="s">
        <v>136</v>
      </c>
      <c r="F1619" s="53" t="s">
        <v>137</v>
      </c>
      <c r="G1619" s="53" t="s">
        <v>138</v>
      </c>
      <c r="H1619" s="53">
        <v>2</v>
      </c>
      <c r="I1619" s="53" t="s">
        <v>176</v>
      </c>
      <c r="J1619" s="53">
        <v>0</v>
      </c>
      <c r="K1619" s="53">
        <v>0</v>
      </c>
      <c r="L1619" s="53">
        <v>13.5</v>
      </c>
      <c r="M1619" s="53" t="s">
        <v>572</v>
      </c>
      <c r="N1619" s="53">
        <v>13.4</v>
      </c>
      <c r="O1619" s="51" t="str">
        <f>TEXT(tblWorkPackages[[#This Row],[Request date serial]]-WEEKDAY(tblWorkPackages[[#This Row],[Request date serial]],3),"yyyy-mm-dd")</f>
        <v>2024-11-18</v>
      </c>
      <c r="P1619" s="51">
        <f>ABS(tblWorkPackages[[#This Row],[Actual labor hours]]-tblWorkPackages[[#This Row],[Estimated labor hours]])</f>
        <v>0.0999999999999996</v>
      </c>
      <c r="Q1619" s="51">
        <f>IF(tblWorkPackages[[#This Row],[Actual labor hours]]&gt;tblWorkPackages[[#This Row],[Estimated labor hours]],1,0)</f>
        <v>0</v>
      </c>
      <c r="R1619" s="51">
        <f>tblWorkPackages[[#This Row],[Actual labor hours]]-tblWorkPackages[[#This Row],[Estimated labor hours]]</f>
        <v>-0.0999999999999996</v>
      </c>
      <c r="S1619" s="51" t="str">
        <f>IF(tblWorkPackages[[#This Row],[Request date serial]]&lt;ValidationStart,"Train 2024",IF(tblWorkPackages[[#This Row],[Request date serial]]&lt;HoldoutStart,"Validation H1","Holdout H2"))</f>
        <v>Train 2024</v>
      </c>
      <c r="T1619" s="51" t="str">
        <f>IF(tblWorkPackages[[#This Row],[Time split]]="Train 2024","",tblWorkPackages[[#This Row],[Estimated labor hours]]+VLOOKUP(tblWorkPackages[[#This Row],[Task type]],'Forecast validation'!$A$14:$E$25,IF(tblWorkPackages[[#This Row],[Time split]]="Validation H1",4,5),FALSE()))</f>
        <v/>
      </c>
      <c r="U1619" s="51" t="str">
        <f>IF(tblWorkPackages[[#This Row],[Calibrated forecast hours]]="","",ABS(tblWorkPackages[[#This Row],[Actual labor hours]]-tblWorkPackages[[#This Row],[Calibrated forecast hours]]))</f>
        <v/>
      </c>
      <c r="V1619" s="51">
        <f>IF(tblWorkPackages[[#This Row],[Time split]]="Train 2024",tblWorkPackages[[#This Row],[Estimated labor hours]],tblWorkPackages[[#This Row],[Calibrated forecast hours]])</f>
        <v>13.5</v>
      </c>
      <c r="W1619" s="64">
        <f>DATEVALUE(tblWorkPackages[[#This Row],[Request date]])</f>
        <v>45618.0</v>
      </c>
      <c r="X1619" s="64">
        <f>DATEVALUE(tblWorkPackages[[#This Row],[Due date]])</f>
        <v>45624.0</v>
      </c>
      <c r="Y1619" s="64">
        <f>DATEVALUE(tblWorkPackages[[#This Row],[Completion date]])</f>
        <v>45672.0</v>
      </c>
      <c r="Z1619" s="64">
        <f>_xlfn.MINIFS(tblLaborEntries[Work date serial],tblLaborEntries[Work package ID],tblWorkPackages[[#This Row],[Work package ID]])</f>
        <v>45669.0</v>
      </c>
      <c r="AA1619" s="64">
        <f>_xlfn.MAXIFS(tblLaborEntries[Work date serial],tblLaborEntries[Work package ID],tblWorkPackages[[#This Row],[Work package ID]])</f>
        <v>45671.0</v>
      </c>
      <c r="AB1619" s="65">
        <f>IF(tblWorkPackages[[#This Row],[Completion date serial]]&gt;tblWorkPackages[[#This Row],[Due date serial]],1,0)</f>
        <v>1</v>
      </c>
      <c r="AC1619" s="65">
        <f>MAX(0,tblWorkPackages[[#This Row],[Completion date serial]]-tblWorkPackages[[#This Row],[Due date serial]])</f>
        <v>48</v>
      </c>
      <c r="AD1619" s="65">
        <f>tblWorkPackages[[#This Row],[First labor date]]-tblWorkPackages[[#This Row],[Request date serial]]</f>
        <v>51</v>
      </c>
      <c r="AE1619" s="65">
        <f>tblWorkPackages[[#This Row],[Last labor date]]-tblWorkPackages[[#This Row],[First labor date]]</f>
        <v>2</v>
      </c>
      <c r="AF1619" s="65">
        <f>tblWorkPackages[[#This Row],[Completion date serial]]-tblWorkPackages[[#This Row],[Last labor date]]</f>
        <v>1</v>
      </c>
      <c r="AG1619" s="65">
        <f>tblWorkPackages[[#This Row],[Completion date serial]]-tblWorkPackages[[#This Row],[Request date serial]]</f>
        <v>54</v>
      </c>
      <c r="AH1619" s="65">
        <f>IFERROR(INDEX(tblParts[Delay days],MATCH(tblWorkPackages[[#This Row],[Work package ID]],tblParts[Work package ID],0)),0)</f>
        <v>0</v>
      </c>
      <c r="AI1619" s="51" t="str">
        <f>IFERROR(INDEX(tblDisruptions[Event type],MATCH(tblWorkPackages[[#This Row],[Work package ID]],tblDisruptions[Work package ID],0)),"None")</f>
        <v>None</v>
      </c>
      <c r="AJ1619" s="51" t="str">
        <f>TEXT(tblWorkPackages[[#This Row],[Due date serial]],"yyyy-mm")</f>
        <v>2024-11</v>
      </c>
    </row>
    <row r="1620" spans="1:36" ht="15" x14ac:dyDescent="0.25">
      <c r="A1620" s="53" t="s">
        <v>2529</v>
      </c>
      <c r="B1620" s="53" t="s">
        <v>287</v>
      </c>
      <c r="C1620" s="53" t="s">
        <v>1895</v>
      </c>
      <c r="D1620" s="53" t="s">
        <v>1283</v>
      </c>
      <c r="E1620" s="53" t="s">
        <v>144</v>
      </c>
      <c r="F1620" s="53" t="s">
        <v>145</v>
      </c>
      <c r="G1620" s="53" t="s">
        <v>146</v>
      </c>
      <c r="H1620" s="53">
        <v>4</v>
      </c>
      <c r="I1620" s="53" t="s">
        <v>130</v>
      </c>
      <c r="J1620" s="53">
        <v>0</v>
      </c>
      <c r="K1620" s="53">
        <v>0</v>
      </c>
      <c r="L1620" s="53">
        <v>22.1</v>
      </c>
      <c r="M1620" s="53" t="s">
        <v>807</v>
      </c>
      <c r="N1620" s="53">
        <v>28</v>
      </c>
      <c r="O1620" s="51" t="str">
        <f>TEXT(tblWorkPackages[[#This Row],[Request date serial]]-WEEKDAY(tblWorkPackages[[#This Row],[Request date serial]],3),"yyyy-mm-dd")</f>
        <v>2025-04-07</v>
      </c>
      <c r="P1620" s="51">
        <f>ABS(tblWorkPackages[[#This Row],[Actual labor hours]]-tblWorkPackages[[#This Row],[Estimated labor hours]])</f>
        <v>5.9</v>
      </c>
      <c r="Q1620" s="51">
        <f>IF(tblWorkPackages[[#This Row],[Actual labor hours]]&gt;tblWorkPackages[[#This Row],[Estimated labor hours]],1,0)</f>
        <v>1</v>
      </c>
      <c r="R1620" s="51">
        <f>tblWorkPackages[[#This Row],[Actual labor hours]]-tblWorkPackages[[#This Row],[Estimated labor hours]]</f>
        <v>5.9</v>
      </c>
      <c r="S1620" s="51" t="str">
        <f>IF(tblWorkPackages[[#This Row],[Request date serial]]&lt;ValidationStart,"Train 2024",IF(tblWorkPackages[[#This Row],[Request date serial]]&lt;HoldoutStart,"Validation H1","Holdout H2"))</f>
        <v>Validation H1</v>
      </c>
      <c r="T1620" s="51">
        <f>IF(tblWorkPackages[[#This Row],[Time split]]="Train 2024","",tblWorkPackages[[#This Row],[Estimated labor hours]]+VLOOKUP(tblWorkPackages[[#This Row],[Task type]],'Forecast validation'!$A$14:$E$25,IF(tblWorkPackages[[#This Row],[Time split]]="Validation H1",4,5),FALSE()))</f>
        <v>22.8547368421053</v>
      </c>
      <c r="U1620" s="51">
        <f>IF(tblWorkPackages[[#This Row],[Calibrated forecast hours]]="","",ABS(tblWorkPackages[[#This Row],[Actual labor hours]]-tblWorkPackages[[#This Row],[Calibrated forecast hours]]))</f>
        <v>5.14526315789474</v>
      </c>
      <c r="V1620" s="51">
        <f>IF(tblWorkPackages[[#This Row],[Time split]]="Train 2024",tblWorkPackages[[#This Row],[Estimated labor hours]],tblWorkPackages[[#This Row],[Calibrated forecast hours]])</f>
        <v>22.8547368421053</v>
      </c>
      <c r="W1620" s="64">
        <f>DATEVALUE(tblWorkPackages[[#This Row],[Request date]])</f>
        <v>45755.0</v>
      </c>
      <c r="X1620" s="64">
        <f>DATEVALUE(tblWorkPackages[[#This Row],[Due date]])</f>
        <v>45768.0</v>
      </c>
      <c r="Y1620" s="64">
        <f>DATEVALUE(tblWorkPackages[[#This Row],[Completion date]])</f>
        <v>45766.0</v>
      </c>
      <c r="Z1620" s="64">
        <f>_xlfn.MINIFS(tblLaborEntries[Work date serial],tblLaborEntries[Work package ID],tblWorkPackages[[#This Row],[Work package ID]])</f>
        <v>45763.0</v>
      </c>
      <c r="AA1620" s="64">
        <f>_xlfn.MAXIFS(tblLaborEntries[Work date serial],tblLaborEntries[Work package ID],tblWorkPackages[[#This Row],[Work package ID]])</f>
        <v>45764.0</v>
      </c>
      <c r="AB1620" s="65">
        <f>IF(tblWorkPackages[[#This Row],[Completion date serial]]&gt;tblWorkPackages[[#This Row],[Due date serial]],1,0)</f>
        <v>0</v>
      </c>
      <c r="AC1620" s="65">
        <f>MAX(0,tblWorkPackages[[#This Row],[Completion date serial]]-tblWorkPackages[[#This Row],[Due date serial]])</f>
        <v>0</v>
      </c>
      <c r="AD1620" s="65">
        <f>tblWorkPackages[[#This Row],[First labor date]]-tblWorkPackages[[#This Row],[Request date serial]]</f>
        <v>8</v>
      </c>
      <c r="AE1620" s="65">
        <f>tblWorkPackages[[#This Row],[Last labor date]]-tblWorkPackages[[#This Row],[First labor date]]</f>
        <v>1</v>
      </c>
      <c r="AF1620" s="65">
        <f>tblWorkPackages[[#This Row],[Completion date serial]]-tblWorkPackages[[#This Row],[Last labor date]]</f>
        <v>2</v>
      </c>
      <c r="AG1620" s="65">
        <f>tblWorkPackages[[#This Row],[Completion date serial]]-tblWorkPackages[[#This Row],[Request date serial]]</f>
        <v>11</v>
      </c>
      <c r="AH1620" s="65">
        <f>IFERROR(INDEX(tblParts[Delay days],MATCH(tblWorkPackages[[#This Row],[Work package ID]],tblParts[Work package ID],0)),0)</f>
        <v>0</v>
      </c>
      <c r="AI1620" s="51" t="str">
        <f>IFERROR(INDEX(tblDisruptions[Event type],MATCH(tblWorkPackages[[#This Row],[Work package ID]],tblDisruptions[Work package ID],0)),"None")</f>
        <v>None</v>
      </c>
      <c r="AJ1620" s="51" t="str">
        <f>TEXT(tblWorkPackages[[#This Row],[Due date serial]],"yyyy-mm")</f>
        <v>2025-04</v>
      </c>
    </row>
    <row r="1621" spans="1:36" ht="15" x14ac:dyDescent="0.25">
      <c r="A1621" s="53" t="s">
        <v>2530</v>
      </c>
      <c r="B1621" s="53" t="s">
        <v>141</v>
      </c>
      <c r="C1621" s="53" t="s">
        <v>402</v>
      </c>
      <c r="D1621" s="53" t="s">
        <v>734</v>
      </c>
      <c r="E1621" s="53" t="s">
        <v>181</v>
      </c>
      <c r="F1621" s="53" t="s">
        <v>182</v>
      </c>
      <c r="G1621" s="53" t="s">
        <v>138</v>
      </c>
      <c r="H1621" s="53">
        <v>1</v>
      </c>
      <c r="I1621" s="53" t="s">
        <v>176</v>
      </c>
      <c r="J1621" s="53">
        <v>0</v>
      </c>
      <c r="K1621" s="53">
        <v>0</v>
      </c>
      <c r="L1621" s="53">
        <v>4.4000000000000004</v>
      </c>
      <c r="M1621" s="53" t="s">
        <v>734</v>
      </c>
      <c r="N1621" s="53">
        <v>5</v>
      </c>
      <c r="O1621" s="51" t="str">
        <f>TEXT(tblWorkPackages[[#This Row],[Request date serial]]-WEEKDAY(tblWorkPackages[[#This Row],[Request date serial]],3),"yyyy-mm-dd")</f>
        <v>2024-09-23</v>
      </c>
      <c r="P1621" s="51">
        <f>ABS(tblWorkPackages[[#This Row],[Actual labor hours]]-tblWorkPackages[[#This Row],[Estimated labor hours]])</f>
        <v>0.6</v>
      </c>
      <c r="Q1621" s="51">
        <f>IF(tblWorkPackages[[#This Row],[Actual labor hours]]&gt;tblWorkPackages[[#This Row],[Estimated labor hours]],1,0)</f>
        <v>1</v>
      </c>
      <c r="R1621" s="51">
        <f>tblWorkPackages[[#This Row],[Actual labor hours]]-tblWorkPackages[[#This Row],[Estimated labor hours]]</f>
        <v>0.6</v>
      </c>
      <c r="S1621" s="51" t="str">
        <f>IF(tblWorkPackages[[#This Row],[Request date serial]]&lt;ValidationStart,"Train 2024",IF(tblWorkPackages[[#This Row],[Request date serial]]&lt;HoldoutStart,"Validation H1","Holdout H2"))</f>
        <v>Train 2024</v>
      </c>
      <c r="T1621" s="51" t="str">
        <f>IF(tblWorkPackages[[#This Row],[Time split]]="Train 2024","",tblWorkPackages[[#This Row],[Estimated labor hours]]+VLOOKUP(tblWorkPackages[[#This Row],[Task type]],'Forecast validation'!$A$14:$E$25,IF(tblWorkPackages[[#This Row],[Time split]]="Validation H1",4,5),FALSE()))</f>
        <v/>
      </c>
      <c r="U1621" s="51" t="str">
        <f>IF(tblWorkPackages[[#This Row],[Calibrated forecast hours]]="","",ABS(tblWorkPackages[[#This Row],[Actual labor hours]]-tblWorkPackages[[#This Row],[Calibrated forecast hours]]))</f>
        <v/>
      </c>
      <c r="V1621" s="51">
        <f>IF(tblWorkPackages[[#This Row],[Time split]]="Train 2024",tblWorkPackages[[#This Row],[Estimated labor hours]],tblWorkPackages[[#This Row],[Calibrated forecast hours]])</f>
        <v>4.4</v>
      </c>
      <c r="W1621" s="64">
        <f>DATEVALUE(tblWorkPackages[[#This Row],[Request date]])</f>
        <v>45561.0</v>
      </c>
      <c r="X1621" s="64">
        <f>DATEVALUE(tblWorkPackages[[#This Row],[Due date]])</f>
        <v>45567.0</v>
      </c>
      <c r="Y1621" s="64">
        <f>DATEVALUE(tblWorkPackages[[#This Row],[Completion date]])</f>
        <v>45567.0</v>
      </c>
      <c r="Z1621" s="64">
        <f>_xlfn.MINIFS(tblLaborEntries[Work date serial],tblLaborEntries[Work package ID],tblWorkPackages[[#This Row],[Work package ID]])</f>
        <v>45563.0</v>
      </c>
      <c r="AA1621" s="64">
        <f>_xlfn.MAXIFS(tblLaborEntries[Work date serial],tblLaborEntries[Work package ID],tblWorkPackages[[#This Row],[Work package ID]])</f>
        <v>45564.0</v>
      </c>
      <c r="AB1621" s="65">
        <f>IF(tblWorkPackages[[#This Row],[Completion date serial]]&gt;tblWorkPackages[[#This Row],[Due date serial]],1,0)</f>
        <v>0</v>
      </c>
      <c r="AC1621" s="65">
        <f>MAX(0,tblWorkPackages[[#This Row],[Completion date serial]]-tblWorkPackages[[#This Row],[Due date serial]])</f>
        <v>0</v>
      </c>
      <c r="AD1621" s="65">
        <f>tblWorkPackages[[#This Row],[First labor date]]-tblWorkPackages[[#This Row],[Request date serial]]</f>
        <v>2</v>
      </c>
      <c r="AE1621" s="65">
        <f>tblWorkPackages[[#This Row],[Last labor date]]-tblWorkPackages[[#This Row],[First labor date]]</f>
        <v>1</v>
      </c>
      <c r="AF1621" s="65">
        <f>tblWorkPackages[[#This Row],[Completion date serial]]-tblWorkPackages[[#This Row],[Last labor date]]</f>
        <v>3</v>
      </c>
      <c r="AG1621" s="65">
        <f>tblWorkPackages[[#This Row],[Completion date serial]]-tblWorkPackages[[#This Row],[Request date serial]]</f>
        <v>6</v>
      </c>
      <c r="AH1621" s="65">
        <f>IFERROR(INDEX(tblParts[Delay days],MATCH(tblWorkPackages[[#This Row],[Work package ID]],tblParts[Work package ID],0)),0)</f>
        <v>0</v>
      </c>
      <c r="AI1621" s="51" t="str">
        <f>IFERROR(INDEX(tblDisruptions[Event type],MATCH(tblWorkPackages[[#This Row],[Work package ID]],tblDisruptions[Work package ID],0)),"None")</f>
        <v>None</v>
      </c>
      <c r="AJ1621" s="51" t="str">
        <f>TEXT(tblWorkPackages[[#This Row],[Due date serial]],"yyyy-mm")</f>
        <v>2024-10</v>
      </c>
    </row>
    <row r="1622" spans="1:36" ht="15" x14ac:dyDescent="0.25">
      <c r="A1622" s="53" t="s">
        <v>2531</v>
      </c>
      <c r="B1622" s="53" t="s">
        <v>230</v>
      </c>
      <c r="C1622" s="53" t="s">
        <v>1236</v>
      </c>
      <c r="D1622" s="53" t="s">
        <v>1237</v>
      </c>
      <c r="E1622" s="53" t="s">
        <v>144</v>
      </c>
      <c r="F1622" s="53" t="s">
        <v>145</v>
      </c>
      <c r="G1622" s="53" t="s">
        <v>146</v>
      </c>
      <c r="H1622" s="53">
        <v>1</v>
      </c>
      <c r="I1622" s="53" t="s">
        <v>130</v>
      </c>
      <c r="J1622" s="53">
        <v>0</v>
      </c>
      <c r="K1622" s="53">
        <v>1</v>
      </c>
      <c r="L1622" s="53">
        <v>7.3</v>
      </c>
      <c r="M1622" s="53" t="s">
        <v>351</v>
      </c>
      <c r="N1622" s="53">
        <v>6.6</v>
      </c>
      <c r="O1622" s="51" t="str">
        <f>TEXT(tblWorkPackages[[#This Row],[Request date serial]]-WEEKDAY(tblWorkPackages[[#This Row],[Request date serial]],3),"yyyy-mm-dd")</f>
        <v>2024-01-08</v>
      </c>
      <c r="P1622" s="51">
        <f>ABS(tblWorkPackages[[#This Row],[Actual labor hours]]-tblWorkPackages[[#This Row],[Estimated labor hours]])</f>
        <v>0.7</v>
      </c>
      <c r="Q1622" s="51">
        <f>IF(tblWorkPackages[[#This Row],[Actual labor hours]]&gt;tblWorkPackages[[#This Row],[Estimated labor hours]],1,0)</f>
        <v>0</v>
      </c>
      <c r="R1622" s="51">
        <f>tblWorkPackages[[#This Row],[Actual labor hours]]-tblWorkPackages[[#This Row],[Estimated labor hours]]</f>
        <v>-0.7</v>
      </c>
      <c r="S1622" s="51" t="str">
        <f>IF(tblWorkPackages[[#This Row],[Request date serial]]&lt;ValidationStart,"Train 2024",IF(tblWorkPackages[[#This Row],[Request date serial]]&lt;HoldoutStart,"Validation H1","Holdout H2"))</f>
        <v>Train 2024</v>
      </c>
      <c r="T1622" s="51" t="str">
        <f>IF(tblWorkPackages[[#This Row],[Time split]]="Train 2024","",tblWorkPackages[[#This Row],[Estimated labor hours]]+VLOOKUP(tblWorkPackages[[#This Row],[Task type]],'Forecast validation'!$A$14:$E$25,IF(tblWorkPackages[[#This Row],[Time split]]="Validation H1",4,5),FALSE()))</f>
        <v/>
      </c>
      <c r="U1622" s="51" t="str">
        <f>IF(tblWorkPackages[[#This Row],[Calibrated forecast hours]]="","",ABS(tblWorkPackages[[#This Row],[Actual labor hours]]-tblWorkPackages[[#This Row],[Calibrated forecast hours]]))</f>
        <v/>
      </c>
      <c r="V1622" s="51">
        <f>IF(tblWorkPackages[[#This Row],[Time split]]="Train 2024",tblWorkPackages[[#This Row],[Estimated labor hours]],tblWorkPackages[[#This Row],[Calibrated forecast hours]])</f>
        <v>7.3</v>
      </c>
      <c r="W1622" s="64">
        <f>DATEVALUE(tblWorkPackages[[#This Row],[Request date]])</f>
        <v>45299.0</v>
      </c>
      <c r="X1622" s="64">
        <f>DATEVALUE(tblWorkPackages[[#This Row],[Due date]])</f>
        <v>45312.0</v>
      </c>
      <c r="Y1622" s="64">
        <f>DATEVALUE(tblWorkPackages[[#This Row],[Completion date]])</f>
        <v>45319.0</v>
      </c>
      <c r="Z1622" s="64">
        <f>_xlfn.MINIFS(tblLaborEntries[Work date serial],tblLaborEntries[Work package ID],tblWorkPackages[[#This Row],[Work package ID]])</f>
        <v>45319.0</v>
      </c>
      <c r="AA1622" s="64">
        <f>_xlfn.MAXIFS(tblLaborEntries[Work date serial],tblLaborEntries[Work package ID],tblWorkPackages[[#This Row],[Work package ID]])</f>
        <v>45319.0</v>
      </c>
      <c r="AB1622" s="65">
        <f>IF(tblWorkPackages[[#This Row],[Completion date serial]]&gt;tblWorkPackages[[#This Row],[Due date serial]],1,0)</f>
        <v>1</v>
      </c>
      <c r="AC1622" s="65">
        <f>MAX(0,tblWorkPackages[[#This Row],[Completion date serial]]-tblWorkPackages[[#This Row],[Due date serial]])</f>
        <v>7</v>
      </c>
      <c r="AD1622" s="65">
        <f>tblWorkPackages[[#This Row],[First labor date]]-tblWorkPackages[[#This Row],[Request date serial]]</f>
        <v>20</v>
      </c>
      <c r="AE1622" s="65">
        <f>tblWorkPackages[[#This Row],[Last labor date]]-tblWorkPackages[[#This Row],[First labor date]]</f>
        <v>0</v>
      </c>
      <c r="AF1622" s="65">
        <f>tblWorkPackages[[#This Row],[Completion date serial]]-tblWorkPackages[[#This Row],[Last labor date]]</f>
        <v>0</v>
      </c>
      <c r="AG1622" s="65">
        <f>tblWorkPackages[[#This Row],[Completion date serial]]-tblWorkPackages[[#This Row],[Request date serial]]</f>
        <v>20</v>
      </c>
      <c r="AH1622" s="65">
        <f>IFERROR(INDEX(tblParts[Delay days],MATCH(tblWorkPackages[[#This Row],[Work package ID]],tblParts[Work package ID],0)),0)</f>
        <v>0</v>
      </c>
      <c r="AI1622" s="51" t="str">
        <f>IFERROR(INDEX(tblDisruptions[Event type],MATCH(tblWorkPackages[[#This Row],[Work package ID]],tblDisruptions[Work package ID],0)),"None")</f>
        <v>None</v>
      </c>
      <c r="AJ1622" s="51" t="str">
        <f>TEXT(tblWorkPackages[[#This Row],[Due date serial]],"yyyy-mm")</f>
        <v>2024-01</v>
      </c>
    </row>
    <row r="1623" spans="1:36" ht="15" x14ac:dyDescent="0.25">
      <c r="A1623" s="53" t="s">
        <v>2532</v>
      </c>
      <c r="B1623" s="53" t="s">
        <v>203</v>
      </c>
      <c r="C1623" s="53" t="s">
        <v>1128</v>
      </c>
      <c r="D1623" s="53" t="s">
        <v>512</v>
      </c>
      <c r="E1623" s="53" t="s">
        <v>200</v>
      </c>
      <c r="F1623" s="53" t="s">
        <v>128</v>
      </c>
      <c r="G1623" s="53" t="s">
        <v>129</v>
      </c>
      <c r="H1623" s="53">
        <v>4</v>
      </c>
      <c r="I1623" s="53" t="s">
        <v>147</v>
      </c>
      <c r="J1623" s="53">
        <v>0</v>
      </c>
      <c r="K1623" s="53">
        <v>0</v>
      </c>
      <c r="L1623" s="53">
        <v>4.9000000000000004</v>
      </c>
      <c r="M1623" s="53" t="s">
        <v>268</v>
      </c>
      <c r="N1623" s="53">
        <v>4.4000000000000004</v>
      </c>
      <c r="O1623" s="51" t="str">
        <f>TEXT(tblWorkPackages[[#This Row],[Request date serial]]-WEEKDAY(tblWorkPackages[[#This Row],[Request date serial]],3),"yyyy-mm-dd")</f>
        <v>2024-12-09</v>
      </c>
      <c r="P1623" s="51">
        <f>ABS(tblWorkPackages[[#This Row],[Actual labor hours]]-tblWorkPackages[[#This Row],[Estimated labor hours]])</f>
        <v>0.5</v>
      </c>
      <c r="Q1623" s="51">
        <f>IF(tblWorkPackages[[#This Row],[Actual labor hours]]&gt;tblWorkPackages[[#This Row],[Estimated labor hours]],1,0)</f>
        <v>0</v>
      </c>
      <c r="R1623" s="51">
        <f>tblWorkPackages[[#This Row],[Actual labor hours]]-tblWorkPackages[[#This Row],[Estimated labor hours]]</f>
        <v>-0.5</v>
      </c>
      <c r="S1623" s="51" t="str">
        <f>IF(tblWorkPackages[[#This Row],[Request date serial]]&lt;ValidationStart,"Train 2024",IF(tblWorkPackages[[#This Row],[Request date serial]]&lt;HoldoutStart,"Validation H1","Holdout H2"))</f>
        <v>Train 2024</v>
      </c>
      <c r="T1623" s="51" t="str">
        <f>IF(tblWorkPackages[[#This Row],[Time split]]="Train 2024","",tblWorkPackages[[#This Row],[Estimated labor hours]]+VLOOKUP(tblWorkPackages[[#This Row],[Task type]],'Forecast validation'!$A$14:$E$25,IF(tblWorkPackages[[#This Row],[Time split]]="Validation H1",4,5),FALSE()))</f>
        <v/>
      </c>
      <c r="U1623" s="51" t="str">
        <f>IF(tblWorkPackages[[#This Row],[Calibrated forecast hours]]="","",ABS(tblWorkPackages[[#This Row],[Actual labor hours]]-tblWorkPackages[[#This Row],[Calibrated forecast hours]]))</f>
        <v/>
      </c>
      <c r="V1623" s="51">
        <f>IF(tblWorkPackages[[#This Row],[Time split]]="Train 2024",tblWorkPackages[[#This Row],[Estimated labor hours]],tblWorkPackages[[#This Row],[Calibrated forecast hours]])</f>
        <v>4.9</v>
      </c>
      <c r="W1623" s="64">
        <f>DATEVALUE(tblWorkPackages[[#This Row],[Request date]])</f>
        <v>45639.0</v>
      </c>
      <c r="X1623" s="64">
        <f>DATEVALUE(tblWorkPackages[[#This Row],[Due date]])</f>
        <v>45641.0</v>
      </c>
      <c r="Y1623" s="64">
        <f>DATEVALUE(tblWorkPackages[[#This Row],[Completion date]])</f>
        <v>45644.0</v>
      </c>
      <c r="Z1623" s="64">
        <f>_xlfn.MINIFS(tblLaborEntries[Work date serial],tblLaborEntries[Work package ID],tblWorkPackages[[#This Row],[Work package ID]])</f>
        <v>45643.0</v>
      </c>
      <c r="AA1623" s="64">
        <f>_xlfn.MAXIFS(tblLaborEntries[Work date serial],tblLaborEntries[Work package ID],tblWorkPackages[[#This Row],[Work package ID]])</f>
        <v>45643.0</v>
      </c>
      <c r="AB1623" s="65">
        <f>IF(tblWorkPackages[[#This Row],[Completion date serial]]&gt;tblWorkPackages[[#This Row],[Due date serial]],1,0)</f>
        <v>1</v>
      </c>
      <c r="AC1623" s="65">
        <f>MAX(0,tblWorkPackages[[#This Row],[Completion date serial]]-tblWorkPackages[[#This Row],[Due date serial]])</f>
        <v>3</v>
      </c>
      <c r="AD1623" s="65">
        <f>tblWorkPackages[[#This Row],[First labor date]]-tblWorkPackages[[#This Row],[Request date serial]]</f>
        <v>4</v>
      </c>
      <c r="AE1623" s="65">
        <f>tblWorkPackages[[#This Row],[Last labor date]]-tblWorkPackages[[#This Row],[First labor date]]</f>
        <v>0</v>
      </c>
      <c r="AF1623" s="65">
        <f>tblWorkPackages[[#This Row],[Completion date serial]]-tblWorkPackages[[#This Row],[Last labor date]]</f>
        <v>1</v>
      </c>
      <c r="AG1623" s="65">
        <f>tblWorkPackages[[#This Row],[Completion date serial]]-tblWorkPackages[[#This Row],[Request date serial]]</f>
        <v>5</v>
      </c>
      <c r="AH1623" s="65">
        <f>IFERROR(INDEX(tblParts[Delay days],MATCH(tblWorkPackages[[#This Row],[Work package ID]],tblParts[Work package ID],0)),0)</f>
        <v>0</v>
      </c>
      <c r="AI1623" s="51" t="str">
        <f>IFERROR(INDEX(tblDisruptions[Event type],MATCH(tblWorkPackages[[#This Row],[Work package ID]],tblDisruptions[Work package ID],0)),"None")</f>
        <v>None</v>
      </c>
      <c r="AJ1623" s="51" t="str">
        <f>TEXT(tblWorkPackages[[#This Row],[Due date serial]],"yyyy-mm")</f>
        <v>2024-12</v>
      </c>
    </row>
    <row r="1624" spans="1:36" ht="15" x14ac:dyDescent="0.25">
      <c r="A1624" s="53" t="s">
        <v>2533</v>
      </c>
      <c r="B1624" s="53" t="s">
        <v>157</v>
      </c>
      <c r="C1624" s="53" t="s">
        <v>567</v>
      </c>
      <c r="D1624" s="53" t="s">
        <v>568</v>
      </c>
      <c r="E1624" s="53" t="s">
        <v>136</v>
      </c>
      <c r="F1624" s="53" t="s">
        <v>137</v>
      </c>
      <c r="G1624" s="53" t="s">
        <v>138</v>
      </c>
      <c r="H1624" s="53">
        <v>4</v>
      </c>
      <c r="I1624" s="53" t="s">
        <v>130</v>
      </c>
      <c r="J1624" s="53">
        <v>0</v>
      </c>
      <c r="K1624" s="53">
        <v>0</v>
      </c>
      <c r="L1624" s="53">
        <v>26.8</v>
      </c>
      <c r="M1624" s="53" t="s">
        <v>180</v>
      </c>
      <c r="N1624" s="53">
        <v>28.4</v>
      </c>
      <c r="O1624" s="51" t="str">
        <f>TEXT(tblWorkPackages[[#This Row],[Request date serial]]-WEEKDAY(tblWorkPackages[[#This Row],[Request date serial]],3),"yyyy-mm-dd")</f>
        <v>2025-05-19</v>
      </c>
      <c r="P1624" s="51">
        <f>ABS(tblWorkPackages[[#This Row],[Actual labor hours]]-tblWorkPackages[[#This Row],[Estimated labor hours]])</f>
        <v>1.6</v>
      </c>
      <c r="Q1624" s="51">
        <f>IF(tblWorkPackages[[#This Row],[Actual labor hours]]&gt;tblWorkPackages[[#This Row],[Estimated labor hours]],1,0)</f>
        <v>1</v>
      </c>
      <c r="R1624" s="51">
        <f>tblWorkPackages[[#This Row],[Actual labor hours]]-tblWorkPackages[[#This Row],[Estimated labor hours]]</f>
        <v>1.6</v>
      </c>
      <c r="S1624" s="51" t="str">
        <f>IF(tblWorkPackages[[#This Row],[Request date serial]]&lt;ValidationStart,"Train 2024",IF(tblWorkPackages[[#This Row],[Request date serial]]&lt;HoldoutStart,"Validation H1","Holdout H2"))</f>
        <v>Validation H1</v>
      </c>
      <c r="T1624" s="51">
        <f>IF(tblWorkPackages[[#This Row],[Time split]]="Train 2024","",tblWorkPackages[[#This Row],[Estimated labor hours]]+VLOOKUP(tblWorkPackages[[#This Row],[Task type]],'Forecast validation'!$A$14:$E$25,IF(tblWorkPackages[[#This Row],[Time split]]="Validation H1",4,5),FALSE()))</f>
        <v>27.6765306122449</v>
      </c>
      <c r="U1624" s="51">
        <f>IF(tblWorkPackages[[#This Row],[Calibrated forecast hours]]="","",ABS(tblWorkPackages[[#This Row],[Actual labor hours]]-tblWorkPackages[[#This Row],[Calibrated forecast hours]]))</f>
        <v>0.723469387755099</v>
      </c>
      <c r="V1624" s="51">
        <f>IF(tblWorkPackages[[#This Row],[Time split]]="Train 2024",tblWorkPackages[[#This Row],[Estimated labor hours]],tblWorkPackages[[#This Row],[Calibrated forecast hours]])</f>
        <v>27.6765306122449</v>
      </c>
      <c r="W1624" s="64">
        <f>DATEVALUE(tblWorkPackages[[#This Row],[Request date]])</f>
        <v>45800.0</v>
      </c>
      <c r="X1624" s="64">
        <f>DATEVALUE(tblWorkPackages[[#This Row],[Due date]])</f>
        <v>45813.0</v>
      </c>
      <c r="Y1624" s="64">
        <f>DATEVALUE(tblWorkPackages[[#This Row],[Completion date]])</f>
        <v>45805.0</v>
      </c>
      <c r="Z1624" s="64">
        <f>_xlfn.MINIFS(tblLaborEntries[Work date serial],tblLaborEntries[Work package ID],tblWorkPackages[[#This Row],[Work package ID]])</f>
        <v>45801.0</v>
      </c>
      <c r="AA1624" s="64">
        <f>_xlfn.MAXIFS(tblLaborEntries[Work date serial],tblLaborEntries[Work package ID],tblWorkPackages[[#This Row],[Work package ID]])</f>
        <v>45803.0</v>
      </c>
      <c r="AB1624" s="65">
        <f>IF(tblWorkPackages[[#This Row],[Completion date serial]]&gt;tblWorkPackages[[#This Row],[Due date serial]],1,0)</f>
        <v>0</v>
      </c>
      <c r="AC1624" s="65">
        <f>MAX(0,tblWorkPackages[[#This Row],[Completion date serial]]-tblWorkPackages[[#This Row],[Due date serial]])</f>
        <v>0</v>
      </c>
      <c r="AD1624" s="65">
        <f>tblWorkPackages[[#This Row],[First labor date]]-tblWorkPackages[[#This Row],[Request date serial]]</f>
        <v>1</v>
      </c>
      <c r="AE1624" s="65">
        <f>tblWorkPackages[[#This Row],[Last labor date]]-tblWorkPackages[[#This Row],[First labor date]]</f>
        <v>2</v>
      </c>
      <c r="AF1624" s="65">
        <f>tblWorkPackages[[#This Row],[Completion date serial]]-tblWorkPackages[[#This Row],[Last labor date]]</f>
        <v>2</v>
      </c>
      <c r="AG1624" s="65">
        <f>tblWorkPackages[[#This Row],[Completion date serial]]-tblWorkPackages[[#This Row],[Request date serial]]</f>
        <v>5</v>
      </c>
      <c r="AH1624" s="65">
        <f>IFERROR(INDEX(tblParts[Delay days],MATCH(tblWorkPackages[[#This Row],[Work package ID]],tblParts[Work package ID],0)),0)</f>
        <v>0</v>
      </c>
      <c r="AI1624" s="51" t="str">
        <f>IFERROR(INDEX(tblDisruptions[Event type],MATCH(tblWorkPackages[[#This Row],[Work package ID]],tblDisruptions[Work package ID],0)),"None")</f>
        <v>None</v>
      </c>
      <c r="AJ1624" s="51" t="str">
        <f>TEXT(tblWorkPackages[[#This Row],[Due date serial]],"yyyy-mm")</f>
        <v>2025-06</v>
      </c>
    </row>
    <row r="1625" spans="1:36" ht="15" x14ac:dyDescent="0.25">
      <c r="A1625" s="53" t="s">
        <v>2534</v>
      </c>
      <c r="B1625" s="53" t="s">
        <v>163</v>
      </c>
      <c r="C1625" s="53" t="s">
        <v>624</v>
      </c>
      <c r="D1625" s="53" t="s">
        <v>988</v>
      </c>
      <c r="E1625" s="53" t="s">
        <v>237</v>
      </c>
      <c r="F1625" s="53" t="s">
        <v>182</v>
      </c>
      <c r="G1625" s="53" t="s">
        <v>138</v>
      </c>
      <c r="H1625" s="53">
        <v>2</v>
      </c>
      <c r="I1625" s="53" t="s">
        <v>130</v>
      </c>
      <c r="J1625" s="53">
        <v>0</v>
      </c>
      <c r="K1625" s="53">
        <v>0</v>
      </c>
      <c r="L1625" s="53">
        <v>4.5</v>
      </c>
      <c r="M1625" s="53" t="s">
        <v>636</v>
      </c>
      <c r="N1625" s="53">
        <v>5.2</v>
      </c>
      <c r="O1625" s="51" t="str">
        <f>TEXT(tblWorkPackages[[#This Row],[Request date serial]]-WEEKDAY(tblWorkPackages[[#This Row],[Request date serial]],3),"yyyy-mm-dd")</f>
        <v>2025-09-15</v>
      </c>
      <c r="P1625" s="51">
        <f>ABS(tblWorkPackages[[#This Row],[Actual labor hours]]-tblWorkPackages[[#This Row],[Estimated labor hours]])</f>
        <v>0.7</v>
      </c>
      <c r="Q1625" s="51">
        <f>IF(tblWorkPackages[[#This Row],[Actual labor hours]]&gt;tblWorkPackages[[#This Row],[Estimated labor hours]],1,0)</f>
        <v>1</v>
      </c>
      <c r="R1625" s="51">
        <f>tblWorkPackages[[#This Row],[Actual labor hours]]-tblWorkPackages[[#This Row],[Estimated labor hours]]</f>
        <v>0.7</v>
      </c>
      <c r="S1625" s="51" t="str">
        <f>IF(tblWorkPackages[[#This Row],[Request date serial]]&lt;ValidationStart,"Train 2024",IF(tblWorkPackages[[#This Row],[Request date serial]]&lt;HoldoutStart,"Validation H1","Holdout H2"))</f>
        <v>Holdout H2</v>
      </c>
      <c r="T1625" s="51">
        <f>IF(tblWorkPackages[[#This Row],[Time split]]="Train 2024","",tblWorkPackages[[#This Row],[Estimated labor hours]]+VLOOKUP(tblWorkPackages[[#This Row],[Task type]],'Forecast validation'!$A$14:$E$25,IF(tblWorkPackages[[#This Row],[Time split]]="Validation H1",4,5),FALSE()))</f>
        <v>4.953125</v>
      </c>
      <c r="U1625" s="51">
        <f>IF(tblWorkPackages[[#This Row],[Calibrated forecast hours]]="","",ABS(tblWorkPackages[[#This Row],[Actual labor hours]]-tblWorkPackages[[#This Row],[Calibrated forecast hours]]))</f>
        <v>0.246875</v>
      </c>
      <c r="V1625" s="51">
        <f>IF(tblWorkPackages[[#This Row],[Time split]]="Train 2024",tblWorkPackages[[#This Row],[Estimated labor hours]],tblWorkPackages[[#This Row],[Calibrated forecast hours]])</f>
        <v>4.953125</v>
      </c>
      <c r="W1625" s="64">
        <f>DATEVALUE(tblWorkPackages[[#This Row],[Request date]])</f>
        <v>45921.0</v>
      </c>
      <c r="X1625" s="64">
        <f>DATEVALUE(tblWorkPackages[[#This Row],[Due date]])</f>
        <v>45934.0</v>
      </c>
      <c r="Y1625" s="64">
        <f>DATEVALUE(tblWorkPackages[[#This Row],[Completion date]])</f>
        <v>45937.0</v>
      </c>
      <c r="Z1625" s="64">
        <f>_xlfn.MINIFS(tblLaborEntries[Work date serial],tblLaborEntries[Work package ID],tblWorkPackages[[#This Row],[Work package ID]])</f>
        <v>45932.0</v>
      </c>
      <c r="AA1625" s="64">
        <f>_xlfn.MAXIFS(tblLaborEntries[Work date serial],tblLaborEntries[Work package ID],tblWorkPackages[[#This Row],[Work package ID]])</f>
        <v>45934.0</v>
      </c>
      <c r="AB1625" s="65">
        <f>IF(tblWorkPackages[[#This Row],[Completion date serial]]&gt;tblWorkPackages[[#This Row],[Due date serial]],1,0)</f>
        <v>1</v>
      </c>
      <c r="AC1625" s="65">
        <f>MAX(0,tblWorkPackages[[#This Row],[Completion date serial]]-tblWorkPackages[[#This Row],[Due date serial]])</f>
        <v>3</v>
      </c>
      <c r="AD1625" s="65">
        <f>tblWorkPackages[[#This Row],[First labor date]]-tblWorkPackages[[#This Row],[Request date serial]]</f>
        <v>11</v>
      </c>
      <c r="AE1625" s="65">
        <f>tblWorkPackages[[#This Row],[Last labor date]]-tblWorkPackages[[#This Row],[First labor date]]</f>
        <v>2</v>
      </c>
      <c r="AF1625" s="65">
        <f>tblWorkPackages[[#This Row],[Completion date serial]]-tblWorkPackages[[#This Row],[Last labor date]]</f>
        <v>3</v>
      </c>
      <c r="AG1625" s="65">
        <f>tblWorkPackages[[#This Row],[Completion date serial]]-tblWorkPackages[[#This Row],[Request date serial]]</f>
        <v>16</v>
      </c>
      <c r="AH1625" s="65">
        <f>IFERROR(INDEX(tblParts[Delay days],MATCH(tblWorkPackages[[#This Row],[Work package ID]],tblParts[Work package ID],0)),0)</f>
        <v>0</v>
      </c>
      <c r="AI1625" s="51" t="str">
        <f>IFERROR(INDEX(tblDisruptions[Event type],MATCH(tblWorkPackages[[#This Row],[Work package ID]],tblDisruptions[Work package ID],0)),"None")</f>
        <v>None</v>
      </c>
      <c r="AJ1625" s="51" t="str">
        <f>TEXT(tblWorkPackages[[#This Row],[Due date serial]],"yyyy-mm")</f>
        <v>2025-10</v>
      </c>
    </row>
    <row r="1626" spans="1:36" ht="15" x14ac:dyDescent="0.25">
      <c r="A1626" s="53" t="s">
        <v>2535</v>
      </c>
      <c r="B1626" s="53" t="s">
        <v>150</v>
      </c>
      <c r="C1626" s="53" t="s">
        <v>567</v>
      </c>
      <c r="D1626" s="53" t="s">
        <v>568</v>
      </c>
      <c r="E1626" s="53" t="s">
        <v>136</v>
      </c>
      <c r="F1626" s="53" t="s">
        <v>137</v>
      </c>
      <c r="G1626" s="53" t="s">
        <v>138</v>
      </c>
      <c r="H1626" s="53">
        <v>4</v>
      </c>
      <c r="I1626" s="53" t="s">
        <v>130</v>
      </c>
      <c r="J1626" s="53">
        <v>0</v>
      </c>
      <c r="K1626" s="53">
        <v>0</v>
      </c>
      <c r="L1626" s="53">
        <v>30.6</v>
      </c>
      <c r="M1626" s="53" t="s">
        <v>1076</v>
      </c>
      <c r="N1626" s="53">
        <v>27.4</v>
      </c>
      <c r="O1626" s="51" t="str">
        <f>TEXT(tblWorkPackages[[#This Row],[Request date serial]]-WEEKDAY(tblWorkPackages[[#This Row],[Request date serial]],3),"yyyy-mm-dd")</f>
        <v>2025-05-19</v>
      </c>
      <c r="P1626" s="51">
        <f>ABS(tblWorkPackages[[#This Row],[Actual labor hours]]-tblWorkPackages[[#This Row],[Estimated labor hours]])</f>
        <v>3.2</v>
      </c>
      <c r="Q1626" s="51">
        <f>IF(tblWorkPackages[[#This Row],[Actual labor hours]]&gt;tblWorkPackages[[#This Row],[Estimated labor hours]],1,0)</f>
        <v>0</v>
      </c>
      <c r="R1626" s="51">
        <f>tblWorkPackages[[#This Row],[Actual labor hours]]-tblWorkPackages[[#This Row],[Estimated labor hours]]</f>
        <v>-3.2</v>
      </c>
      <c r="S1626" s="51" t="str">
        <f>IF(tblWorkPackages[[#This Row],[Request date serial]]&lt;ValidationStart,"Train 2024",IF(tblWorkPackages[[#This Row],[Request date serial]]&lt;HoldoutStart,"Validation H1","Holdout H2"))</f>
        <v>Validation H1</v>
      </c>
      <c r="T1626" s="51">
        <f>IF(tblWorkPackages[[#This Row],[Time split]]="Train 2024","",tblWorkPackages[[#This Row],[Estimated labor hours]]+VLOOKUP(tblWorkPackages[[#This Row],[Task type]],'Forecast validation'!$A$14:$E$25,IF(tblWorkPackages[[#This Row],[Time split]]="Validation H1",4,5),FALSE()))</f>
        <v>31.4765306122449</v>
      </c>
      <c r="U1626" s="51">
        <f>IF(tblWorkPackages[[#This Row],[Calibrated forecast hours]]="","",ABS(tblWorkPackages[[#This Row],[Actual labor hours]]-tblWorkPackages[[#This Row],[Calibrated forecast hours]]))</f>
        <v>4.0765306122449</v>
      </c>
      <c r="V1626" s="51">
        <f>IF(tblWorkPackages[[#This Row],[Time split]]="Train 2024",tblWorkPackages[[#This Row],[Estimated labor hours]],tblWorkPackages[[#This Row],[Calibrated forecast hours]])</f>
        <v>31.4765306122449</v>
      </c>
      <c r="W1626" s="64">
        <f>DATEVALUE(tblWorkPackages[[#This Row],[Request date]])</f>
        <v>45800.0</v>
      </c>
      <c r="X1626" s="64">
        <f>DATEVALUE(tblWorkPackages[[#This Row],[Due date]])</f>
        <v>45813.0</v>
      </c>
      <c r="Y1626" s="64">
        <f>DATEVALUE(tblWorkPackages[[#This Row],[Completion date]])</f>
        <v>45804.0</v>
      </c>
      <c r="Z1626" s="64">
        <f>_xlfn.MINIFS(tblLaborEntries[Work date serial],tblLaborEntries[Work package ID],tblWorkPackages[[#This Row],[Work package ID]])</f>
        <v>45803.0</v>
      </c>
      <c r="AA1626" s="64">
        <f>_xlfn.MAXIFS(tblLaborEntries[Work date serial],tblLaborEntries[Work package ID],tblWorkPackages[[#This Row],[Work package ID]])</f>
        <v>45804.0</v>
      </c>
      <c r="AB1626" s="65">
        <f>IF(tblWorkPackages[[#This Row],[Completion date serial]]&gt;tblWorkPackages[[#This Row],[Due date serial]],1,0)</f>
        <v>0</v>
      </c>
      <c r="AC1626" s="65">
        <f>MAX(0,tblWorkPackages[[#This Row],[Completion date serial]]-tblWorkPackages[[#This Row],[Due date serial]])</f>
        <v>0</v>
      </c>
      <c r="AD1626" s="65">
        <f>tblWorkPackages[[#This Row],[First labor date]]-tblWorkPackages[[#This Row],[Request date serial]]</f>
        <v>3</v>
      </c>
      <c r="AE1626" s="65">
        <f>tblWorkPackages[[#This Row],[Last labor date]]-tblWorkPackages[[#This Row],[First labor date]]</f>
        <v>1</v>
      </c>
      <c r="AF1626" s="65">
        <f>tblWorkPackages[[#This Row],[Completion date serial]]-tblWorkPackages[[#This Row],[Last labor date]]</f>
        <v>0</v>
      </c>
      <c r="AG1626" s="65">
        <f>tblWorkPackages[[#This Row],[Completion date serial]]-tblWorkPackages[[#This Row],[Request date serial]]</f>
        <v>4</v>
      </c>
      <c r="AH1626" s="65">
        <f>IFERROR(INDEX(tblParts[Delay days],MATCH(tblWorkPackages[[#This Row],[Work package ID]],tblParts[Work package ID],0)),0)</f>
        <v>0</v>
      </c>
      <c r="AI1626" s="51" t="str">
        <f>IFERROR(INDEX(tblDisruptions[Event type],MATCH(tblWorkPackages[[#This Row],[Work package ID]],tblDisruptions[Work package ID],0)),"None")</f>
        <v>None</v>
      </c>
      <c r="AJ1626" s="51" t="str">
        <f>TEXT(tblWorkPackages[[#This Row],[Due date serial]],"yyyy-mm")</f>
        <v>2025-06</v>
      </c>
    </row>
    <row r="1627" spans="1:36" ht="15" x14ac:dyDescent="0.25">
      <c r="A1627" s="53" t="s">
        <v>2536</v>
      </c>
      <c r="B1627" s="53" t="s">
        <v>163</v>
      </c>
      <c r="C1627" s="53" t="s">
        <v>633</v>
      </c>
      <c r="D1627" s="53" t="s">
        <v>1108</v>
      </c>
      <c r="E1627" s="53" t="s">
        <v>237</v>
      </c>
      <c r="F1627" s="53" t="s">
        <v>182</v>
      </c>
      <c r="G1627" s="53" t="s">
        <v>138</v>
      </c>
      <c r="H1627" s="53">
        <v>2</v>
      </c>
      <c r="I1627" s="53" t="s">
        <v>176</v>
      </c>
      <c r="J1627" s="53">
        <v>0</v>
      </c>
      <c r="K1627" s="53">
        <v>1</v>
      </c>
      <c r="L1627" s="53">
        <v>5.5</v>
      </c>
      <c r="M1627" s="53" t="s">
        <v>304</v>
      </c>
      <c r="N1627" s="53">
        <v>5.5</v>
      </c>
      <c r="O1627" s="51" t="str">
        <f>TEXT(tblWorkPackages[[#This Row],[Request date serial]]-WEEKDAY(tblWorkPackages[[#This Row],[Request date serial]],3),"yyyy-mm-dd")</f>
        <v>2024-05-13</v>
      </c>
      <c r="P1627" s="51">
        <f>ABS(tblWorkPackages[[#This Row],[Actual labor hours]]-tblWorkPackages[[#This Row],[Estimated labor hours]])</f>
        <v>0</v>
      </c>
      <c r="Q1627" s="51">
        <f>IF(tblWorkPackages[[#This Row],[Actual labor hours]]&gt;tblWorkPackages[[#This Row],[Estimated labor hours]],1,0)</f>
        <v>0</v>
      </c>
      <c r="R1627" s="51">
        <f>tblWorkPackages[[#This Row],[Actual labor hours]]-tblWorkPackages[[#This Row],[Estimated labor hours]]</f>
        <v>0</v>
      </c>
      <c r="S1627" s="51" t="str">
        <f>IF(tblWorkPackages[[#This Row],[Request date serial]]&lt;ValidationStart,"Train 2024",IF(tblWorkPackages[[#This Row],[Request date serial]]&lt;HoldoutStart,"Validation H1","Holdout H2"))</f>
        <v>Train 2024</v>
      </c>
      <c r="T1627" s="51" t="str">
        <f>IF(tblWorkPackages[[#This Row],[Time split]]="Train 2024","",tblWorkPackages[[#This Row],[Estimated labor hours]]+VLOOKUP(tblWorkPackages[[#This Row],[Task type]],'Forecast validation'!$A$14:$E$25,IF(tblWorkPackages[[#This Row],[Time split]]="Validation H1",4,5),FALSE()))</f>
        <v/>
      </c>
      <c r="U1627" s="51" t="str">
        <f>IF(tblWorkPackages[[#This Row],[Calibrated forecast hours]]="","",ABS(tblWorkPackages[[#This Row],[Actual labor hours]]-tblWorkPackages[[#This Row],[Calibrated forecast hours]]))</f>
        <v/>
      </c>
      <c r="V1627" s="51">
        <f>IF(tblWorkPackages[[#This Row],[Time split]]="Train 2024",tblWorkPackages[[#This Row],[Estimated labor hours]],tblWorkPackages[[#This Row],[Calibrated forecast hours]])</f>
        <v>5.5</v>
      </c>
      <c r="W1627" s="64">
        <f>DATEVALUE(tblWorkPackages[[#This Row],[Request date]])</f>
        <v>45431.0</v>
      </c>
      <c r="X1627" s="64">
        <f>DATEVALUE(tblWorkPackages[[#This Row],[Due date]])</f>
        <v>45437.0</v>
      </c>
      <c r="Y1627" s="64">
        <f>DATEVALUE(tblWorkPackages[[#This Row],[Completion date]])</f>
        <v>45470.0</v>
      </c>
      <c r="Z1627" s="64">
        <f>_xlfn.MINIFS(tblLaborEntries[Work date serial],tblLaborEntries[Work package ID],tblWorkPackages[[#This Row],[Work package ID]])</f>
        <v>45469.0</v>
      </c>
      <c r="AA1627" s="64">
        <f>_xlfn.MAXIFS(tblLaborEntries[Work date serial],tblLaborEntries[Work package ID],tblWorkPackages[[#This Row],[Work package ID]])</f>
        <v>45469.0</v>
      </c>
      <c r="AB1627" s="65">
        <f>IF(tblWorkPackages[[#This Row],[Completion date serial]]&gt;tblWorkPackages[[#This Row],[Due date serial]],1,0)</f>
        <v>1</v>
      </c>
      <c r="AC1627" s="65">
        <f>MAX(0,tblWorkPackages[[#This Row],[Completion date serial]]-tblWorkPackages[[#This Row],[Due date serial]])</f>
        <v>33</v>
      </c>
      <c r="AD1627" s="65">
        <f>tblWorkPackages[[#This Row],[First labor date]]-tblWorkPackages[[#This Row],[Request date serial]]</f>
        <v>38</v>
      </c>
      <c r="AE1627" s="65">
        <f>tblWorkPackages[[#This Row],[Last labor date]]-tblWorkPackages[[#This Row],[First labor date]]</f>
        <v>0</v>
      </c>
      <c r="AF1627" s="65">
        <f>tblWorkPackages[[#This Row],[Completion date serial]]-tblWorkPackages[[#This Row],[Last labor date]]</f>
        <v>1</v>
      </c>
      <c r="AG1627" s="65">
        <f>tblWorkPackages[[#This Row],[Completion date serial]]-tblWorkPackages[[#This Row],[Request date serial]]</f>
        <v>39</v>
      </c>
      <c r="AH1627" s="65">
        <f>IFERROR(INDEX(tblParts[Delay days],MATCH(tblWorkPackages[[#This Row],[Work package ID]],tblParts[Work package ID],0)),0)</f>
        <v>5</v>
      </c>
      <c r="AI1627" s="51" t="str">
        <f>IFERROR(INDEX(tblDisruptions[Event type],MATCH(tblWorkPackages[[#This Row],[Work package ID]],tblDisruptions[Work package ID],0)),"None")</f>
        <v>Part delay</v>
      </c>
      <c r="AJ1627" s="51" t="str">
        <f>TEXT(tblWorkPackages[[#This Row],[Due date serial]],"yyyy-mm")</f>
        <v>2024-05</v>
      </c>
    </row>
    <row r="1628" spans="1:36" ht="15" x14ac:dyDescent="0.25">
      <c r="A1628" s="53" t="s">
        <v>2537</v>
      </c>
      <c r="B1628" s="53" t="s">
        <v>185</v>
      </c>
      <c r="C1628" s="53" t="s">
        <v>1133</v>
      </c>
      <c r="D1628" s="53" t="s">
        <v>560</v>
      </c>
      <c r="E1628" s="53" t="s">
        <v>160</v>
      </c>
      <c r="F1628" s="53" t="s">
        <v>128</v>
      </c>
      <c r="G1628" s="53" t="s">
        <v>138</v>
      </c>
      <c r="H1628" s="53">
        <v>3</v>
      </c>
      <c r="I1628" s="53" t="s">
        <v>130</v>
      </c>
      <c r="J1628" s="53">
        <v>0</v>
      </c>
      <c r="K1628" s="53">
        <v>1</v>
      </c>
      <c r="L1628" s="53">
        <v>5.8</v>
      </c>
      <c r="M1628" s="53" t="s">
        <v>1297</v>
      </c>
      <c r="N1628" s="53">
        <v>5</v>
      </c>
      <c r="O1628" s="51" t="str">
        <f>TEXT(tblWorkPackages[[#This Row],[Request date serial]]-WEEKDAY(tblWorkPackages[[#This Row],[Request date serial]],3),"yyyy-mm-dd")</f>
        <v>2025-10-27</v>
      </c>
      <c r="P1628" s="51">
        <f>ABS(tblWorkPackages[[#This Row],[Actual labor hours]]-tblWorkPackages[[#This Row],[Estimated labor hours]])</f>
        <v>0.8</v>
      </c>
      <c r="Q1628" s="51">
        <f>IF(tblWorkPackages[[#This Row],[Actual labor hours]]&gt;tblWorkPackages[[#This Row],[Estimated labor hours]],1,0)</f>
        <v>0</v>
      </c>
      <c r="R1628" s="51">
        <f>tblWorkPackages[[#This Row],[Actual labor hours]]-tblWorkPackages[[#This Row],[Estimated labor hours]]</f>
        <v>-0.8</v>
      </c>
      <c r="S1628" s="51" t="str">
        <f>IF(tblWorkPackages[[#This Row],[Request date serial]]&lt;ValidationStart,"Train 2024",IF(tblWorkPackages[[#This Row],[Request date serial]]&lt;HoldoutStart,"Validation H1","Holdout H2"))</f>
        <v>Holdout H2</v>
      </c>
      <c r="T1628" s="51">
        <f>IF(tblWorkPackages[[#This Row],[Time split]]="Train 2024","",tblWorkPackages[[#This Row],[Estimated labor hours]]+VLOOKUP(tblWorkPackages[[#This Row],[Task type]],'Forecast validation'!$A$14:$E$25,IF(tblWorkPackages[[#This Row],[Time split]]="Validation H1",4,5),FALSE()))</f>
        <v>6.23739837398374</v>
      </c>
      <c r="U1628" s="51">
        <f>IF(tblWorkPackages[[#This Row],[Calibrated forecast hours]]="","",ABS(tblWorkPackages[[#This Row],[Actual labor hours]]-tblWorkPackages[[#This Row],[Calibrated forecast hours]]))</f>
        <v>1.23739837398374</v>
      </c>
      <c r="V1628" s="51">
        <f>IF(tblWorkPackages[[#This Row],[Time split]]="Train 2024",tblWorkPackages[[#This Row],[Estimated labor hours]],tblWorkPackages[[#This Row],[Calibrated forecast hours]])</f>
        <v>6.23739837398374</v>
      </c>
      <c r="W1628" s="64">
        <f>DATEVALUE(tblWorkPackages[[#This Row],[Request date]])</f>
        <v>45957.0</v>
      </c>
      <c r="X1628" s="64">
        <f>DATEVALUE(tblWorkPackages[[#This Row],[Due date]])</f>
        <v>45970.0</v>
      </c>
      <c r="Y1628" s="64">
        <f>DATEVALUE(tblWorkPackages[[#This Row],[Completion date]])</f>
        <v>45966.0</v>
      </c>
      <c r="Z1628" s="64">
        <f>_xlfn.MINIFS(tblLaborEntries[Work date serial],tblLaborEntries[Work package ID],tblWorkPackages[[#This Row],[Work package ID]])</f>
        <v>45963.0</v>
      </c>
      <c r="AA1628" s="64">
        <f>_xlfn.MAXIFS(tblLaborEntries[Work date serial],tblLaborEntries[Work package ID],tblWorkPackages[[#This Row],[Work package ID]])</f>
        <v>45964.0</v>
      </c>
      <c r="AB1628" s="65">
        <f>IF(tblWorkPackages[[#This Row],[Completion date serial]]&gt;tblWorkPackages[[#This Row],[Due date serial]],1,0)</f>
        <v>0</v>
      </c>
      <c r="AC1628" s="65">
        <f>MAX(0,tblWorkPackages[[#This Row],[Completion date serial]]-tblWorkPackages[[#This Row],[Due date serial]])</f>
        <v>0</v>
      </c>
      <c r="AD1628" s="65">
        <f>tblWorkPackages[[#This Row],[First labor date]]-tblWorkPackages[[#This Row],[Request date serial]]</f>
        <v>6</v>
      </c>
      <c r="AE1628" s="65">
        <f>tblWorkPackages[[#This Row],[Last labor date]]-tblWorkPackages[[#This Row],[First labor date]]</f>
        <v>1</v>
      </c>
      <c r="AF1628" s="65">
        <f>tblWorkPackages[[#This Row],[Completion date serial]]-tblWorkPackages[[#This Row],[Last labor date]]</f>
        <v>2</v>
      </c>
      <c r="AG1628" s="65">
        <f>tblWorkPackages[[#This Row],[Completion date serial]]-tblWorkPackages[[#This Row],[Request date serial]]</f>
        <v>9</v>
      </c>
      <c r="AH1628" s="65">
        <f>IFERROR(INDEX(tblParts[Delay days],MATCH(tblWorkPackages[[#This Row],[Work package ID]],tblParts[Work package ID],0)),0)</f>
        <v>0</v>
      </c>
      <c r="AI1628" s="51" t="str">
        <f>IFERROR(INDEX(tblDisruptions[Event type],MATCH(tblWorkPackages[[#This Row],[Work package ID]],tblDisruptions[Work package ID],0)),"None")</f>
        <v>None</v>
      </c>
      <c r="AJ1628" s="51" t="str">
        <f>TEXT(tblWorkPackages[[#This Row],[Due date serial]],"yyyy-mm")</f>
        <v>2025-11</v>
      </c>
    </row>
    <row r="1629" spans="1:36" ht="15" x14ac:dyDescent="0.25">
      <c r="A1629" s="53" t="s">
        <v>2538</v>
      </c>
      <c r="B1629" s="53" t="s">
        <v>133</v>
      </c>
      <c r="C1629" s="53" t="s">
        <v>2509</v>
      </c>
      <c r="D1629" s="53" t="s">
        <v>1244</v>
      </c>
      <c r="E1629" s="53" t="s">
        <v>136</v>
      </c>
      <c r="F1629" s="53" t="s">
        <v>137</v>
      </c>
      <c r="G1629" s="53" t="s">
        <v>138</v>
      </c>
      <c r="H1629" s="53">
        <v>3</v>
      </c>
      <c r="I1629" s="53" t="s">
        <v>130</v>
      </c>
      <c r="J1629" s="53">
        <v>0</v>
      </c>
      <c r="K1629" s="53">
        <v>0</v>
      </c>
      <c r="L1629" s="53">
        <v>20.9</v>
      </c>
      <c r="M1629" s="53" t="s">
        <v>807</v>
      </c>
      <c r="N1629" s="53">
        <v>18.8</v>
      </c>
      <c r="O1629" s="51" t="str">
        <f>TEXT(tblWorkPackages[[#This Row],[Request date serial]]-WEEKDAY(tblWorkPackages[[#This Row],[Request date serial]],3),"yyyy-mm-dd")</f>
        <v>2025-04-07</v>
      </c>
      <c r="P1629" s="51">
        <f>ABS(tblWorkPackages[[#This Row],[Actual labor hours]]-tblWorkPackages[[#This Row],[Estimated labor hours]])</f>
        <v>2.1</v>
      </c>
      <c r="Q1629" s="51">
        <f>IF(tblWorkPackages[[#This Row],[Actual labor hours]]&gt;tblWorkPackages[[#This Row],[Estimated labor hours]],1,0)</f>
        <v>0</v>
      </c>
      <c r="R1629" s="51">
        <f>tblWorkPackages[[#This Row],[Actual labor hours]]-tblWorkPackages[[#This Row],[Estimated labor hours]]</f>
        <v>-2.1</v>
      </c>
      <c r="S1629" s="51" t="str">
        <f>IF(tblWorkPackages[[#This Row],[Request date serial]]&lt;ValidationStart,"Train 2024",IF(tblWorkPackages[[#This Row],[Request date serial]]&lt;HoldoutStart,"Validation H1","Holdout H2"))</f>
        <v>Validation H1</v>
      </c>
      <c r="T1629" s="51">
        <f>IF(tblWorkPackages[[#This Row],[Time split]]="Train 2024","",tblWorkPackages[[#This Row],[Estimated labor hours]]+VLOOKUP(tblWorkPackages[[#This Row],[Task type]],'Forecast validation'!$A$14:$E$25,IF(tblWorkPackages[[#This Row],[Time split]]="Validation H1",4,5),FALSE()))</f>
        <v>21.7765306122449</v>
      </c>
      <c r="U1629" s="51">
        <f>IF(tblWorkPackages[[#This Row],[Calibrated forecast hours]]="","",ABS(tblWorkPackages[[#This Row],[Actual labor hours]]-tblWorkPackages[[#This Row],[Calibrated forecast hours]]))</f>
        <v>2.9765306122449</v>
      </c>
      <c r="V1629" s="51">
        <f>IF(tblWorkPackages[[#This Row],[Time split]]="Train 2024",tblWorkPackages[[#This Row],[Estimated labor hours]],tblWorkPackages[[#This Row],[Calibrated forecast hours]])</f>
        <v>21.7765306122449</v>
      </c>
      <c r="W1629" s="64">
        <f>DATEVALUE(tblWorkPackages[[#This Row],[Request date]])</f>
        <v>45760.0</v>
      </c>
      <c r="X1629" s="64">
        <f>DATEVALUE(tblWorkPackages[[#This Row],[Due date]])</f>
        <v>45773.0</v>
      </c>
      <c r="Y1629" s="64">
        <f>DATEVALUE(tblWorkPackages[[#This Row],[Completion date]])</f>
        <v>45766.0</v>
      </c>
      <c r="Z1629" s="64">
        <f>_xlfn.MINIFS(tblLaborEntries[Work date serial],tblLaborEntries[Work package ID],tblWorkPackages[[#This Row],[Work package ID]])</f>
        <v>45762.0</v>
      </c>
      <c r="AA1629" s="64">
        <f>_xlfn.MAXIFS(tblLaborEntries[Work date serial],tblLaborEntries[Work package ID],tblWorkPackages[[#This Row],[Work package ID]])</f>
        <v>45763.0</v>
      </c>
      <c r="AB1629" s="65">
        <f>IF(tblWorkPackages[[#This Row],[Completion date serial]]&gt;tblWorkPackages[[#This Row],[Due date serial]],1,0)</f>
        <v>0</v>
      </c>
      <c r="AC1629" s="65">
        <f>MAX(0,tblWorkPackages[[#This Row],[Completion date serial]]-tblWorkPackages[[#This Row],[Due date serial]])</f>
        <v>0</v>
      </c>
      <c r="AD1629" s="65">
        <f>tblWorkPackages[[#This Row],[First labor date]]-tblWorkPackages[[#This Row],[Request date serial]]</f>
        <v>2</v>
      </c>
      <c r="AE1629" s="65">
        <f>tblWorkPackages[[#This Row],[Last labor date]]-tblWorkPackages[[#This Row],[First labor date]]</f>
        <v>1</v>
      </c>
      <c r="AF1629" s="65">
        <f>tblWorkPackages[[#This Row],[Completion date serial]]-tblWorkPackages[[#This Row],[Last labor date]]</f>
        <v>3</v>
      </c>
      <c r="AG1629" s="65">
        <f>tblWorkPackages[[#This Row],[Completion date serial]]-tblWorkPackages[[#This Row],[Request date serial]]</f>
        <v>6</v>
      </c>
      <c r="AH1629" s="65">
        <f>IFERROR(INDEX(tblParts[Delay days],MATCH(tblWorkPackages[[#This Row],[Work package ID]],tblParts[Work package ID],0)),0)</f>
        <v>0</v>
      </c>
      <c r="AI1629" s="51" t="str">
        <f>IFERROR(INDEX(tblDisruptions[Event type],MATCH(tblWorkPackages[[#This Row],[Work package ID]],tblDisruptions[Work package ID],0)),"None")</f>
        <v>None</v>
      </c>
      <c r="AJ1629" s="51" t="str">
        <f>TEXT(tblWorkPackages[[#This Row],[Due date serial]],"yyyy-mm")</f>
        <v>2025-04</v>
      </c>
    </row>
    <row r="1630" spans="1:36" ht="15" x14ac:dyDescent="0.25">
      <c r="A1630" s="53" t="s">
        <v>2539</v>
      </c>
      <c r="B1630" s="53" t="s">
        <v>141</v>
      </c>
      <c r="C1630" s="53" t="s">
        <v>134</v>
      </c>
      <c r="D1630" s="53" t="s">
        <v>135</v>
      </c>
      <c r="E1630" s="53" t="s">
        <v>223</v>
      </c>
      <c r="F1630" s="53" t="s">
        <v>182</v>
      </c>
      <c r="G1630" s="53" t="s">
        <v>154</v>
      </c>
      <c r="H1630" s="53">
        <v>4</v>
      </c>
      <c r="I1630" s="53" t="s">
        <v>130</v>
      </c>
      <c r="J1630" s="53">
        <v>0</v>
      </c>
      <c r="K1630" s="53">
        <v>0</v>
      </c>
      <c r="L1630" s="53">
        <v>20.2</v>
      </c>
      <c r="M1630" s="53" t="s">
        <v>791</v>
      </c>
      <c r="N1630" s="53">
        <v>20</v>
      </c>
      <c r="O1630" s="51" t="str">
        <f>TEXT(tblWorkPackages[[#This Row],[Request date serial]]-WEEKDAY(tblWorkPackages[[#This Row],[Request date serial]],3),"yyyy-mm-dd")</f>
        <v>2025-09-01</v>
      </c>
      <c r="P1630" s="51">
        <f>ABS(tblWorkPackages[[#This Row],[Actual labor hours]]-tblWorkPackages[[#This Row],[Estimated labor hours]])</f>
        <v>0.199999999999999</v>
      </c>
      <c r="Q1630" s="51">
        <f>IF(tblWorkPackages[[#This Row],[Actual labor hours]]&gt;tblWorkPackages[[#This Row],[Estimated labor hours]],1,0)</f>
        <v>0</v>
      </c>
      <c r="R1630" s="51">
        <f>tblWorkPackages[[#This Row],[Actual labor hours]]-tblWorkPackages[[#This Row],[Estimated labor hours]]</f>
        <v>-0.199999999999999</v>
      </c>
      <c r="S1630" s="51" t="str">
        <f>IF(tblWorkPackages[[#This Row],[Request date serial]]&lt;ValidationStart,"Train 2024",IF(tblWorkPackages[[#This Row],[Request date serial]]&lt;HoldoutStart,"Validation H1","Holdout H2"))</f>
        <v>Holdout H2</v>
      </c>
      <c r="T1630" s="51">
        <f>IF(tblWorkPackages[[#This Row],[Time split]]="Train 2024","",tblWorkPackages[[#This Row],[Estimated labor hours]]+VLOOKUP(tblWorkPackages[[#This Row],[Task type]],'Forecast validation'!$A$14:$E$25,IF(tblWorkPackages[[#This Row],[Time split]]="Validation H1",4,5),FALSE()))</f>
        <v>21.1246575342466</v>
      </c>
      <c r="U1630" s="51">
        <f>IF(tblWorkPackages[[#This Row],[Calibrated forecast hours]]="","",ABS(tblWorkPackages[[#This Row],[Actual labor hours]]-tblWorkPackages[[#This Row],[Calibrated forecast hours]]))</f>
        <v>1.12465753424657</v>
      </c>
      <c r="V1630" s="51">
        <f>IF(tblWorkPackages[[#This Row],[Time split]]="Train 2024",tblWorkPackages[[#This Row],[Estimated labor hours]],tblWorkPackages[[#This Row],[Calibrated forecast hours]])</f>
        <v>21.1246575342466</v>
      </c>
      <c r="W1630" s="64">
        <f>DATEVALUE(tblWorkPackages[[#This Row],[Request date]])</f>
        <v>45905.0</v>
      </c>
      <c r="X1630" s="64">
        <f>DATEVALUE(tblWorkPackages[[#This Row],[Due date]])</f>
        <v>45918.0</v>
      </c>
      <c r="Y1630" s="64">
        <f>DATEVALUE(tblWorkPackages[[#This Row],[Completion date]])</f>
        <v>45922.0</v>
      </c>
      <c r="Z1630" s="64">
        <f>_xlfn.MINIFS(tblLaborEntries[Work date serial],tblLaborEntries[Work package ID],tblWorkPackages[[#This Row],[Work package ID]])</f>
        <v>45920.0</v>
      </c>
      <c r="AA1630" s="64">
        <f>_xlfn.MAXIFS(tblLaborEntries[Work date serial],tblLaborEntries[Work package ID],tblWorkPackages[[#This Row],[Work package ID]])</f>
        <v>45922.0</v>
      </c>
      <c r="AB1630" s="65">
        <f>IF(tblWorkPackages[[#This Row],[Completion date serial]]&gt;tblWorkPackages[[#This Row],[Due date serial]],1,0)</f>
        <v>1</v>
      </c>
      <c r="AC1630" s="65">
        <f>MAX(0,tblWorkPackages[[#This Row],[Completion date serial]]-tblWorkPackages[[#This Row],[Due date serial]])</f>
        <v>4</v>
      </c>
      <c r="AD1630" s="65">
        <f>tblWorkPackages[[#This Row],[First labor date]]-tblWorkPackages[[#This Row],[Request date serial]]</f>
        <v>15</v>
      </c>
      <c r="AE1630" s="65">
        <f>tblWorkPackages[[#This Row],[Last labor date]]-tblWorkPackages[[#This Row],[First labor date]]</f>
        <v>2</v>
      </c>
      <c r="AF1630" s="65">
        <f>tblWorkPackages[[#This Row],[Completion date serial]]-tblWorkPackages[[#This Row],[Last labor date]]</f>
        <v>0</v>
      </c>
      <c r="AG1630" s="65">
        <f>tblWorkPackages[[#This Row],[Completion date serial]]-tblWorkPackages[[#This Row],[Request date serial]]</f>
        <v>17</v>
      </c>
      <c r="AH1630" s="65">
        <f>IFERROR(INDEX(tblParts[Delay days],MATCH(tblWorkPackages[[#This Row],[Work package ID]],tblParts[Work package ID],0)),0)</f>
        <v>0</v>
      </c>
      <c r="AI1630" s="51" t="str">
        <f>IFERROR(INDEX(tblDisruptions[Event type],MATCH(tblWorkPackages[[#This Row],[Work package ID]],tblDisruptions[Work package ID],0)),"None")</f>
        <v>None</v>
      </c>
      <c r="AJ1630" s="51" t="str">
        <f>TEXT(tblWorkPackages[[#This Row],[Due date serial]],"yyyy-mm")</f>
        <v>2025-09</v>
      </c>
    </row>
    <row r="1631" spans="1:36" ht="15" x14ac:dyDescent="0.25">
      <c r="A1631" s="53" t="s">
        <v>2540</v>
      </c>
      <c r="B1631" s="53" t="s">
        <v>230</v>
      </c>
      <c r="C1631" s="53" t="s">
        <v>665</v>
      </c>
      <c r="D1631" s="53" t="s">
        <v>1007</v>
      </c>
      <c r="E1631" s="53" t="s">
        <v>200</v>
      </c>
      <c r="F1631" s="53" t="s">
        <v>128</v>
      </c>
      <c r="G1631" s="53" t="s">
        <v>129</v>
      </c>
      <c r="H1631" s="53">
        <v>3</v>
      </c>
      <c r="I1631" s="53" t="s">
        <v>130</v>
      </c>
      <c r="J1631" s="53">
        <v>0</v>
      </c>
      <c r="K1631" s="53">
        <v>0</v>
      </c>
      <c r="L1631" s="53">
        <v>4.8</v>
      </c>
      <c r="M1631" s="53" t="s">
        <v>436</v>
      </c>
      <c r="N1631" s="53">
        <v>4.9000000000000004</v>
      </c>
      <c r="O1631" s="51" t="str">
        <f>TEXT(tblWorkPackages[[#This Row],[Request date serial]]-WEEKDAY(tblWorkPackages[[#This Row],[Request date serial]],3),"yyyy-mm-dd")</f>
        <v>2024-03-25</v>
      </c>
      <c r="P1631" s="51">
        <f>ABS(tblWorkPackages[[#This Row],[Actual labor hours]]-tblWorkPackages[[#This Row],[Estimated labor hours]])</f>
        <v>0.100000000000001</v>
      </c>
      <c r="Q1631" s="51">
        <f>IF(tblWorkPackages[[#This Row],[Actual labor hours]]&gt;tblWorkPackages[[#This Row],[Estimated labor hours]],1,0)</f>
        <v>1</v>
      </c>
      <c r="R1631" s="51">
        <f>tblWorkPackages[[#This Row],[Actual labor hours]]-tblWorkPackages[[#This Row],[Estimated labor hours]]</f>
        <v>0.100000000000001</v>
      </c>
      <c r="S1631" s="51" t="str">
        <f>IF(tblWorkPackages[[#This Row],[Request date serial]]&lt;ValidationStart,"Train 2024",IF(tblWorkPackages[[#This Row],[Request date serial]]&lt;HoldoutStart,"Validation H1","Holdout H2"))</f>
        <v>Train 2024</v>
      </c>
      <c r="T1631" s="51" t="str">
        <f>IF(tblWorkPackages[[#This Row],[Time split]]="Train 2024","",tblWorkPackages[[#This Row],[Estimated labor hours]]+VLOOKUP(tblWorkPackages[[#This Row],[Task type]],'Forecast validation'!$A$14:$E$25,IF(tblWorkPackages[[#This Row],[Time split]]="Validation H1",4,5),FALSE()))</f>
        <v/>
      </c>
      <c r="U1631" s="51" t="str">
        <f>IF(tblWorkPackages[[#This Row],[Calibrated forecast hours]]="","",ABS(tblWorkPackages[[#This Row],[Actual labor hours]]-tblWorkPackages[[#This Row],[Calibrated forecast hours]]))</f>
        <v/>
      </c>
      <c r="V1631" s="51">
        <f>IF(tblWorkPackages[[#This Row],[Time split]]="Train 2024",tblWorkPackages[[#This Row],[Estimated labor hours]],tblWorkPackages[[#This Row],[Calibrated forecast hours]])</f>
        <v>4.8</v>
      </c>
      <c r="W1631" s="64">
        <f>DATEVALUE(tblWorkPackages[[#This Row],[Request date]])</f>
        <v>45378.0</v>
      </c>
      <c r="X1631" s="64">
        <f>DATEVALUE(tblWorkPackages[[#This Row],[Due date]])</f>
        <v>45391.0</v>
      </c>
      <c r="Y1631" s="64">
        <f>DATEVALUE(tblWorkPackages[[#This Row],[Completion date]])</f>
        <v>45383.0</v>
      </c>
      <c r="Z1631" s="64">
        <f>_xlfn.MINIFS(tblLaborEntries[Work date serial],tblLaborEntries[Work package ID],tblWorkPackages[[#This Row],[Work package ID]])</f>
        <v>45382.0</v>
      </c>
      <c r="AA1631" s="64">
        <f>_xlfn.MAXIFS(tblLaborEntries[Work date serial],tblLaborEntries[Work package ID],tblWorkPackages[[#This Row],[Work package ID]])</f>
        <v>45382.0</v>
      </c>
      <c r="AB1631" s="65">
        <f>IF(tblWorkPackages[[#This Row],[Completion date serial]]&gt;tblWorkPackages[[#This Row],[Due date serial]],1,0)</f>
        <v>0</v>
      </c>
      <c r="AC1631" s="65">
        <f>MAX(0,tblWorkPackages[[#This Row],[Completion date serial]]-tblWorkPackages[[#This Row],[Due date serial]])</f>
        <v>0</v>
      </c>
      <c r="AD1631" s="65">
        <f>tblWorkPackages[[#This Row],[First labor date]]-tblWorkPackages[[#This Row],[Request date serial]]</f>
        <v>4</v>
      </c>
      <c r="AE1631" s="65">
        <f>tblWorkPackages[[#This Row],[Last labor date]]-tblWorkPackages[[#This Row],[First labor date]]</f>
        <v>0</v>
      </c>
      <c r="AF1631" s="65">
        <f>tblWorkPackages[[#This Row],[Completion date serial]]-tblWorkPackages[[#This Row],[Last labor date]]</f>
        <v>1</v>
      </c>
      <c r="AG1631" s="65">
        <f>tblWorkPackages[[#This Row],[Completion date serial]]-tblWorkPackages[[#This Row],[Request date serial]]</f>
        <v>5</v>
      </c>
      <c r="AH1631" s="65">
        <f>IFERROR(INDEX(tblParts[Delay days],MATCH(tblWorkPackages[[#This Row],[Work package ID]],tblParts[Work package ID],0)),0)</f>
        <v>0</v>
      </c>
      <c r="AI1631" s="51" t="str">
        <f>IFERROR(INDEX(tblDisruptions[Event type],MATCH(tblWorkPackages[[#This Row],[Work package ID]],tblDisruptions[Work package ID],0)),"None")</f>
        <v>None</v>
      </c>
      <c r="AJ1631" s="51" t="str">
        <f>TEXT(tblWorkPackages[[#This Row],[Due date serial]],"yyyy-mm")</f>
        <v>2024-04</v>
      </c>
    </row>
    <row r="1632" spans="1:36" ht="15" x14ac:dyDescent="0.25">
      <c r="A1632" s="53" t="s">
        <v>2541</v>
      </c>
      <c r="B1632" s="53" t="s">
        <v>124</v>
      </c>
      <c r="C1632" s="53" t="s">
        <v>713</v>
      </c>
      <c r="D1632" s="53" t="s">
        <v>1276</v>
      </c>
      <c r="E1632" s="53" t="s">
        <v>160</v>
      </c>
      <c r="F1632" s="53" t="s">
        <v>128</v>
      </c>
      <c r="G1632" s="53" t="s">
        <v>138</v>
      </c>
      <c r="H1632" s="53">
        <v>3</v>
      </c>
      <c r="I1632" s="53" t="s">
        <v>147</v>
      </c>
      <c r="J1632" s="53">
        <v>0</v>
      </c>
      <c r="K1632" s="53">
        <v>0</v>
      </c>
      <c r="L1632" s="53">
        <v>6.7</v>
      </c>
      <c r="M1632" s="53" t="s">
        <v>711</v>
      </c>
      <c r="N1632" s="53">
        <v>7.5</v>
      </c>
      <c r="O1632" s="51" t="str">
        <f>TEXT(tblWorkPackages[[#This Row],[Request date serial]]-WEEKDAY(tblWorkPackages[[#This Row],[Request date serial]],3),"yyyy-mm-dd")</f>
        <v>2025-06-09</v>
      </c>
      <c r="P1632" s="51">
        <f>ABS(tblWorkPackages[[#This Row],[Actual labor hours]]-tblWorkPackages[[#This Row],[Estimated labor hours]])</f>
        <v>0.8</v>
      </c>
      <c r="Q1632" s="51">
        <f>IF(tblWorkPackages[[#This Row],[Actual labor hours]]&gt;tblWorkPackages[[#This Row],[Estimated labor hours]],1,0)</f>
        <v>1</v>
      </c>
      <c r="R1632" s="51">
        <f>tblWorkPackages[[#This Row],[Actual labor hours]]-tblWorkPackages[[#This Row],[Estimated labor hours]]</f>
        <v>0.8</v>
      </c>
      <c r="S1632" s="51" t="str">
        <f>IF(tblWorkPackages[[#This Row],[Request date serial]]&lt;ValidationStart,"Train 2024",IF(tblWorkPackages[[#This Row],[Request date serial]]&lt;HoldoutStart,"Validation H1","Holdout H2"))</f>
        <v>Validation H1</v>
      </c>
      <c r="T1632" s="51">
        <f>IF(tblWorkPackages[[#This Row],[Time split]]="Train 2024","",tblWorkPackages[[#This Row],[Estimated labor hours]]+VLOOKUP(tblWorkPackages[[#This Row],[Task type]],'Forecast validation'!$A$14:$E$25,IF(tblWorkPackages[[#This Row],[Time split]]="Validation H1",4,5),FALSE()))</f>
        <v>7.14146341463415</v>
      </c>
      <c r="U1632" s="51">
        <f>IF(tblWorkPackages[[#This Row],[Calibrated forecast hours]]="","",ABS(tblWorkPackages[[#This Row],[Actual labor hours]]-tblWorkPackages[[#This Row],[Calibrated forecast hours]]))</f>
        <v>0.358536585365854</v>
      </c>
      <c r="V1632" s="51">
        <f>IF(tblWorkPackages[[#This Row],[Time split]]="Train 2024",tblWorkPackages[[#This Row],[Estimated labor hours]],tblWorkPackages[[#This Row],[Calibrated forecast hours]])</f>
        <v>7.14146341463415</v>
      </c>
      <c r="W1632" s="64">
        <f>DATEVALUE(tblWorkPackages[[#This Row],[Request date]])</f>
        <v>45823.0</v>
      </c>
      <c r="X1632" s="64">
        <f>DATEVALUE(tblWorkPackages[[#This Row],[Due date]])</f>
        <v>45825.0</v>
      </c>
      <c r="Y1632" s="64">
        <f>DATEVALUE(tblWorkPackages[[#This Row],[Completion date]])</f>
        <v>45827.0</v>
      </c>
      <c r="Z1632" s="64">
        <f>_xlfn.MINIFS(tblLaborEntries[Work date serial],tblLaborEntries[Work package ID],tblWorkPackages[[#This Row],[Work package ID]])</f>
        <v>45824.0</v>
      </c>
      <c r="AA1632" s="64">
        <f>_xlfn.MAXIFS(tblLaborEntries[Work date serial],tblLaborEntries[Work package ID],tblWorkPackages[[#This Row],[Work package ID]])</f>
        <v>45825.0</v>
      </c>
      <c r="AB1632" s="65">
        <f>IF(tblWorkPackages[[#This Row],[Completion date serial]]&gt;tblWorkPackages[[#This Row],[Due date serial]],1,0)</f>
        <v>1</v>
      </c>
      <c r="AC1632" s="65">
        <f>MAX(0,tblWorkPackages[[#This Row],[Completion date serial]]-tblWorkPackages[[#This Row],[Due date serial]])</f>
        <v>2</v>
      </c>
      <c r="AD1632" s="65">
        <f>tblWorkPackages[[#This Row],[First labor date]]-tblWorkPackages[[#This Row],[Request date serial]]</f>
        <v>1</v>
      </c>
      <c r="AE1632" s="65">
        <f>tblWorkPackages[[#This Row],[Last labor date]]-tblWorkPackages[[#This Row],[First labor date]]</f>
        <v>1</v>
      </c>
      <c r="AF1632" s="65">
        <f>tblWorkPackages[[#This Row],[Completion date serial]]-tblWorkPackages[[#This Row],[Last labor date]]</f>
        <v>2</v>
      </c>
      <c r="AG1632" s="65">
        <f>tblWorkPackages[[#This Row],[Completion date serial]]-tblWorkPackages[[#This Row],[Request date serial]]</f>
        <v>4</v>
      </c>
      <c r="AH1632" s="65">
        <f>IFERROR(INDEX(tblParts[Delay days],MATCH(tblWorkPackages[[#This Row],[Work package ID]],tblParts[Work package ID],0)),0)</f>
        <v>0</v>
      </c>
      <c r="AI1632" s="51" t="str">
        <f>IFERROR(INDEX(tblDisruptions[Event type],MATCH(tblWorkPackages[[#This Row],[Work package ID]],tblDisruptions[Work package ID],0)),"None")</f>
        <v>None</v>
      </c>
      <c r="AJ1632" s="51" t="str">
        <f>TEXT(tblWorkPackages[[#This Row],[Due date serial]],"yyyy-mm")</f>
        <v>2025-06</v>
      </c>
    </row>
    <row r="1633" spans="1:36" ht="15" x14ac:dyDescent="0.25">
      <c r="A1633" s="53" t="s">
        <v>2542</v>
      </c>
      <c r="B1633" s="53" t="s">
        <v>250</v>
      </c>
      <c r="C1633" s="53" t="s">
        <v>683</v>
      </c>
      <c r="D1633" s="53" t="s">
        <v>991</v>
      </c>
      <c r="E1633" s="53" t="s">
        <v>127</v>
      </c>
      <c r="F1633" s="53" t="s">
        <v>128</v>
      </c>
      <c r="G1633" s="53" t="s">
        <v>129</v>
      </c>
      <c r="H1633" s="53">
        <v>3</v>
      </c>
      <c r="I1633" s="53" t="s">
        <v>130</v>
      </c>
      <c r="J1633" s="53">
        <v>0</v>
      </c>
      <c r="K1633" s="53">
        <v>0</v>
      </c>
      <c r="L1633" s="53">
        <v>8.5</v>
      </c>
      <c r="M1633" s="53" t="s">
        <v>991</v>
      </c>
      <c r="N1633" s="53">
        <v>9.1999999999999993</v>
      </c>
      <c r="O1633" s="51" t="str">
        <f>TEXT(tblWorkPackages[[#This Row],[Request date serial]]-WEEKDAY(tblWorkPackages[[#This Row],[Request date serial]],3),"yyyy-mm-dd")</f>
        <v>2025-09-29</v>
      </c>
      <c r="P1633" s="51">
        <f>ABS(tblWorkPackages[[#This Row],[Actual labor hours]]-tblWorkPackages[[#This Row],[Estimated labor hours]])</f>
        <v>0.699999999999999</v>
      </c>
      <c r="Q1633" s="51">
        <f>IF(tblWorkPackages[[#This Row],[Actual labor hours]]&gt;tblWorkPackages[[#This Row],[Estimated labor hours]],1,0)</f>
        <v>1</v>
      </c>
      <c r="R1633" s="51">
        <f>tblWorkPackages[[#This Row],[Actual labor hours]]-tblWorkPackages[[#This Row],[Estimated labor hours]]</f>
        <v>0.699999999999999</v>
      </c>
      <c r="S1633" s="51" t="str">
        <f>IF(tblWorkPackages[[#This Row],[Request date serial]]&lt;ValidationStart,"Train 2024",IF(tblWorkPackages[[#This Row],[Request date serial]]&lt;HoldoutStart,"Validation H1","Holdout H2"))</f>
        <v>Holdout H2</v>
      </c>
      <c r="T1633" s="51">
        <f>IF(tblWorkPackages[[#This Row],[Time split]]="Train 2024","",tblWorkPackages[[#This Row],[Estimated labor hours]]+VLOOKUP(tblWorkPackages[[#This Row],[Task type]],'Forecast validation'!$A$14:$E$25,IF(tblWorkPackages[[#This Row],[Time split]]="Validation H1",4,5),FALSE()))</f>
        <v>9.04341085271318</v>
      </c>
      <c r="U1633" s="51">
        <f>IF(tblWorkPackages[[#This Row],[Calibrated forecast hours]]="","",ABS(tblWorkPackages[[#This Row],[Actual labor hours]]-tblWorkPackages[[#This Row],[Calibrated forecast hours]]))</f>
        <v>0.156589147286821</v>
      </c>
      <c r="V1633" s="51">
        <f>IF(tblWorkPackages[[#This Row],[Time split]]="Train 2024",tblWorkPackages[[#This Row],[Estimated labor hours]],tblWorkPackages[[#This Row],[Calibrated forecast hours]])</f>
        <v>9.04341085271318</v>
      </c>
      <c r="W1633" s="64">
        <f>DATEVALUE(tblWorkPackages[[#This Row],[Request date]])</f>
        <v>45932.0</v>
      </c>
      <c r="X1633" s="64">
        <f>DATEVALUE(tblWorkPackages[[#This Row],[Due date]])</f>
        <v>45945.0</v>
      </c>
      <c r="Y1633" s="64">
        <f>DATEVALUE(tblWorkPackages[[#This Row],[Completion date]])</f>
        <v>45945.0</v>
      </c>
      <c r="Z1633" s="64">
        <f>_xlfn.MINIFS(tblLaborEntries[Work date serial],tblLaborEntries[Work package ID],tblWorkPackages[[#This Row],[Work package ID]])</f>
        <v>45941.0</v>
      </c>
      <c r="AA1633" s="64">
        <f>_xlfn.MAXIFS(tblLaborEntries[Work date serial],tblLaborEntries[Work package ID],tblWorkPackages[[#This Row],[Work package ID]])</f>
        <v>45942.0</v>
      </c>
      <c r="AB1633" s="65">
        <f>IF(tblWorkPackages[[#This Row],[Completion date serial]]&gt;tblWorkPackages[[#This Row],[Due date serial]],1,0)</f>
        <v>0</v>
      </c>
      <c r="AC1633" s="65">
        <f>MAX(0,tblWorkPackages[[#This Row],[Completion date serial]]-tblWorkPackages[[#This Row],[Due date serial]])</f>
        <v>0</v>
      </c>
      <c r="AD1633" s="65">
        <f>tblWorkPackages[[#This Row],[First labor date]]-tblWorkPackages[[#This Row],[Request date serial]]</f>
        <v>9</v>
      </c>
      <c r="AE1633" s="65">
        <f>tblWorkPackages[[#This Row],[Last labor date]]-tblWorkPackages[[#This Row],[First labor date]]</f>
        <v>1</v>
      </c>
      <c r="AF1633" s="65">
        <f>tblWorkPackages[[#This Row],[Completion date serial]]-tblWorkPackages[[#This Row],[Last labor date]]</f>
        <v>3</v>
      </c>
      <c r="AG1633" s="65">
        <f>tblWorkPackages[[#This Row],[Completion date serial]]-tblWorkPackages[[#This Row],[Request date serial]]</f>
        <v>13</v>
      </c>
      <c r="AH1633" s="65">
        <f>IFERROR(INDEX(tblParts[Delay days],MATCH(tblWorkPackages[[#This Row],[Work package ID]],tblParts[Work package ID],0)),0)</f>
        <v>0</v>
      </c>
      <c r="AI1633" s="51" t="str">
        <f>IFERROR(INDEX(tblDisruptions[Event type],MATCH(tblWorkPackages[[#This Row],[Work package ID]],tblDisruptions[Work package ID],0)),"None")</f>
        <v>None</v>
      </c>
      <c r="AJ1633" s="51" t="str">
        <f>TEXT(tblWorkPackages[[#This Row],[Due date serial]],"yyyy-mm")</f>
        <v>2025-10</v>
      </c>
    </row>
    <row r="1634" spans="1:36" ht="15" x14ac:dyDescent="0.25">
      <c r="A1634" s="53" t="s">
        <v>2543</v>
      </c>
      <c r="B1634" s="53" t="s">
        <v>185</v>
      </c>
      <c r="C1634" s="53" t="s">
        <v>1242</v>
      </c>
      <c r="D1634" s="53" t="s">
        <v>453</v>
      </c>
      <c r="E1634" s="53" t="s">
        <v>209</v>
      </c>
      <c r="F1634" s="53" t="s">
        <v>145</v>
      </c>
      <c r="G1634" s="53" t="s">
        <v>210</v>
      </c>
      <c r="H1634" s="53">
        <v>1</v>
      </c>
      <c r="I1634" s="53" t="s">
        <v>130</v>
      </c>
      <c r="J1634" s="53">
        <v>0</v>
      </c>
      <c r="K1634" s="53">
        <v>0</v>
      </c>
      <c r="L1634" s="53">
        <v>14.5</v>
      </c>
      <c r="M1634" s="53" t="s">
        <v>2048</v>
      </c>
      <c r="N1634" s="53">
        <v>15.3</v>
      </c>
      <c r="O1634" s="51" t="str">
        <f>TEXT(tblWorkPackages[[#This Row],[Request date serial]]-WEEKDAY(tblWorkPackages[[#This Row],[Request date serial]],3),"yyyy-mm-dd")</f>
        <v>2024-01-01</v>
      </c>
      <c r="P1634" s="51">
        <f>ABS(tblWorkPackages[[#This Row],[Actual labor hours]]-tblWorkPackages[[#This Row],[Estimated labor hours]])</f>
        <v>0.800000000000001</v>
      </c>
      <c r="Q1634" s="51">
        <f>IF(tblWorkPackages[[#This Row],[Actual labor hours]]&gt;tblWorkPackages[[#This Row],[Estimated labor hours]],1,0)</f>
        <v>1</v>
      </c>
      <c r="R1634" s="51">
        <f>tblWorkPackages[[#This Row],[Actual labor hours]]-tblWorkPackages[[#This Row],[Estimated labor hours]]</f>
        <v>0.800000000000001</v>
      </c>
      <c r="S1634" s="51" t="str">
        <f>IF(tblWorkPackages[[#This Row],[Request date serial]]&lt;ValidationStart,"Train 2024",IF(tblWorkPackages[[#This Row],[Request date serial]]&lt;HoldoutStart,"Validation H1","Holdout H2"))</f>
        <v>Train 2024</v>
      </c>
      <c r="T1634" s="51" t="str">
        <f>IF(tblWorkPackages[[#This Row],[Time split]]="Train 2024","",tblWorkPackages[[#This Row],[Estimated labor hours]]+VLOOKUP(tblWorkPackages[[#This Row],[Task type]],'Forecast validation'!$A$14:$E$25,IF(tblWorkPackages[[#This Row],[Time split]]="Validation H1",4,5),FALSE()))</f>
        <v/>
      </c>
      <c r="U1634" s="51" t="str">
        <f>IF(tblWorkPackages[[#This Row],[Calibrated forecast hours]]="","",ABS(tblWorkPackages[[#This Row],[Actual labor hours]]-tblWorkPackages[[#This Row],[Calibrated forecast hours]]))</f>
        <v/>
      </c>
      <c r="V1634" s="51">
        <f>IF(tblWorkPackages[[#This Row],[Time split]]="Train 2024",tblWorkPackages[[#This Row],[Estimated labor hours]],tblWorkPackages[[#This Row],[Calibrated forecast hours]])</f>
        <v>14.5</v>
      </c>
      <c r="W1634" s="64">
        <f>DATEVALUE(tblWorkPackages[[#This Row],[Request date]])</f>
        <v>45294.0</v>
      </c>
      <c r="X1634" s="64">
        <f>DATEVALUE(tblWorkPackages[[#This Row],[Due date]])</f>
        <v>45307.0</v>
      </c>
      <c r="Y1634" s="64">
        <f>DATEVALUE(tblWorkPackages[[#This Row],[Completion date]])</f>
        <v>45297.0</v>
      </c>
      <c r="Z1634" s="64">
        <f>_xlfn.MINIFS(tblLaborEntries[Work date serial],tblLaborEntries[Work package ID],tblWorkPackages[[#This Row],[Work package ID]])</f>
        <v>45296.0</v>
      </c>
      <c r="AA1634" s="64">
        <f>_xlfn.MAXIFS(tblLaborEntries[Work date serial],tblLaborEntries[Work package ID],tblWorkPackages[[#This Row],[Work package ID]])</f>
        <v>45297.0</v>
      </c>
      <c r="AB1634" s="65">
        <f>IF(tblWorkPackages[[#This Row],[Completion date serial]]&gt;tblWorkPackages[[#This Row],[Due date serial]],1,0)</f>
        <v>0</v>
      </c>
      <c r="AC1634" s="65">
        <f>MAX(0,tblWorkPackages[[#This Row],[Completion date serial]]-tblWorkPackages[[#This Row],[Due date serial]])</f>
        <v>0</v>
      </c>
      <c r="AD1634" s="65">
        <f>tblWorkPackages[[#This Row],[First labor date]]-tblWorkPackages[[#This Row],[Request date serial]]</f>
        <v>2</v>
      </c>
      <c r="AE1634" s="65">
        <f>tblWorkPackages[[#This Row],[Last labor date]]-tblWorkPackages[[#This Row],[First labor date]]</f>
        <v>1</v>
      </c>
      <c r="AF1634" s="65">
        <f>tblWorkPackages[[#This Row],[Completion date serial]]-tblWorkPackages[[#This Row],[Last labor date]]</f>
        <v>0</v>
      </c>
      <c r="AG1634" s="65">
        <f>tblWorkPackages[[#This Row],[Completion date serial]]-tblWorkPackages[[#This Row],[Request date serial]]</f>
        <v>3</v>
      </c>
      <c r="AH1634" s="65">
        <f>IFERROR(INDEX(tblParts[Delay days],MATCH(tblWorkPackages[[#This Row],[Work package ID]],tblParts[Work package ID],0)),0)</f>
        <v>0</v>
      </c>
      <c r="AI1634" s="51" t="str">
        <f>IFERROR(INDEX(tblDisruptions[Event type],MATCH(tblWorkPackages[[#This Row],[Work package ID]],tblDisruptions[Work package ID],0)),"None")</f>
        <v>None</v>
      </c>
      <c r="AJ1634" s="51" t="str">
        <f>TEXT(tblWorkPackages[[#This Row],[Due date serial]],"yyyy-mm")</f>
        <v>2024-01</v>
      </c>
    </row>
    <row r="1635" spans="1:36" ht="15" x14ac:dyDescent="0.25">
      <c r="A1635" s="53" t="s">
        <v>2544</v>
      </c>
      <c r="B1635" s="53" t="s">
        <v>173</v>
      </c>
      <c r="C1635" s="53" t="s">
        <v>1272</v>
      </c>
      <c r="D1635" s="53" t="s">
        <v>331</v>
      </c>
      <c r="E1635" s="53" t="s">
        <v>223</v>
      </c>
      <c r="F1635" s="53" t="s">
        <v>182</v>
      </c>
      <c r="G1635" s="53" t="s">
        <v>154</v>
      </c>
      <c r="H1635" s="53">
        <v>1</v>
      </c>
      <c r="I1635" s="53" t="s">
        <v>130</v>
      </c>
      <c r="J1635" s="53">
        <v>1</v>
      </c>
      <c r="K1635" s="53">
        <v>0</v>
      </c>
      <c r="L1635" s="53">
        <v>6.9</v>
      </c>
      <c r="M1635" s="53" t="s">
        <v>307</v>
      </c>
      <c r="N1635" s="53">
        <v>10.1</v>
      </c>
      <c r="O1635" s="51" t="str">
        <f>TEXT(tblWorkPackages[[#This Row],[Request date serial]]-WEEKDAY(tblWorkPackages[[#This Row],[Request date serial]],3),"yyyy-mm-dd")</f>
        <v>2025-10-06</v>
      </c>
      <c r="P1635" s="51">
        <f>ABS(tblWorkPackages[[#This Row],[Actual labor hours]]-tblWorkPackages[[#This Row],[Estimated labor hours]])</f>
        <v>3.2</v>
      </c>
      <c r="Q1635" s="51">
        <f>IF(tblWorkPackages[[#This Row],[Actual labor hours]]&gt;tblWorkPackages[[#This Row],[Estimated labor hours]],1,0)</f>
        <v>1</v>
      </c>
      <c r="R1635" s="51">
        <f>tblWorkPackages[[#This Row],[Actual labor hours]]-tblWorkPackages[[#This Row],[Estimated labor hours]]</f>
        <v>3.2</v>
      </c>
      <c r="S1635" s="51" t="str">
        <f>IF(tblWorkPackages[[#This Row],[Request date serial]]&lt;ValidationStart,"Train 2024",IF(tblWorkPackages[[#This Row],[Request date serial]]&lt;HoldoutStart,"Validation H1","Holdout H2"))</f>
        <v>Holdout H2</v>
      </c>
      <c r="T1635" s="51">
        <f>IF(tblWorkPackages[[#This Row],[Time split]]="Train 2024","",tblWorkPackages[[#This Row],[Estimated labor hours]]+VLOOKUP(tblWorkPackages[[#This Row],[Task type]],'Forecast validation'!$A$14:$E$25,IF(tblWorkPackages[[#This Row],[Time split]]="Validation H1",4,5),FALSE()))</f>
        <v>7.82465753424658</v>
      </c>
      <c r="U1635" s="51">
        <f>IF(tblWorkPackages[[#This Row],[Calibrated forecast hours]]="","",ABS(tblWorkPackages[[#This Row],[Actual labor hours]]-tblWorkPackages[[#This Row],[Calibrated forecast hours]]))</f>
        <v>2.27534246575342</v>
      </c>
      <c r="V1635" s="51">
        <f>IF(tblWorkPackages[[#This Row],[Time split]]="Train 2024",tblWorkPackages[[#This Row],[Estimated labor hours]],tblWorkPackages[[#This Row],[Calibrated forecast hours]])</f>
        <v>7.82465753424658</v>
      </c>
      <c r="W1635" s="64">
        <f>DATEVALUE(tblWorkPackages[[#This Row],[Request date]])</f>
        <v>45936.0</v>
      </c>
      <c r="X1635" s="64">
        <f>DATEVALUE(tblWorkPackages[[#This Row],[Due date]])</f>
        <v>45949.0</v>
      </c>
      <c r="Y1635" s="64">
        <f>DATEVALUE(tblWorkPackages[[#This Row],[Completion date]])</f>
        <v>45964.0</v>
      </c>
      <c r="Z1635" s="64">
        <f>_xlfn.MINIFS(tblLaborEntries[Work date serial],tblLaborEntries[Work package ID],tblWorkPackages[[#This Row],[Work package ID]])</f>
        <v>45961.0</v>
      </c>
      <c r="AA1635" s="64">
        <f>_xlfn.MAXIFS(tblLaborEntries[Work date serial],tblLaborEntries[Work package ID],tblWorkPackages[[#This Row],[Work package ID]])</f>
        <v>45963.0</v>
      </c>
      <c r="AB1635" s="65">
        <f>IF(tblWorkPackages[[#This Row],[Completion date serial]]&gt;tblWorkPackages[[#This Row],[Due date serial]],1,0)</f>
        <v>1</v>
      </c>
      <c r="AC1635" s="65">
        <f>MAX(0,tblWorkPackages[[#This Row],[Completion date serial]]-tblWorkPackages[[#This Row],[Due date serial]])</f>
        <v>15</v>
      </c>
      <c r="AD1635" s="65">
        <f>tblWorkPackages[[#This Row],[First labor date]]-tblWorkPackages[[#This Row],[Request date serial]]</f>
        <v>25</v>
      </c>
      <c r="AE1635" s="65">
        <f>tblWorkPackages[[#This Row],[Last labor date]]-tblWorkPackages[[#This Row],[First labor date]]</f>
        <v>2</v>
      </c>
      <c r="AF1635" s="65">
        <f>tblWorkPackages[[#This Row],[Completion date serial]]-tblWorkPackages[[#This Row],[Last labor date]]</f>
        <v>1</v>
      </c>
      <c r="AG1635" s="65">
        <f>tblWorkPackages[[#This Row],[Completion date serial]]-tblWorkPackages[[#This Row],[Request date serial]]</f>
        <v>28</v>
      </c>
      <c r="AH1635" s="65">
        <f>IFERROR(INDEX(tblParts[Delay days],MATCH(tblWorkPackages[[#This Row],[Work package ID]],tblParts[Work package ID],0)),0)</f>
        <v>0</v>
      </c>
      <c r="AI1635" s="51" t="str">
        <f>IFERROR(INDEX(tblDisruptions[Event type],MATCH(tblWorkPackages[[#This Row],[Work package ID]],tblDisruptions[Work package ID],0)),"None")</f>
        <v>None</v>
      </c>
      <c r="AJ1635" s="51" t="str">
        <f>TEXT(tblWorkPackages[[#This Row],[Due date serial]],"yyyy-mm")</f>
        <v>2025-10</v>
      </c>
    </row>
    <row r="1636" spans="1:36" ht="15" x14ac:dyDescent="0.25">
      <c r="A1636" s="53" t="s">
        <v>2545</v>
      </c>
      <c r="B1636" s="53" t="s">
        <v>168</v>
      </c>
      <c r="C1636" s="53" t="s">
        <v>564</v>
      </c>
      <c r="D1636" s="53" t="s">
        <v>853</v>
      </c>
      <c r="E1636" s="53" t="s">
        <v>200</v>
      </c>
      <c r="F1636" s="53" t="s">
        <v>128</v>
      </c>
      <c r="G1636" s="53" t="s">
        <v>129</v>
      </c>
      <c r="H1636" s="53">
        <v>1</v>
      </c>
      <c r="I1636" s="53" t="s">
        <v>130</v>
      </c>
      <c r="J1636" s="53">
        <v>0</v>
      </c>
      <c r="K1636" s="53">
        <v>0</v>
      </c>
      <c r="L1636" s="53">
        <v>2.2000000000000002</v>
      </c>
      <c r="M1636" s="53" t="s">
        <v>705</v>
      </c>
      <c r="N1636" s="53">
        <v>1.8</v>
      </c>
      <c r="O1636" s="51" t="str">
        <f>TEXT(tblWorkPackages[[#This Row],[Request date serial]]-WEEKDAY(tblWorkPackages[[#This Row],[Request date serial]],3),"yyyy-mm-dd")</f>
        <v>2024-06-10</v>
      </c>
      <c r="P1636" s="51">
        <f>ABS(tblWorkPackages[[#This Row],[Actual labor hours]]-tblWorkPackages[[#This Row],[Estimated labor hours]])</f>
        <v>0.4</v>
      </c>
      <c r="Q1636" s="51">
        <f>IF(tblWorkPackages[[#This Row],[Actual labor hours]]&gt;tblWorkPackages[[#This Row],[Estimated labor hours]],1,0)</f>
        <v>0</v>
      </c>
      <c r="R1636" s="51">
        <f>tblWorkPackages[[#This Row],[Actual labor hours]]-tblWorkPackages[[#This Row],[Estimated labor hours]]</f>
        <v>-0.4</v>
      </c>
      <c r="S1636" s="51" t="str">
        <f>IF(tblWorkPackages[[#This Row],[Request date serial]]&lt;ValidationStart,"Train 2024",IF(tblWorkPackages[[#This Row],[Request date serial]]&lt;HoldoutStart,"Validation H1","Holdout H2"))</f>
        <v>Train 2024</v>
      </c>
      <c r="T1636" s="51" t="str">
        <f>IF(tblWorkPackages[[#This Row],[Time split]]="Train 2024","",tblWorkPackages[[#This Row],[Estimated labor hours]]+VLOOKUP(tblWorkPackages[[#This Row],[Task type]],'Forecast validation'!$A$14:$E$25,IF(tblWorkPackages[[#This Row],[Time split]]="Validation H1",4,5),FALSE()))</f>
        <v/>
      </c>
      <c r="U1636" s="51" t="str">
        <f>IF(tblWorkPackages[[#This Row],[Calibrated forecast hours]]="","",ABS(tblWorkPackages[[#This Row],[Actual labor hours]]-tblWorkPackages[[#This Row],[Calibrated forecast hours]]))</f>
        <v/>
      </c>
      <c r="V1636" s="51">
        <f>IF(tblWorkPackages[[#This Row],[Time split]]="Train 2024",tblWorkPackages[[#This Row],[Estimated labor hours]],tblWorkPackages[[#This Row],[Calibrated forecast hours]])</f>
        <v>2.2</v>
      </c>
      <c r="W1636" s="64">
        <f>DATEVALUE(tblWorkPackages[[#This Row],[Request date]])</f>
        <v>45453.0</v>
      </c>
      <c r="X1636" s="64">
        <f>DATEVALUE(tblWorkPackages[[#This Row],[Due date]])</f>
        <v>45466.0</v>
      </c>
      <c r="Y1636" s="64">
        <f>DATEVALUE(tblWorkPackages[[#This Row],[Completion date]])</f>
        <v>45461.0</v>
      </c>
      <c r="Z1636" s="64">
        <f>_xlfn.MINIFS(tblLaborEntries[Work date serial],tblLaborEntries[Work package ID],tblWorkPackages[[#This Row],[Work package ID]])</f>
        <v>45457.0</v>
      </c>
      <c r="AA1636" s="64">
        <f>_xlfn.MAXIFS(tblLaborEntries[Work date serial],tblLaborEntries[Work package ID],tblWorkPackages[[#This Row],[Work package ID]])</f>
        <v>45459.0</v>
      </c>
      <c r="AB1636" s="65">
        <f>IF(tblWorkPackages[[#This Row],[Completion date serial]]&gt;tblWorkPackages[[#This Row],[Due date serial]],1,0)</f>
        <v>0</v>
      </c>
      <c r="AC1636" s="65">
        <f>MAX(0,tblWorkPackages[[#This Row],[Completion date serial]]-tblWorkPackages[[#This Row],[Due date serial]])</f>
        <v>0</v>
      </c>
      <c r="AD1636" s="65">
        <f>tblWorkPackages[[#This Row],[First labor date]]-tblWorkPackages[[#This Row],[Request date serial]]</f>
        <v>4</v>
      </c>
      <c r="AE1636" s="65">
        <f>tblWorkPackages[[#This Row],[Last labor date]]-tblWorkPackages[[#This Row],[First labor date]]</f>
        <v>2</v>
      </c>
      <c r="AF1636" s="65">
        <f>tblWorkPackages[[#This Row],[Completion date serial]]-tblWorkPackages[[#This Row],[Last labor date]]</f>
        <v>2</v>
      </c>
      <c r="AG1636" s="65">
        <f>tblWorkPackages[[#This Row],[Completion date serial]]-tblWorkPackages[[#This Row],[Request date serial]]</f>
        <v>8</v>
      </c>
      <c r="AH1636" s="65">
        <f>IFERROR(INDEX(tblParts[Delay days],MATCH(tblWorkPackages[[#This Row],[Work package ID]],tblParts[Work package ID],0)),0)</f>
        <v>0</v>
      </c>
      <c r="AI1636" s="51" t="str">
        <f>IFERROR(INDEX(tblDisruptions[Event type],MATCH(tblWorkPackages[[#This Row],[Work package ID]],tblDisruptions[Work package ID],0)),"None")</f>
        <v>None</v>
      </c>
      <c r="AJ1636" s="51" t="str">
        <f>TEXT(tblWorkPackages[[#This Row],[Due date serial]],"yyyy-mm")</f>
        <v>2024-06</v>
      </c>
    </row>
    <row r="1637" spans="1:36" ht="15" x14ac:dyDescent="0.25">
      <c r="A1637" s="53" t="s">
        <v>2546</v>
      </c>
      <c r="B1637" s="53" t="s">
        <v>185</v>
      </c>
      <c r="C1637" s="53" t="s">
        <v>572</v>
      </c>
      <c r="D1637" s="53" t="s">
        <v>1148</v>
      </c>
      <c r="E1637" s="53" t="s">
        <v>272</v>
      </c>
      <c r="F1637" s="53" t="s">
        <v>145</v>
      </c>
      <c r="G1637" s="53" t="s">
        <v>273</v>
      </c>
      <c r="H1637" s="53">
        <v>2</v>
      </c>
      <c r="I1637" s="53" t="s">
        <v>176</v>
      </c>
      <c r="J1637" s="53">
        <v>0</v>
      </c>
      <c r="K1637" s="53">
        <v>1</v>
      </c>
      <c r="L1637" s="53">
        <v>12</v>
      </c>
      <c r="M1637" s="53" t="s">
        <v>261</v>
      </c>
      <c r="N1637" s="53">
        <v>12.3</v>
      </c>
      <c r="O1637" s="51" t="str">
        <f>TEXT(tblWorkPackages[[#This Row],[Request date serial]]-WEEKDAY(tblWorkPackages[[#This Row],[Request date serial]],3),"yyyy-mm-dd")</f>
        <v>2025-01-13</v>
      </c>
      <c r="P1637" s="51">
        <f>ABS(tblWorkPackages[[#This Row],[Actual labor hours]]-tblWorkPackages[[#This Row],[Estimated labor hours]])</f>
        <v>0.300000000000001</v>
      </c>
      <c r="Q1637" s="51">
        <f>IF(tblWorkPackages[[#This Row],[Actual labor hours]]&gt;tblWorkPackages[[#This Row],[Estimated labor hours]],1,0)</f>
        <v>1</v>
      </c>
      <c r="R1637" s="51">
        <f>tblWorkPackages[[#This Row],[Actual labor hours]]-tblWorkPackages[[#This Row],[Estimated labor hours]]</f>
        <v>0.300000000000001</v>
      </c>
      <c r="S1637" s="51" t="str">
        <f>IF(tblWorkPackages[[#This Row],[Request date serial]]&lt;ValidationStart,"Train 2024",IF(tblWorkPackages[[#This Row],[Request date serial]]&lt;HoldoutStart,"Validation H1","Holdout H2"))</f>
        <v>Validation H1</v>
      </c>
      <c r="T1637" s="51">
        <f>IF(tblWorkPackages[[#This Row],[Time split]]="Train 2024","",tblWorkPackages[[#This Row],[Estimated labor hours]]+VLOOKUP(tblWorkPackages[[#This Row],[Task type]],'Forecast validation'!$A$14:$E$25,IF(tblWorkPackages[[#This Row],[Time split]]="Validation H1",4,5),FALSE()))</f>
        <v>13.0320512820513</v>
      </c>
      <c r="U1637" s="51">
        <f>IF(tblWorkPackages[[#This Row],[Calibrated forecast hours]]="","",ABS(tblWorkPackages[[#This Row],[Actual labor hours]]-tblWorkPackages[[#This Row],[Calibrated forecast hours]]))</f>
        <v>0.73205128205128</v>
      </c>
      <c r="V1637" s="51">
        <f>IF(tblWorkPackages[[#This Row],[Time split]]="Train 2024",tblWorkPackages[[#This Row],[Estimated labor hours]],tblWorkPackages[[#This Row],[Calibrated forecast hours]])</f>
        <v>13.0320512820513</v>
      </c>
      <c r="W1637" s="64">
        <f>DATEVALUE(tblWorkPackages[[#This Row],[Request date]])</f>
        <v>45672.0</v>
      </c>
      <c r="X1637" s="64">
        <f>DATEVALUE(tblWorkPackages[[#This Row],[Due date]])</f>
        <v>45678.0</v>
      </c>
      <c r="Y1637" s="64">
        <f>DATEVALUE(tblWorkPackages[[#This Row],[Completion date]])</f>
        <v>45676.0</v>
      </c>
      <c r="Z1637" s="64">
        <f>_xlfn.MINIFS(tblLaborEntries[Work date serial],tblLaborEntries[Work package ID],tblWorkPackages[[#This Row],[Work package ID]])</f>
        <v>45673.0</v>
      </c>
      <c r="AA1637" s="64">
        <f>_xlfn.MAXIFS(tblLaborEntries[Work date serial],tblLaborEntries[Work package ID],tblWorkPackages[[#This Row],[Work package ID]])</f>
        <v>45673.0</v>
      </c>
      <c r="AB1637" s="65">
        <f>IF(tblWorkPackages[[#This Row],[Completion date serial]]&gt;tblWorkPackages[[#This Row],[Due date serial]],1,0)</f>
        <v>0</v>
      </c>
      <c r="AC1637" s="65">
        <f>MAX(0,tblWorkPackages[[#This Row],[Completion date serial]]-tblWorkPackages[[#This Row],[Due date serial]])</f>
        <v>0</v>
      </c>
      <c r="AD1637" s="65">
        <f>tblWorkPackages[[#This Row],[First labor date]]-tblWorkPackages[[#This Row],[Request date serial]]</f>
        <v>1</v>
      </c>
      <c r="AE1637" s="65">
        <f>tblWorkPackages[[#This Row],[Last labor date]]-tblWorkPackages[[#This Row],[First labor date]]</f>
        <v>0</v>
      </c>
      <c r="AF1637" s="65">
        <f>tblWorkPackages[[#This Row],[Completion date serial]]-tblWorkPackages[[#This Row],[Last labor date]]</f>
        <v>3</v>
      </c>
      <c r="AG1637" s="65">
        <f>tblWorkPackages[[#This Row],[Completion date serial]]-tblWorkPackages[[#This Row],[Request date serial]]</f>
        <v>4</v>
      </c>
      <c r="AH1637" s="65">
        <f>IFERROR(INDEX(tblParts[Delay days],MATCH(tblWorkPackages[[#This Row],[Work package ID]],tblParts[Work package ID],0)),0)</f>
        <v>0</v>
      </c>
      <c r="AI1637" s="51" t="str">
        <f>IFERROR(INDEX(tblDisruptions[Event type],MATCH(tblWorkPackages[[#This Row],[Work package ID]],tblDisruptions[Work package ID],0)),"None")</f>
        <v>None</v>
      </c>
      <c r="AJ1637" s="51" t="str">
        <f>TEXT(tblWorkPackages[[#This Row],[Due date serial]],"yyyy-mm")</f>
        <v>2025-01</v>
      </c>
    </row>
    <row r="1638" spans="1:36" ht="15" x14ac:dyDescent="0.25">
      <c r="A1638" s="53" t="s">
        <v>2547</v>
      </c>
      <c r="B1638" s="53" t="s">
        <v>203</v>
      </c>
      <c r="C1638" s="53" t="s">
        <v>520</v>
      </c>
      <c r="D1638" s="53" t="s">
        <v>521</v>
      </c>
      <c r="E1638" s="53" t="s">
        <v>237</v>
      </c>
      <c r="F1638" s="53" t="s">
        <v>182</v>
      </c>
      <c r="G1638" s="53" t="s">
        <v>138</v>
      </c>
      <c r="H1638" s="53">
        <v>2</v>
      </c>
      <c r="I1638" s="53" t="s">
        <v>130</v>
      </c>
      <c r="J1638" s="53">
        <v>0</v>
      </c>
      <c r="K1638" s="53">
        <v>0</v>
      </c>
      <c r="L1638" s="53">
        <v>4.5</v>
      </c>
      <c r="M1638" s="53" t="s">
        <v>532</v>
      </c>
      <c r="N1638" s="53">
        <v>5.3</v>
      </c>
      <c r="O1638" s="51" t="str">
        <f>TEXT(tblWorkPackages[[#This Row],[Request date serial]]-WEEKDAY(tblWorkPackages[[#This Row],[Request date serial]],3),"yyyy-mm-dd")</f>
        <v>2025-08-18</v>
      </c>
      <c r="P1638" s="51">
        <f>ABS(tblWorkPackages[[#This Row],[Actual labor hours]]-tblWorkPackages[[#This Row],[Estimated labor hours]])</f>
        <v>0.8</v>
      </c>
      <c r="Q1638" s="51">
        <f>IF(tblWorkPackages[[#This Row],[Actual labor hours]]&gt;tblWorkPackages[[#This Row],[Estimated labor hours]],1,0)</f>
        <v>1</v>
      </c>
      <c r="R1638" s="51">
        <f>tblWorkPackages[[#This Row],[Actual labor hours]]-tblWorkPackages[[#This Row],[Estimated labor hours]]</f>
        <v>0.8</v>
      </c>
      <c r="S1638" s="51" t="str">
        <f>IF(tblWorkPackages[[#This Row],[Request date serial]]&lt;ValidationStart,"Train 2024",IF(tblWorkPackages[[#This Row],[Request date serial]]&lt;HoldoutStart,"Validation H1","Holdout H2"))</f>
        <v>Holdout H2</v>
      </c>
      <c r="T1638" s="51">
        <f>IF(tblWorkPackages[[#This Row],[Time split]]="Train 2024","",tblWorkPackages[[#This Row],[Estimated labor hours]]+VLOOKUP(tblWorkPackages[[#This Row],[Task type]],'Forecast validation'!$A$14:$E$25,IF(tblWorkPackages[[#This Row],[Time split]]="Validation H1",4,5),FALSE()))</f>
        <v>4.953125</v>
      </c>
      <c r="U1638" s="51">
        <f>IF(tblWorkPackages[[#This Row],[Calibrated forecast hours]]="","",ABS(tblWorkPackages[[#This Row],[Actual labor hours]]-tblWorkPackages[[#This Row],[Calibrated forecast hours]]))</f>
        <v>0.346875</v>
      </c>
      <c r="V1638" s="51">
        <f>IF(tblWorkPackages[[#This Row],[Time split]]="Train 2024",tblWorkPackages[[#This Row],[Estimated labor hours]],tblWorkPackages[[#This Row],[Calibrated forecast hours]])</f>
        <v>4.953125</v>
      </c>
      <c r="W1638" s="64">
        <f>DATEVALUE(tblWorkPackages[[#This Row],[Request date]])</f>
        <v>45890.0</v>
      </c>
      <c r="X1638" s="64">
        <f>DATEVALUE(tblWorkPackages[[#This Row],[Due date]])</f>
        <v>45903.0</v>
      </c>
      <c r="Y1638" s="64">
        <f>DATEVALUE(tblWorkPackages[[#This Row],[Completion date]])</f>
        <v>45904.0</v>
      </c>
      <c r="Z1638" s="64">
        <f>_xlfn.MINIFS(tblLaborEntries[Work date serial],tblLaborEntries[Work package ID],tblWorkPackages[[#This Row],[Work package ID]])</f>
        <v>45903.0</v>
      </c>
      <c r="AA1638" s="64">
        <f>_xlfn.MAXIFS(tblLaborEntries[Work date serial],tblLaborEntries[Work package ID],tblWorkPackages[[#This Row],[Work package ID]])</f>
        <v>45904.0</v>
      </c>
      <c r="AB1638" s="65">
        <f>IF(tblWorkPackages[[#This Row],[Completion date serial]]&gt;tblWorkPackages[[#This Row],[Due date serial]],1,0)</f>
        <v>1</v>
      </c>
      <c r="AC1638" s="65">
        <f>MAX(0,tblWorkPackages[[#This Row],[Completion date serial]]-tblWorkPackages[[#This Row],[Due date serial]])</f>
        <v>1</v>
      </c>
      <c r="AD1638" s="65">
        <f>tblWorkPackages[[#This Row],[First labor date]]-tblWorkPackages[[#This Row],[Request date serial]]</f>
        <v>13</v>
      </c>
      <c r="AE1638" s="65">
        <f>tblWorkPackages[[#This Row],[Last labor date]]-tblWorkPackages[[#This Row],[First labor date]]</f>
        <v>1</v>
      </c>
      <c r="AF1638" s="65">
        <f>tblWorkPackages[[#This Row],[Completion date serial]]-tblWorkPackages[[#This Row],[Last labor date]]</f>
        <v>0</v>
      </c>
      <c r="AG1638" s="65">
        <f>tblWorkPackages[[#This Row],[Completion date serial]]-tblWorkPackages[[#This Row],[Request date serial]]</f>
        <v>14</v>
      </c>
      <c r="AH1638" s="65">
        <f>IFERROR(INDEX(tblParts[Delay days],MATCH(tblWorkPackages[[#This Row],[Work package ID]],tblParts[Work package ID],0)),0)</f>
        <v>0</v>
      </c>
      <c r="AI1638" s="51" t="str">
        <f>IFERROR(INDEX(tblDisruptions[Event type],MATCH(tblWorkPackages[[#This Row],[Work package ID]],tblDisruptions[Work package ID],0)),"None")</f>
        <v>Equipment unavailable</v>
      </c>
      <c r="AJ1638" s="51" t="str">
        <f>TEXT(tblWorkPackages[[#This Row],[Due date serial]],"yyyy-mm")</f>
        <v>2025-09</v>
      </c>
    </row>
    <row r="1639" spans="1:36" ht="15" x14ac:dyDescent="0.25">
      <c r="A1639" s="53" t="s">
        <v>2548</v>
      </c>
      <c r="B1639" s="53" t="s">
        <v>124</v>
      </c>
      <c r="C1639" s="53" t="s">
        <v>1062</v>
      </c>
      <c r="D1639" s="53" t="s">
        <v>1084</v>
      </c>
      <c r="E1639" s="53" t="s">
        <v>209</v>
      </c>
      <c r="F1639" s="53" t="s">
        <v>145</v>
      </c>
      <c r="G1639" s="53" t="s">
        <v>210</v>
      </c>
      <c r="H1639" s="53">
        <v>3</v>
      </c>
      <c r="I1639" s="53" t="s">
        <v>130</v>
      </c>
      <c r="J1639" s="53">
        <v>0</v>
      </c>
      <c r="K1639" s="53">
        <v>1</v>
      </c>
      <c r="L1639" s="53">
        <v>29.2</v>
      </c>
      <c r="M1639" s="53" t="s">
        <v>1455</v>
      </c>
      <c r="N1639" s="53">
        <v>27.6</v>
      </c>
      <c r="O1639" s="51" t="str">
        <f>TEXT(tblWorkPackages[[#This Row],[Request date serial]]-WEEKDAY(tblWorkPackages[[#This Row],[Request date serial]],3),"yyyy-mm-dd")</f>
        <v>2025-01-20</v>
      </c>
      <c r="P1639" s="51">
        <f>ABS(tblWorkPackages[[#This Row],[Actual labor hours]]-tblWorkPackages[[#This Row],[Estimated labor hours]])</f>
        <v>1.6</v>
      </c>
      <c r="Q1639" s="51">
        <f>IF(tblWorkPackages[[#This Row],[Actual labor hours]]&gt;tblWorkPackages[[#This Row],[Estimated labor hours]],1,0)</f>
        <v>0</v>
      </c>
      <c r="R1639" s="51">
        <f>tblWorkPackages[[#This Row],[Actual labor hours]]-tblWorkPackages[[#This Row],[Estimated labor hours]]</f>
        <v>-1.6</v>
      </c>
      <c r="S1639" s="51" t="str">
        <f>IF(tblWorkPackages[[#This Row],[Request date serial]]&lt;ValidationStart,"Train 2024",IF(tblWorkPackages[[#This Row],[Request date serial]]&lt;HoldoutStart,"Validation H1","Holdout H2"))</f>
        <v>Validation H1</v>
      </c>
      <c r="T1639" s="51">
        <f>IF(tblWorkPackages[[#This Row],[Time split]]="Train 2024","",tblWorkPackages[[#This Row],[Estimated labor hours]]+VLOOKUP(tblWorkPackages[[#This Row],[Task type]],'Forecast validation'!$A$14:$E$25,IF(tblWorkPackages[[#This Row],[Time split]]="Validation H1",4,5),FALSE()))</f>
        <v>30.3029850746269</v>
      </c>
      <c r="U1639" s="51">
        <f>IF(tblWorkPackages[[#This Row],[Calibrated forecast hours]]="","",ABS(tblWorkPackages[[#This Row],[Actual labor hours]]-tblWorkPackages[[#This Row],[Calibrated forecast hours]]))</f>
        <v>2.70298507462686</v>
      </c>
      <c r="V1639" s="51">
        <f>IF(tblWorkPackages[[#This Row],[Time split]]="Train 2024",tblWorkPackages[[#This Row],[Estimated labor hours]],tblWorkPackages[[#This Row],[Calibrated forecast hours]])</f>
        <v>30.3029850746269</v>
      </c>
      <c r="W1639" s="64">
        <f>DATEVALUE(tblWorkPackages[[#This Row],[Request date]])</f>
        <v>45682.0</v>
      </c>
      <c r="X1639" s="64">
        <f>DATEVALUE(tblWorkPackages[[#This Row],[Due date]])</f>
        <v>45695.0</v>
      </c>
      <c r="Y1639" s="64">
        <f>DATEVALUE(tblWorkPackages[[#This Row],[Completion date]])</f>
        <v>45687.0</v>
      </c>
      <c r="Z1639" s="64">
        <f>_xlfn.MINIFS(tblLaborEntries[Work date serial],tblLaborEntries[Work package ID],tblWorkPackages[[#This Row],[Work package ID]])</f>
        <v>45685.0</v>
      </c>
      <c r="AA1639" s="64">
        <f>_xlfn.MAXIFS(tblLaborEntries[Work date serial],tblLaborEntries[Work package ID],tblWorkPackages[[#This Row],[Work package ID]])</f>
        <v>45686.0</v>
      </c>
      <c r="AB1639" s="65">
        <f>IF(tblWorkPackages[[#This Row],[Completion date serial]]&gt;tblWorkPackages[[#This Row],[Due date serial]],1,0)</f>
        <v>0</v>
      </c>
      <c r="AC1639" s="65">
        <f>MAX(0,tblWorkPackages[[#This Row],[Completion date serial]]-tblWorkPackages[[#This Row],[Due date serial]])</f>
        <v>0</v>
      </c>
      <c r="AD1639" s="65">
        <f>tblWorkPackages[[#This Row],[First labor date]]-tblWorkPackages[[#This Row],[Request date serial]]</f>
        <v>3</v>
      </c>
      <c r="AE1639" s="65">
        <f>tblWorkPackages[[#This Row],[Last labor date]]-tblWorkPackages[[#This Row],[First labor date]]</f>
        <v>1</v>
      </c>
      <c r="AF1639" s="65">
        <f>tblWorkPackages[[#This Row],[Completion date serial]]-tblWorkPackages[[#This Row],[Last labor date]]</f>
        <v>1</v>
      </c>
      <c r="AG1639" s="65">
        <f>tblWorkPackages[[#This Row],[Completion date serial]]-tblWorkPackages[[#This Row],[Request date serial]]</f>
        <v>5</v>
      </c>
      <c r="AH1639" s="65">
        <f>IFERROR(INDEX(tblParts[Delay days],MATCH(tblWorkPackages[[#This Row],[Work package ID]],tblParts[Work package ID],0)),0)</f>
        <v>0</v>
      </c>
      <c r="AI1639" s="51" t="str">
        <f>IFERROR(INDEX(tblDisruptions[Event type],MATCH(tblWorkPackages[[#This Row],[Work package ID]],tblDisruptions[Work package ID],0)),"None")</f>
        <v>None</v>
      </c>
      <c r="AJ1639" s="51" t="str">
        <f>TEXT(tblWorkPackages[[#This Row],[Due date serial]],"yyyy-mm")</f>
        <v>2025-02</v>
      </c>
    </row>
    <row r="1640" spans="1:36" ht="15" x14ac:dyDescent="0.25">
      <c r="A1640" s="53" t="s">
        <v>2549</v>
      </c>
      <c r="B1640" s="53" t="s">
        <v>133</v>
      </c>
      <c r="C1640" s="53" t="s">
        <v>1685</v>
      </c>
      <c r="D1640" s="53" t="s">
        <v>470</v>
      </c>
      <c r="E1640" s="53" t="s">
        <v>136</v>
      </c>
      <c r="F1640" s="53" t="s">
        <v>137</v>
      </c>
      <c r="G1640" s="53" t="s">
        <v>138</v>
      </c>
      <c r="H1640" s="53">
        <v>1</v>
      </c>
      <c r="I1640" s="53" t="s">
        <v>130</v>
      </c>
      <c r="J1640" s="53">
        <v>0</v>
      </c>
      <c r="K1640" s="53">
        <v>1</v>
      </c>
      <c r="L1640" s="53">
        <v>10.1</v>
      </c>
      <c r="M1640" s="53" t="s">
        <v>407</v>
      </c>
      <c r="N1640" s="53">
        <v>12.6</v>
      </c>
      <c r="O1640" s="51" t="str">
        <f>TEXT(tblWorkPackages[[#This Row],[Request date serial]]-WEEKDAY(tblWorkPackages[[#This Row],[Request date serial]],3),"yyyy-mm-dd")</f>
        <v>2024-04-01</v>
      </c>
      <c r="P1640" s="51">
        <f>ABS(tblWorkPackages[[#This Row],[Actual labor hours]]-tblWorkPackages[[#This Row],[Estimated labor hours]])</f>
        <v>2.5</v>
      </c>
      <c r="Q1640" s="51">
        <f>IF(tblWorkPackages[[#This Row],[Actual labor hours]]&gt;tblWorkPackages[[#This Row],[Estimated labor hours]],1,0)</f>
        <v>1</v>
      </c>
      <c r="R1640" s="51">
        <f>tblWorkPackages[[#This Row],[Actual labor hours]]-tblWorkPackages[[#This Row],[Estimated labor hours]]</f>
        <v>2.5</v>
      </c>
      <c r="S1640" s="51" t="str">
        <f>IF(tblWorkPackages[[#This Row],[Request date serial]]&lt;ValidationStart,"Train 2024",IF(tblWorkPackages[[#This Row],[Request date serial]]&lt;HoldoutStart,"Validation H1","Holdout H2"))</f>
        <v>Train 2024</v>
      </c>
      <c r="T1640" s="51" t="str">
        <f>IF(tblWorkPackages[[#This Row],[Time split]]="Train 2024","",tblWorkPackages[[#This Row],[Estimated labor hours]]+VLOOKUP(tblWorkPackages[[#This Row],[Task type]],'Forecast validation'!$A$14:$E$25,IF(tblWorkPackages[[#This Row],[Time split]]="Validation H1",4,5),FALSE()))</f>
        <v/>
      </c>
      <c r="U1640" s="51" t="str">
        <f>IF(tblWorkPackages[[#This Row],[Calibrated forecast hours]]="","",ABS(tblWorkPackages[[#This Row],[Actual labor hours]]-tblWorkPackages[[#This Row],[Calibrated forecast hours]]))</f>
        <v/>
      </c>
      <c r="V1640" s="51">
        <f>IF(tblWorkPackages[[#This Row],[Time split]]="Train 2024",tblWorkPackages[[#This Row],[Estimated labor hours]],tblWorkPackages[[#This Row],[Calibrated forecast hours]])</f>
        <v>10.1</v>
      </c>
      <c r="W1640" s="64">
        <f>DATEVALUE(tblWorkPackages[[#This Row],[Request date]])</f>
        <v>45387.0</v>
      </c>
      <c r="X1640" s="64">
        <f>DATEVALUE(tblWorkPackages[[#This Row],[Due date]])</f>
        <v>45400.0</v>
      </c>
      <c r="Y1640" s="64">
        <f>DATEVALUE(tblWorkPackages[[#This Row],[Completion date]])</f>
        <v>45441.0</v>
      </c>
      <c r="Z1640" s="64">
        <f>_xlfn.MINIFS(tblLaborEntries[Work date serial],tblLaborEntries[Work package ID],tblWorkPackages[[#This Row],[Work package ID]])</f>
        <v>45437.0</v>
      </c>
      <c r="AA1640" s="64">
        <f>_xlfn.MAXIFS(tblLaborEntries[Work date serial],tblLaborEntries[Work package ID],tblWorkPackages[[#This Row],[Work package ID]])</f>
        <v>45439.0</v>
      </c>
      <c r="AB1640" s="65">
        <f>IF(tblWorkPackages[[#This Row],[Completion date serial]]&gt;tblWorkPackages[[#This Row],[Due date serial]],1,0)</f>
        <v>1</v>
      </c>
      <c r="AC1640" s="65">
        <f>MAX(0,tblWorkPackages[[#This Row],[Completion date serial]]-tblWorkPackages[[#This Row],[Due date serial]])</f>
        <v>41</v>
      </c>
      <c r="AD1640" s="65">
        <f>tblWorkPackages[[#This Row],[First labor date]]-tblWorkPackages[[#This Row],[Request date serial]]</f>
        <v>50</v>
      </c>
      <c r="AE1640" s="65">
        <f>tblWorkPackages[[#This Row],[Last labor date]]-tblWorkPackages[[#This Row],[First labor date]]</f>
        <v>2</v>
      </c>
      <c r="AF1640" s="65">
        <f>tblWorkPackages[[#This Row],[Completion date serial]]-tblWorkPackages[[#This Row],[Last labor date]]</f>
        <v>2</v>
      </c>
      <c r="AG1640" s="65">
        <f>tblWorkPackages[[#This Row],[Completion date serial]]-tblWorkPackages[[#This Row],[Request date serial]]</f>
        <v>54</v>
      </c>
      <c r="AH1640" s="65">
        <f>IFERROR(INDEX(tblParts[Delay days],MATCH(tblWorkPackages[[#This Row],[Work package ID]],tblParts[Work package ID],0)),0)</f>
        <v>10</v>
      </c>
      <c r="AI1640" s="51" t="str">
        <f>IFERROR(INDEX(tblDisruptions[Event type],MATCH(tblWorkPackages[[#This Row],[Work package ID]],tblDisruptions[Work package ID],0)),"None")</f>
        <v>Part delay</v>
      </c>
      <c r="AJ1640" s="51" t="str">
        <f>TEXT(tblWorkPackages[[#This Row],[Due date serial]],"yyyy-mm")</f>
        <v>2024-04</v>
      </c>
    </row>
    <row r="1641" spans="1:36" ht="15" x14ac:dyDescent="0.25">
      <c r="A1641" s="53" t="s">
        <v>2550</v>
      </c>
      <c r="B1641" s="53" t="s">
        <v>141</v>
      </c>
      <c r="C1641" s="53" t="s">
        <v>720</v>
      </c>
      <c r="D1641" s="53" t="s">
        <v>1000</v>
      </c>
      <c r="E1641" s="53" t="s">
        <v>144</v>
      </c>
      <c r="F1641" s="53" t="s">
        <v>145</v>
      </c>
      <c r="G1641" s="53" t="s">
        <v>146</v>
      </c>
      <c r="H1641" s="53">
        <v>2</v>
      </c>
      <c r="I1641" s="53" t="s">
        <v>130</v>
      </c>
      <c r="J1641" s="53">
        <v>0</v>
      </c>
      <c r="K1641" s="53">
        <v>0</v>
      </c>
      <c r="L1641" s="53">
        <v>11.4</v>
      </c>
      <c r="M1641" s="53" t="s">
        <v>1068</v>
      </c>
      <c r="N1641" s="53">
        <v>14.4</v>
      </c>
      <c r="O1641" s="51" t="str">
        <f>TEXT(tblWorkPackages[[#This Row],[Request date serial]]-WEEKDAY(tblWorkPackages[[#This Row],[Request date serial]],3),"yyyy-mm-dd")</f>
        <v>2024-03-04</v>
      </c>
      <c r="P1641" s="51">
        <f>ABS(tblWorkPackages[[#This Row],[Actual labor hours]]-tblWorkPackages[[#This Row],[Estimated labor hours]])</f>
        <v>3</v>
      </c>
      <c r="Q1641" s="51">
        <f>IF(tblWorkPackages[[#This Row],[Actual labor hours]]&gt;tblWorkPackages[[#This Row],[Estimated labor hours]],1,0)</f>
        <v>1</v>
      </c>
      <c r="R1641" s="51">
        <f>tblWorkPackages[[#This Row],[Actual labor hours]]-tblWorkPackages[[#This Row],[Estimated labor hours]]</f>
        <v>3</v>
      </c>
      <c r="S1641" s="51" t="str">
        <f>IF(tblWorkPackages[[#This Row],[Request date serial]]&lt;ValidationStart,"Train 2024",IF(tblWorkPackages[[#This Row],[Request date serial]]&lt;HoldoutStart,"Validation H1","Holdout H2"))</f>
        <v>Train 2024</v>
      </c>
      <c r="T1641" s="51" t="str">
        <f>IF(tblWorkPackages[[#This Row],[Time split]]="Train 2024","",tblWorkPackages[[#This Row],[Estimated labor hours]]+VLOOKUP(tblWorkPackages[[#This Row],[Task type]],'Forecast validation'!$A$14:$E$25,IF(tblWorkPackages[[#This Row],[Time split]]="Validation H1",4,5),FALSE()))</f>
        <v/>
      </c>
      <c r="U1641" s="51" t="str">
        <f>IF(tblWorkPackages[[#This Row],[Calibrated forecast hours]]="","",ABS(tblWorkPackages[[#This Row],[Actual labor hours]]-tblWorkPackages[[#This Row],[Calibrated forecast hours]]))</f>
        <v/>
      </c>
      <c r="V1641" s="51">
        <f>IF(tblWorkPackages[[#This Row],[Time split]]="Train 2024",tblWorkPackages[[#This Row],[Estimated labor hours]],tblWorkPackages[[#This Row],[Calibrated forecast hours]])</f>
        <v>11.4</v>
      </c>
      <c r="W1641" s="64">
        <f>DATEVALUE(tblWorkPackages[[#This Row],[Request date]])</f>
        <v>45359.0</v>
      </c>
      <c r="X1641" s="64">
        <f>DATEVALUE(tblWorkPackages[[#This Row],[Due date]])</f>
        <v>45372.0</v>
      </c>
      <c r="Y1641" s="64">
        <f>DATEVALUE(tblWorkPackages[[#This Row],[Completion date]])</f>
        <v>45370.0</v>
      </c>
      <c r="Z1641" s="64">
        <f>_xlfn.MINIFS(tblLaborEntries[Work date serial],tblLaborEntries[Work package ID],tblWorkPackages[[#This Row],[Work package ID]])</f>
        <v>45366.0</v>
      </c>
      <c r="AA1641" s="64">
        <f>_xlfn.MAXIFS(tblLaborEntries[Work date serial],tblLaborEntries[Work package ID],tblWorkPackages[[#This Row],[Work package ID]])</f>
        <v>45367.0</v>
      </c>
      <c r="AB1641" s="65">
        <f>IF(tblWorkPackages[[#This Row],[Completion date serial]]&gt;tblWorkPackages[[#This Row],[Due date serial]],1,0)</f>
        <v>0</v>
      </c>
      <c r="AC1641" s="65">
        <f>MAX(0,tblWorkPackages[[#This Row],[Completion date serial]]-tblWorkPackages[[#This Row],[Due date serial]])</f>
        <v>0</v>
      </c>
      <c r="AD1641" s="65">
        <f>tblWorkPackages[[#This Row],[First labor date]]-tblWorkPackages[[#This Row],[Request date serial]]</f>
        <v>7</v>
      </c>
      <c r="AE1641" s="65">
        <f>tblWorkPackages[[#This Row],[Last labor date]]-tblWorkPackages[[#This Row],[First labor date]]</f>
        <v>1</v>
      </c>
      <c r="AF1641" s="65">
        <f>tblWorkPackages[[#This Row],[Completion date serial]]-tblWorkPackages[[#This Row],[Last labor date]]</f>
        <v>3</v>
      </c>
      <c r="AG1641" s="65">
        <f>tblWorkPackages[[#This Row],[Completion date serial]]-tblWorkPackages[[#This Row],[Request date serial]]</f>
        <v>11</v>
      </c>
      <c r="AH1641" s="65">
        <f>IFERROR(INDEX(tblParts[Delay days],MATCH(tblWorkPackages[[#This Row],[Work package ID]],tblParts[Work package ID],0)),0)</f>
        <v>0</v>
      </c>
      <c r="AI1641" s="51" t="str">
        <f>IFERROR(INDEX(tblDisruptions[Event type],MATCH(tblWorkPackages[[#This Row],[Work package ID]],tblDisruptions[Work package ID],0)),"None")</f>
        <v>None</v>
      </c>
      <c r="AJ1641" s="51" t="str">
        <f>TEXT(tblWorkPackages[[#This Row],[Due date serial]],"yyyy-mm")</f>
        <v>2024-03</v>
      </c>
    </row>
    <row r="1642" spans="1:36" ht="15" x14ac:dyDescent="0.25">
      <c r="A1642" s="53" t="s">
        <v>2551</v>
      </c>
      <c r="B1642" s="53" t="s">
        <v>133</v>
      </c>
      <c r="C1642" s="53" t="s">
        <v>520</v>
      </c>
      <c r="D1642" s="53" t="s">
        <v>459</v>
      </c>
      <c r="E1642" s="53" t="s">
        <v>144</v>
      </c>
      <c r="F1642" s="53" t="s">
        <v>145</v>
      </c>
      <c r="G1642" s="53" t="s">
        <v>146</v>
      </c>
      <c r="H1642" s="53">
        <v>4</v>
      </c>
      <c r="I1642" s="53" t="s">
        <v>147</v>
      </c>
      <c r="J1642" s="53">
        <v>0</v>
      </c>
      <c r="K1642" s="53">
        <v>1</v>
      </c>
      <c r="L1642" s="53">
        <v>17.3</v>
      </c>
      <c r="M1642" s="53" t="s">
        <v>492</v>
      </c>
      <c r="N1642" s="53">
        <v>17.5</v>
      </c>
      <c r="O1642" s="51" t="str">
        <f>TEXT(tblWorkPackages[[#This Row],[Request date serial]]-WEEKDAY(tblWorkPackages[[#This Row],[Request date serial]],3),"yyyy-mm-dd")</f>
        <v>2025-08-18</v>
      </c>
      <c r="P1642" s="51">
        <f>ABS(tblWorkPackages[[#This Row],[Actual labor hours]]-tblWorkPackages[[#This Row],[Estimated labor hours]])</f>
        <v>0.199999999999999</v>
      </c>
      <c r="Q1642" s="51">
        <f>IF(tblWorkPackages[[#This Row],[Actual labor hours]]&gt;tblWorkPackages[[#This Row],[Estimated labor hours]],1,0)</f>
        <v>1</v>
      </c>
      <c r="R1642" s="51">
        <f>tblWorkPackages[[#This Row],[Actual labor hours]]-tblWorkPackages[[#This Row],[Estimated labor hours]]</f>
        <v>0.199999999999999</v>
      </c>
      <c r="S1642" s="51" t="str">
        <f>IF(tblWorkPackages[[#This Row],[Request date serial]]&lt;ValidationStart,"Train 2024",IF(tblWorkPackages[[#This Row],[Request date serial]]&lt;HoldoutStart,"Validation H1","Holdout H2"))</f>
        <v>Holdout H2</v>
      </c>
      <c r="T1642" s="51">
        <f>IF(tblWorkPackages[[#This Row],[Time split]]="Train 2024","",tblWorkPackages[[#This Row],[Estimated labor hours]]+VLOOKUP(tblWorkPackages[[#This Row],[Task type]],'Forecast validation'!$A$14:$E$25,IF(tblWorkPackages[[#This Row],[Time split]]="Validation H1",4,5),FALSE()))</f>
        <v>18.2735483870968</v>
      </c>
      <c r="U1642" s="51">
        <f>IF(tblWorkPackages[[#This Row],[Calibrated forecast hours]]="","",ABS(tblWorkPackages[[#This Row],[Actual labor hours]]-tblWorkPackages[[#This Row],[Calibrated forecast hours]]))</f>
        <v>0.773548387096774</v>
      </c>
      <c r="V1642" s="51">
        <f>IF(tblWorkPackages[[#This Row],[Time split]]="Train 2024",tblWorkPackages[[#This Row],[Estimated labor hours]],tblWorkPackages[[#This Row],[Calibrated forecast hours]])</f>
        <v>18.2735483870968</v>
      </c>
      <c r="W1642" s="64">
        <f>DATEVALUE(tblWorkPackages[[#This Row],[Request date]])</f>
        <v>45890.0</v>
      </c>
      <c r="X1642" s="64">
        <f>DATEVALUE(tblWorkPackages[[#This Row],[Due date]])</f>
        <v>45892.0</v>
      </c>
      <c r="Y1642" s="64">
        <f>DATEVALUE(tblWorkPackages[[#This Row],[Completion date]])</f>
        <v>45894.0</v>
      </c>
      <c r="Z1642" s="64">
        <f>_xlfn.MINIFS(tblLaborEntries[Work date serial],tblLaborEntries[Work package ID],tblWorkPackages[[#This Row],[Work package ID]])</f>
        <v>45892.0</v>
      </c>
      <c r="AA1642" s="64">
        <f>_xlfn.MAXIFS(tblLaborEntries[Work date serial],tblLaborEntries[Work package ID],tblWorkPackages[[#This Row],[Work package ID]])</f>
        <v>45894.0</v>
      </c>
      <c r="AB1642" s="65">
        <f>IF(tblWorkPackages[[#This Row],[Completion date serial]]&gt;tblWorkPackages[[#This Row],[Due date serial]],1,0)</f>
        <v>1</v>
      </c>
      <c r="AC1642" s="65">
        <f>MAX(0,tblWorkPackages[[#This Row],[Completion date serial]]-tblWorkPackages[[#This Row],[Due date serial]])</f>
        <v>2</v>
      </c>
      <c r="AD1642" s="65">
        <f>tblWorkPackages[[#This Row],[First labor date]]-tblWorkPackages[[#This Row],[Request date serial]]</f>
        <v>2</v>
      </c>
      <c r="AE1642" s="65">
        <f>tblWorkPackages[[#This Row],[Last labor date]]-tblWorkPackages[[#This Row],[First labor date]]</f>
        <v>2</v>
      </c>
      <c r="AF1642" s="65">
        <f>tblWorkPackages[[#This Row],[Completion date serial]]-tblWorkPackages[[#This Row],[Last labor date]]</f>
        <v>0</v>
      </c>
      <c r="AG1642" s="65">
        <f>tblWorkPackages[[#This Row],[Completion date serial]]-tblWorkPackages[[#This Row],[Request date serial]]</f>
        <v>4</v>
      </c>
      <c r="AH1642" s="65">
        <f>IFERROR(INDEX(tblParts[Delay days],MATCH(tblWorkPackages[[#This Row],[Work package ID]],tblParts[Work package ID],0)),0)</f>
        <v>0</v>
      </c>
      <c r="AI1642" s="51" t="str">
        <f>IFERROR(INDEX(tblDisruptions[Event type],MATCH(tblWorkPackages[[#This Row],[Work package ID]],tblDisruptions[Work package ID],0)),"None")</f>
        <v>None</v>
      </c>
      <c r="AJ1642" s="51" t="str">
        <f>TEXT(tblWorkPackages[[#This Row],[Due date serial]],"yyyy-mm")</f>
        <v>2025-08</v>
      </c>
    </row>
    <row r="1643" spans="1:36" ht="15" x14ac:dyDescent="0.25">
      <c r="A1643" s="53" t="s">
        <v>2552</v>
      </c>
      <c r="B1643" s="53" t="s">
        <v>203</v>
      </c>
      <c r="C1643" s="53" t="s">
        <v>400</v>
      </c>
      <c r="D1643" s="53" t="s">
        <v>563</v>
      </c>
      <c r="E1643" s="53" t="s">
        <v>209</v>
      </c>
      <c r="F1643" s="53" t="s">
        <v>145</v>
      </c>
      <c r="G1643" s="53" t="s">
        <v>210</v>
      </c>
      <c r="H1643" s="53">
        <v>3</v>
      </c>
      <c r="I1643" s="53" t="s">
        <v>130</v>
      </c>
      <c r="J1643" s="53">
        <v>0</v>
      </c>
      <c r="K1643" s="53">
        <v>0</v>
      </c>
      <c r="L1643" s="53">
        <v>29.1</v>
      </c>
      <c r="M1643" s="53" t="s">
        <v>703</v>
      </c>
      <c r="N1643" s="53">
        <v>37.200000000000003</v>
      </c>
      <c r="O1643" s="51" t="str">
        <f>TEXT(tblWorkPackages[[#This Row],[Request date serial]]-WEEKDAY(tblWorkPackages[[#This Row],[Request date serial]],3),"yyyy-mm-dd")</f>
        <v>2024-05-20</v>
      </c>
      <c r="P1643" s="51">
        <f>ABS(tblWorkPackages[[#This Row],[Actual labor hours]]-tblWorkPackages[[#This Row],[Estimated labor hours]])</f>
        <v>8.1</v>
      </c>
      <c r="Q1643" s="51">
        <f>IF(tblWorkPackages[[#This Row],[Actual labor hours]]&gt;tblWorkPackages[[#This Row],[Estimated labor hours]],1,0)</f>
        <v>1</v>
      </c>
      <c r="R1643" s="51">
        <f>tblWorkPackages[[#This Row],[Actual labor hours]]-tblWorkPackages[[#This Row],[Estimated labor hours]]</f>
        <v>8.1</v>
      </c>
      <c r="S1643" s="51" t="str">
        <f>IF(tblWorkPackages[[#This Row],[Request date serial]]&lt;ValidationStart,"Train 2024",IF(tblWorkPackages[[#This Row],[Request date serial]]&lt;HoldoutStart,"Validation H1","Holdout H2"))</f>
        <v>Train 2024</v>
      </c>
      <c r="T1643" s="51" t="str">
        <f>IF(tblWorkPackages[[#This Row],[Time split]]="Train 2024","",tblWorkPackages[[#This Row],[Estimated labor hours]]+VLOOKUP(tblWorkPackages[[#This Row],[Task type]],'Forecast validation'!$A$14:$E$25,IF(tblWorkPackages[[#This Row],[Time split]]="Validation H1",4,5),FALSE()))</f>
        <v/>
      </c>
      <c r="U1643" s="51" t="str">
        <f>IF(tblWorkPackages[[#This Row],[Calibrated forecast hours]]="","",ABS(tblWorkPackages[[#This Row],[Actual labor hours]]-tblWorkPackages[[#This Row],[Calibrated forecast hours]]))</f>
        <v/>
      </c>
      <c r="V1643" s="51">
        <f>IF(tblWorkPackages[[#This Row],[Time split]]="Train 2024",tblWorkPackages[[#This Row],[Estimated labor hours]],tblWorkPackages[[#This Row],[Calibrated forecast hours]])</f>
        <v>29.1</v>
      </c>
      <c r="W1643" s="64">
        <f>DATEVALUE(tblWorkPackages[[#This Row],[Request date]])</f>
        <v>45434.0</v>
      </c>
      <c r="X1643" s="64">
        <f>DATEVALUE(tblWorkPackages[[#This Row],[Due date]])</f>
        <v>45447.0</v>
      </c>
      <c r="Y1643" s="64">
        <f>DATEVALUE(tblWorkPackages[[#This Row],[Completion date]])</f>
        <v>45454.0</v>
      </c>
      <c r="Z1643" s="64">
        <f>_xlfn.MINIFS(tblLaborEntries[Work date serial],tblLaborEntries[Work package ID],tblWorkPackages[[#This Row],[Work package ID]])</f>
        <v>45451.0</v>
      </c>
      <c r="AA1643" s="64">
        <f>_xlfn.MAXIFS(tblLaborEntries[Work date serial],tblLaborEntries[Work package ID],tblWorkPackages[[#This Row],[Work package ID]])</f>
        <v>45453.0</v>
      </c>
      <c r="AB1643" s="65">
        <f>IF(tblWorkPackages[[#This Row],[Completion date serial]]&gt;tblWorkPackages[[#This Row],[Due date serial]],1,0)</f>
        <v>1</v>
      </c>
      <c r="AC1643" s="65">
        <f>MAX(0,tblWorkPackages[[#This Row],[Completion date serial]]-tblWorkPackages[[#This Row],[Due date serial]])</f>
        <v>7</v>
      </c>
      <c r="AD1643" s="65">
        <f>tblWorkPackages[[#This Row],[First labor date]]-tblWorkPackages[[#This Row],[Request date serial]]</f>
        <v>17</v>
      </c>
      <c r="AE1643" s="65">
        <f>tblWorkPackages[[#This Row],[Last labor date]]-tblWorkPackages[[#This Row],[First labor date]]</f>
        <v>2</v>
      </c>
      <c r="AF1643" s="65">
        <f>tblWorkPackages[[#This Row],[Completion date serial]]-tblWorkPackages[[#This Row],[Last labor date]]</f>
        <v>1</v>
      </c>
      <c r="AG1643" s="65">
        <f>tblWorkPackages[[#This Row],[Completion date serial]]-tblWorkPackages[[#This Row],[Request date serial]]</f>
        <v>20</v>
      </c>
      <c r="AH1643" s="65">
        <f>IFERROR(INDEX(tblParts[Delay days],MATCH(tblWorkPackages[[#This Row],[Work package ID]],tblParts[Work package ID],0)),0)</f>
        <v>0</v>
      </c>
      <c r="AI1643" s="51" t="str">
        <f>IFERROR(INDEX(tblDisruptions[Event type],MATCH(tblWorkPackages[[#This Row],[Work package ID]],tblDisruptions[Work package ID],0)),"None")</f>
        <v>None</v>
      </c>
      <c r="AJ1643" s="51" t="str">
        <f>TEXT(tblWorkPackages[[#This Row],[Due date serial]],"yyyy-mm")</f>
        <v>2024-06</v>
      </c>
    </row>
    <row r="1644" spans="1:36" ht="15" x14ac:dyDescent="0.25">
      <c r="A1644" s="53" t="s">
        <v>2553</v>
      </c>
      <c r="B1644" s="53" t="s">
        <v>124</v>
      </c>
      <c r="C1644" s="53" t="s">
        <v>552</v>
      </c>
      <c r="D1644" s="53" t="s">
        <v>1354</v>
      </c>
      <c r="E1644" s="53" t="s">
        <v>237</v>
      </c>
      <c r="F1644" s="53" t="s">
        <v>182</v>
      </c>
      <c r="G1644" s="53" t="s">
        <v>138</v>
      </c>
      <c r="H1644" s="53">
        <v>1</v>
      </c>
      <c r="I1644" s="53" t="s">
        <v>176</v>
      </c>
      <c r="J1644" s="53">
        <v>0</v>
      </c>
      <c r="K1644" s="53">
        <v>1</v>
      </c>
      <c r="L1644" s="53">
        <v>3.5</v>
      </c>
      <c r="M1644" s="53" t="s">
        <v>1089</v>
      </c>
      <c r="N1644" s="53">
        <v>2.8</v>
      </c>
      <c r="O1644" s="51" t="str">
        <f>TEXT(tblWorkPackages[[#This Row],[Request date serial]]-WEEKDAY(tblWorkPackages[[#This Row],[Request date serial]],3),"yyyy-mm-dd")</f>
        <v>2024-07-22</v>
      </c>
      <c r="P1644" s="51">
        <f>ABS(tblWorkPackages[[#This Row],[Actual labor hours]]-tblWorkPackages[[#This Row],[Estimated labor hours]])</f>
        <v>0.7</v>
      </c>
      <c r="Q1644" s="51">
        <f>IF(tblWorkPackages[[#This Row],[Actual labor hours]]&gt;tblWorkPackages[[#This Row],[Estimated labor hours]],1,0)</f>
        <v>0</v>
      </c>
      <c r="R1644" s="51">
        <f>tblWorkPackages[[#This Row],[Actual labor hours]]-tblWorkPackages[[#This Row],[Estimated labor hours]]</f>
        <v>-0.7</v>
      </c>
      <c r="S1644" s="51" t="str">
        <f>IF(tblWorkPackages[[#This Row],[Request date serial]]&lt;ValidationStart,"Train 2024",IF(tblWorkPackages[[#This Row],[Request date serial]]&lt;HoldoutStart,"Validation H1","Holdout H2"))</f>
        <v>Train 2024</v>
      </c>
      <c r="T1644" s="51" t="str">
        <f>IF(tblWorkPackages[[#This Row],[Time split]]="Train 2024","",tblWorkPackages[[#This Row],[Estimated labor hours]]+VLOOKUP(tblWorkPackages[[#This Row],[Task type]],'Forecast validation'!$A$14:$E$25,IF(tblWorkPackages[[#This Row],[Time split]]="Validation H1",4,5),FALSE()))</f>
        <v/>
      </c>
      <c r="U1644" s="51" t="str">
        <f>IF(tblWorkPackages[[#This Row],[Calibrated forecast hours]]="","",ABS(tblWorkPackages[[#This Row],[Actual labor hours]]-tblWorkPackages[[#This Row],[Calibrated forecast hours]]))</f>
        <v/>
      </c>
      <c r="V1644" s="51">
        <f>IF(tblWorkPackages[[#This Row],[Time split]]="Train 2024",tblWorkPackages[[#This Row],[Estimated labor hours]],tblWorkPackages[[#This Row],[Calibrated forecast hours]])</f>
        <v>3.5</v>
      </c>
      <c r="W1644" s="64">
        <f>DATEVALUE(tblWorkPackages[[#This Row],[Request date]])</f>
        <v>45498.0</v>
      </c>
      <c r="X1644" s="64">
        <f>DATEVALUE(tblWorkPackages[[#This Row],[Due date]])</f>
        <v>45504.0</v>
      </c>
      <c r="Y1644" s="64">
        <f>DATEVALUE(tblWorkPackages[[#This Row],[Completion date]])</f>
        <v>45505.0</v>
      </c>
      <c r="Z1644" s="64">
        <f>_xlfn.MINIFS(tblLaborEntries[Work date serial],tblLaborEntries[Work package ID],tblWorkPackages[[#This Row],[Work package ID]])</f>
        <v>45502.0</v>
      </c>
      <c r="AA1644" s="64">
        <f>_xlfn.MAXIFS(tblLaborEntries[Work date serial],tblLaborEntries[Work package ID],tblWorkPackages[[#This Row],[Work package ID]])</f>
        <v>45503.0</v>
      </c>
      <c r="AB1644" s="65">
        <f>IF(tblWorkPackages[[#This Row],[Completion date serial]]&gt;tblWorkPackages[[#This Row],[Due date serial]],1,0)</f>
        <v>1</v>
      </c>
      <c r="AC1644" s="65">
        <f>MAX(0,tblWorkPackages[[#This Row],[Completion date serial]]-tblWorkPackages[[#This Row],[Due date serial]])</f>
        <v>1</v>
      </c>
      <c r="AD1644" s="65">
        <f>tblWorkPackages[[#This Row],[First labor date]]-tblWorkPackages[[#This Row],[Request date serial]]</f>
        <v>4</v>
      </c>
      <c r="AE1644" s="65">
        <f>tblWorkPackages[[#This Row],[Last labor date]]-tblWorkPackages[[#This Row],[First labor date]]</f>
        <v>1</v>
      </c>
      <c r="AF1644" s="65">
        <f>tblWorkPackages[[#This Row],[Completion date serial]]-tblWorkPackages[[#This Row],[Last labor date]]</f>
        <v>2</v>
      </c>
      <c r="AG1644" s="65">
        <f>tblWorkPackages[[#This Row],[Completion date serial]]-tblWorkPackages[[#This Row],[Request date serial]]</f>
        <v>7</v>
      </c>
      <c r="AH1644" s="65">
        <f>IFERROR(INDEX(tblParts[Delay days],MATCH(tblWorkPackages[[#This Row],[Work package ID]],tblParts[Work package ID],0)),0)</f>
        <v>0</v>
      </c>
      <c r="AI1644" s="51" t="str">
        <f>IFERROR(INDEX(tblDisruptions[Event type],MATCH(tblWorkPackages[[#This Row],[Work package ID]],tblDisruptions[Work package ID],0)),"None")</f>
        <v>None</v>
      </c>
      <c r="AJ1644" s="51" t="str">
        <f>TEXT(tblWorkPackages[[#This Row],[Due date serial]],"yyyy-mm")</f>
        <v>2024-07</v>
      </c>
    </row>
    <row r="1645" spans="1:36" ht="15" x14ac:dyDescent="0.25">
      <c r="A1645" s="53" t="s">
        <v>2554</v>
      </c>
      <c r="B1645" s="53" t="s">
        <v>150</v>
      </c>
      <c r="C1645" s="53" t="s">
        <v>957</v>
      </c>
      <c r="D1645" s="53" t="s">
        <v>304</v>
      </c>
      <c r="E1645" s="53" t="s">
        <v>209</v>
      </c>
      <c r="F1645" s="53" t="s">
        <v>145</v>
      </c>
      <c r="G1645" s="53" t="s">
        <v>210</v>
      </c>
      <c r="H1645" s="53">
        <v>2</v>
      </c>
      <c r="I1645" s="53" t="s">
        <v>176</v>
      </c>
      <c r="J1645" s="53">
        <v>0</v>
      </c>
      <c r="K1645" s="53">
        <v>0</v>
      </c>
      <c r="L1645" s="53">
        <v>23.4</v>
      </c>
      <c r="M1645" s="53" t="s">
        <v>304</v>
      </c>
      <c r="N1645" s="53">
        <v>24.2</v>
      </c>
      <c r="O1645" s="51" t="str">
        <f>TEXT(tblWorkPackages[[#This Row],[Request date serial]]-WEEKDAY(tblWorkPackages[[#This Row],[Request date serial]],3),"yyyy-mm-dd")</f>
        <v>2024-06-17</v>
      </c>
      <c r="P1645" s="51">
        <f>ABS(tblWorkPackages[[#This Row],[Actual labor hours]]-tblWorkPackages[[#This Row],[Estimated labor hours]])</f>
        <v>0.800000000000001</v>
      </c>
      <c r="Q1645" s="51">
        <f>IF(tblWorkPackages[[#This Row],[Actual labor hours]]&gt;tblWorkPackages[[#This Row],[Estimated labor hours]],1,0)</f>
        <v>1</v>
      </c>
      <c r="R1645" s="51">
        <f>tblWorkPackages[[#This Row],[Actual labor hours]]-tblWorkPackages[[#This Row],[Estimated labor hours]]</f>
        <v>0.800000000000001</v>
      </c>
      <c r="S1645" s="51" t="str">
        <f>IF(tblWorkPackages[[#This Row],[Request date serial]]&lt;ValidationStart,"Train 2024",IF(tblWorkPackages[[#This Row],[Request date serial]]&lt;HoldoutStart,"Validation H1","Holdout H2"))</f>
        <v>Train 2024</v>
      </c>
      <c r="T1645" s="51" t="str">
        <f>IF(tblWorkPackages[[#This Row],[Time split]]="Train 2024","",tblWorkPackages[[#This Row],[Estimated labor hours]]+VLOOKUP(tblWorkPackages[[#This Row],[Task type]],'Forecast validation'!$A$14:$E$25,IF(tblWorkPackages[[#This Row],[Time split]]="Validation H1",4,5),FALSE()))</f>
        <v/>
      </c>
      <c r="U1645" s="51" t="str">
        <f>IF(tblWorkPackages[[#This Row],[Calibrated forecast hours]]="","",ABS(tblWorkPackages[[#This Row],[Actual labor hours]]-tblWorkPackages[[#This Row],[Calibrated forecast hours]]))</f>
        <v/>
      </c>
      <c r="V1645" s="51">
        <f>IF(tblWorkPackages[[#This Row],[Time split]]="Train 2024",tblWorkPackages[[#This Row],[Estimated labor hours]],tblWorkPackages[[#This Row],[Calibrated forecast hours]])</f>
        <v>23.4</v>
      </c>
      <c r="W1645" s="64">
        <f>DATEVALUE(tblWorkPackages[[#This Row],[Request date]])</f>
        <v>45464.0</v>
      </c>
      <c r="X1645" s="64">
        <f>DATEVALUE(tblWorkPackages[[#This Row],[Due date]])</f>
        <v>45470.0</v>
      </c>
      <c r="Y1645" s="64">
        <f>DATEVALUE(tblWorkPackages[[#This Row],[Completion date]])</f>
        <v>45470.0</v>
      </c>
      <c r="Z1645" s="64">
        <f>_xlfn.MINIFS(tblLaborEntries[Work date serial],tblLaborEntries[Work package ID],tblWorkPackages[[#This Row],[Work package ID]])</f>
        <v>45465.0</v>
      </c>
      <c r="AA1645" s="64">
        <f>_xlfn.MAXIFS(tblLaborEntries[Work date serial],tblLaborEntries[Work package ID],tblWorkPackages[[#This Row],[Work package ID]])</f>
        <v>45467.0</v>
      </c>
      <c r="AB1645" s="65">
        <f>IF(tblWorkPackages[[#This Row],[Completion date serial]]&gt;tblWorkPackages[[#This Row],[Due date serial]],1,0)</f>
        <v>0</v>
      </c>
      <c r="AC1645" s="65">
        <f>MAX(0,tblWorkPackages[[#This Row],[Completion date serial]]-tblWorkPackages[[#This Row],[Due date serial]])</f>
        <v>0</v>
      </c>
      <c r="AD1645" s="65">
        <f>tblWorkPackages[[#This Row],[First labor date]]-tblWorkPackages[[#This Row],[Request date serial]]</f>
        <v>1</v>
      </c>
      <c r="AE1645" s="65">
        <f>tblWorkPackages[[#This Row],[Last labor date]]-tblWorkPackages[[#This Row],[First labor date]]</f>
        <v>2</v>
      </c>
      <c r="AF1645" s="65">
        <f>tblWorkPackages[[#This Row],[Completion date serial]]-tblWorkPackages[[#This Row],[Last labor date]]</f>
        <v>3</v>
      </c>
      <c r="AG1645" s="65">
        <f>tblWorkPackages[[#This Row],[Completion date serial]]-tblWorkPackages[[#This Row],[Request date serial]]</f>
        <v>6</v>
      </c>
      <c r="AH1645" s="65">
        <f>IFERROR(INDEX(tblParts[Delay days],MATCH(tblWorkPackages[[#This Row],[Work package ID]],tblParts[Work package ID],0)),0)</f>
        <v>0</v>
      </c>
      <c r="AI1645" s="51" t="str">
        <f>IFERROR(INDEX(tblDisruptions[Event type],MATCH(tblWorkPackages[[#This Row],[Work package ID]],tblDisruptions[Work package ID],0)),"None")</f>
        <v>None</v>
      </c>
      <c r="AJ1645" s="51" t="str">
        <f>TEXT(tblWorkPackages[[#This Row],[Due date serial]],"yyyy-mm")</f>
        <v>2024-06</v>
      </c>
    </row>
    <row r="1646" spans="1:36" ht="15" x14ac:dyDescent="0.25">
      <c r="A1646" s="53" t="s">
        <v>2555</v>
      </c>
      <c r="B1646" s="53" t="s">
        <v>168</v>
      </c>
      <c r="C1646" s="53" t="s">
        <v>453</v>
      </c>
      <c r="D1646" s="53" t="s">
        <v>1315</v>
      </c>
      <c r="E1646" s="53" t="s">
        <v>209</v>
      </c>
      <c r="F1646" s="53" t="s">
        <v>145</v>
      </c>
      <c r="G1646" s="53" t="s">
        <v>210</v>
      </c>
      <c r="H1646" s="53">
        <v>1</v>
      </c>
      <c r="I1646" s="53" t="s">
        <v>130</v>
      </c>
      <c r="J1646" s="53">
        <v>0</v>
      </c>
      <c r="K1646" s="53">
        <v>1</v>
      </c>
      <c r="L1646" s="53">
        <v>14.1</v>
      </c>
      <c r="M1646" s="53" t="s">
        <v>1315</v>
      </c>
      <c r="N1646" s="53">
        <v>12.1</v>
      </c>
      <c r="O1646" s="51" t="str">
        <f>TEXT(tblWorkPackages[[#This Row],[Request date serial]]-WEEKDAY(tblWorkPackages[[#This Row],[Request date serial]],3),"yyyy-mm-dd")</f>
        <v>2024-01-15</v>
      </c>
      <c r="P1646" s="51">
        <f>ABS(tblWorkPackages[[#This Row],[Actual labor hours]]-tblWorkPackages[[#This Row],[Estimated labor hours]])</f>
        <v>2</v>
      </c>
      <c r="Q1646" s="51">
        <f>IF(tblWorkPackages[[#This Row],[Actual labor hours]]&gt;tblWorkPackages[[#This Row],[Estimated labor hours]],1,0)</f>
        <v>0</v>
      </c>
      <c r="R1646" s="51">
        <f>tblWorkPackages[[#This Row],[Actual labor hours]]-tblWorkPackages[[#This Row],[Estimated labor hours]]</f>
        <v>-2</v>
      </c>
      <c r="S1646" s="51" t="str">
        <f>IF(tblWorkPackages[[#This Row],[Request date serial]]&lt;ValidationStart,"Train 2024",IF(tblWorkPackages[[#This Row],[Request date serial]]&lt;HoldoutStart,"Validation H1","Holdout H2"))</f>
        <v>Train 2024</v>
      </c>
      <c r="T1646" s="51" t="str">
        <f>IF(tblWorkPackages[[#This Row],[Time split]]="Train 2024","",tblWorkPackages[[#This Row],[Estimated labor hours]]+VLOOKUP(tblWorkPackages[[#This Row],[Task type]],'Forecast validation'!$A$14:$E$25,IF(tblWorkPackages[[#This Row],[Time split]]="Validation H1",4,5),FALSE()))</f>
        <v/>
      </c>
      <c r="U1646" s="51" t="str">
        <f>IF(tblWorkPackages[[#This Row],[Calibrated forecast hours]]="","",ABS(tblWorkPackages[[#This Row],[Actual labor hours]]-tblWorkPackages[[#This Row],[Calibrated forecast hours]]))</f>
        <v/>
      </c>
      <c r="V1646" s="51">
        <f>IF(tblWorkPackages[[#This Row],[Time split]]="Train 2024",tblWorkPackages[[#This Row],[Estimated labor hours]],tblWorkPackages[[#This Row],[Calibrated forecast hours]])</f>
        <v>14.1</v>
      </c>
      <c r="W1646" s="64">
        <f>DATEVALUE(tblWorkPackages[[#This Row],[Request date]])</f>
        <v>45307.0</v>
      </c>
      <c r="X1646" s="64">
        <f>DATEVALUE(tblWorkPackages[[#This Row],[Due date]])</f>
        <v>45320.0</v>
      </c>
      <c r="Y1646" s="64">
        <f>DATEVALUE(tblWorkPackages[[#This Row],[Completion date]])</f>
        <v>45320.0</v>
      </c>
      <c r="Z1646" s="64">
        <f>_xlfn.MINIFS(tblLaborEntries[Work date serial],tblLaborEntries[Work package ID],tblWorkPackages[[#This Row],[Work package ID]])</f>
        <v>45318.0</v>
      </c>
      <c r="AA1646" s="64">
        <f>_xlfn.MAXIFS(tblLaborEntries[Work date serial],tblLaborEntries[Work package ID],tblWorkPackages[[#This Row],[Work package ID]])</f>
        <v>45320.0</v>
      </c>
      <c r="AB1646" s="65">
        <f>IF(tblWorkPackages[[#This Row],[Completion date serial]]&gt;tblWorkPackages[[#This Row],[Due date serial]],1,0)</f>
        <v>0</v>
      </c>
      <c r="AC1646" s="65">
        <f>MAX(0,tblWorkPackages[[#This Row],[Completion date serial]]-tblWorkPackages[[#This Row],[Due date serial]])</f>
        <v>0</v>
      </c>
      <c r="AD1646" s="65">
        <f>tblWorkPackages[[#This Row],[First labor date]]-tblWorkPackages[[#This Row],[Request date serial]]</f>
        <v>11</v>
      </c>
      <c r="AE1646" s="65">
        <f>tblWorkPackages[[#This Row],[Last labor date]]-tblWorkPackages[[#This Row],[First labor date]]</f>
        <v>2</v>
      </c>
      <c r="AF1646" s="65">
        <f>tblWorkPackages[[#This Row],[Completion date serial]]-tblWorkPackages[[#This Row],[Last labor date]]</f>
        <v>0</v>
      </c>
      <c r="AG1646" s="65">
        <f>tblWorkPackages[[#This Row],[Completion date serial]]-tblWorkPackages[[#This Row],[Request date serial]]</f>
        <v>13</v>
      </c>
      <c r="AH1646" s="65">
        <f>IFERROR(INDEX(tblParts[Delay days],MATCH(tblWorkPackages[[#This Row],[Work package ID]],tblParts[Work package ID],0)),0)</f>
        <v>0</v>
      </c>
      <c r="AI1646" s="51" t="str">
        <f>IFERROR(INDEX(tblDisruptions[Event type],MATCH(tblWorkPackages[[#This Row],[Work package ID]],tblDisruptions[Work package ID],0)),"None")</f>
        <v>None</v>
      </c>
      <c r="AJ1646" s="51" t="str">
        <f>TEXT(tblWorkPackages[[#This Row],[Due date serial]],"yyyy-mm")</f>
        <v>2024-01</v>
      </c>
    </row>
    <row r="1647" spans="1:36" ht="15" x14ac:dyDescent="0.25">
      <c r="A1647" s="53" t="s">
        <v>2556</v>
      </c>
      <c r="B1647" s="53" t="s">
        <v>230</v>
      </c>
      <c r="C1647" s="53" t="s">
        <v>394</v>
      </c>
      <c r="D1647" s="53" t="s">
        <v>251</v>
      </c>
      <c r="E1647" s="53" t="s">
        <v>160</v>
      </c>
      <c r="F1647" s="53" t="s">
        <v>128</v>
      </c>
      <c r="G1647" s="53" t="s">
        <v>138</v>
      </c>
      <c r="H1647" s="53">
        <v>2</v>
      </c>
      <c r="I1647" s="53" t="s">
        <v>176</v>
      </c>
      <c r="J1647" s="53">
        <v>0</v>
      </c>
      <c r="K1647" s="53">
        <v>0</v>
      </c>
      <c r="L1647" s="53">
        <v>4.5</v>
      </c>
      <c r="M1647" s="53" t="s">
        <v>707</v>
      </c>
      <c r="N1647" s="53">
        <v>3.7</v>
      </c>
      <c r="O1647" s="51" t="str">
        <f>TEXT(tblWorkPackages[[#This Row],[Request date serial]]-WEEKDAY(tblWorkPackages[[#This Row],[Request date serial]],3),"yyyy-mm-dd")</f>
        <v>2024-12-16</v>
      </c>
      <c r="P1647" s="51">
        <f>ABS(tblWorkPackages[[#This Row],[Actual labor hours]]-tblWorkPackages[[#This Row],[Estimated labor hours]])</f>
        <v>0.8</v>
      </c>
      <c r="Q1647" s="51">
        <f>IF(tblWorkPackages[[#This Row],[Actual labor hours]]&gt;tblWorkPackages[[#This Row],[Estimated labor hours]],1,0)</f>
        <v>0</v>
      </c>
      <c r="R1647" s="51">
        <f>tblWorkPackages[[#This Row],[Actual labor hours]]-tblWorkPackages[[#This Row],[Estimated labor hours]]</f>
        <v>-0.8</v>
      </c>
      <c r="S1647" s="51" t="str">
        <f>IF(tblWorkPackages[[#This Row],[Request date serial]]&lt;ValidationStart,"Train 2024",IF(tblWorkPackages[[#This Row],[Request date serial]]&lt;HoldoutStart,"Validation H1","Holdout H2"))</f>
        <v>Train 2024</v>
      </c>
      <c r="T1647" s="51" t="str">
        <f>IF(tblWorkPackages[[#This Row],[Time split]]="Train 2024","",tblWorkPackages[[#This Row],[Estimated labor hours]]+VLOOKUP(tblWorkPackages[[#This Row],[Task type]],'Forecast validation'!$A$14:$E$25,IF(tblWorkPackages[[#This Row],[Time split]]="Validation H1",4,5),FALSE()))</f>
        <v/>
      </c>
      <c r="U1647" s="51" t="str">
        <f>IF(tblWorkPackages[[#This Row],[Calibrated forecast hours]]="","",ABS(tblWorkPackages[[#This Row],[Actual labor hours]]-tblWorkPackages[[#This Row],[Calibrated forecast hours]]))</f>
        <v/>
      </c>
      <c r="V1647" s="51">
        <f>IF(tblWorkPackages[[#This Row],[Time split]]="Train 2024",tblWorkPackages[[#This Row],[Estimated labor hours]],tblWorkPackages[[#This Row],[Calibrated forecast hours]])</f>
        <v>4.5</v>
      </c>
      <c r="W1647" s="64">
        <f>DATEVALUE(tblWorkPackages[[#This Row],[Request date]])</f>
        <v>45646.0</v>
      </c>
      <c r="X1647" s="64">
        <f>DATEVALUE(tblWorkPackages[[#This Row],[Due date]])</f>
        <v>45652.0</v>
      </c>
      <c r="Y1647" s="64">
        <f>DATEVALUE(tblWorkPackages[[#This Row],[Completion date]])</f>
        <v>45650.0</v>
      </c>
      <c r="Z1647" s="64">
        <f>_xlfn.MINIFS(tblLaborEntries[Work date serial],tblLaborEntries[Work package ID],tblWorkPackages[[#This Row],[Work package ID]])</f>
        <v>45649.0</v>
      </c>
      <c r="AA1647" s="64">
        <f>_xlfn.MAXIFS(tblLaborEntries[Work date serial],tblLaborEntries[Work package ID],tblWorkPackages[[#This Row],[Work package ID]])</f>
        <v>45649.0</v>
      </c>
      <c r="AB1647" s="65">
        <f>IF(tblWorkPackages[[#This Row],[Completion date serial]]&gt;tblWorkPackages[[#This Row],[Due date serial]],1,0)</f>
        <v>0</v>
      </c>
      <c r="AC1647" s="65">
        <f>MAX(0,tblWorkPackages[[#This Row],[Completion date serial]]-tblWorkPackages[[#This Row],[Due date serial]])</f>
        <v>0</v>
      </c>
      <c r="AD1647" s="65">
        <f>tblWorkPackages[[#This Row],[First labor date]]-tblWorkPackages[[#This Row],[Request date serial]]</f>
        <v>3</v>
      </c>
      <c r="AE1647" s="65">
        <f>tblWorkPackages[[#This Row],[Last labor date]]-tblWorkPackages[[#This Row],[First labor date]]</f>
        <v>0</v>
      </c>
      <c r="AF1647" s="65">
        <f>tblWorkPackages[[#This Row],[Completion date serial]]-tblWorkPackages[[#This Row],[Last labor date]]</f>
        <v>1</v>
      </c>
      <c r="AG1647" s="65">
        <f>tblWorkPackages[[#This Row],[Completion date serial]]-tblWorkPackages[[#This Row],[Request date serial]]</f>
        <v>4</v>
      </c>
      <c r="AH1647" s="65">
        <f>IFERROR(INDEX(tblParts[Delay days],MATCH(tblWorkPackages[[#This Row],[Work package ID]],tblParts[Work package ID],0)),0)</f>
        <v>0</v>
      </c>
      <c r="AI1647" s="51" t="str">
        <f>IFERROR(INDEX(tblDisruptions[Event type],MATCH(tblWorkPackages[[#This Row],[Work package ID]],tblDisruptions[Work package ID],0)),"None")</f>
        <v>None</v>
      </c>
      <c r="AJ1647" s="51" t="str">
        <f>TEXT(tblWorkPackages[[#This Row],[Due date serial]],"yyyy-mm")</f>
        <v>2024-12</v>
      </c>
    </row>
    <row r="1648" spans="1:36" ht="15" x14ac:dyDescent="0.25">
      <c r="A1648" s="53" t="s">
        <v>2557</v>
      </c>
      <c r="B1648" s="53" t="s">
        <v>163</v>
      </c>
      <c r="C1648" s="53" t="s">
        <v>746</v>
      </c>
      <c r="D1648" s="53" t="s">
        <v>658</v>
      </c>
      <c r="E1648" s="53" t="s">
        <v>237</v>
      </c>
      <c r="F1648" s="53" t="s">
        <v>182</v>
      </c>
      <c r="G1648" s="53" t="s">
        <v>138</v>
      </c>
      <c r="H1648" s="53">
        <v>2</v>
      </c>
      <c r="I1648" s="53" t="s">
        <v>130</v>
      </c>
      <c r="J1648" s="53">
        <v>0</v>
      </c>
      <c r="K1648" s="53">
        <v>1</v>
      </c>
      <c r="L1648" s="53">
        <v>5</v>
      </c>
      <c r="M1648" s="53" t="s">
        <v>492</v>
      </c>
      <c r="N1648" s="53">
        <v>4</v>
      </c>
      <c r="O1648" s="51" t="str">
        <f>TEXT(tblWorkPackages[[#This Row],[Request date serial]]-WEEKDAY(tblWorkPackages[[#This Row],[Request date serial]],3),"yyyy-mm-dd")</f>
        <v>2025-07-21</v>
      </c>
      <c r="P1648" s="51">
        <f>ABS(tblWorkPackages[[#This Row],[Actual labor hours]]-tblWorkPackages[[#This Row],[Estimated labor hours]])</f>
        <v>1</v>
      </c>
      <c r="Q1648" s="51">
        <f>IF(tblWorkPackages[[#This Row],[Actual labor hours]]&gt;tblWorkPackages[[#This Row],[Estimated labor hours]],1,0)</f>
        <v>0</v>
      </c>
      <c r="R1648" s="51">
        <f>tblWorkPackages[[#This Row],[Actual labor hours]]-tblWorkPackages[[#This Row],[Estimated labor hours]]</f>
        <v>-1</v>
      </c>
      <c r="S1648" s="51" t="str">
        <f>IF(tblWorkPackages[[#This Row],[Request date serial]]&lt;ValidationStart,"Train 2024",IF(tblWorkPackages[[#This Row],[Request date serial]]&lt;HoldoutStart,"Validation H1","Holdout H2"))</f>
        <v>Holdout H2</v>
      </c>
      <c r="T1648" s="51">
        <f>IF(tblWorkPackages[[#This Row],[Time split]]="Train 2024","",tblWorkPackages[[#This Row],[Estimated labor hours]]+VLOOKUP(tblWorkPackages[[#This Row],[Task type]],'Forecast validation'!$A$14:$E$25,IF(tblWorkPackages[[#This Row],[Time split]]="Validation H1",4,5),FALSE()))</f>
        <v>5.453125</v>
      </c>
      <c r="U1648" s="51">
        <f>IF(tblWorkPackages[[#This Row],[Calibrated forecast hours]]="","",ABS(tblWorkPackages[[#This Row],[Actual labor hours]]-tblWorkPackages[[#This Row],[Calibrated forecast hours]]))</f>
        <v>1.453125</v>
      </c>
      <c r="V1648" s="51">
        <f>IF(tblWorkPackages[[#This Row],[Time split]]="Train 2024",tblWorkPackages[[#This Row],[Estimated labor hours]],tblWorkPackages[[#This Row],[Calibrated forecast hours]])</f>
        <v>5.453125</v>
      </c>
      <c r="W1648" s="64">
        <f>DATEVALUE(tblWorkPackages[[#This Row],[Request date]])</f>
        <v>45860.0</v>
      </c>
      <c r="X1648" s="64">
        <f>DATEVALUE(tblWorkPackages[[#This Row],[Due date]])</f>
        <v>45873.0</v>
      </c>
      <c r="Y1648" s="64">
        <f>DATEVALUE(tblWorkPackages[[#This Row],[Completion date]])</f>
        <v>45894.0</v>
      </c>
      <c r="Z1648" s="64">
        <f>_xlfn.MINIFS(tblLaborEntries[Work date serial],tblLaborEntries[Work package ID],tblWorkPackages[[#This Row],[Work package ID]])</f>
        <v>45890.0</v>
      </c>
      <c r="AA1648" s="64">
        <f>_xlfn.MAXIFS(tblLaborEntries[Work date serial],tblLaborEntries[Work package ID],tblWorkPackages[[#This Row],[Work package ID]])</f>
        <v>45892.0</v>
      </c>
      <c r="AB1648" s="65">
        <f>IF(tblWorkPackages[[#This Row],[Completion date serial]]&gt;tblWorkPackages[[#This Row],[Due date serial]],1,0)</f>
        <v>1</v>
      </c>
      <c r="AC1648" s="65">
        <f>MAX(0,tblWorkPackages[[#This Row],[Completion date serial]]-tblWorkPackages[[#This Row],[Due date serial]])</f>
        <v>21</v>
      </c>
      <c r="AD1648" s="65">
        <f>tblWorkPackages[[#This Row],[First labor date]]-tblWorkPackages[[#This Row],[Request date serial]]</f>
        <v>30</v>
      </c>
      <c r="AE1648" s="65">
        <f>tblWorkPackages[[#This Row],[Last labor date]]-tblWorkPackages[[#This Row],[First labor date]]</f>
        <v>2</v>
      </c>
      <c r="AF1648" s="65">
        <f>tblWorkPackages[[#This Row],[Completion date serial]]-tblWorkPackages[[#This Row],[Last labor date]]</f>
        <v>2</v>
      </c>
      <c r="AG1648" s="65">
        <f>tblWorkPackages[[#This Row],[Completion date serial]]-tblWorkPackages[[#This Row],[Request date serial]]</f>
        <v>34</v>
      </c>
      <c r="AH1648" s="65">
        <f>IFERROR(INDEX(tblParts[Delay days],MATCH(tblWorkPackages[[#This Row],[Work package ID]],tblParts[Work package ID],0)),0)</f>
        <v>0</v>
      </c>
      <c r="AI1648" s="51" t="str">
        <f>IFERROR(INDEX(tblDisruptions[Event type],MATCH(tblWorkPackages[[#This Row],[Work package ID]],tblDisruptions[Work package ID],0)),"None")</f>
        <v>None</v>
      </c>
      <c r="AJ1648" s="51" t="str">
        <f>TEXT(tblWorkPackages[[#This Row],[Due date serial]],"yyyy-mm")</f>
        <v>2025-08</v>
      </c>
    </row>
    <row r="1649" spans="1:36" ht="15" x14ac:dyDescent="0.25">
      <c r="A1649" s="53" t="s">
        <v>2558</v>
      </c>
      <c r="B1649" s="53" t="s">
        <v>203</v>
      </c>
      <c r="C1649" s="53" t="s">
        <v>757</v>
      </c>
      <c r="D1649" s="53" t="s">
        <v>1404</v>
      </c>
      <c r="E1649" s="53" t="s">
        <v>200</v>
      </c>
      <c r="F1649" s="53" t="s">
        <v>128</v>
      </c>
      <c r="G1649" s="53" t="s">
        <v>129</v>
      </c>
      <c r="H1649" s="53">
        <v>4</v>
      </c>
      <c r="I1649" s="53" t="s">
        <v>147</v>
      </c>
      <c r="J1649" s="53">
        <v>0</v>
      </c>
      <c r="K1649" s="53">
        <v>0</v>
      </c>
      <c r="L1649" s="53">
        <v>4.5999999999999996</v>
      </c>
      <c r="M1649" s="53" t="s">
        <v>788</v>
      </c>
      <c r="N1649" s="53">
        <v>5</v>
      </c>
      <c r="O1649" s="51" t="str">
        <f>TEXT(tblWorkPackages[[#This Row],[Request date serial]]-WEEKDAY(tblWorkPackages[[#This Row],[Request date serial]],3),"yyyy-mm-dd")</f>
        <v>2024-09-16</v>
      </c>
      <c r="P1649" s="51">
        <f>ABS(tblWorkPackages[[#This Row],[Actual labor hours]]-tblWorkPackages[[#This Row],[Estimated labor hours]])</f>
        <v>0.4</v>
      </c>
      <c r="Q1649" s="51">
        <f>IF(tblWorkPackages[[#This Row],[Actual labor hours]]&gt;tblWorkPackages[[#This Row],[Estimated labor hours]],1,0)</f>
        <v>1</v>
      </c>
      <c r="R1649" s="51">
        <f>tblWorkPackages[[#This Row],[Actual labor hours]]-tblWorkPackages[[#This Row],[Estimated labor hours]]</f>
        <v>0.4</v>
      </c>
      <c r="S1649" s="51" t="str">
        <f>IF(tblWorkPackages[[#This Row],[Request date serial]]&lt;ValidationStart,"Train 2024",IF(tblWorkPackages[[#This Row],[Request date serial]]&lt;HoldoutStart,"Validation H1","Holdout H2"))</f>
        <v>Train 2024</v>
      </c>
      <c r="T1649" s="51" t="str">
        <f>IF(tblWorkPackages[[#This Row],[Time split]]="Train 2024","",tblWorkPackages[[#This Row],[Estimated labor hours]]+VLOOKUP(tblWorkPackages[[#This Row],[Task type]],'Forecast validation'!$A$14:$E$25,IF(tblWorkPackages[[#This Row],[Time split]]="Validation H1",4,5),FALSE()))</f>
        <v/>
      </c>
      <c r="U1649" s="51" t="str">
        <f>IF(tblWorkPackages[[#This Row],[Calibrated forecast hours]]="","",ABS(tblWorkPackages[[#This Row],[Actual labor hours]]-tblWorkPackages[[#This Row],[Calibrated forecast hours]]))</f>
        <v/>
      </c>
      <c r="V1649" s="51">
        <f>IF(tblWorkPackages[[#This Row],[Time split]]="Train 2024",tblWorkPackages[[#This Row],[Estimated labor hours]],tblWorkPackages[[#This Row],[Calibrated forecast hours]])</f>
        <v>4.6</v>
      </c>
      <c r="W1649" s="64">
        <f>DATEVALUE(tblWorkPackages[[#This Row],[Request date]])</f>
        <v>45557.0</v>
      </c>
      <c r="X1649" s="64">
        <f>DATEVALUE(tblWorkPackages[[#This Row],[Due date]])</f>
        <v>45559.0</v>
      </c>
      <c r="Y1649" s="64">
        <f>DATEVALUE(tblWorkPackages[[#This Row],[Completion date]])</f>
        <v>45566.0</v>
      </c>
      <c r="Z1649" s="64">
        <f>_xlfn.MINIFS(tblLaborEntries[Work date serial],tblLaborEntries[Work package ID],tblWorkPackages[[#This Row],[Work package ID]])</f>
        <v>45562.0</v>
      </c>
      <c r="AA1649" s="64">
        <f>_xlfn.MAXIFS(tblLaborEntries[Work date serial],tblLaborEntries[Work package ID],tblWorkPackages[[#This Row],[Work package ID]])</f>
        <v>45563.0</v>
      </c>
      <c r="AB1649" s="65">
        <f>IF(tblWorkPackages[[#This Row],[Completion date serial]]&gt;tblWorkPackages[[#This Row],[Due date serial]],1,0)</f>
        <v>1</v>
      </c>
      <c r="AC1649" s="65">
        <f>MAX(0,tblWorkPackages[[#This Row],[Completion date serial]]-tblWorkPackages[[#This Row],[Due date serial]])</f>
        <v>7</v>
      </c>
      <c r="AD1649" s="65">
        <f>tblWorkPackages[[#This Row],[First labor date]]-tblWorkPackages[[#This Row],[Request date serial]]</f>
        <v>5</v>
      </c>
      <c r="AE1649" s="65">
        <f>tblWorkPackages[[#This Row],[Last labor date]]-tblWorkPackages[[#This Row],[First labor date]]</f>
        <v>1</v>
      </c>
      <c r="AF1649" s="65">
        <f>tblWorkPackages[[#This Row],[Completion date serial]]-tblWorkPackages[[#This Row],[Last labor date]]</f>
        <v>3</v>
      </c>
      <c r="AG1649" s="65">
        <f>tblWorkPackages[[#This Row],[Completion date serial]]-tblWorkPackages[[#This Row],[Request date serial]]</f>
        <v>9</v>
      </c>
      <c r="AH1649" s="65">
        <f>IFERROR(INDEX(tblParts[Delay days],MATCH(tblWorkPackages[[#This Row],[Work package ID]],tblParts[Work package ID],0)),0)</f>
        <v>0</v>
      </c>
      <c r="AI1649" s="51" t="str">
        <f>IFERROR(INDEX(tblDisruptions[Event type],MATCH(tblWorkPackages[[#This Row],[Work package ID]],tblDisruptions[Work package ID],0)),"None")</f>
        <v>None</v>
      </c>
      <c r="AJ1649" s="51" t="str">
        <f>TEXT(tblWorkPackages[[#This Row],[Due date serial]],"yyyy-mm")</f>
        <v>2024-09</v>
      </c>
    </row>
    <row r="1650" spans="1:36" ht="15" x14ac:dyDescent="0.25">
      <c r="A1650" s="53" t="s">
        <v>2559</v>
      </c>
      <c r="B1650" s="53" t="s">
        <v>157</v>
      </c>
      <c r="C1650" s="53" t="s">
        <v>1361</v>
      </c>
      <c r="D1650" s="53" t="s">
        <v>415</v>
      </c>
      <c r="E1650" s="53" t="s">
        <v>153</v>
      </c>
      <c r="F1650" s="53" t="s">
        <v>128</v>
      </c>
      <c r="G1650" s="53" t="s">
        <v>154</v>
      </c>
      <c r="H1650" s="53">
        <v>2</v>
      </c>
      <c r="I1650" s="53" t="s">
        <v>130</v>
      </c>
      <c r="J1650" s="53">
        <v>0</v>
      </c>
      <c r="K1650" s="53">
        <v>0</v>
      </c>
      <c r="L1650" s="53">
        <v>8.3000000000000007</v>
      </c>
      <c r="M1650" s="53" t="s">
        <v>1402</v>
      </c>
      <c r="N1650" s="53">
        <v>11</v>
      </c>
      <c r="O1650" s="51" t="str">
        <f>TEXT(tblWorkPackages[[#This Row],[Request date serial]]-WEEKDAY(tblWorkPackages[[#This Row],[Request date serial]],3),"yyyy-mm-dd")</f>
        <v>2025-08-18</v>
      </c>
      <c r="P1650" s="51">
        <f>ABS(tblWorkPackages[[#This Row],[Actual labor hours]]-tblWorkPackages[[#This Row],[Estimated labor hours]])</f>
        <v>2.7</v>
      </c>
      <c r="Q1650" s="51">
        <f>IF(tblWorkPackages[[#This Row],[Actual labor hours]]&gt;tblWorkPackages[[#This Row],[Estimated labor hours]],1,0)</f>
        <v>1</v>
      </c>
      <c r="R1650" s="51">
        <f>tblWorkPackages[[#This Row],[Actual labor hours]]-tblWorkPackages[[#This Row],[Estimated labor hours]]</f>
        <v>2.7</v>
      </c>
      <c r="S1650" s="51" t="str">
        <f>IF(tblWorkPackages[[#This Row],[Request date serial]]&lt;ValidationStart,"Train 2024",IF(tblWorkPackages[[#This Row],[Request date serial]]&lt;HoldoutStart,"Validation H1","Holdout H2"))</f>
        <v>Holdout H2</v>
      </c>
      <c r="T1650" s="51">
        <f>IF(tblWorkPackages[[#This Row],[Time split]]="Train 2024","",tblWorkPackages[[#This Row],[Estimated labor hours]]+VLOOKUP(tblWorkPackages[[#This Row],[Task type]],'Forecast validation'!$A$14:$E$25,IF(tblWorkPackages[[#This Row],[Time split]]="Validation H1",4,5),FALSE()))</f>
        <v>8.90266666666667</v>
      </c>
      <c r="U1650" s="51">
        <f>IF(tblWorkPackages[[#This Row],[Calibrated forecast hours]]="","",ABS(tblWorkPackages[[#This Row],[Actual labor hours]]-tblWorkPackages[[#This Row],[Calibrated forecast hours]]))</f>
        <v>2.09733333333333</v>
      </c>
      <c r="V1650" s="51">
        <f>IF(tblWorkPackages[[#This Row],[Time split]]="Train 2024",tblWorkPackages[[#This Row],[Estimated labor hours]],tblWorkPackages[[#This Row],[Calibrated forecast hours]])</f>
        <v>8.90266666666667</v>
      </c>
      <c r="W1650" s="64">
        <f>DATEVALUE(tblWorkPackages[[#This Row],[Request date]])</f>
        <v>45889.0</v>
      </c>
      <c r="X1650" s="64">
        <f>DATEVALUE(tblWorkPackages[[#This Row],[Due date]])</f>
        <v>45902.0</v>
      </c>
      <c r="Y1650" s="64">
        <f>DATEVALUE(tblWorkPackages[[#This Row],[Completion date]])</f>
        <v>45891.0</v>
      </c>
      <c r="Z1650" s="64">
        <f>_xlfn.MINIFS(tblLaborEntries[Work date serial],tblLaborEntries[Work package ID],tblWorkPackages[[#This Row],[Work package ID]])</f>
        <v>45891.0</v>
      </c>
      <c r="AA1650" s="64">
        <f>_xlfn.MAXIFS(tblLaborEntries[Work date serial],tblLaborEntries[Work package ID],tblWorkPackages[[#This Row],[Work package ID]])</f>
        <v>45891.0</v>
      </c>
      <c r="AB1650" s="65">
        <f>IF(tblWorkPackages[[#This Row],[Completion date serial]]&gt;tblWorkPackages[[#This Row],[Due date serial]],1,0)</f>
        <v>0</v>
      </c>
      <c r="AC1650" s="65">
        <f>MAX(0,tblWorkPackages[[#This Row],[Completion date serial]]-tblWorkPackages[[#This Row],[Due date serial]])</f>
        <v>0</v>
      </c>
      <c r="AD1650" s="65">
        <f>tblWorkPackages[[#This Row],[First labor date]]-tblWorkPackages[[#This Row],[Request date serial]]</f>
        <v>2</v>
      </c>
      <c r="AE1650" s="65">
        <f>tblWorkPackages[[#This Row],[Last labor date]]-tblWorkPackages[[#This Row],[First labor date]]</f>
        <v>0</v>
      </c>
      <c r="AF1650" s="65">
        <f>tblWorkPackages[[#This Row],[Completion date serial]]-tblWorkPackages[[#This Row],[Last labor date]]</f>
        <v>0</v>
      </c>
      <c r="AG1650" s="65">
        <f>tblWorkPackages[[#This Row],[Completion date serial]]-tblWorkPackages[[#This Row],[Request date serial]]</f>
        <v>2</v>
      </c>
      <c r="AH1650" s="65">
        <f>IFERROR(INDEX(tblParts[Delay days],MATCH(tblWorkPackages[[#This Row],[Work package ID]],tblParts[Work package ID],0)),0)</f>
        <v>0</v>
      </c>
      <c r="AI1650" s="51" t="str">
        <f>IFERROR(INDEX(tblDisruptions[Event type],MATCH(tblWorkPackages[[#This Row],[Work package ID]],tblDisruptions[Work package ID],0)),"None")</f>
        <v>Equipment unavailable</v>
      </c>
      <c r="AJ1650" s="51" t="str">
        <f>TEXT(tblWorkPackages[[#This Row],[Due date serial]],"yyyy-mm")</f>
        <v>2025-09</v>
      </c>
    </row>
    <row r="1651" spans="1:36" ht="15" x14ac:dyDescent="0.25">
      <c r="A1651" s="53" t="s">
        <v>2560</v>
      </c>
      <c r="B1651" s="53" t="s">
        <v>235</v>
      </c>
      <c r="C1651" s="53" t="s">
        <v>931</v>
      </c>
      <c r="D1651" s="53" t="s">
        <v>649</v>
      </c>
      <c r="E1651" s="53" t="s">
        <v>223</v>
      </c>
      <c r="F1651" s="53" t="s">
        <v>182</v>
      </c>
      <c r="G1651" s="53" t="s">
        <v>154</v>
      </c>
      <c r="H1651" s="53">
        <v>4</v>
      </c>
      <c r="I1651" s="53" t="s">
        <v>130</v>
      </c>
      <c r="J1651" s="53">
        <v>0</v>
      </c>
      <c r="K1651" s="53">
        <v>0</v>
      </c>
      <c r="L1651" s="53">
        <v>25.2</v>
      </c>
      <c r="M1651" s="53" t="s">
        <v>339</v>
      </c>
      <c r="N1651" s="53">
        <v>28.1</v>
      </c>
      <c r="O1651" s="51" t="str">
        <f>TEXT(tblWorkPackages[[#This Row],[Request date serial]]-WEEKDAY(tblWorkPackages[[#This Row],[Request date serial]],3),"yyyy-mm-dd")</f>
        <v>2024-04-22</v>
      </c>
      <c r="P1651" s="51">
        <f>ABS(tblWorkPackages[[#This Row],[Actual labor hours]]-tblWorkPackages[[#This Row],[Estimated labor hours]])</f>
        <v>2.9</v>
      </c>
      <c r="Q1651" s="51">
        <f>IF(tblWorkPackages[[#This Row],[Actual labor hours]]&gt;tblWorkPackages[[#This Row],[Estimated labor hours]],1,0)</f>
        <v>1</v>
      </c>
      <c r="R1651" s="51">
        <f>tblWorkPackages[[#This Row],[Actual labor hours]]-tblWorkPackages[[#This Row],[Estimated labor hours]]</f>
        <v>2.9</v>
      </c>
      <c r="S1651" s="51" t="str">
        <f>IF(tblWorkPackages[[#This Row],[Request date serial]]&lt;ValidationStart,"Train 2024",IF(tblWorkPackages[[#This Row],[Request date serial]]&lt;HoldoutStart,"Validation H1","Holdout H2"))</f>
        <v>Train 2024</v>
      </c>
      <c r="T1651" s="51" t="str">
        <f>IF(tblWorkPackages[[#This Row],[Time split]]="Train 2024","",tblWorkPackages[[#This Row],[Estimated labor hours]]+VLOOKUP(tblWorkPackages[[#This Row],[Task type]],'Forecast validation'!$A$14:$E$25,IF(tblWorkPackages[[#This Row],[Time split]]="Validation H1",4,5),FALSE()))</f>
        <v/>
      </c>
      <c r="U1651" s="51" t="str">
        <f>IF(tblWorkPackages[[#This Row],[Calibrated forecast hours]]="","",ABS(tblWorkPackages[[#This Row],[Actual labor hours]]-tblWorkPackages[[#This Row],[Calibrated forecast hours]]))</f>
        <v/>
      </c>
      <c r="V1651" s="51">
        <f>IF(tblWorkPackages[[#This Row],[Time split]]="Train 2024",tblWorkPackages[[#This Row],[Estimated labor hours]],tblWorkPackages[[#This Row],[Calibrated forecast hours]])</f>
        <v>25.2</v>
      </c>
      <c r="W1651" s="64">
        <f>DATEVALUE(tblWorkPackages[[#This Row],[Request date]])</f>
        <v>45410.0</v>
      </c>
      <c r="X1651" s="64">
        <f>DATEVALUE(tblWorkPackages[[#This Row],[Due date]])</f>
        <v>45423.0</v>
      </c>
      <c r="Y1651" s="64">
        <f>DATEVALUE(tblWorkPackages[[#This Row],[Completion date]])</f>
        <v>45426.0</v>
      </c>
      <c r="Z1651" s="64">
        <f>_xlfn.MINIFS(tblLaborEntries[Work date serial],tblLaborEntries[Work package ID],tblWorkPackages[[#This Row],[Work package ID]])</f>
        <v>45424.0</v>
      </c>
      <c r="AA1651" s="64">
        <f>_xlfn.MAXIFS(tblLaborEntries[Work date serial],tblLaborEntries[Work package ID],tblWorkPackages[[#This Row],[Work package ID]])</f>
        <v>45425.0</v>
      </c>
      <c r="AB1651" s="65">
        <f>IF(tblWorkPackages[[#This Row],[Completion date serial]]&gt;tblWorkPackages[[#This Row],[Due date serial]],1,0)</f>
        <v>1</v>
      </c>
      <c r="AC1651" s="65">
        <f>MAX(0,tblWorkPackages[[#This Row],[Completion date serial]]-tblWorkPackages[[#This Row],[Due date serial]])</f>
        <v>3</v>
      </c>
      <c r="AD1651" s="65">
        <f>tblWorkPackages[[#This Row],[First labor date]]-tblWorkPackages[[#This Row],[Request date serial]]</f>
        <v>14</v>
      </c>
      <c r="AE1651" s="65">
        <f>tblWorkPackages[[#This Row],[Last labor date]]-tblWorkPackages[[#This Row],[First labor date]]</f>
        <v>1</v>
      </c>
      <c r="AF1651" s="65">
        <f>tblWorkPackages[[#This Row],[Completion date serial]]-tblWorkPackages[[#This Row],[Last labor date]]</f>
        <v>1</v>
      </c>
      <c r="AG1651" s="65">
        <f>tblWorkPackages[[#This Row],[Completion date serial]]-tblWorkPackages[[#This Row],[Request date serial]]</f>
        <v>16</v>
      </c>
      <c r="AH1651" s="65">
        <f>IFERROR(INDEX(tblParts[Delay days],MATCH(tblWorkPackages[[#This Row],[Work package ID]],tblParts[Work package ID],0)),0)</f>
        <v>0</v>
      </c>
      <c r="AI1651" s="51" t="str">
        <f>IFERROR(INDEX(tblDisruptions[Event type],MATCH(tblWorkPackages[[#This Row],[Work package ID]],tblDisruptions[Work package ID],0)),"None")</f>
        <v>None</v>
      </c>
      <c r="AJ1651" s="51" t="str">
        <f>TEXT(tblWorkPackages[[#This Row],[Due date serial]],"yyyy-mm")</f>
        <v>2024-05</v>
      </c>
    </row>
    <row r="1652" spans="1:36" ht="15" x14ac:dyDescent="0.25">
      <c r="A1652" s="53" t="s">
        <v>2561</v>
      </c>
      <c r="B1652" s="53" t="s">
        <v>250</v>
      </c>
      <c r="C1652" s="53" t="s">
        <v>402</v>
      </c>
      <c r="D1652" s="53" t="s">
        <v>194</v>
      </c>
      <c r="E1652" s="53" t="s">
        <v>127</v>
      </c>
      <c r="F1652" s="53" t="s">
        <v>128</v>
      </c>
      <c r="G1652" s="53" t="s">
        <v>129</v>
      </c>
      <c r="H1652" s="53">
        <v>4</v>
      </c>
      <c r="I1652" s="53" t="s">
        <v>130</v>
      </c>
      <c r="J1652" s="53">
        <v>0</v>
      </c>
      <c r="K1652" s="53">
        <v>0</v>
      </c>
      <c r="L1652" s="53">
        <v>11.6</v>
      </c>
      <c r="M1652" s="53" t="s">
        <v>734</v>
      </c>
      <c r="N1652" s="53">
        <v>9</v>
      </c>
      <c r="O1652" s="51" t="str">
        <f>TEXT(tblWorkPackages[[#This Row],[Request date serial]]-WEEKDAY(tblWorkPackages[[#This Row],[Request date serial]],3),"yyyy-mm-dd")</f>
        <v>2024-09-23</v>
      </c>
      <c r="P1652" s="51">
        <f>ABS(tblWorkPackages[[#This Row],[Actual labor hours]]-tblWorkPackages[[#This Row],[Estimated labor hours]])</f>
        <v>2.6</v>
      </c>
      <c r="Q1652" s="51">
        <f>IF(tblWorkPackages[[#This Row],[Actual labor hours]]&gt;tblWorkPackages[[#This Row],[Estimated labor hours]],1,0)</f>
        <v>0</v>
      </c>
      <c r="R1652" s="51">
        <f>tblWorkPackages[[#This Row],[Actual labor hours]]-tblWorkPackages[[#This Row],[Estimated labor hours]]</f>
        <v>-2.6</v>
      </c>
      <c r="S1652" s="51" t="str">
        <f>IF(tblWorkPackages[[#This Row],[Request date serial]]&lt;ValidationStart,"Train 2024",IF(tblWorkPackages[[#This Row],[Request date serial]]&lt;HoldoutStart,"Validation H1","Holdout H2"))</f>
        <v>Train 2024</v>
      </c>
      <c r="T1652" s="51" t="str">
        <f>IF(tblWorkPackages[[#This Row],[Time split]]="Train 2024","",tblWorkPackages[[#This Row],[Estimated labor hours]]+VLOOKUP(tblWorkPackages[[#This Row],[Task type]],'Forecast validation'!$A$14:$E$25,IF(tblWorkPackages[[#This Row],[Time split]]="Validation H1",4,5),FALSE()))</f>
        <v/>
      </c>
      <c r="U1652" s="51" t="str">
        <f>IF(tblWorkPackages[[#This Row],[Calibrated forecast hours]]="","",ABS(tblWorkPackages[[#This Row],[Actual labor hours]]-tblWorkPackages[[#This Row],[Calibrated forecast hours]]))</f>
        <v/>
      </c>
      <c r="V1652" s="51">
        <f>IF(tblWorkPackages[[#This Row],[Time split]]="Train 2024",tblWorkPackages[[#This Row],[Estimated labor hours]],tblWorkPackages[[#This Row],[Calibrated forecast hours]])</f>
        <v>11.6</v>
      </c>
      <c r="W1652" s="64">
        <f>DATEVALUE(tblWorkPackages[[#This Row],[Request date]])</f>
        <v>45561.0</v>
      </c>
      <c r="X1652" s="64">
        <f>DATEVALUE(tblWorkPackages[[#This Row],[Due date]])</f>
        <v>45574.0</v>
      </c>
      <c r="Y1652" s="64">
        <f>DATEVALUE(tblWorkPackages[[#This Row],[Completion date]])</f>
        <v>45567.0</v>
      </c>
      <c r="Z1652" s="64">
        <f>_xlfn.MINIFS(tblLaborEntries[Work date serial],tblLaborEntries[Work package ID],tblWorkPackages[[#This Row],[Work package ID]])</f>
        <v>45564.0</v>
      </c>
      <c r="AA1652" s="64">
        <f>_xlfn.MAXIFS(tblLaborEntries[Work date serial],tblLaborEntries[Work package ID],tblWorkPackages[[#This Row],[Work package ID]])</f>
        <v>45565.0</v>
      </c>
      <c r="AB1652" s="65">
        <f>IF(tblWorkPackages[[#This Row],[Completion date serial]]&gt;tblWorkPackages[[#This Row],[Due date serial]],1,0)</f>
        <v>0</v>
      </c>
      <c r="AC1652" s="65">
        <f>MAX(0,tblWorkPackages[[#This Row],[Completion date serial]]-tblWorkPackages[[#This Row],[Due date serial]])</f>
        <v>0</v>
      </c>
      <c r="AD1652" s="65">
        <f>tblWorkPackages[[#This Row],[First labor date]]-tblWorkPackages[[#This Row],[Request date serial]]</f>
        <v>3</v>
      </c>
      <c r="AE1652" s="65">
        <f>tblWorkPackages[[#This Row],[Last labor date]]-tblWorkPackages[[#This Row],[First labor date]]</f>
        <v>1</v>
      </c>
      <c r="AF1652" s="65">
        <f>tblWorkPackages[[#This Row],[Completion date serial]]-tblWorkPackages[[#This Row],[Last labor date]]</f>
        <v>2</v>
      </c>
      <c r="AG1652" s="65">
        <f>tblWorkPackages[[#This Row],[Completion date serial]]-tblWorkPackages[[#This Row],[Request date serial]]</f>
        <v>6</v>
      </c>
      <c r="AH1652" s="65">
        <f>IFERROR(INDEX(tblParts[Delay days],MATCH(tblWorkPackages[[#This Row],[Work package ID]],tblParts[Work package ID],0)),0)</f>
        <v>0</v>
      </c>
      <c r="AI1652" s="51" t="str">
        <f>IFERROR(INDEX(tblDisruptions[Event type],MATCH(tblWorkPackages[[#This Row],[Work package ID]],tblDisruptions[Work package ID],0)),"None")</f>
        <v>None</v>
      </c>
      <c r="AJ1652" s="51" t="str">
        <f>TEXT(tblWorkPackages[[#This Row],[Due date serial]],"yyyy-mm")</f>
        <v>2024-10</v>
      </c>
    </row>
    <row r="1653" spans="1:36" ht="15" x14ac:dyDescent="0.25">
      <c r="A1653" s="53" t="s">
        <v>2562</v>
      </c>
      <c r="B1653" s="53" t="s">
        <v>173</v>
      </c>
      <c r="C1653" s="53" t="s">
        <v>1154</v>
      </c>
      <c r="D1653" s="53" t="s">
        <v>1510</v>
      </c>
      <c r="E1653" s="53" t="s">
        <v>272</v>
      </c>
      <c r="F1653" s="53" t="s">
        <v>145</v>
      </c>
      <c r="G1653" s="53" t="s">
        <v>273</v>
      </c>
      <c r="H1653" s="53">
        <v>4</v>
      </c>
      <c r="I1653" s="53" t="s">
        <v>147</v>
      </c>
      <c r="J1653" s="53">
        <v>1</v>
      </c>
      <c r="K1653" s="53">
        <v>1</v>
      </c>
      <c r="L1653" s="53">
        <v>20.100000000000001</v>
      </c>
      <c r="M1653" s="53" t="s">
        <v>462</v>
      </c>
      <c r="N1653" s="53">
        <v>25.7</v>
      </c>
      <c r="O1653" s="51" t="str">
        <f>TEXT(tblWorkPackages[[#This Row],[Request date serial]]-WEEKDAY(tblWorkPackages[[#This Row],[Request date serial]],3),"yyyy-mm-dd")</f>
        <v>2025-07-21</v>
      </c>
      <c r="P1653" s="51">
        <f>ABS(tblWorkPackages[[#This Row],[Actual labor hours]]-tblWorkPackages[[#This Row],[Estimated labor hours]])</f>
        <v>5.6</v>
      </c>
      <c r="Q1653" s="51">
        <f>IF(tblWorkPackages[[#This Row],[Actual labor hours]]&gt;tblWorkPackages[[#This Row],[Estimated labor hours]],1,0)</f>
        <v>1</v>
      </c>
      <c r="R1653" s="51">
        <f>tblWorkPackages[[#This Row],[Actual labor hours]]-tblWorkPackages[[#This Row],[Estimated labor hours]]</f>
        <v>5.6</v>
      </c>
      <c r="S1653" s="51" t="str">
        <f>IF(tblWorkPackages[[#This Row],[Request date serial]]&lt;ValidationStart,"Train 2024",IF(tblWorkPackages[[#This Row],[Request date serial]]&lt;HoldoutStart,"Validation H1","Holdout H2"))</f>
        <v>Holdout H2</v>
      </c>
      <c r="T1653" s="51">
        <f>IF(tblWorkPackages[[#This Row],[Time split]]="Train 2024","",tblWorkPackages[[#This Row],[Estimated labor hours]]+VLOOKUP(tblWorkPackages[[#This Row],[Task type]],'Forecast validation'!$A$14:$E$25,IF(tblWorkPackages[[#This Row],[Time split]]="Validation H1",4,5),FALSE()))</f>
        <v>21.08515625</v>
      </c>
      <c r="U1653" s="51">
        <f>IF(tblWorkPackages[[#This Row],[Calibrated forecast hours]]="","",ABS(tblWorkPackages[[#This Row],[Actual labor hours]]-tblWorkPackages[[#This Row],[Calibrated forecast hours]]))</f>
        <v>4.61484375</v>
      </c>
      <c r="V1653" s="51">
        <f>IF(tblWorkPackages[[#This Row],[Time split]]="Train 2024",tblWorkPackages[[#This Row],[Estimated labor hours]],tblWorkPackages[[#This Row],[Calibrated forecast hours]])</f>
        <v>21.08515625</v>
      </c>
      <c r="W1653" s="64">
        <f>DATEVALUE(tblWorkPackages[[#This Row],[Request date]])</f>
        <v>45864.0</v>
      </c>
      <c r="X1653" s="64">
        <f>DATEVALUE(tblWorkPackages[[#This Row],[Due date]])</f>
        <v>45866.0</v>
      </c>
      <c r="Y1653" s="64">
        <f>DATEVALUE(tblWorkPackages[[#This Row],[Completion date]])</f>
        <v>45925.0</v>
      </c>
      <c r="Z1653" s="64">
        <f>_xlfn.MINIFS(tblLaborEntries[Work date serial],tblLaborEntries[Work package ID],tblWorkPackages[[#This Row],[Work package ID]])</f>
        <v>45922.0</v>
      </c>
      <c r="AA1653" s="64">
        <f>_xlfn.MAXIFS(tblLaborEntries[Work date serial],tblLaborEntries[Work package ID],tblWorkPackages[[#This Row],[Work package ID]])</f>
        <v>45922.0</v>
      </c>
      <c r="AB1653" s="65">
        <f>IF(tblWorkPackages[[#This Row],[Completion date serial]]&gt;tblWorkPackages[[#This Row],[Due date serial]],1,0)</f>
        <v>1</v>
      </c>
      <c r="AC1653" s="65">
        <f>MAX(0,tblWorkPackages[[#This Row],[Completion date serial]]-tblWorkPackages[[#This Row],[Due date serial]])</f>
        <v>59</v>
      </c>
      <c r="AD1653" s="65">
        <f>tblWorkPackages[[#This Row],[First labor date]]-tblWorkPackages[[#This Row],[Request date serial]]</f>
        <v>58</v>
      </c>
      <c r="AE1653" s="65">
        <f>tblWorkPackages[[#This Row],[Last labor date]]-tblWorkPackages[[#This Row],[First labor date]]</f>
        <v>0</v>
      </c>
      <c r="AF1653" s="65">
        <f>tblWorkPackages[[#This Row],[Completion date serial]]-tblWorkPackages[[#This Row],[Last labor date]]</f>
        <v>3</v>
      </c>
      <c r="AG1653" s="65">
        <f>tblWorkPackages[[#This Row],[Completion date serial]]-tblWorkPackages[[#This Row],[Request date serial]]</f>
        <v>61</v>
      </c>
      <c r="AH1653" s="65">
        <f>IFERROR(INDEX(tblParts[Delay days],MATCH(tblWorkPackages[[#This Row],[Work package ID]],tblParts[Work package ID],0)),0)</f>
        <v>0</v>
      </c>
      <c r="AI1653" s="51" t="str">
        <f>IFERROR(INDEX(tblDisruptions[Event type],MATCH(tblWorkPackages[[#This Row],[Work package ID]],tblDisruptions[Work package ID],0)),"None")</f>
        <v>None</v>
      </c>
      <c r="AJ1653" s="51" t="str">
        <f>TEXT(tblWorkPackages[[#This Row],[Due date serial]],"yyyy-mm")</f>
        <v>2025-07</v>
      </c>
    </row>
    <row r="1654" spans="1:36" ht="15" x14ac:dyDescent="0.25">
      <c r="A1654" s="53" t="s">
        <v>2563</v>
      </c>
      <c r="B1654" s="53" t="s">
        <v>168</v>
      </c>
      <c r="C1654" s="53" t="s">
        <v>274</v>
      </c>
      <c r="D1654" s="53" t="s">
        <v>365</v>
      </c>
      <c r="E1654" s="53" t="s">
        <v>200</v>
      </c>
      <c r="F1654" s="53" t="s">
        <v>128</v>
      </c>
      <c r="G1654" s="53" t="s">
        <v>129</v>
      </c>
      <c r="H1654" s="53">
        <v>2</v>
      </c>
      <c r="I1654" s="53" t="s">
        <v>130</v>
      </c>
      <c r="J1654" s="53">
        <v>0</v>
      </c>
      <c r="K1654" s="53">
        <v>0</v>
      </c>
      <c r="L1654" s="53">
        <v>3.4</v>
      </c>
      <c r="M1654" s="53" t="s">
        <v>126</v>
      </c>
      <c r="N1654" s="53">
        <v>4.2</v>
      </c>
      <c r="O1654" s="51" t="str">
        <f>TEXT(tblWorkPackages[[#This Row],[Request date serial]]-WEEKDAY(tblWorkPackages[[#This Row],[Request date serial]],3),"yyyy-mm-dd")</f>
        <v>2025-05-05</v>
      </c>
      <c r="P1654" s="51">
        <f>ABS(tblWorkPackages[[#This Row],[Actual labor hours]]-tblWorkPackages[[#This Row],[Estimated labor hours]])</f>
        <v>0.8</v>
      </c>
      <c r="Q1654" s="51">
        <f>IF(tblWorkPackages[[#This Row],[Actual labor hours]]&gt;tblWorkPackages[[#This Row],[Estimated labor hours]],1,0)</f>
        <v>1</v>
      </c>
      <c r="R1654" s="51">
        <f>tblWorkPackages[[#This Row],[Actual labor hours]]-tblWorkPackages[[#This Row],[Estimated labor hours]]</f>
        <v>0.8</v>
      </c>
      <c r="S1654" s="51" t="str">
        <f>IF(tblWorkPackages[[#This Row],[Request date serial]]&lt;ValidationStart,"Train 2024",IF(tblWorkPackages[[#This Row],[Request date serial]]&lt;HoldoutStart,"Validation H1","Holdout H2"))</f>
        <v>Validation H1</v>
      </c>
      <c r="T1654" s="51">
        <f>IF(tblWorkPackages[[#This Row],[Time split]]="Train 2024","",tblWorkPackages[[#This Row],[Estimated labor hours]]+VLOOKUP(tblWorkPackages[[#This Row],[Task type]],'Forecast validation'!$A$14:$E$25,IF(tblWorkPackages[[#This Row],[Time split]]="Validation H1",4,5),FALSE()))</f>
        <v>3.73069306930693</v>
      </c>
      <c r="U1654" s="51">
        <f>IF(tblWorkPackages[[#This Row],[Calibrated forecast hours]]="","",ABS(tblWorkPackages[[#This Row],[Actual labor hours]]-tblWorkPackages[[#This Row],[Calibrated forecast hours]]))</f>
        <v>0.46930693069307</v>
      </c>
      <c r="V1654" s="51">
        <f>IF(tblWorkPackages[[#This Row],[Time split]]="Train 2024",tblWorkPackages[[#This Row],[Estimated labor hours]],tblWorkPackages[[#This Row],[Calibrated forecast hours]])</f>
        <v>3.73069306930693</v>
      </c>
      <c r="W1654" s="64">
        <f>DATEVALUE(tblWorkPackages[[#This Row],[Request date]])</f>
        <v>45783.0</v>
      </c>
      <c r="X1654" s="64">
        <f>DATEVALUE(tblWorkPackages[[#This Row],[Due date]])</f>
        <v>45796.0</v>
      </c>
      <c r="Y1654" s="64">
        <f>DATEVALUE(tblWorkPackages[[#This Row],[Completion date]])</f>
        <v>45793.0</v>
      </c>
      <c r="Z1654" s="64">
        <f>_xlfn.MINIFS(tblLaborEntries[Work date serial],tblLaborEntries[Work package ID],tblWorkPackages[[#This Row],[Work package ID]])</f>
        <v>45792.0</v>
      </c>
      <c r="AA1654" s="64">
        <f>_xlfn.MAXIFS(tblLaborEntries[Work date serial],tblLaborEntries[Work package ID],tblWorkPackages[[#This Row],[Work package ID]])</f>
        <v>45793.0</v>
      </c>
      <c r="AB1654" s="65">
        <f>IF(tblWorkPackages[[#This Row],[Completion date serial]]&gt;tblWorkPackages[[#This Row],[Due date serial]],1,0)</f>
        <v>0</v>
      </c>
      <c r="AC1654" s="65">
        <f>MAX(0,tblWorkPackages[[#This Row],[Completion date serial]]-tblWorkPackages[[#This Row],[Due date serial]])</f>
        <v>0</v>
      </c>
      <c r="AD1654" s="65">
        <f>tblWorkPackages[[#This Row],[First labor date]]-tblWorkPackages[[#This Row],[Request date serial]]</f>
        <v>9</v>
      </c>
      <c r="AE1654" s="65">
        <f>tblWorkPackages[[#This Row],[Last labor date]]-tblWorkPackages[[#This Row],[First labor date]]</f>
        <v>1</v>
      </c>
      <c r="AF1654" s="65">
        <f>tblWorkPackages[[#This Row],[Completion date serial]]-tblWorkPackages[[#This Row],[Last labor date]]</f>
        <v>0</v>
      </c>
      <c r="AG1654" s="65">
        <f>tblWorkPackages[[#This Row],[Completion date serial]]-tblWorkPackages[[#This Row],[Request date serial]]</f>
        <v>10</v>
      </c>
      <c r="AH1654" s="65">
        <f>IFERROR(INDEX(tblParts[Delay days],MATCH(tblWorkPackages[[#This Row],[Work package ID]],tblParts[Work package ID],0)),0)</f>
        <v>0</v>
      </c>
      <c r="AI1654" s="51" t="str">
        <f>IFERROR(INDEX(tblDisruptions[Event type],MATCH(tblWorkPackages[[#This Row],[Work package ID]],tblDisruptions[Work package ID],0)),"None")</f>
        <v>None</v>
      </c>
      <c r="AJ1654" s="51" t="str">
        <f>TEXT(tblWorkPackages[[#This Row],[Due date serial]],"yyyy-mm")</f>
        <v>2025-05</v>
      </c>
    </row>
    <row r="1655" spans="1:36" ht="15" x14ac:dyDescent="0.25">
      <c r="A1655" s="53" t="s">
        <v>2564</v>
      </c>
      <c r="B1655" s="53" t="s">
        <v>287</v>
      </c>
      <c r="C1655" s="53" t="s">
        <v>214</v>
      </c>
      <c r="D1655" s="53" t="s">
        <v>143</v>
      </c>
      <c r="E1655" s="53" t="s">
        <v>153</v>
      </c>
      <c r="F1655" s="53" t="s">
        <v>128</v>
      </c>
      <c r="G1655" s="53" t="s">
        <v>154</v>
      </c>
      <c r="H1655" s="53">
        <v>1</v>
      </c>
      <c r="I1655" s="53" t="s">
        <v>130</v>
      </c>
      <c r="J1655" s="53">
        <v>0</v>
      </c>
      <c r="K1655" s="53">
        <v>1</v>
      </c>
      <c r="L1655" s="53">
        <v>6.4</v>
      </c>
      <c r="M1655" s="53" t="s">
        <v>454</v>
      </c>
      <c r="N1655" s="53">
        <v>5.7</v>
      </c>
      <c r="O1655" s="51" t="str">
        <f>TEXT(tblWorkPackages[[#This Row],[Request date serial]]-WEEKDAY(tblWorkPackages[[#This Row],[Request date serial]],3),"yyyy-mm-dd")</f>
        <v>2024-01-15</v>
      </c>
      <c r="P1655" s="51">
        <f>ABS(tblWorkPackages[[#This Row],[Actual labor hours]]-tblWorkPackages[[#This Row],[Estimated labor hours]])</f>
        <v>0.7</v>
      </c>
      <c r="Q1655" s="51">
        <f>IF(tblWorkPackages[[#This Row],[Actual labor hours]]&gt;tblWorkPackages[[#This Row],[Estimated labor hours]],1,0)</f>
        <v>0</v>
      </c>
      <c r="R1655" s="51">
        <f>tblWorkPackages[[#This Row],[Actual labor hours]]-tblWorkPackages[[#This Row],[Estimated labor hours]]</f>
        <v>-0.7</v>
      </c>
      <c r="S1655" s="51" t="str">
        <f>IF(tblWorkPackages[[#This Row],[Request date serial]]&lt;ValidationStart,"Train 2024",IF(tblWorkPackages[[#This Row],[Request date serial]]&lt;HoldoutStart,"Validation H1","Holdout H2"))</f>
        <v>Train 2024</v>
      </c>
      <c r="T1655" s="51" t="str">
        <f>IF(tblWorkPackages[[#This Row],[Time split]]="Train 2024","",tblWorkPackages[[#This Row],[Estimated labor hours]]+VLOOKUP(tblWorkPackages[[#This Row],[Task type]],'Forecast validation'!$A$14:$E$25,IF(tblWorkPackages[[#This Row],[Time split]]="Validation H1",4,5),FALSE()))</f>
        <v/>
      </c>
      <c r="U1655" s="51" t="str">
        <f>IF(tblWorkPackages[[#This Row],[Calibrated forecast hours]]="","",ABS(tblWorkPackages[[#This Row],[Actual labor hours]]-tblWorkPackages[[#This Row],[Calibrated forecast hours]]))</f>
        <v/>
      </c>
      <c r="V1655" s="51">
        <f>IF(tblWorkPackages[[#This Row],[Time split]]="Train 2024",tblWorkPackages[[#This Row],[Estimated labor hours]],tblWorkPackages[[#This Row],[Calibrated forecast hours]])</f>
        <v>6.4</v>
      </c>
      <c r="W1655" s="64">
        <f>DATEVALUE(tblWorkPackages[[#This Row],[Request date]])</f>
        <v>45311.0</v>
      </c>
      <c r="X1655" s="64">
        <f>DATEVALUE(tblWorkPackages[[#This Row],[Due date]])</f>
        <v>45324.0</v>
      </c>
      <c r="Y1655" s="64">
        <f>DATEVALUE(tblWorkPackages[[#This Row],[Completion date]])</f>
        <v>45318.0</v>
      </c>
      <c r="Z1655" s="64">
        <f>_xlfn.MINIFS(tblLaborEntries[Work date serial],tblLaborEntries[Work package ID],tblWorkPackages[[#This Row],[Work package ID]])</f>
        <v>45316.0</v>
      </c>
      <c r="AA1655" s="64">
        <f>_xlfn.MAXIFS(tblLaborEntries[Work date serial],tblLaborEntries[Work package ID],tblWorkPackages[[#This Row],[Work package ID]])</f>
        <v>45317.0</v>
      </c>
      <c r="AB1655" s="65">
        <f>IF(tblWorkPackages[[#This Row],[Completion date serial]]&gt;tblWorkPackages[[#This Row],[Due date serial]],1,0)</f>
        <v>0</v>
      </c>
      <c r="AC1655" s="65">
        <f>MAX(0,tblWorkPackages[[#This Row],[Completion date serial]]-tblWorkPackages[[#This Row],[Due date serial]])</f>
        <v>0</v>
      </c>
      <c r="AD1655" s="65">
        <f>tblWorkPackages[[#This Row],[First labor date]]-tblWorkPackages[[#This Row],[Request date serial]]</f>
        <v>5</v>
      </c>
      <c r="AE1655" s="65">
        <f>tblWorkPackages[[#This Row],[Last labor date]]-tblWorkPackages[[#This Row],[First labor date]]</f>
        <v>1</v>
      </c>
      <c r="AF1655" s="65">
        <f>tblWorkPackages[[#This Row],[Completion date serial]]-tblWorkPackages[[#This Row],[Last labor date]]</f>
        <v>1</v>
      </c>
      <c r="AG1655" s="65">
        <f>tblWorkPackages[[#This Row],[Completion date serial]]-tblWorkPackages[[#This Row],[Request date serial]]</f>
        <v>7</v>
      </c>
      <c r="AH1655" s="65">
        <f>IFERROR(INDEX(tblParts[Delay days],MATCH(tblWorkPackages[[#This Row],[Work package ID]],tblParts[Work package ID],0)),0)</f>
        <v>3</v>
      </c>
      <c r="AI1655" s="51" t="str">
        <f>IFERROR(INDEX(tblDisruptions[Event type],MATCH(tblWorkPackages[[#This Row],[Work package ID]],tblDisruptions[Work package ID],0)),"None")</f>
        <v>Part delay</v>
      </c>
      <c r="AJ1655" s="51" t="str">
        <f>TEXT(tblWorkPackages[[#This Row],[Due date serial]],"yyyy-mm")</f>
        <v>2024-02</v>
      </c>
    </row>
    <row r="1656" spans="1:36" ht="15" x14ac:dyDescent="0.25">
      <c r="A1656" s="53" t="s">
        <v>2565</v>
      </c>
      <c r="B1656" s="53" t="s">
        <v>235</v>
      </c>
      <c r="C1656" s="53" t="s">
        <v>470</v>
      </c>
      <c r="D1656" s="53" t="s">
        <v>677</v>
      </c>
      <c r="E1656" s="53" t="s">
        <v>144</v>
      </c>
      <c r="F1656" s="53" t="s">
        <v>145</v>
      </c>
      <c r="G1656" s="53" t="s">
        <v>146</v>
      </c>
      <c r="H1656" s="53">
        <v>4</v>
      </c>
      <c r="I1656" s="53" t="s">
        <v>176</v>
      </c>
      <c r="J1656" s="53">
        <v>0</v>
      </c>
      <c r="K1656" s="53">
        <v>1</v>
      </c>
      <c r="L1656" s="53">
        <v>21.4</v>
      </c>
      <c r="M1656" s="53" t="s">
        <v>339</v>
      </c>
      <c r="N1656" s="53">
        <v>27.5</v>
      </c>
      <c r="O1656" s="51" t="str">
        <f>TEXT(tblWorkPackages[[#This Row],[Request date serial]]-WEEKDAY(tblWorkPackages[[#This Row],[Request date serial]],3),"yyyy-mm-dd")</f>
        <v>2024-04-15</v>
      </c>
      <c r="P1656" s="51">
        <f>ABS(tblWorkPackages[[#This Row],[Actual labor hours]]-tblWorkPackages[[#This Row],[Estimated labor hours]])</f>
        <v>6.1</v>
      </c>
      <c r="Q1656" s="51">
        <f>IF(tblWorkPackages[[#This Row],[Actual labor hours]]&gt;tblWorkPackages[[#This Row],[Estimated labor hours]],1,0)</f>
        <v>1</v>
      </c>
      <c r="R1656" s="51">
        <f>tblWorkPackages[[#This Row],[Actual labor hours]]-tblWorkPackages[[#This Row],[Estimated labor hours]]</f>
        <v>6.1</v>
      </c>
      <c r="S1656" s="51" t="str">
        <f>IF(tblWorkPackages[[#This Row],[Request date serial]]&lt;ValidationStart,"Train 2024",IF(tblWorkPackages[[#This Row],[Request date serial]]&lt;HoldoutStart,"Validation H1","Holdout H2"))</f>
        <v>Train 2024</v>
      </c>
      <c r="T1656" s="51" t="str">
        <f>IF(tblWorkPackages[[#This Row],[Time split]]="Train 2024","",tblWorkPackages[[#This Row],[Estimated labor hours]]+VLOOKUP(tblWorkPackages[[#This Row],[Task type]],'Forecast validation'!$A$14:$E$25,IF(tblWorkPackages[[#This Row],[Time split]]="Validation H1",4,5),FALSE()))</f>
        <v/>
      </c>
      <c r="U1656" s="51" t="str">
        <f>IF(tblWorkPackages[[#This Row],[Calibrated forecast hours]]="","",ABS(tblWorkPackages[[#This Row],[Actual labor hours]]-tblWorkPackages[[#This Row],[Calibrated forecast hours]]))</f>
        <v/>
      </c>
      <c r="V1656" s="51">
        <f>IF(tblWorkPackages[[#This Row],[Time split]]="Train 2024",tblWorkPackages[[#This Row],[Estimated labor hours]],tblWorkPackages[[#This Row],[Calibrated forecast hours]])</f>
        <v>21.4</v>
      </c>
      <c r="W1656" s="64">
        <f>DATEVALUE(tblWorkPackages[[#This Row],[Request date]])</f>
        <v>45400.0</v>
      </c>
      <c r="X1656" s="64">
        <f>DATEVALUE(tblWorkPackages[[#This Row],[Due date]])</f>
        <v>45406.0</v>
      </c>
      <c r="Y1656" s="64">
        <f>DATEVALUE(tblWorkPackages[[#This Row],[Completion date]])</f>
        <v>45426.0</v>
      </c>
      <c r="Z1656" s="64">
        <f>_xlfn.MINIFS(tblLaborEntries[Work date serial],tblLaborEntries[Work package ID],tblWorkPackages[[#This Row],[Work package ID]])</f>
        <v>45422.0</v>
      </c>
      <c r="AA1656" s="64">
        <f>_xlfn.MAXIFS(tblLaborEntries[Work date serial],tblLaborEntries[Work package ID],tblWorkPackages[[#This Row],[Work package ID]])</f>
        <v>45424.0</v>
      </c>
      <c r="AB1656" s="65">
        <f>IF(tblWorkPackages[[#This Row],[Completion date serial]]&gt;tblWorkPackages[[#This Row],[Due date serial]],1,0)</f>
        <v>1</v>
      </c>
      <c r="AC1656" s="65">
        <f>MAX(0,tblWorkPackages[[#This Row],[Completion date serial]]-tblWorkPackages[[#This Row],[Due date serial]])</f>
        <v>20</v>
      </c>
      <c r="AD1656" s="65">
        <f>tblWorkPackages[[#This Row],[First labor date]]-tblWorkPackages[[#This Row],[Request date serial]]</f>
        <v>22</v>
      </c>
      <c r="AE1656" s="65">
        <f>tblWorkPackages[[#This Row],[Last labor date]]-tblWorkPackages[[#This Row],[First labor date]]</f>
        <v>2</v>
      </c>
      <c r="AF1656" s="65">
        <f>tblWorkPackages[[#This Row],[Completion date serial]]-tblWorkPackages[[#This Row],[Last labor date]]</f>
        <v>2</v>
      </c>
      <c r="AG1656" s="65">
        <f>tblWorkPackages[[#This Row],[Completion date serial]]-tblWorkPackages[[#This Row],[Request date serial]]</f>
        <v>26</v>
      </c>
      <c r="AH1656" s="65">
        <f>IFERROR(INDEX(tblParts[Delay days],MATCH(tblWorkPackages[[#This Row],[Work package ID]],tblParts[Work package ID],0)),0)</f>
        <v>0</v>
      </c>
      <c r="AI1656" s="51" t="str">
        <f>IFERROR(INDEX(tblDisruptions[Event type],MATCH(tblWorkPackages[[#This Row],[Work package ID]],tblDisruptions[Work package ID],0)),"None")</f>
        <v>Repeat inspection</v>
      </c>
      <c r="AJ1656" s="51" t="str">
        <f>TEXT(tblWorkPackages[[#This Row],[Due date serial]],"yyyy-mm")</f>
        <v>2024-04</v>
      </c>
    </row>
    <row r="1657" spans="1:36" ht="15" x14ac:dyDescent="0.25">
      <c r="A1657" s="53" t="s">
        <v>2566</v>
      </c>
      <c r="B1657" s="53" t="s">
        <v>185</v>
      </c>
      <c r="C1657" s="53" t="s">
        <v>571</v>
      </c>
      <c r="D1657" s="53" t="s">
        <v>1455</v>
      </c>
      <c r="E1657" s="53" t="s">
        <v>223</v>
      </c>
      <c r="F1657" s="53" t="s">
        <v>182</v>
      </c>
      <c r="G1657" s="53" t="s">
        <v>154</v>
      </c>
      <c r="H1657" s="53">
        <v>3</v>
      </c>
      <c r="I1657" s="53" t="s">
        <v>130</v>
      </c>
      <c r="J1657" s="53">
        <v>0</v>
      </c>
      <c r="K1657" s="53">
        <v>1</v>
      </c>
      <c r="L1657" s="53">
        <v>17.8</v>
      </c>
      <c r="M1657" s="53" t="s">
        <v>1383</v>
      </c>
      <c r="N1657" s="53">
        <v>22.5</v>
      </c>
      <c r="O1657" s="51" t="str">
        <f>TEXT(tblWorkPackages[[#This Row],[Request date serial]]-WEEKDAY(tblWorkPackages[[#This Row],[Request date serial]],3),"yyyy-mm-dd")</f>
        <v>2025-01-13</v>
      </c>
      <c r="P1657" s="51">
        <f>ABS(tblWorkPackages[[#This Row],[Actual labor hours]]-tblWorkPackages[[#This Row],[Estimated labor hours]])</f>
        <v>4.7</v>
      </c>
      <c r="Q1657" s="51">
        <f>IF(tblWorkPackages[[#This Row],[Actual labor hours]]&gt;tblWorkPackages[[#This Row],[Estimated labor hours]],1,0)</f>
        <v>1</v>
      </c>
      <c r="R1657" s="51">
        <f>tblWorkPackages[[#This Row],[Actual labor hours]]-tblWorkPackages[[#This Row],[Estimated labor hours]]</f>
        <v>4.7</v>
      </c>
      <c r="S1657" s="51" t="str">
        <f>IF(tblWorkPackages[[#This Row],[Request date serial]]&lt;ValidationStart,"Train 2024",IF(tblWorkPackages[[#This Row],[Request date serial]]&lt;HoldoutStart,"Validation H1","Holdout H2"))</f>
        <v>Validation H1</v>
      </c>
      <c r="T1657" s="51">
        <f>IF(tblWorkPackages[[#This Row],[Time split]]="Train 2024","",tblWorkPackages[[#This Row],[Estimated labor hours]]+VLOOKUP(tblWorkPackages[[#This Row],[Task type]],'Forecast validation'!$A$14:$E$25,IF(tblWorkPackages[[#This Row],[Time split]]="Validation H1",4,5),FALSE()))</f>
        <v>18.6824175824176</v>
      </c>
      <c r="U1657" s="51">
        <f>IF(tblWorkPackages[[#This Row],[Calibrated forecast hours]]="","",ABS(tblWorkPackages[[#This Row],[Actual labor hours]]-tblWorkPackages[[#This Row],[Calibrated forecast hours]]))</f>
        <v>3.81758241758242</v>
      </c>
      <c r="V1657" s="51">
        <f>IF(tblWorkPackages[[#This Row],[Time split]]="Train 2024",tblWorkPackages[[#This Row],[Estimated labor hours]],tblWorkPackages[[#This Row],[Calibrated forecast hours]])</f>
        <v>18.6824175824176</v>
      </c>
      <c r="W1657" s="64">
        <f>DATEVALUE(tblWorkPackages[[#This Row],[Request date]])</f>
        <v>45674.0</v>
      </c>
      <c r="X1657" s="64">
        <f>DATEVALUE(tblWorkPackages[[#This Row],[Due date]])</f>
        <v>45687.0</v>
      </c>
      <c r="Y1657" s="64">
        <f>DATEVALUE(tblWorkPackages[[#This Row],[Completion date]])</f>
        <v>45683.0</v>
      </c>
      <c r="Z1657" s="64">
        <f>_xlfn.MINIFS(tblLaborEntries[Work date serial],tblLaborEntries[Work package ID],tblWorkPackages[[#This Row],[Work package ID]])</f>
        <v>45678.0</v>
      </c>
      <c r="AA1657" s="64">
        <f>_xlfn.MAXIFS(tblLaborEntries[Work date serial],tblLaborEntries[Work package ID],tblWorkPackages[[#This Row],[Work package ID]])</f>
        <v>45680.0</v>
      </c>
      <c r="AB1657" s="65">
        <f>IF(tblWorkPackages[[#This Row],[Completion date serial]]&gt;tblWorkPackages[[#This Row],[Due date serial]],1,0)</f>
        <v>0</v>
      </c>
      <c r="AC1657" s="65">
        <f>MAX(0,tblWorkPackages[[#This Row],[Completion date serial]]-tblWorkPackages[[#This Row],[Due date serial]])</f>
        <v>0</v>
      </c>
      <c r="AD1657" s="65">
        <f>tblWorkPackages[[#This Row],[First labor date]]-tblWorkPackages[[#This Row],[Request date serial]]</f>
        <v>4</v>
      </c>
      <c r="AE1657" s="65">
        <f>tblWorkPackages[[#This Row],[Last labor date]]-tblWorkPackages[[#This Row],[First labor date]]</f>
        <v>2</v>
      </c>
      <c r="AF1657" s="65">
        <f>tblWorkPackages[[#This Row],[Completion date serial]]-tblWorkPackages[[#This Row],[Last labor date]]</f>
        <v>3</v>
      </c>
      <c r="AG1657" s="65">
        <f>tblWorkPackages[[#This Row],[Completion date serial]]-tblWorkPackages[[#This Row],[Request date serial]]</f>
        <v>9</v>
      </c>
      <c r="AH1657" s="65">
        <f>IFERROR(INDEX(tblParts[Delay days],MATCH(tblWorkPackages[[#This Row],[Work package ID]],tblParts[Work package ID],0)),0)</f>
        <v>0</v>
      </c>
      <c r="AI1657" s="51" t="str">
        <f>IFERROR(INDEX(tblDisruptions[Event type],MATCH(tblWorkPackages[[#This Row],[Work package ID]],tblDisruptions[Work package ID],0)),"None")</f>
        <v>None</v>
      </c>
      <c r="AJ1657" s="51" t="str">
        <f>TEXT(tblWorkPackages[[#This Row],[Due date serial]],"yyyy-mm")</f>
        <v>2025-01</v>
      </c>
    </row>
    <row r="1658" spans="1:36" ht="15" x14ac:dyDescent="0.25">
      <c r="A1658" s="53" t="s">
        <v>2567</v>
      </c>
      <c r="B1658" s="53" t="s">
        <v>185</v>
      </c>
      <c r="C1658" s="53" t="s">
        <v>171</v>
      </c>
      <c r="D1658" s="53" t="s">
        <v>948</v>
      </c>
      <c r="E1658" s="53" t="s">
        <v>136</v>
      </c>
      <c r="F1658" s="53" t="s">
        <v>137</v>
      </c>
      <c r="G1658" s="53" t="s">
        <v>138</v>
      </c>
      <c r="H1658" s="53">
        <v>1</v>
      </c>
      <c r="I1658" s="53" t="s">
        <v>130</v>
      </c>
      <c r="J1658" s="53">
        <v>0</v>
      </c>
      <c r="K1658" s="53">
        <v>0</v>
      </c>
      <c r="L1658" s="53">
        <v>8.6999999999999993</v>
      </c>
      <c r="M1658" s="53" t="s">
        <v>277</v>
      </c>
      <c r="N1658" s="53">
        <v>8.3000000000000007</v>
      </c>
      <c r="O1658" s="51" t="str">
        <f>TEXT(tblWorkPackages[[#This Row],[Request date serial]]-WEEKDAY(tblWorkPackages[[#This Row],[Request date serial]],3),"yyyy-mm-dd")</f>
        <v>2024-10-21</v>
      </c>
      <c r="P1658" s="51">
        <f>ABS(tblWorkPackages[[#This Row],[Actual labor hours]]-tblWorkPackages[[#This Row],[Estimated labor hours]])</f>
        <v>0.399999999999999</v>
      </c>
      <c r="Q1658" s="51">
        <f>IF(tblWorkPackages[[#This Row],[Actual labor hours]]&gt;tblWorkPackages[[#This Row],[Estimated labor hours]],1,0)</f>
        <v>0</v>
      </c>
      <c r="R1658" s="51">
        <f>tblWorkPackages[[#This Row],[Actual labor hours]]-tblWorkPackages[[#This Row],[Estimated labor hours]]</f>
        <v>-0.399999999999999</v>
      </c>
      <c r="S1658" s="51" t="str">
        <f>IF(tblWorkPackages[[#This Row],[Request date serial]]&lt;ValidationStart,"Train 2024",IF(tblWorkPackages[[#This Row],[Request date serial]]&lt;HoldoutStart,"Validation H1","Holdout H2"))</f>
        <v>Train 2024</v>
      </c>
      <c r="T1658" s="51" t="str">
        <f>IF(tblWorkPackages[[#This Row],[Time split]]="Train 2024","",tblWorkPackages[[#This Row],[Estimated labor hours]]+VLOOKUP(tblWorkPackages[[#This Row],[Task type]],'Forecast validation'!$A$14:$E$25,IF(tblWorkPackages[[#This Row],[Time split]]="Validation H1",4,5),FALSE()))</f>
        <v/>
      </c>
      <c r="U1658" s="51" t="str">
        <f>IF(tblWorkPackages[[#This Row],[Calibrated forecast hours]]="","",ABS(tblWorkPackages[[#This Row],[Actual labor hours]]-tblWorkPackages[[#This Row],[Calibrated forecast hours]]))</f>
        <v/>
      </c>
      <c r="V1658" s="51">
        <f>IF(tblWorkPackages[[#This Row],[Time split]]="Train 2024",tblWorkPackages[[#This Row],[Estimated labor hours]],tblWorkPackages[[#This Row],[Calibrated forecast hours]])</f>
        <v>8.7</v>
      </c>
      <c r="W1658" s="64">
        <f>DATEVALUE(tblWorkPackages[[#This Row],[Request date]])</f>
        <v>45590.0</v>
      </c>
      <c r="X1658" s="64">
        <f>DATEVALUE(tblWorkPackages[[#This Row],[Due date]])</f>
        <v>45603.0</v>
      </c>
      <c r="Y1658" s="64">
        <f>DATEVALUE(tblWorkPackages[[#This Row],[Completion date]])</f>
        <v>45592.0</v>
      </c>
      <c r="Z1658" s="64">
        <f>_xlfn.MINIFS(tblLaborEntries[Work date serial],tblLaborEntries[Work package ID],tblWorkPackages[[#This Row],[Work package ID]])</f>
        <v>45591.0</v>
      </c>
      <c r="AA1658" s="64">
        <f>_xlfn.MAXIFS(tblLaborEntries[Work date serial],tblLaborEntries[Work package ID],tblWorkPackages[[#This Row],[Work package ID]])</f>
        <v>45592.0</v>
      </c>
      <c r="AB1658" s="65">
        <f>IF(tblWorkPackages[[#This Row],[Completion date serial]]&gt;tblWorkPackages[[#This Row],[Due date serial]],1,0)</f>
        <v>0</v>
      </c>
      <c r="AC1658" s="65">
        <f>MAX(0,tblWorkPackages[[#This Row],[Completion date serial]]-tblWorkPackages[[#This Row],[Due date serial]])</f>
        <v>0</v>
      </c>
      <c r="AD1658" s="65">
        <f>tblWorkPackages[[#This Row],[First labor date]]-tblWorkPackages[[#This Row],[Request date serial]]</f>
        <v>1</v>
      </c>
      <c r="AE1658" s="65">
        <f>tblWorkPackages[[#This Row],[Last labor date]]-tblWorkPackages[[#This Row],[First labor date]]</f>
        <v>1</v>
      </c>
      <c r="AF1658" s="65">
        <f>tblWorkPackages[[#This Row],[Completion date serial]]-tblWorkPackages[[#This Row],[Last labor date]]</f>
        <v>0</v>
      </c>
      <c r="AG1658" s="65">
        <f>tblWorkPackages[[#This Row],[Completion date serial]]-tblWorkPackages[[#This Row],[Request date serial]]</f>
        <v>2</v>
      </c>
      <c r="AH1658" s="65">
        <f>IFERROR(INDEX(tblParts[Delay days],MATCH(tblWorkPackages[[#This Row],[Work package ID]],tblParts[Work package ID],0)),0)</f>
        <v>0</v>
      </c>
      <c r="AI1658" s="51" t="str">
        <f>IFERROR(INDEX(tblDisruptions[Event type],MATCH(tblWorkPackages[[#This Row],[Work package ID]],tblDisruptions[Work package ID],0)),"None")</f>
        <v>None</v>
      </c>
      <c r="AJ1658" s="51" t="str">
        <f>TEXT(tblWorkPackages[[#This Row],[Due date serial]],"yyyy-mm")</f>
        <v>2024-11</v>
      </c>
    </row>
    <row r="1659" spans="1:36" ht="15" x14ac:dyDescent="0.25">
      <c r="A1659" s="53" t="s">
        <v>2568</v>
      </c>
      <c r="B1659" s="53" t="s">
        <v>173</v>
      </c>
      <c r="C1659" s="53" t="s">
        <v>246</v>
      </c>
      <c r="D1659" s="53" t="s">
        <v>247</v>
      </c>
      <c r="E1659" s="53" t="s">
        <v>136</v>
      </c>
      <c r="F1659" s="53" t="s">
        <v>137</v>
      </c>
      <c r="G1659" s="53" t="s">
        <v>138</v>
      </c>
      <c r="H1659" s="53">
        <v>2</v>
      </c>
      <c r="I1659" s="53" t="s">
        <v>130</v>
      </c>
      <c r="J1659" s="53">
        <v>0</v>
      </c>
      <c r="K1659" s="53">
        <v>0</v>
      </c>
      <c r="L1659" s="53">
        <v>15.1</v>
      </c>
      <c r="M1659" s="53" t="s">
        <v>665</v>
      </c>
      <c r="N1659" s="53">
        <v>21.1</v>
      </c>
      <c r="O1659" s="51" t="str">
        <f>TEXT(tblWorkPackages[[#This Row],[Request date serial]]-WEEKDAY(tblWorkPackages[[#This Row],[Request date serial]],3),"yyyy-mm-dd")</f>
        <v>2024-03-11</v>
      </c>
      <c r="P1659" s="51">
        <f>ABS(tblWorkPackages[[#This Row],[Actual labor hours]]-tblWorkPackages[[#This Row],[Estimated labor hours]])</f>
        <v>6</v>
      </c>
      <c r="Q1659" s="51">
        <f>IF(tblWorkPackages[[#This Row],[Actual labor hours]]&gt;tblWorkPackages[[#This Row],[Estimated labor hours]],1,0)</f>
        <v>1</v>
      </c>
      <c r="R1659" s="51">
        <f>tblWorkPackages[[#This Row],[Actual labor hours]]-tblWorkPackages[[#This Row],[Estimated labor hours]]</f>
        <v>6</v>
      </c>
      <c r="S1659" s="51" t="str">
        <f>IF(tblWorkPackages[[#This Row],[Request date serial]]&lt;ValidationStart,"Train 2024",IF(tblWorkPackages[[#This Row],[Request date serial]]&lt;HoldoutStart,"Validation H1","Holdout H2"))</f>
        <v>Train 2024</v>
      </c>
      <c r="T1659" s="51" t="str">
        <f>IF(tblWorkPackages[[#This Row],[Time split]]="Train 2024","",tblWorkPackages[[#This Row],[Estimated labor hours]]+VLOOKUP(tblWorkPackages[[#This Row],[Task type]],'Forecast validation'!$A$14:$E$25,IF(tblWorkPackages[[#This Row],[Time split]]="Validation H1",4,5),FALSE()))</f>
        <v/>
      </c>
      <c r="U1659" s="51" t="str">
        <f>IF(tblWorkPackages[[#This Row],[Calibrated forecast hours]]="","",ABS(tblWorkPackages[[#This Row],[Actual labor hours]]-tblWorkPackages[[#This Row],[Calibrated forecast hours]]))</f>
        <v/>
      </c>
      <c r="V1659" s="51">
        <f>IF(tblWorkPackages[[#This Row],[Time split]]="Train 2024",tblWorkPackages[[#This Row],[Estimated labor hours]],tblWorkPackages[[#This Row],[Calibrated forecast hours]])</f>
        <v>15.1</v>
      </c>
      <c r="W1659" s="64">
        <f>DATEVALUE(tblWorkPackages[[#This Row],[Request date]])</f>
        <v>45364.0</v>
      </c>
      <c r="X1659" s="64">
        <f>DATEVALUE(tblWorkPackages[[#This Row],[Due date]])</f>
        <v>45377.0</v>
      </c>
      <c r="Y1659" s="64">
        <f>DATEVALUE(tblWorkPackages[[#This Row],[Completion date]])</f>
        <v>45378.0</v>
      </c>
      <c r="Z1659" s="64">
        <f>_xlfn.MINIFS(tblLaborEntries[Work date serial],tblLaborEntries[Work package ID],tblWorkPackages[[#This Row],[Work package ID]])</f>
        <v>45376.0</v>
      </c>
      <c r="AA1659" s="64">
        <f>_xlfn.MAXIFS(tblLaborEntries[Work date serial],tblLaborEntries[Work package ID],tblWorkPackages[[#This Row],[Work package ID]])</f>
        <v>45377.0</v>
      </c>
      <c r="AB1659" s="65">
        <f>IF(tblWorkPackages[[#This Row],[Completion date serial]]&gt;tblWorkPackages[[#This Row],[Due date serial]],1,0)</f>
        <v>1</v>
      </c>
      <c r="AC1659" s="65">
        <f>MAX(0,tblWorkPackages[[#This Row],[Completion date serial]]-tblWorkPackages[[#This Row],[Due date serial]])</f>
        <v>1</v>
      </c>
      <c r="AD1659" s="65">
        <f>tblWorkPackages[[#This Row],[First labor date]]-tblWorkPackages[[#This Row],[Request date serial]]</f>
        <v>12</v>
      </c>
      <c r="AE1659" s="65">
        <f>tblWorkPackages[[#This Row],[Last labor date]]-tblWorkPackages[[#This Row],[First labor date]]</f>
        <v>1</v>
      </c>
      <c r="AF1659" s="65">
        <f>tblWorkPackages[[#This Row],[Completion date serial]]-tblWorkPackages[[#This Row],[Last labor date]]</f>
        <v>1</v>
      </c>
      <c r="AG1659" s="65">
        <f>tblWorkPackages[[#This Row],[Completion date serial]]-tblWorkPackages[[#This Row],[Request date serial]]</f>
        <v>14</v>
      </c>
      <c r="AH1659" s="65">
        <f>IFERROR(INDEX(tblParts[Delay days],MATCH(tblWorkPackages[[#This Row],[Work package ID]],tblParts[Work package ID],0)),0)</f>
        <v>0</v>
      </c>
      <c r="AI1659" s="51" t="str">
        <f>IFERROR(INDEX(tblDisruptions[Event type],MATCH(tblWorkPackages[[#This Row],[Work package ID]],tblDisruptions[Work package ID],0)),"None")</f>
        <v>Repeat inspection</v>
      </c>
      <c r="AJ1659" s="51" t="str">
        <f>TEXT(tblWorkPackages[[#This Row],[Due date serial]],"yyyy-mm")</f>
        <v>2024-03</v>
      </c>
    </row>
    <row r="1660" spans="1:36" ht="15" x14ac:dyDescent="0.25">
      <c r="A1660" s="53" t="s">
        <v>2569</v>
      </c>
      <c r="B1660" s="53" t="s">
        <v>150</v>
      </c>
      <c r="C1660" s="53" t="s">
        <v>1289</v>
      </c>
      <c r="D1660" s="53" t="s">
        <v>445</v>
      </c>
      <c r="E1660" s="53" t="s">
        <v>272</v>
      </c>
      <c r="F1660" s="53" t="s">
        <v>145</v>
      </c>
      <c r="G1660" s="53" t="s">
        <v>273</v>
      </c>
      <c r="H1660" s="53">
        <v>4</v>
      </c>
      <c r="I1660" s="53" t="s">
        <v>130</v>
      </c>
      <c r="J1660" s="53">
        <v>0</v>
      </c>
      <c r="K1660" s="53">
        <v>0</v>
      </c>
      <c r="L1660" s="53">
        <v>24.5</v>
      </c>
      <c r="M1660" s="53" t="s">
        <v>858</v>
      </c>
      <c r="N1660" s="53">
        <v>31.3</v>
      </c>
      <c r="O1660" s="51" t="str">
        <f>TEXT(tblWorkPackages[[#This Row],[Request date serial]]-WEEKDAY(tblWorkPackages[[#This Row],[Request date serial]],3),"yyyy-mm-dd")</f>
        <v>2025-03-03</v>
      </c>
      <c r="P1660" s="51">
        <f>ABS(tblWorkPackages[[#This Row],[Actual labor hours]]-tblWorkPackages[[#This Row],[Estimated labor hours]])</f>
        <v>6.8</v>
      </c>
      <c r="Q1660" s="51">
        <f>IF(tblWorkPackages[[#This Row],[Actual labor hours]]&gt;tblWorkPackages[[#This Row],[Estimated labor hours]],1,0)</f>
        <v>1</v>
      </c>
      <c r="R1660" s="51">
        <f>tblWorkPackages[[#This Row],[Actual labor hours]]-tblWorkPackages[[#This Row],[Estimated labor hours]]</f>
        <v>6.8</v>
      </c>
      <c r="S1660" s="51" t="str">
        <f>IF(tblWorkPackages[[#This Row],[Request date serial]]&lt;ValidationStart,"Train 2024",IF(tblWorkPackages[[#This Row],[Request date serial]]&lt;HoldoutStart,"Validation H1","Holdout H2"))</f>
        <v>Validation H1</v>
      </c>
      <c r="T1660" s="51">
        <f>IF(tblWorkPackages[[#This Row],[Time split]]="Train 2024","",tblWorkPackages[[#This Row],[Estimated labor hours]]+VLOOKUP(tblWorkPackages[[#This Row],[Task type]],'Forecast validation'!$A$14:$E$25,IF(tblWorkPackages[[#This Row],[Time split]]="Validation H1",4,5),FALSE()))</f>
        <v>25.5320512820513</v>
      </c>
      <c r="U1660" s="51">
        <f>IF(tblWorkPackages[[#This Row],[Calibrated forecast hours]]="","",ABS(tblWorkPackages[[#This Row],[Actual labor hours]]-tblWorkPackages[[#This Row],[Calibrated forecast hours]]))</f>
        <v>5.76794871794872</v>
      </c>
      <c r="V1660" s="51">
        <f>IF(tblWorkPackages[[#This Row],[Time split]]="Train 2024",tblWorkPackages[[#This Row],[Estimated labor hours]],tblWorkPackages[[#This Row],[Calibrated forecast hours]])</f>
        <v>25.5320512820513</v>
      </c>
      <c r="W1660" s="64">
        <f>DATEVALUE(tblWorkPackages[[#This Row],[Request date]])</f>
        <v>45722.0</v>
      </c>
      <c r="X1660" s="64">
        <f>DATEVALUE(tblWorkPackages[[#This Row],[Due date]])</f>
        <v>45735.0</v>
      </c>
      <c r="Y1660" s="64">
        <f>DATEVALUE(tblWorkPackages[[#This Row],[Completion date]])</f>
        <v>45729.0</v>
      </c>
      <c r="Z1660" s="64">
        <f>_xlfn.MINIFS(tblLaborEntries[Work date serial],tblLaborEntries[Work package ID],tblWorkPackages[[#This Row],[Work package ID]])</f>
        <v>45725.0</v>
      </c>
      <c r="AA1660" s="64">
        <f>_xlfn.MAXIFS(tblLaborEntries[Work date serial],tblLaborEntries[Work package ID],tblWorkPackages[[#This Row],[Work package ID]])</f>
        <v>45727.0</v>
      </c>
      <c r="AB1660" s="65">
        <f>IF(tblWorkPackages[[#This Row],[Completion date serial]]&gt;tblWorkPackages[[#This Row],[Due date serial]],1,0)</f>
        <v>0</v>
      </c>
      <c r="AC1660" s="65">
        <f>MAX(0,tblWorkPackages[[#This Row],[Completion date serial]]-tblWorkPackages[[#This Row],[Due date serial]])</f>
        <v>0</v>
      </c>
      <c r="AD1660" s="65">
        <f>tblWorkPackages[[#This Row],[First labor date]]-tblWorkPackages[[#This Row],[Request date serial]]</f>
        <v>3</v>
      </c>
      <c r="AE1660" s="65">
        <f>tblWorkPackages[[#This Row],[Last labor date]]-tblWorkPackages[[#This Row],[First labor date]]</f>
        <v>2</v>
      </c>
      <c r="AF1660" s="65">
        <f>tblWorkPackages[[#This Row],[Completion date serial]]-tblWorkPackages[[#This Row],[Last labor date]]</f>
        <v>2</v>
      </c>
      <c r="AG1660" s="65">
        <f>tblWorkPackages[[#This Row],[Completion date serial]]-tblWorkPackages[[#This Row],[Request date serial]]</f>
        <v>7</v>
      </c>
      <c r="AH1660" s="65">
        <f>IFERROR(INDEX(tblParts[Delay days],MATCH(tblWorkPackages[[#This Row],[Work package ID]],tblParts[Work package ID],0)),0)</f>
        <v>0</v>
      </c>
      <c r="AI1660" s="51" t="str">
        <f>IFERROR(INDEX(tblDisruptions[Event type],MATCH(tblWorkPackages[[#This Row],[Work package ID]],tblDisruptions[Work package ID],0)),"None")</f>
        <v>None</v>
      </c>
      <c r="AJ1660" s="51" t="str">
        <f>TEXT(tblWorkPackages[[#This Row],[Due date serial]],"yyyy-mm")</f>
        <v>2025-03</v>
      </c>
    </row>
    <row r="1661" spans="1:36" ht="15" x14ac:dyDescent="0.25">
      <c r="A1661" s="53" t="s">
        <v>2570</v>
      </c>
      <c r="B1661" s="53" t="s">
        <v>157</v>
      </c>
      <c r="C1661" s="53" t="s">
        <v>1417</v>
      </c>
      <c r="D1661" s="53" t="s">
        <v>484</v>
      </c>
      <c r="E1661" s="53" t="s">
        <v>144</v>
      </c>
      <c r="F1661" s="53" t="s">
        <v>145</v>
      </c>
      <c r="G1661" s="53" t="s">
        <v>146</v>
      </c>
      <c r="H1661" s="53">
        <v>2</v>
      </c>
      <c r="I1661" s="53" t="s">
        <v>176</v>
      </c>
      <c r="J1661" s="53">
        <v>0</v>
      </c>
      <c r="K1661" s="53">
        <v>1</v>
      </c>
      <c r="L1661" s="53">
        <v>9.1</v>
      </c>
      <c r="M1661" s="53" t="s">
        <v>1084</v>
      </c>
      <c r="N1661" s="53">
        <v>10.6</v>
      </c>
      <c r="O1661" s="51" t="str">
        <f>TEXT(tblWorkPackages[[#This Row],[Request date serial]]-WEEKDAY(tblWorkPackages[[#This Row],[Request date serial]],3),"yyyy-mm-dd")</f>
        <v>2024-12-30</v>
      </c>
      <c r="P1661" s="51">
        <f>ABS(tblWorkPackages[[#This Row],[Actual labor hours]]-tblWorkPackages[[#This Row],[Estimated labor hours]])</f>
        <v>1.5</v>
      </c>
      <c r="Q1661" s="51">
        <f>IF(tblWorkPackages[[#This Row],[Actual labor hours]]&gt;tblWorkPackages[[#This Row],[Estimated labor hours]],1,0)</f>
        <v>1</v>
      </c>
      <c r="R1661" s="51">
        <f>tblWorkPackages[[#This Row],[Actual labor hours]]-tblWorkPackages[[#This Row],[Estimated labor hours]]</f>
        <v>1.5</v>
      </c>
      <c r="S1661" s="51" t="str">
        <f>IF(tblWorkPackages[[#This Row],[Request date serial]]&lt;ValidationStart,"Train 2024",IF(tblWorkPackages[[#This Row],[Request date serial]]&lt;HoldoutStart,"Validation H1","Holdout H2"))</f>
        <v>Train 2024</v>
      </c>
      <c r="T1661" s="51" t="str">
        <f>IF(tblWorkPackages[[#This Row],[Time split]]="Train 2024","",tblWorkPackages[[#This Row],[Estimated labor hours]]+VLOOKUP(tblWorkPackages[[#This Row],[Task type]],'Forecast validation'!$A$14:$E$25,IF(tblWorkPackages[[#This Row],[Time split]]="Validation H1",4,5),FALSE()))</f>
        <v/>
      </c>
      <c r="U1661" s="51" t="str">
        <f>IF(tblWorkPackages[[#This Row],[Calibrated forecast hours]]="","",ABS(tblWorkPackages[[#This Row],[Actual labor hours]]-tblWorkPackages[[#This Row],[Calibrated forecast hours]]))</f>
        <v/>
      </c>
      <c r="V1661" s="51">
        <f>IF(tblWorkPackages[[#This Row],[Time split]]="Train 2024",tblWorkPackages[[#This Row],[Estimated labor hours]],tblWorkPackages[[#This Row],[Calibrated forecast hours]])</f>
        <v>9.1</v>
      </c>
      <c r="W1661" s="64">
        <f>DATEVALUE(tblWorkPackages[[#This Row],[Request date]])</f>
        <v>45656.0</v>
      </c>
      <c r="X1661" s="64">
        <f>DATEVALUE(tblWorkPackages[[#This Row],[Due date]])</f>
        <v>45662.0</v>
      </c>
      <c r="Y1661" s="64">
        <f>DATEVALUE(tblWorkPackages[[#This Row],[Completion date]])</f>
        <v>45695.0</v>
      </c>
      <c r="Z1661" s="64">
        <f>_xlfn.MINIFS(tblLaborEntries[Work date serial],tblLaborEntries[Work package ID],tblWorkPackages[[#This Row],[Work package ID]])</f>
        <v>45691.0</v>
      </c>
      <c r="AA1661" s="64">
        <f>_xlfn.MAXIFS(tblLaborEntries[Work date serial],tblLaborEntries[Work package ID],tblWorkPackages[[#This Row],[Work package ID]])</f>
        <v>45692.0</v>
      </c>
      <c r="AB1661" s="65">
        <f>IF(tblWorkPackages[[#This Row],[Completion date serial]]&gt;tblWorkPackages[[#This Row],[Due date serial]],1,0)</f>
        <v>1</v>
      </c>
      <c r="AC1661" s="65">
        <f>MAX(0,tblWorkPackages[[#This Row],[Completion date serial]]-tblWorkPackages[[#This Row],[Due date serial]])</f>
        <v>33</v>
      </c>
      <c r="AD1661" s="65">
        <f>tblWorkPackages[[#This Row],[First labor date]]-tblWorkPackages[[#This Row],[Request date serial]]</f>
        <v>35</v>
      </c>
      <c r="AE1661" s="65">
        <f>tblWorkPackages[[#This Row],[Last labor date]]-tblWorkPackages[[#This Row],[First labor date]]</f>
        <v>1</v>
      </c>
      <c r="AF1661" s="65">
        <f>tblWorkPackages[[#This Row],[Completion date serial]]-tblWorkPackages[[#This Row],[Last labor date]]</f>
        <v>3</v>
      </c>
      <c r="AG1661" s="65">
        <f>tblWorkPackages[[#This Row],[Completion date serial]]-tblWorkPackages[[#This Row],[Request date serial]]</f>
        <v>39</v>
      </c>
      <c r="AH1661" s="65">
        <f>IFERROR(INDEX(tblParts[Delay days],MATCH(tblWorkPackages[[#This Row],[Work package ID]],tblParts[Work package ID],0)),0)</f>
        <v>0</v>
      </c>
      <c r="AI1661" s="51" t="str">
        <f>IFERROR(INDEX(tblDisruptions[Event type],MATCH(tblWorkPackages[[#This Row],[Work package ID]],tblDisruptions[Work package ID],0)),"None")</f>
        <v>None</v>
      </c>
      <c r="AJ1661" s="51" t="str">
        <f>TEXT(tblWorkPackages[[#This Row],[Due date serial]],"yyyy-mm")</f>
        <v>2025-01</v>
      </c>
    </row>
    <row r="1662" spans="1:36" ht="15" x14ac:dyDescent="0.25">
      <c r="A1662" s="53" t="s">
        <v>2571</v>
      </c>
      <c r="B1662" s="53" t="s">
        <v>124</v>
      </c>
      <c r="C1662" s="53" t="s">
        <v>1741</v>
      </c>
      <c r="D1662" s="53" t="s">
        <v>535</v>
      </c>
      <c r="E1662" s="53" t="s">
        <v>200</v>
      </c>
      <c r="F1662" s="53" t="s">
        <v>128</v>
      </c>
      <c r="G1662" s="53" t="s">
        <v>129</v>
      </c>
      <c r="H1662" s="53">
        <v>1</v>
      </c>
      <c r="I1662" s="53" t="s">
        <v>147</v>
      </c>
      <c r="J1662" s="53">
        <v>0</v>
      </c>
      <c r="K1662" s="53">
        <v>0</v>
      </c>
      <c r="L1662" s="53">
        <v>1.8</v>
      </c>
      <c r="M1662" s="53" t="s">
        <v>982</v>
      </c>
      <c r="N1662" s="53">
        <v>2.6</v>
      </c>
      <c r="O1662" s="51" t="str">
        <f>TEXT(tblWorkPackages[[#This Row],[Request date serial]]-WEEKDAY(tblWorkPackages[[#This Row],[Request date serial]],3),"yyyy-mm-dd")</f>
        <v>2024-11-04</v>
      </c>
      <c r="P1662" s="51">
        <f>ABS(tblWorkPackages[[#This Row],[Actual labor hours]]-tblWorkPackages[[#This Row],[Estimated labor hours]])</f>
        <v>0.8</v>
      </c>
      <c r="Q1662" s="51">
        <f>IF(tblWorkPackages[[#This Row],[Actual labor hours]]&gt;tblWorkPackages[[#This Row],[Estimated labor hours]],1,0)</f>
        <v>1</v>
      </c>
      <c r="R1662" s="51">
        <f>tblWorkPackages[[#This Row],[Actual labor hours]]-tblWorkPackages[[#This Row],[Estimated labor hours]]</f>
        <v>0.8</v>
      </c>
      <c r="S1662" s="51" t="str">
        <f>IF(tblWorkPackages[[#This Row],[Request date serial]]&lt;ValidationStart,"Train 2024",IF(tblWorkPackages[[#This Row],[Request date serial]]&lt;HoldoutStart,"Validation H1","Holdout H2"))</f>
        <v>Train 2024</v>
      </c>
      <c r="T1662" s="51" t="str">
        <f>IF(tblWorkPackages[[#This Row],[Time split]]="Train 2024","",tblWorkPackages[[#This Row],[Estimated labor hours]]+VLOOKUP(tblWorkPackages[[#This Row],[Task type]],'Forecast validation'!$A$14:$E$25,IF(tblWorkPackages[[#This Row],[Time split]]="Validation H1",4,5),FALSE()))</f>
        <v/>
      </c>
      <c r="U1662" s="51" t="str">
        <f>IF(tblWorkPackages[[#This Row],[Calibrated forecast hours]]="","",ABS(tblWorkPackages[[#This Row],[Actual labor hours]]-tblWorkPackages[[#This Row],[Calibrated forecast hours]]))</f>
        <v/>
      </c>
      <c r="V1662" s="51">
        <f>IF(tblWorkPackages[[#This Row],[Time split]]="Train 2024",tblWorkPackages[[#This Row],[Estimated labor hours]],tblWorkPackages[[#This Row],[Calibrated forecast hours]])</f>
        <v>1.8</v>
      </c>
      <c r="W1662" s="64">
        <f>DATEVALUE(tblWorkPackages[[#This Row],[Request date]])</f>
        <v>45600.0</v>
      </c>
      <c r="X1662" s="64">
        <f>DATEVALUE(tblWorkPackages[[#This Row],[Due date]])</f>
        <v>45602.0</v>
      </c>
      <c r="Y1662" s="64">
        <f>DATEVALUE(tblWorkPackages[[#This Row],[Completion date]])</f>
        <v>45606.0</v>
      </c>
      <c r="Z1662" s="64">
        <f>_xlfn.MINIFS(tblLaborEntries[Work date serial],tblLaborEntries[Work package ID],tblWorkPackages[[#This Row],[Work package ID]])</f>
        <v>45606.0</v>
      </c>
      <c r="AA1662" s="64">
        <f>_xlfn.MAXIFS(tblLaborEntries[Work date serial],tblLaborEntries[Work package ID],tblWorkPackages[[#This Row],[Work package ID]])</f>
        <v>45606.0</v>
      </c>
      <c r="AB1662" s="65">
        <f>IF(tblWorkPackages[[#This Row],[Completion date serial]]&gt;tblWorkPackages[[#This Row],[Due date serial]],1,0)</f>
        <v>1</v>
      </c>
      <c r="AC1662" s="65">
        <f>MAX(0,tblWorkPackages[[#This Row],[Completion date serial]]-tblWorkPackages[[#This Row],[Due date serial]])</f>
        <v>4</v>
      </c>
      <c r="AD1662" s="65">
        <f>tblWorkPackages[[#This Row],[First labor date]]-tblWorkPackages[[#This Row],[Request date serial]]</f>
        <v>6</v>
      </c>
      <c r="AE1662" s="65">
        <f>tblWorkPackages[[#This Row],[Last labor date]]-tblWorkPackages[[#This Row],[First labor date]]</f>
        <v>0</v>
      </c>
      <c r="AF1662" s="65">
        <f>tblWorkPackages[[#This Row],[Completion date serial]]-tblWorkPackages[[#This Row],[Last labor date]]</f>
        <v>0</v>
      </c>
      <c r="AG1662" s="65">
        <f>tblWorkPackages[[#This Row],[Completion date serial]]-tblWorkPackages[[#This Row],[Request date serial]]</f>
        <v>6</v>
      </c>
      <c r="AH1662" s="65">
        <f>IFERROR(INDEX(tblParts[Delay days],MATCH(tblWorkPackages[[#This Row],[Work package ID]],tblParts[Work package ID],0)),0)</f>
        <v>0</v>
      </c>
      <c r="AI1662" s="51" t="str">
        <f>IFERROR(INDEX(tblDisruptions[Event type],MATCH(tblWorkPackages[[#This Row],[Work package ID]],tblDisruptions[Work package ID],0)),"None")</f>
        <v>Technician absence</v>
      </c>
      <c r="AJ1662" s="51" t="str">
        <f>TEXT(tblWorkPackages[[#This Row],[Due date serial]],"yyyy-mm")</f>
        <v>2024-11</v>
      </c>
    </row>
    <row r="1663" spans="1:36" ht="15" x14ac:dyDescent="0.25">
      <c r="A1663" s="53" t="s">
        <v>2572</v>
      </c>
      <c r="B1663" s="53" t="s">
        <v>157</v>
      </c>
      <c r="C1663" s="53" t="s">
        <v>920</v>
      </c>
      <c r="D1663" s="53" t="s">
        <v>1115</v>
      </c>
      <c r="E1663" s="53" t="s">
        <v>200</v>
      </c>
      <c r="F1663" s="53" t="s">
        <v>128</v>
      </c>
      <c r="G1663" s="53" t="s">
        <v>129</v>
      </c>
      <c r="H1663" s="53">
        <v>1</v>
      </c>
      <c r="I1663" s="53" t="s">
        <v>130</v>
      </c>
      <c r="J1663" s="53">
        <v>1</v>
      </c>
      <c r="K1663" s="53">
        <v>0</v>
      </c>
      <c r="L1663" s="53">
        <v>2.1</v>
      </c>
      <c r="M1663" s="53" t="s">
        <v>676</v>
      </c>
      <c r="N1663" s="53">
        <v>2.7</v>
      </c>
      <c r="O1663" s="51" t="str">
        <f>TEXT(tblWorkPackages[[#This Row],[Request date serial]]-WEEKDAY(tblWorkPackages[[#This Row],[Request date serial]],3),"yyyy-mm-dd")</f>
        <v>2024-04-15</v>
      </c>
      <c r="P1663" s="51">
        <f>ABS(tblWorkPackages[[#This Row],[Actual labor hours]]-tblWorkPackages[[#This Row],[Estimated labor hours]])</f>
        <v>0.6</v>
      </c>
      <c r="Q1663" s="51">
        <f>IF(tblWorkPackages[[#This Row],[Actual labor hours]]&gt;tblWorkPackages[[#This Row],[Estimated labor hours]],1,0)</f>
        <v>1</v>
      </c>
      <c r="R1663" s="51">
        <f>tblWorkPackages[[#This Row],[Actual labor hours]]-tblWorkPackages[[#This Row],[Estimated labor hours]]</f>
        <v>0.6</v>
      </c>
      <c r="S1663" s="51" t="str">
        <f>IF(tblWorkPackages[[#This Row],[Request date serial]]&lt;ValidationStart,"Train 2024",IF(tblWorkPackages[[#This Row],[Request date serial]]&lt;HoldoutStart,"Validation H1","Holdout H2"))</f>
        <v>Train 2024</v>
      </c>
      <c r="T1663" s="51" t="str">
        <f>IF(tblWorkPackages[[#This Row],[Time split]]="Train 2024","",tblWorkPackages[[#This Row],[Estimated labor hours]]+VLOOKUP(tblWorkPackages[[#This Row],[Task type]],'Forecast validation'!$A$14:$E$25,IF(tblWorkPackages[[#This Row],[Time split]]="Validation H1",4,5),FALSE()))</f>
        <v/>
      </c>
      <c r="U1663" s="51" t="str">
        <f>IF(tblWorkPackages[[#This Row],[Calibrated forecast hours]]="","",ABS(tblWorkPackages[[#This Row],[Actual labor hours]]-tblWorkPackages[[#This Row],[Calibrated forecast hours]]))</f>
        <v/>
      </c>
      <c r="V1663" s="51">
        <f>IF(tblWorkPackages[[#This Row],[Time split]]="Train 2024",tblWorkPackages[[#This Row],[Estimated labor hours]],tblWorkPackages[[#This Row],[Calibrated forecast hours]])</f>
        <v>2.1</v>
      </c>
      <c r="W1663" s="64">
        <f>DATEVALUE(tblWorkPackages[[#This Row],[Request date]])</f>
        <v>45401.0</v>
      </c>
      <c r="X1663" s="64">
        <f>DATEVALUE(tblWorkPackages[[#This Row],[Due date]])</f>
        <v>45414.0</v>
      </c>
      <c r="Y1663" s="64">
        <f>DATEVALUE(tblWorkPackages[[#This Row],[Completion date]])</f>
        <v>45405.0</v>
      </c>
      <c r="Z1663" s="64">
        <f>_xlfn.MINIFS(tblLaborEntries[Work date serial],tblLaborEntries[Work package ID],tblWorkPackages[[#This Row],[Work package ID]])</f>
        <v>45403.0</v>
      </c>
      <c r="AA1663" s="64">
        <f>_xlfn.MAXIFS(tblLaborEntries[Work date serial],tblLaborEntries[Work package ID],tblWorkPackages[[#This Row],[Work package ID]])</f>
        <v>45404.0</v>
      </c>
      <c r="AB1663" s="65">
        <f>IF(tblWorkPackages[[#This Row],[Completion date serial]]&gt;tblWorkPackages[[#This Row],[Due date serial]],1,0)</f>
        <v>0</v>
      </c>
      <c r="AC1663" s="65">
        <f>MAX(0,tblWorkPackages[[#This Row],[Completion date serial]]-tblWorkPackages[[#This Row],[Due date serial]])</f>
        <v>0</v>
      </c>
      <c r="AD1663" s="65">
        <f>tblWorkPackages[[#This Row],[First labor date]]-tblWorkPackages[[#This Row],[Request date serial]]</f>
        <v>2</v>
      </c>
      <c r="AE1663" s="65">
        <f>tblWorkPackages[[#This Row],[Last labor date]]-tblWorkPackages[[#This Row],[First labor date]]</f>
        <v>1</v>
      </c>
      <c r="AF1663" s="65">
        <f>tblWorkPackages[[#This Row],[Completion date serial]]-tblWorkPackages[[#This Row],[Last labor date]]</f>
        <v>1</v>
      </c>
      <c r="AG1663" s="65">
        <f>tblWorkPackages[[#This Row],[Completion date serial]]-tblWorkPackages[[#This Row],[Request date serial]]</f>
        <v>4</v>
      </c>
      <c r="AH1663" s="65">
        <f>IFERROR(INDEX(tblParts[Delay days],MATCH(tblWorkPackages[[#This Row],[Work package ID]],tblParts[Work package ID],0)),0)</f>
        <v>0</v>
      </c>
      <c r="AI1663" s="51" t="str">
        <f>IFERROR(INDEX(tblDisruptions[Event type],MATCH(tblWorkPackages[[#This Row],[Work package ID]],tblDisruptions[Work package ID],0)),"None")</f>
        <v>None</v>
      </c>
      <c r="AJ1663" s="51" t="str">
        <f>TEXT(tblWorkPackages[[#This Row],[Due date serial]],"yyyy-mm")</f>
        <v>2024-05</v>
      </c>
    </row>
    <row r="1664" spans="1:36" ht="15" x14ac:dyDescent="0.25">
      <c r="A1664" s="53" t="s">
        <v>2573</v>
      </c>
      <c r="B1664" s="53" t="s">
        <v>168</v>
      </c>
      <c r="C1664" s="53" t="s">
        <v>558</v>
      </c>
      <c r="D1664" s="53" t="s">
        <v>559</v>
      </c>
      <c r="E1664" s="53" t="s">
        <v>127</v>
      </c>
      <c r="F1664" s="53" t="s">
        <v>128</v>
      </c>
      <c r="G1664" s="53" t="s">
        <v>129</v>
      </c>
      <c r="H1664" s="53">
        <v>3</v>
      </c>
      <c r="I1664" s="53" t="s">
        <v>130</v>
      </c>
      <c r="J1664" s="53">
        <v>0</v>
      </c>
      <c r="K1664" s="53">
        <v>0</v>
      </c>
      <c r="L1664" s="53">
        <v>8.8000000000000007</v>
      </c>
      <c r="M1664" s="53" t="s">
        <v>537</v>
      </c>
      <c r="N1664" s="53">
        <v>11.2</v>
      </c>
      <c r="O1664" s="51" t="str">
        <f>TEXT(tblWorkPackages[[#This Row],[Request date serial]]-WEEKDAY(tblWorkPackages[[#This Row],[Request date serial]],3),"yyyy-mm-dd")</f>
        <v>2025-10-27</v>
      </c>
      <c r="P1664" s="51">
        <f>ABS(tblWorkPackages[[#This Row],[Actual labor hours]]-tblWorkPackages[[#This Row],[Estimated labor hours]])</f>
        <v>2.4</v>
      </c>
      <c r="Q1664" s="51">
        <f>IF(tblWorkPackages[[#This Row],[Actual labor hours]]&gt;tblWorkPackages[[#This Row],[Estimated labor hours]],1,0)</f>
        <v>1</v>
      </c>
      <c r="R1664" s="51">
        <f>tblWorkPackages[[#This Row],[Actual labor hours]]-tblWorkPackages[[#This Row],[Estimated labor hours]]</f>
        <v>2.4</v>
      </c>
      <c r="S1664" s="51" t="str">
        <f>IF(tblWorkPackages[[#This Row],[Request date serial]]&lt;ValidationStart,"Train 2024",IF(tblWorkPackages[[#This Row],[Request date serial]]&lt;HoldoutStart,"Validation H1","Holdout H2"))</f>
        <v>Holdout H2</v>
      </c>
      <c r="T1664" s="51">
        <f>IF(tblWorkPackages[[#This Row],[Time split]]="Train 2024","",tblWorkPackages[[#This Row],[Estimated labor hours]]+VLOOKUP(tblWorkPackages[[#This Row],[Task type]],'Forecast validation'!$A$14:$E$25,IF(tblWorkPackages[[#This Row],[Time split]]="Validation H1",4,5),FALSE()))</f>
        <v>9.34341085271318</v>
      </c>
      <c r="U1664" s="51">
        <f>IF(tblWorkPackages[[#This Row],[Calibrated forecast hours]]="","",ABS(tblWorkPackages[[#This Row],[Actual labor hours]]-tblWorkPackages[[#This Row],[Calibrated forecast hours]]))</f>
        <v>1.85658914728682</v>
      </c>
      <c r="V1664" s="51">
        <f>IF(tblWorkPackages[[#This Row],[Time split]]="Train 2024",tblWorkPackages[[#This Row],[Estimated labor hours]],tblWorkPackages[[#This Row],[Calibrated forecast hours]])</f>
        <v>9.34341085271318</v>
      </c>
      <c r="W1664" s="64">
        <f>DATEVALUE(tblWorkPackages[[#This Row],[Request date]])</f>
        <v>45961.0</v>
      </c>
      <c r="X1664" s="64">
        <f>DATEVALUE(tblWorkPackages[[#This Row],[Due date]])</f>
        <v>45974.0</v>
      </c>
      <c r="Y1664" s="64">
        <f>DATEVALUE(tblWorkPackages[[#This Row],[Completion date]])</f>
        <v>45979.0</v>
      </c>
      <c r="Z1664" s="64">
        <f>_xlfn.MINIFS(tblLaborEntries[Work date serial],tblLaborEntries[Work package ID],tblWorkPackages[[#This Row],[Work package ID]])</f>
        <v>45976.0</v>
      </c>
      <c r="AA1664" s="64">
        <f>_xlfn.MAXIFS(tblLaborEntries[Work date serial],tblLaborEntries[Work package ID],tblWorkPackages[[#This Row],[Work package ID]])</f>
        <v>45977.0</v>
      </c>
      <c r="AB1664" s="65">
        <f>IF(tblWorkPackages[[#This Row],[Completion date serial]]&gt;tblWorkPackages[[#This Row],[Due date serial]],1,0)</f>
        <v>1</v>
      </c>
      <c r="AC1664" s="65">
        <f>MAX(0,tblWorkPackages[[#This Row],[Completion date serial]]-tblWorkPackages[[#This Row],[Due date serial]])</f>
        <v>5</v>
      </c>
      <c r="AD1664" s="65">
        <f>tblWorkPackages[[#This Row],[First labor date]]-tblWorkPackages[[#This Row],[Request date serial]]</f>
        <v>15</v>
      </c>
      <c r="AE1664" s="65">
        <f>tblWorkPackages[[#This Row],[Last labor date]]-tblWorkPackages[[#This Row],[First labor date]]</f>
        <v>1</v>
      </c>
      <c r="AF1664" s="65">
        <f>tblWorkPackages[[#This Row],[Completion date serial]]-tblWorkPackages[[#This Row],[Last labor date]]</f>
        <v>2</v>
      </c>
      <c r="AG1664" s="65">
        <f>tblWorkPackages[[#This Row],[Completion date serial]]-tblWorkPackages[[#This Row],[Request date serial]]</f>
        <v>18</v>
      </c>
      <c r="AH1664" s="65">
        <f>IFERROR(INDEX(tblParts[Delay days],MATCH(tblWorkPackages[[#This Row],[Work package ID]],tblParts[Work package ID],0)),0)</f>
        <v>0</v>
      </c>
      <c r="AI1664" s="51" t="str">
        <f>IFERROR(INDEX(tblDisruptions[Event type],MATCH(tblWorkPackages[[#This Row],[Work package ID]],tblDisruptions[Work package ID],0)),"None")</f>
        <v>None</v>
      </c>
      <c r="AJ1664" s="51" t="str">
        <f>TEXT(tblWorkPackages[[#This Row],[Due date serial]],"yyyy-mm")</f>
        <v>2025-11</v>
      </c>
    </row>
    <row r="1665" spans="1:36" ht="15" x14ac:dyDescent="0.25">
      <c r="A1665" s="53" t="s">
        <v>2574</v>
      </c>
      <c r="B1665" s="53" t="s">
        <v>173</v>
      </c>
      <c r="C1665" s="53" t="s">
        <v>375</v>
      </c>
      <c r="D1665" s="53" t="s">
        <v>274</v>
      </c>
      <c r="E1665" s="53" t="s">
        <v>136</v>
      </c>
      <c r="F1665" s="53" t="s">
        <v>137</v>
      </c>
      <c r="G1665" s="53" t="s">
        <v>138</v>
      </c>
      <c r="H1665" s="53">
        <v>1</v>
      </c>
      <c r="I1665" s="53" t="s">
        <v>130</v>
      </c>
      <c r="J1665" s="53">
        <v>0</v>
      </c>
      <c r="K1665" s="53">
        <v>0</v>
      </c>
      <c r="L1665" s="53">
        <v>10.1</v>
      </c>
      <c r="M1665" s="53" t="s">
        <v>916</v>
      </c>
      <c r="N1665" s="53">
        <v>8.1999999999999993</v>
      </c>
      <c r="O1665" s="51" t="str">
        <f>TEXT(tblWorkPackages[[#This Row],[Request date serial]]-WEEKDAY(tblWorkPackages[[#This Row],[Request date serial]],3),"yyyy-mm-dd")</f>
        <v>2025-04-21</v>
      </c>
      <c r="P1665" s="51">
        <f>ABS(tblWorkPackages[[#This Row],[Actual labor hours]]-tblWorkPackages[[#This Row],[Estimated labor hours]])</f>
        <v>1.9</v>
      </c>
      <c r="Q1665" s="51">
        <f>IF(tblWorkPackages[[#This Row],[Actual labor hours]]&gt;tblWorkPackages[[#This Row],[Estimated labor hours]],1,0)</f>
        <v>0</v>
      </c>
      <c r="R1665" s="51">
        <f>tblWorkPackages[[#This Row],[Actual labor hours]]-tblWorkPackages[[#This Row],[Estimated labor hours]]</f>
        <v>-1.9</v>
      </c>
      <c r="S1665" s="51" t="str">
        <f>IF(tblWorkPackages[[#This Row],[Request date serial]]&lt;ValidationStart,"Train 2024",IF(tblWorkPackages[[#This Row],[Request date serial]]&lt;HoldoutStart,"Validation H1","Holdout H2"))</f>
        <v>Validation H1</v>
      </c>
      <c r="T1665" s="51">
        <f>IF(tblWorkPackages[[#This Row],[Time split]]="Train 2024","",tblWorkPackages[[#This Row],[Estimated labor hours]]+VLOOKUP(tblWorkPackages[[#This Row],[Task type]],'Forecast validation'!$A$14:$E$25,IF(tblWorkPackages[[#This Row],[Time split]]="Validation H1",4,5),FALSE()))</f>
        <v>10.9765306122449</v>
      </c>
      <c r="U1665" s="51">
        <f>IF(tblWorkPackages[[#This Row],[Calibrated forecast hours]]="","",ABS(tblWorkPackages[[#This Row],[Actual labor hours]]-tblWorkPackages[[#This Row],[Calibrated forecast hours]]))</f>
        <v>2.7765306122449</v>
      </c>
      <c r="V1665" s="51">
        <f>IF(tblWorkPackages[[#This Row],[Time split]]="Train 2024",tblWorkPackages[[#This Row],[Estimated labor hours]],tblWorkPackages[[#This Row],[Calibrated forecast hours]])</f>
        <v>10.9765306122449</v>
      </c>
      <c r="W1665" s="64">
        <f>DATEVALUE(tblWorkPackages[[#This Row],[Request date]])</f>
        <v>45770.0</v>
      </c>
      <c r="X1665" s="64">
        <f>DATEVALUE(tblWorkPackages[[#This Row],[Due date]])</f>
        <v>45783.0</v>
      </c>
      <c r="Y1665" s="64">
        <f>DATEVALUE(tblWorkPackages[[#This Row],[Completion date]])</f>
        <v>45777.0</v>
      </c>
      <c r="Z1665" s="64">
        <f>_xlfn.MINIFS(tblLaborEntries[Work date serial],tblLaborEntries[Work package ID],tblWorkPackages[[#This Row],[Work package ID]])</f>
        <v>45774.0</v>
      </c>
      <c r="AA1665" s="64">
        <f>_xlfn.MAXIFS(tblLaborEntries[Work date serial],tblLaborEntries[Work package ID],tblWorkPackages[[#This Row],[Work package ID]])</f>
        <v>45774.0</v>
      </c>
      <c r="AB1665" s="65">
        <f>IF(tblWorkPackages[[#This Row],[Completion date serial]]&gt;tblWorkPackages[[#This Row],[Due date serial]],1,0)</f>
        <v>0</v>
      </c>
      <c r="AC1665" s="65">
        <f>MAX(0,tblWorkPackages[[#This Row],[Completion date serial]]-tblWorkPackages[[#This Row],[Due date serial]])</f>
        <v>0</v>
      </c>
      <c r="AD1665" s="65">
        <f>tblWorkPackages[[#This Row],[First labor date]]-tblWorkPackages[[#This Row],[Request date serial]]</f>
        <v>4</v>
      </c>
      <c r="AE1665" s="65">
        <f>tblWorkPackages[[#This Row],[Last labor date]]-tblWorkPackages[[#This Row],[First labor date]]</f>
        <v>0</v>
      </c>
      <c r="AF1665" s="65">
        <f>tblWorkPackages[[#This Row],[Completion date serial]]-tblWorkPackages[[#This Row],[Last labor date]]</f>
        <v>3</v>
      </c>
      <c r="AG1665" s="65">
        <f>tblWorkPackages[[#This Row],[Completion date serial]]-tblWorkPackages[[#This Row],[Request date serial]]</f>
        <v>7</v>
      </c>
      <c r="AH1665" s="65">
        <f>IFERROR(INDEX(tblParts[Delay days],MATCH(tblWorkPackages[[#This Row],[Work package ID]],tblParts[Work package ID],0)),0)</f>
        <v>0</v>
      </c>
      <c r="AI1665" s="51" t="str">
        <f>IFERROR(INDEX(tblDisruptions[Event type],MATCH(tblWorkPackages[[#This Row],[Work package ID]],tblDisruptions[Work package ID],0)),"None")</f>
        <v>None</v>
      </c>
      <c r="AJ1665" s="51" t="str">
        <f>TEXT(tblWorkPackages[[#This Row],[Due date serial]],"yyyy-mm")</f>
        <v>2025-05</v>
      </c>
    </row>
    <row r="1666" spans="1:36" ht="15" x14ac:dyDescent="0.25">
      <c r="A1666" s="53" t="s">
        <v>2575</v>
      </c>
      <c r="B1666" s="53" t="s">
        <v>185</v>
      </c>
      <c r="C1666" s="53" t="s">
        <v>1056</v>
      </c>
      <c r="D1666" s="53" t="s">
        <v>1178</v>
      </c>
      <c r="E1666" s="53" t="s">
        <v>136</v>
      </c>
      <c r="F1666" s="53" t="s">
        <v>137</v>
      </c>
      <c r="G1666" s="53" t="s">
        <v>138</v>
      </c>
      <c r="H1666" s="53">
        <v>4</v>
      </c>
      <c r="I1666" s="53" t="s">
        <v>176</v>
      </c>
      <c r="J1666" s="53">
        <v>0</v>
      </c>
      <c r="K1666" s="53">
        <v>0</v>
      </c>
      <c r="L1666" s="53">
        <v>24.8</v>
      </c>
      <c r="M1666" s="53" t="s">
        <v>285</v>
      </c>
      <c r="N1666" s="53">
        <v>22.4</v>
      </c>
      <c r="O1666" s="51" t="str">
        <f>TEXT(tblWorkPackages[[#This Row],[Request date serial]]-WEEKDAY(tblWorkPackages[[#This Row],[Request date serial]],3),"yyyy-mm-dd")</f>
        <v>2025-09-08</v>
      </c>
      <c r="P1666" s="51">
        <f>ABS(tblWorkPackages[[#This Row],[Actual labor hours]]-tblWorkPackages[[#This Row],[Estimated labor hours]])</f>
        <v>2.4</v>
      </c>
      <c r="Q1666" s="51">
        <f>IF(tblWorkPackages[[#This Row],[Actual labor hours]]&gt;tblWorkPackages[[#This Row],[Estimated labor hours]],1,0)</f>
        <v>0</v>
      </c>
      <c r="R1666" s="51">
        <f>tblWorkPackages[[#This Row],[Actual labor hours]]-tblWorkPackages[[#This Row],[Estimated labor hours]]</f>
        <v>-2.4</v>
      </c>
      <c r="S1666" s="51" t="str">
        <f>IF(tblWorkPackages[[#This Row],[Request date serial]]&lt;ValidationStart,"Train 2024",IF(tblWorkPackages[[#This Row],[Request date serial]]&lt;HoldoutStart,"Validation H1","Holdout H2"))</f>
        <v>Holdout H2</v>
      </c>
      <c r="T1666" s="51">
        <f>IF(tblWorkPackages[[#This Row],[Time split]]="Train 2024","",tblWorkPackages[[#This Row],[Estimated labor hours]]+VLOOKUP(tblWorkPackages[[#This Row],[Task type]],'Forecast validation'!$A$14:$E$25,IF(tblWorkPackages[[#This Row],[Time split]]="Validation H1",4,5),FALSE()))</f>
        <v>25.7207547169811</v>
      </c>
      <c r="U1666" s="51">
        <f>IF(tblWorkPackages[[#This Row],[Calibrated forecast hours]]="","",ABS(tblWorkPackages[[#This Row],[Actual labor hours]]-tblWorkPackages[[#This Row],[Calibrated forecast hours]]))</f>
        <v>3.32075471698114</v>
      </c>
      <c r="V1666" s="51">
        <f>IF(tblWorkPackages[[#This Row],[Time split]]="Train 2024",tblWorkPackages[[#This Row],[Estimated labor hours]],tblWorkPackages[[#This Row],[Calibrated forecast hours]])</f>
        <v>25.7207547169811</v>
      </c>
      <c r="W1666" s="64">
        <f>DATEVALUE(tblWorkPackages[[#This Row],[Request date]])</f>
        <v>45913.0</v>
      </c>
      <c r="X1666" s="64">
        <f>DATEVALUE(tblWorkPackages[[#This Row],[Due date]])</f>
        <v>45919.0</v>
      </c>
      <c r="Y1666" s="64">
        <f>DATEVALUE(tblWorkPackages[[#This Row],[Completion date]])</f>
        <v>45915.0</v>
      </c>
      <c r="Z1666" s="64">
        <f>_xlfn.MINIFS(tblLaborEntries[Work date serial],tblLaborEntries[Work package ID],tblWorkPackages[[#This Row],[Work package ID]])</f>
        <v>45914.0</v>
      </c>
      <c r="AA1666" s="64">
        <f>_xlfn.MAXIFS(tblLaborEntries[Work date serial],tblLaborEntries[Work package ID],tblWorkPackages[[#This Row],[Work package ID]])</f>
        <v>45915.0</v>
      </c>
      <c r="AB1666" s="65">
        <f>IF(tblWorkPackages[[#This Row],[Completion date serial]]&gt;tblWorkPackages[[#This Row],[Due date serial]],1,0)</f>
        <v>0</v>
      </c>
      <c r="AC1666" s="65">
        <f>MAX(0,tblWorkPackages[[#This Row],[Completion date serial]]-tblWorkPackages[[#This Row],[Due date serial]])</f>
        <v>0</v>
      </c>
      <c r="AD1666" s="65">
        <f>tblWorkPackages[[#This Row],[First labor date]]-tblWorkPackages[[#This Row],[Request date serial]]</f>
        <v>1</v>
      </c>
      <c r="AE1666" s="65">
        <f>tblWorkPackages[[#This Row],[Last labor date]]-tblWorkPackages[[#This Row],[First labor date]]</f>
        <v>1</v>
      </c>
      <c r="AF1666" s="65">
        <f>tblWorkPackages[[#This Row],[Completion date serial]]-tblWorkPackages[[#This Row],[Last labor date]]</f>
        <v>0</v>
      </c>
      <c r="AG1666" s="65">
        <f>tblWorkPackages[[#This Row],[Completion date serial]]-tblWorkPackages[[#This Row],[Request date serial]]</f>
        <v>2</v>
      </c>
      <c r="AH1666" s="65">
        <f>IFERROR(INDEX(tblParts[Delay days],MATCH(tblWorkPackages[[#This Row],[Work package ID]],tblParts[Work package ID],0)),0)</f>
        <v>0</v>
      </c>
      <c r="AI1666" s="51" t="str">
        <f>IFERROR(INDEX(tblDisruptions[Event type],MATCH(tblWorkPackages[[#This Row],[Work package ID]],tblDisruptions[Work package ID],0)),"None")</f>
        <v>None</v>
      </c>
      <c r="AJ1666" s="51" t="str">
        <f>TEXT(tblWorkPackages[[#This Row],[Due date serial]],"yyyy-mm")</f>
        <v>2025-09</v>
      </c>
    </row>
    <row r="1667" spans="1:36" ht="15" x14ac:dyDescent="0.25">
      <c r="A1667" s="53" t="s">
        <v>2576</v>
      </c>
      <c r="B1667" s="53" t="s">
        <v>287</v>
      </c>
      <c r="C1667" s="53" t="s">
        <v>863</v>
      </c>
      <c r="D1667" s="53" t="s">
        <v>738</v>
      </c>
      <c r="E1667" s="53" t="s">
        <v>223</v>
      </c>
      <c r="F1667" s="53" t="s">
        <v>182</v>
      </c>
      <c r="G1667" s="53" t="s">
        <v>154</v>
      </c>
      <c r="H1667" s="53">
        <v>1</v>
      </c>
      <c r="I1667" s="53" t="s">
        <v>147</v>
      </c>
      <c r="J1667" s="53">
        <v>0</v>
      </c>
      <c r="K1667" s="53">
        <v>1</v>
      </c>
      <c r="L1667" s="53">
        <v>8.8000000000000007</v>
      </c>
      <c r="M1667" s="53" t="s">
        <v>501</v>
      </c>
      <c r="N1667" s="53">
        <v>10.3</v>
      </c>
      <c r="O1667" s="51" t="str">
        <f>TEXT(tblWorkPackages[[#This Row],[Request date serial]]-WEEKDAY(tblWorkPackages[[#This Row],[Request date serial]],3),"yyyy-mm-dd")</f>
        <v>2025-06-23</v>
      </c>
      <c r="P1667" s="51">
        <f>ABS(tblWorkPackages[[#This Row],[Actual labor hours]]-tblWorkPackages[[#This Row],[Estimated labor hours]])</f>
        <v>1.5</v>
      </c>
      <c r="Q1667" s="51">
        <f>IF(tblWorkPackages[[#This Row],[Actual labor hours]]&gt;tblWorkPackages[[#This Row],[Estimated labor hours]],1,0)</f>
        <v>1</v>
      </c>
      <c r="R1667" s="51">
        <f>tblWorkPackages[[#This Row],[Actual labor hours]]-tblWorkPackages[[#This Row],[Estimated labor hours]]</f>
        <v>1.5</v>
      </c>
      <c r="S1667" s="51" t="str">
        <f>IF(tblWorkPackages[[#This Row],[Request date serial]]&lt;ValidationStart,"Train 2024",IF(tblWorkPackages[[#This Row],[Request date serial]]&lt;HoldoutStart,"Validation H1","Holdout H2"))</f>
        <v>Validation H1</v>
      </c>
      <c r="T1667" s="51">
        <f>IF(tblWorkPackages[[#This Row],[Time split]]="Train 2024","",tblWorkPackages[[#This Row],[Estimated labor hours]]+VLOOKUP(tblWorkPackages[[#This Row],[Task type]],'Forecast validation'!$A$14:$E$25,IF(tblWorkPackages[[#This Row],[Time split]]="Validation H1",4,5),FALSE()))</f>
        <v>9.68241758241758</v>
      </c>
      <c r="U1667" s="51">
        <f>IF(tblWorkPackages[[#This Row],[Calibrated forecast hours]]="","",ABS(tblWorkPackages[[#This Row],[Actual labor hours]]-tblWorkPackages[[#This Row],[Calibrated forecast hours]]))</f>
        <v>0.617582417582417</v>
      </c>
      <c r="V1667" s="51">
        <f>IF(tblWorkPackages[[#This Row],[Time split]]="Train 2024",tblWorkPackages[[#This Row],[Estimated labor hours]],tblWorkPackages[[#This Row],[Calibrated forecast hours]])</f>
        <v>9.68241758241758</v>
      </c>
      <c r="W1667" s="64">
        <f>DATEVALUE(tblWorkPackages[[#This Row],[Request date]])</f>
        <v>45837.0</v>
      </c>
      <c r="X1667" s="64">
        <f>DATEVALUE(tblWorkPackages[[#This Row],[Due date]])</f>
        <v>45839.0</v>
      </c>
      <c r="Y1667" s="64">
        <f>DATEVALUE(tblWorkPackages[[#This Row],[Completion date]])</f>
        <v>45848.0</v>
      </c>
      <c r="Z1667" s="64">
        <f>_xlfn.MINIFS(tblLaborEntries[Work date serial],tblLaborEntries[Work package ID],tblWorkPackages[[#This Row],[Work package ID]])</f>
        <v>45847.0</v>
      </c>
      <c r="AA1667" s="64">
        <f>_xlfn.MAXIFS(tblLaborEntries[Work date serial],tblLaborEntries[Work package ID],tblWorkPackages[[#This Row],[Work package ID]])</f>
        <v>45847.0</v>
      </c>
      <c r="AB1667" s="65">
        <f>IF(tblWorkPackages[[#This Row],[Completion date serial]]&gt;tblWorkPackages[[#This Row],[Due date serial]],1,0)</f>
        <v>1</v>
      </c>
      <c r="AC1667" s="65">
        <f>MAX(0,tblWorkPackages[[#This Row],[Completion date serial]]-tblWorkPackages[[#This Row],[Due date serial]])</f>
        <v>9</v>
      </c>
      <c r="AD1667" s="65">
        <f>tblWorkPackages[[#This Row],[First labor date]]-tblWorkPackages[[#This Row],[Request date serial]]</f>
        <v>10</v>
      </c>
      <c r="AE1667" s="65">
        <f>tblWorkPackages[[#This Row],[Last labor date]]-tblWorkPackages[[#This Row],[First labor date]]</f>
        <v>0</v>
      </c>
      <c r="AF1667" s="65">
        <f>tblWorkPackages[[#This Row],[Completion date serial]]-tblWorkPackages[[#This Row],[Last labor date]]</f>
        <v>1</v>
      </c>
      <c r="AG1667" s="65">
        <f>tblWorkPackages[[#This Row],[Completion date serial]]-tblWorkPackages[[#This Row],[Request date serial]]</f>
        <v>11</v>
      </c>
      <c r="AH1667" s="65">
        <f>IFERROR(INDEX(tblParts[Delay days],MATCH(tblWorkPackages[[#This Row],[Work package ID]],tblParts[Work package ID],0)),0)</f>
        <v>0</v>
      </c>
      <c r="AI1667" s="51" t="str">
        <f>IFERROR(INDEX(tblDisruptions[Event type],MATCH(tblWorkPackages[[#This Row],[Work package ID]],tblDisruptions[Work package ID],0)),"None")</f>
        <v>None</v>
      </c>
      <c r="AJ1667" s="51" t="str">
        <f>TEXT(tblWorkPackages[[#This Row],[Due date serial]],"yyyy-mm")</f>
        <v>2025-07</v>
      </c>
    </row>
    <row r="1668" spans="1:36" ht="15" x14ac:dyDescent="0.25">
      <c r="A1668" s="53" t="s">
        <v>2577</v>
      </c>
      <c r="B1668" s="53" t="s">
        <v>230</v>
      </c>
      <c r="C1668" s="53" t="s">
        <v>759</v>
      </c>
      <c r="D1668" s="53" t="s">
        <v>655</v>
      </c>
      <c r="E1668" s="53" t="s">
        <v>223</v>
      </c>
      <c r="F1668" s="53" t="s">
        <v>182</v>
      </c>
      <c r="G1668" s="53" t="s">
        <v>154</v>
      </c>
      <c r="H1668" s="53">
        <v>3</v>
      </c>
      <c r="I1668" s="53" t="s">
        <v>176</v>
      </c>
      <c r="J1668" s="53">
        <v>0</v>
      </c>
      <c r="K1668" s="53">
        <v>0</v>
      </c>
      <c r="L1668" s="53">
        <v>19.600000000000001</v>
      </c>
      <c r="M1668" s="53" t="s">
        <v>1068</v>
      </c>
      <c r="N1668" s="53">
        <v>22.1</v>
      </c>
      <c r="O1668" s="51" t="str">
        <f>TEXT(tblWorkPackages[[#This Row],[Request date serial]]-WEEKDAY(tblWorkPackages[[#This Row],[Request date serial]],3),"yyyy-mm-dd")</f>
        <v>2024-03-11</v>
      </c>
      <c r="P1668" s="51">
        <f>ABS(tblWorkPackages[[#This Row],[Actual labor hours]]-tblWorkPackages[[#This Row],[Estimated labor hours]])</f>
        <v>2.5</v>
      </c>
      <c r="Q1668" s="51">
        <f>IF(tblWorkPackages[[#This Row],[Actual labor hours]]&gt;tblWorkPackages[[#This Row],[Estimated labor hours]],1,0)</f>
        <v>1</v>
      </c>
      <c r="R1668" s="51">
        <f>tblWorkPackages[[#This Row],[Actual labor hours]]-tblWorkPackages[[#This Row],[Estimated labor hours]]</f>
        <v>2.5</v>
      </c>
      <c r="S1668" s="51" t="str">
        <f>IF(tblWorkPackages[[#This Row],[Request date serial]]&lt;ValidationStart,"Train 2024",IF(tblWorkPackages[[#This Row],[Request date serial]]&lt;HoldoutStart,"Validation H1","Holdout H2"))</f>
        <v>Train 2024</v>
      </c>
      <c r="T1668" s="51" t="str">
        <f>IF(tblWorkPackages[[#This Row],[Time split]]="Train 2024","",tblWorkPackages[[#This Row],[Estimated labor hours]]+VLOOKUP(tblWorkPackages[[#This Row],[Task type]],'Forecast validation'!$A$14:$E$25,IF(tblWorkPackages[[#This Row],[Time split]]="Validation H1",4,5),FALSE()))</f>
        <v/>
      </c>
      <c r="U1668" s="51" t="str">
        <f>IF(tblWorkPackages[[#This Row],[Calibrated forecast hours]]="","",ABS(tblWorkPackages[[#This Row],[Actual labor hours]]-tblWorkPackages[[#This Row],[Calibrated forecast hours]]))</f>
        <v/>
      </c>
      <c r="V1668" s="51">
        <f>IF(tblWorkPackages[[#This Row],[Time split]]="Train 2024",tblWorkPackages[[#This Row],[Estimated labor hours]],tblWorkPackages[[#This Row],[Calibrated forecast hours]])</f>
        <v>19.6</v>
      </c>
      <c r="W1668" s="64">
        <f>DATEVALUE(tblWorkPackages[[#This Row],[Request date]])</f>
        <v>45363.0</v>
      </c>
      <c r="X1668" s="64">
        <f>DATEVALUE(tblWorkPackages[[#This Row],[Due date]])</f>
        <v>45369.0</v>
      </c>
      <c r="Y1668" s="64">
        <f>DATEVALUE(tblWorkPackages[[#This Row],[Completion date]])</f>
        <v>45370.0</v>
      </c>
      <c r="Z1668" s="64">
        <f>_xlfn.MINIFS(tblLaborEntries[Work date serial],tblLaborEntries[Work package ID],tblWorkPackages[[#This Row],[Work package ID]])</f>
        <v>45366.0</v>
      </c>
      <c r="AA1668" s="64">
        <f>_xlfn.MAXIFS(tblLaborEntries[Work date serial],tblLaborEntries[Work package ID],tblWorkPackages[[#This Row],[Work package ID]])</f>
        <v>45368.0</v>
      </c>
      <c r="AB1668" s="65">
        <f>IF(tblWorkPackages[[#This Row],[Completion date serial]]&gt;tblWorkPackages[[#This Row],[Due date serial]],1,0)</f>
        <v>1</v>
      </c>
      <c r="AC1668" s="65">
        <f>MAX(0,tblWorkPackages[[#This Row],[Completion date serial]]-tblWorkPackages[[#This Row],[Due date serial]])</f>
        <v>1</v>
      </c>
      <c r="AD1668" s="65">
        <f>tblWorkPackages[[#This Row],[First labor date]]-tblWorkPackages[[#This Row],[Request date serial]]</f>
        <v>3</v>
      </c>
      <c r="AE1668" s="65">
        <f>tblWorkPackages[[#This Row],[Last labor date]]-tblWorkPackages[[#This Row],[First labor date]]</f>
        <v>2</v>
      </c>
      <c r="AF1668" s="65">
        <f>tblWorkPackages[[#This Row],[Completion date serial]]-tblWorkPackages[[#This Row],[Last labor date]]</f>
        <v>2</v>
      </c>
      <c r="AG1668" s="65">
        <f>tblWorkPackages[[#This Row],[Completion date serial]]-tblWorkPackages[[#This Row],[Request date serial]]</f>
        <v>7</v>
      </c>
      <c r="AH1668" s="65">
        <f>IFERROR(INDEX(tblParts[Delay days],MATCH(tblWorkPackages[[#This Row],[Work package ID]],tblParts[Work package ID],0)),0)</f>
        <v>0</v>
      </c>
      <c r="AI1668" s="51" t="str">
        <f>IFERROR(INDEX(tblDisruptions[Event type],MATCH(tblWorkPackages[[#This Row],[Work package ID]],tblDisruptions[Work package ID],0)),"None")</f>
        <v>None</v>
      </c>
      <c r="AJ1668" s="51" t="str">
        <f>TEXT(tblWorkPackages[[#This Row],[Due date serial]],"yyyy-mm")</f>
        <v>2024-03</v>
      </c>
    </row>
    <row r="1669" spans="1:36" ht="15" x14ac:dyDescent="0.25">
      <c r="A1669" s="53" t="s">
        <v>2578</v>
      </c>
      <c r="B1669" s="53" t="s">
        <v>287</v>
      </c>
      <c r="C1669" s="53" t="s">
        <v>305</v>
      </c>
      <c r="D1669" s="53" t="s">
        <v>642</v>
      </c>
      <c r="E1669" s="53" t="s">
        <v>209</v>
      </c>
      <c r="F1669" s="53" t="s">
        <v>145</v>
      </c>
      <c r="G1669" s="53" t="s">
        <v>210</v>
      </c>
      <c r="H1669" s="53">
        <v>1</v>
      </c>
      <c r="I1669" s="53" t="s">
        <v>130</v>
      </c>
      <c r="J1669" s="53">
        <v>0</v>
      </c>
      <c r="K1669" s="53">
        <v>1</v>
      </c>
      <c r="L1669" s="53">
        <v>14.1</v>
      </c>
      <c r="M1669" s="53" t="s">
        <v>1089</v>
      </c>
      <c r="N1669" s="53">
        <v>17.3</v>
      </c>
      <c r="O1669" s="51" t="str">
        <f>TEXT(tblWorkPackages[[#This Row],[Request date serial]]-WEEKDAY(tblWorkPackages[[#This Row],[Request date serial]],3),"yyyy-mm-dd")</f>
        <v>2024-07-01</v>
      </c>
      <c r="P1669" s="51">
        <f>ABS(tblWorkPackages[[#This Row],[Actual labor hours]]-tblWorkPackages[[#This Row],[Estimated labor hours]])</f>
        <v>3.2</v>
      </c>
      <c r="Q1669" s="51">
        <f>IF(tblWorkPackages[[#This Row],[Actual labor hours]]&gt;tblWorkPackages[[#This Row],[Estimated labor hours]],1,0)</f>
        <v>1</v>
      </c>
      <c r="R1669" s="51">
        <f>tblWorkPackages[[#This Row],[Actual labor hours]]-tblWorkPackages[[#This Row],[Estimated labor hours]]</f>
        <v>3.2</v>
      </c>
      <c r="S1669" s="51" t="str">
        <f>IF(tblWorkPackages[[#This Row],[Request date serial]]&lt;ValidationStart,"Train 2024",IF(tblWorkPackages[[#This Row],[Request date serial]]&lt;HoldoutStart,"Validation H1","Holdout H2"))</f>
        <v>Train 2024</v>
      </c>
      <c r="T1669" s="51" t="str">
        <f>IF(tblWorkPackages[[#This Row],[Time split]]="Train 2024","",tblWorkPackages[[#This Row],[Estimated labor hours]]+VLOOKUP(tblWorkPackages[[#This Row],[Task type]],'Forecast validation'!$A$14:$E$25,IF(tblWorkPackages[[#This Row],[Time split]]="Validation H1",4,5),FALSE()))</f>
        <v/>
      </c>
      <c r="U1669" s="51" t="str">
        <f>IF(tblWorkPackages[[#This Row],[Calibrated forecast hours]]="","",ABS(tblWorkPackages[[#This Row],[Actual labor hours]]-tblWorkPackages[[#This Row],[Calibrated forecast hours]]))</f>
        <v/>
      </c>
      <c r="V1669" s="51">
        <f>IF(tblWorkPackages[[#This Row],[Time split]]="Train 2024",tblWorkPackages[[#This Row],[Estimated labor hours]],tblWorkPackages[[#This Row],[Calibrated forecast hours]])</f>
        <v>14.1</v>
      </c>
      <c r="W1669" s="64">
        <f>DATEVALUE(tblWorkPackages[[#This Row],[Request date]])</f>
        <v>45475.0</v>
      </c>
      <c r="X1669" s="64">
        <f>DATEVALUE(tblWorkPackages[[#This Row],[Due date]])</f>
        <v>45488.0</v>
      </c>
      <c r="Y1669" s="64">
        <f>DATEVALUE(tblWorkPackages[[#This Row],[Completion date]])</f>
        <v>45505.0</v>
      </c>
      <c r="Z1669" s="64">
        <f>_xlfn.MINIFS(tblLaborEntries[Work date serial],tblLaborEntries[Work package ID],tblWorkPackages[[#This Row],[Work package ID]])</f>
        <v>45502.0</v>
      </c>
      <c r="AA1669" s="64">
        <f>_xlfn.MAXIFS(tblLaborEntries[Work date serial],tblLaborEntries[Work package ID],tblWorkPackages[[#This Row],[Work package ID]])</f>
        <v>45502.0</v>
      </c>
      <c r="AB1669" s="65">
        <f>IF(tblWorkPackages[[#This Row],[Completion date serial]]&gt;tblWorkPackages[[#This Row],[Due date serial]],1,0)</f>
        <v>1</v>
      </c>
      <c r="AC1669" s="65">
        <f>MAX(0,tblWorkPackages[[#This Row],[Completion date serial]]-tblWorkPackages[[#This Row],[Due date serial]])</f>
        <v>17</v>
      </c>
      <c r="AD1669" s="65">
        <f>tblWorkPackages[[#This Row],[First labor date]]-tblWorkPackages[[#This Row],[Request date serial]]</f>
        <v>27</v>
      </c>
      <c r="AE1669" s="65">
        <f>tblWorkPackages[[#This Row],[Last labor date]]-tblWorkPackages[[#This Row],[First labor date]]</f>
        <v>0</v>
      </c>
      <c r="AF1669" s="65">
        <f>tblWorkPackages[[#This Row],[Completion date serial]]-tblWorkPackages[[#This Row],[Last labor date]]</f>
        <v>3</v>
      </c>
      <c r="AG1669" s="65">
        <f>tblWorkPackages[[#This Row],[Completion date serial]]-tblWorkPackages[[#This Row],[Request date serial]]</f>
        <v>30</v>
      </c>
      <c r="AH1669" s="65">
        <f>IFERROR(INDEX(tblParts[Delay days],MATCH(tblWorkPackages[[#This Row],[Work package ID]],tblParts[Work package ID],0)),0)</f>
        <v>0</v>
      </c>
      <c r="AI1669" s="51" t="str">
        <f>IFERROR(INDEX(tblDisruptions[Event type],MATCH(tblWorkPackages[[#This Row],[Work package ID]],tblDisruptions[Work package ID],0)),"None")</f>
        <v>None</v>
      </c>
      <c r="AJ1669" s="51" t="str">
        <f>TEXT(tblWorkPackages[[#This Row],[Due date serial]],"yyyy-mm")</f>
        <v>2024-07</v>
      </c>
    </row>
    <row r="1670" spans="1:36" ht="15" x14ac:dyDescent="0.25">
      <c r="A1670" s="53" t="s">
        <v>2579</v>
      </c>
      <c r="B1670" s="53" t="s">
        <v>235</v>
      </c>
      <c r="C1670" s="53" t="s">
        <v>384</v>
      </c>
      <c r="D1670" s="53" t="s">
        <v>412</v>
      </c>
      <c r="E1670" s="53" t="s">
        <v>237</v>
      </c>
      <c r="F1670" s="53" t="s">
        <v>182</v>
      </c>
      <c r="G1670" s="53" t="s">
        <v>138</v>
      </c>
      <c r="H1670" s="53">
        <v>2</v>
      </c>
      <c r="I1670" s="53" t="s">
        <v>176</v>
      </c>
      <c r="J1670" s="53">
        <v>0</v>
      </c>
      <c r="K1670" s="53">
        <v>0</v>
      </c>
      <c r="L1670" s="53">
        <v>5.5</v>
      </c>
      <c r="M1670" s="53" t="s">
        <v>188</v>
      </c>
      <c r="N1670" s="53">
        <v>6.5</v>
      </c>
      <c r="O1670" s="51" t="str">
        <f>TEXT(tblWorkPackages[[#This Row],[Request date serial]]-WEEKDAY(tblWorkPackages[[#This Row],[Request date serial]],3),"yyyy-mm-dd")</f>
        <v>2025-02-17</v>
      </c>
      <c r="P1670" s="51">
        <f>ABS(tblWorkPackages[[#This Row],[Actual labor hours]]-tblWorkPackages[[#This Row],[Estimated labor hours]])</f>
        <v>1</v>
      </c>
      <c r="Q1670" s="51">
        <f>IF(tblWorkPackages[[#This Row],[Actual labor hours]]&gt;tblWorkPackages[[#This Row],[Estimated labor hours]],1,0)</f>
        <v>1</v>
      </c>
      <c r="R1670" s="51">
        <f>tblWorkPackages[[#This Row],[Actual labor hours]]-tblWorkPackages[[#This Row],[Estimated labor hours]]</f>
        <v>1</v>
      </c>
      <c r="S1670" s="51" t="str">
        <f>IF(tblWorkPackages[[#This Row],[Request date serial]]&lt;ValidationStart,"Train 2024",IF(tblWorkPackages[[#This Row],[Request date serial]]&lt;HoldoutStart,"Validation H1","Holdout H2"))</f>
        <v>Validation H1</v>
      </c>
      <c r="T1670" s="51">
        <f>IF(tblWorkPackages[[#This Row],[Time split]]="Train 2024","",tblWorkPackages[[#This Row],[Estimated labor hours]]+VLOOKUP(tblWorkPackages[[#This Row],[Task type]],'Forecast validation'!$A$14:$E$25,IF(tblWorkPackages[[#This Row],[Time split]]="Validation H1",4,5),FALSE()))</f>
        <v>6.0037037037037</v>
      </c>
      <c r="U1670" s="51">
        <f>IF(tblWorkPackages[[#This Row],[Calibrated forecast hours]]="","",ABS(tblWorkPackages[[#This Row],[Actual labor hours]]-tblWorkPackages[[#This Row],[Calibrated forecast hours]]))</f>
        <v>0.496296296296296</v>
      </c>
      <c r="V1670" s="51">
        <f>IF(tblWorkPackages[[#This Row],[Time split]]="Train 2024",tblWorkPackages[[#This Row],[Estimated labor hours]],tblWorkPackages[[#This Row],[Calibrated forecast hours]])</f>
        <v>6.0037037037037</v>
      </c>
      <c r="W1670" s="64">
        <f>DATEVALUE(tblWorkPackages[[#This Row],[Request date]])</f>
        <v>45706.0</v>
      </c>
      <c r="X1670" s="64">
        <f>DATEVALUE(tblWorkPackages[[#This Row],[Due date]])</f>
        <v>45712.0</v>
      </c>
      <c r="Y1670" s="64">
        <f>DATEVALUE(tblWorkPackages[[#This Row],[Completion date]])</f>
        <v>45711.0</v>
      </c>
      <c r="Z1670" s="64">
        <f>_xlfn.MINIFS(tblLaborEntries[Work date serial],tblLaborEntries[Work package ID],tblWorkPackages[[#This Row],[Work package ID]])</f>
        <v>45710.0</v>
      </c>
      <c r="AA1670" s="64">
        <f>_xlfn.MAXIFS(tblLaborEntries[Work date serial],tblLaborEntries[Work package ID],tblWorkPackages[[#This Row],[Work package ID]])</f>
        <v>45711.0</v>
      </c>
      <c r="AB1670" s="65">
        <f>IF(tblWorkPackages[[#This Row],[Completion date serial]]&gt;tblWorkPackages[[#This Row],[Due date serial]],1,0)</f>
        <v>0</v>
      </c>
      <c r="AC1670" s="65">
        <f>MAX(0,tblWorkPackages[[#This Row],[Completion date serial]]-tblWorkPackages[[#This Row],[Due date serial]])</f>
        <v>0</v>
      </c>
      <c r="AD1670" s="65">
        <f>tblWorkPackages[[#This Row],[First labor date]]-tblWorkPackages[[#This Row],[Request date serial]]</f>
        <v>4</v>
      </c>
      <c r="AE1670" s="65">
        <f>tblWorkPackages[[#This Row],[Last labor date]]-tblWorkPackages[[#This Row],[First labor date]]</f>
        <v>1</v>
      </c>
      <c r="AF1670" s="65">
        <f>tblWorkPackages[[#This Row],[Completion date serial]]-tblWorkPackages[[#This Row],[Last labor date]]</f>
        <v>0</v>
      </c>
      <c r="AG1670" s="65">
        <f>tblWorkPackages[[#This Row],[Completion date serial]]-tblWorkPackages[[#This Row],[Request date serial]]</f>
        <v>5</v>
      </c>
      <c r="AH1670" s="65">
        <f>IFERROR(INDEX(tblParts[Delay days],MATCH(tblWorkPackages[[#This Row],[Work package ID]],tblParts[Work package ID],0)),0)</f>
        <v>0</v>
      </c>
      <c r="AI1670" s="51" t="str">
        <f>IFERROR(INDEX(tblDisruptions[Event type],MATCH(tblWorkPackages[[#This Row],[Work package ID]],tblDisruptions[Work package ID],0)),"None")</f>
        <v>None</v>
      </c>
      <c r="AJ1670" s="51" t="str">
        <f>TEXT(tblWorkPackages[[#This Row],[Due date serial]],"yyyy-mm")</f>
        <v>2025-02</v>
      </c>
    </row>
    <row r="1671" spans="1:36" ht="15" x14ac:dyDescent="0.25">
      <c r="A1671" s="53" t="s">
        <v>2580</v>
      </c>
      <c r="B1671" s="53" t="s">
        <v>203</v>
      </c>
      <c r="C1671" s="53" t="s">
        <v>360</v>
      </c>
      <c r="D1671" s="53" t="s">
        <v>643</v>
      </c>
      <c r="E1671" s="53" t="s">
        <v>181</v>
      </c>
      <c r="F1671" s="53" t="s">
        <v>182</v>
      </c>
      <c r="G1671" s="53" t="s">
        <v>138</v>
      </c>
      <c r="H1671" s="53">
        <v>4</v>
      </c>
      <c r="I1671" s="53" t="s">
        <v>176</v>
      </c>
      <c r="J1671" s="53">
        <v>1</v>
      </c>
      <c r="K1671" s="53">
        <v>1</v>
      </c>
      <c r="L1671" s="53">
        <v>13</v>
      </c>
      <c r="M1671" s="53" t="s">
        <v>854</v>
      </c>
      <c r="N1671" s="53">
        <v>15.1</v>
      </c>
      <c r="O1671" s="51" t="str">
        <f>TEXT(tblWorkPackages[[#This Row],[Request date serial]]-WEEKDAY(tblWorkPackages[[#This Row],[Request date serial]],3),"yyyy-mm-dd")</f>
        <v>2024-07-15</v>
      </c>
      <c r="P1671" s="51">
        <f>ABS(tblWorkPackages[[#This Row],[Actual labor hours]]-tblWorkPackages[[#This Row],[Estimated labor hours]])</f>
        <v>2.1</v>
      </c>
      <c r="Q1671" s="51">
        <f>IF(tblWorkPackages[[#This Row],[Actual labor hours]]&gt;tblWorkPackages[[#This Row],[Estimated labor hours]],1,0)</f>
        <v>1</v>
      </c>
      <c r="R1671" s="51">
        <f>tblWorkPackages[[#This Row],[Actual labor hours]]-tblWorkPackages[[#This Row],[Estimated labor hours]]</f>
        <v>2.1</v>
      </c>
      <c r="S1671" s="51" t="str">
        <f>IF(tblWorkPackages[[#This Row],[Request date serial]]&lt;ValidationStart,"Train 2024",IF(tblWorkPackages[[#This Row],[Request date serial]]&lt;HoldoutStart,"Validation H1","Holdout H2"))</f>
        <v>Train 2024</v>
      </c>
      <c r="T1671" s="51" t="str">
        <f>IF(tblWorkPackages[[#This Row],[Time split]]="Train 2024","",tblWorkPackages[[#This Row],[Estimated labor hours]]+VLOOKUP(tblWorkPackages[[#This Row],[Task type]],'Forecast validation'!$A$14:$E$25,IF(tblWorkPackages[[#This Row],[Time split]]="Validation H1",4,5),FALSE()))</f>
        <v/>
      </c>
      <c r="U1671" s="51" t="str">
        <f>IF(tblWorkPackages[[#This Row],[Calibrated forecast hours]]="","",ABS(tblWorkPackages[[#This Row],[Actual labor hours]]-tblWorkPackages[[#This Row],[Calibrated forecast hours]]))</f>
        <v/>
      </c>
      <c r="V1671" s="51">
        <f>IF(tblWorkPackages[[#This Row],[Time split]]="Train 2024",tblWorkPackages[[#This Row],[Estimated labor hours]],tblWorkPackages[[#This Row],[Calibrated forecast hours]])</f>
        <v>13</v>
      </c>
      <c r="W1671" s="64">
        <f>DATEVALUE(tblWorkPackages[[#This Row],[Request date]])</f>
        <v>45489.0</v>
      </c>
      <c r="X1671" s="64">
        <f>DATEVALUE(tblWorkPackages[[#This Row],[Due date]])</f>
        <v>45495.0</v>
      </c>
      <c r="Y1671" s="64">
        <f>DATEVALUE(tblWorkPackages[[#This Row],[Completion date]])</f>
        <v>45492.0</v>
      </c>
      <c r="Z1671" s="64">
        <f>_xlfn.MINIFS(tblLaborEntries[Work date serial],tblLaborEntries[Work package ID],tblWorkPackages[[#This Row],[Work package ID]])</f>
        <v>45490.0</v>
      </c>
      <c r="AA1671" s="64">
        <f>_xlfn.MAXIFS(tblLaborEntries[Work date serial],tblLaborEntries[Work package ID],tblWorkPackages[[#This Row],[Work package ID]])</f>
        <v>45491.0</v>
      </c>
      <c r="AB1671" s="65">
        <f>IF(tblWorkPackages[[#This Row],[Completion date serial]]&gt;tblWorkPackages[[#This Row],[Due date serial]],1,0)</f>
        <v>0</v>
      </c>
      <c r="AC1671" s="65">
        <f>MAX(0,tblWorkPackages[[#This Row],[Completion date serial]]-tblWorkPackages[[#This Row],[Due date serial]])</f>
        <v>0</v>
      </c>
      <c r="AD1671" s="65">
        <f>tblWorkPackages[[#This Row],[First labor date]]-tblWorkPackages[[#This Row],[Request date serial]]</f>
        <v>1</v>
      </c>
      <c r="AE1671" s="65">
        <f>tblWorkPackages[[#This Row],[Last labor date]]-tblWorkPackages[[#This Row],[First labor date]]</f>
        <v>1</v>
      </c>
      <c r="AF1671" s="65">
        <f>tblWorkPackages[[#This Row],[Completion date serial]]-tblWorkPackages[[#This Row],[Last labor date]]</f>
        <v>1</v>
      </c>
      <c r="AG1671" s="65">
        <f>tblWorkPackages[[#This Row],[Completion date serial]]-tblWorkPackages[[#This Row],[Request date serial]]</f>
        <v>3</v>
      </c>
      <c r="AH1671" s="65">
        <f>IFERROR(INDEX(tblParts[Delay days],MATCH(tblWorkPackages[[#This Row],[Work package ID]],tblParts[Work package ID],0)),0)</f>
        <v>0</v>
      </c>
      <c r="AI1671" s="51" t="str">
        <f>IFERROR(INDEX(tblDisruptions[Event type],MATCH(tblWorkPackages[[#This Row],[Work package ID]],tblDisruptions[Work package ID],0)),"None")</f>
        <v>None</v>
      </c>
      <c r="AJ1671" s="51" t="str">
        <f>TEXT(tblWorkPackages[[#This Row],[Due date serial]],"yyyy-mm")</f>
        <v>2024-07</v>
      </c>
    </row>
    <row r="1672" spans="1:36" ht="15" x14ac:dyDescent="0.25">
      <c r="A1672" s="53" t="s">
        <v>2581</v>
      </c>
      <c r="B1672" s="53" t="s">
        <v>185</v>
      </c>
      <c r="C1672" s="53" t="s">
        <v>311</v>
      </c>
      <c r="D1672" s="53" t="s">
        <v>312</v>
      </c>
      <c r="E1672" s="53" t="s">
        <v>181</v>
      </c>
      <c r="F1672" s="53" t="s">
        <v>182</v>
      </c>
      <c r="G1672" s="53" t="s">
        <v>138</v>
      </c>
      <c r="H1672" s="53">
        <v>3</v>
      </c>
      <c r="I1672" s="53" t="s">
        <v>176</v>
      </c>
      <c r="J1672" s="53">
        <v>1</v>
      </c>
      <c r="K1672" s="53">
        <v>1</v>
      </c>
      <c r="L1672" s="53">
        <v>10.3</v>
      </c>
      <c r="M1672" s="53" t="s">
        <v>283</v>
      </c>
      <c r="N1672" s="53">
        <v>14.5</v>
      </c>
      <c r="O1672" s="51" t="str">
        <f>TEXT(tblWorkPackages[[#This Row],[Request date serial]]-WEEKDAY(tblWorkPackages[[#This Row],[Request date serial]],3),"yyyy-mm-dd")</f>
        <v>2025-08-11</v>
      </c>
      <c r="P1672" s="51">
        <f>ABS(tblWorkPackages[[#This Row],[Actual labor hours]]-tblWorkPackages[[#This Row],[Estimated labor hours]])</f>
        <v>4.2</v>
      </c>
      <c r="Q1672" s="51">
        <f>IF(tblWorkPackages[[#This Row],[Actual labor hours]]&gt;tblWorkPackages[[#This Row],[Estimated labor hours]],1,0)</f>
        <v>1</v>
      </c>
      <c r="R1672" s="51">
        <f>tblWorkPackages[[#This Row],[Actual labor hours]]-tblWorkPackages[[#This Row],[Estimated labor hours]]</f>
        <v>4.2</v>
      </c>
      <c r="S1672" s="51" t="str">
        <f>IF(tblWorkPackages[[#This Row],[Request date serial]]&lt;ValidationStart,"Train 2024",IF(tblWorkPackages[[#This Row],[Request date serial]]&lt;HoldoutStart,"Validation H1","Holdout H2"))</f>
        <v>Holdout H2</v>
      </c>
      <c r="T1672" s="51">
        <f>IF(tblWorkPackages[[#This Row],[Time split]]="Train 2024","",tblWorkPackages[[#This Row],[Estimated labor hours]]+VLOOKUP(tblWorkPackages[[#This Row],[Task type]],'Forecast validation'!$A$14:$E$25,IF(tblWorkPackages[[#This Row],[Time split]]="Validation H1",4,5),FALSE()))</f>
        <v>10.8916083916084</v>
      </c>
      <c r="U1672" s="51">
        <f>IF(tblWorkPackages[[#This Row],[Calibrated forecast hours]]="","",ABS(tblWorkPackages[[#This Row],[Actual labor hours]]-tblWorkPackages[[#This Row],[Calibrated forecast hours]]))</f>
        <v>3.60839160839161</v>
      </c>
      <c r="V1672" s="51">
        <f>IF(tblWorkPackages[[#This Row],[Time split]]="Train 2024",tblWorkPackages[[#This Row],[Estimated labor hours]],tblWorkPackages[[#This Row],[Calibrated forecast hours]])</f>
        <v>10.8916083916084</v>
      </c>
      <c r="W1672" s="64">
        <f>DATEVALUE(tblWorkPackages[[#This Row],[Request date]])</f>
        <v>45881.0</v>
      </c>
      <c r="X1672" s="64">
        <f>DATEVALUE(tblWorkPackages[[#This Row],[Due date]])</f>
        <v>45887.0</v>
      </c>
      <c r="Y1672" s="64">
        <f>DATEVALUE(tblWorkPackages[[#This Row],[Completion date]])</f>
        <v>45897.0</v>
      </c>
      <c r="Z1672" s="64">
        <f>_xlfn.MINIFS(tblLaborEntries[Work date serial],tblLaborEntries[Work package ID],tblWorkPackages[[#This Row],[Work package ID]])</f>
        <v>45894.0</v>
      </c>
      <c r="AA1672" s="64">
        <f>_xlfn.MAXIFS(tblLaborEntries[Work date serial],tblLaborEntries[Work package ID],tblWorkPackages[[#This Row],[Work package ID]])</f>
        <v>45895.0</v>
      </c>
      <c r="AB1672" s="65">
        <f>IF(tblWorkPackages[[#This Row],[Completion date serial]]&gt;tblWorkPackages[[#This Row],[Due date serial]],1,0)</f>
        <v>1</v>
      </c>
      <c r="AC1672" s="65">
        <f>MAX(0,tblWorkPackages[[#This Row],[Completion date serial]]-tblWorkPackages[[#This Row],[Due date serial]])</f>
        <v>10</v>
      </c>
      <c r="AD1672" s="65">
        <f>tblWorkPackages[[#This Row],[First labor date]]-tblWorkPackages[[#This Row],[Request date serial]]</f>
        <v>13</v>
      </c>
      <c r="AE1672" s="65">
        <f>tblWorkPackages[[#This Row],[Last labor date]]-tblWorkPackages[[#This Row],[First labor date]]</f>
        <v>1</v>
      </c>
      <c r="AF1672" s="65">
        <f>tblWorkPackages[[#This Row],[Completion date serial]]-tblWorkPackages[[#This Row],[Last labor date]]</f>
        <v>2</v>
      </c>
      <c r="AG1672" s="65">
        <f>tblWorkPackages[[#This Row],[Completion date serial]]-tblWorkPackages[[#This Row],[Request date serial]]</f>
        <v>16</v>
      </c>
      <c r="AH1672" s="65">
        <f>IFERROR(INDEX(tblParts[Delay days],MATCH(tblWorkPackages[[#This Row],[Work package ID]],tblParts[Work package ID],0)),0)</f>
        <v>0</v>
      </c>
      <c r="AI1672" s="51" t="str">
        <f>IFERROR(INDEX(tblDisruptions[Event type],MATCH(tblWorkPackages[[#This Row],[Work package ID]],tblDisruptions[Work package ID],0)),"None")</f>
        <v>None</v>
      </c>
      <c r="AJ1672" s="51" t="str">
        <f>TEXT(tblWorkPackages[[#This Row],[Due date serial]],"yyyy-mm")</f>
        <v>2025-08</v>
      </c>
    </row>
    <row r="1673" spans="1:36" ht="15" x14ac:dyDescent="0.25">
      <c r="A1673" s="53" t="s">
        <v>2582</v>
      </c>
      <c r="B1673" s="53" t="s">
        <v>203</v>
      </c>
      <c r="C1673" s="53" t="s">
        <v>289</v>
      </c>
      <c r="D1673" s="53" t="s">
        <v>941</v>
      </c>
      <c r="E1673" s="53" t="s">
        <v>136</v>
      </c>
      <c r="F1673" s="53" t="s">
        <v>137</v>
      </c>
      <c r="G1673" s="53" t="s">
        <v>138</v>
      </c>
      <c r="H1673" s="53">
        <v>3</v>
      </c>
      <c r="I1673" s="53" t="s">
        <v>130</v>
      </c>
      <c r="J1673" s="53">
        <v>0</v>
      </c>
      <c r="K1673" s="53">
        <v>0</v>
      </c>
      <c r="L1673" s="53">
        <v>16.100000000000001</v>
      </c>
      <c r="M1673" s="53" t="s">
        <v>288</v>
      </c>
      <c r="N1673" s="53">
        <v>15.7</v>
      </c>
      <c r="O1673" s="51" t="str">
        <f>TEXT(tblWorkPackages[[#This Row],[Request date serial]]-WEEKDAY(tblWorkPackages[[#This Row],[Request date serial]],3),"yyyy-mm-dd")</f>
        <v>2025-09-15</v>
      </c>
      <c r="P1673" s="51">
        <f>ABS(tblWorkPackages[[#This Row],[Actual labor hours]]-tblWorkPackages[[#This Row],[Estimated labor hours]])</f>
        <v>0.400000000000002</v>
      </c>
      <c r="Q1673" s="51">
        <f>IF(tblWorkPackages[[#This Row],[Actual labor hours]]&gt;tblWorkPackages[[#This Row],[Estimated labor hours]],1,0)</f>
        <v>0</v>
      </c>
      <c r="R1673" s="51">
        <f>tblWorkPackages[[#This Row],[Actual labor hours]]-tblWorkPackages[[#This Row],[Estimated labor hours]]</f>
        <v>-0.400000000000002</v>
      </c>
      <c r="S1673" s="51" t="str">
        <f>IF(tblWorkPackages[[#This Row],[Request date serial]]&lt;ValidationStart,"Train 2024",IF(tblWorkPackages[[#This Row],[Request date serial]]&lt;HoldoutStart,"Validation H1","Holdout H2"))</f>
        <v>Holdout H2</v>
      </c>
      <c r="T1673" s="51">
        <f>IF(tblWorkPackages[[#This Row],[Time split]]="Train 2024","",tblWorkPackages[[#This Row],[Estimated labor hours]]+VLOOKUP(tblWorkPackages[[#This Row],[Task type]],'Forecast validation'!$A$14:$E$25,IF(tblWorkPackages[[#This Row],[Time split]]="Validation H1",4,5),FALSE()))</f>
        <v>17.0207547169811</v>
      </c>
      <c r="U1673" s="51">
        <f>IF(tblWorkPackages[[#This Row],[Calibrated forecast hours]]="","",ABS(tblWorkPackages[[#This Row],[Actual labor hours]]-tblWorkPackages[[#This Row],[Calibrated forecast hours]]))</f>
        <v>1.32075471698114</v>
      </c>
      <c r="V1673" s="51">
        <f>IF(tblWorkPackages[[#This Row],[Time split]]="Train 2024",tblWorkPackages[[#This Row],[Estimated labor hours]],tblWorkPackages[[#This Row],[Calibrated forecast hours]])</f>
        <v>17.0207547169811</v>
      </c>
      <c r="W1673" s="64">
        <f>DATEVALUE(tblWorkPackages[[#This Row],[Request date]])</f>
        <v>45920.0</v>
      </c>
      <c r="X1673" s="64">
        <f>DATEVALUE(tblWorkPackages[[#This Row],[Due date]])</f>
        <v>45933.0</v>
      </c>
      <c r="Y1673" s="64">
        <f>DATEVALUE(tblWorkPackages[[#This Row],[Completion date]])</f>
        <v>45928.0</v>
      </c>
      <c r="Z1673" s="64">
        <f>_xlfn.MINIFS(tblLaborEntries[Work date serial],tblLaborEntries[Work package ID],tblWorkPackages[[#This Row],[Work package ID]])</f>
        <v>45923.0</v>
      </c>
      <c r="AA1673" s="64">
        <f>_xlfn.MAXIFS(tblLaborEntries[Work date serial],tblLaborEntries[Work package ID],tblWorkPackages[[#This Row],[Work package ID]])</f>
        <v>45925.0</v>
      </c>
      <c r="AB1673" s="65">
        <f>IF(tblWorkPackages[[#This Row],[Completion date serial]]&gt;tblWorkPackages[[#This Row],[Due date serial]],1,0)</f>
        <v>0</v>
      </c>
      <c r="AC1673" s="65">
        <f>MAX(0,tblWorkPackages[[#This Row],[Completion date serial]]-tblWorkPackages[[#This Row],[Due date serial]])</f>
        <v>0</v>
      </c>
      <c r="AD1673" s="65">
        <f>tblWorkPackages[[#This Row],[First labor date]]-tblWorkPackages[[#This Row],[Request date serial]]</f>
        <v>3</v>
      </c>
      <c r="AE1673" s="65">
        <f>tblWorkPackages[[#This Row],[Last labor date]]-tblWorkPackages[[#This Row],[First labor date]]</f>
        <v>2</v>
      </c>
      <c r="AF1673" s="65">
        <f>tblWorkPackages[[#This Row],[Completion date serial]]-tblWorkPackages[[#This Row],[Last labor date]]</f>
        <v>3</v>
      </c>
      <c r="AG1673" s="65">
        <f>tblWorkPackages[[#This Row],[Completion date serial]]-tblWorkPackages[[#This Row],[Request date serial]]</f>
        <v>8</v>
      </c>
      <c r="AH1673" s="65">
        <f>IFERROR(INDEX(tblParts[Delay days],MATCH(tblWorkPackages[[#This Row],[Work package ID]],tblParts[Work package ID],0)),0)</f>
        <v>0</v>
      </c>
      <c r="AI1673" s="51" t="str">
        <f>IFERROR(INDEX(tblDisruptions[Event type],MATCH(tblWorkPackages[[#This Row],[Work package ID]],tblDisruptions[Work package ID],0)),"None")</f>
        <v>None</v>
      </c>
      <c r="AJ1673" s="51" t="str">
        <f>TEXT(tblWorkPackages[[#This Row],[Due date serial]],"yyyy-mm")</f>
        <v>2025-10</v>
      </c>
    </row>
    <row r="1674" spans="1:36" ht="15" x14ac:dyDescent="0.25">
      <c r="A1674" s="53" t="s">
        <v>2583</v>
      </c>
      <c r="B1674" s="53" t="s">
        <v>250</v>
      </c>
      <c r="C1674" s="53" t="s">
        <v>844</v>
      </c>
      <c r="D1674" s="53" t="s">
        <v>312</v>
      </c>
      <c r="E1674" s="53" t="s">
        <v>181</v>
      </c>
      <c r="F1674" s="53" t="s">
        <v>182</v>
      </c>
      <c r="G1674" s="53" t="s">
        <v>138</v>
      </c>
      <c r="H1674" s="53">
        <v>2</v>
      </c>
      <c r="I1674" s="53" t="s">
        <v>130</v>
      </c>
      <c r="J1674" s="53">
        <v>0</v>
      </c>
      <c r="K1674" s="53">
        <v>0</v>
      </c>
      <c r="L1674" s="53">
        <v>7.1</v>
      </c>
      <c r="M1674" s="53" t="s">
        <v>911</v>
      </c>
      <c r="N1674" s="53">
        <v>6.3</v>
      </c>
      <c r="O1674" s="51" t="str">
        <f>TEXT(tblWorkPackages[[#This Row],[Request date serial]]-WEEKDAY(tblWorkPackages[[#This Row],[Request date serial]],3),"yyyy-mm-dd")</f>
        <v>2025-08-04</v>
      </c>
      <c r="P1674" s="51">
        <f>ABS(tblWorkPackages[[#This Row],[Actual labor hours]]-tblWorkPackages[[#This Row],[Estimated labor hours]])</f>
        <v>0.8</v>
      </c>
      <c r="Q1674" s="51">
        <f>IF(tblWorkPackages[[#This Row],[Actual labor hours]]&gt;tblWorkPackages[[#This Row],[Estimated labor hours]],1,0)</f>
        <v>0</v>
      </c>
      <c r="R1674" s="51">
        <f>tblWorkPackages[[#This Row],[Actual labor hours]]-tblWorkPackages[[#This Row],[Estimated labor hours]]</f>
        <v>-0.8</v>
      </c>
      <c r="S1674" s="51" t="str">
        <f>IF(tblWorkPackages[[#This Row],[Request date serial]]&lt;ValidationStart,"Train 2024",IF(tblWorkPackages[[#This Row],[Request date serial]]&lt;HoldoutStart,"Validation H1","Holdout H2"))</f>
        <v>Holdout H2</v>
      </c>
      <c r="T1674" s="51">
        <f>IF(tblWorkPackages[[#This Row],[Time split]]="Train 2024","",tblWorkPackages[[#This Row],[Estimated labor hours]]+VLOOKUP(tblWorkPackages[[#This Row],[Task type]],'Forecast validation'!$A$14:$E$25,IF(tblWorkPackages[[#This Row],[Time split]]="Validation H1",4,5),FALSE()))</f>
        <v>7.69160839160839</v>
      </c>
      <c r="U1674" s="51">
        <f>IF(tblWorkPackages[[#This Row],[Calibrated forecast hours]]="","",ABS(tblWorkPackages[[#This Row],[Actual labor hours]]-tblWorkPackages[[#This Row],[Calibrated forecast hours]]))</f>
        <v>1.39160839160839</v>
      </c>
      <c r="V1674" s="51">
        <f>IF(tblWorkPackages[[#This Row],[Time split]]="Train 2024",tblWorkPackages[[#This Row],[Estimated labor hours]],tblWorkPackages[[#This Row],[Calibrated forecast hours]])</f>
        <v>7.69160839160839</v>
      </c>
      <c r="W1674" s="64">
        <f>DATEVALUE(tblWorkPackages[[#This Row],[Request date]])</f>
        <v>45874.0</v>
      </c>
      <c r="X1674" s="64">
        <f>DATEVALUE(tblWorkPackages[[#This Row],[Due date]])</f>
        <v>45887.0</v>
      </c>
      <c r="Y1674" s="64">
        <f>DATEVALUE(tblWorkPackages[[#This Row],[Completion date]])</f>
        <v>45923.0</v>
      </c>
      <c r="Z1674" s="64">
        <f>_xlfn.MINIFS(tblLaborEntries[Work date serial],tblLaborEntries[Work package ID],tblWorkPackages[[#This Row],[Work package ID]])</f>
        <v>45921.0</v>
      </c>
      <c r="AA1674" s="64">
        <f>_xlfn.MAXIFS(tblLaborEntries[Work date serial],tblLaborEntries[Work package ID],tblWorkPackages[[#This Row],[Work package ID]])</f>
        <v>45923.0</v>
      </c>
      <c r="AB1674" s="65">
        <f>IF(tblWorkPackages[[#This Row],[Completion date serial]]&gt;tblWorkPackages[[#This Row],[Due date serial]],1,0)</f>
        <v>1</v>
      </c>
      <c r="AC1674" s="65">
        <f>MAX(0,tblWorkPackages[[#This Row],[Completion date serial]]-tblWorkPackages[[#This Row],[Due date serial]])</f>
        <v>36</v>
      </c>
      <c r="AD1674" s="65">
        <f>tblWorkPackages[[#This Row],[First labor date]]-tblWorkPackages[[#This Row],[Request date serial]]</f>
        <v>47</v>
      </c>
      <c r="AE1674" s="65">
        <f>tblWorkPackages[[#This Row],[Last labor date]]-tblWorkPackages[[#This Row],[First labor date]]</f>
        <v>2</v>
      </c>
      <c r="AF1674" s="65">
        <f>tblWorkPackages[[#This Row],[Completion date serial]]-tblWorkPackages[[#This Row],[Last labor date]]</f>
        <v>0</v>
      </c>
      <c r="AG1674" s="65">
        <f>tblWorkPackages[[#This Row],[Completion date serial]]-tblWorkPackages[[#This Row],[Request date serial]]</f>
        <v>49</v>
      </c>
      <c r="AH1674" s="65">
        <f>IFERROR(INDEX(tblParts[Delay days],MATCH(tblWorkPackages[[#This Row],[Work package ID]],tblParts[Work package ID],0)),0)</f>
        <v>0</v>
      </c>
      <c r="AI1674" s="51" t="str">
        <f>IFERROR(INDEX(tblDisruptions[Event type],MATCH(tblWorkPackages[[#This Row],[Work package ID]],tblDisruptions[Work package ID],0)),"None")</f>
        <v>None</v>
      </c>
      <c r="AJ1674" s="51" t="str">
        <f>TEXT(tblWorkPackages[[#This Row],[Due date serial]],"yyyy-mm")</f>
        <v>2025-08</v>
      </c>
    </row>
    <row r="1675" spans="1:36" ht="15" x14ac:dyDescent="0.25">
      <c r="A1675" s="53" t="s">
        <v>2584</v>
      </c>
      <c r="B1675" s="53" t="s">
        <v>287</v>
      </c>
      <c r="C1675" s="53" t="s">
        <v>1315</v>
      </c>
      <c r="D1675" s="53" t="s">
        <v>1466</v>
      </c>
      <c r="E1675" s="53" t="s">
        <v>209</v>
      </c>
      <c r="F1675" s="53" t="s">
        <v>145</v>
      </c>
      <c r="G1675" s="53" t="s">
        <v>210</v>
      </c>
      <c r="H1675" s="53">
        <v>1</v>
      </c>
      <c r="I1675" s="53" t="s">
        <v>130</v>
      </c>
      <c r="J1675" s="53">
        <v>0</v>
      </c>
      <c r="K1675" s="53">
        <v>1</v>
      </c>
      <c r="L1675" s="53">
        <v>14.1</v>
      </c>
      <c r="M1675" s="53" t="s">
        <v>1223</v>
      </c>
      <c r="N1675" s="53">
        <v>15.8</v>
      </c>
      <c r="O1675" s="51" t="str">
        <f>TEXT(tblWorkPackages[[#This Row],[Request date serial]]-WEEKDAY(tblWorkPackages[[#This Row],[Request date serial]],3),"yyyy-mm-dd")</f>
        <v>2024-01-29</v>
      </c>
      <c r="P1675" s="51">
        <f>ABS(tblWorkPackages[[#This Row],[Actual labor hours]]-tblWorkPackages[[#This Row],[Estimated labor hours]])</f>
        <v>1.7</v>
      </c>
      <c r="Q1675" s="51">
        <f>IF(tblWorkPackages[[#This Row],[Actual labor hours]]&gt;tblWorkPackages[[#This Row],[Estimated labor hours]],1,0)</f>
        <v>1</v>
      </c>
      <c r="R1675" s="51">
        <f>tblWorkPackages[[#This Row],[Actual labor hours]]-tblWorkPackages[[#This Row],[Estimated labor hours]]</f>
        <v>1.7</v>
      </c>
      <c r="S1675" s="51" t="str">
        <f>IF(tblWorkPackages[[#This Row],[Request date serial]]&lt;ValidationStart,"Train 2024",IF(tblWorkPackages[[#This Row],[Request date serial]]&lt;HoldoutStart,"Validation H1","Holdout H2"))</f>
        <v>Train 2024</v>
      </c>
      <c r="T1675" s="51" t="str">
        <f>IF(tblWorkPackages[[#This Row],[Time split]]="Train 2024","",tblWorkPackages[[#This Row],[Estimated labor hours]]+VLOOKUP(tblWorkPackages[[#This Row],[Task type]],'Forecast validation'!$A$14:$E$25,IF(tblWorkPackages[[#This Row],[Time split]]="Validation H1",4,5),FALSE()))</f>
        <v/>
      </c>
      <c r="U1675" s="51" t="str">
        <f>IF(tblWorkPackages[[#This Row],[Calibrated forecast hours]]="","",ABS(tblWorkPackages[[#This Row],[Actual labor hours]]-tblWorkPackages[[#This Row],[Calibrated forecast hours]]))</f>
        <v/>
      </c>
      <c r="V1675" s="51">
        <f>IF(tblWorkPackages[[#This Row],[Time split]]="Train 2024",tblWorkPackages[[#This Row],[Estimated labor hours]],tblWorkPackages[[#This Row],[Calibrated forecast hours]])</f>
        <v>14.1</v>
      </c>
      <c r="W1675" s="64">
        <f>DATEVALUE(tblWorkPackages[[#This Row],[Request date]])</f>
        <v>45320.0</v>
      </c>
      <c r="X1675" s="64">
        <f>DATEVALUE(tblWorkPackages[[#This Row],[Due date]])</f>
        <v>45333.0</v>
      </c>
      <c r="Y1675" s="64">
        <f>DATEVALUE(tblWorkPackages[[#This Row],[Completion date]])</f>
        <v>45331.0</v>
      </c>
      <c r="Z1675" s="64">
        <f>_xlfn.MINIFS(tblLaborEntries[Work date serial],tblLaborEntries[Work package ID],tblWorkPackages[[#This Row],[Work package ID]])</f>
        <v>45328.0</v>
      </c>
      <c r="AA1675" s="64">
        <f>_xlfn.MAXIFS(tblLaborEntries[Work date serial],tblLaborEntries[Work package ID],tblWorkPackages[[#This Row],[Work package ID]])</f>
        <v>45330.0</v>
      </c>
      <c r="AB1675" s="65">
        <f>IF(tblWorkPackages[[#This Row],[Completion date serial]]&gt;tblWorkPackages[[#This Row],[Due date serial]],1,0)</f>
        <v>0</v>
      </c>
      <c r="AC1675" s="65">
        <f>MAX(0,tblWorkPackages[[#This Row],[Completion date serial]]-tblWorkPackages[[#This Row],[Due date serial]])</f>
        <v>0</v>
      </c>
      <c r="AD1675" s="65">
        <f>tblWorkPackages[[#This Row],[First labor date]]-tblWorkPackages[[#This Row],[Request date serial]]</f>
        <v>8</v>
      </c>
      <c r="AE1675" s="65">
        <f>tblWorkPackages[[#This Row],[Last labor date]]-tblWorkPackages[[#This Row],[First labor date]]</f>
        <v>2</v>
      </c>
      <c r="AF1675" s="65">
        <f>tblWorkPackages[[#This Row],[Completion date serial]]-tblWorkPackages[[#This Row],[Last labor date]]</f>
        <v>1</v>
      </c>
      <c r="AG1675" s="65">
        <f>tblWorkPackages[[#This Row],[Completion date serial]]-tblWorkPackages[[#This Row],[Request date serial]]</f>
        <v>11</v>
      </c>
      <c r="AH1675" s="65">
        <f>IFERROR(INDEX(tblParts[Delay days],MATCH(tblWorkPackages[[#This Row],[Work package ID]],tblParts[Work package ID],0)),0)</f>
        <v>0</v>
      </c>
      <c r="AI1675" s="51" t="str">
        <f>IFERROR(INDEX(tblDisruptions[Event type],MATCH(tblWorkPackages[[#This Row],[Work package ID]],tblDisruptions[Work package ID],0)),"None")</f>
        <v>None</v>
      </c>
      <c r="AJ1675" s="51" t="str">
        <f>TEXT(tblWorkPackages[[#This Row],[Due date serial]],"yyyy-mm")</f>
        <v>2024-02</v>
      </c>
    </row>
    <row r="1676" spans="1:36" ht="15" x14ac:dyDescent="0.25">
      <c r="A1676" s="53" t="s">
        <v>2585</v>
      </c>
      <c r="B1676" s="53" t="s">
        <v>133</v>
      </c>
      <c r="C1676" s="53" t="s">
        <v>1374</v>
      </c>
      <c r="D1676" s="53" t="s">
        <v>952</v>
      </c>
      <c r="E1676" s="53" t="s">
        <v>272</v>
      </c>
      <c r="F1676" s="53" t="s">
        <v>145</v>
      </c>
      <c r="G1676" s="53" t="s">
        <v>273</v>
      </c>
      <c r="H1676" s="53">
        <v>2</v>
      </c>
      <c r="I1676" s="53" t="s">
        <v>176</v>
      </c>
      <c r="J1676" s="53">
        <v>0</v>
      </c>
      <c r="K1676" s="53">
        <v>0</v>
      </c>
      <c r="L1676" s="53">
        <v>9.6</v>
      </c>
      <c r="M1676" s="53" t="s">
        <v>722</v>
      </c>
      <c r="N1676" s="53">
        <v>11.4</v>
      </c>
      <c r="O1676" s="51" t="str">
        <f>TEXT(tblWorkPackages[[#This Row],[Request date serial]]-WEEKDAY(tblWorkPackages[[#This Row],[Request date serial]],3),"yyyy-mm-dd")</f>
        <v>2024-10-07</v>
      </c>
      <c r="P1676" s="51">
        <f>ABS(tblWorkPackages[[#This Row],[Actual labor hours]]-tblWorkPackages[[#This Row],[Estimated labor hours]])</f>
        <v>1.8</v>
      </c>
      <c r="Q1676" s="51">
        <f>IF(tblWorkPackages[[#This Row],[Actual labor hours]]&gt;tblWorkPackages[[#This Row],[Estimated labor hours]],1,0)</f>
        <v>1</v>
      </c>
      <c r="R1676" s="51">
        <f>tblWorkPackages[[#This Row],[Actual labor hours]]-tblWorkPackages[[#This Row],[Estimated labor hours]]</f>
        <v>1.8</v>
      </c>
      <c r="S1676" s="51" t="str">
        <f>IF(tblWorkPackages[[#This Row],[Request date serial]]&lt;ValidationStart,"Train 2024",IF(tblWorkPackages[[#This Row],[Request date serial]]&lt;HoldoutStart,"Validation H1","Holdout H2"))</f>
        <v>Train 2024</v>
      </c>
      <c r="T1676" s="51" t="str">
        <f>IF(tblWorkPackages[[#This Row],[Time split]]="Train 2024","",tblWorkPackages[[#This Row],[Estimated labor hours]]+VLOOKUP(tblWorkPackages[[#This Row],[Task type]],'Forecast validation'!$A$14:$E$25,IF(tblWorkPackages[[#This Row],[Time split]]="Validation H1",4,5),FALSE()))</f>
        <v/>
      </c>
      <c r="U1676" s="51" t="str">
        <f>IF(tblWorkPackages[[#This Row],[Calibrated forecast hours]]="","",ABS(tblWorkPackages[[#This Row],[Actual labor hours]]-tblWorkPackages[[#This Row],[Calibrated forecast hours]]))</f>
        <v/>
      </c>
      <c r="V1676" s="51">
        <f>IF(tblWorkPackages[[#This Row],[Time split]]="Train 2024",tblWorkPackages[[#This Row],[Estimated labor hours]],tblWorkPackages[[#This Row],[Calibrated forecast hours]])</f>
        <v>9.6</v>
      </c>
      <c r="W1676" s="64">
        <f>DATEVALUE(tblWorkPackages[[#This Row],[Request date]])</f>
        <v>45572.0</v>
      </c>
      <c r="X1676" s="64">
        <f>DATEVALUE(tblWorkPackages[[#This Row],[Due date]])</f>
        <v>45578.0</v>
      </c>
      <c r="Y1676" s="64">
        <f>DATEVALUE(tblWorkPackages[[#This Row],[Completion date]])</f>
        <v>45576.0</v>
      </c>
      <c r="Z1676" s="64">
        <f>_xlfn.MINIFS(tblLaborEntries[Work date serial],tblLaborEntries[Work package ID],tblWorkPackages[[#This Row],[Work package ID]])</f>
        <v>45574.0</v>
      </c>
      <c r="AA1676" s="64">
        <f>_xlfn.MAXIFS(tblLaborEntries[Work date serial],tblLaborEntries[Work package ID],tblWorkPackages[[#This Row],[Work package ID]])</f>
        <v>45574.0</v>
      </c>
      <c r="AB1676" s="65">
        <f>IF(tblWorkPackages[[#This Row],[Completion date serial]]&gt;tblWorkPackages[[#This Row],[Due date serial]],1,0)</f>
        <v>0</v>
      </c>
      <c r="AC1676" s="65">
        <f>MAX(0,tblWorkPackages[[#This Row],[Completion date serial]]-tblWorkPackages[[#This Row],[Due date serial]])</f>
        <v>0</v>
      </c>
      <c r="AD1676" s="65">
        <f>tblWorkPackages[[#This Row],[First labor date]]-tblWorkPackages[[#This Row],[Request date serial]]</f>
        <v>2</v>
      </c>
      <c r="AE1676" s="65">
        <f>tblWorkPackages[[#This Row],[Last labor date]]-tblWorkPackages[[#This Row],[First labor date]]</f>
        <v>0</v>
      </c>
      <c r="AF1676" s="65">
        <f>tblWorkPackages[[#This Row],[Completion date serial]]-tblWorkPackages[[#This Row],[Last labor date]]</f>
        <v>2</v>
      </c>
      <c r="AG1676" s="65">
        <f>tblWorkPackages[[#This Row],[Completion date serial]]-tblWorkPackages[[#This Row],[Request date serial]]</f>
        <v>4</v>
      </c>
      <c r="AH1676" s="65">
        <f>IFERROR(INDEX(tblParts[Delay days],MATCH(tblWorkPackages[[#This Row],[Work package ID]],tblParts[Work package ID],0)),0)</f>
        <v>0</v>
      </c>
      <c r="AI1676" s="51" t="str">
        <f>IFERROR(INDEX(tblDisruptions[Event type],MATCH(tblWorkPackages[[#This Row],[Work package ID]],tblDisruptions[Work package ID],0)),"None")</f>
        <v>None</v>
      </c>
      <c r="AJ1676" s="51" t="str">
        <f>TEXT(tblWorkPackages[[#This Row],[Due date serial]],"yyyy-mm")</f>
        <v>2024-10</v>
      </c>
    </row>
    <row r="1677" spans="1:36" ht="15" x14ac:dyDescent="0.25">
      <c r="A1677" s="53" t="s">
        <v>2586</v>
      </c>
      <c r="B1677" s="53" t="s">
        <v>163</v>
      </c>
      <c r="C1677" s="53" t="s">
        <v>637</v>
      </c>
      <c r="D1677" s="53" t="s">
        <v>1016</v>
      </c>
      <c r="E1677" s="53" t="s">
        <v>209</v>
      </c>
      <c r="F1677" s="53" t="s">
        <v>145</v>
      </c>
      <c r="G1677" s="53" t="s">
        <v>210</v>
      </c>
      <c r="H1677" s="53">
        <v>2</v>
      </c>
      <c r="I1677" s="53" t="s">
        <v>130</v>
      </c>
      <c r="J1677" s="53">
        <v>0</v>
      </c>
      <c r="K1677" s="53">
        <v>1</v>
      </c>
      <c r="L1677" s="53">
        <v>17.600000000000001</v>
      </c>
      <c r="M1677" s="53" t="s">
        <v>832</v>
      </c>
      <c r="N1677" s="53">
        <v>20.399999999999999</v>
      </c>
      <c r="O1677" s="51" t="str">
        <f>TEXT(tblWorkPackages[[#This Row],[Request date serial]]-WEEKDAY(tblWorkPackages[[#This Row],[Request date serial]],3),"yyyy-mm-dd")</f>
        <v>2025-10-06</v>
      </c>
      <c r="P1677" s="51">
        <f>ABS(tblWorkPackages[[#This Row],[Actual labor hours]]-tblWorkPackages[[#This Row],[Estimated labor hours]])</f>
        <v>2.8</v>
      </c>
      <c r="Q1677" s="51">
        <f>IF(tblWorkPackages[[#This Row],[Actual labor hours]]&gt;tblWorkPackages[[#This Row],[Estimated labor hours]],1,0)</f>
        <v>1</v>
      </c>
      <c r="R1677" s="51">
        <f>tblWorkPackages[[#This Row],[Actual labor hours]]-tblWorkPackages[[#This Row],[Estimated labor hours]]</f>
        <v>2.8</v>
      </c>
      <c r="S1677" s="51" t="str">
        <f>IF(tblWorkPackages[[#This Row],[Request date serial]]&lt;ValidationStart,"Train 2024",IF(tblWorkPackages[[#This Row],[Request date serial]]&lt;HoldoutStart,"Validation H1","Holdout H2"))</f>
        <v>Holdout H2</v>
      </c>
      <c r="T1677" s="51">
        <f>IF(tblWorkPackages[[#This Row],[Time split]]="Train 2024","",tblWorkPackages[[#This Row],[Estimated labor hours]]+VLOOKUP(tblWorkPackages[[#This Row],[Task type]],'Forecast validation'!$A$14:$E$25,IF(tblWorkPackages[[#This Row],[Time split]]="Validation H1",4,5),FALSE()))</f>
        <v>19.395652173913</v>
      </c>
      <c r="U1677" s="51">
        <f>IF(tblWorkPackages[[#This Row],[Calibrated forecast hours]]="","",ABS(tblWorkPackages[[#This Row],[Actual labor hours]]-tblWorkPackages[[#This Row],[Calibrated forecast hours]]))</f>
        <v>1.00434782608695</v>
      </c>
      <c r="V1677" s="51">
        <f>IF(tblWorkPackages[[#This Row],[Time split]]="Train 2024",tblWorkPackages[[#This Row],[Estimated labor hours]],tblWorkPackages[[#This Row],[Calibrated forecast hours]])</f>
        <v>19.395652173913</v>
      </c>
      <c r="W1677" s="64">
        <f>DATEVALUE(tblWorkPackages[[#This Row],[Request date]])</f>
        <v>45939.0</v>
      </c>
      <c r="X1677" s="64">
        <f>DATEVALUE(tblWorkPackages[[#This Row],[Due date]])</f>
        <v>45952.0</v>
      </c>
      <c r="Y1677" s="64">
        <f>DATEVALUE(tblWorkPackages[[#This Row],[Completion date]])</f>
        <v>45963.0</v>
      </c>
      <c r="Z1677" s="64">
        <f>_xlfn.MINIFS(tblLaborEntries[Work date serial],tblLaborEntries[Work package ID],tblWorkPackages[[#This Row],[Work package ID]])</f>
        <v>45958.0</v>
      </c>
      <c r="AA1677" s="64">
        <f>_xlfn.MAXIFS(tblLaborEntries[Work date serial],tblLaborEntries[Work package ID],tblWorkPackages[[#This Row],[Work package ID]])</f>
        <v>45960.0</v>
      </c>
      <c r="AB1677" s="65">
        <f>IF(tblWorkPackages[[#This Row],[Completion date serial]]&gt;tblWorkPackages[[#This Row],[Due date serial]],1,0)</f>
        <v>1</v>
      </c>
      <c r="AC1677" s="65">
        <f>MAX(0,tblWorkPackages[[#This Row],[Completion date serial]]-tblWorkPackages[[#This Row],[Due date serial]])</f>
        <v>11</v>
      </c>
      <c r="AD1677" s="65">
        <f>tblWorkPackages[[#This Row],[First labor date]]-tblWorkPackages[[#This Row],[Request date serial]]</f>
        <v>19</v>
      </c>
      <c r="AE1677" s="65">
        <f>tblWorkPackages[[#This Row],[Last labor date]]-tblWorkPackages[[#This Row],[First labor date]]</f>
        <v>2</v>
      </c>
      <c r="AF1677" s="65">
        <f>tblWorkPackages[[#This Row],[Completion date serial]]-tblWorkPackages[[#This Row],[Last labor date]]</f>
        <v>3</v>
      </c>
      <c r="AG1677" s="65">
        <f>tblWorkPackages[[#This Row],[Completion date serial]]-tblWorkPackages[[#This Row],[Request date serial]]</f>
        <v>24</v>
      </c>
      <c r="AH1677" s="65">
        <f>IFERROR(INDEX(tblParts[Delay days],MATCH(tblWorkPackages[[#This Row],[Work package ID]],tblParts[Work package ID],0)),0)</f>
        <v>0</v>
      </c>
      <c r="AI1677" s="51" t="str">
        <f>IFERROR(INDEX(tblDisruptions[Event type],MATCH(tblWorkPackages[[#This Row],[Work package ID]],tblDisruptions[Work package ID],0)),"None")</f>
        <v>None</v>
      </c>
      <c r="AJ1677" s="51" t="str">
        <f>TEXT(tblWorkPackages[[#This Row],[Due date serial]],"yyyy-mm")</f>
        <v>2025-10</v>
      </c>
    </row>
    <row r="1678" spans="1:36" ht="15" x14ac:dyDescent="0.25">
      <c r="A1678" s="53" t="s">
        <v>2587</v>
      </c>
      <c r="B1678" s="53" t="s">
        <v>124</v>
      </c>
      <c r="C1678" s="53" t="s">
        <v>824</v>
      </c>
      <c r="D1678" s="53" t="s">
        <v>601</v>
      </c>
      <c r="E1678" s="53" t="s">
        <v>153</v>
      </c>
      <c r="F1678" s="53" t="s">
        <v>128</v>
      </c>
      <c r="G1678" s="53" t="s">
        <v>154</v>
      </c>
      <c r="H1678" s="53">
        <v>3</v>
      </c>
      <c r="I1678" s="53" t="s">
        <v>130</v>
      </c>
      <c r="J1678" s="53">
        <v>0</v>
      </c>
      <c r="K1678" s="53">
        <v>0</v>
      </c>
      <c r="L1678" s="53">
        <v>11.9</v>
      </c>
      <c r="M1678" s="53" t="s">
        <v>877</v>
      </c>
      <c r="N1678" s="53">
        <v>12.9</v>
      </c>
      <c r="O1678" s="51" t="str">
        <f>TEXT(tblWorkPackages[[#This Row],[Request date serial]]-WEEKDAY(tblWorkPackages[[#This Row],[Request date serial]],3),"yyyy-mm-dd")</f>
        <v>2024-11-18</v>
      </c>
      <c r="P1678" s="51">
        <f>ABS(tblWorkPackages[[#This Row],[Actual labor hours]]-tblWorkPackages[[#This Row],[Estimated labor hours]])</f>
        <v>1</v>
      </c>
      <c r="Q1678" s="51">
        <f>IF(tblWorkPackages[[#This Row],[Actual labor hours]]&gt;tblWorkPackages[[#This Row],[Estimated labor hours]],1,0)</f>
        <v>1</v>
      </c>
      <c r="R1678" s="51">
        <f>tblWorkPackages[[#This Row],[Actual labor hours]]-tblWorkPackages[[#This Row],[Estimated labor hours]]</f>
        <v>1</v>
      </c>
      <c r="S1678" s="51" t="str">
        <f>IF(tblWorkPackages[[#This Row],[Request date serial]]&lt;ValidationStart,"Train 2024",IF(tblWorkPackages[[#This Row],[Request date serial]]&lt;HoldoutStart,"Validation H1","Holdout H2"))</f>
        <v>Train 2024</v>
      </c>
      <c r="T1678" s="51" t="str">
        <f>IF(tblWorkPackages[[#This Row],[Time split]]="Train 2024","",tblWorkPackages[[#This Row],[Estimated labor hours]]+VLOOKUP(tblWorkPackages[[#This Row],[Task type]],'Forecast validation'!$A$14:$E$25,IF(tblWorkPackages[[#This Row],[Time split]]="Validation H1",4,5),FALSE()))</f>
        <v/>
      </c>
      <c r="U1678" s="51" t="str">
        <f>IF(tblWorkPackages[[#This Row],[Calibrated forecast hours]]="","",ABS(tblWorkPackages[[#This Row],[Actual labor hours]]-tblWorkPackages[[#This Row],[Calibrated forecast hours]]))</f>
        <v/>
      </c>
      <c r="V1678" s="51">
        <f>IF(tblWorkPackages[[#This Row],[Time split]]="Train 2024",tblWorkPackages[[#This Row],[Estimated labor hours]],tblWorkPackages[[#This Row],[Calibrated forecast hours]])</f>
        <v>11.9</v>
      </c>
      <c r="W1678" s="64">
        <f>DATEVALUE(tblWorkPackages[[#This Row],[Request date]])</f>
        <v>45620.0</v>
      </c>
      <c r="X1678" s="64">
        <f>DATEVALUE(tblWorkPackages[[#This Row],[Due date]])</f>
        <v>45633.0</v>
      </c>
      <c r="Y1678" s="64">
        <f>DATEVALUE(tblWorkPackages[[#This Row],[Completion date]])</f>
        <v>45624.0</v>
      </c>
      <c r="Z1678" s="64">
        <f>_xlfn.MINIFS(tblLaborEntries[Work date serial],tblLaborEntries[Work package ID],tblWorkPackages[[#This Row],[Work package ID]])</f>
        <v>45624.0</v>
      </c>
      <c r="AA1678" s="64">
        <f>_xlfn.MAXIFS(tblLaborEntries[Work date serial],tblLaborEntries[Work package ID],tblWorkPackages[[#This Row],[Work package ID]])</f>
        <v>45624.0</v>
      </c>
      <c r="AB1678" s="65">
        <f>IF(tblWorkPackages[[#This Row],[Completion date serial]]&gt;tblWorkPackages[[#This Row],[Due date serial]],1,0)</f>
        <v>0</v>
      </c>
      <c r="AC1678" s="65">
        <f>MAX(0,tblWorkPackages[[#This Row],[Completion date serial]]-tblWorkPackages[[#This Row],[Due date serial]])</f>
        <v>0</v>
      </c>
      <c r="AD1678" s="65">
        <f>tblWorkPackages[[#This Row],[First labor date]]-tblWorkPackages[[#This Row],[Request date serial]]</f>
        <v>4</v>
      </c>
      <c r="AE1678" s="65">
        <f>tblWorkPackages[[#This Row],[Last labor date]]-tblWorkPackages[[#This Row],[First labor date]]</f>
        <v>0</v>
      </c>
      <c r="AF1678" s="65">
        <f>tblWorkPackages[[#This Row],[Completion date serial]]-tblWorkPackages[[#This Row],[Last labor date]]</f>
        <v>0</v>
      </c>
      <c r="AG1678" s="65">
        <f>tblWorkPackages[[#This Row],[Completion date serial]]-tblWorkPackages[[#This Row],[Request date serial]]</f>
        <v>4</v>
      </c>
      <c r="AH1678" s="65">
        <f>IFERROR(INDEX(tblParts[Delay days],MATCH(tblWorkPackages[[#This Row],[Work package ID]],tblParts[Work package ID],0)),0)</f>
        <v>0</v>
      </c>
      <c r="AI1678" s="51" t="str">
        <f>IFERROR(INDEX(tblDisruptions[Event type],MATCH(tblWorkPackages[[#This Row],[Work package ID]],tblDisruptions[Work package ID],0)),"None")</f>
        <v>None</v>
      </c>
      <c r="AJ1678" s="51" t="str">
        <f>TEXT(tblWorkPackages[[#This Row],[Due date serial]],"yyyy-mm")</f>
        <v>2024-12</v>
      </c>
    </row>
    <row r="1679" spans="1:36" ht="15" x14ac:dyDescent="0.25">
      <c r="A1679" s="53" t="s">
        <v>2588</v>
      </c>
      <c r="B1679" s="53" t="s">
        <v>168</v>
      </c>
      <c r="C1679" s="53" t="s">
        <v>995</v>
      </c>
      <c r="D1679" s="53" t="s">
        <v>726</v>
      </c>
      <c r="E1679" s="53" t="s">
        <v>242</v>
      </c>
      <c r="F1679" s="53" t="s">
        <v>243</v>
      </c>
      <c r="G1679" s="53" t="s">
        <v>129</v>
      </c>
      <c r="H1679" s="53">
        <v>2</v>
      </c>
      <c r="I1679" s="53" t="s">
        <v>130</v>
      </c>
      <c r="J1679" s="53">
        <v>0</v>
      </c>
      <c r="K1679" s="53">
        <v>1</v>
      </c>
      <c r="L1679" s="53">
        <v>9.6999999999999993</v>
      </c>
      <c r="M1679" s="53" t="s">
        <v>649</v>
      </c>
      <c r="N1679" s="53">
        <v>8.6999999999999993</v>
      </c>
      <c r="O1679" s="51" t="str">
        <f>TEXT(tblWorkPackages[[#This Row],[Request date serial]]-WEEKDAY(tblWorkPackages[[#This Row],[Request date serial]],3),"yyyy-mm-dd")</f>
        <v>2024-05-06</v>
      </c>
      <c r="P1679" s="51">
        <f>ABS(tblWorkPackages[[#This Row],[Actual labor hours]]-tblWorkPackages[[#This Row],[Estimated labor hours]])</f>
        <v>1</v>
      </c>
      <c r="Q1679" s="51">
        <f>IF(tblWorkPackages[[#This Row],[Actual labor hours]]&gt;tblWorkPackages[[#This Row],[Estimated labor hours]],1,0)</f>
        <v>0</v>
      </c>
      <c r="R1679" s="51">
        <f>tblWorkPackages[[#This Row],[Actual labor hours]]-tblWorkPackages[[#This Row],[Estimated labor hours]]</f>
        <v>-1</v>
      </c>
      <c r="S1679" s="51" t="str">
        <f>IF(tblWorkPackages[[#This Row],[Request date serial]]&lt;ValidationStart,"Train 2024",IF(tblWorkPackages[[#This Row],[Request date serial]]&lt;HoldoutStart,"Validation H1","Holdout H2"))</f>
        <v>Train 2024</v>
      </c>
      <c r="T1679" s="51" t="str">
        <f>IF(tblWorkPackages[[#This Row],[Time split]]="Train 2024","",tblWorkPackages[[#This Row],[Estimated labor hours]]+VLOOKUP(tblWorkPackages[[#This Row],[Task type]],'Forecast validation'!$A$14:$E$25,IF(tblWorkPackages[[#This Row],[Time split]]="Validation H1",4,5),FALSE()))</f>
        <v/>
      </c>
      <c r="U1679" s="51" t="str">
        <f>IF(tblWorkPackages[[#This Row],[Calibrated forecast hours]]="","",ABS(tblWorkPackages[[#This Row],[Actual labor hours]]-tblWorkPackages[[#This Row],[Calibrated forecast hours]]))</f>
        <v/>
      </c>
      <c r="V1679" s="51">
        <f>IF(tblWorkPackages[[#This Row],[Time split]]="Train 2024",tblWorkPackages[[#This Row],[Estimated labor hours]],tblWorkPackages[[#This Row],[Calibrated forecast hours]])</f>
        <v>9.7</v>
      </c>
      <c r="W1679" s="64">
        <f>DATEVALUE(tblWorkPackages[[#This Row],[Request date]])</f>
        <v>45419.0</v>
      </c>
      <c r="X1679" s="64">
        <f>DATEVALUE(tblWorkPackages[[#This Row],[Due date]])</f>
        <v>45432.0</v>
      </c>
      <c r="Y1679" s="64">
        <f>DATEVALUE(tblWorkPackages[[#This Row],[Completion date]])</f>
        <v>45423.0</v>
      </c>
      <c r="Z1679" s="64">
        <f>_xlfn.MINIFS(tblLaborEntries[Work date serial],tblLaborEntries[Work package ID],tblWorkPackages[[#This Row],[Work package ID]])</f>
        <v>45420.0</v>
      </c>
      <c r="AA1679" s="64">
        <f>_xlfn.MAXIFS(tblLaborEntries[Work date serial],tblLaborEntries[Work package ID],tblWorkPackages[[#This Row],[Work package ID]])</f>
        <v>45422.0</v>
      </c>
      <c r="AB1679" s="65">
        <f>IF(tblWorkPackages[[#This Row],[Completion date serial]]&gt;tblWorkPackages[[#This Row],[Due date serial]],1,0)</f>
        <v>0</v>
      </c>
      <c r="AC1679" s="65">
        <f>MAX(0,tblWorkPackages[[#This Row],[Completion date serial]]-tblWorkPackages[[#This Row],[Due date serial]])</f>
        <v>0</v>
      </c>
      <c r="AD1679" s="65">
        <f>tblWorkPackages[[#This Row],[First labor date]]-tblWorkPackages[[#This Row],[Request date serial]]</f>
        <v>1</v>
      </c>
      <c r="AE1679" s="65">
        <f>tblWorkPackages[[#This Row],[Last labor date]]-tblWorkPackages[[#This Row],[First labor date]]</f>
        <v>2</v>
      </c>
      <c r="AF1679" s="65">
        <f>tblWorkPackages[[#This Row],[Completion date serial]]-tblWorkPackages[[#This Row],[Last labor date]]</f>
        <v>1</v>
      </c>
      <c r="AG1679" s="65">
        <f>tblWorkPackages[[#This Row],[Completion date serial]]-tblWorkPackages[[#This Row],[Request date serial]]</f>
        <v>4</v>
      </c>
      <c r="AH1679" s="65">
        <f>IFERROR(INDEX(tblParts[Delay days],MATCH(tblWorkPackages[[#This Row],[Work package ID]],tblParts[Work package ID],0)),0)</f>
        <v>0</v>
      </c>
      <c r="AI1679" s="51" t="str">
        <f>IFERROR(INDEX(tblDisruptions[Event type],MATCH(tblWorkPackages[[#This Row],[Work package ID]],tblDisruptions[Work package ID],0)),"None")</f>
        <v>None</v>
      </c>
      <c r="AJ1679" s="51" t="str">
        <f>TEXT(tblWorkPackages[[#This Row],[Due date serial]],"yyyy-mm")</f>
        <v>2024-05</v>
      </c>
    </row>
    <row r="1680" spans="1:36" ht="15" x14ac:dyDescent="0.25">
      <c r="A1680" s="53" t="s">
        <v>2589</v>
      </c>
      <c r="B1680" s="53" t="s">
        <v>157</v>
      </c>
      <c r="C1680" s="53" t="s">
        <v>1135</v>
      </c>
      <c r="D1680" s="53" t="s">
        <v>788</v>
      </c>
      <c r="E1680" s="53" t="s">
        <v>237</v>
      </c>
      <c r="F1680" s="53" t="s">
        <v>182</v>
      </c>
      <c r="G1680" s="53" t="s">
        <v>138</v>
      </c>
      <c r="H1680" s="53">
        <v>3</v>
      </c>
      <c r="I1680" s="53" t="s">
        <v>176</v>
      </c>
      <c r="J1680" s="53">
        <v>1</v>
      </c>
      <c r="K1680" s="53">
        <v>0</v>
      </c>
      <c r="L1680" s="53">
        <v>5.9</v>
      </c>
      <c r="M1680" s="53" t="s">
        <v>373</v>
      </c>
      <c r="N1680" s="53">
        <v>6.5</v>
      </c>
      <c r="O1680" s="51" t="str">
        <f>TEXT(tblWorkPackages[[#This Row],[Request date serial]]-WEEKDAY(tblWorkPackages[[#This Row],[Request date serial]],3),"yyyy-mm-dd")</f>
        <v>2024-09-23</v>
      </c>
      <c r="P1680" s="51">
        <f>ABS(tblWorkPackages[[#This Row],[Actual labor hours]]-tblWorkPackages[[#This Row],[Estimated labor hours]])</f>
        <v>0.6</v>
      </c>
      <c r="Q1680" s="51">
        <f>IF(tblWorkPackages[[#This Row],[Actual labor hours]]&gt;tblWorkPackages[[#This Row],[Estimated labor hours]],1,0)</f>
        <v>1</v>
      </c>
      <c r="R1680" s="51">
        <f>tblWorkPackages[[#This Row],[Actual labor hours]]-tblWorkPackages[[#This Row],[Estimated labor hours]]</f>
        <v>0.6</v>
      </c>
      <c r="S1680" s="51" t="str">
        <f>IF(tblWorkPackages[[#This Row],[Request date serial]]&lt;ValidationStart,"Train 2024",IF(tblWorkPackages[[#This Row],[Request date serial]]&lt;HoldoutStart,"Validation H1","Holdout H2"))</f>
        <v>Train 2024</v>
      </c>
      <c r="T1680" s="51" t="str">
        <f>IF(tblWorkPackages[[#This Row],[Time split]]="Train 2024","",tblWorkPackages[[#This Row],[Estimated labor hours]]+VLOOKUP(tblWorkPackages[[#This Row],[Task type]],'Forecast validation'!$A$14:$E$25,IF(tblWorkPackages[[#This Row],[Time split]]="Validation H1",4,5),FALSE()))</f>
        <v/>
      </c>
      <c r="U1680" s="51" t="str">
        <f>IF(tblWorkPackages[[#This Row],[Calibrated forecast hours]]="","",ABS(tblWorkPackages[[#This Row],[Actual labor hours]]-tblWorkPackages[[#This Row],[Calibrated forecast hours]]))</f>
        <v/>
      </c>
      <c r="V1680" s="51">
        <f>IF(tblWorkPackages[[#This Row],[Time split]]="Train 2024",tblWorkPackages[[#This Row],[Estimated labor hours]],tblWorkPackages[[#This Row],[Calibrated forecast hours]])</f>
        <v>5.9</v>
      </c>
      <c r="W1680" s="64">
        <f>DATEVALUE(tblWorkPackages[[#This Row],[Request date]])</f>
        <v>45560.0</v>
      </c>
      <c r="X1680" s="64">
        <f>DATEVALUE(tblWorkPackages[[#This Row],[Due date]])</f>
        <v>45566.0</v>
      </c>
      <c r="Y1680" s="64">
        <f>DATEVALUE(tblWorkPackages[[#This Row],[Completion date]])</f>
        <v>45575.0</v>
      </c>
      <c r="Z1680" s="64">
        <f>_xlfn.MINIFS(tblLaborEntries[Work date serial],tblLaborEntries[Work package ID],tblWorkPackages[[#This Row],[Work package ID]])</f>
        <v>45571.0</v>
      </c>
      <c r="AA1680" s="64">
        <f>_xlfn.MAXIFS(tblLaborEntries[Work date serial],tblLaborEntries[Work package ID],tblWorkPackages[[#This Row],[Work package ID]])</f>
        <v>45573.0</v>
      </c>
      <c r="AB1680" s="65">
        <f>IF(tblWorkPackages[[#This Row],[Completion date serial]]&gt;tblWorkPackages[[#This Row],[Due date serial]],1,0)</f>
        <v>1</v>
      </c>
      <c r="AC1680" s="65">
        <f>MAX(0,tblWorkPackages[[#This Row],[Completion date serial]]-tblWorkPackages[[#This Row],[Due date serial]])</f>
        <v>9</v>
      </c>
      <c r="AD1680" s="65">
        <f>tblWorkPackages[[#This Row],[First labor date]]-tblWorkPackages[[#This Row],[Request date serial]]</f>
        <v>11</v>
      </c>
      <c r="AE1680" s="65">
        <f>tblWorkPackages[[#This Row],[Last labor date]]-tblWorkPackages[[#This Row],[First labor date]]</f>
        <v>2</v>
      </c>
      <c r="AF1680" s="65">
        <f>tblWorkPackages[[#This Row],[Completion date serial]]-tblWorkPackages[[#This Row],[Last labor date]]</f>
        <v>2</v>
      </c>
      <c r="AG1680" s="65">
        <f>tblWorkPackages[[#This Row],[Completion date serial]]-tblWorkPackages[[#This Row],[Request date serial]]</f>
        <v>15</v>
      </c>
      <c r="AH1680" s="65">
        <f>IFERROR(INDEX(tblParts[Delay days],MATCH(tblWorkPackages[[#This Row],[Work package ID]],tblParts[Work package ID],0)),0)</f>
        <v>0</v>
      </c>
      <c r="AI1680" s="51" t="str">
        <f>IFERROR(INDEX(tblDisruptions[Event type],MATCH(tblWorkPackages[[#This Row],[Work package ID]],tblDisruptions[Work package ID],0)),"None")</f>
        <v>None</v>
      </c>
      <c r="AJ1680" s="51" t="str">
        <f>TEXT(tblWorkPackages[[#This Row],[Due date serial]],"yyyy-mm")</f>
        <v>2024-10</v>
      </c>
    </row>
    <row r="1681" spans="1:36" ht="15" x14ac:dyDescent="0.25">
      <c r="A1681" s="53" t="s">
        <v>2590</v>
      </c>
      <c r="B1681" s="53" t="s">
        <v>150</v>
      </c>
      <c r="C1681" s="53" t="s">
        <v>388</v>
      </c>
      <c r="D1681" s="53" t="s">
        <v>755</v>
      </c>
      <c r="E1681" s="53" t="s">
        <v>136</v>
      </c>
      <c r="F1681" s="53" t="s">
        <v>137</v>
      </c>
      <c r="G1681" s="53" t="s">
        <v>138</v>
      </c>
      <c r="H1681" s="53">
        <v>4</v>
      </c>
      <c r="I1681" s="53" t="s">
        <v>130</v>
      </c>
      <c r="J1681" s="53">
        <v>1</v>
      </c>
      <c r="K1681" s="53">
        <v>0</v>
      </c>
      <c r="L1681" s="53">
        <v>24.8</v>
      </c>
      <c r="M1681" s="53" t="s">
        <v>294</v>
      </c>
      <c r="N1681" s="53">
        <v>31.9</v>
      </c>
      <c r="O1681" s="51" t="str">
        <f>TEXT(tblWorkPackages[[#This Row],[Request date serial]]-WEEKDAY(tblWorkPackages[[#This Row],[Request date serial]],3),"yyyy-mm-dd")</f>
        <v>2024-09-02</v>
      </c>
      <c r="P1681" s="51">
        <f>ABS(tblWorkPackages[[#This Row],[Actual labor hours]]-tblWorkPackages[[#This Row],[Estimated labor hours]])</f>
        <v>7.1</v>
      </c>
      <c r="Q1681" s="51">
        <f>IF(tblWorkPackages[[#This Row],[Actual labor hours]]&gt;tblWorkPackages[[#This Row],[Estimated labor hours]],1,0)</f>
        <v>1</v>
      </c>
      <c r="R1681" s="51">
        <f>tblWorkPackages[[#This Row],[Actual labor hours]]-tblWorkPackages[[#This Row],[Estimated labor hours]]</f>
        <v>7.1</v>
      </c>
      <c r="S1681" s="51" t="str">
        <f>IF(tblWorkPackages[[#This Row],[Request date serial]]&lt;ValidationStart,"Train 2024",IF(tblWorkPackages[[#This Row],[Request date serial]]&lt;HoldoutStart,"Validation H1","Holdout H2"))</f>
        <v>Train 2024</v>
      </c>
      <c r="T1681" s="51" t="str">
        <f>IF(tblWorkPackages[[#This Row],[Time split]]="Train 2024","",tblWorkPackages[[#This Row],[Estimated labor hours]]+VLOOKUP(tblWorkPackages[[#This Row],[Task type]],'Forecast validation'!$A$14:$E$25,IF(tblWorkPackages[[#This Row],[Time split]]="Validation H1",4,5),FALSE()))</f>
        <v/>
      </c>
      <c r="U1681" s="51" t="str">
        <f>IF(tblWorkPackages[[#This Row],[Calibrated forecast hours]]="","",ABS(tblWorkPackages[[#This Row],[Actual labor hours]]-tblWorkPackages[[#This Row],[Calibrated forecast hours]]))</f>
        <v/>
      </c>
      <c r="V1681" s="51">
        <f>IF(tblWorkPackages[[#This Row],[Time split]]="Train 2024",tblWorkPackages[[#This Row],[Estimated labor hours]],tblWorkPackages[[#This Row],[Calibrated forecast hours]])</f>
        <v>24.8</v>
      </c>
      <c r="W1681" s="64">
        <f>DATEVALUE(tblWorkPackages[[#This Row],[Request date]])</f>
        <v>45537.0</v>
      </c>
      <c r="X1681" s="64">
        <f>DATEVALUE(tblWorkPackages[[#This Row],[Due date]])</f>
        <v>45550.0</v>
      </c>
      <c r="Y1681" s="64">
        <f>DATEVALUE(tblWorkPackages[[#This Row],[Completion date]])</f>
        <v>45543.0</v>
      </c>
      <c r="Z1681" s="64">
        <f>_xlfn.MINIFS(tblLaborEntries[Work date serial],tblLaborEntries[Work package ID],tblWorkPackages[[#This Row],[Work package ID]])</f>
        <v>45540.0</v>
      </c>
      <c r="AA1681" s="64">
        <f>_xlfn.MAXIFS(tblLaborEntries[Work date serial],tblLaborEntries[Work package ID],tblWorkPackages[[#This Row],[Work package ID]])</f>
        <v>45540.0</v>
      </c>
      <c r="AB1681" s="65">
        <f>IF(tblWorkPackages[[#This Row],[Completion date serial]]&gt;tblWorkPackages[[#This Row],[Due date serial]],1,0)</f>
        <v>0</v>
      </c>
      <c r="AC1681" s="65">
        <f>MAX(0,tblWorkPackages[[#This Row],[Completion date serial]]-tblWorkPackages[[#This Row],[Due date serial]])</f>
        <v>0</v>
      </c>
      <c r="AD1681" s="65">
        <f>tblWorkPackages[[#This Row],[First labor date]]-tblWorkPackages[[#This Row],[Request date serial]]</f>
        <v>3</v>
      </c>
      <c r="AE1681" s="65">
        <f>tblWorkPackages[[#This Row],[Last labor date]]-tblWorkPackages[[#This Row],[First labor date]]</f>
        <v>0</v>
      </c>
      <c r="AF1681" s="65">
        <f>tblWorkPackages[[#This Row],[Completion date serial]]-tblWorkPackages[[#This Row],[Last labor date]]</f>
        <v>3</v>
      </c>
      <c r="AG1681" s="65">
        <f>tblWorkPackages[[#This Row],[Completion date serial]]-tblWorkPackages[[#This Row],[Request date serial]]</f>
        <v>6</v>
      </c>
      <c r="AH1681" s="65">
        <f>IFERROR(INDEX(tblParts[Delay days],MATCH(tblWorkPackages[[#This Row],[Work package ID]],tblParts[Work package ID],0)),0)</f>
        <v>0</v>
      </c>
      <c r="AI1681" s="51" t="str">
        <f>IFERROR(INDEX(tblDisruptions[Event type],MATCH(tblWorkPackages[[#This Row],[Work package ID]],tblDisruptions[Work package ID],0)),"None")</f>
        <v>None</v>
      </c>
      <c r="AJ1681" s="51" t="str">
        <f>TEXT(tblWorkPackages[[#This Row],[Due date serial]],"yyyy-mm")</f>
        <v>2024-09</v>
      </c>
    </row>
    <row r="1682" spans="1:36" ht="15" x14ac:dyDescent="0.25">
      <c r="A1682" s="53" t="s">
        <v>2591</v>
      </c>
      <c r="B1682" s="53" t="s">
        <v>133</v>
      </c>
      <c r="C1682" s="53" t="s">
        <v>1299</v>
      </c>
      <c r="D1682" s="53" t="s">
        <v>1393</v>
      </c>
      <c r="E1682" s="53" t="s">
        <v>272</v>
      </c>
      <c r="F1682" s="53" t="s">
        <v>145</v>
      </c>
      <c r="G1682" s="53" t="s">
        <v>273</v>
      </c>
      <c r="H1682" s="53">
        <v>2</v>
      </c>
      <c r="I1682" s="53" t="s">
        <v>130</v>
      </c>
      <c r="J1682" s="53">
        <v>0</v>
      </c>
      <c r="K1682" s="53">
        <v>1</v>
      </c>
      <c r="L1682" s="53">
        <v>10.9</v>
      </c>
      <c r="M1682" s="53" t="s">
        <v>264</v>
      </c>
      <c r="N1682" s="53">
        <v>10.7</v>
      </c>
      <c r="O1682" s="51" t="str">
        <f>TEXT(tblWorkPackages[[#This Row],[Request date serial]]-WEEKDAY(tblWorkPackages[[#This Row],[Request date serial]],3),"yyyy-mm-dd")</f>
        <v>2024-07-15</v>
      </c>
      <c r="P1682" s="51">
        <f>ABS(tblWorkPackages[[#This Row],[Actual labor hours]]-tblWorkPackages[[#This Row],[Estimated labor hours]])</f>
        <v>0.200000000000001</v>
      </c>
      <c r="Q1682" s="51">
        <f>IF(tblWorkPackages[[#This Row],[Actual labor hours]]&gt;tblWorkPackages[[#This Row],[Estimated labor hours]],1,0)</f>
        <v>0</v>
      </c>
      <c r="R1682" s="51">
        <f>tblWorkPackages[[#This Row],[Actual labor hours]]-tblWorkPackages[[#This Row],[Estimated labor hours]]</f>
        <v>-0.200000000000001</v>
      </c>
      <c r="S1682" s="51" t="str">
        <f>IF(tblWorkPackages[[#This Row],[Request date serial]]&lt;ValidationStart,"Train 2024",IF(tblWorkPackages[[#This Row],[Request date serial]]&lt;HoldoutStart,"Validation H1","Holdout H2"))</f>
        <v>Train 2024</v>
      </c>
      <c r="T1682" s="51" t="str">
        <f>IF(tblWorkPackages[[#This Row],[Time split]]="Train 2024","",tblWorkPackages[[#This Row],[Estimated labor hours]]+VLOOKUP(tblWorkPackages[[#This Row],[Task type]],'Forecast validation'!$A$14:$E$25,IF(tblWorkPackages[[#This Row],[Time split]]="Validation H1",4,5),FALSE()))</f>
        <v/>
      </c>
      <c r="U1682" s="51" t="str">
        <f>IF(tblWorkPackages[[#This Row],[Calibrated forecast hours]]="","",ABS(tblWorkPackages[[#This Row],[Actual labor hours]]-tblWorkPackages[[#This Row],[Calibrated forecast hours]]))</f>
        <v/>
      </c>
      <c r="V1682" s="51">
        <f>IF(tblWorkPackages[[#This Row],[Time split]]="Train 2024",tblWorkPackages[[#This Row],[Estimated labor hours]],tblWorkPackages[[#This Row],[Calibrated forecast hours]])</f>
        <v>10.9</v>
      </c>
      <c r="W1682" s="64">
        <f>DATEVALUE(tblWorkPackages[[#This Row],[Request date]])</f>
        <v>45493.0</v>
      </c>
      <c r="X1682" s="64">
        <f>DATEVALUE(tblWorkPackages[[#This Row],[Due date]])</f>
        <v>45506.0</v>
      </c>
      <c r="Y1682" s="64">
        <f>DATEVALUE(tblWorkPackages[[#This Row],[Completion date]])</f>
        <v>45528.0</v>
      </c>
      <c r="Z1682" s="64">
        <f>_xlfn.MINIFS(tblLaborEntries[Work date serial],tblLaborEntries[Work package ID],tblWorkPackages[[#This Row],[Work package ID]])</f>
        <v>45527.0</v>
      </c>
      <c r="AA1682" s="64">
        <f>_xlfn.MAXIFS(tblLaborEntries[Work date serial],tblLaborEntries[Work package ID],tblWorkPackages[[#This Row],[Work package ID]])</f>
        <v>45528.0</v>
      </c>
      <c r="AB1682" s="65">
        <f>IF(tblWorkPackages[[#This Row],[Completion date serial]]&gt;tblWorkPackages[[#This Row],[Due date serial]],1,0)</f>
        <v>1</v>
      </c>
      <c r="AC1682" s="65">
        <f>MAX(0,tblWorkPackages[[#This Row],[Completion date serial]]-tblWorkPackages[[#This Row],[Due date serial]])</f>
        <v>22</v>
      </c>
      <c r="AD1682" s="65">
        <f>tblWorkPackages[[#This Row],[First labor date]]-tblWorkPackages[[#This Row],[Request date serial]]</f>
        <v>34</v>
      </c>
      <c r="AE1682" s="65">
        <f>tblWorkPackages[[#This Row],[Last labor date]]-tblWorkPackages[[#This Row],[First labor date]]</f>
        <v>1</v>
      </c>
      <c r="AF1682" s="65">
        <f>tblWorkPackages[[#This Row],[Completion date serial]]-tblWorkPackages[[#This Row],[Last labor date]]</f>
        <v>0</v>
      </c>
      <c r="AG1682" s="65">
        <f>tblWorkPackages[[#This Row],[Completion date serial]]-tblWorkPackages[[#This Row],[Request date serial]]</f>
        <v>35</v>
      </c>
      <c r="AH1682" s="65">
        <f>IFERROR(INDEX(tblParts[Delay days],MATCH(tblWorkPackages[[#This Row],[Work package ID]],tblParts[Work package ID],0)),0)</f>
        <v>2</v>
      </c>
      <c r="AI1682" s="51" t="str">
        <f>IFERROR(INDEX(tblDisruptions[Event type],MATCH(tblWorkPackages[[#This Row],[Work package ID]],tblDisruptions[Work package ID],0)),"None")</f>
        <v>Part delay</v>
      </c>
      <c r="AJ1682" s="51" t="str">
        <f>TEXT(tblWorkPackages[[#This Row],[Due date serial]],"yyyy-mm")</f>
        <v>2024-08</v>
      </c>
    </row>
    <row r="1683" spans="1:36" ht="15" x14ac:dyDescent="0.25">
      <c r="A1683" s="53" t="s">
        <v>2592</v>
      </c>
      <c r="B1683" s="53" t="s">
        <v>150</v>
      </c>
      <c r="C1683" s="53" t="s">
        <v>877</v>
      </c>
      <c r="D1683" s="53" t="s">
        <v>817</v>
      </c>
      <c r="E1683" s="53" t="s">
        <v>272</v>
      </c>
      <c r="F1683" s="53" t="s">
        <v>145</v>
      </c>
      <c r="G1683" s="53" t="s">
        <v>273</v>
      </c>
      <c r="H1683" s="53">
        <v>1</v>
      </c>
      <c r="I1683" s="53" t="s">
        <v>130</v>
      </c>
      <c r="J1683" s="53">
        <v>0</v>
      </c>
      <c r="K1683" s="53">
        <v>1</v>
      </c>
      <c r="L1683" s="53">
        <v>7.1</v>
      </c>
      <c r="M1683" s="53" t="s">
        <v>256</v>
      </c>
      <c r="N1683" s="53">
        <v>8.6999999999999993</v>
      </c>
      <c r="O1683" s="51" t="str">
        <f>TEXT(tblWorkPackages[[#This Row],[Request date serial]]-WEEKDAY(tblWorkPackages[[#This Row],[Request date serial]],3),"yyyy-mm-dd")</f>
        <v>2024-11-25</v>
      </c>
      <c r="P1683" s="51">
        <f>ABS(tblWorkPackages[[#This Row],[Actual labor hours]]-tblWorkPackages[[#This Row],[Estimated labor hours]])</f>
        <v>1.6</v>
      </c>
      <c r="Q1683" s="51">
        <f>IF(tblWorkPackages[[#This Row],[Actual labor hours]]&gt;tblWorkPackages[[#This Row],[Estimated labor hours]],1,0)</f>
        <v>1</v>
      </c>
      <c r="R1683" s="51">
        <f>tblWorkPackages[[#This Row],[Actual labor hours]]-tblWorkPackages[[#This Row],[Estimated labor hours]]</f>
        <v>1.6</v>
      </c>
      <c r="S1683" s="51" t="str">
        <f>IF(tblWorkPackages[[#This Row],[Request date serial]]&lt;ValidationStart,"Train 2024",IF(tblWorkPackages[[#This Row],[Request date serial]]&lt;HoldoutStart,"Validation H1","Holdout H2"))</f>
        <v>Train 2024</v>
      </c>
      <c r="T1683" s="51" t="str">
        <f>IF(tblWorkPackages[[#This Row],[Time split]]="Train 2024","",tblWorkPackages[[#This Row],[Estimated labor hours]]+VLOOKUP(tblWorkPackages[[#This Row],[Task type]],'Forecast validation'!$A$14:$E$25,IF(tblWorkPackages[[#This Row],[Time split]]="Validation H1",4,5),FALSE()))</f>
        <v/>
      </c>
      <c r="U1683" s="51" t="str">
        <f>IF(tblWorkPackages[[#This Row],[Calibrated forecast hours]]="","",ABS(tblWorkPackages[[#This Row],[Actual labor hours]]-tblWorkPackages[[#This Row],[Calibrated forecast hours]]))</f>
        <v/>
      </c>
      <c r="V1683" s="51">
        <f>IF(tblWorkPackages[[#This Row],[Time split]]="Train 2024",tblWorkPackages[[#This Row],[Estimated labor hours]],tblWorkPackages[[#This Row],[Calibrated forecast hours]])</f>
        <v>7.1</v>
      </c>
      <c r="W1683" s="64">
        <f>DATEVALUE(tblWorkPackages[[#This Row],[Request date]])</f>
        <v>45624.0</v>
      </c>
      <c r="X1683" s="64">
        <f>DATEVALUE(tblWorkPackages[[#This Row],[Due date]])</f>
        <v>45637.0</v>
      </c>
      <c r="Y1683" s="64">
        <f>DATEVALUE(tblWorkPackages[[#This Row],[Completion date]])</f>
        <v>45634.0</v>
      </c>
      <c r="Z1683" s="64">
        <f>_xlfn.MINIFS(tblLaborEntries[Work date serial],tblLaborEntries[Work package ID],tblWorkPackages[[#This Row],[Work package ID]])</f>
        <v>45633.0</v>
      </c>
      <c r="AA1683" s="64">
        <f>_xlfn.MAXIFS(tblLaborEntries[Work date serial],tblLaborEntries[Work package ID],tblWorkPackages[[#This Row],[Work package ID]])</f>
        <v>45633.0</v>
      </c>
      <c r="AB1683" s="65">
        <f>IF(tblWorkPackages[[#This Row],[Completion date serial]]&gt;tblWorkPackages[[#This Row],[Due date serial]],1,0)</f>
        <v>0</v>
      </c>
      <c r="AC1683" s="65">
        <f>MAX(0,tblWorkPackages[[#This Row],[Completion date serial]]-tblWorkPackages[[#This Row],[Due date serial]])</f>
        <v>0</v>
      </c>
      <c r="AD1683" s="65">
        <f>tblWorkPackages[[#This Row],[First labor date]]-tblWorkPackages[[#This Row],[Request date serial]]</f>
        <v>9</v>
      </c>
      <c r="AE1683" s="65">
        <f>tblWorkPackages[[#This Row],[Last labor date]]-tblWorkPackages[[#This Row],[First labor date]]</f>
        <v>0</v>
      </c>
      <c r="AF1683" s="65">
        <f>tblWorkPackages[[#This Row],[Completion date serial]]-tblWorkPackages[[#This Row],[Last labor date]]</f>
        <v>1</v>
      </c>
      <c r="AG1683" s="65">
        <f>tblWorkPackages[[#This Row],[Completion date serial]]-tblWorkPackages[[#This Row],[Request date serial]]</f>
        <v>10</v>
      </c>
      <c r="AH1683" s="65">
        <f>IFERROR(INDEX(tblParts[Delay days],MATCH(tblWorkPackages[[#This Row],[Work package ID]],tblParts[Work package ID],0)),0)</f>
        <v>3</v>
      </c>
      <c r="AI1683" s="51" t="str">
        <f>IFERROR(INDEX(tblDisruptions[Event type],MATCH(tblWorkPackages[[#This Row],[Work package ID]],tblDisruptions[Work package ID],0)),"None")</f>
        <v>Part delay</v>
      </c>
      <c r="AJ1683" s="51" t="str">
        <f>TEXT(tblWorkPackages[[#This Row],[Due date serial]],"yyyy-mm")</f>
        <v>2024-12</v>
      </c>
    </row>
    <row r="1684" spans="1:36" ht="15" x14ac:dyDescent="0.25">
      <c r="A1684" s="53" t="s">
        <v>2593</v>
      </c>
      <c r="B1684" s="53" t="s">
        <v>250</v>
      </c>
      <c r="C1684" s="53" t="s">
        <v>720</v>
      </c>
      <c r="D1684" s="53" t="s">
        <v>1000</v>
      </c>
      <c r="E1684" s="53" t="s">
        <v>160</v>
      </c>
      <c r="F1684" s="53" t="s">
        <v>128</v>
      </c>
      <c r="G1684" s="53" t="s">
        <v>138</v>
      </c>
      <c r="H1684" s="53">
        <v>3</v>
      </c>
      <c r="I1684" s="53" t="s">
        <v>130</v>
      </c>
      <c r="J1684" s="53">
        <v>0</v>
      </c>
      <c r="K1684" s="53">
        <v>0</v>
      </c>
      <c r="L1684" s="53">
        <v>6.8</v>
      </c>
      <c r="M1684" s="53" t="s">
        <v>246</v>
      </c>
      <c r="N1684" s="53">
        <v>6</v>
      </c>
      <c r="O1684" s="51" t="str">
        <f>TEXT(tblWorkPackages[[#This Row],[Request date serial]]-WEEKDAY(tblWorkPackages[[#This Row],[Request date serial]],3),"yyyy-mm-dd")</f>
        <v>2024-03-04</v>
      </c>
      <c r="P1684" s="51">
        <f>ABS(tblWorkPackages[[#This Row],[Actual labor hours]]-tblWorkPackages[[#This Row],[Estimated labor hours]])</f>
        <v>0.8</v>
      </c>
      <c r="Q1684" s="51">
        <f>IF(tblWorkPackages[[#This Row],[Actual labor hours]]&gt;tblWorkPackages[[#This Row],[Estimated labor hours]],1,0)</f>
        <v>0</v>
      </c>
      <c r="R1684" s="51">
        <f>tblWorkPackages[[#This Row],[Actual labor hours]]-tblWorkPackages[[#This Row],[Estimated labor hours]]</f>
        <v>-0.8</v>
      </c>
      <c r="S1684" s="51" t="str">
        <f>IF(tblWorkPackages[[#This Row],[Request date serial]]&lt;ValidationStart,"Train 2024",IF(tblWorkPackages[[#This Row],[Request date serial]]&lt;HoldoutStart,"Validation H1","Holdout H2"))</f>
        <v>Train 2024</v>
      </c>
      <c r="T1684" s="51" t="str">
        <f>IF(tblWorkPackages[[#This Row],[Time split]]="Train 2024","",tblWorkPackages[[#This Row],[Estimated labor hours]]+VLOOKUP(tblWorkPackages[[#This Row],[Task type]],'Forecast validation'!$A$14:$E$25,IF(tblWorkPackages[[#This Row],[Time split]]="Validation H1",4,5),FALSE()))</f>
        <v/>
      </c>
      <c r="U1684" s="51" t="str">
        <f>IF(tblWorkPackages[[#This Row],[Calibrated forecast hours]]="","",ABS(tblWorkPackages[[#This Row],[Actual labor hours]]-tblWorkPackages[[#This Row],[Calibrated forecast hours]]))</f>
        <v/>
      </c>
      <c r="V1684" s="51">
        <f>IF(tblWorkPackages[[#This Row],[Time split]]="Train 2024",tblWorkPackages[[#This Row],[Estimated labor hours]],tblWorkPackages[[#This Row],[Calibrated forecast hours]])</f>
        <v>6.8</v>
      </c>
      <c r="W1684" s="64">
        <f>DATEVALUE(tblWorkPackages[[#This Row],[Request date]])</f>
        <v>45359.0</v>
      </c>
      <c r="X1684" s="64">
        <f>DATEVALUE(tblWorkPackages[[#This Row],[Due date]])</f>
        <v>45372.0</v>
      </c>
      <c r="Y1684" s="64">
        <f>DATEVALUE(tblWorkPackages[[#This Row],[Completion date]])</f>
        <v>45364.0</v>
      </c>
      <c r="Z1684" s="64">
        <f>_xlfn.MINIFS(tblLaborEntries[Work date serial],tblLaborEntries[Work package ID],tblWorkPackages[[#This Row],[Work package ID]])</f>
        <v>45361.0</v>
      </c>
      <c r="AA1684" s="64">
        <f>_xlfn.MAXIFS(tblLaborEntries[Work date serial],tblLaborEntries[Work package ID],tblWorkPackages[[#This Row],[Work package ID]])</f>
        <v>45362.0</v>
      </c>
      <c r="AB1684" s="65">
        <f>IF(tblWorkPackages[[#This Row],[Completion date serial]]&gt;tblWorkPackages[[#This Row],[Due date serial]],1,0)</f>
        <v>0</v>
      </c>
      <c r="AC1684" s="65">
        <f>MAX(0,tblWorkPackages[[#This Row],[Completion date serial]]-tblWorkPackages[[#This Row],[Due date serial]])</f>
        <v>0</v>
      </c>
      <c r="AD1684" s="65">
        <f>tblWorkPackages[[#This Row],[First labor date]]-tblWorkPackages[[#This Row],[Request date serial]]</f>
        <v>2</v>
      </c>
      <c r="AE1684" s="65">
        <f>tblWorkPackages[[#This Row],[Last labor date]]-tblWorkPackages[[#This Row],[First labor date]]</f>
        <v>1</v>
      </c>
      <c r="AF1684" s="65">
        <f>tblWorkPackages[[#This Row],[Completion date serial]]-tblWorkPackages[[#This Row],[Last labor date]]</f>
        <v>2</v>
      </c>
      <c r="AG1684" s="65">
        <f>tblWorkPackages[[#This Row],[Completion date serial]]-tblWorkPackages[[#This Row],[Request date serial]]</f>
        <v>5</v>
      </c>
      <c r="AH1684" s="65">
        <f>IFERROR(INDEX(tblParts[Delay days],MATCH(tblWorkPackages[[#This Row],[Work package ID]],tblParts[Work package ID],0)),0)</f>
        <v>0</v>
      </c>
      <c r="AI1684" s="51" t="str">
        <f>IFERROR(INDEX(tblDisruptions[Event type],MATCH(tblWorkPackages[[#This Row],[Work package ID]],tblDisruptions[Work package ID],0)),"None")</f>
        <v>None</v>
      </c>
      <c r="AJ1684" s="51" t="str">
        <f>TEXT(tblWorkPackages[[#This Row],[Due date serial]],"yyyy-mm")</f>
        <v>2024-03</v>
      </c>
    </row>
    <row r="1685" spans="1:36" ht="15" x14ac:dyDescent="0.25">
      <c r="A1685" s="53" t="s">
        <v>2594</v>
      </c>
      <c r="B1685" s="53" t="s">
        <v>173</v>
      </c>
      <c r="C1685" s="53" t="s">
        <v>858</v>
      </c>
      <c r="D1685" s="53" t="s">
        <v>993</v>
      </c>
      <c r="E1685" s="53" t="s">
        <v>237</v>
      </c>
      <c r="F1685" s="53" t="s">
        <v>182</v>
      </c>
      <c r="G1685" s="53" t="s">
        <v>138</v>
      </c>
      <c r="H1685" s="53">
        <v>4</v>
      </c>
      <c r="I1685" s="53" t="s">
        <v>130</v>
      </c>
      <c r="J1685" s="53">
        <v>0</v>
      </c>
      <c r="K1685" s="53">
        <v>1</v>
      </c>
      <c r="L1685" s="53">
        <v>10.199999999999999</v>
      </c>
      <c r="M1685" s="53" t="s">
        <v>270</v>
      </c>
      <c r="N1685" s="53">
        <v>8.3000000000000007</v>
      </c>
      <c r="O1685" s="51" t="str">
        <f>TEXT(tblWorkPackages[[#This Row],[Request date serial]]-WEEKDAY(tblWorkPackages[[#This Row],[Request date serial]],3),"yyyy-mm-dd")</f>
        <v>2025-03-10</v>
      </c>
      <c r="P1685" s="51">
        <f>ABS(tblWorkPackages[[#This Row],[Actual labor hours]]-tblWorkPackages[[#This Row],[Estimated labor hours]])</f>
        <v>1.9</v>
      </c>
      <c r="Q1685" s="51">
        <f>IF(tblWorkPackages[[#This Row],[Actual labor hours]]&gt;tblWorkPackages[[#This Row],[Estimated labor hours]],1,0)</f>
        <v>0</v>
      </c>
      <c r="R1685" s="51">
        <f>tblWorkPackages[[#This Row],[Actual labor hours]]-tblWorkPackages[[#This Row],[Estimated labor hours]]</f>
        <v>-1.9</v>
      </c>
      <c r="S1685" s="51" t="str">
        <f>IF(tblWorkPackages[[#This Row],[Request date serial]]&lt;ValidationStart,"Train 2024",IF(tblWorkPackages[[#This Row],[Request date serial]]&lt;HoldoutStart,"Validation H1","Holdout H2"))</f>
        <v>Validation H1</v>
      </c>
      <c r="T1685" s="51">
        <f>IF(tblWorkPackages[[#This Row],[Time split]]="Train 2024","",tblWorkPackages[[#This Row],[Estimated labor hours]]+VLOOKUP(tblWorkPackages[[#This Row],[Task type]],'Forecast validation'!$A$14:$E$25,IF(tblWorkPackages[[#This Row],[Time split]]="Validation H1",4,5),FALSE()))</f>
        <v>10.7037037037037</v>
      </c>
      <c r="U1685" s="51">
        <f>IF(tblWorkPackages[[#This Row],[Calibrated forecast hours]]="","",ABS(tblWorkPackages[[#This Row],[Actual labor hours]]-tblWorkPackages[[#This Row],[Calibrated forecast hours]]))</f>
        <v>2.4037037037037</v>
      </c>
      <c r="V1685" s="51">
        <f>IF(tblWorkPackages[[#This Row],[Time split]]="Train 2024",tblWorkPackages[[#This Row],[Estimated labor hours]],tblWorkPackages[[#This Row],[Calibrated forecast hours]])</f>
        <v>10.7037037037037</v>
      </c>
      <c r="W1685" s="64">
        <f>DATEVALUE(tblWorkPackages[[#This Row],[Request date]])</f>
        <v>45729.0</v>
      </c>
      <c r="X1685" s="64">
        <f>DATEVALUE(tblWorkPackages[[#This Row],[Due date]])</f>
        <v>45742.0</v>
      </c>
      <c r="Y1685" s="64">
        <f>DATEVALUE(tblWorkPackages[[#This Row],[Completion date]])</f>
        <v>45748.0</v>
      </c>
      <c r="Z1685" s="64">
        <f>_xlfn.MINIFS(tblLaborEntries[Work date serial],tblLaborEntries[Work package ID],tblWorkPackages[[#This Row],[Work package ID]])</f>
        <v>45743.0</v>
      </c>
      <c r="AA1685" s="64">
        <f>_xlfn.MAXIFS(tblLaborEntries[Work date serial],tblLaborEntries[Work package ID],tblWorkPackages[[#This Row],[Work package ID]])</f>
        <v>45745.0</v>
      </c>
      <c r="AB1685" s="65">
        <f>IF(tblWorkPackages[[#This Row],[Completion date serial]]&gt;tblWorkPackages[[#This Row],[Due date serial]],1,0)</f>
        <v>1</v>
      </c>
      <c r="AC1685" s="65">
        <f>MAX(0,tblWorkPackages[[#This Row],[Completion date serial]]-tblWorkPackages[[#This Row],[Due date serial]])</f>
        <v>6</v>
      </c>
      <c r="AD1685" s="65">
        <f>tblWorkPackages[[#This Row],[First labor date]]-tblWorkPackages[[#This Row],[Request date serial]]</f>
        <v>14</v>
      </c>
      <c r="AE1685" s="65">
        <f>tblWorkPackages[[#This Row],[Last labor date]]-tblWorkPackages[[#This Row],[First labor date]]</f>
        <v>2</v>
      </c>
      <c r="AF1685" s="65">
        <f>tblWorkPackages[[#This Row],[Completion date serial]]-tblWorkPackages[[#This Row],[Last labor date]]</f>
        <v>3</v>
      </c>
      <c r="AG1685" s="65">
        <f>tblWorkPackages[[#This Row],[Completion date serial]]-tblWorkPackages[[#This Row],[Request date serial]]</f>
        <v>19</v>
      </c>
      <c r="AH1685" s="65">
        <f>IFERROR(INDEX(tblParts[Delay days],MATCH(tblWorkPackages[[#This Row],[Work package ID]],tblParts[Work package ID],0)),0)</f>
        <v>0</v>
      </c>
      <c r="AI1685" s="51" t="str">
        <f>IFERROR(INDEX(tblDisruptions[Event type],MATCH(tblWorkPackages[[#This Row],[Work package ID]],tblDisruptions[Work package ID],0)),"None")</f>
        <v>None</v>
      </c>
      <c r="AJ1685" s="51" t="str">
        <f>TEXT(tblWorkPackages[[#This Row],[Due date serial]],"yyyy-mm")</f>
        <v>2025-03</v>
      </c>
    </row>
    <row r="1686" spans="1:36" ht="15" x14ac:dyDescent="0.25">
      <c r="A1686" s="53" t="s">
        <v>2595</v>
      </c>
      <c r="B1686" s="53" t="s">
        <v>168</v>
      </c>
      <c r="C1686" s="53" t="s">
        <v>417</v>
      </c>
      <c r="D1686" s="53" t="s">
        <v>418</v>
      </c>
      <c r="E1686" s="53" t="s">
        <v>237</v>
      </c>
      <c r="F1686" s="53" t="s">
        <v>182</v>
      </c>
      <c r="G1686" s="53" t="s">
        <v>138</v>
      </c>
      <c r="H1686" s="53">
        <v>2</v>
      </c>
      <c r="I1686" s="53" t="s">
        <v>130</v>
      </c>
      <c r="J1686" s="53">
        <v>1</v>
      </c>
      <c r="K1686" s="53">
        <v>1</v>
      </c>
      <c r="L1686" s="53">
        <v>5.9</v>
      </c>
      <c r="M1686" s="53" t="s">
        <v>898</v>
      </c>
      <c r="N1686" s="53">
        <v>8.1999999999999993</v>
      </c>
      <c r="O1686" s="51" t="str">
        <f>TEXT(tblWorkPackages[[#This Row],[Request date serial]]-WEEKDAY(tblWorkPackages[[#This Row],[Request date serial]],3),"yyyy-mm-dd")</f>
        <v>2024-04-29</v>
      </c>
      <c r="P1686" s="51">
        <f>ABS(tblWorkPackages[[#This Row],[Actual labor hours]]-tblWorkPackages[[#This Row],[Estimated labor hours]])</f>
        <v>2.3</v>
      </c>
      <c r="Q1686" s="51">
        <f>IF(tblWorkPackages[[#This Row],[Actual labor hours]]&gt;tblWorkPackages[[#This Row],[Estimated labor hours]],1,0)</f>
        <v>1</v>
      </c>
      <c r="R1686" s="51">
        <f>tblWorkPackages[[#This Row],[Actual labor hours]]-tblWorkPackages[[#This Row],[Estimated labor hours]]</f>
        <v>2.3</v>
      </c>
      <c r="S1686" s="51" t="str">
        <f>IF(tblWorkPackages[[#This Row],[Request date serial]]&lt;ValidationStart,"Train 2024",IF(tblWorkPackages[[#This Row],[Request date serial]]&lt;HoldoutStart,"Validation H1","Holdout H2"))</f>
        <v>Train 2024</v>
      </c>
      <c r="T1686" s="51" t="str">
        <f>IF(tblWorkPackages[[#This Row],[Time split]]="Train 2024","",tblWorkPackages[[#This Row],[Estimated labor hours]]+VLOOKUP(tblWorkPackages[[#This Row],[Task type]],'Forecast validation'!$A$14:$E$25,IF(tblWorkPackages[[#This Row],[Time split]]="Validation H1",4,5),FALSE()))</f>
        <v/>
      </c>
      <c r="U1686" s="51" t="str">
        <f>IF(tblWorkPackages[[#This Row],[Calibrated forecast hours]]="","",ABS(tblWorkPackages[[#This Row],[Actual labor hours]]-tblWorkPackages[[#This Row],[Calibrated forecast hours]]))</f>
        <v/>
      </c>
      <c r="V1686" s="51">
        <f>IF(tblWorkPackages[[#This Row],[Time split]]="Train 2024",tblWorkPackages[[#This Row],[Estimated labor hours]],tblWorkPackages[[#This Row],[Calibrated forecast hours]])</f>
        <v>5.9</v>
      </c>
      <c r="W1686" s="64">
        <f>DATEVALUE(tblWorkPackages[[#This Row],[Request date]])</f>
        <v>45416.0</v>
      </c>
      <c r="X1686" s="64">
        <f>DATEVALUE(tblWorkPackages[[#This Row],[Due date]])</f>
        <v>45429.0</v>
      </c>
      <c r="Y1686" s="64">
        <f>DATEVALUE(tblWorkPackages[[#This Row],[Completion date]])</f>
        <v>45420.0</v>
      </c>
      <c r="Z1686" s="64">
        <f>_xlfn.MINIFS(tblLaborEntries[Work date serial],tblLaborEntries[Work package ID],tblWorkPackages[[#This Row],[Work package ID]])</f>
        <v>45420.0</v>
      </c>
      <c r="AA1686" s="64">
        <f>_xlfn.MAXIFS(tblLaborEntries[Work date serial],tblLaborEntries[Work package ID],tblWorkPackages[[#This Row],[Work package ID]])</f>
        <v>45420.0</v>
      </c>
      <c r="AB1686" s="65">
        <f>IF(tblWorkPackages[[#This Row],[Completion date serial]]&gt;tblWorkPackages[[#This Row],[Due date serial]],1,0)</f>
        <v>0</v>
      </c>
      <c r="AC1686" s="65">
        <f>MAX(0,tblWorkPackages[[#This Row],[Completion date serial]]-tblWorkPackages[[#This Row],[Due date serial]])</f>
        <v>0</v>
      </c>
      <c r="AD1686" s="65">
        <f>tblWorkPackages[[#This Row],[First labor date]]-tblWorkPackages[[#This Row],[Request date serial]]</f>
        <v>4</v>
      </c>
      <c r="AE1686" s="65">
        <f>tblWorkPackages[[#This Row],[Last labor date]]-tblWorkPackages[[#This Row],[First labor date]]</f>
        <v>0</v>
      </c>
      <c r="AF1686" s="65">
        <f>tblWorkPackages[[#This Row],[Completion date serial]]-tblWorkPackages[[#This Row],[Last labor date]]</f>
        <v>0</v>
      </c>
      <c r="AG1686" s="65">
        <f>tblWorkPackages[[#This Row],[Completion date serial]]-tblWorkPackages[[#This Row],[Request date serial]]</f>
        <v>4</v>
      </c>
      <c r="AH1686" s="65">
        <f>IFERROR(INDEX(tblParts[Delay days],MATCH(tblWorkPackages[[#This Row],[Work package ID]],tblParts[Work package ID],0)),0)</f>
        <v>0</v>
      </c>
      <c r="AI1686" s="51" t="str">
        <f>IFERROR(INDEX(tblDisruptions[Event type],MATCH(tblWorkPackages[[#This Row],[Work package ID]],tblDisruptions[Work package ID],0)),"None")</f>
        <v>None</v>
      </c>
      <c r="AJ1686" s="51" t="str">
        <f>TEXT(tblWorkPackages[[#This Row],[Due date serial]],"yyyy-mm")</f>
        <v>2024-05</v>
      </c>
    </row>
    <row r="1687" spans="1:36" ht="15" x14ac:dyDescent="0.25">
      <c r="A1687" s="53" t="s">
        <v>2596</v>
      </c>
      <c r="B1687" s="53" t="s">
        <v>168</v>
      </c>
      <c r="C1687" s="53" t="s">
        <v>1297</v>
      </c>
      <c r="D1687" s="53" t="s">
        <v>537</v>
      </c>
      <c r="E1687" s="53" t="s">
        <v>160</v>
      </c>
      <c r="F1687" s="53" t="s">
        <v>128</v>
      </c>
      <c r="G1687" s="53" t="s">
        <v>138</v>
      </c>
      <c r="H1687" s="53">
        <v>4</v>
      </c>
      <c r="I1687" s="53" t="s">
        <v>130</v>
      </c>
      <c r="J1687" s="53">
        <v>0</v>
      </c>
      <c r="K1687" s="53">
        <v>0</v>
      </c>
      <c r="L1687" s="53">
        <v>7.7</v>
      </c>
      <c r="M1687" s="53" t="s">
        <v>560</v>
      </c>
      <c r="N1687" s="53">
        <v>6.2</v>
      </c>
      <c r="O1687" s="51" t="str">
        <f>TEXT(tblWorkPackages[[#This Row],[Request date serial]]-WEEKDAY(tblWorkPackages[[#This Row],[Request date serial]],3),"yyyy-mm-dd")</f>
        <v>2025-11-03</v>
      </c>
      <c r="P1687" s="51">
        <f>ABS(tblWorkPackages[[#This Row],[Actual labor hours]]-tblWorkPackages[[#This Row],[Estimated labor hours]])</f>
        <v>1.5</v>
      </c>
      <c r="Q1687" s="51">
        <f>IF(tblWorkPackages[[#This Row],[Actual labor hours]]&gt;tblWorkPackages[[#This Row],[Estimated labor hours]],1,0)</f>
        <v>0</v>
      </c>
      <c r="R1687" s="51">
        <f>tblWorkPackages[[#This Row],[Actual labor hours]]-tblWorkPackages[[#This Row],[Estimated labor hours]]</f>
        <v>-1.5</v>
      </c>
      <c r="S1687" s="51" t="str">
        <f>IF(tblWorkPackages[[#This Row],[Request date serial]]&lt;ValidationStart,"Train 2024",IF(tblWorkPackages[[#This Row],[Request date serial]]&lt;HoldoutStart,"Validation H1","Holdout H2"))</f>
        <v>Holdout H2</v>
      </c>
      <c r="T1687" s="51">
        <f>IF(tblWorkPackages[[#This Row],[Time split]]="Train 2024","",tblWorkPackages[[#This Row],[Estimated labor hours]]+VLOOKUP(tblWorkPackages[[#This Row],[Task type]],'Forecast validation'!$A$14:$E$25,IF(tblWorkPackages[[#This Row],[Time split]]="Validation H1",4,5),FALSE()))</f>
        <v>8.13739837398374</v>
      </c>
      <c r="U1687" s="51">
        <f>IF(tblWorkPackages[[#This Row],[Calibrated forecast hours]]="","",ABS(tblWorkPackages[[#This Row],[Actual labor hours]]-tblWorkPackages[[#This Row],[Calibrated forecast hours]]))</f>
        <v>1.93739837398374</v>
      </c>
      <c r="V1687" s="51">
        <f>IF(tblWorkPackages[[#This Row],[Time split]]="Train 2024",tblWorkPackages[[#This Row],[Estimated labor hours]],tblWorkPackages[[#This Row],[Calibrated forecast hours]])</f>
        <v>8.13739837398374</v>
      </c>
      <c r="W1687" s="64">
        <f>DATEVALUE(tblWorkPackages[[#This Row],[Request date]])</f>
        <v>45966.0</v>
      </c>
      <c r="X1687" s="64">
        <f>DATEVALUE(tblWorkPackages[[#This Row],[Due date]])</f>
        <v>45979.0</v>
      </c>
      <c r="Y1687" s="64">
        <f>DATEVALUE(tblWorkPackages[[#This Row],[Completion date]])</f>
        <v>45970.0</v>
      </c>
      <c r="Z1687" s="64">
        <f>_xlfn.MINIFS(tblLaborEntries[Work date serial],tblLaborEntries[Work package ID],tblWorkPackages[[#This Row],[Work package ID]])</f>
        <v>45967.0</v>
      </c>
      <c r="AA1687" s="64">
        <f>_xlfn.MAXIFS(tblLaborEntries[Work date serial],tblLaborEntries[Work package ID],tblWorkPackages[[#This Row],[Work package ID]])</f>
        <v>45969.0</v>
      </c>
      <c r="AB1687" s="65">
        <f>IF(tblWorkPackages[[#This Row],[Completion date serial]]&gt;tblWorkPackages[[#This Row],[Due date serial]],1,0)</f>
        <v>0</v>
      </c>
      <c r="AC1687" s="65">
        <f>MAX(0,tblWorkPackages[[#This Row],[Completion date serial]]-tblWorkPackages[[#This Row],[Due date serial]])</f>
        <v>0</v>
      </c>
      <c r="AD1687" s="65">
        <f>tblWorkPackages[[#This Row],[First labor date]]-tblWorkPackages[[#This Row],[Request date serial]]</f>
        <v>1</v>
      </c>
      <c r="AE1687" s="65">
        <f>tblWorkPackages[[#This Row],[Last labor date]]-tblWorkPackages[[#This Row],[First labor date]]</f>
        <v>2</v>
      </c>
      <c r="AF1687" s="65">
        <f>tblWorkPackages[[#This Row],[Completion date serial]]-tblWorkPackages[[#This Row],[Last labor date]]</f>
        <v>1</v>
      </c>
      <c r="AG1687" s="65">
        <f>tblWorkPackages[[#This Row],[Completion date serial]]-tblWorkPackages[[#This Row],[Request date serial]]</f>
        <v>4</v>
      </c>
      <c r="AH1687" s="65">
        <f>IFERROR(INDEX(tblParts[Delay days],MATCH(tblWorkPackages[[#This Row],[Work package ID]],tblParts[Work package ID],0)),0)</f>
        <v>0</v>
      </c>
      <c r="AI1687" s="51" t="str">
        <f>IFERROR(INDEX(tblDisruptions[Event type],MATCH(tblWorkPackages[[#This Row],[Work package ID]],tblDisruptions[Work package ID],0)),"None")</f>
        <v>None</v>
      </c>
      <c r="AJ1687" s="51" t="str">
        <f>TEXT(tblWorkPackages[[#This Row],[Due date serial]],"yyyy-mm")</f>
        <v>2025-11</v>
      </c>
    </row>
    <row r="1688" spans="1:36" ht="15" x14ac:dyDescent="0.25">
      <c r="A1688" s="53" t="s">
        <v>2597</v>
      </c>
      <c r="B1688" s="53" t="s">
        <v>157</v>
      </c>
      <c r="C1688" s="53" t="s">
        <v>794</v>
      </c>
      <c r="D1688" s="53" t="s">
        <v>1038</v>
      </c>
      <c r="E1688" s="53" t="s">
        <v>200</v>
      </c>
      <c r="F1688" s="53" t="s">
        <v>128</v>
      </c>
      <c r="G1688" s="53" t="s">
        <v>129</v>
      </c>
      <c r="H1688" s="53">
        <v>2</v>
      </c>
      <c r="I1688" s="53" t="s">
        <v>130</v>
      </c>
      <c r="J1688" s="53">
        <v>0</v>
      </c>
      <c r="K1688" s="53">
        <v>1</v>
      </c>
      <c r="L1688" s="53">
        <v>2.5</v>
      </c>
      <c r="M1688" s="53" t="s">
        <v>555</v>
      </c>
      <c r="N1688" s="53">
        <v>2.8</v>
      </c>
      <c r="O1688" s="51" t="str">
        <f>TEXT(tblWorkPackages[[#This Row],[Request date serial]]-WEEKDAY(tblWorkPackages[[#This Row],[Request date serial]],3),"yyyy-mm-dd")</f>
        <v>2024-11-11</v>
      </c>
      <c r="P1688" s="51">
        <f>ABS(tblWorkPackages[[#This Row],[Actual labor hours]]-tblWorkPackages[[#This Row],[Estimated labor hours]])</f>
        <v>0.3</v>
      </c>
      <c r="Q1688" s="51">
        <f>IF(tblWorkPackages[[#This Row],[Actual labor hours]]&gt;tblWorkPackages[[#This Row],[Estimated labor hours]],1,0)</f>
        <v>1</v>
      </c>
      <c r="R1688" s="51">
        <f>tblWorkPackages[[#This Row],[Actual labor hours]]-tblWorkPackages[[#This Row],[Estimated labor hours]]</f>
        <v>0.3</v>
      </c>
      <c r="S1688" s="51" t="str">
        <f>IF(tblWorkPackages[[#This Row],[Request date serial]]&lt;ValidationStart,"Train 2024",IF(tblWorkPackages[[#This Row],[Request date serial]]&lt;HoldoutStart,"Validation H1","Holdout H2"))</f>
        <v>Train 2024</v>
      </c>
      <c r="T1688" s="51" t="str">
        <f>IF(tblWorkPackages[[#This Row],[Time split]]="Train 2024","",tblWorkPackages[[#This Row],[Estimated labor hours]]+VLOOKUP(tblWorkPackages[[#This Row],[Task type]],'Forecast validation'!$A$14:$E$25,IF(tblWorkPackages[[#This Row],[Time split]]="Validation H1",4,5),FALSE()))</f>
        <v/>
      </c>
      <c r="U1688" s="51" t="str">
        <f>IF(tblWorkPackages[[#This Row],[Calibrated forecast hours]]="","",ABS(tblWorkPackages[[#This Row],[Actual labor hours]]-tblWorkPackages[[#This Row],[Calibrated forecast hours]]))</f>
        <v/>
      </c>
      <c r="V1688" s="51">
        <f>IF(tblWorkPackages[[#This Row],[Time split]]="Train 2024",tblWorkPackages[[#This Row],[Estimated labor hours]],tblWorkPackages[[#This Row],[Calibrated forecast hours]])</f>
        <v>2.5</v>
      </c>
      <c r="W1688" s="64">
        <f>DATEVALUE(tblWorkPackages[[#This Row],[Request date]])</f>
        <v>45610.0</v>
      </c>
      <c r="X1688" s="64">
        <f>DATEVALUE(tblWorkPackages[[#This Row],[Due date]])</f>
        <v>45623.0</v>
      </c>
      <c r="Y1688" s="64">
        <f>DATEVALUE(tblWorkPackages[[#This Row],[Completion date]])</f>
        <v>45622.0</v>
      </c>
      <c r="Z1688" s="64">
        <f>_xlfn.MINIFS(tblLaborEntries[Work date serial],tblLaborEntries[Work package ID],tblWorkPackages[[#This Row],[Work package ID]])</f>
        <v>45619.0</v>
      </c>
      <c r="AA1688" s="64">
        <f>_xlfn.MAXIFS(tblLaborEntries[Work date serial],tblLaborEntries[Work package ID],tblWorkPackages[[#This Row],[Work package ID]])</f>
        <v>45620.0</v>
      </c>
      <c r="AB1688" s="65">
        <f>IF(tblWorkPackages[[#This Row],[Completion date serial]]&gt;tblWorkPackages[[#This Row],[Due date serial]],1,0)</f>
        <v>0</v>
      </c>
      <c r="AC1688" s="65">
        <f>MAX(0,tblWorkPackages[[#This Row],[Completion date serial]]-tblWorkPackages[[#This Row],[Due date serial]])</f>
        <v>0</v>
      </c>
      <c r="AD1688" s="65">
        <f>tblWorkPackages[[#This Row],[First labor date]]-tblWorkPackages[[#This Row],[Request date serial]]</f>
        <v>9</v>
      </c>
      <c r="AE1688" s="65">
        <f>tblWorkPackages[[#This Row],[Last labor date]]-tblWorkPackages[[#This Row],[First labor date]]</f>
        <v>1</v>
      </c>
      <c r="AF1688" s="65">
        <f>tblWorkPackages[[#This Row],[Completion date serial]]-tblWorkPackages[[#This Row],[Last labor date]]</f>
        <v>2</v>
      </c>
      <c r="AG1688" s="65">
        <f>tblWorkPackages[[#This Row],[Completion date serial]]-tblWorkPackages[[#This Row],[Request date serial]]</f>
        <v>12</v>
      </c>
      <c r="AH1688" s="65">
        <f>IFERROR(INDEX(tblParts[Delay days],MATCH(tblWorkPackages[[#This Row],[Work package ID]],tblParts[Work package ID],0)),0)</f>
        <v>0</v>
      </c>
      <c r="AI1688" s="51" t="str">
        <f>IFERROR(INDEX(tblDisruptions[Event type],MATCH(tblWorkPackages[[#This Row],[Work package ID]],tblDisruptions[Work package ID],0)),"None")</f>
        <v>None</v>
      </c>
      <c r="AJ1688" s="51" t="str">
        <f>TEXT(tblWorkPackages[[#This Row],[Due date serial]],"yyyy-mm")</f>
        <v>2024-11</v>
      </c>
    </row>
    <row r="1689" spans="1:36" ht="15" x14ac:dyDescent="0.25">
      <c r="A1689" s="53" t="s">
        <v>2598</v>
      </c>
      <c r="B1689" s="53" t="s">
        <v>230</v>
      </c>
      <c r="C1689" s="53" t="s">
        <v>793</v>
      </c>
      <c r="D1689" s="53" t="s">
        <v>515</v>
      </c>
      <c r="E1689" s="53" t="s">
        <v>272</v>
      </c>
      <c r="F1689" s="53" t="s">
        <v>145</v>
      </c>
      <c r="G1689" s="53" t="s">
        <v>273</v>
      </c>
      <c r="H1689" s="53">
        <v>2</v>
      </c>
      <c r="I1689" s="53" t="s">
        <v>130</v>
      </c>
      <c r="J1689" s="53">
        <v>0</v>
      </c>
      <c r="K1689" s="53">
        <v>0</v>
      </c>
      <c r="L1689" s="53">
        <v>10.8</v>
      </c>
      <c r="M1689" s="53" t="s">
        <v>244</v>
      </c>
      <c r="N1689" s="53">
        <v>10.4</v>
      </c>
      <c r="O1689" s="51" t="str">
        <f>TEXT(tblWorkPackages[[#This Row],[Request date serial]]-WEEKDAY(tblWorkPackages[[#This Row],[Request date serial]],3),"yyyy-mm-dd")</f>
        <v>2024-11-11</v>
      </c>
      <c r="P1689" s="51">
        <f>ABS(tblWorkPackages[[#This Row],[Actual labor hours]]-tblWorkPackages[[#This Row],[Estimated labor hours]])</f>
        <v>0.4</v>
      </c>
      <c r="Q1689" s="51">
        <f>IF(tblWorkPackages[[#This Row],[Actual labor hours]]&gt;tblWorkPackages[[#This Row],[Estimated labor hours]],1,0)</f>
        <v>0</v>
      </c>
      <c r="R1689" s="51">
        <f>tblWorkPackages[[#This Row],[Actual labor hours]]-tblWorkPackages[[#This Row],[Estimated labor hours]]</f>
        <v>-0.4</v>
      </c>
      <c r="S1689" s="51" t="str">
        <f>IF(tblWorkPackages[[#This Row],[Request date serial]]&lt;ValidationStart,"Train 2024",IF(tblWorkPackages[[#This Row],[Request date serial]]&lt;HoldoutStart,"Validation H1","Holdout H2"))</f>
        <v>Train 2024</v>
      </c>
      <c r="T1689" s="51" t="str">
        <f>IF(tblWorkPackages[[#This Row],[Time split]]="Train 2024","",tblWorkPackages[[#This Row],[Estimated labor hours]]+VLOOKUP(tblWorkPackages[[#This Row],[Task type]],'Forecast validation'!$A$14:$E$25,IF(tblWorkPackages[[#This Row],[Time split]]="Validation H1",4,5),FALSE()))</f>
        <v/>
      </c>
      <c r="U1689" s="51" t="str">
        <f>IF(tblWorkPackages[[#This Row],[Calibrated forecast hours]]="","",ABS(tblWorkPackages[[#This Row],[Actual labor hours]]-tblWorkPackages[[#This Row],[Calibrated forecast hours]]))</f>
        <v/>
      </c>
      <c r="V1689" s="51">
        <f>IF(tblWorkPackages[[#This Row],[Time split]]="Train 2024",tblWorkPackages[[#This Row],[Estimated labor hours]],tblWorkPackages[[#This Row],[Calibrated forecast hours]])</f>
        <v>10.8</v>
      </c>
      <c r="W1689" s="64">
        <f>DATEVALUE(tblWorkPackages[[#This Row],[Request date]])</f>
        <v>45608.0</v>
      </c>
      <c r="X1689" s="64">
        <f>DATEVALUE(tblWorkPackages[[#This Row],[Due date]])</f>
        <v>45621.0</v>
      </c>
      <c r="Y1689" s="64">
        <f>DATEVALUE(tblWorkPackages[[#This Row],[Completion date]])</f>
        <v>45614.0</v>
      </c>
      <c r="Z1689" s="64">
        <f>_xlfn.MINIFS(tblLaborEntries[Work date serial],tblLaborEntries[Work package ID],tblWorkPackages[[#This Row],[Work package ID]])</f>
        <v>45610.0</v>
      </c>
      <c r="AA1689" s="64">
        <f>_xlfn.MAXIFS(tblLaborEntries[Work date serial],tblLaborEntries[Work package ID],tblWorkPackages[[#This Row],[Work package ID]])</f>
        <v>45611.0</v>
      </c>
      <c r="AB1689" s="65">
        <f>IF(tblWorkPackages[[#This Row],[Completion date serial]]&gt;tblWorkPackages[[#This Row],[Due date serial]],1,0)</f>
        <v>0</v>
      </c>
      <c r="AC1689" s="65">
        <f>MAX(0,tblWorkPackages[[#This Row],[Completion date serial]]-tblWorkPackages[[#This Row],[Due date serial]])</f>
        <v>0</v>
      </c>
      <c r="AD1689" s="65">
        <f>tblWorkPackages[[#This Row],[First labor date]]-tblWorkPackages[[#This Row],[Request date serial]]</f>
        <v>2</v>
      </c>
      <c r="AE1689" s="65">
        <f>tblWorkPackages[[#This Row],[Last labor date]]-tblWorkPackages[[#This Row],[First labor date]]</f>
        <v>1</v>
      </c>
      <c r="AF1689" s="65">
        <f>tblWorkPackages[[#This Row],[Completion date serial]]-tblWorkPackages[[#This Row],[Last labor date]]</f>
        <v>3</v>
      </c>
      <c r="AG1689" s="65">
        <f>tblWorkPackages[[#This Row],[Completion date serial]]-tblWorkPackages[[#This Row],[Request date serial]]</f>
        <v>6</v>
      </c>
      <c r="AH1689" s="65">
        <f>IFERROR(INDEX(tblParts[Delay days],MATCH(tblWorkPackages[[#This Row],[Work package ID]],tblParts[Work package ID],0)),0)</f>
        <v>0</v>
      </c>
      <c r="AI1689" s="51" t="str">
        <f>IFERROR(INDEX(tblDisruptions[Event type],MATCH(tblWorkPackages[[#This Row],[Work package ID]],tblDisruptions[Work package ID],0)),"None")</f>
        <v>None</v>
      </c>
      <c r="AJ1689" s="51" t="str">
        <f>TEXT(tblWorkPackages[[#This Row],[Due date serial]],"yyyy-mm")</f>
        <v>2024-11</v>
      </c>
    </row>
    <row r="1690" spans="1:36" ht="15" x14ac:dyDescent="0.25">
      <c r="A1690" s="53" t="s">
        <v>2599</v>
      </c>
      <c r="B1690" s="53" t="s">
        <v>185</v>
      </c>
      <c r="C1690" s="53" t="s">
        <v>221</v>
      </c>
      <c r="D1690" s="53" t="s">
        <v>922</v>
      </c>
      <c r="E1690" s="53" t="s">
        <v>242</v>
      </c>
      <c r="F1690" s="53" t="s">
        <v>243</v>
      </c>
      <c r="G1690" s="53" t="s">
        <v>129</v>
      </c>
      <c r="H1690" s="53">
        <v>2</v>
      </c>
      <c r="I1690" s="53" t="s">
        <v>176</v>
      </c>
      <c r="J1690" s="53">
        <v>0</v>
      </c>
      <c r="K1690" s="53">
        <v>0</v>
      </c>
      <c r="L1690" s="53">
        <v>8.5</v>
      </c>
      <c r="M1690" s="53" t="s">
        <v>732</v>
      </c>
      <c r="N1690" s="53">
        <v>10.1</v>
      </c>
      <c r="O1690" s="51" t="str">
        <f>TEXT(tblWorkPackages[[#This Row],[Request date serial]]-WEEKDAY(tblWorkPackages[[#This Row],[Request date serial]],3),"yyyy-mm-dd")</f>
        <v>2024-12-16</v>
      </c>
      <c r="P1690" s="51">
        <f>ABS(tblWorkPackages[[#This Row],[Actual labor hours]]-tblWorkPackages[[#This Row],[Estimated labor hours]])</f>
        <v>1.6</v>
      </c>
      <c r="Q1690" s="51">
        <f>IF(tblWorkPackages[[#This Row],[Actual labor hours]]&gt;tblWorkPackages[[#This Row],[Estimated labor hours]],1,0)</f>
        <v>1</v>
      </c>
      <c r="R1690" s="51">
        <f>tblWorkPackages[[#This Row],[Actual labor hours]]-tblWorkPackages[[#This Row],[Estimated labor hours]]</f>
        <v>1.6</v>
      </c>
      <c r="S1690" s="51" t="str">
        <f>IF(tblWorkPackages[[#This Row],[Request date serial]]&lt;ValidationStart,"Train 2024",IF(tblWorkPackages[[#This Row],[Request date serial]]&lt;HoldoutStart,"Validation H1","Holdout H2"))</f>
        <v>Train 2024</v>
      </c>
      <c r="T1690" s="51" t="str">
        <f>IF(tblWorkPackages[[#This Row],[Time split]]="Train 2024","",tblWorkPackages[[#This Row],[Estimated labor hours]]+VLOOKUP(tblWorkPackages[[#This Row],[Task type]],'Forecast validation'!$A$14:$E$25,IF(tblWorkPackages[[#This Row],[Time split]]="Validation H1",4,5),FALSE()))</f>
        <v/>
      </c>
      <c r="U1690" s="51" t="str">
        <f>IF(tblWorkPackages[[#This Row],[Calibrated forecast hours]]="","",ABS(tblWorkPackages[[#This Row],[Actual labor hours]]-tblWorkPackages[[#This Row],[Calibrated forecast hours]]))</f>
        <v/>
      </c>
      <c r="V1690" s="51">
        <f>IF(tblWorkPackages[[#This Row],[Time split]]="Train 2024",tblWorkPackages[[#This Row],[Estimated labor hours]],tblWorkPackages[[#This Row],[Calibrated forecast hours]])</f>
        <v>8.5</v>
      </c>
      <c r="W1690" s="64">
        <f>DATEVALUE(tblWorkPackages[[#This Row],[Request date]])</f>
        <v>45645.0</v>
      </c>
      <c r="X1690" s="64">
        <f>DATEVALUE(tblWorkPackages[[#This Row],[Due date]])</f>
        <v>45651.0</v>
      </c>
      <c r="Y1690" s="64">
        <f>DATEVALUE(tblWorkPackages[[#This Row],[Completion date]])</f>
        <v>45670.0</v>
      </c>
      <c r="Z1690" s="64">
        <f>_xlfn.MINIFS(tblLaborEntries[Work date serial],tblLaborEntries[Work package ID],tblWorkPackages[[#This Row],[Work package ID]])</f>
        <v>45669.0</v>
      </c>
      <c r="AA1690" s="64">
        <f>_xlfn.MAXIFS(tblLaborEntries[Work date serial],tblLaborEntries[Work package ID],tblWorkPackages[[#This Row],[Work package ID]])</f>
        <v>45670.0</v>
      </c>
      <c r="AB1690" s="65">
        <f>IF(tblWorkPackages[[#This Row],[Completion date serial]]&gt;tblWorkPackages[[#This Row],[Due date serial]],1,0)</f>
        <v>1</v>
      </c>
      <c r="AC1690" s="65">
        <f>MAX(0,tblWorkPackages[[#This Row],[Completion date serial]]-tblWorkPackages[[#This Row],[Due date serial]])</f>
        <v>19</v>
      </c>
      <c r="AD1690" s="65">
        <f>tblWorkPackages[[#This Row],[First labor date]]-tblWorkPackages[[#This Row],[Request date serial]]</f>
        <v>24</v>
      </c>
      <c r="AE1690" s="65">
        <f>tblWorkPackages[[#This Row],[Last labor date]]-tblWorkPackages[[#This Row],[First labor date]]</f>
        <v>1</v>
      </c>
      <c r="AF1690" s="65">
        <f>tblWorkPackages[[#This Row],[Completion date serial]]-tblWorkPackages[[#This Row],[Last labor date]]</f>
        <v>0</v>
      </c>
      <c r="AG1690" s="65">
        <f>tblWorkPackages[[#This Row],[Completion date serial]]-tblWorkPackages[[#This Row],[Request date serial]]</f>
        <v>25</v>
      </c>
      <c r="AH1690" s="65">
        <f>IFERROR(INDEX(tblParts[Delay days],MATCH(tblWorkPackages[[#This Row],[Work package ID]],tblParts[Work package ID],0)),0)</f>
        <v>0</v>
      </c>
      <c r="AI1690" s="51" t="str">
        <f>IFERROR(INDEX(tblDisruptions[Event type],MATCH(tblWorkPackages[[#This Row],[Work package ID]],tblDisruptions[Work package ID],0)),"None")</f>
        <v>None</v>
      </c>
      <c r="AJ1690" s="51" t="str">
        <f>TEXT(tblWorkPackages[[#This Row],[Due date serial]],"yyyy-mm")</f>
        <v>2024-12</v>
      </c>
    </row>
    <row r="1691" spans="1:36" ht="15" x14ac:dyDescent="0.25">
      <c r="A1691" s="53" t="s">
        <v>2600</v>
      </c>
      <c r="B1691" s="53" t="s">
        <v>173</v>
      </c>
      <c r="C1691" s="53" t="s">
        <v>169</v>
      </c>
      <c r="D1691" s="53" t="s">
        <v>1419</v>
      </c>
      <c r="E1691" s="53" t="s">
        <v>181</v>
      </c>
      <c r="F1691" s="53" t="s">
        <v>182</v>
      </c>
      <c r="G1691" s="53" t="s">
        <v>138</v>
      </c>
      <c r="H1691" s="53">
        <v>3</v>
      </c>
      <c r="I1691" s="53" t="s">
        <v>130</v>
      </c>
      <c r="J1691" s="53">
        <v>0</v>
      </c>
      <c r="K1691" s="53">
        <v>0</v>
      </c>
      <c r="L1691" s="53">
        <v>8.6999999999999993</v>
      </c>
      <c r="M1691" s="53" t="s">
        <v>534</v>
      </c>
      <c r="N1691" s="53">
        <v>6.7</v>
      </c>
      <c r="O1691" s="51" t="str">
        <f>TEXT(tblWorkPackages[[#This Row],[Request date serial]]-WEEKDAY(tblWorkPackages[[#This Row],[Request date serial]],3),"yyyy-mm-dd")</f>
        <v>2024-10-14</v>
      </c>
      <c r="P1691" s="51">
        <f>ABS(tblWorkPackages[[#This Row],[Actual labor hours]]-tblWorkPackages[[#This Row],[Estimated labor hours]])</f>
        <v>2</v>
      </c>
      <c r="Q1691" s="51">
        <f>IF(tblWorkPackages[[#This Row],[Actual labor hours]]&gt;tblWorkPackages[[#This Row],[Estimated labor hours]],1,0)</f>
        <v>0</v>
      </c>
      <c r="R1691" s="51">
        <f>tblWorkPackages[[#This Row],[Actual labor hours]]-tblWorkPackages[[#This Row],[Estimated labor hours]]</f>
        <v>-2</v>
      </c>
      <c r="S1691" s="51" t="str">
        <f>IF(tblWorkPackages[[#This Row],[Request date serial]]&lt;ValidationStart,"Train 2024",IF(tblWorkPackages[[#This Row],[Request date serial]]&lt;HoldoutStart,"Validation H1","Holdout H2"))</f>
        <v>Train 2024</v>
      </c>
      <c r="T1691" s="51" t="str">
        <f>IF(tblWorkPackages[[#This Row],[Time split]]="Train 2024","",tblWorkPackages[[#This Row],[Estimated labor hours]]+VLOOKUP(tblWorkPackages[[#This Row],[Task type]],'Forecast validation'!$A$14:$E$25,IF(tblWorkPackages[[#This Row],[Time split]]="Validation H1",4,5),FALSE()))</f>
        <v/>
      </c>
      <c r="U1691" s="51" t="str">
        <f>IF(tblWorkPackages[[#This Row],[Calibrated forecast hours]]="","",ABS(tblWorkPackages[[#This Row],[Actual labor hours]]-tblWorkPackages[[#This Row],[Calibrated forecast hours]]))</f>
        <v/>
      </c>
      <c r="V1691" s="51">
        <f>IF(tblWorkPackages[[#This Row],[Time split]]="Train 2024",tblWorkPackages[[#This Row],[Estimated labor hours]],tblWorkPackages[[#This Row],[Calibrated forecast hours]])</f>
        <v>8.7</v>
      </c>
      <c r="W1691" s="64">
        <f>DATEVALUE(tblWorkPackages[[#This Row],[Request date]])</f>
        <v>45585.0</v>
      </c>
      <c r="X1691" s="64">
        <f>DATEVALUE(tblWorkPackages[[#This Row],[Due date]])</f>
        <v>45598.0</v>
      </c>
      <c r="Y1691" s="64">
        <f>DATEVALUE(tblWorkPackages[[#This Row],[Completion date]])</f>
        <v>45591.0</v>
      </c>
      <c r="Z1691" s="64">
        <f>_xlfn.MINIFS(tblLaborEntries[Work date serial],tblLaborEntries[Work package ID],tblWorkPackages[[#This Row],[Work package ID]])</f>
        <v>45589.0</v>
      </c>
      <c r="AA1691" s="64">
        <f>_xlfn.MAXIFS(tblLaborEntries[Work date serial],tblLaborEntries[Work package ID],tblWorkPackages[[#This Row],[Work package ID]])</f>
        <v>45590.0</v>
      </c>
      <c r="AB1691" s="65">
        <f>IF(tblWorkPackages[[#This Row],[Completion date serial]]&gt;tblWorkPackages[[#This Row],[Due date serial]],1,0)</f>
        <v>0</v>
      </c>
      <c r="AC1691" s="65">
        <f>MAX(0,tblWorkPackages[[#This Row],[Completion date serial]]-tblWorkPackages[[#This Row],[Due date serial]])</f>
        <v>0</v>
      </c>
      <c r="AD1691" s="65">
        <f>tblWorkPackages[[#This Row],[First labor date]]-tblWorkPackages[[#This Row],[Request date serial]]</f>
        <v>4</v>
      </c>
      <c r="AE1691" s="65">
        <f>tblWorkPackages[[#This Row],[Last labor date]]-tblWorkPackages[[#This Row],[First labor date]]</f>
        <v>1</v>
      </c>
      <c r="AF1691" s="65">
        <f>tblWorkPackages[[#This Row],[Completion date serial]]-tblWorkPackages[[#This Row],[Last labor date]]</f>
        <v>1</v>
      </c>
      <c r="AG1691" s="65">
        <f>tblWorkPackages[[#This Row],[Completion date serial]]-tblWorkPackages[[#This Row],[Request date serial]]</f>
        <v>6</v>
      </c>
      <c r="AH1691" s="65">
        <f>IFERROR(INDEX(tblParts[Delay days],MATCH(tblWorkPackages[[#This Row],[Work package ID]],tblParts[Work package ID],0)),0)</f>
        <v>0</v>
      </c>
      <c r="AI1691" s="51" t="str">
        <f>IFERROR(INDEX(tblDisruptions[Event type],MATCH(tblWorkPackages[[#This Row],[Work package ID]],tblDisruptions[Work package ID],0)),"None")</f>
        <v>None</v>
      </c>
      <c r="AJ1691" s="51" t="str">
        <f>TEXT(tblWorkPackages[[#This Row],[Due date serial]],"yyyy-mm")</f>
        <v>2024-11</v>
      </c>
    </row>
    <row r="1692" spans="1:36" ht="15" x14ac:dyDescent="0.25">
      <c r="A1692" s="53" t="s">
        <v>2601</v>
      </c>
      <c r="B1692" s="53" t="s">
        <v>230</v>
      </c>
      <c r="C1692" s="53" t="s">
        <v>724</v>
      </c>
      <c r="D1692" s="53" t="s">
        <v>960</v>
      </c>
      <c r="E1692" s="53" t="s">
        <v>160</v>
      </c>
      <c r="F1692" s="53" t="s">
        <v>128</v>
      </c>
      <c r="G1692" s="53" t="s">
        <v>138</v>
      </c>
      <c r="H1692" s="53">
        <v>4</v>
      </c>
      <c r="I1692" s="53" t="s">
        <v>130</v>
      </c>
      <c r="J1692" s="53">
        <v>0</v>
      </c>
      <c r="K1692" s="53">
        <v>1</v>
      </c>
      <c r="L1692" s="53">
        <v>7.8</v>
      </c>
      <c r="M1692" s="53" t="s">
        <v>372</v>
      </c>
      <c r="N1692" s="53">
        <v>10.199999999999999</v>
      </c>
      <c r="O1692" s="51" t="str">
        <f>TEXT(tblWorkPackages[[#This Row],[Request date serial]]-WEEKDAY(tblWorkPackages[[#This Row],[Request date serial]],3),"yyyy-mm-dd")</f>
        <v>2024-10-14</v>
      </c>
      <c r="P1692" s="51">
        <f>ABS(tblWorkPackages[[#This Row],[Actual labor hours]]-tblWorkPackages[[#This Row],[Estimated labor hours]])</f>
        <v>2.4</v>
      </c>
      <c r="Q1692" s="51">
        <f>IF(tblWorkPackages[[#This Row],[Actual labor hours]]&gt;tblWorkPackages[[#This Row],[Estimated labor hours]],1,0)</f>
        <v>1</v>
      </c>
      <c r="R1692" s="51">
        <f>tblWorkPackages[[#This Row],[Actual labor hours]]-tblWorkPackages[[#This Row],[Estimated labor hours]]</f>
        <v>2.4</v>
      </c>
      <c r="S1692" s="51" t="str">
        <f>IF(tblWorkPackages[[#This Row],[Request date serial]]&lt;ValidationStart,"Train 2024",IF(tblWorkPackages[[#This Row],[Request date serial]]&lt;HoldoutStart,"Validation H1","Holdout H2"))</f>
        <v>Train 2024</v>
      </c>
      <c r="T1692" s="51" t="str">
        <f>IF(tblWorkPackages[[#This Row],[Time split]]="Train 2024","",tblWorkPackages[[#This Row],[Estimated labor hours]]+VLOOKUP(tblWorkPackages[[#This Row],[Task type]],'Forecast validation'!$A$14:$E$25,IF(tblWorkPackages[[#This Row],[Time split]]="Validation H1",4,5),FALSE()))</f>
        <v/>
      </c>
      <c r="U1692" s="51" t="str">
        <f>IF(tblWorkPackages[[#This Row],[Calibrated forecast hours]]="","",ABS(tblWorkPackages[[#This Row],[Actual labor hours]]-tblWorkPackages[[#This Row],[Calibrated forecast hours]]))</f>
        <v/>
      </c>
      <c r="V1692" s="51">
        <f>IF(tblWorkPackages[[#This Row],[Time split]]="Train 2024",tblWorkPackages[[#This Row],[Estimated labor hours]],tblWorkPackages[[#This Row],[Calibrated forecast hours]])</f>
        <v>7.8</v>
      </c>
      <c r="W1692" s="64">
        <f>DATEVALUE(tblWorkPackages[[#This Row],[Request date]])</f>
        <v>45581.0</v>
      </c>
      <c r="X1692" s="64">
        <f>DATEVALUE(tblWorkPackages[[#This Row],[Due date]])</f>
        <v>45594.0</v>
      </c>
      <c r="Y1692" s="64">
        <f>DATEVALUE(tblWorkPackages[[#This Row],[Completion date]])</f>
        <v>45586.0</v>
      </c>
      <c r="Z1692" s="64">
        <f>_xlfn.MINIFS(tblLaborEntries[Work date serial],tblLaborEntries[Work package ID],tblWorkPackages[[#This Row],[Work package ID]])</f>
        <v>45582.0</v>
      </c>
      <c r="AA1692" s="64">
        <f>_xlfn.MAXIFS(tblLaborEntries[Work date serial],tblLaborEntries[Work package ID],tblWorkPackages[[#This Row],[Work package ID]])</f>
        <v>45584.0</v>
      </c>
      <c r="AB1692" s="65">
        <f>IF(tblWorkPackages[[#This Row],[Completion date serial]]&gt;tblWorkPackages[[#This Row],[Due date serial]],1,0)</f>
        <v>0</v>
      </c>
      <c r="AC1692" s="65">
        <f>MAX(0,tblWorkPackages[[#This Row],[Completion date serial]]-tblWorkPackages[[#This Row],[Due date serial]])</f>
        <v>0</v>
      </c>
      <c r="AD1692" s="65">
        <f>tblWorkPackages[[#This Row],[First labor date]]-tblWorkPackages[[#This Row],[Request date serial]]</f>
        <v>1</v>
      </c>
      <c r="AE1692" s="65">
        <f>tblWorkPackages[[#This Row],[Last labor date]]-tblWorkPackages[[#This Row],[First labor date]]</f>
        <v>2</v>
      </c>
      <c r="AF1692" s="65">
        <f>tblWorkPackages[[#This Row],[Completion date serial]]-tblWorkPackages[[#This Row],[Last labor date]]</f>
        <v>2</v>
      </c>
      <c r="AG1692" s="65">
        <f>tblWorkPackages[[#This Row],[Completion date serial]]-tblWorkPackages[[#This Row],[Request date serial]]</f>
        <v>5</v>
      </c>
      <c r="AH1692" s="65">
        <f>IFERROR(INDEX(tblParts[Delay days],MATCH(tblWorkPackages[[#This Row],[Work package ID]],tblParts[Work package ID],0)),0)</f>
        <v>0</v>
      </c>
      <c r="AI1692" s="51" t="str">
        <f>IFERROR(INDEX(tblDisruptions[Event type],MATCH(tblWorkPackages[[#This Row],[Work package ID]],tblDisruptions[Work package ID],0)),"None")</f>
        <v>Scope change</v>
      </c>
      <c r="AJ1692" s="51" t="str">
        <f>TEXT(tblWorkPackages[[#This Row],[Due date serial]],"yyyy-mm")</f>
        <v>2024-10</v>
      </c>
    </row>
    <row r="1693" spans="1:36" ht="15" x14ac:dyDescent="0.25">
      <c r="A1693" s="53" t="s">
        <v>2602</v>
      </c>
      <c r="B1693" s="53" t="s">
        <v>157</v>
      </c>
      <c r="C1693" s="53" t="s">
        <v>190</v>
      </c>
      <c r="D1693" s="53" t="s">
        <v>1361</v>
      </c>
      <c r="E1693" s="53" t="s">
        <v>160</v>
      </c>
      <c r="F1693" s="53" t="s">
        <v>128</v>
      </c>
      <c r="G1693" s="53" t="s">
        <v>138</v>
      </c>
      <c r="H1693" s="53">
        <v>3</v>
      </c>
      <c r="I1693" s="53" t="s">
        <v>176</v>
      </c>
      <c r="J1693" s="53">
        <v>0</v>
      </c>
      <c r="K1693" s="53">
        <v>0</v>
      </c>
      <c r="L1693" s="53">
        <v>5.4</v>
      </c>
      <c r="M1693" s="53" t="s">
        <v>192</v>
      </c>
      <c r="N1693" s="53">
        <v>4.5999999999999996</v>
      </c>
      <c r="O1693" s="51" t="str">
        <f>TEXT(tblWorkPackages[[#This Row],[Request date serial]]-WEEKDAY(tblWorkPackages[[#This Row],[Request date serial]],3),"yyyy-mm-dd")</f>
        <v>2025-08-11</v>
      </c>
      <c r="P1693" s="51">
        <f>ABS(tblWorkPackages[[#This Row],[Actual labor hours]]-tblWorkPackages[[#This Row],[Estimated labor hours]])</f>
        <v>0.800000000000001</v>
      </c>
      <c r="Q1693" s="51">
        <f>IF(tblWorkPackages[[#This Row],[Actual labor hours]]&gt;tblWorkPackages[[#This Row],[Estimated labor hours]],1,0)</f>
        <v>0</v>
      </c>
      <c r="R1693" s="51">
        <f>tblWorkPackages[[#This Row],[Actual labor hours]]-tblWorkPackages[[#This Row],[Estimated labor hours]]</f>
        <v>-0.800000000000001</v>
      </c>
      <c r="S1693" s="51" t="str">
        <f>IF(tblWorkPackages[[#This Row],[Request date serial]]&lt;ValidationStart,"Train 2024",IF(tblWorkPackages[[#This Row],[Request date serial]]&lt;HoldoutStart,"Validation H1","Holdout H2"))</f>
        <v>Holdout H2</v>
      </c>
      <c r="T1693" s="51">
        <f>IF(tblWorkPackages[[#This Row],[Time split]]="Train 2024","",tblWorkPackages[[#This Row],[Estimated labor hours]]+VLOOKUP(tblWorkPackages[[#This Row],[Task type]],'Forecast validation'!$A$14:$E$25,IF(tblWorkPackages[[#This Row],[Time split]]="Validation H1",4,5),FALSE()))</f>
        <v>5.83739837398374</v>
      </c>
      <c r="U1693" s="51">
        <f>IF(tblWorkPackages[[#This Row],[Calibrated forecast hours]]="","",ABS(tblWorkPackages[[#This Row],[Actual labor hours]]-tblWorkPackages[[#This Row],[Calibrated forecast hours]]))</f>
        <v>1.23739837398374</v>
      </c>
      <c r="V1693" s="51">
        <f>IF(tblWorkPackages[[#This Row],[Time split]]="Train 2024",tblWorkPackages[[#This Row],[Estimated labor hours]],tblWorkPackages[[#This Row],[Calibrated forecast hours]])</f>
        <v>5.83739837398374</v>
      </c>
      <c r="W1693" s="64">
        <f>DATEVALUE(tblWorkPackages[[#This Row],[Request date]])</f>
        <v>45883.0</v>
      </c>
      <c r="X1693" s="64">
        <f>DATEVALUE(tblWorkPackages[[#This Row],[Due date]])</f>
        <v>45889.0</v>
      </c>
      <c r="Y1693" s="64">
        <f>DATEVALUE(tblWorkPackages[[#This Row],[Completion date]])</f>
        <v>45900.0</v>
      </c>
      <c r="Z1693" s="64">
        <f>_xlfn.MINIFS(tblLaborEntries[Work date serial],tblLaborEntries[Work package ID],tblWorkPackages[[#This Row],[Work package ID]])</f>
        <v>45895.0</v>
      </c>
      <c r="AA1693" s="64">
        <f>_xlfn.MAXIFS(tblLaborEntries[Work date serial],tblLaborEntries[Work package ID],tblWorkPackages[[#This Row],[Work package ID]])</f>
        <v>45897.0</v>
      </c>
      <c r="AB1693" s="65">
        <f>IF(tblWorkPackages[[#This Row],[Completion date serial]]&gt;tblWorkPackages[[#This Row],[Due date serial]],1,0)</f>
        <v>1</v>
      </c>
      <c r="AC1693" s="65">
        <f>MAX(0,tblWorkPackages[[#This Row],[Completion date serial]]-tblWorkPackages[[#This Row],[Due date serial]])</f>
        <v>11</v>
      </c>
      <c r="AD1693" s="65">
        <f>tblWorkPackages[[#This Row],[First labor date]]-tblWorkPackages[[#This Row],[Request date serial]]</f>
        <v>12</v>
      </c>
      <c r="AE1693" s="65">
        <f>tblWorkPackages[[#This Row],[Last labor date]]-tblWorkPackages[[#This Row],[First labor date]]</f>
        <v>2</v>
      </c>
      <c r="AF1693" s="65">
        <f>tblWorkPackages[[#This Row],[Completion date serial]]-tblWorkPackages[[#This Row],[Last labor date]]</f>
        <v>3</v>
      </c>
      <c r="AG1693" s="65">
        <f>tblWorkPackages[[#This Row],[Completion date serial]]-tblWorkPackages[[#This Row],[Request date serial]]</f>
        <v>17</v>
      </c>
      <c r="AH1693" s="65">
        <f>IFERROR(INDEX(tblParts[Delay days],MATCH(tblWorkPackages[[#This Row],[Work package ID]],tblParts[Work package ID],0)),0)</f>
        <v>0</v>
      </c>
      <c r="AI1693" s="51" t="str">
        <f>IFERROR(INDEX(tblDisruptions[Event type],MATCH(tblWorkPackages[[#This Row],[Work package ID]],tblDisruptions[Work package ID],0)),"None")</f>
        <v>None</v>
      </c>
      <c r="AJ1693" s="51" t="str">
        <f>TEXT(tblWorkPackages[[#This Row],[Due date serial]],"yyyy-mm")</f>
        <v>2025-08</v>
      </c>
    </row>
    <row r="1694" spans="1:36" ht="15" x14ac:dyDescent="0.25">
      <c r="A1694" s="53" t="s">
        <v>2603</v>
      </c>
      <c r="B1694" s="53" t="s">
        <v>141</v>
      </c>
      <c r="C1694" s="53" t="s">
        <v>425</v>
      </c>
      <c r="D1694" s="53" t="s">
        <v>238</v>
      </c>
      <c r="E1694" s="53" t="s">
        <v>136</v>
      </c>
      <c r="F1694" s="53" t="s">
        <v>137</v>
      </c>
      <c r="G1694" s="53" t="s">
        <v>138</v>
      </c>
      <c r="H1694" s="53">
        <v>3</v>
      </c>
      <c r="I1694" s="53" t="s">
        <v>130</v>
      </c>
      <c r="J1694" s="53">
        <v>0</v>
      </c>
      <c r="K1694" s="53">
        <v>0</v>
      </c>
      <c r="L1694" s="53">
        <v>20.399999999999999</v>
      </c>
      <c r="M1694" s="53" t="s">
        <v>713</v>
      </c>
      <c r="N1694" s="53">
        <v>16.2</v>
      </c>
      <c r="O1694" s="51" t="str">
        <f>TEXT(tblWorkPackages[[#This Row],[Request date serial]]-WEEKDAY(tblWorkPackages[[#This Row],[Request date serial]],3),"yyyy-mm-dd")</f>
        <v>2025-06-09</v>
      </c>
      <c r="P1694" s="51">
        <f>ABS(tblWorkPackages[[#This Row],[Actual labor hours]]-tblWorkPackages[[#This Row],[Estimated labor hours]])</f>
        <v>4.2</v>
      </c>
      <c r="Q1694" s="51">
        <f>IF(tblWorkPackages[[#This Row],[Actual labor hours]]&gt;tblWorkPackages[[#This Row],[Estimated labor hours]],1,0)</f>
        <v>0</v>
      </c>
      <c r="R1694" s="51">
        <f>tblWorkPackages[[#This Row],[Actual labor hours]]-tblWorkPackages[[#This Row],[Estimated labor hours]]</f>
        <v>-4.2</v>
      </c>
      <c r="S1694" s="51" t="str">
        <f>IF(tblWorkPackages[[#This Row],[Request date serial]]&lt;ValidationStart,"Train 2024",IF(tblWorkPackages[[#This Row],[Request date serial]]&lt;HoldoutStart,"Validation H1","Holdout H2"))</f>
        <v>Validation H1</v>
      </c>
      <c r="T1694" s="51">
        <f>IF(tblWorkPackages[[#This Row],[Time split]]="Train 2024","",tblWorkPackages[[#This Row],[Estimated labor hours]]+VLOOKUP(tblWorkPackages[[#This Row],[Task type]],'Forecast validation'!$A$14:$E$25,IF(tblWorkPackages[[#This Row],[Time split]]="Validation H1",4,5),FALSE()))</f>
        <v>21.2765306122449</v>
      </c>
      <c r="U1694" s="51">
        <f>IF(tblWorkPackages[[#This Row],[Calibrated forecast hours]]="","",ABS(tblWorkPackages[[#This Row],[Actual labor hours]]-tblWorkPackages[[#This Row],[Calibrated forecast hours]]))</f>
        <v>5.0765306122449</v>
      </c>
      <c r="V1694" s="51">
        <f>IF(tblWorkPackages[[#This Row],[Time split]]="Train 2024",tblWorkPackages[[#This Row],[Estimated labor hours]],tblWorkPackages[[#This Row],[Calibrated forecast hours]])</f>
        <v>21.2765306122449</v>
      </c>
      <c r="W1694" s="64">
        <f>DATEVALUE(tblWorkPackages[[#This Row],[Request date]])</f>
        <v>45820.0</v>
      </c>
      <c r="X1694" s="64">
        <f>DATEVALUE(tblWorkPackages[[#This Row],[Due date]])</f>
        <v>45833.0</v>
      </c>
      <c r="Y1694" s="64">
        <f>DATEVALUE(tblWorkPackages[[#This Row],[Completion date]])</f>
        <v>45823.0</v>
      </c>
      <c r="Z1694" s="64">
        <f>_xlfn.MINIFS(tblLaborEntries[Work date serial],tblLaborEntries[Work package ID],tblWorkPackages[[#This Row],[Work package ID]])</f>
        <v>45823.0</v>
      </c>
      <c r="AA1694" s="64">
        <f>_xlfn.MAXIFS(tblLaborEntries[Work date serial],tblLaborEntries[Work package ID],tblWorkPackages[[#This Row],[Work package ID]])</f>
        <v>45823.0</v>
      </c>
      <c r="AB1694" s="65">
        <f>IF(tblWorkPackages[[#This Row],[Completion date serial]]&gt;tblWorkPackages[[#This Row],[Due date serial]],1,0)</f>
        <v>0</v>
      </c>
      <c r="AC1694" s="65">
        <f>MAX(0,tblWorkPackages[[#This Row],[Completion date serial]]-tblWorkPackages[[#This Row],[Due date serial]])</f>
        <v>0</v>
      </c>
      <c r="AD1694" s="65">
        <f>tblWorkPackages[[#This Row],[First labor date]]-tblWorkPackages[[#This Row],[Request date serial]]</f>
        <v>3</v>
      </c>
      <c r="AE1694" s="65">
        <f>tblWorkPackages[[#This Row],[Last labor date]]-tblWorkPackages[[#This Row],[First labor date]]</f>
        <v>0</v>
      </c>
      <c r="AF1694" s="65">
        <f>tblWorkPackages[[#This Row],[Completion date serial]]-tblWorkPackages[[#This Row],[Last labor date]]</f>
        <v>0</v>
      </c>
      <c r="AG1694" s="65">
        <f>tblWorkPackages[[#This Row],[Completion date serial]]-tblWorkPackages[[#This Row],[Request date serial]]</f>
        <v>3</v>
      </c>
      <c r="AH1694" s="65">
        <f>IFERROR(INDEX(tblParts[Delay days],MATCH(tblWorkPackages[[#This Row],[Work package ID]],tblParts[Work package ID],0)),0)</f>
        <v>0</v>
      </c>
      <c r="AI1694" s="51" t="str">
        <f>IFERROR(INDEX(tblDisruptions[Event type],MATCH(tblWorkPackages[[#This Row],[Work package ID]],tblDisruptions[Work package ID],0)),"None")</f>
        <v>None</v>
      </c>
      <c r="AJ1694" s="51" t="str">
        <f>TEXT(tblWorkPackages[[#This Row],[Due date serial]],"yyyy-mm")</f>
        <v>2025-06</v>
      </c>
    </row>
    <row r="1695" spans="1:36" ht="15" x14ac:dyDescent="0.25">
      <c r="A1695" s="53" t="s">
        <v>2604</v>
      </c>
      <c r="B1695" s="53" t="s">
        <v>157</v>
      </c>
      <c r="C1695" s="53" t="s">
        <v>826</v>
      </c>
      <c r="D1695" s="53" t="s">
        <v>446</v>
      </c>
      <c r="E1695" s="53" t="s">
        <v>242</v>
      </c>
      <c r="F1695" s="53" t="s">
        <v>243</v>
      </c>
      <c r="G1695" s="53" t="s">
        <v>129</v>
      </c>
      <c r="H1695" s="53">
        <v>4</v>
      </c>
      <c r="I1695" s="53" t="s">
        <v>130</v>
      </c>
      <c r="J1695" s="53">
        <v>0</v>
      </c>
      <c r="K1695" s="53">
        <v>1</v>
      </c>
      <c r="L1695" s="53">
        <v>16.100000000000001</v>
      </c>
      <c r="M1695" s="53" t="s">
        <v>1484</v>
      </c>
      <c r="N1695" s="53">
        <v>20.100000000000001</v>
      </c>
      <c r="O1695" s="51" t="str">
        <f>TEXT(tblWorkPackages[[#This Row],[Request date serial]]-WEEKDAY(tblWorkPackages[[#This Row],[Request date serial]],3),"yyyy-mm-dd")</f>
        <v>2025-03-03</v>
      </c>
      <c r="P1695" s="51">
        <f>ABS(tblWorkPackages[[#This Row],[Actual labor hours]]-tblWorkPackages[[#This Row],[Estimated labor hours]])</f>
        <v>4</v>
      </c>
      <c r="Q1695" s="51">
        <f>IF(tblWorkPackages[[#This Row],[Actual labor hours]]&gt;tblWorkPackages[[#This Row],[Estimated labor hours]],1,0)</f>
        <v>1</v>
      </c>
      <c r="R1695" s="51">
        <f>tblWorkPackages[[#This Row],[Actual labor hours]]-tblWorkPackages[[#This Row],[Estimated labor hours]]</f>
        <v>4</v>
      </c>
      <c r="S1695" s="51" t="str">
        <f>IF(tblWorkPackages[[#This Row],[Request date serial]]&lt;ValidationStart,"Train 2024",IF(tblWorkPackages[[#This Row],[Request date serial]]&lt;HoldoutStart,"Validation H1","Holdout H2"))</f>
        <v>Validation H1</v>
      </c>
      <c r="T1695" s="51">
        <f>IF(tblWorkPackages[[#This Row],[Time split]]="Train 2024","",tblWorkPackages[[#This Row],[Estimated labor hours]]+VLOOKUP(tblWorkPackages[[#This Row],[Task type]],'Forecast validation'!$A$14:$E$25,IF(tblWorkPackages[[#This Row],[Time split]]="Validation H1",4,5),FALSE()))</f>
        <v>16.6561224489796</v>
      </c>
      <c r="U1695" s="51">
        <f>IF(tblWorkPackages[[#This Row],[Calibrated forecast hours]]="","",ABS(tblWorkPackages[[#This Row],[Actual labor hours]]-tblWorkPackages[[#This Row],[Calibrated forecast hours]]))</f>
        <v>3.44387755102041</v>
      </c>
      <c r="V1695" s="51">
        <f>IF(tblWorkPackages[[#This Row],[Time split]]="Train 2024",tblWorkPackages[[#This Row],[Estimated labor hours]],tblWorkPackages[[#This Row],[Calibrated forecast hours]])</f>
        <v>16.6561224489796</v>
      </c>
      <c r="W1695" s="64">
        <f>DATEVALUE(tblWorkPackages[[#This Row],[Request date]])</f>
        <v>45724.0</v>
      </c>
      <c r="X1695" s="64">
        <f>DATEVALUE(tblWorkPackages[[#This Row],[Due date]])</f>
        <v>45737.0</v>
      </c>
      <c r="Y1695" s="64">
        <f>DATEVALUE(tblWorkPackages[[#This Row],[Completion date]])</f>
        <v>45763.0</v>
      </c>
      <c r="Z1695" s="64">
        <f>_xlfn.MINIFS(tblLaborEntries[Work date serial],tblLaborEntries[Work package ID],tblWorkPackages[[#This Row],[Work package ID]])</f>
        <v>45760.0</v>
      </c>
      <c r="AA1695" s="64">
        <f>_xlfn.MAXIFS(tblLaborEntries[Work date serial],tblLaborEntries[Work package ID],tblWorkPackages[[#This Row],[Work package ID]])</f>
        <v>45762.0</v>
      </c>
      <c r="AB1695" s="65">
        <f>IF(tblWorkPackages[[#This Row],[Completion date serial]]&gt;tblWorkPackages[[#This Row],[Due date serial]],1,0)</f>
        <v>1</v>
      </c>
      <c r="AC1695" s="65">
        <f>MAX(0,tblWorkPackages[[#This Row],[Completion date serial]]-tblWorkPackages[[#This Row],[Due date serial]])</f>
        <v>26</v>
      </c>
      <c r="AD1695" s="65">
        <f>tblWorkPackages[[#This Row],[First labor date]]-tblWorkPackages[[#This Row],[Request date serial]]</f>
        <v>36</v>
      </c>
      <c r="AE1695" s="65">
        <f>tblWorkPackages[[#This Row],[Last labor date]]-tblWorkPackages[[#This Row],[First labor date]]</f>
        <v>2</v>
      </c>
      <c r="AF1695" s="65">
        <f>tblWorkPackages[[#This Row],[Completion date serial]]-tblWorkPackages[[#This Row],[Last labor date]]</f>
        <v>1</v>
      </c>
      <c r="AG1695" s="65">
        <f>tblWorkPackages[[#This Row],[Completion date serial]]-tblWorkPackages[[#This Row],[Request date serial]]</f>
        <v>39</v>
      </c>
      <c r="AH1695" s="65">
        <f>IFERROR(INDEX(tblParts[Delay days],MATCH(tblWorkPackages[[#This Row],[Work package ID]],tblParts[Work package ID],0)),0)</f>
        <v>0</v>
      </c>
      <c r="AI1695" s="51" t="str">
        <f>IFERROR(INDEX(tblDisruptions[Event type],MATCH(tblWorkPackages[[#This Row],[Work package ID]],tblDisruptions[Work package ID],0)),"None")</f>
        <v>None</v>
      </c>
      <c r="AJ1695" s="51" t="str">
        <f>TEXT(tblWorkPackages[[#This Row],[Due date serial]],"yyyy-mm")</f>
        <v>2025-03</v>
      </c>
    </row>
    <row r="1696" spans="1:36" ht="15" x14ac:dyDescent="0.25">
      <c r="A1696" s="53" t="s">
        <v>2605</v>
      </c>
      <c r="B1696" s="53" t="s">
        <v>173</v>
      </c>
      <c r="C1696" s="53" t="s">
        <v>1024</v>
      </c>
      <c r="D1696" s="53" t="s">
        <v>390</v>
      </c>
      <c r="E1696" s="53" t="s">
        <v>223</v>
      </c>
      <c r="F1696" s="53" t="s">
        <v>182</v>
      </c>
      <c r="G1696" s="53" t="s">
        <v>154</v>
      </c>
      <c r="H1696" s="53">
        <v>4</v>
      </c>
      <c r="I1696" s="53" t="s">
        <v>176</v>
      </c>
      <c r="J1696" s="53">
        <v>0</v>
      </c>
      <c r="K1696" s="53">
        <v>0</v>
      </c>
      <c r="L1696" s="53">
        <v>21.8</v>
      </c>
      <c r="M1696" s="53" t="s">
        <v>1205</v>
      </c>
      <c r="N1696" s="53">
        <v>24.7</v>
      </c>
      <c r="O1696" s="51" t="str">
        <f>TEXT(tblWorkPackages[[#This Row],[Request date serial]]-WEEKDAY(tblWorkPackages[[#This Row],[Request date serial]],3),"yyyy-mm-dd")</f>
        <v>2024-07-15</v>
      </c>
      <c r="P1696" s="51">
        <f>ABS(tblWorkPackages[[#This Row],[Actual labor hours]]-tblWorkPackages[[#This Row],[Estimated labor hours]])</f>
        <v>2.9</v>
      </c>
      <c r="Q1696" s="51">
        <f>IF(tblWorkPackages[[#This Row],[Actual labor hours]]&gt;tblWorkPackages[[#This Row],[Estimated labor hours]],1,0)</f>
        <v>1</v>
      </c>
      <c r="R1696" s="51">
        <f>tblWorkPackages[[#This Row],[Actual labor hours]]-tblWorkPackages[[#This Row],[Estimated labor hours]]</f>
        <v>2.9</v>
      </c>
      <c r="S1696" s="51" t="str">
        <f>IF(tblWorkPackages[[#This Row],[Request date serial]]&lt;ValidationStart,"Train 2024",IF(tblWorkPackages[[#This Row],[Request date serial]]&lt;HoldoutStart,"Validation H1","Holdout H2"))</f>
        <v>Train 2024</v>
      </c>
      <c r="T1696" s="51" t="str">
        <f>IF(tblWorkPackages[[#This Row],[Time split]]="Train 2024","",tblWorkPackages[[#This Row],[Estimated labor hours]]+VLOOKUP(tblWorkPackages[[#This Row],[Task type]],'Forecast validation'!$A$14:$E$25,IF(tblWorkPackages[[#This Row],[Time split]]="Validation H1",4,5),FALSE()))</f>
        <v/>
      </c>
      <c r="U1696" s="51" t="str">
        <f>IF(tblWorkPackages[[#This Row],[Calibrated forecast hours]]="","",ABS(tblWorkPackages[[#This Row],[Actual labor hours]]-tblWorkPackages[[#This Row],[Calibrated forecast hours]]))</f>
        <v/>
      </c>
      <c r="V1696" s="51">
        <f>IF(tblWorkPackages[[#This Row],[Time split]]="Train 2024",tblWorkPackages[[#This Row],[Estimated labor hours]],tblWorkPackages[[#This Row],[Calibrated forecast hours]])</f>
        <v>21.8</v>
      </c>
      <c r="W1696" s="64">
        <f>DATEVALUE(tblWorkPackages[[#This Row],[Request date]])</f>
        <v>45491.0</v>
      </c>
      <c r="X1696" s="64">
        <f>DATEVALUE(tblWorkPackages[[#This Row],[Due date]])</f>
        <v>45497.0</v>
      </c>
      <c r="Y1696" s="64">
        <f>DATEVALUE(tblWorkPackages[[#This Row],[Completion date]])</f>
        <v>45500.0</v>
      </c>
      <c r="Z1696" s="64">
        <f>_xlfn.MINIFS(tblLaborEntries[Work date serial],tblLaborEntries[Work package ID],tblWorkPackages[[#This Row],[Work package ID]])</f>
        <v>45498.0</v>
      </c>
      <c r="AA1696" s="64">
        <f>_xlfn.MAXIFS(tblLaborEntries[Work date serial],tblLaborEntries[Work package ID],tblWorkPackages[[#This Row],[Work package ID]])</f>
        <v>45498.0</v>
      </c>
      <c r="AB1696" s="65">
        <f>IF(tblWorkPackages[[#This Row],[Completion date serial]]&gt;tblWorkPackages[[#This Row],[Due date serial]],1,0)</f>
        <v>1</v>
      </c>
      <c r="AC1696" s="65">
        <f>MAX(0,tblWorkPackages[[#This Row],[Completion date serial]]-tblWorkPackages[[#This Row],[Due date serial]])</f>
        <v>3</v>
      </c>
      <c r="AD1696" s="65">
        <f>tblWorkPackages[[#This Row],[First labor date]]-tblWorkPackages[[#This Row],[Request date serial]]</f>
        <v>7</v>
      </c>
      <c r="AE1696" s="65">
        <f>tblWorkPackages[[#This Row],[Last labor date]]-tblWorkPackages[[#This Row],[First labor date]]</f>
        <v>0</v>
      </c>
      <c r="AF1696" s="65">
        <f>tblWorkPackages[[#This Row],[Completion date serial]]-tblWorkPackages[[#This Row],[Last labor date]]</f>
        <v>2</v>
      </c>
      <c r="AG1696" s="65">
        <f>tblWorkPackages[[#This Row],[Completion date serial]]-tblWorkPackages[[#This Row],[Request date serial]]</f>
        <v>9</v>
      </c>
      <c r="AH1696" s="65">
        <f>IFERROR(INDEX(tblParts[Delay days],MATCH(tblWorkPackages[[#This Row],[Work package ID]],tblParts[Work package ID],0)),0)</f>
        <v>0</v>
      </c>
      <c r="AI1696" s="51" t="str">
        <f>IFERROR(INDEX(tblDisruptions[Event type],MATCH(tblWorkPackages[[#This Row],[Work package ID]],tblDisruptions[Work package ID],0)),"None")</f>
        <v>None</v>
      </c>
      <c r="AJ1696" s="51" t="str">
        <f>TEXT(tblWorkPackages[[#This Row],[Due date serial]],"yyyy-mm")</f>
        <v>2024-07</v>
      </c>
    </row>
    <row r="1697" spans="1:36" ht="15" x14ac:dyDescent="0.25">
      <c r="A1697" s="53" t="s">
        <v>2606</v>
      </c>
      <c r="B1697" s="53" t="s">
        <v>150</v>
      </c>
      <c r="C1697" s="53" t="s">
        <v>198</v>
      </c>
      <c r="D1697" s="53" t="s">
        <v>199</v>
      </c>
      <c r="E1697" s="53" t="s">
        <v>127</v>
      </c>
      <c r="F1697" s="53" t="s">
        <v>128</v>
      </c>
      <c r="G1697" s="53" t="s">
        <v>129</v>
      </c>
      <c r="H1697" s="53">
        <v>1</v>
      </c>
      <c r="I1697" s="53" t="s">
        <v>176</v>
      </c>
      <c r="J1697" s="53">
        <v>0</v>
      </c>
      <c r="K1697" s="53">
        <v>0</v>
      </c>
      <c r="L1697" s="53">
        <v>5.3</v>
      </c>
      <c r="M1697" s="53" t="s">
        <v>863</v>
      </c>
      <c r="N1697" s="53">
        <v>5</v>
      </c>
      <c r="O1697" s="51" t="str">
        <f>TEXT(tblWorkPackages[[#This Row],[Request date serial]]-WEEKDAY(tblWorkPackages[[#This Row],[Request date serial]],3),"yyyy-mm-dd")</f>
        <v>2025-06-23</v>
      </c>
      <c r="P1697" s="51">
        <f>ABS(tblWorkPackages[[#This Row],[Actual labor hours]]-tblWorkPackages[[#This Row],[Estimated labor hours]])</f>
        <v>0.3</v>
      </c>
      <c r="Q1697" s="51">
        <f>IF(tblWorkPackages[[#This Row],[Actual labor hours]]&gt;tblWorkPackages[[#This Row],[Estimated labor hours]],1,0)</f>
        <v>0</v>
      </c>
      <c r="R1697" s="51">
        <f>tblWorkPackages[[#This Row],[Actual labor hours]]-tblWorkPackages[[#This Row],[Estimated labor hours]]</f>
        <v>-0.3</v>
      </c>
      <c r="S1697" s="51" t="str">
        <f>IF(tblWorkPackages[[#This Row],[Request date serial]]&lt;ValidationStart,"Train 2024",IF(tblWorkPackages[[#This Row],[Request date serial]]&lt;HoldoutStart,"Validation H1","Holdout H2"))</f>
        <v>Validation H1</v>
      </c>
      <c r="T1697" s="51">
        <f>IF(tblWorkPackages[[#This Row],[Time split]]="Train 2024","",tblWorkPackages[[#This Row],[Estimated labor hours]]+VLOOKUP(tblWorkPackages[[#This Row],[Task type]],'Forecast validation'!$A$14:$E$25,IF(tblWorkPackages[[#This Row],[Time split]]="Validation H1",4,5),FALSE()))</f>
        <v>5.77564102564103</v>
      </c>
      <c r="U1697" s="51">
        <f>IF(tblWorkPackages[[#This Row],[Calibrated forecast hours]]="","",ABS(tblWorkPackages[[#This Row],[Actual labor hours]]-tblWorkPackages[[#This Row],[Calibrated forecast hours]]))</f>
        <v>0.775641025641026</v>
      </c>
      <c r="V1697" s="51">
        <f>IF(tblWorkPackages[[#This Row],[Time split]]="Train 2024",tblWorkPackages[[#This Row],[Estimated labor hours]],tblWorkPackages[[#This Row],[Calibrated forecast hours]])</f>
        <v>5.77564102564103</v>
      </c>
      <c r="W1697" s="64">
        <f>DATEVALUE(tblWorkPackages[[#This Row],[Request date]])</f>
        <v>45832.0</v>
      </c>
      <c r="X1697" s="64">
        <f>DATEVALUE(tblWorkPackages[[#This Row],[Due date]])</f>
        <v>45838.0</v>
      </c>
      <c r="Y1697" s="64">
        <f>DATEVALUE(tblWorkPackages[[#This Row],[Completion date]])</f>
        <v>45837.0</v>
      </c>
      <c r="Z1697" s="64">
        <f>_xlfn.MINIFS(tblLaborEntries[Work date serial],tblLaborEntries[Work package ID],tblWorkPackages[[#This Row],[Work package ID]])</f>
        <v>45834.0</v>
      </c>
      <c r="AA1697" s="64">
        <f>_xlfn.MAXIFS(tblLaborEntries[Work date serial],tblLaborEntries[Work package ID],tblWorkPackages[[#This Row],[Work package ID]])</f>
        <v>45834.0</v>
      </c>
      <c r="AB1697" s="65">
        <f>IF(tblWorkPackages[[#This Row],[Completion date serial]]&gt;tblWorkPackages[[#This Row],[Due date serial]],1,0)</f>
        <v>0</v>
      </c>
      <c r="AC1697" s="65">
        <f>MAX(0,tblWorkPackages[[#This Row],[Completion date serial]]-tblWorkPackages[[#This Row],[Due date serial]])</f>
        <v>0</v>
      </c>
      <c r="AD1697" s="65">
        <f>tblWorkPackages[[#This Row],[First labor date]]-tblWorkPackages[[#This Row],[Request date serial]]</f>
        <v>2</v>
      </c>
      <c r="AE1697" s="65">
        <f>tblWorkPackages[[#This Row],[Last labor date]]-tblWorkPackages[[#This Row],[First labor date]]</f>
        <v>0</v>
      </c>
      <c r="AF1697" s="65">
        <f>tblWorkPackages[[#This Row],[Completion date serial]]-tblWorkPackages[[#This Row],[Last labor date]]</f>
        <v>3</v>
      </c>
      <c r="AG1697" s="65">
        <f>tblWorkPackages[[#This Row],[Completion date serial]]-tblWorkPackages[[#This Row],[Request date serial]]</f>
        <v>5</v>
      </c>
      <c r="AH1697" s="65">
        <f>IFERROR(INDEX(tblParts[Delay days],MATCH(tblWorkPackages[[#This Row],[Work package ID]],tblParts[Work package ID],0)),0)</f>
        <v>0</v>
      </c>
      <c r="AI1697" s="51" t="str">
        <f>IFERROR(INDEX(tblDisruptions[Event type],MATCH(tblWorkPackages[[#This Row],[Work package ID]],tblDisruptions[Work package ID],0)),"None")</f>
        <v>None</v>
      </c>
      <c r="AJ1697" s="51" t="str">
        <f>TEXT(tblWorkPackages[[#This Row],[Due date serial]],"yyyy-mm")</f>
        <v>2025-06</v>
      </c>
    </row>
    <row r="1698" spans="1:36" ht="15" x14ac:dyDescent="0.25">
      <c r="A1698" s="53" t="s">
        <v>2607</v>
      </c>
      <c r="B1698" s="53" t="s">
        <v>163</v>
      </c>
      <c r="C1698" s="53" t="s">
        <v>1103</v>
      </c>
      <c r="D1698" s="53" t="s">
        <v>498</v>
      </c>
      <c r="E1698" s="53" t="s">
        <v>160</v>
      </c>
      <c r="F1698" s="53" t="s">
        <v>128</v>
      </c>
      <c r="G1698" s="53" t="s">
        <v>138</v>
      </c>
      <c r="H1698" s="53">
        <v>2</v>
      </c>
      <c r="I1698" s="53" t="s">
        <v>130</v>
      </c>
      <c r="J1698" s="53">
        <v>0</v>
      </c>
      <c r="K1698" s="53">
        <v>0</v>
      </c>
      <c r="L1698" s="53">
        <v>3.9</v>
      </c>
      <c r="M1698" s="53" t="s">
        <v>1427</v>
      </c>
      <c r="N1698" s="53">
        <v>3.8</v>
      </c>
      <c r="O1698" s="51" t="str">
        <f>TEXT(tblWorkPackages[[#This Row],[Request date serial]]-WEEKDAY(tblWorkPackages[[#This Row],[Request date serial]],3),"yyyy-mm-dd")</f>
        <v>2025-11-03</v>
      </c>
      <c r="P1698" s="51">
        <f>ABS(tblWorkPackages[[#This Row],[Actual labor hours]]-tblWorkPackages[[#This Row],[Estimated labor hours]])</f>
        <v>0.1</v>
      </c>
      <c r="Q1698" s="51">
        <f>IF(tblWorkPackages[[#This Row],[Actual labor hours]]&gt;tblWorkPackages[[#This Row],[Estimated labor hours]],1,0)</f>
        <v>0</v>
      </c>
      <c r="R1698" s="51">
        <f>tblWorkPackages[[#This Row],[Actual labor hours]]-tblWorkPackages[[#This Row],[Estimated labor hours]]</f>
        <v>-0.1</v>
      </c>
      <c r="S1698" s="51" t="str">
        <f>IF(tblWorkPackages[[#This Row],[Request date serial]]&lt;ValidationStart,"Train 2024",IF(tblWorkPackages[[#This Row],[Request date serial]]&lt;HoldoutStart,"Validation H1","Holdout H2"))</f>
        <v>Holdout H2</v>
      </c>
      <c r="T1698" s="51">
        <f>IF(tblWorkPackages[[#This Row],[Time split]]="Train 2024","",tblWorkPackages[[#This Row],[Estimated labor hours]]+VLOOKUP(tblWorkPackages[[#This Row],[Task type]],'Forecast validation'!$A$14:$E$25,IF(tblWorkPackages[[#This Row],[Time split]]="Validation H1",4,5),FALSE()))</f>
        <v>4.33739837398374</v>
      </c>
      <c r="U1698" s="51">
        <f>IF(tblWorkPackages[[#This Row],[Calibrated forecast hours]]="","",ABS(tblWorkPackages[[#This Row],[Actual labor hours]]-tblWorkPackages[[#This Row],[Calibrated forecast hours]]))</f>
        <v>0.53739837398374</v>
      </c>
      <c r="V1698" s="51">
        <f>IF(tblWorkPackages[[#This Row],[Time split]]="Train 2024",tblWorkPackages[[#This Row],[Estimated labor hours]],tblWorkPackages[[#This Row],[Calibrated forecast hours]])</f>
        <v>4.33739837398374</v>
      </c>
      <c r="W1698" s="64">
        <f>DATEVALUE(tblWorkPackages[[#This Row],[Request date]])</f>
        <v>45969.0</v>
      </c>
      <c r="X1698" s="64">
        <f>DATEVALUE(tblWorkPackages[[#This Row],[Due date]])</f>
        <v>45982.0</v>
      </c>
      <c r="Y1698" s="64">
        <f>DATEVALUE(tblWorkPackages[[#This Row],[Completion date]])</f>
        <v>45987.0</v>
      </c>
      <c r="Z1698" s="64">
        <f>_xlfn.MINIFS(tblLaborEntries[Work date serial],tblLaborEntries[Work package ID],tblWorkPackages[[#This Row],[Work package ID]])</f>
        <v>45985.0</v>
      </c>
      <c r="AA1698" s="64">
        <f>_xlfn.MAXIFS(tblLaborEntries[Work date serial],tblLaborEntries[Work package ID],tblWorkPackages[[#This Row],[Work package ID]])</f>
        <v>45987.0</v>
      </c>
      <c r="AB1698" s="65">
        <f>IF(tblWorkPackages[[#This Row],[Completion date serial]]&gt;tblWorkPackages[[#This Row],[Due date serial]],1,0)</f>
        <v>1</v>
      </c>
      <c r="AC1698" s="65">
        <f>MAX(0,tblWorkPackages[[#This Row],[Completion date serial]]-tblWorkPackages[[#This Row],[Due date serial]])</f>
        <v>5</v>
      </c>
      <c r="AD1698" s="65">
        <f>tblWorkPackages[[#This Row],[First labor date]]-tblWorkPackages[[#This Row],[Request date serial]]</f>
        <v>16</v>
      </c>
      <c r="AE1698" s="65">
        <f>tblWorkPackages[[#This Row],[Last labor date]]-tblWorkPackages[[#This Row],[First labor date]]</f>
        <v>2</v>
      </c>
      <c r="AF1698" s="65">
        <f>tblWorkPackages[[#This Row],[Completion date serial]]-tblWorkPackages[[#This Row],[Last labor date]]</f>
        <v>0</v>
      </c>
      <c r="AG1698" s="65">
        <f>tblWorkPackages[[#This Row],[Completion date serial]]-tblWorkPackages[[#This Row],[Request date serial]]</f>
        <v>18</v>
      </c>
      <c r="AH1698" s="65">
        <f>IFERROR(INDEX(tblParts[Delay days],MATCH(tblWorkPackages[[#This Row],[Work package ID]],tblParts[Work package ID],0)),0)</f>
        <v>0</v>
      </c>
      <c r="AI1698" s="51" t="str">
        <f>IFERROR(INDEX(tblDisruptions[Event type],MATCH(tblWorkPackages[[#This Row],[Work package ID]],tblDisruptions[Work package ID],0)),"None")</f>
        <v>None</v>
      </c>
      <c r="AJ1698" s="51" t="str">
        <f>TEXT(tblWorkPackages[[#This Row],[Due date serial]],"yyyy-mm")</f>
        <v>2025-11</v>
      </c>
    </row>
    <row r="1699" spans="1:36" ht="15" x14ac:dyDescent="0.25">
      <c r="A1699" s="53" t="s">
        <v>2608</v>
      </c>
      <c r="B1699" s="53" t="s">
        <v>133</v>
      </c>
      <c r="C1699" s="53" t="s">
        <v>384</v>
      </c>
      <c r="D1699" s="53" t="s">
        <v>506</v>
      </c>
      <c r="E1699" s="53" t="s">
        <v>153</v>
      </c>
      <c r="F1699" s="53" t="s">
        <v>128</v>
      </c>
      <c r="G1699" s="53" t="s">
        <v>154</v>
      </c>
      <c r="H1699" s="53">
        <v>2</v>
      </c>
      <c r="I1699" s="53" t="s">
        <v>147</v>
      </c>
      <c r="J1699" s="53">
        <v>0</v>
      </c>
      <c r="K1699" s="53">
        <v>0</v>
      </c>
      <c r="L1699" s="53">
        <v>9.6999999999999993</v>
      </c>
      <c r="M1699" s="53" t="s">
        <v>188</v>
      </c>
      <c r="N1699" s="53">
        <v>14.4</v>
      </c>
      <c r="O1699" s="51" t="str">
        <f>TEXT(tblWorkPackages[[#This Row],[Request date serial]]-WEEKDAY(tblWorkPackages[[#This Row],[Request date serial]],3),"yyyy-mm-dd")</f>
        <v>2025-02-17</v>
      </c>
      <c r="P1699" s="51">
        <f>ABS(tblWorkPackages[[#This Row],[Actual labor hours]]-tblWorkPackages[[#This Row],[Estimated labor hours]])</f>
        <v>4.7</v>
      </c>
      <c r="Q1699" s="51">
        <f>IF(tblWorkPackages[[#This Row],[Actual labor hours]]&gt;tblWorkPackages[[#This Row],[Estimated labor hours]],1,0)</f>
        <v>1</v>
      </c>
      <c r="R1699" s="51">
        <f>tblWorkPackages[[#This Row],[Actual labor hours]]-tblWorkPackages[[#This Row],[Estimated labor hours]]</f>
        <v>4.7</v>
      </c>
      <c r="S1699" s="51" t="str">
        <f>IF(tblWorkPackages[[#This Row],[Request date serial]]&lt;ValidationStart,"Train 2024",IF(tblWorkPackages[[#This Row],[Request date serial]]&lt;HoldoutStart,"Validation H1","Holdout H2"))</f>
        <v>Validation H1</v>
      </c>
      <c r="T1699" s="51">
        <f>IF(tblWorkPackages[[#This Row],[Time split]]="Train 2024","",tblWorkPackages[[#This Row],[Estimated labor hours]]+VLOOKUP(tblWorkPackages[[#This Row],[Task type]],'Forecast validation'!$A$14:$E$25,IF(tblWorkPackages[[#This Row],[Time split]]="Validation H1",4,5),FALSE()))</f>
        <v>10.2462264150943</v>
      </c>
      <c r="U1699" s="51">
        <f>IF(tblWorkPackages[[#This Row],[Calibrated forecast hours]]="","",ABS(tblWorkPackages[[#This Row],[Actual labor hours]]-tblWorkPackages[[#This Row],[Calibrated forecast hours]]))</f>
        <v>4.15377358490566</v>
      </c>
      <c r="V1699" s="51">
        <f>IF(tblWorkPackages[[#This Row],[Time split]]="Train 2024",tblWorkPackages[[#This Row],[Estimated labor hours]],tblWorkPackages[[#This Row],[Calibrated forecast hours]])</f>
        <v>10.2462264150943</v>
      </c>
      <c r="W1699" s="64">
        <f>DATEVALUE(tblWorkPackages[[#This Row],[Request date]])</f>
        <v>45706.0</v>
      </c>
      <c r="X1699" s="64">
        <f>DATEVALUE(tblWorkPackages[[#This Row],[Due date]])</f>
        <v>45708.0</v>
      </c>
      <c r="Y1699" s="64">
        <f>DATEVALUE(tblWorkPackages[[#This Row],[Completion date]])</f>
        <v>45711.0</v>
      </c>
      <c r="Z1699" s="64">
        <f>_xlfn.MINIFS(tblLaborEntries[Work date serial],tblLaborEntries[Work package ID],tblWorkPackages[[#This Row],[Work package ID]])</f>
        <v>45710.0</v>
      </c>
      <c r="AA1699" s="64">
        <f>_xlfn.MAXIFS(tblLaborEntries[Work date serial],tblLaborEntries[Work package ID],tblWorkPackages[[#This Row],[Work package ID]])</f>
        <v>45710.0</v>
      </c>
      <c r="AB1699" s="65">
        <f>IF(tblWorkPackages[[#This Row],[Completion date serial]]&gt;tblWorkPackages[[#This Row],[Due date serial]],1,0)</f>
        <v>1</v>
      </c>
      <c r="AC1699" s="65">
        <f>MAX(0,tblWorkPackages[[#This Row],[Completion date serial]]-tblWorkPackages[[#This Row],[Due date serial]])</f>
        <v>3</v>
      </c>
      <c r="AD1699" s="65">
        <f>tblWorkPackages[[#This Row],[First labor date]]-tblWorkPackages[[#This Row],[Request date serial]]</f>
        <v>4</v>
      </c>
      <c r="AE1699" s="65">
        <f>tblWorkPackages[[#This Row],[Last labor date]]-tblWorkPackages[[#This Row],[First labor date]]</f>
        <v>0</v>
      </c>
      <c r="AF1699" s="65">
        <f>tblWorkPackages[[#This Row],[Completion date serial]]-tblWorkPackages[[#This Row],[Last labor date]]</f>
        <v>1</v>
      </c>
      <c r="AG1699" s="65">
        <f>tblWorkPackages[[#This Row],[Completion date serial]]-tblWorkPackages[[#This Row],[Request date serial]]</f>
        <v>5</v>
      </c>
      <c r="AH1699" s="65">
        <f>IFERROR(INDEX(tblParts[Delay days],MATCH(tblWorkPackages[[#This Row],[Work package ID]],tblParts[Work package ID],0)),0)</f>
        <v>0</v>
      </c>
      <c r="AI1699" s="51" t="str">
        <f>IFERROR(INDEX(tblDisruptions[Event type],MATCH(tblWorkPackages[[#This Row],[Work package ID]],tblDisruptions[Work package ID],0)),"None")</f>
        <v>Equipment unavailable</v>
      </c>
      <c r="AJ1699" s="51" t="str">
        <f>TEXT(tblWorkPackages[[#This Row],[Due date serial]],"yyyy-mm")</f>
        <v>2025-02</v>
      </c>
    </row>
    <row r="1700" spans="1:36" ht="15" x14ac:dyDescent="0.25">
      <c r="A1700" s="53" t="s">
        <v>2609</v>
      </c>
      <c r="B1700" s="53" t="s">
        <v>250</v>
      </c>
      <c r="C1700" s="53" t="s">
        <v>463</v>
      </c>
      <c r="D1700" s="53" t="s">
        <v>943</v>
      </c>
      <c r="E1700" s="53" t="s">
        <v>181</v>
      </c>
      <c r="F1700" s="53" t="s">
        <v>182</v>
      </c>
      <c r="G1700" s="53" t="s">
        <v>138</v>
      </c>
      <c r="H1700" s="53">
        <v>1</v>
      </c>
      <c r="I1700" s="53" t="s">
        <v>130</v>
      </c>
      <c r="J1700" s="53">
        <v>0</v>
      </c>
      <c r="K1700" s="53">
        <v>1</v>
      </c>
      <c r="L1700" s="53">
        <v>4.4000000000000004</v>
      </c>
      <c r="M1700" s="53" t="s">
        <v>988</v>
      </c>
      <c r="N1700" s="53">
        <v>4.4000000000000004</v>
      </c>
      <c r="O1700" s="51" t="str">
        <f>TEXT(tblWorkPackages[[#This Row],[Request date serial]]-WEEKDAY(tblWorkPackages[[#This Row],[Request date serial]],3),"yyyy-mm-dd")</f>
        <v>2025-09-29</v>
      </c>
      <c r="P1700" s="51">
        <f>ABS(tblWorkPackages[[#This Row],[Actual labor hours]]-tblWorkPackages[[#This Row],[Estimated labor hours]])</f>
        <v>0</v>
      </c>
      <c r="Q1700" s="51">
        <f>IF(tblWorkPackages[[#This Row],[Actual labor hours]]&gt;tblWorkPackages[[#This Row],[Estimated labor hours]],1,0)</f>
        <v>0</v>
      </c>
      <c r="R1700" s="51">
        <f>tblWorkPackages[[#This Row],[Actual labor hours]]-tblWorkPackages[[#This Row],[Estimated labor hours]]</f>
        <v>0</v>
      </c>
      <c r="S1700" s="51" t="str">
        <f>IF(tblWorkPackages[[#This Row],[Request date serial]]&lt;ValidationStart,"Train 2024",IF(tblWorkPackages[[#This Row],[Request date serial]]&lt;HoldoutStart,"Validation H1","Holdout H2"))</f>
        <v>Holdout H2</v>
      </c>
      <c r="T1700" s="51">
        <f>IF(tblWorkPackages[[#This Row],[Time split]]="Train 2024","",tblWorkPackages[[#This Row],[Estimated labor hours]]+VLOOKUP(tblWorkPackages[[#This Row],[Task type]],'Forecast validation'!$A$14:$E$25,IF(tblWorkPackages[[#This Row],[Time split]]="Validation H1",4,5),FALSE()))</f>
        <v>4.99160839160839</v>
      </c>
      <c r="U1700" s="51">
        <f>IF(tblWorkPackages[[#This Row],[Calibrated forecast hours]]="","",ABS(tblWorkPackages[[#This Row],[Actual labor hours]]-tblWorkPackages[[#This Row],[Calibrated forecast hours]]))</f>
        <v>0.591608391608392</v>
      </c>
      <c r="V1700" s="51">
        <f>IF(tblWorkPackages[[#This Row],[Time split]]="Train 2024",tblWorkPackages[[#This Row],[Estimated labor hours]],tblWorkPackages[[#This Row],[Calibrated forecast hours]])</f>
        <v>4.99160839160839</v>
      </c>
      <c r="W1700" s="64">
        <f>DATEVALUE(tblWorkPackages[[#This Row],[Request date]])</f>
        <v>45931.0</v>
      </c>
      <c r="X1700" s="64">
        <f>DATEVALUE(tblWorkPackages[[#This Row],[Due date]])</f>
        <v>45944.0</v>
      </c>
      <c r="Y1700" s="64">
        <f>DATEVALUE(tblWorkPackages[[#This Row],[Completion date]])</f>
        <v>45934.0</v>
      </c>
      <c r="Z1700" s="64">
        <f>_xlfn.MINIFS(tblLaborEntries[Work date serial],tblLaborEntries[Work package ID],tblWorkPackages[[#This Row],[Work package ID]])</f>
        <v>45932.0</v>
      </c>
      <c r="AA1700" s="64">
        <f>_xlfn.MAXIFS(tblLaborEntries[Work date serial],tblLaborEntries[Work package ID],tblWorkPackages[[#This Row],[Work package ID]])</f>
        <v>45932.0</v>
      </c>
      <c r="AB1700" s="65">
        <f>IF(tblWorkPackages[[#This Row],[Completion date serial]]&gt;tblWorkPackages[[#This Row],[Due date serial]],1,0)</f>
        <v>0</v>
      </c>
      <c r="AC1700" s="65">
        <f>MAX(0,tblWorkPackages[[#This Row],[Completion date serial]]-tblWorkPackages[[#This Row],[Due date serial]])</f>
        <v>0</v>
      </c>
      <c r="AD1700" s="65">
        <f>tblWorkPackages[[#This Row],[First labor date]]-tblWorkPackages[[#This Row],[Request date serial]]</f>
        <v>1</v>
      </c>
      <c r="AE1700" s="65">
        <f>tblWorkPackages[[#This Row],[Last labor date]]-tblWorkPackages[[#This Row],[First labor date]]</f>
        <v>0</v>
      </c>
      <c r="AF1700" s="65">
        <f>tblWorkPackages[[#This Row],[Completion date serial]]-tblWorkPackages[[#This Row],[Last labor date]]</f>
        <v>2</v>
      </c>
      <c r="AG1700" s="65">
        <f>tblWorkPackages[[#This Row],[Completion date serial]]-tblWorkPackages[[#This Row],[Request date serial]]</f>
        <v>3</v>
      </c>
      <c r="AH1700" s="65">
        <f>IFERROR(INDEX(tblParts[Delay days],MATCH(tblWorkPackages[[#This Row],[Work package ID]],tblParts[Work package ID],0)),0)</f>
        <v>0</v>
      </c>
      <c r="AI1700" s="51" t="str">
        <f>IFERROR(INDEX(tblDisruptions[Event type],MATCH(tblWorkPackages[[#This Row],[Work package ID]],tblDisruptions[Work package ID],0)),"None")</f>
        <v>None</v>
      </c>
      <c r="AJ1700" s="51" t="str">
        <f>TEXT(tblWorkPackages[[#This Row],[Due date serial]],"yyyy-mm")</f>
        <v>2025-10</v>
      </c>
    </row>
    <row r="1701" spans="1:36" ht="15" x14ac:dyDescent="0.25">
      <c r="A1701" s="53" t="s">
        <v>2610</v>
      </c>
      <c r="B1701" s="53" t="s">
        <v>230</v>
      </c>
      <c r="C1701" s="53" t="s">
        <v>856</v>
      </c>
      <c r="D1701" s="53" t="s">
        <v>1014</v>
      </c>
      <c r="E1701" s="53" t="s">
        <v>200</v>
      </c>
      <c r="F1701" s="53" t="s">
        <v>128</v>
      </c>
      <c r="G1701" s="53" t="s">
        <v>129</v>
      </c>
      <c r="H1701" s="53">
        <v>3</v>
      </c>
      <c r="I1701" s="53" t="s">
        <v>130</v>
      </c>
      <c r="J1701" s="53">
        <v>0</v>
      </c>
      <c r="K1701" s="53">
        <v>1</v>
      </c>
      <c r="L1701" s="53">
        <v>4.0999999999999996</v>
      </c>
      <c r="M1701" s="53" t="s">
        <v>1589</v>
      </c>
      <c r="N1701" s="53">
        <v>4.4000000000000004</v>
      </c>
      <c r="O1701" s="51" t="str">
        <f>TEXT(tblWorkPackages[[#This Row],[Request date serial]]-WEEKDAY(tblWorkPackages[[#This Row],[Request date serial]],3),"yyyy-mm-dd")</f>
        <v>2025-12-22</v>
      </c>
      <c r="P1701" s="51">
        <f>ABS(tblWorkPackages[[#This Row],[Actual labor hours]]-tblWorkPackages[[#This Row],[Estimated labor hours]])</f>
        <v>0.300000000000001</v>
      </c>
      <c r="Q1701" s="51">
        <f>IF(tblWorkPackages[[#This Row],[Actual labor hours]]&gt;tblWorkPackages[[#This Row],[Estimated labor hours]],1,0)</f>
        <v>1</v>
      </c>
      <c r="R1701" s="51">
        <f>tblWorkPackages[[#This Row],[Actual labor hours]]-tblWorkPackages[[#This Row],[Estimated labor hours]]</f>
        <v>0.300000000000001</v>
      </c>
      <c r="S1701" s="51" t="str">
        <f>IF(tblWorkPackages[[#This Row],[Request date serial]]&lt;ValidationStart,"Train 2024",IF(tblWorkPackages[[#This Row],[Request date serial]]&lt;HoldoutStart,"Validation H1","Holdout H2"))</f>
        <v>Holdout H2</v>
      </c>
      <c r="T1701" s="51">
        <f>IF(tblWorkPackages[[#This Row],[Time split]]="Train 2024","",tblWorkPackages[[#This Row],[Estimated labor hours]]+VLOOKUP(tblWorkPackages[[#This Row],[Task type]],'Forecast validation'!$A$14:$E$25,IF(tblWorkPackages[[#This Row],[Time split]]="Validation H1",4,5),FALSE()))</f>
        <v>4.42893081761006</v>
      </c>
      <c r="U1701" s="51">
        <f>IF(tblWorkPackages[[#This Row],[Calibrated forecast hours]]="","",ABS(tblWorkPackages[[#This Row],[Actual labor hours]]-tblWorkPackages[[#This Row],[Calibrated forecast hours]]))</f>
        <v>0.0289308176100622</v>
      </c>
      <c r="V1701" s="51">
        <f>IF(tblWorkPackages[[#This Row],[Time split]]="Train 2024",tblWorkPackages[[#This Row],[Estimated labor hours]],tblWorkPackages[[#This Row],[Calibrated forecast hours]])</f>
        <v>4.42893081761006</v>
      </c>
      <c r="W1701" s="64">
        <f>DATEVALUE(tblWorkPackages[[#This Row],[Request date]])</f>
        <v>46014.0</v>
      </c>
      <c r="X1701" s="64">
        <f>DATEVALUE(tblWorkPackages[[#This Row],[Due date]])</f>
        <v>46027.0</v>
      </c>
      <c r="Y1701" s="64">
        <f>DATEVALUE(tblWorkPackages[[#This Row],[Completion date]])</f>
        <v>46031.0</v>
      </c>
      <c r="Z1701" s="64">
        <f>_xlfn.MINIFS(tblLaborEntries[Work date serial],tblLaborEntries[Work package ID],tblWorkPackages[[#This Row],[Work package ID]])</f>
        <v>46028.0</v>
      </c>
      <c r="AA1701" s="64">
        <f>_xlfn.MAXIFS(tblLaborEntries[Work date serial],tblLaborEntries[Work package ID],tblWorkPackages[[#This Row],[Work package ID]])</f>
        <v>46028.0</v>
      </c>
      <c r="AB1701" s="65">
        <f>IF(tblWorkPackages[[#This Row],[Completion date serial]]&gt;tblWorkPackages[[#This Row],[Due date serial]],1,0)</f>
        <v>1</v>
      </c>
      <c r="AC1701" s="65">
        <f>MAX(0,tblWorkPackages[[#This Row],[Completion date serial]]-tblWorkPackages[[#This Row],[Due date serial]])</f>
        <v>4</v>
      </c>
      <c r="AD1701" s="65">
        <f>tblWorkPackages[[#This Row],[First labor date]]-tblWorkPackages[[#This Row],[Request date serial]]</f>
        <v>14</v>
      </c>
      <c r="AE1701" s="65">
        <f>tblWorkPackages[[#This Row],[Last labor date]]-tblWorkPackages[[#This Row],[First labor date]]</f>
        <v>0</v>
      </c>
      <c r="AF1701" s="65">
        <f>tblWorkPackages[[#This Row],[Completion date serial]]-tblWorkPackages[[#This Row],[Last labor date]]</f>
        <v>3</v>
      </c>
      <c r="AG1701" s="65">
        <f>tblWorkPackages[[#This Row],[Completion date serial]]-tblWorkPackages[[#This Row],[Request date serial]]</f>
        <v>17</v>
      </c>
      <c r="AH1701" s="65">
        <f>IFERROR(INDEX(tblParts[Delay days],MATCH(tblWorkPackages[[#This Row],[Work package ID]],tblParts[Work package ID],0)),0)</f>
        <v>4</v>
      </c>
      <c r="AI1701" s="51" t="str">
        <f>IFERROR(INDEX(tblDisruptions[Event type],MATCH(tblWorkPackages[[#This Row],[Work package ID]],tblDisruptions[Work package ID],0)),"None")</f>
        <v>Part delay</v>
      </c>
      <c r="AJ1701" s="51" t="str">
        <f>TEXT(tblWorkPackages[[#This Row],[Due date serial]],"yyyy-mm")</f>
        <v>2026-01</v>
      </c>
    </row>
    <row r="1702" spans="1:36" ht="15" x14ac:dyDescent="0.25">
      <c r="A1702" s="53" t="s">
        <v>2611</v>
      </c>
      <c r="B1702" s="53" t="s">
        <v>250</v>
      </c>
      <c r="C1702" s="53" t="s">
        <v>1427</v>
      </c>
      <c r="D1702" s="53" t="s">
        <v>812</v>
      </c>
      <c r="E1702" s="53" t="s">
        <v>272</v>
      </c>
      <c r="F1702" s="53" t="s">
        <v>145</v>
      </c>
      <c r="G1702" s="53" t="s">
        <v>273</v>
      </c>
      <c r="H1702" s="53">
        <v>1</v>
      </c>
      <c r="I1702" s="53" t="s">
        <v>176</v>
      </c>
      <c r="J1702" s="53">
        <v>0</v>
      </c>
      <c r="K1702" s="53">
        <v>1</v>
      </c>
      <c r="L1702" s="53">
        <v>6.7</v>
      </c>
      <c r="M1702" s="53" t="s">
        <v>334</v>
      </c>
      <c r="N1702" s="53">
        <v>6.5</v>
      </c>
      <c r="O1702" s="51" t="str">
        <f>TEXT(tblWorkPackages[[#This Row],[Request date serial]]-WEEKDAY(tblWorkPackages[[#This Row],[Request date serial]],3),"yyyy-mm-dd")</f>
        <v>2025-11-24</v>
      </c>
      <c r="P1702" s="51">
        <f>ABS(tblWorkPackages[[#This Row],[Actual labor hours]]-tblWorkPackages[[#This Row],[Estimated labor hours]])</f>
        <v>0.2</v>
      </c>
      <c r="Q1702" s="51">
        <f>IF(tblWorkPackages[[#This Row],[Actual labor hours]]&gt;tblWorkPackages[[#This Row],[Estimated labor hours]],1,0)</f>
        <v>0</v>
      </c>
      <c r="R1702" s="51">
        <f>tblWorkPackages[[#This Row],[Actual labor hours]]-tblWorkPackages[[#This Row],[Estimated labor hours]]</f>
        <v>-0.2</v>
      </c>
      <c r="S1702" s="51" t="str">
        <f>IF(tblWorkPackages[[#This Row],[Request date serial]]&lt;ValidationStart,"Train 2024",IF(tblWorkPackages[[#This Row],[Request date serial]]&lt;HoldoutStart,"Validation H1","Holdout H2"))</f>
        <v>Holdout H2</v>
      </c>
      <c r="T1702" s="51">
        <f>IF(tblWorkPackages[[#This Row],[Time split]]="Train 2024","",tblWorkPackages[[#This Row],[Estimated labor hours]]+VLOOKUP(tblWorkPackages[[#This Row],[Task type]],'Forecast validation'!$A$14:$E$25,IF(tblWorkPackages[[#This Row],[Time split]]="Validation H1",4,5),FALSE()))</f>
        <v>7.68515625</v>
      </c>
      <c r="U1702" s="51">
        <f>IF(tblWorkPackages[[#This Row],[Calibrated forecast hours]]="","",ABS(tblWorkPackages[[#This Row],[Actual labor hours]]-tblWorkPackages[[#This Row],[Calibrated forecast hours]]))</f>
        <v>1.18515625</v>
      </c>
      <c r="V1702" s="51">
        <f>IF(tblWorkPackages[[#This Row],[Time split]]="Train 2024",tblWorkPackages[[#This Row],[Estimated labor hours]],tblWorkPackages[[#This Row],[Calibrated forecast hours]])</f>
        <v>7.68515625</v>
      </c>
      <c r="W1702" s="64">
        <f>DATEVALUE(tblWorkPackages[[#This Row],[Request date]])</f>
        <v>45987.0</v>
      </c>
      <c r="X1702" s="64">
        <f>DATEVALUE(tblWorkPackages[[#This Row],[Due date]])</f>
        <v>45993.0</v>
      </c>
      <c r="Y1702" s="64">
        <f>DATEVALUE(tblWorkPackages[[#This Row],[Completion date]])</f>
        <v>45990.0</v>
      </c>
      <c r="Z1702" s="64">
        <f>_xlfn.MINIFS(tblLaborEntries[Work date serial],tblLaborEntries[Work package ID],tblWorkPackages[[#This Row],[Work package ID]])</f>
        <v>45990.0</v>
      </c>
      <c r="AA1702" s="64">
        <f>_xlfn.MAXIFS(tblLaborEntries[Work date serial],tblLaborEntries[Work package ID],tblWorkPackages[[#This Row],[Work package ID]])</f>
        <v>45990.0</v>
      </c>
      <c r="AB1702" s="65">
        <f>IF(tblWorkPackages[[#This Row],[Completion date serial]]&gt;tblWorkPackages[[#This Row],[Due date serial]],1,0)</f>
        <v>0</v>
      </c>
      <c r="AC1702" s="65">
        <f>MAX(0,tblWorkPackages[[#This Row],[Completion date serial]]-tblWorkPackages[[#This Row],[Due date serial]])</f>
        <v>0</v>
      </c>
      <c r="AD1702" s="65">
        <f>tblWorkPackages[[#This Row],[First labor date]]-tblWorkPackages[[#This Row],[Request date serial]]</f>
        <v>3</v>
      </c>
      <c r="AE1702" s="65">
        <f>tblWorkPackages[[#This Row],[Last labor date]]-tblWorkPackages[[#This Row],[First labor date]]</f>
        <v>0</v>
      </c>
      <c r="AF1702" s="65">
        <f>tblWorkPackages[[#This Row],[Completion date serial]]-tblWorkPackages[[#This Row],[Last labor date]]</f>
        <v>0</v>
      </c>
      <c r="AG1702" s="65">
        <f>tblWorkPackages[[#This Row],[Completion date serial]]-tblWorkPackages[[#This Row],[Request date serial]]</f>
        <v>3</v>
      </c>
      <c r="AH1702" s="65">
        <f>IFERROR(INDEX(tblParts[Delay days],MATCH(tblWorkPackages[[#This Row],[Work package ID]],tblParts[Work package ID],0)),0)</f>
        <v>0</v>
      </c>
      <c r="AI1702" s="51" t="str">
        <f>IFERROR(INDEX(tblDisruptions[Event type],MATCH(tblWorkPackages[[#This Row],[Work package ID]],tblDisruptions[Work package ID],0)),"None")</f>
        <v>None</v>
      </c>
      <c r="AJ1702" s="51" t="str">
        <f>TEXT(tblWorkPackages[[#This Row],[Due date serial]],"yyyy-mm")</f>
        <v>2025-12</v>
      </c>
    </row>
    <row r="1703" spans="1:36" ht="15" x14ac:dyDescent="0.25">
      <c r="A1703" s="53" t="s">
        <v>2612</v>
      </c>
      <c r="B1703" s="53" t="s">
        <v>141</v>
      </c>
      <c r="C1703" s="53" t="s">
        <v>922</v>
      </c>
      <c r="D1703" s="53" t="s">
        <v>396</v>
      </c>
      <c r="E1703" s="53" t="s">
        <v>127</v>
      </c>
      <c r="F1703" s="53" t="s">
        <v>128</v>
      </c>
      <c r="G1703" s="53" t="s">
        <v>129</v>
      </c>
      <c r="H1703" s="53">
        <v>4</v>
      </c>
      <c r="I1703" s="53" t="s">
        <v>176</v>
      </c>
      <c r="J1703" s="53">
        <v>0</v>
      </c>
      <c r="K1703" s="53">
        <v>1</v>
      </c>
      <c r="L1703" s="53">
        <v>12.2</v>
      </c>
      <c r="M1703" s="53" t="s">
        <v>1062</v>
      </c>
      <c r="N1703" s="53">
        <v>13</v>
      </c>
      <c r="O1703" s="51" t="str">
        <f>TEXT(tblWorkPackages[[#This Row],[Request date serial]]-WEEKDAY(tblWorkPackages[[#This Row],[Request date serial]],3),"yyyy-mm-dd")</f>
        <v>2024-12-23</v>
      </c>
      <c r="P1703" s="51">
        <f>ABS(tblWorkPackages[[#This Row],[Actual labor hours]]-tblWorkPackages[[#This Row],[Estimated labor hours]])</f>
        <v>0.800000000000001</v>
      </c>
      <c r="Q1703" s="51">
        <f>IF(tblWorkPackages[[#This Row],[Actual labor hours]]&gt;tblWorkPackages[[#This Row],[Estimated labor hours]],1,0)</f>
        <v>1</v>
      </c>
      <c r="R1703" s="51">
        <f>tblWorkPackages[[#This Row],[Actual labor hours]]-tblWorkPackages[[#This Row],[Estimated labor hours]]</f>
        <v>0.800000000000001</v>
      </c>
      <c r="S1703" s="51" t="str">
        <f>IF(tblWorkPackages[[#This Row],[Request date serial]]&lt;ValidationStart,"Train 2024",IF(tblWorkPackages[[#This Row],[Request date serial]]&lt;HoldoutStart,"Validation H1","Holdout H2"))</f>
        <v>Train 2024</v>
      </c>
      <c r="T1703" s="51" t="str">
        <f>IF(tblWorkPackages[[#This Row],[Time split]]="Train 2024","",tblWorkPackages[[#This Row],[Estimated labor hours]]+VLOOKUP(tblWorkPackages[[#This Row],[Task type]],'Forecast validation'!$A$14:$E$25,IF(tblWorkPackages[[#This Row],[Time split]]="Validation H1",4,5),FALSE()))</f>
        <v/>
      </c>
      <c r="U1703" s="51" t="str">
        <f>IF(tblWorkPackages[[#This Row],[Calibrated forecast hours]]="","",ABS(tblWorkPackages[[#This Row],[Actual labor hours]]-tblWorkPackages[[#This Row],[Calibrated forecast hours]]))</f>
        <v/>
      </c>
      <c r="V1703" s="51">
        <f>IF(tblWorkPackages[[#This Row],[Time split]]="Train 2024",tblWorkPackages[[#This Row],[Estimated labor hours]],tblWorkPackages[[#This Row],[Calibrated forecast hours]])</f>
        <v>12.2</v>
      </c>
      <c r="W1703" s="64">
        <f>DATEVALUE(tblWorkPackages[[#This Row],[Request date]])</f>
        <v>45651.0</v>
      </c>
      <c r="X1703" s="64">
        <f>DATEVALUE(tblWorkPackages[[#This Row],[Due date]])</f>
        <v>45657.0</v>
      </c>
      <c r="Y1703" s="64">
        <f>DATEVALUE(tblWorkPackages[[#This Row],[Completion date]])</f>
        <v>45682.0</v>
      </c>
      <c r="Z1703" s="64">
        <f>_xlfn.MINIFS(tblLaborEntries[Work date serial],tblLaborEntries[Work package ID],tblWorkPackages[[#This Row],[Work package ID]])</f>
        <v>45680.0</v>
      </c>
      <c r="AA1703" s="64">
        <f>_xlfn.MAXIFS(tblLaborEntries[Work date serial],tblLaborEntries[Work package ID],tblWorkPackages[[#This Row],[Work package ID]])</f>
        <v>45681.0</v>
      </c>
      <c r="AB1703" s="65">
        <f>IF(tblWorkPackages[[#This Row],[Completion date serial]]&gt;tblWorkPackages[[#This Row],[Due date serial]],1,0)</f>
        <v>1</v>
      </c>
      <c r="AC1703" s="65">
        <f>MAX(0,tblWorkPackages[[#This Row],[Completion date serial]]-tblWorkPackages[[#This Row],[Due date serial]])</f>
        <v>25</v>
      </c>
      <c r="AD1703" s="65">
        <f>tblWorkPackages[[#This Row],[First labor date]]-tblWorkPackages[[#This Row],[Request date serial]]</f>
        <v>29</v>
      </c>
      <c r="AE1703" s="65">
        <f>tblWorkPackages[[#This Row],[Last labor date]]-tblWorkPackages[[#This Row],[First labor date]]</f>
        <v>1</v>
      </c>
      <c r="AF1703" s="65">
        <f>tblWorkPackages[[#This Row],[Completion date serial]]-tblWorkPackages[[#This Row],[Last labor date]]</f>
        <v>1</v>
      </c>
      <c r="AG1703" s="65">
        <f>tblWorkPackages[[#This Row],[Completion date serial]]-tblWorkPackages[[#This Row],[Request date serial]]</f>
        <v>31</v>
      </c>
      <c r="AH1703" s="65">
        <f>IFERROR(INDEX(tblParts[Delay days],MATCH(tblWorkPackages[[#This Row],[Work package ID]],tblParts[Work package ID],0)),0)</f>
        <v>0</v>
      </c>
      <c r="AI1703" s="51" t="str">
        <f>IFERROR(INDEX(tblDisruptions[Event type],MATCH(tblWorkPackages[[#This Row],[Work package ID]],tblDisruptions[Work package ID],0)),"None")</f>
        <v>None</v>
      </c>
      <c r="AJ1703" s="51" t="str">
        <f>TEXT(tblWorkPackages[[#This Row],[Due date serial]],"yyyy-mm")</f>
        <v>2024-12</v>
      </c>
    </row>
    <row r="1704" spans="1:36" ht="15" x14ac:dyDescent="0.25">
      <c r="A1704" s="53" t="s">
        <v>2613</v>
      </c>
      <c r="B1704" s="53" t="s">
        <v>185</v>
      </c>
      <c r="C1704" s="53" t="s">
        <v>916</v>
      </c>
      <c r="D1704" s="53" t="s">
        <v>364</v>
      </c>
      <c r="E1704" s="53" t="s">
        <v>237</v>
      </c>
      <c r="F1704" s="53" t="s">
        <v>182</v>
      </c>
      <c r="G1704" s="53" t="s">
        <v>138</v>
      </c>
      <c r="H1704" s="53">
        <v>3</v>
      </c>
      <c r="I1704" s="53" t="s">
        <v>130</v>
      </c>
      <c r="J1704" s="53">
        <v>0</v>
      </c>
      <c r="K1704" s="53">
        <v>1</v>
      </c>
      <c r="L1704" s="53">
        <v>8.4</v>
      </c>
      <c r="M1704" s="53" t="s">
        <v>1838</v>
      </c>
      <c r="N1704" s="53">
        <v>7.1</v>
      </c>
      <c r="O1704" s="51" t="str">
        <f>TEXT(tblWorkPackages[[#This Row],[Request date serial]]-WEEKDAY(tblWorkPackages[[#This Row],[Request date serial]],3),"yyyy-mm-dd")</f>
        <v>2025-04-28</v>
      </c>
      <c r="P1704" s="51">
        <f>ABS(tblWorkPackages[[#This Row],[Actual labor hours]]-tblWorkPackages[[#This Row],[Estimated labor hours]])</f>
        <v>1.3</v>
      </c>
      <c r="Q1704" s="51">
        <f>IF(tblWorkPackages[[#This Row],[Actual labor hours]]&gt;tblWorkPackages[[#This Row],[Estimated labor hours]],1,0)</f>
        <v>0</v>
      </c>
      <c r="R1704" s="51">
        <f>tblWorkPackages[[#This Row],[Actual labor hours]]-tblWorkPackages[[#This Row],[Estimated labor hours]]</f>
        <v>-1.3</v>
      </c>
      <c r="S1704" s="51" t="str">
        <f>IF(tblWorkPackages[[#This Row],[Request date serial]]&lt;ValidationStart,"Train 2024",IF(tblWorkPackages[[#This Row],[Request date serial]]&lt;HoldoutStart,"Validation H1","Holdout H2"))</f>
        <v>Validation H1</v>
      </c>
      <c r="T1704" s="51">
        <f>IF(tblWorkPackages[[#This Row],[Time split]]="Train 2024","",tblWorkPackages[[#This Row],[Estimated labor hours]]+VLOOKUP(tblWorkPackages[[#This Row],[Task type]],'Forecast validation'!$A$14:$E$25,IF(tblWorkPackages[[#This Row],[Time split]]="Validation H1",4,5),FALSE()))</f>
        <v>8.9037037037037</v>
      </c>
      <c r="U1704" s="51">
        <f>IF(tblWorkPackages[[#This Row],[Calibrated forecast hours]]="","",ABS(tblWorkPackages[[#This Row],[Actual labor hours]]-tblWorkPackages[[#This Row],[Calibrated forecast hours]]))</f>
        <v>1.8037037037037</v>
      </c>
      <c r="V1704" s="51">
        <f>IF(tblWorkPackages[[#This Row],[Time split]]="Train 2024",tblWorkPackages[[#This Row],[Estimated labor hours]],tblWorkPackages[[#This Row],[Calibrated forecast hours]])</f>
        <v>8.9037037037037</v>
      </c>
      <c r="W1704" s="64">
        <f>DATEVALUE(tblWorkPackages[[#This Row],[Request date]])</f>
        <v>45777.0</v>
      </c>
      <c r="X1704" s="64">
        <f>DATEVALUE(tblWorkPackages[[#This Row],[Due date]])</f>
        <v>45790.0</v>
      </c>
      <c r="Y1704" s="64">
        <f>DATEVALUE(tblWorkPackages[[#This Row],[Completion date]])</f>
        <v>45786.0</v>
      </c>
      <c r="Z1704" s="64">
        <f>_xlfn.MINIFS(tblLaborEntries[Work date serial],tblLaborEntries[Work package ID],tblWorkPackages[[#This Row],[Work package ID]])</f>
        <v>45782.0</v>
      </c>
      <c r="AA1704" s="64">
        <f>_xlfn.MAXIFS(tblLaborEntries[Work date serial],tblLaborEntries[Work package ID],tblWorkPackages[[#This Row],[Work package ID]])</f>
        <v>45784.0</v>
      </c>
      <c r="AB1704" s="65">
        <f>IF(tblWorkPackages[[#This Row],[Completion date serial]]&gt;tblWorkPackages[[#This Row],[Due date serial]],1,0)</f>
        <v>0</v>
      </c>
      <c r="AC1704" s="65">
        <f>MAX(0,tblWorkPackages[[#This Row],[Completion date serial]]-tblWorkPackages[[#This Row],[Due date serial]])</f>
        <v>0</v>
      </c>
      <c r="AD1704" s="65">
        <f>tblWorkPackages[[#This Row],[First labor date]]-tblWorkPackages[[#This Row],[Request date serial]]</f>
        <v>5</v>
      </c>
      <c r="AE1704" s="65">
        <f>tblWorkPackages[[#This Row],[Last labor date]]-tblWorkPackages[[#This Row],[First labor date]]</f>
        <v>2</v>
      </c>
      <c r="AF1704" s="65">
        <f>tblWorkPackages[[#This Row],[Completion date serial]]-tblWorkPackages[[#This Row],[Last labor date]]</f>
        <v>2</v>
      </c>
      <c r="AG1704" s="65">
        <f>tblWorkPackages[[#This Row],[Completion date serial]]-tblWorkPackages[[#This Row],[Request date serial]]</f>
        <v>9</v>
      </c>
      <c r="AH1704" s="65">
        <f>IFERROR(INDEX(tblParts[Delay days],MATCH(tblWorkPackages[[#This Row],[Work package ID]],tblParts[Work package ID],0)),0)</f>
        <v>0</v>
      </c>
      <c r="AI1704" s="51" t="str">
        <f>IFERROR(INDEX(tblDisruptions[Event type],MATCH(tblWorkPackages[[#This Row],[Work package ID]],tblDisruptions[Work package ID],0)),"None")</f>
        <v>None</v>
      </c>
      <c r="AJ1704" s="51" t="str">
        <f>TEXT(tblWorkPackages[[#This Row],[Due date serial]],"yyyy-mm")</f>
        <v>2025-05</v>
      </c>
    </row>
    <row r="1705" spans="1:36" ht="15" x14ac:dyDescent="0.25">
      <c r="A1705" s="53" t="s">
        <v>2614</v>
      </c>
      <c r="B1705" s="53" t="s">
        <v>185</v>
      </c>
      <c r="C1705" s="53" t="s">
        <v>1321</v>
      </c>
      <c r="D1705" s="53" t="s">
        <v>152</v>
      </c>
      <c r="E1705" s="53" t="s">
        <v>127</v>
      </c>
      <c r="F1705" s="53" t="s">
        <v>128</v>
      </c>
      <c r="G1705" s="53" t="s">
        <v>129</v>
      </c>
      <c r="H1705" s="53">
        <v>3</v>
      </c>
      <c r="I1705" s="53" t="s">
        <v>130</v>
      </c>
      <c r="J1705" s="53">
        <v>0</v>
      </c>
      <c r="K1705" s="53">
        <v>0</v>
      </c>
      <c r="L1705" s="53">
        <v>9.6</v>
      </c>
      <c r="M1705" s="53" t="s">
        <v>263</v>
      </c>
      <c r="N1705" s="53">
        <v>7.8</v>
      </c>
      <c r="O1705" s="51" t="str">
        <f>TEXT(tblWorkPackages[[#This Row],[Request date serial]]-WEEKDAY(tblWorkPackages[[#This Row],[Request date serial]],3),"yyyy-mm-dd")</f>
        <v>2024-08-12</v>
      </c>
      <c r="P1705" s="51">
        <f>ABS(tblWorkPackages[[#This Row],[Actual labor hours]]-tblWorkPackages[[#This Row],[Estimated labor hours]])</f>
        <v>1.8</v>
      </c>
      <c r="Q1705" s="51">
        <f>IF(tblWorkPackages[[#This Row],[Actual labor hours]]&gt;tblWorkPackages[[#This Row],[Estimated labor hours]],1,0)</f>
        <v>0</v>
      </c>
      <c r="R1705" s="51">
        <f>tblWorkPackages[[#This Row],[Actual labor hours]]-tblWorkPackages[[#This Row],[Estimated labor hours]]</f>
        <v>-1.8</v>
      </c>
      <c r="S1705" s="51" t="str">
        <f>IF(tblWorkPackages[[#This Row],[Request date serial]]&lt;ValidationStart,"Train 2024",IF(tblWorkPackages[[#This Row],[Request date serial]]&lt;HoldoutStart,"Validation H1","Holdout H2"))</f>
        <v>Train 2024</v>
      </c>
      <c r="T1705" s="51" t="str">
        <f>IF(tblWorkPackages[[#This Row],[Time split]]="Train 2024","",tblWorkPackages[[#This Row],[Estimated labor hours]]+VLOOKUP(tblWorkPackages[[#This Row],[Task type]],'Forecast validation'!$A$14:$E$25,IF(tblWorkPackages[[#This Row],[Time split]]="Validation H1",4,5),FALSE()))</f>
        <v/>
      </c>
      <c r="U1705" s="51" t="str">
        <f>IF(tblWorkPackages[[#This Row],[Calibrated forecast hours]]="","",ABS(tblWorkPackages[[#This Row],[Actual labor hours]]-tblWorkPackages[[#This Row],[Calibrated forecast hours]]))</f>
        <v/>
      </c>
      <c r="V1705" s="51">
        <f>IF(tblWorkPackages[[#This Row],[Time split]]="Train 2024",tblWorkPackages[[#This Row],[Estimated labor hours]],tblWorkPackages[[#This Row],[Calibrated forecast hours]])</f>
        <v>9.6</v>
      </c>
      <c r="W1705" s="64">
        <f>DATEVALUE(tblWorkPackages[[#This Row],[Request date]])</f>
        <v>45516.0</v>
      </c>
      <c r="X1705" s="64">
        <f>DATEVALUE(tblWorkPackages[[#This Row],[Due date]])</f>
        <v>45529.0</v>
      </c>
      <c r="Y1705" s="64">
        <f>DATEVALUE(tblWorkPackages[[#This Row],[Completion date]])</f>
        <v>45522.0</v>
      </c>
      <c r="Z1705" s="64">
        <f>_xlfn.MINIFS(tblLaborEntries[Work date serial],tblLaborEntries[Work package ID],tblWorkPackages[[#This Row],[Work package ID]])</f>
        <v>45518.0</v>
      </c>
      <c r="AA1705" s="64">
        <f>_xlfn.MAXIFS(tblLaborEntries[Work date serial],tblLaborEntries[Work package ID],tblWorkPackages[[#This Row],[Work package ID]])</f>
        <v>45519.0</v>
      </c>
      <c r="AB1705" s="65">
        <f>IF(tblWorkPackages[[#This Row],[Completion date serial]]&gt;tblWorkPackages[[#This Row],[Due date serial]],1,0)</f>
        <v>0</v>
      </c>
      <c r="AC1705" s="65">
        <f>MAX(0,tblWorkPackages[[#This Row],[Completion date serial]]-tblWorkPackages[[#This Row],[Due date serial]])</f>
        <v>0</v>
      </c>
      <c r="AD1705" s="65">
        <f>tblWorkPackages[[#This Row],[First labor date]]-tblWorkPackages[[#This Row],[Request date serial]]</f>
        <v>2</v>
      </c>
      <c r="AE1705" s="65">
        <f>tblWorkPackages[[#This Row],[Last labor date]]-tblWorkPackages[[#This Row],[First labor date]]</f>
        <v>1</v>
      </c>
      <c r="AF1705" s="65">
        <f>tblWorkPackages[[#This Row],[Completion date serial]]-tblWorkPackages[[#This Row],[Last labor date]]</f>
        <v>3</v>
      </c>
      <c r="AG1705" s="65">
        <f>tblWorkPackages[[#This Row],[Completion date serial]]-tblWorkPackages[[#This Row],[Request date serial]]</f>
        <v>6</v>
      </c>
      <c r="AH1705" s="65">
        <f>IFERROR(INDEX(tblParts[Delay days],MATCH(tblWorkPackages[[#This Row],[Work package ID]],tblParts[Work package ID],0)),0)</f>
        <v>0</v>
      </c>
      <c r="AI1705" s="51" t="str">
        <f>IFERROR(INDEX(tblDisruptions[Event type],MATCH(tblWorkPackages[[#This Row],[Work package ID]],tblDisruptions[Work package ID],0)),"None")</f>
        <v>None</v>
      </c>
      <c r="AJ1705" s="51" t="str">
        <f>TEXT(tblWorkPackages[[#This Row],[Due date serial]],"yyyy-mm")</f>
        <v>2024-08</v>
      </c>
    </row>
    <row r="1706" spans="1:36" ht="15" x14ac:dyDescent="0.25">
      <c r="A1706" s="53" t="s">
        <v>2615</v>
      </c>
      <c r="B1706" s="53" t="s">
        <v>230</v>
      </c>
      <c r="C1706" s="53" t="s">
        <v>522</v>
      </c>
      <c r="D1706" s="53" t="s">
        <v>283</v>
      </c>
      <c r="E1706" s="53" t="s">
        <v>209</v>
      </c>
      <c r="F1706" s="53" t="s">
        <v>145</v>
      </c>
      <c r="G1706" s="53" t="s">
        <v>210</v>
      </c>
      <c r="H1706" s="53">
        <v>1</v>
      </c>
      <c r="I1706" s="53" t="s">
        <v>147</v>
      </c>
      <c r="J1706" s="53">
        <v>0</v>
      </c>
      <c r="K1706" s="53">
        <v>1</v>
      </c>
      <c r="L1706" s="53">
        <v>13.7</v>
      </c>
      <c r="M1706" s="53" t="s">
        <v>1330</v>
      </c>
      <c r="N1706" s="53">
        <v>12.7</v>
      </c>
      <c r="O1706" s="51" t="str">
        <f>TEXT(tblWorkPackages[[#This Row],[Request date serial]]-WEEKDAY(tblWorkPackages[[#This Row],[Request date serial]],3),"yyyy-mm-dd")</f>
        <v>2025-08-25</v>
      </c>
      <c r="P1706" s="51">
        <f>ABS(tblWorkPackages[[#This Row],[Actual labor hours]]-tblWorkPackages[[#This Row],[Estimated labor hours]])</f>
        <v>1</v>
      </c>
      <c r="Q1706" s="51">
        <f>IF(tblWorkPackages[[#This Row],[Actual labor hours]]&gt;tblWorkPackages[[#This Row],[Estimated labor hours]],1,0)</f>
        <v>0</v>
      </c>
      <c r="R1706" s="51">
        <f>tblWorkPackages[[#This Row],[Actual labor hours]]-tblWorkPackages[[#This Row],[Estimated labor hours]]</f>
        <v>-1</v>
      </c>
      <c r="S1706" s="51" t="str">
        <f>IF(tblWorkPackages[[#This Row],[Request date serial]]&lt;ValidationStart,"Train 2024",IF(tblWorkPackages[[#This Row],[Request date serial]]&lt;HoldoutStart,"Validation H1","Holdout H2"))</f>
        <v>Holdout H2</v>
      </c>
      <c r="T1706" s="51">
        <f>IF(tblWorkPackages[[#This Row],[Time split]]="Train 2024","",tblWorkPackages[[#This Row],[Estimated labor hours]]+VLOOKUP(tblWorkPackages[[#This Row],[Task type]],'Forecast validation'!$A$14:$E$25,IF(tblWorkPackages[[#This Row],[Time split]]="Validation H1",4,5),FALSE()))</f>
        <v>15.495652173913</v>
      </c>
      <c r="U1706" s="51">
        <f>IF(tblWorkPackages[[#This Row],[Calibrated forecast hours]]="","",ABS(tblWorkPackages[[#This Row],[Actual labor hours]]-tblWorkPackages[[#This Row],[Calibrated forecast hours]]))</f>
        <v>2.79565217391304</v>
      </c>
      <c r="V1706" s="51">
        <f>IF(tblWorkPackages[[#This Row],[Time split]]="Train 2024",tblWorkPackages[[#This Row],[Estimated labor hours]],tblWorkPackages[[#This Row],[Calibrated forecast hours]])</f>
        <v>15.495652173913</v>
      </c>
      <c r="W1706" s="64">
        <f>DATEVALUE(tblWorkPackages[[#This Row],[Request date]])</f>
        <v>45895.0</v>
      </c>
      <c r="X1706" s="64">
        <f>DATEVALUE(tblWorkPackages[[#This Row],[Due date]])</f>
        <v>45897.0</v>
      </c>
      <c r="Y1706" s="64">
        <f>DATEVALUE(tblWorkPackages[[#This Row],[Completion date]])</f>
        <v>45909.0</v>
      </c>
      <c r="Z1706" s="64">
        <f>_xlfn.MINIFS(tblLaborEntries[Work date serial],tblLaborEntries[Work package ID],tblWorkPackages[[#This Row],[Work package ID]])</f>
        <v>45909.0</v>
      </c>
      <c r="AA1706" s="64">
        <f>_xlfn.MAXIFS(tblLaborEntries[Work date serial],tblLaborEntries[Work package ID],tblWorkPackages[[#This Row],[Work package ID]])</f>
        <v>45909.0</v>
      </c>
      <c r="AB1706" s="65">
        <f>IF(tblWorkPackages[[#This Row],[Completion date serial]]&gt;tblWorkPackages[[#This Row],[Due date serial]],1,0)</f>
        <v>1</v>
      </c>
      <c r="AC1706" s="65">
        <f>MAX(0,tblWorkPackages[[#This Row],[Completion date serial]]-tblWorkPackages[[#This Row],[Due date serial]])</f>
        <v>12</v>
      </c>
      <c r="AD1706" s="65">
        <f>tblWorkPackages[[#This Row],[First labor date]]-tblWorkPackages[[#This Row],[Request date serial]]</f>
        <v>14</v>
      </c>
      <c r="AE1706" s="65">
        <f>tblWorkPackages[[#This Row],[Last labor date]]-tblWorkPackages[[#This Row],[First labor date]]</f>
        <v>0</v>
      </c>
      <c r="AF1706" s="65">
        <f>tblWorkPackages[[#This Row],[Completion date serial]]-tblWorkPackages[[#This Row],[Last labor date]]</f>
        <v>0</v>
      </c>
      <c r="AG1706" s="65">
        <f>tblWorkPackages[[#This Row],[Completion date serial]]-tblWorkPackages[[#This Row],[Request date serial]]</f>
        <v>14</v>
      </c>
      <c r="AH1706" s="65">
        <f>IFERROR(INDEX(tblParts[Delay days],MATCH(tblWorkPackages[[#This Row],[Work package ID]],tblParts[Work package ID],0)),0)</f>
        <v>0</v>
      </c>
      <c r="AI1706" s="51" t="str">
        <f>IFERROR(INDEX(tblDisruptions[Event type],MATCH(tblWorkPackages[[#This Row],[Work package ID]],tblDisruptions[Work package ID],0)),"None")</f>
        <v>None</v>
      </c>
      <c r="AJ1706" s="51" t="str">
        <f>TEXT(tblWorkPackages[[#This Row],[Due date serial]],"yyyy-mm")</f>
        <v>2025-08</v>
      </c>
    </row>
    <row r="1707" spans="1:36" ht="15" x14ac:dyDescent="0.25">
      <c r="A1707" s="53" t="s">
        <v>2616</v>
      </c>
      <c r="B1707" s="53" t="s">
        <v>250</v>
      </c>
      <c r="C1707" s="53" t="s">
        <v>553</v>
      </c>
      <c r="D1707" s="53" t="s">
        <v>1369</v>
      </c>
      <c r="E1707" s="53" t="s">
        <v>200</v>
      </c>
      <c r="F1707" s="53" t="s">
        <v>128</v>
      </c>
      <c r="G1707" s="53" t="s">
        <v>129</v>
      </c>
      <c r="H1707" s="53">
        <v>2</v>
      </c>
      <c r="I1707" s="53" t="s">
        <v>147</v>
      </c>
      <c r="J1707" s="53">
        <v>0</v>
      </c>
      <c r="K1707" s="53">
        <v>1</v>
      </c>
      <c r="L1707" s="53">
        <v>2.8</v>
      </c>
      <c r="M1707" s="53" t="s">
        <v>152</v>
      </c>
      <c r="N1707" s="53">
        <v>3.5</v>
      </c>
      <c r="O1707" s="51" t="str">
        <f>TEXT(tblWorkPackages[[#This Row],[Request date serial]]-WEEKDAY(tblWorkPackages[[#This Row],[Request date serial]],3),"yyyy-mm-dd")</f>
        <v>2024-08-05</v>
      </c>
      <c r="P1707" s="51">
        <f>ABS(tblWorkPackages[[#This Row],[Actual labor hours]]-tblWorkPackages[[#This Row],[Estimated labor hours]])</f>
        <v>0.7</v>
      </c>
      <c r="Q1707" s="51">
        <f>IF(tblWorkPackages[[#This Row],[Actual labor hours]]&gt;tblWorkPackages[[#This Row],[Estimated labor hours]],1,0)</f>
        <v>1</v>
      </c>
      <c r="R1707" s="51">
        <f>tblWorkPackages[[#This Row],[Actual labor hours]]-tblWorkPackages[[#This Row],[Estimated labor hours]]</f>
        <v>0.7</v>
      </c>
      <c r="S1707" s="51" t="str">
        <f>IF(tblWorkPackages[[#This Row],[Request date serial]]&lt;ValidationStart,"Train 2024",IF(tblWorkPackages[[#This Row],[Request date serial]]&lt;HoldoutStart,"Validation H1","Holdout H2"))</f>
        <v>Train 2024</v>
      </c>
      <c r="T1707" s="51" t="str">
        <f>IF(tblWorkPackages[[#This Row],[Time split]]="Train 2024","",tblWorkPackages[[#This Row],[Estimated labor hours]]+VLOOKUP(tblWorkPackages[[#This Row],[Task type]],'Forecast validation'!$A$14:$E$25,IF(tblWorkPackages[[#This Row],[Time split]]="Validation H1",4,5),FALSE()))</f>
        <v/>
      </c>
      <c r="U1707" s="51" t="str">
        <f>IF(tblWorkPackages[[#This Row],[Calibrated forecast hours]]="","",ABS(tblWorkPackages[[#This Row],[Actual labor hours]]-tblWorkPackages[[#This Row],[Calibrated forecast hours]]))</f>
        <v/>
      </c>
      <c r="V1707" s="51">
        <f>IF(tblWorkPackages[[#This Row],[Time split]]="Train 2024",tblWorkPackages[[#This Row],[Estimated labor hours]],tblWorkPackages[[#This Row],[Calibrated forecast hours]])</f>
        <v>2.8</v>
      </c>
      <c r="W1707" s="64">
        <f>DATEVALUE(tblWorkPackages[[#This Row],[Request date]])</f>
        <v>45511.0</v>
      </c>
      <c r="X1707" s="64">
        <f>DATEVALUE(tblWorkPackages[[#This Row],[Due date]])</f>
        <v>45513.0</v>
      </c>
      <c r="Y1707" s="64">
        <f>DATEVALUE(tblWorkPackages[[#This Row],[Completion date]])</f>
        <v>45529.0</v>
      </c>
      <c r="Z1707" s="64">
        <f>_xlfn.MINIFS(tblLaborEntries[Work date serial],tblLaborEntries[Work package ID],tblWorkPackages[[#This Row],[Work package ID]])</f>
        <v>45526.0</v>
      </c>
      <c r="AA1707" s="64">
        <f>_xlfn.MAXIFS(tblLaborEntries[Work date serial],tblLaborEntries[Work package ID],tblWorkPackages[[#This Row],[Work package ID]])</f>
        <v>45528.0</v>
      </c>
      <c r="AB1707" s="65">
        <f>IF(tblWorkPackages[[#This Row],[Completion date serial]]&gt;tblWorkPackages[[#This Row],[Due date serial]],1,0)</f>
        <v>1</v>
      </c>
      <c r="AC1707" s="65">
        <f>MAX(0,tblWorkPackages[[#This Row],[Completion date serial]]-tblWorkPackages[[#This Row],[Due date serial]])</f>
        <v>16</v>
      </c>
      <c r="AD1707" s="65">
        <f>tblWorkPackages[[#This Row],[First labor date]]-tblWorkPackages[[#This Row],[Request date serial]]</f>
        <v>15</v>
      </c>
      <c r="AE1707" s="65">
        <f>tblWorkPackages[[#This Row],[Last labor date]]-tblWorkPackages[[#This Row],[First labor date]]</f>
        <v>2</v>
      </c>
      <c r="AF1707" s="65">
        <f>tblWorkPackages[[#This Row],[Completion date serial]]-tblWorkPackages[[#This Row],[Last labor date]]</f>
        <v>1</v>
      </c>
      <c r="AG1707" s="65">
        <f>tblWorkPackages[[#This Row],[Completion date serial]]-tblWorkPackages[[#This Row],[Request date serial]]</f>
        <v>18</v>
      </c>
      <c r="AH1707" s="65">
        <f>IFERROR(INDEX(tblParts[Delay days],MATCH(tblWorkPackages[[#This Row],[Work package ID]],tblParts[Work package ID],0)),0)</f>
        <v>12</v>
      </c>
      <c r="AI1707" s="51" t="str">
        <f>IFERROR(INDEX(tblDisruptions[Event type],MATCH(tblWorkPackages[[#This Row],[Work package ID]],tblDisruptions[Work package ID],0)),"None")</f>
        <v>Part delay</v>
      </c>
      <c r="AJ1707" s="51" t="str">
        <f>TEXT(tblWorkPackages[[#This Row],[Due date serial]],"yyyy-mm")</f>
        <v>2024-08</v>
      </c>
    </row>
    <row r="1708" spans="1:36" ht="15" x14ac:dyDescent="0.25">
      <c r="A1708" s="53" t="s">
        <v>2617</v>
      </c>
      <c r="B1708" s="53" t="s">
        <v>230</v>
      </c>
      <c r="C1708" s="53" t="s">
        <v>356</v>
      </c>
      <c r="D1708" s="53" t="s">
        <v>779</v>
      </c>
      <c r="E1708" s="53" t="s">
        <v>136</v>
      </c>
      <c r="F1708" s="53" t="s">
        <v>137</v>
      </c>
      <c r="G1708" s="53" t="s">
        <v>138</v>
      </c>
      <c r="H1708" s="53">
        <v>1</v>
      </c>
      <c r="I1708" s="53" t="s">
        <v>176</v>
      </c>
      <c r="J1708" s="53">
        <v>0</v>
      </c>
      <c r="K1708" s="53">
        <v>0</v>
      </c>
      <c r="L1708" s="53">
        <v>9.3000000000000007</v>
      </c>
      <c r="M1708" s="53" t="s">
        <v>2618</v>
      </c>
      <c r="N1708" s="53">
        <v>7.6</v>
      </c>
      <c r="O1708" s="51" t="str">
        <f>TEXT(tblWorkPackages[[#This Row],[Request date serial]]-WEEKDAY(tblWorkPackages[[#This Row],[Request date serial]],3),"yyyy-mm-dd")</f>
        <v>2025-12-15</v>
      </c>
      <c r="P1708" s="51">
        <f>ABS(tblWorkPackages[[#This Row],[Actual labor hours]]-tblWorkPackages[[#This Row],[Estimated labor hours]])</f>
        <v>1.7</v>
      </c>
      <c r="Q1708" s="51">
        <f>IF(tblWorkPackages[[#This Row],[Actual labor hours]]&gt;tblWorkPackages[[#This Row],[Estimated labor hours]],1,0)</f>
        <v>0</v>
      </c>
      <c r="R1708" s="51">
        <f>tblWorkPackages[[#This Row],[Actual labor hours]]-tblWorkPackages[[#This Row],[Estimated labor hours]]</f>
        <v>-1.7</v>
      </c>
      <c r="S1708" s="51" t="str">
        <f>IF(tblWorkPackages[[#This Row],[Request date serial]]&lt;ValidationStart,"Train 2024",IF(tblWorkPackages[[#This Row],[Request date serial]]&lt;HoldoutStart,"Validation H1","Holdout H2"))</f>
        <v>Holdout H2</v>
      </c>
      <c r="T1708" s="51">
        <f>IF(tblWorkPackages[[#This Row],[Time split]]="Train 2024","",tblWorkPackages[[#This Row],[Estimated labor hours]]+VLOOKUP(tblWorkPackages[[#This Row],[Task type]],'Forecast validation'!$A$14:$E$25,IF(tblWorkPackages[[#This Row],[Time split]]="Validation H1",4,5),FALSE()))</f>
        <v>10.2207547169811</v>
      </c>
      <c r="U1708" s="51">
        <f>IF(tblWorkPackages[[#This Row],[Calibrated forecast hours]]="","",ABS(tblWorkPackages[[#This Row],[Actual labor hours]]-tblWorkPackages[[#This Row],[Calibrated forecast hours]]))</f>
        <v>2.62075471698113</v>
      </c>
      <c r="V1708" s="51">
        <f>IF(tblWorkPackages[[#This Row],[Time split]]="Train 2024",tblWorkPackages[[#This Row],[Estimated labor hours]],tblWorkPackages[[#This Row],[Calibrated forecast hours]])</f>
        <v>10.2207547169811</v>
      </c>
      <c r="W1708" s="64">
        <f>DATEVALUE(tblWorkPackages[[#This Row],[Request date]])</f>
        <v>46012.0</v>
      </c>
      <c r="X1708" s="64">
        <f>DATEVALUE(tblWorkPackages[[#This Row],[Due date]])</f>
        <v>46018.0</v>
      </c>
      <c r="Y1708" s="64">
        <f>DATEVALUE(tblWorkPackages[[#This Row],[Completion date]])</f>
        <v>46069.0</v>
      </c>
      <c r="Z1708" s="64">
        <f>_xlfn.MINIFS(tblLaborEntries[Work date serial],tblLaborEntries[Work package ID],tblWorkPackages[[#This Row],[Work package ID]])</f>
        <v>46066.0</v>
      </c>
      <c r="AA1708" s="64">
        <f>_xlfn.MAXIFS(tblLaborEntries[Work date serial],tblLaborEntries[Work package ID],tblWorkPackages[[#This Row],[Work package ID]])</f>
        <v>46067.0</v>
      </c>
      <c r="AB1708" s="65">
        <f>IF(tblWorkPackages[[#This Row],[Completion date serial]]&gt;tblWorkPackages[[#This Row],[Due date serial]],1,0)</f>
        <v>1</v>
      </c>
      <c r="AC1708" s="65">
        <f>MAX(0,tblWorkPackages[[#This Row],[Completion date serial]]-tblWorkPackages[[#This Row],[Due date serial]])</f>
        <v>51</v>
      </c>
      <c r="AD1708" s="65">
        <f>tblWorkPackages[[#This Row],[First labor date]]-tblWorkPackages[[#This Row],[Request date serial]]</f>
        <v>54</v>
      </c>
      <c r="AE1708" s="65">
        <f>tblWorkPackages[[#This Row],[Last labor date]]-tblWorkPackages[[#This Row],[First labor date]]</f>
        <v>1</v>
      </c>
      <c r="AF1708" s="65">
        <f>tblWorkPackages[[#This Row],[Completion date serial]]-tblWorkPackages[[#This Row],[Last labor date]]</f>
        <v>2</v>
      </c>
      <c r="AG1708" s="65">
        <f>tblWorkPackages[[#This Row],[Completion date serial]]-tblWorkPackages[[#This Row],[Request date serial]]</f>
        <v>57</v>
      </c>
      <c r="AH1708" s="65">
        <f>IFERROR(INDEX(tblParts[Delay days],MATCH(tblWorkPackages[[#This Row],[Work package ID]],tblParts[Work package ID],0)),0)</f>
        <v>0</v>
      </c>
      <c r="AI1708" s="51" t="str">
        <f>IFERROR(INDEX(tblDisruptions[Event type],MATCH(tblWorkPackages[[#This Row],[Work package ID]],tblDisruptions[Work package ID],0)),"None")</f>
        <v>None</v>
      </c>
      <c r="AJ1708" s="51" t="str">
        <f>TEXT(tblWorkPackages[[#This Row],[Due date serial]],"yyyy-mm")</f>
        <v>2025-12</v>
      </c>
    </row>
    <row r="1709" spans="1:36" ht="15" x14ac:dyDescent="0.25">
      <c r="A1709" s="53" t="s">
        <v>2619</v>
      </c>
      <c r="B1709" s="53" t="s">
        <v>185</v>
      </c>
      <c r="C1709" s="53" t="s">
        <v>360</v>
      </c>
      <c r="D1709" s="53" t="s">
        <v>643</v>
      </c>
      <c r="E1709" s="53" t="s">
        <v>200</v>
      </c>
      <c r="F1709" s="53" t="s">
        <v>128</v>
      </c>
      <c r="G1709" s="53" t="s">
        <v>129</v>
      </c>
      <c r="H1709" s="53">
        <v>2</v>
      </c>
      <c r="I1709" s="53" t="s">
        <v>176</v>
      </c>
      <c r="J1709" s="53">
        <v>0</v>
      </c>
      <c r="K1709" s="53">
        <v>0</v>
      </c>
      <c r="L1709" s="53">
        <v>3.2</v>
      </c>
      <c r="M1709" s="53" t="s">
        <v>525</v>
      </c>
      <c r="N1709" s="53">
        <v>2.6</v>
      </c>
      <c r="O1709" s="51" t="str">
        <f>TEXT(tblWorkPackages[[#This Row],[Request date serial]]-WEEKDAY(tblWorkPackages[[#This Row],[Request date serial]],3),"yyyy-mm-dd")</f>
        <v>2024-07-15</v>
      </c>
      <c r="P1709" s="51">
        <f>ABS(tblWorkPackages[[#This Row],[Actual labor hours]]-tblWorkPackages[[#This Row],[Estimated labor hours]])</f>
        <v>0.6</v>
      </c>
      <c r="Q1709" s="51">
        <f>IF(tblWorkPackages[[#This Row],[Actual labor hours]]&gt;tblWorkPackages[[#This Row],[Estimated labor hours]],1,0)</f>
        <v>0</v>
      </c>
      <c r="R1709" s="51">
        <f>tblWorkPackages[[#This Row],[Actual labor hours]]-tblWorkPackages[[#This Row],[Estimated labor hours]]</f>
        <v>-0.6</v>
      </c>
      <c r="S1709" s="51" t="str">
        <f>IF(tblWorkPackages[[#This Row],[Request date serial]]&lt;ValidationStart,"Train 2024",IF(tblWorkPackages[[#This Row],[Request date serial]]&lt;HoldoutStart,"Validation H1","Holdout H2"))</f>
        <v>Train 2024</v>
      </c>
      <c r="T1709" s="51" t="str">
        <f>IF(tblWorkPackages[[#This Row],[Time split]]="Train 2024","",tblWorkPackages[[#This Row],[Estimated labor hours]]+VLOOKUP(tblWorkPackages[[#This Row],[Task type]],'Forecast validation'!$A$14:$E$25,IF(tblWorkPackages[[#This Row],[Time split]]="Validation H1",4,5),FALSE()))</f>
        <v/>
      </c>
      <c r="U1709" s="51" t="str">
        <f>IF(tblWorkPackages[[#This Row],[Calibrated forecast hours]]="","",ABS(tblWorkPackages[[#This Row],[Actual labor hours]]-tblWorkPackages[[#This Row],[Calibrated forecast hours]]))</f>
        <v/>
      </c>
      <c r="V1709" s="51">
        <f>IF(tblWorkPackages[[#This Row],[Time split]]="Train 2024",tblWorkPackages[[#This Row],[Estimated labor hours]],tblWorkPackages[[#This Row],[Calibrated forecast hours]])</f>
        <v>3.2</v>
      </c>
      <c r="W1709" s="64">
        <f>DATEVALUE(tblWorkPackages[[#This Row],[Request date]])</f>
        <v>45489.0</v>
      </c>
      <c r="X1709" s="64">
        <f>DATEVALUE(tblWorkPackages[[#This Row],[Due date]])</f>
        <v>45495.0</v>
      </c>
      <c r="Y1709" s="64">
        <f>DATEVALUE(tblWorkPackages[[#This Row],[Completion date]])</f>
        <v>45501.0</v>
      </c>
      <c r="Z1709" s="64">
        <f>_xlfn.MINIFS(tblLaborEntries[Work date serial],tblLaborEntries[Work package ID],tblWorkPackages[[#This Row],[Work package ID]])</f>
        <v>45497.0</v>
      </c>
      <c r="AA1709" s="64">
        <f>_xlfn.MAXIFS(tblLaborEntries[Work date serial],tblLaborEntries[Work package ID],tblWorkPackages[[#This Row],[Work package ID]])</f>
        <v>45498.0</v>
      </c>
      <c r="AB1709" s="65">
        <f>IF(tblWorkPackages[[#This Row],[Completion date serial]]&gt;tblWorkPackages[[#This Row],[Due date serial]],1,0)</f>
        <v>1</v>
      </c>
      <c r="AC1709" s="65">
        <f>MAX(0,tblWorkPackages[[#This Row],[Completion date serial]]-tblWorkPackages[[#This Row],[Due date serial]])</f>
        <v>6</v>
      </c>
      <c r="AD1709" s="65">
        <f>tblWorkPackages[[#This Row],[First labor date]]-tblWorkPackages[[#This Row],[Request date serial]]</f>
        <v>8</v>
      </c>
      <c r="AE1709" s="65">
        <f>tblWorkPackages[[#This Row],[Last labor date]]-tblWorkPackages[[#This Row],[First labor date]]</f>
        <v>1</v>
      </c>
      <c r="AF1709" s="65">
        <f>tblWorkPackages[[#This Row],[Completion date serial]]-tblWorkPackages[[#This Row],[Last labor date]]</f>
        <v>3</v>
      </c>
      <c r="AG1709" s="65">
        <f>tblWorkPackages[[#This Row],[Completion date serial]]-tblWorkPackages[[#This Row],[Request date serial]]</f>
        <v>12</v>
      </c>
      <c r="AH1709" s="65">
        <f>IFERROR(INDEX(tblParts[Delay days],MATCH(tblWorkPackages[[#This Row],[Work package ID]],tblParts[Work package ID],0)),0)</f>
        <v>0</v>
      </c>
      <c r="AI1709" s="51" t="str">
        <f>IFERROR(INDEX(tblDisruptions[Event type],MATCH(tblWorkPackages[[#This Row],[Work package ID]],tblDisruptions[Work package ID],0)),"None")</f>
        <v>None</v>
      </c>
      <c r="AJ1709" s="51" t="str">
        <f>TEXT(tblWorkPackages[[#This Row],[Due date serial]],"yyyy-mm")</f>
        <v>2024-07</v>
      </c>
    </row>
    <row r="1710" spans="1:36" ht="15" x14ac:dyDescent="0.25">
      <c r="A1710" s="53" t="s">
        <v>2620</v>
      </c>
      <c r="B1710" s="53" t="s">
        <v>235</v>
      </c>
      <c r="C1710" s="53" t="s">
        <v>1439</v>
      </c>
      <c r="D1710" s="53" t="s">
        <v>387</v>
      </c>
      <c r="E1710" s="53" t="s">
        <v>242</v>
      </c>
      <c r="F1710" s="53" t="s">
        <v>243</v>
      </c>
      <c r="G1710" s="53" t="s">
        <v>129</v>
      </c>
      <c r="H1710" s="53">
        <v>3</v>
      </c>
      <c r="I1710" s="53" t="s">
        <v>176</v>
      </c>
      <c r="J1710" s="53">
        <v>0</v>
      </c>
      <c r="K1710" s="53">
        <v>0</v>
      </c>
      <c r="L1710" s="53">
        <v>10.4</v>
      </c>
      <c r="M1710" s="53" t="s">
        <v>875</v>
      </c>
      <c r="N1710" s="53">
        <v>9.9</v>
      </c>
      <c r="O1710" s="51" t="str">
        <f>TEXT(tblWorkPackages[[#This Row],[Request date serial]]-WEEKDAY(tblWorkPackages[[#This Row],[Request date serial]],3),"yyyy-mm-dd")</f>
        <v>2024-09-02</v>
      </c>
      <c r="P1710" s="51">
        <f>ABS(tblWorkPackages[[#This Row],[Actual labor hours]]-tblWorkPackages[[#This Row],[Estimated labor hours]])</f>
        <v>0.5</v>
      </c>
      <c r="Q1710" s="51">
        <f>IF(tblWorkPackages[[#This Row],[Actual labor hours]]&gt;tblWorkPackages[[#This Row],[Estimated labor hours]],1,0)</f>
        <v>0</v>
      </c>
      <c r="R1710" s="51">
        <f>tblWorkPackages[[#This Row],[Actual labor hours]]-tblWorkPackages[[#This Row],[Estimated labor hours]]</f>
        <v>-0.5</v>
      </c>
      <c r="S1710" s="51" t="str">
        <f>IF(tblWorkPackages[[#This Row],[Request date serial]]&lt;ValidationStart,"Train 2024",IF(tblWorkPackages[[#This Row],[Request date serial]]&lt;HoldoutStart,"Validation H1","Holdout H2"))</f>
        <v>Train 2024</v>
      </c>
      <c r="T1710" s="51" t="str">
        <f>IF(tblWorkPackages[[#This Row],[Time split]]="Train 2024","",tblWorkPackages[[#This Row],[Estimated labor hours]]+VLOOKUP(tblWorkPackages[[#This Row],[Task type]],'Forecast validation'!$A$14:$E$25,IF(tblWorkPackages[[#This Row],[Time split]]="Validation H1",4,5),FALSE()))</f>
        <v/>
      </c>
      <c r="U1710" s="51" t="str">
        <f>IF(tblWorkPackages[[#This Row],[Calibrated forecast hours]]="","",ABS(tblWorkPackages[[#This Row],[Actual labor hours]]-tblWorkPackages[[#This Row],[Calibrated forecast hours]]))</f>
        <v/>
      </c>
      <c r="V1710" s="51">
        <f>IF(tblWorkPackages[[#This Row],[Time split]]="Train 2024",tblWorkPackages[[#This Row],[Estimated labor hours]],tblWorkPackages[[#This Row],[Calibrated forecast hours]])</f>
        <v>10.4</v>
      </c>
      <c r="W1710" s="64">
        <f>DATEVALUE(tblWorkPackages[[#This Row],[Request date]])</f>
        <v>45540.0</v>
      </c>
      <c r="X1710" s="64">
        <f>DATEVALUE(tblWorkPackages[[#This Row],[Due date]])</f>
        <v>45546.0</v>
      </c>
      <c r="Y1710" s="64">
        <f>DATEVALUE(tblWorkPackages[[#This Row],[Completion date]])</f>
        <v>45544.0</v>
      </c>
      <c r="Z1710" s="64">
        <f>_xlfn.MINIFS(tblLaborEntries[Work date serial],tblLaborEntries[Work package ID],tblWorkPackages[[#This Row],[Work package ID]])</f>
        <v>45542.0</v>
      </c>
      <c r="AA1710" s="64">
        <f>_xlfn.MAXIFS(tblLaborEntries[Work date serial],tblLaborEntries[Work package ID],tblWorkPackages[[#This Row],[Work package ID]])</f>
        <v>45544.0</v>
      </c>
      <c r="AB1710" s="65">
        <f>IF(tblWorkPackages[[#This Row],[Completion date serial]]&gt;tblWorkPackages[[#This Row],[Due date serial]],1,0)</f>
        <v>0</v>
      </c>
      <c r="AC1710" s="65">
        <f>MAX(0,tblWorkPackages[[#This Row],[Completion date serial]]-tblWorkPackages[[#This Row],[Due date serial]])</f>
        <v>0</v>
      </c>
      <c r="AD1710" s="65">
        <f>tblWorkPackages[[#This Row],[First labor date]]-tblWorkPackages[[#This Row],[Request date serial]]</f>
        <v>2</v>
      </c>
      <c r="AE1710" s="65">
        <f>tblWorkPackages[[#This Row],[Last labor date]]-tblWorkPackages[[#This Row],[First labor date]]</f>
        <v>2</v>
      </c>
      <c r="AF1710" s="65">
        <f>tblWorkPackages[[#This Row],[Completion date serial]]-tblWorkPackages[[#This Row],[Last labor date]]</f>
        <v>0</v>
      </c>
      <c r="AG1710" s="65">
        <f>tblWorkPackages[[#This Row],[Completion date serial]]-tblWorkPackages[[#This Row],[Request date serial]]</f>
        <v>4</v>
      </c>
      <c r="AH1710" s="65">
        <f>IFERROR(INDEX(tblParts[Delay days],MATCH(tblWorkPackages[[#This Row],[Work package ID]],tblParts[Work package ID],0)),0)</f>
        <v>0</v>
      </c>
      <c r="AI1710" s="51" t="str">
        <f>IFERROR(INDEX(tblDisruptions[Event type],MATCH(tblWorkPackages[[#This Row],[Work package ID]],tblDisruptions[Work package ID],0)),"None")</f>
        <v>None</v>
      </c>
      <c r="AJ1710" s="51" t="str">
        <f>TEXT(tblWorkPackages[[#This Row],[Due date serial]],"yyyy-mm")</f>
        <v>2024-09</v>
      </c>
    </row>
    <row r="1711" spans="1:36" ht="15" x14ac:dyDescent="0.25">
      <c r="A1711" s="53" t="s">
        <v>2621</v>
      </c>
      <c r="B1711" s="53" t="s">
        <v>141</v>
      </c>
      <c r="C1711" s="53" t="s">
        <v>1180</v>
      </c>
      <c r="D1711" s="53" t="s">
        <v>1466</v>
      </c>
      <c r="E1711" s="53" t="s">
        <v>144</v>
      </c>
      <c r="F1711" s="53" t="s">
        <v>145</v>
      </c>
      <c r="G1711" s="53" t="s">
        <v>146</v>
      </c>
      <c r="H1711" s="53">
        <v>3</v>
      </c>
      <c r="I1711" s="53" t="s">
        <v>176</v>
      </c>
      <c r="J1711" s="53">
        <v>0</v>
      </c>
      <c r="K1711" s="53">
        <v>0</v>
      </c>
      <c r="L1711" s="53">
        <v>15</v>
      </c>
      <c r="M1711" s="53" t="s">
        <v>443</v>
      </c>
      <c r="N1711" s="53">
        <v>16.399999999999999</v>
      </c>
      <c r="O1711" s="51" t="str">
        <f>TEXT(tblWorkPackages[[#This Row],[Request date serial]]-WEEKDAY(tblWorkPackages[[#This Row],[Request date serial]],3),"yyyy-mm-dd")</f>
        <v>2024-02-05</v>
      </c>
      <c r="P1711" s="51">
        <f>ABS(tblWorkPackages[[#This Row],[Actual labor hours]]-tblWorkPackages[[#This Row],[Estimated labor hours]])</f>
        <v>1.4</v>
      </c>
      <c r="Q1711" s="51">
        <f>IF(tblWorkPackages[[#This Row],[Actual labor hours]]&gt;tblWorkPackages[[#This Row],[Estimated labor hours]],1,0)</f>
        <v>1</v>
      </c>
      <c r="R1711" s="51">
        <f>tblWorkPackages[[#This Row],[Actual labor hours]]-tblWorkPackages[[#This Row],[Estimated labor hours]]</f>
        <v>1.4</v>
      </c>
      <c r="S1711" s="51" t="str">
        <f>IF(tblWorkPackages[[#This Row],[Request date serial]]&lt;ValidationStart,"Train 2024",IF(tblWorkPackages[[#This Row],[Request date serial]]&lt;HoldoutStart,"Validation H1","Holdout H2"))</f>
        <v>Train 2024</v>
      </c>
      <c r="T1711" s="51" t="str">
        <f>IF(tblWorkPackages[[#This Row],[Time split]]="Train 2024","",tblWorkPackages[[#This Row],[Estimated labor hours]]+VLOOKUP(tblWorkPackages[[#This Row],[Task type]],'Forecast validation'!$A$14:$E$25,IF(tblWorkPackages[[#This Row],[Time split]]="Validation H1",4,5),FALSE()))</f>
        <v/>
      </c>
      <c r="U1711" s="51" t="str">
        <f>IF(tblWorkPackages[[#This Row],[Calibrated forecast hours]]="","",ABS(tblWorkPackages[[#This Row],[Actual labor hours]]-tblWorkPackages[[#This Row],[Calibrated forecast hours]]))</f>
        <v/>
      </c>
      <c r="V1711" s="51">
        <f>IF(tblWorkPackages[[#This Row],[Time split]]="Train 2024",tblWorkPackages[[#This Row],[Estimated labor hours]],tblWorkPackages[[#This Row],[Calibrated forecast hours]])</f>
        <v>15</v>
      </c>
      <c r="W1711" s="64">
        <f>DATEVALUE(tblWorkPackages[[#This Row],[Request date]])</f>
        <v>45327.0</v>
      </c>
      <c r="X1711" s="64">
        <f>DATEVALUE(tblWorkPackages[[#This Row],[Due date]])</f>
        <v>45333.0</v>
      </c>
      <c r="Y1711" s="64">
        <f>DATEVALUE(tblWorkPackages[[#This Row],[Completion date]])</f>
        <v>45351.0</v>
      </c>
      <c r="Z1711" s="64">
        <f>_xlfn.MINIFS(tblLaborEntries[Work date serial],tblLaborEntries[Work package ID],tblWorkPackages[[#This Row],[Work package ID]])</f>
        <v>45348.0</v>
      </c>
      <c r="AA1711" s="64">
        <f>_xlfn.MAXIFS(tblLaborEntries[Work date serial],tblLaborEntries[Work package ID],tblWorkPackages[[#This Row],[Work package ID]])</f>
        <v>45350.0</v>
      </c>
      <c r="AB1711" s="65">
        <f>IF(tblWorkPackages[[#This Row],[Completion date serial]]&gt;tblWorkPackages[[#This Row],[Due date serial]],1,0)</f>
        <v>1</v>
      </c>
      <c r="AC1711" s="65">
        <f>MAX(0,tblWorkPackages[[#This Row],[Completion date serial]]-tblWorkPackages[[#This Row],[Due date serial]])</f>
        <v>18</v>
      </c>
      <c r="AD1711" s="65">
        <f>tblWorkPackages[[#This Row],[First labor date]]-tblWorkPackages[[#This Row],[Request date serial]]</f>
        <v>21</v>
      </c>
      <c r="AE1711" s="65">
        <f>tblWorkPackages[[#This Row],[Last labor date]]-tblWorkPackages[[#This Row],[First labor date]]</f>
        <v>2</v>
      </c>
      <c r="AF1711" s="65">
        <f>tblWorkPackages[[#This Row],[Completion date serial]]-tblWorkPackages[[#This Row],[Last labor date]]</f>
        <v>1</v>
      </c>
      <c r="AG1711" s="65">
        <f>tblWorkPackages[[#This Row],[Completion date serial]]-tblWorkPackages[[#This Row],[Request date serial]]</f>
        <v>24</v>
      </c>
      <c r="AH1711" s="65">
        <f>IFERROR(INDEX(tblParts[Delay days],MATCH(tblWorkPackages[[#This Row],[Work package ID]],tblParts[Work package ID],0)),0)</f>
        <v>0</v>
      </c>
      <c r="AI1711" s="51" t="str">
        <f>IFERROR(INDEX(tblDisruptions[Event type],MATCH(tblWorkPackages[[#This Row],[Work package ID]],tblDisruptions[Work package ID],0)),"None")</f>
        <v>None</v>
      </c>
      <c r="AJ1711" s="51" t="str">
        <f>TEXT(tblWorkPackages[[#This Row],[Due date serial]],"yyyy-mm")</f>
        <v>2024-02</v>
      </c>
    </row>
    <row r="1712" spans="1:36" ht="15" x14ac:dyDescent="0.25">
      <c r="A1712" s="53" t="s">
        <v>2622</v>
      </c>
      <c r="B1712" s="53" t="s">
        <v>287</v>
      </c>
      <c r="C1712" s="53" t="s">
        <v>973</v>
      </c>
      <c r="D1712" s="53" t="s">
        <v>1398</v>
      </c>
      <c r="E1712" s="53" t="s">
        <v>237</v>
      </c>
      <c r="F1712" s="53" t="s">
        <v>182</v>
      </c>
      <c r="G1712" s="53" t="s">
        <v>138</v>
      </c>
      <c r="H1712" s="53">
        <v>4</v>
      </c>
      <c r="I1712" s="53" t="s">
        <v>130</v>
      </c>
      <c r="J1712" s="53">
        <v>1</v>
      </c>
      <c r="K1712" s="53">
        <v>0</v>
      </c>
      <c r="L1712" s="53">
        <v>8.8000000000000007</v>
      </c>
      <c r="M1712" s="53" t="s">
        <v>812</v>
      </c>
      <c r="N1712" s="53">
        <v>12.3</v>
      </c>
      <c r="O1712" s="51" t="str">
        <f>TEXT(tblWorkPackages[[#This Row],[Request date serial]]-WEEKDAY(tblWorkPackages[[#This Row],[Request date serial]],3),"yyyy-mm-dd")</f>
        <v>2025-11-24</v>
      </c>
      <c r="P1712" s="51">
        <f>ABS(tblWorkPackages[[#This Row],[Actual labor hours]]-tblWorkPackages[[#This Row],[Estimated labor hours]])</f>
        <v>3.5</v>
      </c>
      <c r="Q1712" s="51">
        <f>IF(tblWorkPackages[[#This Row],[Actual labor hours]]&gt;tblWorkPackages[[#This Row],[Estimated labor hours]],1,0)</f>
        <v>1</v>
      </c>
      <c r="R1712" s="51">
        <f>tblWorkPackages[[#This Row],[Actual labor hours]]-tblWorkPackages[[#This Row],[Estimated labor hours]]</f>
        <v>3.5</v>
      </c>
      <c r="S1712" s="51" t="str">
        <f>IF(tblWorkPackages[[#This Row],[Request date serial]]&lt;ValidationStart,"Train 2024",IF(tblWorkPackages[[#This Row],[Request date serial]]&lt;HoldoutStart,"Validation H1","Holdout H2"))</f>
        <v>Holdout H2</v>
      </c>
      <c r="T1712" s="51">
        <f>IF(tblWorkPackages[[#This Row],[Time split]]="Train 2024","",tblWorkPackages[[#This Row],[Estimated labor hours]]+VLOOKUP(tblWorkPackages[[#This Row],[Task type]],'Forecast validation'!$A$14:$E$25,IF(tblWorkPackages[[#This Row],[Time split]]="Validation H1",4,5),FALSE()))</f>
        <v>9.253125</v>
      </c>
      <c r="U1712" s="51">
        <f>IF(tblWorkPackages[[#This Row],[Calibrated forecast hours]]="","",ABS(tblWorkPackages[[#This Row],[Actual labor hours]]-tblWorkPackages[[#This Row],[Calibrated forecast hours]]))</f>
        <v>3.046875</v>
      </c>
      <c r="V1712" s="51">
        <f>IF(tblWorkPackages[[#This Row],[Time split]]="Train 2024",tblWorkPackages[[#This Row],[Estimated labor hours]],tblWorkPackages[[#This Row],[Calibrated forecast hours]])</f>
        <v>9.253125</v>
      </c>
      <c r="W1712" s="64">
        <f>DATEVALUE(tblWorkPackages[[#This Row],[Request date]])</f>
        <v>45985.0</v>
      </c>
      <c r="X1712" s="64">
        <f>DATEVALUE(tblWorkPackages[[#This Row],[Due date]])</f>
        <v>45998.0</v>
      </c>
      <c r="Y1712" s="64">
        <f>DATEVALUE(tblWorkPackages[[#This Row],[Completion date]])</f>
        <v>45993.0</v>
      </c>
      <c r="Z1712" s="64">
        <f>_xlfn.MINIFS(tblLaborEntries[Work date serial],tblLaborEntries[Work package ID],tblWorkPackages[[#This Row],[Work package ID]])</f>
        <v>45989.0</v>
      </c>
      <c r="AA1712" s="64">
        <f>_xlfn.MAXIFS(tblLaborEntries[Work date serial],tblLaborEntries[Work package ID],tblWorkPackages[[#This Row],[Work package ID]])</f>
        <v>45991.0</v>
      </c>
      <c r="AB1712" s="65">
        <f>IF(tblWorkPackages[[#This Row],[Completion date serial]]&gt;tblWorkPackages[[#This Row],[Due date serial]],1,0)</f>
        <v>0</v>
      </c>
      <c r="AC1712" s="65">
        <f>MAX(0,tblWorkPackages[[#This Row],[Completion date serial]]-tblWorkPackages[[#This Row],[Due date serial]])</f>
        <v>0</v>
      </c>
      <c r="AD1712" s="65">
        <f>tblWorkPackages[[#This Row],[First labor date]]-tblWorkPackages[[#This Row],[Request date serial]]</f>
        <v>4</v>
      </c>
      <c r="AE1712" s="65">
        <f>tblWorkPackages[[#This Row],[Last labor date]]-tblWorkPackages[[#This Row],[First labor date]]</f>
        <v>2</v>
      </c>
      <c r="AF1712" s="65">
        <f>tblWorkPackages[[#This Row],[Completion date serial]]-tblWorkPackages[[#This Row],[Last labor date]]</f>
        <v>2</v>
      </c>
      <c r="AG1712" s="65">
        <f>tblWorkPackages[[#This Row],[Completion date serial]]-tblWorkPackages[[#This Row],[Request date serial]]</f>
        <v>8</v>
      </c>
      <c r="AH1712" s="65">
        <f>IFERROR(INDEX(tblParts[Delay days],MATCH(tblWorkPackages[[#This Row],[Work package ID]],tblParts[Work package ID],0)),0)</f>
        <v>0</v>
      </c>
      <c r="AI1712" s="51" t="str">
        <f>IFERROR(INDEX(tblDisruptions[Event type],MATCH(tblWorkPackages[[#This Row],[Work package ID]],tblDisruptions[Work package ID],0)),"None")</f>
        <v>None</v>
      </c>
      <c r="AJ1712" s="51" t="str">
        <f>TEXT(tblWorkPackages[[#This Row],[Due date serial]],"yyyy-mm")</f>
        <v>2025-12</v>
      </c>
    </row>
    <row r="1713" spans="1:36" ht="15" x14ac:dyDescent="0.25">
      <c r="A1713" s="53" t="s">
        <v>2623</v>
      </c>
      <c r="B1713" s="53" t="s">
        <v>150</v>
      </c>
      <c r="C1713" s="53" t="s">
        <v>456</v>
      </c>
      <c r="D1713" s="53" t="s">
        <v>253</v>
      </c>
      <c r="E1713" s="53" t="s">
        <v>223</v>
      </c>
      <c r="F1713" s="53" t="s">
        <v>182</v>
      </c>
      <c r="G1713" s="53" t="s">
        <v>154</v>
      </c>
      <c r="H1713" s="53">
        <v>2</v>
      </c>
      <c r="I1713" s="53" t="s">
        <v>130</v>
      </c>
      <c r="J1713" s="53">
        <v>0</v>
      </c>
      <c r="K1713" s="53">
        <v>0</v>
      </c>
      <c r="L1713" s="53">
        <v>13</v>
      </c>
      <c r="M1713" s="53" t="s">
        <v>457</v>
      </c>
      <c r="N1713" s="53">
        <v>9.9</v>
      </c>
      <c r="O1713" s="51" t="str">
        <f>TEXT(tblWorkPackages[[#This Row],[Request date serial]]-WEEKDAY(tblWorkPackages[[#This Row],[Request date serial]],3),"yyyy-mm-dd")</f>
        <v>2025-01-06</v>
      </c>
      <c r="P1713" s="51">
        <f>ABS(tblWorkPackages[[#This Row],[Actual labor hours]]-tblWorkPackages[[#This Row],[Estimated labor hours]])</f>
        <v>3.1</v>
      </c>
      <c r="Q1713" s="51">
        <f>IF(tblWorkPackages[[#This Row],[Actual labor hours]]&gt;tblWorkPackages[[#This Row],[Estimated labor hours]],1,0)</f>
        <v>0</v>
      </c>
      <c r="R1713" s="51">
        <f>tblWorkPackages[[#This Row],[Actual labor hours]]-tblWorkPackages[[#This Row],[Estimated labor hours]]</f>
        <v>-3.1</v>
      </c>
      <c r="S1713" s="51" t="str">
        <f>IF(tblWorkPackages[[#This Row],[Request date serial]]&lt;ValidationStart,"Train 2024",IF(tblWorkPackages[[#This Row],[Request date serial]]&lt;HoldoutStart,"Validation H1","Holdout H2"))</f>
        <v>Validation H1</v>
      </c>
      <c r="T1713" s="51">
        <f>IF(tblWorkPackages[[#This Row],[Time split]]="Train 2024","",tblWorkPackages[[#This Row],[Estimated labor hours]]+VLOOKUP(tblWorkPackages[[#This Row],[Task type]],'Forecast validation'!$A$14:$E$25,IF(tblWorkPackages[[#This Row],[Time split]]="Validation H1",4,5),FALSE()))</f>
        <v>13.8824175824176</v>
      </c>
      <c r="U1713" s="51">
        <f>IF(tblWorkPackages[[#This Row],[Calibrated forecast hours]]="","",ABS(tblWorkPackages[[#This Row],[Actual labor hours]]-tblWorkPackages[[#This Row],[Calibrated forecast hours]]))</f>
        <v>3.98241758241758</v>
      </c>
      <c r="V1713" s="51">
        <f>IF(tblWorkPackages[[#This Row],[Time split]]="Train 2024",tblWorkPackages[[#This Row],[Estimated labor hours]],tblWorkPackages[[#This Row],[Calibrated forecast hours]])</f>
        <v>13.8824175824176</v>
      </c>
      <c r="W1713" s="64">
        <f>DATEVALUE(tblWorkPackages[[#This Row],[Request date]])</f>
        <v>45664.0</v>
      </c>
      <c r="X1713" s="64">
        <f>DATEVALUE(tblWorkPackages[[#This Row],[Due date]])</f>
        <v>45677.0</v>
      </c>
      <c r="Y1713" s="64">
        <f>DATEVALUE(tblWorkPackages[[#This Row],[Completion date]])</f>
        <v>45669.0</v>
      </c>
      <c r="Z1713" s="64">
        <f>_xlfn.MINIFS(tblLaborEntries[Work date serial],tblLaborEntries[Work package ID],tblWorkPackages[[#This Row],[Work package ID]])</f>
        <v>45665.0</v>
      </c>
      <c r="AA1713" s="64">
        <f>_xlfn.MAXIFS(tblLaborEntries[Work date serial],tblLaborEntries[Work package ID],tblWorkPackages[[#This Row],[Work package ID]])</f>
        <v>45666.0</v>
      </c>
      <c r="AB1713" s="65">
        <f>IF(tblWorkPackages[[#This Row],[Completion date serial]]&gt;tblWorkPackages[[#This Row],[Due date serial]],1,0)</f>
        <v>0</v>
      </c>
      <c r="AC1713" s="65">
        <f>MAX(0,tblWorkPackages[[#This Row],[Completion date serial]]-tblWorkPackages[[#This Row],[Due date serial]])</f>
        <v>0</v>
      </c>
      <c r="AD1713" s="65">
        <f>tblWorkPackages[[#This Row],[First labor date]]-tblWorkPackages[[#This Row],[Request date serial]]</f>
        <v>1</v>
      </c>
      <c r="AE1713" s="65">
        <f>tblWorkPackages[[#This Row],[Last labor date]]-tblWorkPackages[[#This Row],[First labor date]]</f>
        <v>1</v>
      </c>
      <c r="AF1713" s="65">
        <f>tblWorkPackages[[#This Row],[Completion date serial]]-tblWorkPackages[[#This Row],[Last labor date]]</f>
        <v>3</v>
      </c>
      <c r="AG1713" s="65">
        <f>tblWorkPackages[[#This Row],[Completion date serial]]-tblWorkPackages[[#This Row],[Request date serial]]</f>
        <v>5</v>
      </c>
      <c r="AH1713" s="65">
        <f>IFERROR(INDEX(tblParts[Delay days],MATCH(tblWorkPackages[[#This Row],[Work package ID]],tblParts[Work package ID],0)),0)</f>
        <v>0</v>
      </c>
      <c r="AI1713" s="51" t="str">
        <f>IFERROR(INDEX(tblDisruptions[Event type],MATCH(tblWorkPackages[[#This Row],[Work package ID]],tblDisruptions[Work package ID],0)),"None")</f>
        <v>None</v>
      </c>
      <c r="AJ1713" s="51" t="str">
        <f>TEXT(tblWorkPackages[[#This Row],[Due date serial]],"yyyy-mm")</f>
        <v>2025-01</v>
      </c>
    </row>
    <row r="1714" spans="1:36" ht="15" x14ac:dyDescent="0.25">
      <c r="A1714" s="53" t="s">
        <v>2624</v>
      </c>
      <c r="B1714" s="53" t="s">
        <v>150</v>
      </c>
      <c r="C1714" s="53" t="s">
        <v>1008</v>
      </c>
      <c r="D1714" s="53" t="s">
        <v>1380</v>
      </c>
      <c r="E1714" s="53" t="s">
        <v>237</v>
      </c>
      <c r="F1714" s="53" t="s">
        <v>182</v>
      </c>
      <c r="G1714" s="53" t="s">
        <v>138</v>
      </c>
      <c r="H1714" s="53">
        <v>1</v>
      </c>
      <c r="I1714" s="53" t="s">
        <v>176</v>
      </c>
      <c r="J1714" s="53">
        <v>0</v>
      </c>
      <c r="K1714" s="53">
        <v>0</v>
      </c>
      <c r="L1714" s="53">
        <v>4.0999999999999996</v>
      </c>
      <c r="M1714" s="53" t="s">
        <v>649</v>
      </c>
      <c r="N1714" s="53">
        <v>3.3</v>
      </c>
      <c r="O1714" s="51" t="str">
        <f>TEXT(tblWorkPackages[[#This Row],[Request date serial]]-WEEKDAY(tblWorkPackages[[#This Row],[Request date serial]],3),"yyyy-mm-dd")</f>
        <v>2024-04-22</v>
      </c>
      <c r="P1714" s="51">
        <f>ABS(tblWorkPackages[[#This Row],[Actual labor hours]]-tblWorkPackages[[#This Row],[Estimated labor hours]])</f>
        <v>0.8</v>
      </c>
      <c r="Q1714" s="51">
        <f>IF(tblWorkPackages[[#This Row],[Actual labor hours]]&gt;tblWorkPackages[[#This Row],[Estimated labor hours]],1,0)</f>
        <v>0</v>
      </c>
      <c r="R1714" s="51">
        <f>tblWorkPackages[[#This Row],[Actual labor hours]]-tblWorkPackages[[#This Row],[Estimated labor hours]]</f>
        <v>-0.8</v>
      </c>
      <c r="S1714" s="51" t="str">
        <f>IF(tblWorkPackages[[#This Row],[Request date serial]]&lt;ValidationStart,"Train 2024",IF(tblWorkPackages[[#This Row],[Request date serial]]&lt;HoldoutStart,"Validation H1","Holdout H2"))</f>
        <v>Train 2024</v>
      </c>
      <c r="T1714" s="51" t="str">
        <f>IF(tblWorkPackages[[#This Row],[Time split]]="Train 2024","",tblWorkPackages[[#This Row],[Estimated labor hours]]+VLOOKUP(tblWorkPackages[[#This Row],[Task type]],'Forecast validation'!$A$14:$E$25,IF(tblWorkPackages[[#This Row],[Time split]]="Validation H1",4,5),FALSE()))</f>
        <v/>
      </c>
      <c r="U1714" s="51" t="str">
        <f>IF(tblWorkPackages[[#This Row],[Calibrated forecast hours]]="","",ABS(tblWorkPackages[[#This Row],[Actual labor hours]]-tblWorkPackages[[#This Row],[Calibrated forecast hours]]))</f>
        <v/>
      </c>
      <c r="V1714" s="51">
        <f>IF(tblWorkPackages[[#This Row],[Time split]]="Train 2024",tblWorkPackages[[#This Row],[Estimated labor hours]],tblWorkPackages[[#This Row],[Calibrated forecast hours]])</f>
        <v>4.1</v>
      </c>
      <c r="W1714" s="64">
        <f>DATEVALUE(tblWorkPackages[[#This Row],[Request date]])</f>
        <v>45409.0</v>
      </c>
      <c r="X1714" s="64">
        <f>DATEVALUE(tblWorkPackages[[#This Row],[Due date]])</f>
        <v>45415.0</v>
      </c>
      <c r="Y1714" s="64">
        <f>DATEVALUE(tblWorkPackages[[#This Row],[Completion date]])</f>
        <v>45423.0</v>
      </c>
      <c r="Z1714" s="64">
        <f>_xlfn.MINIFS(tblLaborEntries[Work date serial],tblLaborEntries[Work package ID],tblWorkPackages[[#This Row],[Work package ID]])</f>
        <v>45421.0</v>
      </c>
      <c r="AA1714" s="64">
        <f>_xlfn.MAXIFS(tblLaborEntries[Work date serial],tblLaborEntries[Work package ID],tblWorkPackages[[#This Row],[Work package ID]])</f>
        <v>45423.0</v>
      </c>
      <c r="AB1714" s="65">
        <f>IF(tblWorkPackages[[#This Row],[Completion date serial]]&gt;tblWorkPackages[[#This Row],[Due date serial]],1,0)</f>
        <v>1</v>
      </c>
      <c r="AC1714" s="65">
        <f>MAX(0,tblWorkPackages[[#This Row],[Completion date serial]]-tblWorkPackages[[#This Row],[Due date serial]])</f>
        <v>8</v>
      </c>
      <c r="AD1714" s="65">
        <f>tblWorkPackages[[#This Row],[First labor date]]-tblWorkPackages[[#This Row],[Request date serial]]</f>
        <v>12</v>
      </c>
      <c r="AE1714" s="65">
        <f>tblWorkPackages[[#This Row],[Last labor date]]-tblWorkPackages[[#This Row],[First labor date]]</f>
        <v>2</v>
      </c>
      <c r="AF1714" s="65">
        <f>tblWorkPackages[[#This Row],[Completion date serial]]-tblWorkPackages[[#This Row],[Last labor date]]</f>
        <v>0</v>
      </c>
      <c r="AG1714" s="65">
        <f>tblWorkPackages[[#This Row],[Completion date serial]]-tblWorkPackages[[#This Row],[Request date serial]]</f>
        <v>14</v>
      </c>
      <c r="AH1714" s="65">
        <f>IFERROR(INDEX(tblParts[Delay days],MATCH(tblWorkPackages[[#This Row],[Work package ID]],tblParts[Work package ID],0)),0)</f>
        <v>0</v>
      </c>
      <c r="AI1714" s="51" t="str">
        <f>IFERROR(INDEX(tblDisruptions[Event type],MATCH(tblWorkPackages[[#This Row],[Work package ID]],tblDisruptions[Work package ID],0)),"None")</f>
        <v>None</v>
      </c>
      <c r="AJ1714" s="51" t="str">
        <f>TEXT(tblWorkPackages[[#This Row],[Due date serial]],"yyyy-mm")</f>
        <v>2024-05</v>
      </c>
    </row>
    <row r="1715" spans="1:36" ht="15" x14ac:dyDescent="0.25">
      <c r="A1715" s="53" t="s">
        <v>2625</v>
      </c>
      <c r="B1715" s="53" t="s">
        <v>150</v>
      </c>
      <c r="C1715" s="53" t="s">
        <v>624</v>
      </c>
      <c r="D1715" s="53" t="s">
        <v>988</v>
      </c>
      <c r="E1715" s="53" t="s">
        <v>237</v>
      </c>
      <c r="F1715" s="53" t="s">
        <v>182</v>
      </c>
      <c r="G1715" s="53" t="s">
        <v>138</v>
      </c>
      <c r="H1715" s="53">
        <v>1</v>
      </c>
      <c r="I1715" s="53" t="s">
        <v>130</v>
      </c>
      <c r="J1715" s="53">
        <v>0</v>
      </c>
      <c r="K1715" s="53">
        <v>0</v>
      </c>
      <c r="L1715" s="53">
        <v>3.3</v>
      </c>
      <c r="M1715" s="53" t="s">
        <v>670</v>
      </c>
      <c r="N1715" s="53">
        <v>3.6</v>
      </c>
      <c r="O1715" s="51" t="str">
        <f>TEXT(tblWorkPackages[[#This Row],[Request date serial]]-WEEKDAY(tblWorkPackages[[#This Row],[Request date serial]],3),"yyyy-mm-dd")</f>
        <v>2025-09-15</v>
      </c>
      <c r="P1715" s="51">
        <f>ABS(tblWorkPackages[[#This Row],[Actual labor hours]]-tblWorkPackages[[#This Row],[Estimated labor hours]])</f>
        <v>0.3</v>
      </c>
      <c r="Q1715" s="51">
        <f>IF(tblWorkPackages[[#This Row],[Actual labor hours]]&gt;tblWorkPackages[[#This Row],[Estimated labor hours]],1,0)</f>
        <v>1</v>
      </c>
      <c r="R1715" s="51">
        <f>tblWorkPackages[[#This Row],[Actual labor hours]]-tblWorkPackages[[#This Row],[Estimated labor hours]]</f>
        <v>0.3</v>
      </c>
      <c r="S1715" s="51" t="str">
        <f>IF(tblWorkPackages[[#This Row],[Request date serial]]&lt;ValidationStart,"Train 2024",IF(tblWorkPackages[[#This Row],[Request date serial]]&lt;HoldoutStart,"Validation H1","Holdout H2"))</f>
        <v>Holdout H2</v>
      </c>
      <c r="T1715" s="51">
        <f>IF(tblWorkPackages[[#This Row],[Time split]]="Train 2024","",tblWorkPackages[[#This Row],[Estimated labor hours]]+VLOOKUP(tblWorkPackages[[#This Row],[Task type]],'Forecast validation'!$A$14:$E$25,IF(tblWorkPackages[[#This Row],[Time split]]="Validation H1",4,5),FALSE()))</f>
        <v>3.753125</v>
      </c>
      <c r="U1715" s="51">
        <f>IF(tblWorkPackages[[#This Row],[Calibrated forecast hours]]="","",ABS(tblWorkPackages[[#This Row],[Actual labor hours]]-tblWorkPackages[[#This Row],[Calibrated forecast hours]]))</f>
        <v>0.153125</v>
      </c>
      <c r="V1715" s="51">
        <f>IF(tblWorkPackages[[#This Row],[Time split]]="Train 2024",tblWorkPackages[[#This Row],[Estimated labor hours]],tblWorkPackages[[#This Row],[Calibrated forecast hours]])</f>
        <v>3.753125</v>
      </c>
      <c r="W1715" s="64">
        <f>DATEVALUE(tblWorkPackages[[#This Row],[Request date]])</f>
        <v>45921.0</v>
      </c>
      <c r="X1715" s="64">
        <f>DATEVALUE(tblWorkPackages[[#This Row],[Due date]])</f>
        <v>45934.0</v>
      </c>
      <c r="Y1715" s="64">
        <f>DATEVALUE(tblWorkPackages[[#This Row],[Completion date]])</f>
        <v>45926.0</v>
      </c>
      <c r="Z1715" s="64">
        <f>_xlfn.MINIFS(tblLaborEntries[Work date serial],tblLaborEntries[Work package ID],tblWorkPackages[[#This Row],[Work package ID]])</f>
        <v>45924.0</v>
      </c>
      <c r="AA1715" s="64">
        <f>_xlfn.MAXIFS(tblLaborEntries[Work date serial],tblLaborEntries[Work package ID],tblWorkPackages[[#This Row],[Work package ID]])</f>
        <v>45925.0</v>
      </c>
      <c r="AB1715" s="65">
        <f>IF(tblWorkPackages[[#This Row],[Completion date serial]]&gt;tblWorkPackages[[#This Row],[Due date serial]],1,0)</f>
        <v>0</v>
      </c>
      <c r="AC1715" s="65">
        <f>MAX(0,tblWorkPackages[[#This Row],[Completion date serial]]-tblWorkPackages[[#This Row],[Due date serial]])</f>
        <v>0</v>
      </c>
      <c r="AD1715" s="65">
        <f>tblWorkPackages[[#This Row],[First labor date]]-tblWorkPackages[[#This Row],[Request date serial]]</f>
        <v>3</v>
      </c>
      <c r="AE1715" s="65">
        <f>tblWorkPackages[[#This Row],[Last labor date]]-tblWorkPackages[[#This Row],[First labor date]]</f>
        <v>1</v>
      </c>
      <c r="AF1715" s="65">
        <f>tblWorkPackages[[#This Row],[Completion date serial]]-tblWorkPackages[[#This Row],[Last labor date]]</f>
        <v>1</v>
      </c>
      <c r="AG1715" s="65">
        <f>tblWorkPackages[[#This Row],[Completion date serial]]-tblWorkPackages[[#This Row],[Request date serial]]</f>
        <v>5</v>
      </c>
      <c r="AH1715" s="65">
        <f>IFERROR(INDEX(tblParts[Delay days],MATCH(tblWorkPackages[[#This Row],[Work package ID]],tblParts[Work package ID],0)),0)</f>
        <v>0</v>
      </c>
      <c r="AI1715" s="51" t="str">
        <f>IFERROR(INDEX(tblDisruptions[Event type],MATCH(tblWorkPackages[[#This Row],[Work package ID]],tblDisruptions[Work package ID],0)),"None")</f>
        <v>None</v>
      </c>
      <c r="AJ1715" s="51" t="str">
        <f>TEXT(tblWorkPackages[[#This Row],[Due date serial]],"yyyy-mm")</f>
        <v>2025-10</v>
      </c>
    </row>
    <row r="1716" spans="1:36" ht="15" x14ac:dyDescent="0.25">
      <c r="A1716" s="53" t="s">
        <v>2626</v>
      </c>
      <c r="B1716" s="53" t="s">
        <v>250</v>
      </c>
      <c r="C1716" s="53" t="s">
        <v>630</v>
      </c>
      <c r="D1716" s="53" t="s">
        <v>691</v>
      </c>
      <c r="E1716" s="53" t="s">
        <v>153</v>
      </c>
      <c r="F1716" s="53" t="s">
        <v>128</v>
      </c>
      <c r="G1716" s="53" t="s">
        <v>154</v>
      </c>
      <c r="H1716" s="53">
        <v>2</v>
      </c>
      <c r="I1716" s="53" t="s">
        <v>130</v>
      </c>
      <c r="J1716" s="53">
        <v>0</v>
      </c>
      <c r="K1716" s="53">
        <v>0</v>
      </c>
      <c r="L1716" s="53">
        <v>10.4</v>
      </c>
      <c r="M1716" s="53" t="s">
        <v>471</v>
      </c>
      <c r="N1716" s="53">
        <v>9.8000000000000007</v>
      </c>
      <c r="O1716" s="51" t="str">
        <f>TEXT(tblWorkPackages[[#This Row],[Request date serial]]-WEEKDAY(tblWorkPackages[[#This Row],[Request date serial]],3),"yyyy-mm-dd")</f>
        <v>2024-03-25</v>
      </c>
      <c r="P1716" s="51">
        <f>ABS(tblWorkPackages[[#This Row],[Actual labor hours]]-tblWorkPackages[[#This Row],[Estimated labor hours]])</f>
        <v>0.6</v>
      </c>
      <c r="Q1716" s="51">
        <f>IF(tblWorkPackages[[#This Row],[Actual labor hours]]&gt;tblWorkPackages[[#This Row],[Estimated labor hours]],1,0)</f>
        <v>0</v>
      </c>
      <c r="R1716" s="51">
        <f>tblWorkPackages[[#This Row],[Actual labor hours]]-tblWorkPackages[[#This Row],[Estimated labor hours]]</f>
        <v>-0.6</v>
      </c>
      <c r="S1716" s="51" t="str">
        <f>IF(tblWorkPackages[[#This Row],[Request date serial]]&lt;ValidationStart,"Train 2024",IF(tblWorkPackages[[#This Row],[Request date serial]]&lt;HoldoutStart,"Validation H1","Holdout H2"))</f>
        <v>Train 2024</v>
      </c>
      <c r="T1716" s="51" t="str">
        <f>IF(tblWorkPackages[[#This Row],[Time split]]="Train 2024","",tblWorkPackages[[#This Row],[Estimated labor hours]]+VLOOKUP(tblWorkPackages[[#This Row],[Task type]],'Forecast validation'!$A$14:$E$25,IF(tblWorkPackages[[#This Row],[Time split]]="Validation H1",4,5),FALSE()))</f>
        <v/>
      </c>
      <c r="U1716" s="51" t="str">
        <f>IF(tblWorkPackages[[#This Row],[Calibrated forecast hours]]="","",ABS(tblWorkPackages[[#This Row],[Actual labor hours]]-tblWorkPackages[[#This Row],[Calibrated forecast hours]]))</f>
        <v/>
      </c>
      <c r="V1716" s="51">
        <f>IF(tblWorkPackages[[#This Row],[Time split]]="Train 2024",tblWorkPackages[[#This Row],[Estimated labor hours]],tblWorkPackages[[#This Row],[Calibrated forecast hours]])</f>
        <v>10.4</v>
      </c>
      <c r="W1716" s="64">
        <f>DATEVALUE(tblWorkPackages[[#This Row],[Request date]])</f>
        <v>45376.0</v>
      </c>
      <c r="X1716" s="64">
        <f>DATEVALUE(tblWorkPackages[[#This Row],[Due date]])</f>
        <v>45389.0</v>
      </c>
      <c r="Y1716" s="64">
        <f>DATEVALUE(tblWorkPackages[[#This Row],[Completion date]])</f>
        <v>45413.0</v>
      </c>
      <c r="Z1716" s="64">
        <f>_xlfn.MINIFS(tblLaborEntries[Work date serial],tblLaborEntries[Work package ID],tblWorkPackages[[#This Row],[Work package ID]])</f>
        <v>45409.0</v>
      </c>
      <c r="AA1716" s="64">
        <f>_xlfn.MAXIFS(tblLaborEntries[Work date serial],tblLaborEntries[Work package ID],tblWorkPackages[[#This Row],[Work package ID]])</f>
        <v>45411.0</v>
      </c>
      <c r="AB1716" s="65">
        <f>IF(tblWorkPackages[[#This Row],[Completion date serial]]&gt;tblWorkPackages[[#This Row],[Due date serial]],1,0)</f>
        <v>1</v>
      </c>
      <c r="AC1716" s="65">
        <f>MAX(0,tblWorkPackages[[#This Row],[Completion date serial]]-tblWorkPackages[[#This Row],[Due date serial]])</f>
        <v>24</v>
      </c>
      <c r="AD1716" s="65">
        <f>tblWorkPackages[[#This Row],[First labor date]]-tblWorkPackages[[#This Row],[Request date serial]]</f>
        <v>33</v>
      </c>
      <c r="AE1716" s="65">
        <f>tblWorkPackages[[#This Row],[Last labor date]]-tblWorkPackages[[#This Row],[First labor date]]</f>
        <v>2</v>
      </c>
      <c r="AF1716" s="65">
        <f>tblWorkPackages[[#This Row],[Completion date serial]]-tblWorkPackages[[#This Row],[Last labor date]]</f>
        <v>2</v>
      </c>
      <c r="AG1716" s="65">
        <f>tblWorkPackages[[#This Row],[Completion date serial]]-tblWorkPackages[[#This Row],[Request date serial]]</f>
        <v>37</v>
      </c>
      <c r="AH1716" s="65">
        <f>IFERROR(INDEX(tblParts[Delay days],MATCH(tblWorkPackages[[#This Row],[Work package ID]],tblParts[Work package ID],0)),0)</f>
        <v>0</v>
      </c>
      <c r="AI1716" s="51" t="str">
        <f>IFERROR(INDEX(tblDisruptions[Event type],MATCH(tblWorkPackages[[#This Row],[Work package ID]],tblDisruptions[Work package ID],0)),"None")</f>
        <v>Equipment unavailable</v>
      </c>
      <c r="AJ1716" s="51" t="str">
        <f>TEXT(tblWorkPackages[[#This Row],[Due date serial]],"yyyy-mm")</f>
        <v>2024-04</v>
      </c>
    </row>
    <row r="1717" spans="1:36" ht="15" x14ac:dyDescent="0.25">
      <c r="A1717" s="53" t="s">
        <v>2627</v>
      </c>
      <c r="B1717" s="53" t="s">
        <v>124</v>
      </c>
      <c r="C1717" s="53" t="s">
        <v>1398</v>
      </c>
      <c r="D1717" s="53" t="s">
        <v>219</v>
      </c>
      <c r="E1717" s="53" t="s">
        <v>242</v>
      </c>
      <c r="F1717" s="53" t="s">
        <v>243</v>
      </c>
      <c r="G1717" s="53" t="s">
        <v>129</v>
      </c>
      <c r="H1717" s="53">
        <v>2</v>
      </c>
      <c r="I1717" s="53" t="s">
        <v>130</v>
      </c>
      <c r="J1717" s="53">
        <v>1</v>
      </c>
      <c r="K1717" s="53">
        <v>0</v>
      </c>
      <c r="L1717" s="53">
        <v>8.1999999999999993</v>
      </c>
      <c r="M1717" s="53" t="s">
        <v>1213</v>
      </c>
      <c r="N1717" s="53">
        <v>10.7</v>
      </c>
      <c r="O1717" s="51" t="str">
        <f>TEXT(tblWorkPackages[[#This Row],[Request date serial]]-WEEKDAY(tblWorkPackages[[#This Row],[Request date serial]],3),"yyyy-mm-dd")</f>
        <v>2025-12-01</v>
      </c>
      <c r="P1717" s="51">
        <f>ABS(tblWorkPackages[[#This Row],[Actual labor hours]]-tblWorkPackages[[#This Row],[Estimated labor hours]])</f>
        <v>2.5</v>
      </c>
      <c r="Q1717" s="51">
        <f>IF(tblWorkPackages[[#This Row],[Actual labor hours]]&gt;tblWorkPackages[[#This Row],[Estimated labor hours]],1,0)</f>
        <v>1</v>
      </c>
      <c r="R1717" s="51">
        <f>tblWorkPackages[[#This Row],[Actual labor hours]]-tblWorkPackages[[#This Row],[Estimated labor hours]]</f>
        <v>2.5</v>
      </c>
      <c r="S1717" s="51" t="str">
        <f>IF(tblWorkPackages[[#This Row],[Request date serial]]&lt;ValidationStart,"Train 2024",IF(tblWorkPackages[[#This Row],[Request date serial]]&lt;HoldoutStart,"Validation H1","Holdout H2"))</f>
        <v>Holdout H2</v>
      </c>
      <c r="T1717" s="51">
        <f>IF(tblWorkPackages[[#This Row],[Time split]]="Train 2024","",tblWorkPackages[[#This Row],[Estimated labor hours]]+VLOOKUP(tblWorkPackages[[#This Row],[Task type]],'Forecast validation'!$A$14:$E$25,IF(tblWorkPackages[[#This Row],[Time split]]="Validation H1",4,5),FALSE()))</f>
        <v>9.02545454545455</v>
      </c>
      <c r="U1717" s="51">
        <f>IF(tblWorkPackages[[#This Row],[Calibrated forecast hours]]="","",ABS(tblWorkPackages[[#This Row],[Actual labor hours]]-tblWorkPackages[[#This Row],[Calibrated forecast hours]]))</f>
        <v>1.67454545454545</v>
      </c>
      <c r="V1717" s="51">
        <f>IF(tblWorkPackages[[#This Row],[Time split]]="Train 2024",tblWorkPackages[[#This Row],[Estimated labor hours]],tblWorkPackages[[#This Row],[Calibrated forecast hours]])</f>
        <v>9.02545454545455</v>
      </c>
      <c r="W1717" s="64">
        <f>DATEVALUE(tblWorkPackages[[#This Row],[Request date]])</f>
        <v>45998.0</v>
      </c>
      <c r="X1717" s="64">
        <f>DATEVALUE(tblWorkPackages[[#This Row],[Due date]])</f>
        <v>46011.0</v>
      </c>
      <c r="Y1717" s="64">
        <f>DATEVALUE(tblWorkPackages[[#This Row],[Completion date]])</f>
        <v>46008.0</v>
      </c>
      <c r="Z1717" s="64">
        <f>_xlfn.MINIFS(tblLaborEntries[Work date serial],tblLaborEntries[Work package ID],tblWorkPackages[[#This Row],[Work package ID]])</f>
        <v>46004.0</v>
      </c>
      <c r="AA1717" s="64">
        <f>_xlfn.MAXIFS(tblLaborEntries[Work date serial],tblLaborEntries[Work package ID],tblWorkPackages[[#This Row],[Work package ID]])</f>
        <v>46005.0</v>
      </c>
      <c r="AB1717" s="65">
        <f>IF(tblWorkPackages[[#This Row],[Completion date serial]]&gt;tblWorkPackages[[#This Row],[Due date serial]],1,0)</f>
        <v>0</v>
      </c>
      <c r="AC1717" s="65">
        <f>MAX(0,tblWorkPackages[[#This Row],[Completion date serial]]-tblWorkPackages[[#This Row],[Due date serial]])</f>
        <v>0</v>
      </c>
      <c r="AD1717" s="65">
        <f>tblWorkPackages[[#This Row],[First labor date]]-tblWorkPackages[[#This Row],[Request date serial]]</f>
        <v>6</v>
      </c>
      <c r="AE1717" s="65">
        <f>tblWorkPackages[[#This Row],[Last labor date]]-tblWorkPackages[[#This Row],[First labor date]]</f>
        <v>1</v>
      </c>
      <c r="AF1717" s="65">
        <f>tblWorkPackages[[#This Row],[Completion date serial]]-tblWorkPackages[[#This Row],[Last labor date]]</f>
        <v>3</v>
      </c>
      <c r="AG1717" s="65">
        <f>tblWorkPackages[[#This Row],[Completion date serial]]-tblWorkPackages[[#This Row],[Request date serial]]</f>
        <v>10</v>
      </c>
      <c r="AH1717" s="65">
        <f>IFERROR(INDEX(tblParts[Delay days],MATCH(tblWorkPackages[[#This Row],[Work package ID]],tblParts[Work package ID],0)),0)</f>
        <v>0</v>
      </c>
      <c r="AI1717" s="51" t="str">
        <f>IFERROR(INDEX(tblDisruptions[Event type],MATCH(tblWorkPackages[[#This Row],[Work package ID]],tblDisruptions[Work package ID],0)),"None")</f>
        <v>None</v>
      </c>
      <c r="AJ1717" s="51" t="str">
        <f>TEXT(tblWorkPackages[[#This Row],[Due date serial]],"yyyy-mm")</f>
        <v>2025-12</v>
      </c>
    </row>
    <row r="1718" spans="1:36" ht="15" x14ac:dyDescent="0.25">
      <c r="A1718" s="53" t="s">
        <v>2628</v>
      </c>
      <c r="B1718" s="53" t="s">
        <v>141</v>
      </c>
      <c r="C1718" s="53" t="s">
        <v>475</v>
      </c>
      <c r="D1718" s="53" t="s">
        <v>663</v>
      </c>
      <c r="E1718" s="53" t="s">
        <v>127</v>
      </c>
      <c r="F1718" s="53" t="s">
        <v>128</v>
      </c>
      <c r="G1718" s="53" t="s">
        <v>129</v>
      </c>
      <c r="H1718" s="53">
        <v>2</v>
      </c>
      <c r="I1718" s="53" t="s">
        <v>130</v>
      </c>
      <c r="J1718" s="53">
        <v>0</v>
      </c>
      <c r="K1718" s="53">
        <v>0</v>
      </c>
      <c r="L1718" s="53">
        <v>7.8</v>
      </c>
      <c r="M1718" s="53" t="s">
        <v>773</v>
      </c>
      <c r="N1718" s="53">
        <v>9.1</v>
      </c>
      <c r="O1718" s="51" t="str">
        <f>TEXT(tblWorkPackages[[#This Row],[Request date serial]]-WEEKDAY(tblWorkPackages[[#This Row],[Request date serial]],3),"yyyy-mm-dd")</f>
        <v>2024-02-26</v>
      </c>
      <c r="P1718" s="51">
        <f>ABS(tblWorkPackages[[#This Row],[Actual labor hours]]-tblWorkPackages[[#This Row],[Estimated labor hours]])</f>
        <v>1.3</v>
      </c>
      <c r="Q1718" s="51">
        <f>IF(tblWorkPackages[[#This Row],[Actual labor hours]]&gt;tblWorkPackages[[#This Row],[Estimated labor hours]],1,0)</f>
        <v>1</v>
      </c>
      <c r="R1718" s="51">
        <f>tblWorkPackages[[#This Row],[Actual labor hours]]-tblWorkPackages[[#This Row],[Estimated labor hours]]</f>
        <v>1.3</v>
      </c>
      <c r="S1718" s="51" t="str">
        <f>IF(tblWorkPackages[[#This Row],[Request date serial]]&lt;ValidationStart,"Train 2024",IF(tblWorkPackages[[#This Row],[Request date serial]]&lt;HoldoutStart,"Validation H1","Holdout H2"))</f>
        <v>Train 2024</v>
      </c>
      <c r="T1718" s="51" t="str">
        <f>IF(tblWorkPackages[[#This Row],[Time split]]="Train 2024","",tblWorkPackages[[#This Row],[Estimated labor hours]]+VLOOKUP(tblWorkPackages[[#This Row],[Task type]],'Forecast validation'!$A$14:$E$25,IF(tblWorkPackages[[#This Row],[Time split]]="Validation H1",4,5),FALSE()))</f>
        <v/>
      </c>
      <c r="U1718" s="51" t="str">
        <f>IF(tblWorkPackages[[#This Row],[Calibrated forecast hours]]="","",ABS(tblWorkPackages[[#This Row],[Actual labor hours]]-tblWorkPackages[[#This Row],[Calibrated forecast hours]]))</f>
        <v/>
      </c>
      <c r="V1718" s="51">
        <f>IF(tblWorkPackages[[#This Row],[Time split]]="Train 2024",tblWorkPackages[[#This Row],[Estimated labor hours]],tblWorkPackages[[#This Row],[Calibrated forecast hours]])</f>
        <v>7.8</v>
      </c>
      <c r="W1718" s="64">
        <f>DATEVALUE(tblWorkPackages[[#This Row],[Request date]])</f>
        <v>45353.0</v>
      </c>
      <c r="X1718" s="64">
        <f>DATEVALUE(tblWorkPackages[[#This Row],[Due date]])</f>
        <v>45366.0</v>
      </c>
      <c r="Y1718" s="64">
        <f>DATEVALUE(tblWorkPackages[[#This Row],[Completion date]])</f>
        <v>45356.0</v>
      </c>
      <c r="Z1718" s="64">
        <f>_xlfn.MINIFS(tblLaborEntries[Work date serial],tblLaborEntries[Work package ID],tblWorkPackages[[#This Row],[Work package ID]])</f>
        <v>45355.0</v>
      </c>
      <c r="AA1718" s="64">
        <f>_xlfn.MAXIFS(tblLaborEntries[Work date serial],tblLaborEntries[Work package ID],tblWorkPackages[[#This Row],[Work package ID]])</f>
        <v>45356.0</v>
      </c>
      <c r="AB1718" s="65">
        <f>IF(tblWorkPackages[[#This Row],[Completion date serial]]&gt;tblWorkPackages[[#This Row],[Due date serial]],1,0)</f>
        <v>0</v>
      </c>
      <c r="AC1718" s="65">
        <f>MAX(0,tblWorkPackages[[#This Row],[Completion date serial]]-tblWorkPackages[[#This Row],[Due date serial]])</f>
        <v>0</v>
      </c>
      <c r="AD1718" s="65">
        <f>tblWorkPackages[[#This Row],[First labor date]]-tblWorkPackages[[#This Row],[Request date serial]]</f>
        <v>2</v>
      </c>
      <c r="AE1718" s="65">
        <f>tblWorkPackages[[#This Row],[Last labor date]]-tblWorkPackages[[#This Row],[First labor date]]</f>
        <v>1</v>
      </c>
      <c r="AF1718" s="65">
        <f>tblWorkPackages[[#This Row],[Completion date serial]]-tblWorkPackages[[#This Row],[Last labor date]]</f>
        <v>0</v>
      </c>
      <c r="AG1718" s="65">
        <f>tblWorkPackages[[#This Row],[Completion date serial]]-tblWorkPackages[[#This Row],[Request date serial]]</f>
        <v>3</v>
      </c>
      <c r="AH1718" s="65">
        <f>IFERROR(INDEX(tblParts[Delay days],MATCH(tblWorkPackages[[#This Row],[Work package ID]],tblParts[Work package ID],0)),0)</f>
        <v>0</v>
      </c>
      <c r="AI1718" s="51" t="str">
        <f>IFERROR(INDEX(tblDisruptions[Event type],MATCH(tblWorkPackages[[#This Row],[Work package ID]],tblDisruptions[Work package ID],0)),"None")</f>
        <v>None</v>
      </c>
      <c r="AJ1718" s="51" t="str">
        <f>TEXT(tblWorkPackages[[#This Row],[Due date serial]],"yyyy-mm")</f>
        <v>2024-03</v>
      </c>
    </row>
    <row r="1719" spans="1:36" ht="15" x14ac:dyDescent="0.25">
      <c r="A1719" s="53" t="s">
        <v>2629</v>
      </c>
      <c r="B1719" s="53" t="s">
        <v>157</v>
      </c>
      <c r="C1719" s="53" t="s">
        <v>833</v>
      </c>
      <c r="D1719" s="53" t="s">
        <v>753</v>
      </c>
      <c r="E1719" s="53" t="s">
        <v>153</v>
      </c>
      <c r="F1719" s="53" t="s">
        <v>128</v>
      </c>
      <c r="G1719" s="53" t="s">
        <v>154</v>
      </c>
      <c r="H1719" s="53">
        <v>4</v>
      </c>
      <c r="I1719" s="53" t="s">
        <v>130</v>
      </c>
      <c r="J1719" s="53">
        <v>0</v>
      </c>
      <c r="K1719" s="53">
        <v>0</v>
      </c>
      <c r="L1719" s="53">
        <v>14.5</v>
      </c>
      <c r="M1719" s="53" t="s">
        <v>1425</v>
      </c>
      <c r="N1719" s="53">
        <v>18.5</v>
      </c>
      <c r="O1719" s="51" t="str">
        <f>TEXT(tblWorkPackages[[#This Row],[Request date serial]]-WEEKDAY(tblWorkPackages[[#This Row],[Request date serial]],3),"yyyy-mm-dd")</f>
        <v>2025-11-10</v>
      </c>
      <c r="P1719" s="51">
        <f>ABS(tblWorkPackages[[#This Row],[Actual labor hours]]-tblWorkPackages[[#This Row],[Estimated labor hours]])</f>
        <v>4</v>
      </c>
      <c r="Q1719" s="51">
        <f>IF(tblWorkPackages[[#This Row],[Actual labor hours]]&gt;tblWorkPackages[[#This Row],[Estimated labor hours]],1,0)</f>
        <v>1</v>
      </c>
      <c r="R1719" s="51">
        <f>tblWorkPackages[[#This Row],[Actual labor hours]]-tblWorkPackages[[#This Row],[Estimated labor hours]]</f>
        <v>4</v>
      </c>
      <c r="S1719" s="51" t="str">
        <f>IF(tblWorkPackages[[#This Row],[Request date serial]]&lt;ValidationStart,"Train 2024",IF(tblWorkPackages[[#This Row],[Request date serial]]&lt;HoldoutStart,"Validation H1","Holdout H2"))</f>
        <v>Holdout H2</v>
      </c>
      <c r="T1719" s="51">
        <f>IF(tblWorkPackages[[#This Row],[Time split]]="Train 2024","",tblWorkPackages[[#This Row],[Estimated labor hours]]+VLOOKUP(tblWorkPackages[[#This Row],[Task type]],'Forecast validation'!$A$14:$E$25,IF(tblWorkPackages[[#This Row],[Time split]]="Validation H1",4,5),FALSE()))</f>
        <v>15.1026666666667</v>
      </c>
      <c r="U1719" s="51">
        <f>IF(tblWorkPackages[[#This Row],[Calibrated forecast hours]]="","",ABS(tblWorkPackages[[#This Row],[Actual labor hours]]-tblWorkPackages[[#This Row],[Calibrated forecast hours]]))</f>
        <v>3.39733333333333</v>
      </c>
      <c r="V1719" s="51">
        <f>IF(tblWorkPackages[[#This Row],[Time split]]="Train 2024",tblWorkPackages[[#This Row],[Estimated labor hours]],tblWorkPackages[[#This Row],[Calibrated forecast hours]])</f>
        <v>15.1026666666667</v>
      </c>
      <c r="W1719" s="64">
        <f>DATEVALUE(tblWorkPackages[[#This Row],[Request date]])</f>
        <v>45976.0</v>
      </c>
      <c r="X1719" s="64">
        <f>DATEVALUE(tblWorkPackages[[#This Row],[Due date]])</f>
        <v>45989.0</v>
      </c>
      <c r="Y1719" s="64">
        <f>DATEVALUE(tblWorkPackages[[#This Row],[Completion date]])</f>
        <v>45994.0</v>
      </c>
      <c r="Z1719" s="64">
        <f>_xlfn.MINIFS(tblLaborEntries[Work date serial],tblLaborEntries[Work package ID],tblWorkPackages[[#This Row],[Work package ID]])</f>
        <v>45991.0</v>
      </c>
      <c r="AA1719" s="64">
        <f>_xlfn.MAXIFS(tblLaborEntries[Work date serial],tblLaborEntries[Work package ID],tblWorkPackages[[#This Row],[Work package ID]])</f>
        <v>45993.0</v>
      </c>
      <c r="AB1719" s="65">
        <f>IF(tblWorkPackages[[#This Row],[Completion date serial]]&gt;tblWorkPackages[[#This Row],[Due date serial]],1,0)</f>
        <v>1</v>
      </c>
      <c r="AC1719" s="65">
        <f>MAX(0,tblWorkPackages[[#This Row],[Completion date serial]]-tblWorkPackages[[#This Row],[Due date serial]])</f>
        <v>5</v>
      </c>
      <c r="AD1719" s="65">
        <f>tblWorkPackages[[#This Row],[First labor date]]-tblWorkPackages[[#This Row],[Request date serial]]</f>
        <v>15</v>
      </c>
      <c r="AE1719" s="65">
        <f>tblWorkPackages[[#This Row],[Last labor date]]-tblWorkPackages[[#This Row],[First labor date]]</f>
        <v>2</v>
      </c>
      <c r="AF1719" s="65">
        <f>tblWorkPackages[[#This Row],[Completion date serial]]-tblWorkPackages[[#This Row],[Last labor date]]</f>
        <v>1</v>
      </c>
      <c r="AG1719" s="65">
        <f>tblWorkPackages[[#This Row],[Completion date serial]]-tblWorkPackages[[#This Row],[Request date serial]]</f>
        <v>18</v>
      </c>
      <c r="AH1719" s="65">
        <f>IFERROR(INDEX(tblParts[Delay days],MATCH(tblWorkPackages[[#This Row],[Work package ID]],tblParts[Work package ID],0)),0)</f>
        <v>0</v>
      </c>
      <c r="AI1719" s="51" t="str">
        <f>IFERROR(INDEX(tblDisruptions[Event type],MATCH(tblWorkPackages[[#This Row],[Work package ID]],tblDisruptions[Work package ID],0)),"None")</f>
        <v>None</v>
      </c>
      <c r="AJ1719" s="51" t="str">
        <f>TEXT(tblWorkPackages[[#This Row],[Due date serial]],"yyyy-mm")</f>
        <v>2025-11</v>
      </c>
    </row>
    <row r="1720" spans="1:36" ht="15" x14ac:dyDescent="0.25">
      <c r="A1720" s="53" t="s">
        <v>2630</v>
      </c>
      <c r="B1720" s="53" t="s">
        <v>235</v>
      </c>
      <c r="C1720" s="53" t="s">
        <v>651</v>
      </c>
      <c r="D1720" s="53" t="s">
        <v>1161</v>
      </c>
      <c r="E1720" s="53" t="s">
        <v>153</v>
      </c>
      <c r="F1720" s="53" t="s">
        <v>128</v>
      </c>
      <c r="G1720" s="53" t="s">
        <v>154</v>
      </c>
      <c r="H1720" s="53">
        <v>1</v>
      </c>
      <c r="I1720" s="53" t="s">
        <v>130</v>
      </c>
      <c r="J1720" s="53">
        <v>0</v>
      </c>
      <c r="K1720" s="53">
        <v>0</v>
      </c>
      <c r="L1720" s="53">
        <v>5.8</v>
      </c>
      <c r="M1720" s="53" t="s">
        <v>778</v>
      </c>
      <c r="N1720" s="53">
        <v>6.5</v>
      </c>
      <c r="O1720" s="51" t="str">
        <f>TEXT(tblWorkPackages[[#This Row],[Request date serial]]-WEEKDAY(tblWorkPackages[[#This Row],[Request date serial]],3),"yyyy-mm-dd")</f>
        <v>2025-12-01</v>
      </c>
      <c r="P1720" s="51">
        <f>ABS(tblWorkPackages[[#This Row],[Actual labor hours]]-tblWorkPackages[[#This Row],[Estimated labor hours]])</f>
        <v>0.7</v>
      </c>
      <c r="Q1720" s="51">
        <f>IF(tblWorkPackages[[#This Row],[Actual labor hours]]&gt;tblWorkPackages[[#This Row],[Estimated labor hours]],1,0)</f>
        <v>1</v>
      </c>
      <c r="R1720" s="51">
        <f>tblWorkPackages[[#This Row],[Actual labor hours]]-tblWorkPackages[[#This Row],[Estimated labor hours]]</f>
        <v>0.7</v>
      </c>
      <c r="S1720" s="51" t="str">
        <f>IF(tblWorkPackages[[#This Row],[Request date serial]]&lt;ValidationStart,"Train 2024",IF(tblWorkPackages[[#This Row],[Request date serial]]&lt;HoldoutStart,"Validation H1","Holdout H2"))</f>
        <v>Holdout H2</v>
      </c>
      <c r="T1720" s="51">
        <f>IF(tblWorkPackages[[#This Row],[Time split]]="Train 2024","",tblWorkPackages[[#This Row],[Estimated labor hours]]+VLOOKUP(tblWorkPackages[[#This Row],[Task type]],'Forecast validation'!$A$14:$E$25,IF(tblWorkPackages[[#This Row],[Time split]]="Validation H1",4,5),FALSE()))</f>
        <v>6.40266666666667</v>
      </c>
      <c r="U1720" s="51">
        <f>IF(tblWorkPackages[[#This Row],[Calibrated forecast hours]]="","",ABS(tblWorkPackages[[#This Row],[Actual labor hours]]-tblWorkPackages[[#This Row],[Calibrated forecast hours]]))</f>
        <v>0.0973333333333333</v>
      </c>
      <c r="V1720" s="51">
        <f>IF(tblWorkPackages[[#This Row],[Time split]]="Train 2024",tblWorkPackages[[#This Row],[Estimated labor hours]],tblWorkPackages[[#This Row],[Calibrated forecast hours]])</f>
        <v>6.40266666666667</v>
      </c>
      <c r="W1720" s="64">
        <f>DATEVALUE(tblWorkPackages[[#This Row],[Request date]])</f>
        <v>45997.0</v>
      </c>
      <c r="X1720" s="64">
        <f>DATEVALUE(tblWorkPackages[[#This Row],[Due date]])</f>
        <v>46010.0</v>
      </c>
      <c r="Y1720" s="64">
        <f>DATEVALUE(tblWorkPackages[[#This Row],[Completion date]])</f>
        <v>46005.0</v>
      </c>
      <c r="Z1720" s="64">
        <f>_xlfn.MINIFS(tblLaborEntries[Work date serial],tblLaborEntries[Work package ID],tblWorkPackages[[#This Row],[Work package ID]])</f>
        <v>46001.0</v>
      </c>
      <c r="AA1720" s="64">
        <f>_xlfn.MAXIFS(tblLaborEntries[Work date serial],tblLaborEntries[Work package ID],tblWorkPackages[[#This Row],[Work package ID]])</f>
        <v>46003.0</v>
      </c>
      <c r="AB1720" s="65">
        <f>IF(tblWorkPackages[[#This Row],[Completion date serial]]&gt;tblWorkPackages[[#This Row],[Due date serial]],1,0)</f>
        <v>0</v>
      </c>
      <c r="AC1720" s="65">
        <f>MAX(0,tblWorkPackages[[#This Row],[Completion date serial]]-tblWorkPackages[[#This Row],[Due date serial]])</f>
        <v>0</v>
      </c>
      <c r="AD1720" s="65">
        <f>tblWorkPackages[[#This Row],[First labor date]]-tblWorkPackages[[#This Row],[Request date serial]]</f>
        <v>4</v>
      </c>
      <c r="AE1720" s="65">
        <f>tblWorkPackages[[#This Row],[Last labor date]]-tblWorkPackages[[#This Row],[First labor date]]</f>
        <v>2</v>
      </c>
      <c r="AF1720" s="65">
        <f>tblWorkPackages[[#This Row],[Completion date serial]]-tblWorkPackages[[#This Row],[Last labor date]]</f>
        <v>2</v>
      </c>
      <c r="AG1720" s="65">
        <f>tblWorkPackages[[#This Row],[Completion date serial]]-tblWorkPackages[[#This Row],[Request date serial]]</f>
        <v>8</v>
      </c>
      <c r="AH1720" s="65">
        <f>IFERROR(INDEX(tblParts[Delay days],MATCH(tblWorkPackages[[#This Row],[Work package ID]],tblParts[Work package ID],0)),0)</f>
        <v>0</v>
      </c>
      <c r="AI1720" s="51" t="str">
        <f>IFERROR(INDEX(tblDisruptions[Event type],MATCH(tblWorkPackages[[#This Row],[Work package ID]],tblDisruptions[Work package ID],0)),"None")</f>
        <v>None</v>
      </c>
      <c r="AJ1720" s="51" t="str">
        <f>TEXT(tblWorkPackages[[#This Row],[Due date serial]],"yyyy-mm")</f>
        <v>2025-12</v>
      </c>
    </row>
    <row r="1721" spans="1:36" ht="15" x14ac:dyDescent="0.25">
      <c r="A1721" s="53" t="s">
        <v>2631</v>
      </c>
      <c r="B1721" s="53" t="s">
        <v>185</v>
      </c>
      <c r="C1721" s="53" t="s">
        <v>535</v>
      </c>
      <c r="D1721" s="53" t="s">
        <v>793</v>
      </c>
      <c r="E1721" s="53" t="s">
        <v>237</v>
      </c>
      <c r="F1721" s="53" t="s">
        <v>182</v>
      </c>
      <c r="G1721" s="53" t="s">
        <v>138</v>
      </c>
      <c r="H1721" s="53">
        <v>1</v>
      </c>
      <c r="I1721" s="53" t="s">
        <v>176</v>
      </c>
      <c r="J1721" s="53">
        <v>0</v>
      </c>
      <c r="K1721" s="53">
        <v>0</v>
      </c>
      <c r="L1721" s="53">
        <v>3.3</v>
      </c>
      <c r="M1721" s="53" t="s">
        <v>793</v>
      </c>
      <c r="N1721" s="53">
        <v>4.0999999999999996</v>
      </c>
      <c r="O1721" s="51" t="str">
        <f>TEXT(tblWorkPackages[[#This Row],[Request date serial]]-WEEKDAY(tblWorkPackages[[#This Row],[Request date serial]],3),"yyyy-mm-dd")</f>
        <v>2024-11-04</v>
      </c>
      <c r="P1721" s="51">
        <f>ABS(tblWorkPackages[[#This Row],[Actual labor hours]]-tblWorkPackages[[#This Row],[Estimated labor hours]])</f>
        <v>0.8</v>
      </c>
      <c r="Q1721" s="51">
        <f>IF(tblWorkPackages[[#This Row],[Actual labor hours]]&gt;tblWorkPackages[[#This Row],[Estimated labor hours]],1,0)</f>
        <v>1</v>
      </c>
      <c r="R1721" s="51">
        <f>tblWorkPackages[[#This Row],[Actual labor hours]]-tblWorkPackages[[#This Row],[Estimated labor hours]]</f>
        <v>0.8</v>
      </c>
      <c r="S1721" s="51" t="str">
        <f>IF(tblWorkPackages[[#This Row],[Request date serial]]&lt;ValidationStart,"Train 2024",IF(tblWorkPackages[[#This Row],[Request date serial]]&lt;HoldoutStart,"Validation H1","Holdout H2"))</f>
        <v>Train 2024</v>
      </c>
      <c r="T1721" s="51" t="str">
        <f>IF(tblWorkPackages[[#This Row],[Time split]]="Train 2024","",tblWorkPackages[[#This Row],[Estimated labor hours]]+VLOOKUP(tblWorkPackages[[#This Row],[Task type]],'Forecast validation'!$A$14:$E$25,IF(tblWorkPackages[[#This Row],[Time split]]="Validation H1",4,5),FALSE()))</f>
        <v/>
      </c>
      <c r="U1721" s="51" t="str">
        <f>IF(tblWorkPackages[[#This Row],[Calibrated forecast hours]]="","",ABS(tblWorkPackages[[#This Row],[Actual labor hours]]-tblWorkPackages[[#This Row],[Calibrated forecast hours]]))</f>
        <v/>
      </c>
      <c r="V1721" s="51">
        <f>IF(tblWorkPackages[[#This Row],[Time split]]="Train 2024",tblWorkPackages[[#This Row],[Estimated labor hours]],tblWorkPackages[[#This Row],[Calibrated forecast hours]])</f>
        <v>3.3</v>
      </c>
      <c r="W1721" s="64">
        <f>DATEVALUE(tblWorkPackages[[#This Row],[Request date]])</f>
        <v>45602.0</v>
      </c>
      <c r="X1721" s="64">
        <f>DATEVALUE(tblWorkPackages[[#This Row],[Due date]])</f>
        <v>45608.0</v>
      </c>
      <c r="Y1721" s="64">
        <f>DATEVALUE(tblWorkPackages[[#This Row],[Completion date]])</f>
        <v>45608.0</v>
      </c>
      <c r="Z1721" s="64">
        <f>_xlfn.MINIFS(tblLaborEntries[Work date serial],tblLaborEntries[Work package ID],tblWorkPackages[[#This Row],[Work package ID]])</f>
        <v>45603.0</v>
      </c>
      <c r="AA1721" s="64">
        <f>_xlfn.MAXIFS(tblLaborEntries[Work date serial],tblLaborEntries[Work package ID],tblWorkPackages[[#This Row],[Work package ID]])</f>
        <v>45605.0</v>
      </c>
      <c r="AB1721" s="65">
        <f>IF(tblWorkPackages[[#This Row],[Completion date serial]]&gt;tblWorkPackages[[#This Row],[Due date serial]],1,0)</f>
        <v>0</v>
      </c>
      <c r="AC1721" s="65">
        <f>MAX(0,tblWorkPackages[[#This Row],[Completion date serial]]-tblWorkPackages[[#This Row],[Due date serial]])</f>
        <v>0</v>
      </c>
      <c r="AD1721" s="65">
        <f>tblWorkPackages[[#This Row],[First labor date]]-tblWorkPackages[[#This Row],[Request date serial]]</f>
        <v>1</v>
      </c>
      <c r="AE1721" s="65">
        <f>tblWorkPackages[[#This Row],[Last labor date]]-tblWorkPackages[[#This Row],[First labor date]]</f>
        <v>2</v>
      </c>
      <c r="AF1721" s="65">
        <f>tblWorkPackages[[#This Row],[Completion date serial]]-tblWorkPackages[[#This Row],[Last labor date]]</f>
        <v>3</v>
      </c>
      <c r="AG1721" s="65">
        <f>tblWorkPackages[[#This Row],[Completion date serial]]-tblWorkPackages[[#This Row],[Request date serial]]</f>
        <v>6</v>
      </c>
      <c r="AH1721" s="65">
        <f>IFERROR(INDEX(tblParts[Delay days],MATCH(tblWorkPackages[[#This Row],[Work package ID]],tblParts[Work package ID],0)),0)</f>
        <v>0</v>
      </c>
      <c r="AI1721" s="51" t="str">
        <f>IFERROR(INDEX(tblDisruptions[Event type],MATCH(tblWorkPackages[[#This Row],[Work package ID]],tblDisruptions[Work package ID],0)),"None")</f>
        <v>None</v>
      </c>
      <c r="AJ1721" s="51" t="str">
        <f>TEXT(tblWorkPackages[[#This Row],[Due date serial]],"yyyy-mm")</f>
        <v>2024-11</v>
      </c>
    </row>
    <row r="1722" spans="1:36" ht="15" x14ac:dyDescent="0.25">
      <c r="A1722" s="53" t="s">
        <v>2632</v>
      </c>
      <c r="B1722" s="53" t="s">
        <v>150</v>
      </c>
      <c r="C1722" s="53" t="s">
        <v>312</v>
      </c>
      <c r="D1722" s="53" t="s">
        <v>1152</v>
      </c>
      <c r="E1722" s="53" t="s">
        <v>181</v>
      </c>
      <c r="F1722" s="53" t="s">
        <v>182</v>
      </c>
      <c r="G1722" s="53" t="s">
        <v>138</v>
      </c>
      <c r="H1722" s="53">
        <v>3</v>
      </c>
      <c r="I1722" s="53" t="s">
        <v>176</v>
      </c>
      <c r="J1722" s="53">
        <v>0</v>
      </c>
      <c r="K1722" s="53">
        <v>0</v>
      </c>
      <c r="L1722" s="53">
        <v>10.3</v>
      </c>
      <c r="M1722" s="53" t="s">
        <v>1078</v>
      </c>
      <c r="N1722" s="53">
        <v>9.8000000000000007</v>
      </c>
      <c r="O1722" s="51" t="str">
        <f>TEXT(tblWorkPackages[[#This Row],[Request date serial]]-WEEKDAY(tblWorkPackages[[#This Row],[Request date serial]],3),"yyyy-mm-dd")</f>
        <v>2025-08-18</v>
      </c>
      <c r="P1722" s="51">
        <f>ABS(tblWorkPackages[[#This Row],[Actual labor hours]]-tblWorkPackages[[#This Row],[Estimated labor hours]])</f>
        <v>0.5</v>
      </c>
      <c r="Q1722" s="51">
        <f>IF(tblWorkPackages[[#This Row],[Actual labor hours]]&gt;tblWorkPackages[[#This Row],[Estimated labor hours]],1,0)</f>
        <v>0</v>
      </c>
      <c r="R1722" s="51">
        <f>tblWorkPackages[[#This Row],[Actual labor hours]]-tblWorkPackages[[#This Row],[Estimated labor hours]]</f>
        <v>-0.5</v>
      </c>
      <c r="S1722" s="51" t="str">
        <f>IF(tblWorkPackages[[#This Row],[Request date serial]]&lt;ValidationStart,"Train 2024",IF(tblWorkPackages[[#This Row],[Request date serial]]&lt;HoldoutStart,"Validation H1","Holdout H2"))</f>
        <v>Holdout H2</v>
      </c>
      <c r="T1722" s="51">
        <f>IF(tblWorkPackages[[#This Row],[Time split]]="Train 2024","",tblWorkPackages[[#This Row],[Estimated labor hours]]+VLOOKUP(tblWorkPackages[[#This Row],[Task type]],'Forecast validation'!$A$14:$E$25,IF(tblWorkPackages[[#This Row],[Time split]]="Validation H1",4,5),FALSE()))</f>
        <v>10.8916083916084</v>
      </c>
      <c r="U1722" s="51">
        <f>IF(tblWorkPackages[[#This Row],[Calibrated forecast hours]]="","",ABS(tblWorkPackages[[#This Row],[Actual labor hours]]-tblWorkPackages[[#This Row],[Calibrated forecast hours]]))</f>
        <v>1.09160839160839</v>
      </c>
      <c r="V1722" s="51">
        <f>IF(tblWorkPackages[[#This Row],[Time split]]="Train 2024",tblWorkPackages[[#This Row],[Estimated labor hours]],tblWorkPackages[[#This Row],[Calibrated forecast hours]])</f>
        <v>10.8916083916084</v>
      </c>
      <c r="W1722" s="64">
        <f>DATEVALUE(tblWorkPackages[[#This Row],[Request date]])</f>
        <v>45887.0</v>
      </c>
      <c r="X1722" s="64">
        <f>DATEVALUE(tblWorkPackages[[#This Row],[Due date]])</f>
        <v>45893.0</v>
      </c>
      <c r="Y1722" s="64">
        <f>DATEVALUE(tblWorkPackages[[#This Row],[Completion date]])</f>
        <v>45898.0</v>
      </c>
      <c r="Z1722" s="64">
        <f>_xlfn.MINIFS(tblLaborEntries[Work date serial],tblLaborEntries[Work package ID],tblWorkPackages[[#This Row],[Work package ID]])</f>
        <v>45897.0</v>
      </c>
      <c r="AA1722" s="64">
        <f>_xlfn.MAXIFS(tblLaborEntries[Work date serial],tblLaborEntries[Work package ID],tblWorkPackages[[#This Row],[Work package ID]])</f>
        <v>45898.0</v>
      </c>
      <c r="AB1722" s="65">
        <f>IF(tblWorkPackages[[#This Row],[Completion date serial]]&gt;tblWorkPackages[[#This Row],[Due date serial]],1,0)</f>
        <v>1</v>
      </c>
      <c r="AC1722" s="65">
        <f>MAX(0,tblWorkPackages[[#This Row],[Completion date serial]]-tblWorkPackages[[#This Row],[Due date serial]])</f>
        <v>5</v>
      </c>
      <c r="AD1722" s="65">
        <f>tblWorkPackages[[#This Row],[First labor date]]-tblWorkPackages[[#This Row],[Request date serial]]</f>
        <v>10</v>
      </c>
      <c r="AE1722" s="65">
        <f>tblWorkPackages[[#This Row],[Last labor date]]-tblWorkPackages[[#This Row],[First labor date]]</f>
        <v>1</v>
      </c>
      <c r="AF1722" s="65">
        <f>tblWorkPackages[[#This Row],[Completion date serial]]-tblWorkPackages[[#This Row],[Last labor date]]</f>
        <v>0</v>
      </c>
      <c r="AG1722" s="65">
        <f>tblWorkPackages[[#This Row],[Completion date serial]]-tblWorkPackages[[#This Row],[Request date serial]]</f>
        <v>11</v>
      </c>
      <c r="AH1722" s="65">
        <f>IFERROR(INDEX(tblParts[Delay days],MATCH(tblWorkPackages[[#This Row],[Work package ID]],tblParts[Work package ID],0)),0)</f>
        <v>0</v>
      </c>
      <c r="AI1722" s="51" t="str">
        <f>IFERROR(INDEX(tblDisruptions[Event type],MATCH(tblWorkPackages[[#This Row],[Work package ID]],tblDisruptions[Work package ID],0)),"None")</f>
        <v>None</v>
      </c>
      <c r="AJ1722" s="51" t="str">
        <f>TEXT(tblWorkPackages[[#This Row],[Due date serial]],"yyyy-mm")</f>
        <v>2025-08</v>
      </c>
    </row>
    <row r="1723" spans="1:36" ht="15" x14ac:dyDescent="0.25">
      <c r="A1723" s="53" t="s">
        <v>2633</v>
      </c>
      <c r="B1723" s="53" t="s">
        <v>150</v>
      </c>
      <c r="C1723" s="53" t="s">
        <v>1838</v>
      </c>
      <c r="D1723" s="53" t="s">
        <v>183</v>
      </c>
      <c r="E1723" s="53" t="s">
        <v>200</v>
      </c>
      <c r="F1723" s="53" t="s">
        <v>128</v>
      </c>
      <c r="G1723" s="53" t="s">
        <v>129</v>
      </c>
      <c r="H1723" s="53">
        <v>1</v>
      </c>
      <c r="I1723" s="53" t="s">
        <v>130</v>
      </c>
      <c r="J1723" s="53">
        <v>0</v>
      </c>
      <c r="K1723" s="53">
        <v>0</v>
      </c>
      <c r="L1723" s="53">
        <v>2.2999999999999998</v>
      </c>
      <c r="M1723" s="53" t="s">
        <v>364</v>
      </c>
      <c r="N1723" s="53">
        <v>3</v>
      </c>
      <c r="O1723" s="51" t="str">
        <f>TEXT(tblWorkPackages[[#This Row],[Request date serial]]-WEEKDAY(tblWorkPackages[[#This Row],[Request date serial]],3),"yyyy-mm-dd")</f>
        <v>2025-05-05</v>
      </c>
      <c r="P1723" s="51">
        <f>ABS(tblWorkPackages[[#This Row],[Actual labor hours]]-tblWorkPackages[[#This Row],[Estimated labor hours]])</f>
        <v>0.7</v>
      </c>
      <c r="Q1723" s="51">
        <f>IF(tblWorkPackages[[#This Row],[Actual labor hours]]&gt;tblWorkPackages[[#This Row],[Estimated labor hours]],1,0)</f>
        <v>1</v>
      </c>
      <c r="R1723" s="51">
        <f>tblWorkPackages[[#This Row],[Actual labor hours]]-tblWorkPackages[[#This Row],[Estimated labor hours]]</f>
        <v>0.7</v>
      </c>
      <c r="S1723" s="51" t="str">
        <f>IF(tblWorkPackages[[#This Row],[Request date serial]]&lt;ValidationStart,"Train 2024",IF(tblWorkPackages[[#This Row],[Request date serial]]&lt;HoldoutStart,"Validation H1","Holdout H2"))</f>
        <v>Validation H1</v>
      </c>
      <c r="T1723" s="51">
        <f>IF(tblWorkPackages[[#This Row],[Time split]]="Train 2024","",tblWorkPackages[[#This Row],[Estimated labor hours]]+VLOOKUP(tblWorkPackages[[#This Row],[Task type]],'Forecast validation'!$A$14:$E$25,IF(tblWorkPackages[[#This Row],[Time split]]="Validation H1",4,5),FALSE()))</f>
        <v>2.63069306930693</v>
      </c>
      <c r="U1723" s="51">
        <f>IF(tblWorkPackages[[#This Row],[Calibrated forecast hours]]="","",ABS(tblWorkPackages[[#This Row],[Actual labor hours]]-tblWorkPackages[[#This Row],[Calibrated forecast hours]]))</f>
        <v>0.36930693069307</v>
      </c>
      <c r="V1723" s="51">
        <f>IF(tblWorkPackages[[#This Row],[Time split]]="Train 2024",tblWorkPackages[[#This Row],[Estimated labor hours]],tblWorkPackages[[#This Row],[Calibrated forecast hours]])</f>
        <v>2.63069306930693</v>
      </c>
      <c r="W1723" s="64">
        <f>DATEVALUE(tblWorkPackages[[#This Row],[Request date]])</f>
        <v>45786.0</v>
      </c>
      <c r="X1723" s="64">
        <f>DATEVALUE(tblWorkPackages[[#This Row],[Due date]])</f>
        <v>45799.0</v>
      </c>
      <c r="Y1723" s="64">
        <f>DATEVALUE(tblWorkPackages[[#This Row],[Completion date]])</f>
        <v>45790.0</v>
      </c>
      <c r="Z1723" s="64">
        <f>_xlfn.MINIFS(tblLaborEntries[Work date serial],tblLaborEntries[Work package ID],tblWorkPackages[[#This Row],[Work package ID]])</f>
        <v>45789.0</v>
      </c>
      <c r="AA1723" s="64">
        <f>_xlfn.MAXIFS(tblLaborEntries[Work date serial],tblLaborEntries[Work package ID],tblWorkPackages[[#This Row],[Work package ID]])</f>
        <v>45789.0</v>
      </c>
      <c r="AB1723" s="65">
        <f>IF(tblWorkPackages[[#This Row],[Completion date serial]]&gt;tblWorkPackages[[#This Row],[Due date serial]],1,0)</f>
        <v>0</v>
      </c>
      <c r="AC1723" s="65">
        <f>MAX(0,tblWorkPackages[[#This Row],[Completion date serial]]-tblWorkPackages[[#This Row],[Due date serial]])</f>
        <v>0</v>
      </c>
      <c r="AD1723" s="65">
        <f>tblWorkPackages[[#This Row],[First labor date]]-tblWorkPackages[[#This Row],[Request date serial]]</f>
        <v>3</v>
      </c>
      <c r="AE1723" s="65">
        <f>tblWorkPackages[[#This Row],[Last labor date]]-tblWorkPackages[[#This Row],[First labor date]]</f>
        <v>0</v>
      </c>
      <c r="AF1723" s="65">
        <f>tblWorkPackages[[#This Row],[Completion date serial]]-tblWorkPackages[[#This Row],[Last labor date]]</f>
        <v>1</v>
      </c>
      <c r="AG1723" s="65">
        <f>tblWorkPackages[[#This Row],[Completion date serial]]-tblWorkPackages[[#This Row],[Request date serial]]</f>
        <v>4</v>
      </c>
      <c r="AH1723" s="65">
        <f>IFERROR(INDEX(tblParts[Delay days],MATCH(tblWorkPackages[[#This Row],[Work package ID]],tblParts[Work package ID],0)),0)</f>
        <v>0</v>
      </c>
      <c r="AI1723" s="51" t="str">
        <f>IFERROR(INDEX(tblDisruptions[Event type],MATCH(tblWorkPackages[[#This Row],[Work package ID]],tblDisruptions[Work package ID],0)),"None")</f>
        <v>None</v>
      </c>
      <c r="AJ1723" s="51" t="str">
        <f>TEXT(tblWorkPackages[[#This Row],[Due date serial]],"yyyy-mm")</f>
        <v>2025-05</v>
      </c>
    </row>
    <row r="1724" spans="1:36" ht="15" x14ac:dyDescent="0.25">
      <c r="A1724" s="53" t="s">
        <v>2634</v>
      </c>
      <c r="B1724" s="53" t="s">
        <v>124</v>
      </c>
      <c r="C1724" s="53" t="s">
        <v>1262</v>
      </c>
      <c r="D1724" s="53" t="s">
        <v>1263</v>
      </c>
      <c r="E1724" s="53" t="s">
        <v>144</v>
      </c>
      <c r="F1724" s="53" t="s">
        <v>145</v>
      </c>
      <c r="G1724" s="53" t="s">
        <v>146</v>
      </c>
      <c r="H1724" s="53">
        <v>2</v>
      </c>
      <c r="I1724" s="53" t="s">
        <v>130</v>
      </c>
      <c r="J1724" s="53">
        <v>0</v>
      </c>
      <c r="K1724" s="53">
        <v>1</v>
      </c>
      <c r="L1724" s="53">
        <v>11.3</v>
      </c>
      <c r="M1724" s="53" t="s">
        <v>1001</v>
      </c>
      <c r="N1724" s="53">
        <v>12.3</v>
      </c>
      <c r="O1724" s="51" t="str">
        <f>TEXT(tblWorkPackages[[#This Row],[Request date serial]]-WEEKDAY(tblWorkPackages[[#This Row],[Request date serial]],3),"yyyy-mm-dd")</f>
        <v>2024-02-12</v>
      </c>
      <c r="P1724" s="51">
        <f>ABS(tblWorkPackages[[#This Row],[Actual labor hours]]-tblWorkPackages[[#This Row],[Estimated labor hours]])</f>
        <v>1</v>
      </c>
      <c r="Q1724" s="51">
        <f>IF(tblWorkPackages[[#This Row],[Actual labor hours]]&gt;tblWorkPackages[[#This Row],[Estimated labor hours]],1,0)</f>
        <v>1</v>
      </c>
      <c r="R1724" s="51">
        <f>tblWorkPackages[[#This Row],[Actual labor hours]]-tblWorkPackages[[#This Row],[Estimated labor hours]]</f>
        <v>1</v>
      </c>
      <c r="S1724" s="51" t="str">
        <f>IF(tblWorkPackages[[#This Row],[Request date serial]]&lt;ValidationStart,"Train 2024",IF(tblWorkPackages[[#This Row],[Request date serial]]&lt;HoldoutStart,"Validation H1","Holdout H2"))</f>
        <v>Train 2024</v>
      </c>
      <c r="T1724" s="51" t="str">
        <f>IF(tblWorkPackages[[#This Row],[Time split]]="Train 2024","",tblWorkPackages[[#This Row],[Estimated labor hours]]+VLOOKUP(tblWorkPackages[[#This Row],[Task type]],'Forecast validation'!$A$14:$E$25,IF(tblWorkPackages[[#This Row],[Time split]]="Validation H1",4,5),FALSE()))</f>
        <v/>
      </c>
      <c r="U1724" s="51" t="str">
        <f>IF(tblWorkPackages[[#This Row],[Calibrated forecast hours]]="","",ABS(tblWorkPackages[[#This Row],[Actual labor hours]]-tblWorkPackages[[#This Row],[Calibrated forecast hours]]))</f>
        <v/>
      </c>
      <c r="V1724" s="51">
        <f>IF(tblWorkPackages[[#This Row],[Time split]]="Train 2024",tblWorkPackages[[#This Row],[Estimated labor hours]],tblWorkPackages[[#This Row],[Calibrated forecast hours]])</f>
        <v>11.3</v>
      </c>
      <c r="W1724" s="64">
        <f>DATEVALUE(tblWorkPackages[[#This Row],[Request date]])</f>
        <v>45337.0</v>
      </c>
      <c r="X1724" s="64">
        <f>DATEVALUE(tblWorkPackages[[#This Row],[Due date]])</f>
        <v>45350.0</v>
      </c>
      <c r="Y1724" s="64">
        <f>DATEVALUE(tblWorkPackages[[#This Row],[Completion date]])</f>
        <v>45365.0</v>
      </c>
      <c r="Z1724" s="64">
        <f>_xlfn.MINIFS(tblLaborEntries[Work date serial],tblLaborEntries[Work package ID],tblWorkPackages[[#This Row],[Work package ID]])</f>
        <v>45363.0</v>
      </c>
      <c r="AA1724" s="64">
        <f>_xlfn.MAXIFS(tblLaborEntries[Work date serial],tblLaborEntries[Work package ID],tblWorkPackages[[#This Row],[Work package ID]])</f>
        <v>45363.0</v>
      </c>
      <c r="AB1724" s="65">
        <f>IF(tblWorkPackages[[#This Row],[Completion date serial]]&gt;tblWorkPackages[[#This Row],[Due date serial]],1,0)</f>
        <v>1</v>
      </c>
      <c r="AC1724" s="65">
        <f>MAX(0,tblWorkPackages[[#This Row],[Completion date serial]]-tblWorkPackages[[#This Row],[Due date serial]])</f>
        <v>15</v>
      </c>
      <c r="AD1724" s="65">
        <f>tblWorkPackages[[#This Row],[First labor date]]-tblWorkPackages[[#This Row],[Request date serial]]</f>
        <v>26</v>
      </c>
      <c r="AE1724" s="65">
        <f>tblWorkPackages[[#This Row],[Last labor date]]-tblWorkPackages[[#This Row],[First labor date]]</f>
        <v>0</v>
      </c>
      <c r="AF1724" s="65">
        <f>tblWorkPackages[[#This Row],[Completion date serial]]-tblWorkPackages[[#This Row],[Last labor date]]</f>
        <v>2</v>
      </c>
      <c r="AG1724" s="65">
        <f>tblWorkPackages[[#This Row],[Completion date serial]]-tblWorkPackages[[#This Row],[Request date serial]]</f>
        <v>28</v>
      </c>
      <c r="AH1724" s="65">
        <f>IFERROR(INDEX(tblParts[Delay days],MATCH(tblWorkPackages[[#This Row],[Work package ID]],tblParts[Work package ID],0)),0)</f>
        <v>0</v>
      </c>
      <c r="AI1724" s="51" t="str">
        <f>IFERROR(INDEX(tblDisruptions[Event type],MATCH(tblWorkPackages[[#This Row],[Work package ID]],tblDisruptions[Work package ID],0)),"None")</f>
        <v>None</v>
      </c>
      <c r="AJ1724" s="51" t="str">
        <f>TEXT(tblWorkPackages[[#This Row],[Due date serial]],"yyyy-mm")</f>
        <v>2024-02</v>
      </c>
    </row>
    <row r="1725" spans="1:36" ht="15" x14ac:dyDescent="0.25">
      <c r="A1725" s="53" t="s">
        <v>2635</v>
      </c>
      <c r="B1725" s="53" t="s">
        <v>133</v>
      </c>
      <c r="C1725" s="53" t="s">
        <v>261</v>
      </c>
      <c r="D1725" s="53" t="s">
        <v>504</v>
      </c>
      <c r="E1725" s="53" t="s">
        <v>200</v>
      </c>
      <c r="F1725" s="53" t="s">
        <v>128</v>
      </c>
      <c r="G1725" s="53" t="s">
        <v>129</v>
      </c>
      <c r="H1725" s="53">
        <v>4</v>
      </c>
      <c r="I1725" s="53" t="s">
        <v>130</v>
      </c>
      <c r="J1725" s="53">
        <v>1</v>
      </c>
      <c r="K1725" s="53">
        <v>0</v>
      </c>
      <c r="L1725" s="53">
        <v>5.4</v>
      </c>
      <c r="M1725" s="53" t="s">
        <v>1383</v>
      </c>
      <c r="N1725" s="53">
        <v>5.5</v>
      </c>
      <c r="O1725" s="51" t="str">
        <f>TEXT(tblWorkPackages[[#This Row],[Request date serial]]-WEEKDAY(tblWorkPackages[[#This Row],[Request date serial]],3),"yyyy-mm-dd")</f>
        <v>2025-01-13</v>
      </c>
      <c r="P1725" s="51">
        <f>ABS(tblWorkPackages[[#This Row],[Actual labor hours]]-tblWorkPackages[[#This Row],[Estimated labor hours]])</f>
        <v>0.0999999999999996</v>
      </c>
      <c r="Q1725" s="51">
        <f>IF(tblWorkPackages[[#This Row],[Actual labor hours]]&gt;tblWorkPackages[[#This Row],[Estimated labor hours]],1,0)</f>
        <v>1</v>
      </c>
      <c r="R1725" s="51">
        <f>tblWorkPackages[[#This Row],[Actual labor hours]]-tblWorkPackages[[#This Row],[Estimated labor hours]]</f>
        <v>0.0999999999999996</v>
      </c>
      <c r="S1725" s="51" t="str">
        <f>IF(tblWorkPackages[[#This Row],[Request date serial]]&lt;ValidationStart,"Train 2024",IF(tblWorkPackages[[#This Row],[Request date serial]]&lt;HoldoutStart,"Validation H1","Holdout H2"))</f>
        <v>Validation H1</v>
      </c>
      <c r="T1725" s="51">
        <f>IF(tblWorkPackages[[#This Row],[Time split]]="Train 2024","",tblWorkPackages[[#This Row],[Estimated labor hours]]+VLOOKUP(tblWorkPackages[[#This Row],[Task type]],'Forecast validation'!$A$14:$E$25,IF(tblWorkPackages[[#This Row],[Time split]]="Validation H1",4,5),FALSE()))</f>
        <v>5.73069306930693</v>
      </c>
      <c r="U1725" s="51">
        <f>IF(tblWorkPackages[[#This Row],[Calibrated forecast hours]]="","",ABS(tblWorkPackages[[#This Row],[Actual labor hours]]-tblWorkPackages[[#This Row],[Calibrated forecast hours]]))</f>
        <v>0.230693069306931</v>
      </c>
      <c r="V1725" s="51">
        <f>IF(tblWorkPackages[[#This Row],[Time split]]="Train 2024",tblWorkPackages[[#This Row],[Estimated labor hours]],tblWorkPackages[[#This Row],[Calibrated forecast hours]])</f>
        <v>5.73069306930693</v>
      </c>
      <c r="W1725" s="64">
        <f>DATEVALUE(tblWorkPackages[[#This Row],[Request date]])</f>
        <v>45676.0</v>
      </c>
      <c r="X1725" s="64">
        <f>DATEVALUE(tblWorkPackages[[#This Row],[Due date]])</f>
        <v>45689.0</v>
      </c>
      <c r="Y1725" s="64">
        <f>DATEVALUE(tblWorkPackages[[#This Row],[Completion date]])</f>
        <v>45683.0</v>
      </c>
      <c r="Z1725" s="64">
        <f>_xlfn.MINIFS(tblLaborEntries[Work date serial],tblLaborEntries[Work package ID],tblWorkPackages[[#This Row],[Work package ID]])</f>
        <v>45680.0</v>
      </c>
      <c r="AA1725" s="64">
        <f>_xlfn.MAXIFS(tblLaborEntries[Work date serial],tblLaborEntries[Work package ID],tblWorkPackages[[#This Row],[Work package ID]])</f>
        <v>45680.0</v>
      </c>
      <c r="AB1725" s="65">
        <f>IF(tblWorkPackages[[#This Row],[Completion date serial]]&gt;tblWorkPackages[[#This Row],[Due date serial]],1,0)</f>
        <v>0</v>
      </c>
      <c r="AC1725" s="65">
        <f>MAX(0,tblWorkPackages[[#This Row],[Completion date serial]]-tblWorkPackages[[#This Row],[Due date serial]])</f>
        <v>0</v>
      </c>
      <c r="AD1725" s="65">
        <f>tblWorkPackages[[#This Row],[First labor date]]-tblWorkPackages[[#This Row],[Request date serial]]</f>
        <v>4</v>
      </c>
      <c r="AE1725" s="65">
        <f>tblWorkPackages[[#This Row],[Last labor date]]-tblWorkPackages[[#This Row],[First labor date]]</f>
        <v>0</v>
      </c>
      <c r="AF1725" s="65">
        <f>tblWorkPackages[[#This Row],[Completion date serial]]-tblWorkPackages[[#This Row],[Last labor date]]</f>
        <v>3</v>
      </c>
      <c r="AG1725" s="65">
        <f>tblWorkPackages[[#This Row],[Completion date serial]]-tblWorkPackages[[#This Row],[Request date serial]]</f>
        <v>7</v>
      </c>
      <c r="AH1725" s="65">
        <f>IFERROR(INDEX(tblParts[Delay days],MATCH(tblWorkPackages[[#This Row],[Work package ID]],tblParts[Work package ID],0)),0)</f>
        <v>0</v>
      </c>
      <c r="AI1725" s="51" t="str">
        <f>IFERROR(INDEX(tblDisruptions[Event type],MATCH(tblWorkPackages[[#This Row],[Work package ID]],tblDisruptions[Work package ID],0)),"None")</f>
        <v>None</v>
      </c>
      <c r="AJ1725" s="51" t="str">
        <f>TEXT(tblWorkPackages[[#This Row],[Due date serial]],"yyyy-mm")</f>
        <v>2025-02</v>
      </c>
    </row>
    <row r="1726" spans="1:36" ht="15" x14ac:dyDescent="0.25">
      <c r="A1726" s="53" t="s">
        <v>2636</v>
      </c>
      <c r="B1726" s="53" t="s">
        <v>168</v>
      </c>
      <c r="C1726" s="53" t="s">
        <v>442</v>
      </c>
      <c r="D1726" s="53" t="s">
        <v>215</v>
      </c>
      <c r="E1726" s="53" t="s">
        <v>242</v>
      </c>
      <c r="F1726" s="53" t="s">
        <v>243</v>
      </c>
      <c r="G1726" s="53" t="s">
        <v>129</v>
      </c>
      <c r="H1726" s="53">
        <v>4</v>
      </c>
      <c r="I1726" s="53" t="s">
        <v>176</v>
      </c>
      <c r="J1726" s="53">
        <v>0</v>
      </c>
      <c r="K1726" s="53">
        <v>0</v>
      </c>
      <c r="L1726" s="53">
        <v>17.100000000000001</v>
      </c>
      <c r="M1726" s="53" t="s">
        <v>1466</v>
      </c>
      <c r="N1726" s="53">
        <v>21.8</v>
      </c>
      <c r="O1726" s="51" t="str">
        <f>TEXT(tblWorkPackages[[#This Row],[Request date serial]]-WEEKDAY(tblWorkPackages[[#This Row],[Request date serial]],3),"yyyy-mm-dd")</f>
        <v>2024-02-05</v>
      </c>
      <c r="P1726" s="51">
        <f>ABS(tblWorkPackages[[#This Row],[Actual labor hours]]-tblWorkPackages[[#This Row],[Estimated labor hours]])</f>
        <v>4.7</v>
      </c>
      <c r="Q1726" s="51">
        <f>IF(tblWorkPackages[[#This Row],[Actual labor hours]]&gt;tblWorkPackages[[#This Row],[Estimated labor hours]],1,0)</f>
        <v>1</v>
      </c>
      <c r="R1726" s="51">
        <f>tblWorkPackages[[#This Row],[Actual labor hours]]-tblWorkPackages[[#This Row],[Estimated labor hours]]</f>
        <v>4.7</v>
      </c>
      <c r="S1726" s="51" t="str">
        <f>IF(tblWorkPackages[[#This Row],[Request date serial]]&lt;ValidationStart,"Train 2024",IF(tblWorkPackages[[#This Row],[Request date serial]]&lt;HoldoutStart,"Validation H1","Holdout H2"))</f>
        <v>Train 2024</v>
      </c>
      <c r="T1726" s="51" t="str">
        <f>IF(tblWorkPackages[[#This Row],[Time split]]="Train 2024","",tblWorkPackages[[#This Row],[Estimated labor hours]]+VLOOKUP(tblWorkPackages[[#This Row],[Task type]],'Forecast validation'!$A$14:$E$25,IF(tblWorkPackages[[#This Row],[Time split]]="Validation H1",4,5),FALSE()))</f>
        <v/>
      </c>
      <c r="U1726" s="51" t="str">
        <f>IF(tblWorkPackages[[#This Row],[Calibrated forecast hours]]="","",ABS(tblWorkPackages[[#This Row],[Actual labor hours]]-tblWorkPackages[[#This Row],[Calibrated forecast hours]]))</f>
        <v/>
      </c>
      <c r="V1726" s="51">
        <f>IF(tblWorkPackages[[#This Row],[Time split]]="Train 2024",tblWorkPackages[[#This Row],[Estimated labor hours]],tblWorkPackages[[#This Row],[Calibrated forecast hours]])</f>
        <v>17.1</v>
      </c>
      <c r="W1726" s="64">
        <f>DATEVALUE(tblWorkPackages[[#This Row],[Request date]])</f>
        <v>45330.0</v>
      </c>
      <c r="X1726" s="64">
        <f>DATEVALUE(tblWorkPackages[[#This Row],[Due date]])</f>
        <v>45336.0</v>
      </c>
      <c r="Y1726" s="64">
        <f>DATEVALUE(tblWorkPackages[[#This Row],[Completion date]])</f>
        <v>45333.0</v>
      </c>
      <c r="Z1726" s="64">
        <f>_xlfn.MINIFS(tblLaborEntries[Work date serial],tblLaborEntries[Work package ID],tblWorkPackages[[#This Row],[Work package ID]])</f>
        <v>45331.0</v>
      </c>
      <c r="AA1726" s="64">
        <f>_xlfn.MAXIFS(tblLaborEntries[Work date serial],tblLaborEntries[Work package ID],tblWorkPackages[[#This Row],[Work package ID]])</f>
        <v>45333.0</v>
      </c>
      <c r="AB1726" s="65">
        <f>IF(tblWorkPackages[[#This Row],[Completion date serial]]&gt;tblWorkPackages[[#This Row],[Due date serial]],1,0)</f>
        <v>0</v>
      </c>
      <c r="AC1726" s="65">
        <f>MAX(0,tblWorkPackages[[#This Row],[Completion date serial]]-tblWorkPackages[[#This Row],[Due date serial]])</f>
        <v>0</v>
      </c>
      <c r="AD1726" s="65">
        <f>tblWorkPackages[[#This Row],[First labor date]]-tblWorkPackages[[#This Row],[Request date serial]]</f>
        <v>1</v>
      </c>
      <c r="AE1726" s="65">
        <f>tblWorkPackages[[#This Row],[Last labor date]]-tblWorkPackages[[#This Row],[First labor date]]</f>
        <v>2</v>
      </c>
      <c r="AF1726" s="65">
        <f>tblWorkPackages[[#This Row],[Completion date serial]]-tblWorkPackages[[#This Row],[Last labor date]]</f>
        <v>0</v>
      </c>
      <c r="AG1726" s="65">
        <f>tblWorkPackages[[#This Row],[Completion date serial]]-tblWorkPackages[[#This Row],[Request date serial]]</f>
        <v>3</v>
      </c>
      <c r="AH1726" s="65">
        <f>IFERROR(INDEX(tblParts[Delay days],MATCH(tblWorkPackages[[#This Row],[Work package ID]],tblParts[Work package ID],0)),0)</f>
        <v>0</v>
      </c>
      <c r="AI1726" s="51" t="str">
        <f>IFERROR(INDEX(tblDisruptions[Event type],MATCH(tblWorkPackages[[#This Row],[Work package ID]],tblDisruptions[Work package ID],0)),"None")</f>
        <v>None</v>
      </c>
      <c r="AJ1726" s="51" t="str">
        <f>TEXT(tblWorkPackages[[#This Row],[Due date serial]],"yyyy-mm")</f>
        <v>2024-02</v>
      </c>
    </row>
    <row r="1727" spans="1:36" ht="15" x14ac:dyDescent="0.25">
      <c r="A1727" s="53" t="s">
        <v>2637</v>
      </c>
      <c r="B1727" s="53" t="s">
        <v>168</v>
      </c>
      <c r="C1727" s="53" t="s">
        <v>450</v>
      </c>
      <c r="D1727" s="53" t="s">
        <v>1205</v>
      </c>
      <c r="E1727" s="53" t="s">
        <v>153</v>
      </c>
      <c r="F1727" s="53" t="s">
        <v>128</v>
      </c>
      <c r="G1727" s="53" t="s">
        <v>154</v>
      </c>
      <c r="H1727" s="53">
        <v>4</v>
      </c>
      <c r="I1727" s="53" t="s">
        <v>130</v>
      </c>
      <c r="J1727" s="53">
        <v>0</v>
      </c>
      <c r="K1727" s="53">
        <v>0</v>
      </c>
      <c r="L1727" s="53">
        <v>17.899999999999999</v>
      </c>
      <c r="M1727" s="53" t="s">
        <v>1204</v>
      </c>
      <c r="N1727" s="53">
        <v>22.2</v>
      </c>
      <c r="O1727" s="51" t="str">
        <f>TEXT(tblWorkPackages[[#This Row],[Request date serial]]-WEEKDAY(tblWorkPackages[[#This Row],[Request date serial]],3),"yyyy-mm-dd")</f>
        <v>2024-07-08</v>
      </c>
      <c r="P1727" s="51">
        <f>ABS(tblWorkPackages[[#This Row],[Actual labor hours]]-tblWorkPackages[[#This Row],[Estimated labor hours]])</f>
        <v>4.3</v>
      </c>
      <c r="Q1727" s="51">
        <f>IF(tblWorkPackages[[#This Row],[Actual labor hours]]&gt;tblWorkPackages[[#This Row],[Estimated labor hours]],1,0)</f>
        <v>1</v>
      </c>
      <c r="R1727" s="51">
        <f>tblWorkPackages[[#This Row],[Actual labor hours]]-tblWorkPackages[[#This Row],[Estimated labor hours]]</f>
        <v>4.3</v>
      </c>
      <c r="S1727" s="51" t="str">
        <f>IF(tblWorkPackages[[#This Row],[Request date serial]]&lt;ValidationStart,"Train 2024",IF(tblWorkPackages[[#This Row],[Request date serial]]&lt;HoldoutStart,"Validation H1","Holdout H2"))</f>
        <v>Train 2024</v>
      </c>
      <c r="T1727" s="51" t="str">
        <f>IF(tblWorkPackages[[#This Row],[Time split]]="Train 2024","",tblWorkPackages[[#This Row],[Estimated labor hours]]+VLOOKUP(tblWorkPackages[[#This Row],[Task type]],'Forecast validation'!$A$14:$E$25,IF(tblWorkPackages[[#This Row],[Time split]]="Validation H1",4,5),FALSE()))</f>
        <v/>
      </c>
      <c r="U1727" s="51" t="str">
        <f>IF(tblWorkPackages[[#This Row],[Calibrated forecast hours]]="","",ABS(tblWorkPackages[[#This Row],[Actual labor hours]]-tblWorkPackages[[#This Row],[Calibrated forecast hours]]))</f>
        <v/>
      </c>
      <c r="V1727" s="51">
        <f>IF(tblWorkPackages[[#This Row],[Time split]]="Train 2024",tblWorkPackages[[#This Row],[Estimated labor hours]],tblWorkPackages[[#This Row],[Calibrated forecast hours]])</f>
        <v>17.9</v>
      </c>
      <c r="W1727" s="64">
        <f>DATEVALUE(tblWorkPackages[[#This Row],[Request date]])</f>
        <v>45487.0</v>
      </c>
      <c r="X1727" s="64">
        <f>DATEVALUE(tblWorkPackages[[#This Row],[Due date]])</f>
        <v>45500.0</v>
      </c>
      <c r="Y1727" s="64">
        <f>DATEVALUE(tblWorkPackages[[#This Row],[Completion date]])</f>
        <v>45503.0</v>
      </c>
      <c r="Z1727" s="64">
        <f>_xlfn.MINIFS(tblLaborEntries[Work date serial],tblLaborEntries[Work package ID],tblWorkPackages[[#This Row],[Work package ID]])</f>
        <v>45500.0</v>
      </c>
      <c r="AA1727" s="64">
        <f>_xlfn.MAXIFS(tblLaborEntries[Work date serial],tblLaborEntries[Work package ID],tblWorkPackages[[#This Row],[Work package ID]])</f>
        <v>45502.0</v>
      </c>
      <c r="AB1727" s="65">
        <f>IF(tblWorkPackages[[#This Row],[Completion date serial]]&gt;tblWorkPackages[[#This Row],[Due date serial]],1,0)</f>
        <v>1</v>
      </c>
      <c r="AC1727" s="65">
        <f>MAX(0,tblWorkPackages[[#This Row],[Completion date serial]]-tblWorkPackages[[#This Row],[Due date serial]])</f>
        <v>3</v>
      </c>
      <c r="AD1727" s="65">
        <f>tblWorkPackages[[#This Row],[First labor date]]-tblWorkPackages[[#This Row],[Request date serial]]</f>
        <v>13</v>
      </c>
      <c r="AE1727" s="65">
        <f>tblWorkPackages[[#This Row],[Last labor date]]-tblWorkPackages[[#This Row],[First labor date]]</f>
        <v>2</v>
      </c>
      <c r="AF1727" s="65">
        <f>tblWorkPackages[[#This Row],[Completion date serial]]-tblWorkPackages[[#This Row],[Last labor date]]</f>
        <v>1</v>
      </c>
      <c r="AG1727" s="65">
        <f>tblWorkPackages[[#This Row],[Completion date serial]]-tblWorkPackages[[#This Row],[Request date serial]]</f>
        <v>16</v>
      </c>
      <c r="AH1727" s="65">
        <f>IFERROR(INDEX(tblParts[Delay days],MATCH(tblWorkPackages[[#This Row],[Work package ID]],tblParts[Work package ID],0)),0)</f>
        <v>0</v>
      </c>
      <c r="AI1727" s="51" t="str">
        <f>IFERROR(INDEX(tblDisruptions[Event type],MATCH(tblWorkPackages[[#This Row],[Work package ID]],tblDisruptions[Work package ID],0)),"None")</f>
        <v>Repeat inspection</v>
      </c>
      <c r="AJ1727" s="51" t="str">
        <f>TEXT(tblWorkPackages[[#This Row],[Due date serial]],"yyyy-mm")</f>
        <v>2024-07</v>
      </c>
    </row>
    <row r="1728" spans="1:36" ht="15" x14ac:dyDescent="0.25">
      <c r="A1728" s="53" t="s">
        <v>2638</v>
      </c>
      <c r="B1728" s="53" t="s">
        <v>168</v>
      </c>
      <c r="C1728" s="53" t="s">
        <v>1033</v>
      </c>
      <c r="D1728" s="53" t="s">
        <v>865</v>
      </c>
      <c r="E1728" s="53" t="s">
        <v>144</v>
      </c>
      <c r="F1728" s="53" t="s">
        <v>145</v>
      </c>
      <c r="G1728" s="53" t="s">
        <v>146</v>
      </c>
      <c r="H1728" s="53">
        <v>2</v>
      </c>
      <c r="I1728" s="53" t="s">
        <v>176</v>
      </c>
      <c r="J1728" s="53">
        <v>0</v>
      </c>
      <c r="K1728" s="53">
        <v>1</v>
      </c>
      <c r="L1728" s="53">
        <v>11.3</v>
      </c>
      <c r="M1728" s="53" t="s">
        <v>762</v>
      </c>
      <c r="N1728" s="53">
        <v>15</v>
      </c>
      <c r="O1728" s="51" t="str">
        <f>TEXT(tblWorkPackages[[#This Row],[Request date serial]]-WEEKDAY(tblWorkPackages[[#This Row],[Request date serial]],3),"yyyy-mm-dd")</f>
        <v>2024-05-27</v>
      </c>
      <c r="P1728" s="51">
        <f>ABS(tblWorkPackages[[#This Row],[Actual labor hours]]-tblWorkPackages[[#This Row],[Estimated labor hours]])</f>
        <v>3.7</v>
      </c>
      <c r="Q1728" s="51">
        <f>IF(tblWorkPackages[[#This Row],[Actual labor hours]]&gt;tblWorkPackages[[#This Row],[Estimated labor hours]],1,0)</f>
        <v>1</v>
      </c>
      <c r="R1728" s="51">
        <f>tblWorkPackages[[#This Row],[Actual labor hours]]-tblWorkPackages[[#This Row],[Estimated labor hours]]</f>
        <v>3.7</v>
      </c>
      <c r="S1728" s="51" t="str">
        <f>IF(tblWorkPackages[[#This Row],[Request date serial]]&lt;ValidationStart,"Train 2024",IF(tblWorkPackages[[#This Row],[Request date serial]]&lt;HoldoutStart,"Validation H1","Holdout H2"))</f>
        <v>Train 2024</v>
      </c>
      <c r="T1728" s="51" t="str">
        <f>IF(tblWorkPackages[[#This Row],[Time split]]="Train 2024","",tblWorkPackages[[#This Row],[Estimated labor hours]]+VLOOKUP(tblWorkPackages[[#This Row],[Task type]],'Forecast validation'!$A$14:$E$25,IF(tblWorkPackages[[#This Row],[Time split]]="Validation H1",4,5),FALSE()))</f>
        <v/>
      </c>
      <c r="U1728" s="51" t="str">
        <f>IF(tblWorkPackages[[#This Row],[Calibrated forecast hours]]="","",ABS(tblWorkPackages[[#This Row],[Actual labor hours]]-tblWorkPackages[[#This Row],[Calibrated forecast hours]]))</f>
        <v/>
      </c>
      <c r="V1728" s="51">
        <f>IF(tblWorkPackages[[#This Row],[Time split]]="Train 2024",tblWorkPackages[[#This Row],[Estimated labor hours]],tblWorkPackages[[#This Row],[Calibrated forecast hours]])</f>
        <v>11.3</v>
      </c>
      <c r="W1728" s="64">
        <f>DATEVALUE(tblWorkPackages[[#This Row],[Request date]])</f>
        <v>45445.0</v>
      </c>
      <c r="X1728" s="64">
        <f>DATEVALUE(tblWorkPackages[[#This Row],[Due date]])</f>
        <v>45451.0</v>
      </c>
      <c r="Y1728" s="64">
        <f>DATEVALUE(tblWorkPackages[[#This Row],[Completion date]])</f>
        <v>45452.0</v>
      </c>
      <c r="Z1728" s="64">
        <f>_xlfn.MINIFS(tblLaborEntries[Work date serial],tblLaborEntries[Work package ID],tblWorkPackages[[#This Row],[Work package ID]])</f>
        <v>45450.0</v>
      </c>
      <c r="AA1728" s="64">
        <f>_xlfn.MAXIFS(tblLaborEntries[Work date serial],tblLaborEntries[Work package ID],tblWorkPackages[[#This Row],[Work package ID]])</f>
        <v>45450.0</v>
      </c>
      <c r="AB1728" s="65">
        <f>IF(tblWorkPackages[[#This Row],[Completion date serial]]&gt;tblWorkPackages[[#This Row],[Due date serial]],1,0)</f>
        <v>1</v>
      </c>
      <c r="AC1728" s="65">
        <f>MAX(0,tblWorkPackages[[#This Row],[Completion date serial]]-tblWorkPackages[[#This Row],[Due date serial]])</f>
        <v>1</v>
      </c>
      <c r="AD1728" s="65">
        <f>tblWorkPackages[[#This Row],[First labor date]]-tblWorkPackages[[#This Row],[Request date serial]]</f>
        <v>5</v>
      </c>
      <c r="AE1728" s="65">
        <f>tblWorkPackages[[#This Row],[Last labor date]]-tblWorkPackages[[#This Row],[First labor date]]</f>
        <v>0</v>
      </c>
      <c r="AF1728" s="65">
        <f>tblWorkPackages[[#This Row],[Completion date serial]]-tblWorkPackages[[#This Row],[Last labor date]]</f>
        <v>2</v>
      </c>
      <c r="AG1728" s="65">
        <f>tblWorkPackages[[#This Row],[Completion date serial]]-tblWorkPackages[[#This Row],[Request date serial]]</f>
        <v>7</v>
      </c>
      <c r="AH1728" s="65">
        <f>IFERROR(INDEX(tblParts[Delay days],MATCH(tblWorkPackages[[#This Row],[Work package ID]],tblParts[Work package ID],0)),0)</f>
        <v>2</v>
      </c>
      <c r="AI1728" s="51" t="str">
        <f>IFERROR(INDEX(tblDisruptions[Event type],MATCH(tblWorkPackages[[#This Row],[Work package ID]],tblDisruptions[Work package ID],0)),"None")</f>
        <v>Part delay</v>
      </c>
      <c r="AJ1728" s="51" t="str">
        <f>TEXT(tblWorkPackages[[#This Row],[Due date serial]],"yyyy-mm")</f>
        <v>2024-06</v>
      </c>
    </row>
    <row r="1729" spans="1:36" ht="15" x14ac:dyDescent="0.25">
      <c r="A1729" s="53" t="s">
        <v>2639</v>
      </c>
      <c r="B1729" s="53" t="s">
        <v>250</v>
      </c>
      <c r="C1729" s="53" t="s">
        <v>2048</v>
      </c>
      <c r="D1729" s="53" t="s">
        <v>349</v>
      </c>
      <c r="E1729" s="53" t="s">
        <v>160</v>
      </c>
      <c r="F1729" s="53" t="s">
        <v>128</v>
      </c>
      <c r="G1729" s="53" t="s">
        <v>138</v>
      </c>
      <c r="H1729" s="53">
        <v>2</v>
      </c>
      <c r="I1729" s="53" t="s">
        <v>130</v>
      </c>
      <c r="J1729" s="53">
        <v>0</v>
      </c>
      <c r="K1729" s="53">
        <v>1</v>
      </c>
      <c r="L1729" s="53">
        <v>4.5</v>
      </c>
      <c r="M1729" s="53" t="s">
        <v>1053</v>
      </c>
      <c r="N1729" s="53">
        <v>5.4</v>
      </c>
      <c r="O1729" s="51" t="str">
        <f>TEXT(tblWorkPackages[[#This Row],[Request date serial]]-WEEKDAY(tblWorkPackages[[#This Row],[Request date serial]],3),"yyyy-mm-dd")</f>
        <v>2024-01-01</v>
      </c>
      <c r="P1729" s="51">
        <f>ABS(tblWorkPackages[[#This Row],[Actual labor hours]]-tblWorkPackages[[#This Row],[Estimated labor hours]])</f>
        <v>0.9</v>
      </c>
      <c r="Q1729" s="51">
        <f>IF(tblWorkPackages[[#This Row],[Actual labor hours]]&gt;tblWorkPackages[[#This Row],[Estimated labor hours]],1,0)</f>
        <v>1</v>
      </c>
      <c r="R1729" s="51">
        <f>tblWorkPackages[[#This Row],[Actual labor hours]]-tblWorkPackages[[#This Row],[Estimated labor hours]]</f>
        <v>0.9</v>
      </c>
      <c r="S1729" s="51" t="str">
        <f>IF(tblWorkPackages[[#This Row],[Request date serial]]&lt;ValidationStart,"Train 2024",IF(tblWorkPackages[[#This Row],[Request date serial]]&lt;HoldoutStart,"Validation H1","Holdout H2"))</f>
        <v>Train 2024</v>
      </c>
      <c r="T1729" s="51" t="str">
        <f>IF(tblWorkPackages[[#This Row],[Time split]]="Train 2024","",tblWorkPackages[[#This Row],[Estimated labor hours]]+VLOOKUP(tblWorkPackages[[#This Row],[Task type]],'Forecast validation'!$A$14:$E$25,IF(tblWorkPackages[[#This Row],[Time split]]="Validation H1",4,5),FALSE()))</f>
        <v/>
      </c>
      <c r="U1729" s="51" t="str">
        <f>IF(tblWorkPackages[[#This Row],[Calibrated forecast hours]]="","",ABS(tblWorkPackages[[#This Row],[Actual labor hours]]-tblWorkPackages[[#This Row],[Calibrated forecast hours]]))</f>
        <v/>
      </c>
      <c r="V1729" s="51">
        <f>IF(tblWorkPackages[[#This Row],[Time split]]="Train 2024",tblWorkPackages[[#This Row],[Estimated labor hours]],tblWorkPackages[[#This Row],[Calibrated forecast hours]])</f>
        <v>4.5</v>
      </c>
      <c r="W1729" s="64">
        <f>DATEVALUE(tblWorkPackages[[#This Row],[Request date]])</f>
        <v>45297.0</v>
      </c>
      <c r="X1729" s="64">
        <f>DATEVALUE(tblWorkPackages[[#This Row],[Due date]])</f>
        <v>45310.0</v>
      </c>
      <c r="Y1729" s="64">
        <f>DATEVALUE(tblWorkPackages[[#This Row],[Completion date]])</f>
        <v>45345.0</v>
      </c>
      <c r="Z1729" s="64">
        <f>_xlfn.MINIFS(tblLaborEntries[Work date serial],tblLaborEntries[Work package ID],tblWorkPackages[[#This Row],[Work package ID]])</f>
        <v>45340.0</v>
      </c>
      <c r="AA1729" s="64">
        <f>_xlfn.MAXIFS(tblLaborEntries[Work date serial],tblLaborEntries[Work package ID],tblWorkPackages[[#This Row],[Work package ID]])</f>
        <v>45342.0</v>
      </c>
      <c r="AB1729" s="65">
        <f>IF(tblWorkPackages[[#This Row],[Completion date serial]]&gt;tblWorkPackages[[#This Row],[Due date serial]],1,0)</f>
        <v>1</v>
      </c>
      <c r="AC1729" s="65">
        <f>MAX(0,tblWorkPackages[[#This Row],[Completion date serial]]-tblWorkPackages[[#This Row],[Due date serial]])</f>
        <v>35</v>
      </c>
      <c r="AD1729" s="65">
        <f>tblWorkPackages[[#This Row],[First labor date]]-tblWorkPackages[[#This Row],[Request date serial]]</f>
        <v>43</v>
      </c>
      <c r="AE1729" s="65">
        <f>tblWorkPackages[[#This Row],[Last labor date]]-tblWorkPackages[[#This Row],[First labor date]]</f>
        <v>2</v>
      </c>
      <c r="AF1729" s="65">
        <f>tblWorkPackages[[#This Row],[Completion date serial]]-tblWorkPackages[[#This Row],[Last labor date]]</f>
        <v>3</v>
      </c>
      <c r="AG1729" s="65">
        <f>tblWorkPackages[[#This Row],[Completion date serial]]-tblWorkPackages[[#This Row],[Request date serial]]</f>
        <v>48</v>
      </c>
      <c r="AH1729" s="65">
        <f>IFERROR(INDEX(tblParts[Delay days],MATCH(tblWorkPackages[[#This Row],[Work package ID]],tblParts[Work package ID],0)),0)</f>
        <v>0</v>
      </c>
      <c r="AI1729" s="51" t="str">
        <f>IFERROR(INDEX(tblDisruptions[Event type],MATCH(tblWorkPackages[[#This Row],[Work package ID]],tblDisruptions[Work package ID],0)),"None")</f>
        <v>None</v>
      </c>
      <c r="AJ1729" s="51" t="str">
        <f>TEXT(tblWorkPackages[[#This Row],[Due date serial]],"yyyy-mm")</f>
        <v>2024-01</v>
      </c>
    </row>
    <row r="1730" spans="1:36" ht="15" x14ac:dyDescent="0.25">
      <c r="A1730" s="53" t="s">
        <v>2640</v>
      </c>
      <c r="B1730" s="53" t="s">
        <v>141</v>
      </c>
      <c r="C1730" s="53" t="s">
        <v>402</v>
      </c>
      <c r="D1730" s="53" t="s">
        <v>194</v>
      </c>
      <c r="E1730" s="53" t="s">
        <v>200</v>
      </c>
      <c r="F1730" s="53" t="s">
        <v>128</v>
      </c>
      <c r="G1730" s="53" t="s">
        <v>129</v>
      </c>
      <c r="H1730" s="53">
        <v>2</v>
      </c>
      <c r="I1730" s="53" t="s">
        <v>130</v>
      </c>
      <c r="J1730" s="53">
        <v>0</v>
      </c>
      <c r="K1730" s="53">
        <v>1</v>
      </c>
      <c r="L1730" s="53">
        <v>2.7</v>
      </c>
      <c r="M1730" s="53" t="s">
        <v>986</v>
      </c>
      <c r="N1730" s="53">
        <v>3.4</v>
      </c>
      <c r="O1730" s="51" t="str">
        <f>TEXT(tblWorkPackages[[#This Row],[Request date serial]]-WEEKDAY(tblWorkPackages[[#This Row],[Request date serial]],3),"yyyy-mm-dd")</f>
        <v>2024-09-23</v>
      </c>
      <c r="P1730" s="51">
        <f>ABS(tblWorkPackages[[#This Row],[Actual labor hours]]-tblWorkPackages[[#This Row],[Estimated labor hours]])</f>
        <v>0.7</v>
      </c>
      <c r="Q1730" s="51">
        <f>IF(tblWorkPackages[[#This Row],[Actual labor hours]]&gt;tblWorkPackages[[#This Row],[Estimated labor hours]],1,0)</f>
        <v>1</v>
      </c>
      <c r="R1730" s="51">
        <f>tblWorkPackages[[#This Row],[Actual labor hours]]-tblWorkPackages[[#This Row],[Estimated labor hours]]</f>
        <v>0.7</v>
      </c>
      <c r="S1730" s="51" t="str">
        <f>IF(tblWorkPackages[[#This Row],[Request date serial]]&lt;ValidationStart,"Train 2024",IF(tblWorkPackages[[#This Row],[Request date serial]]&lt;HoldoutStart,"Validation H1","Holdout H2"))</f>
        <v>Train 2024</v>
      </c>
      <c r="T1730" s="51" t="str">
        <f>IF(tblWorkPackages[[#This Row],[Time split]]="Train 2024","",tblWorkPackages[[#This Row],[Estimated labor hours]]+VLOOKUP(tblWorkPackages[[#This Row],[Task type]],'Forecast validation'!$A$14:$E$25,IF(tblWorkPackages[[#This Row],[Time split]]="Validation H1",4,5),FALSE()))</f>
        <v/>
      </c>
      <c r="U1730" s="51" t="str">
        <f>IF(tblWorkPackages[[#This Row],[Calibrated forecast hours]]="","",ABS(tblWorkPackages[[#This Row],[Actual labor hours]]-tblWorkPackages[[#This Row],[Calibrated forecast hours]]))</f>
        <v/>
      </c>
      <c r="V1730" s="51">
        <f>IF(tblWorkPackages[[#This Row],[Time split]]="Train 2024",tblWorkPackages[[#This Row],[Estimated labor hours]],tblWorkPackages[[#This Row],[Calibrated forecast hours]])</f>
        <v>2.7</v>
      </c>
      <c r="W1730" s="64">
        <f>DATEVALUE(tblWorkPackages[[#This Row],[Request date]])</f>
        <v>45561.0</v>
      </c>
      <c r="X1730" s="64">
        <f>DATEVALUE(tblWorkPackages[[#This Row],[Due date]])</f>
        <v>45574.0</v>
      </c>
      <c r="Y1730" s="64">
        <f>DATEVALUE(tblWorkPackages[[#This Row],[Completion date]])</f>
        <v>45569.0</v>
      </c>
      <c r="Z1730" s="64">
        <f>_xlfn.MINIFS(tblLaborEntries[Work date serial],tblLaborEntries[Work package ID],tblWorkPackages[[#This Row],[Work package ID]])</f>
        <v>45568.0</v>
      </c>
      <c r="AA1730" s="64">
        <f>_xlfn.MAXIFS(tblLaborEntries[Work date serial],tblLaborEntries[Work package ID],tblWorkPackages[[#This Row],[Work package ID]])</f>
        <v>45569.0</v>
      </c>
      <c r="AB1730" s="65">
        <f>IF(tblWorkPackages[[#This Row],[Completion date serial]]&gt;tblWorkPackages[[#This Row],[Due date serial]],1,0)</f>
        <v>0</v>
      </c>
      <c r="AC1730" s="65">
        <f>MAX(0,tblWorkPackages[[#This Row],[Completion date serial]]-tblWorkPackages[[#This Row],[Due date serial]])</f>
        <v>0</v>
      </c>
      <c r="AD1730" s="65">
        <f>tblWorkPackages[[#This Row],[First labor date]]-tblWorkPackages[[#This Row],[Request date serial]]</f>
        <v>7</v>
      </c>
      <c r="AE1730" s="65">
        <f>tblWorkPackages[[#This Row],[Last labor date]]-tblWorkPackages[[#This Row],[First labor date]]</f>
        <v>1</v>
      </c>
      <c r="AF1730" s="65">
        <f>tblWorkPackages[[#This Row],[Completion date serial]]-tblWorkPackages[[#This Row],[Last labor date]]</f>
        <v>0</v>
      </c>
      <c r="AG1730" s="65">
        <f>tblWorkPackages[[#This Row],[Completion date serial]]-tblWorkPackages[[#This Row],[Request date serial]]</f>
        <v>8</v>
      </c>
      <c r="AH1730" s="65">
        <f>IFERROR(INDEX(tblParts[Delay days],MATCH(tblWorkPackages[[#This Row],[Work package ID]],tblParts[Work package ID],0)),0)</f>
        <v>0</v>
      </c>
      <c r="AI1730" s="51" t="str">
        <f>IFERROR(INDEX(tblDisruptions[Event type],MATCH(tblWorkPackages[[#This Row],[Work package ID]],tblDisruptions[Work package ID],0)),"None")</f>
        <v>None</v>
      </c>
      <c r="AJ1730" s="51" t="str">
        <f>TEXT(tblWorkPackages[[#This Row],[Due date serial]],"yyyy-mm")</f>
        <v>2024-10</v>
      </c>
    </row>
    <row r="1731" spans="1:36" ht="15" x14ac:dyDescent="0.25">
      <c r="A1731" s="53" t="s">
        <v>2641</v>
      </c>
      <c r="B1731" s="53" t="s">
        <v>124</v>
      </c>
      <c r="C1731" s="53" t="s">
        <v>716</v>
      </c>
      <c r="D1731" s="53" t="s">
        <v>354</v>
      </c>
      <c r="E1731" s="53" t="s">
        <v>242</v>
      </c>
      <c r="F1731" s="53" t="s">
        <v>243</v>
      </c>
      <c r="G1731" s="53" t="s">
        <v>129</v>
      </c>
      <c r="H1731" s="53">
        <v>3</v>
      </c>
      <c r="I1731" s="53" t="s">
        <v>176</v>
      </c>
      <c r="J1731" s="53">
        <v>1</v>
      </c>
      <c r="K1731" s="53">
        <v>1</v>
      </c>
      <c r="L1731" s="53">
        <v>12.7</v>
      </c>
      <c r="M1731" s="53" t="s">
        <v>187</v>
      </c>
      <c r="N1731" s="53">
        <v>16.899999999999999</v>
      </c>
      <c r="O1731" s="51" t="str">
        <f>TEXT(tblWorkPackages[[#This Row],[Request date serial]]-WEEKDAY(tblWorkPackages[[#This Row],[Request date serial]],3),"yyyy-mm-dd")</f>
        <v>2025-02-17</v>
      </c>
      <c r="P1731" s="51">
        <f>ABS(tblWorkPackages[[#This Row],[Actual labor hours]]-tblWorkPackages[[#This Row],[Estimated labor hours]])</f>
        <v>4.2</v>
      </c>
      <c r="Q1731" s="51">
        <f>IF(tblWorkPackages[[#This Row],[Actual labor hours]]&gt;tblWorkPackages[[#This Row],[Estimated labor hours]],1,0)</f>
        <v>1</v>
      </c>
      <c r="R1731" s="51">
        <f>tblWorkPackages[[#This Row],[Actual labor hours]]-tblWorkPackages[[#This Row],[Estimated labor hours]]</f>
        <v>4.2</v>
      </c>
      <c r="S1731" s="51" t="str">
        <f>IF(tblWorkPackages[[#This Row],[Request date serial]]&lt;ValidationStart,"Train 2024",IF(tblWorkPackages[[#This Row],[Request date serial]]&lt;HoldoutStart,"Validation H1","Holdout H2"))</f>
        <v>Validation H1</v>
      </c>
      <c r="T1731" s="51">
        <f>IF(tblWorkPackages[[#This Row],[Time split]]="Train 2024","",tblWorkPackages[[#This Row],[Estimated labor hours]]+VLOOKUP(tblWorkPackages[[#This Row],[Task type]],'Forecast validation'!$A$14:$E$25,IF(tblWorkPackages[[#This Row],[Time split]]="Validation H1",4,5),FALSE()))</f>
        <v>13.2561224489796</v>
      </c>
      <c r="U1731" s="51">
        <f>IF(tblWorkPackages[[#This Row],[Calibrated forecast hours]]="","",ABS(tblWorkPackages[[#This Row],[Actual labor hours]]-tblWorkPackages[[#This Row],[Calibrated forecast hours]]))</f>
        <v>3.64387755102041</v>
      </c>
      <c r="V1731" s="51">
        <f>IF(tblWorkPackages[[#This Row],[Time split]]="Train 2024",tblWorkPackages[[#This Row],[Estimated labor hours]],tblWorkPackages[[#This Row],[Calibrated forecast hours]])</f>
        <v>13.2561224489796</v>
      </c>
      <c r="W1731" s="64">
        <f>DATEVALUE(tblWorkPackages[[#This Row],[Request date]])</f>
        <v>45710.0</v>
      </c>
      <c r="X1731" s="64">
        <f>DATEVALUE(tblWorkPackages[[#This Row],[Due date]])</f>
        <v>45716.0</v>
      </c>
      <c r="Y1731" s="64">
        <f>DATEVALUE(tblWorkPackages[[#This Row],[Completion date]])</f>
        <v>45713.0</v>
      </c>
      <c r="Z1731" s="64">
        <f>_xlfn.MINIFS(tblLaborEntries[Work date serial],tblLaborEntries[Work package ID],tblWorkPackages[[#This Row],[Work package ID]])</f>
        <v>45712.0</v>
      </c>
      <c r="AA1731" s="64">
        <f>_xlfn.MAXIFS(tblLaborEntries[Work date serial],tblLaborEntries[Work package ID],tblWorkPackages[[#This Row],[Work package ID]])</f>
        <v>45712.0</v>
      </c>
      <c r="AB1731" s="65">
        <f>IF(tblWorkPackages[[#This Row],[Completion date serial]]&gt;tblWorkPackages[[#This Row],[Due date serial]],1,0)</f>
        <v>0</v>
      </c>
      <c r="AC1731" s="65">
        <f>MAX(0,tblWorkPackages[[#This Row],[Completion date serial]]-tblWorkPackages[[#This Row],[Due date serial]])</f>
        <v>0</v>
      </c>
      <c r="AD1731" s="65">
        <f>tblWorkPackages[[#This Row],[First labor date]]-tblWorkPackages[[#This Row],[Request date serial]]</f>
        <v>2</v>
      </c>
      <c r="AE1731" s="65">
        <f>tblWorkPackages[[#This Row],[Last labor date]]-tblWorkPackages[[#This Row],[First labor date]]</f>
        <v>0</v>
      </c>
      <c r="AF1731" s="65">
        <f>tblWorkPackages[[#This Row],[Completion date serial]]-tblWorkPackages[[#This Row],[Last labor date]]</f>
        <v>1</v>
      </c>
      <c r="AG1731" s="65">
        <f>tblWorkPackages[[#This Row],[Completion date serial]]-tblWorkPackages[[#This Row],[Request date serial]]</f>
        <v>3</v>
      </c>
      <c r="AH1731" s="65">
        <f>IFERROR(INDEX(tblParts[Delay days],MATCH(tblWorkPackages[[#This Row],[Work package ID]],tblParts[Work package ID],0)),0)</f>
        <v>0</v>
      </c>
      <c r="AI1731" s="51" t="str">
        <f>IFERROR(INDEX(tblDisruptions[Event type],MATCH(tblWorkPackages[[#This Row],[Work package ID]],tblDisruptions[Work package ID],0)),"None")</f>
        <v>None</v>
      </c>
      <c r="AJ1731" s="51" t="str">
        <f>TEXT(tblWorkPackages[[#This Row],[Due date serial]],"yyyy-mm")</f>
        <v>2025-02</v>
      </c>
    </row>
    <row r="1732" spans="1:36" ht="15" x14ac:dyDescent="0.25">
      <c r="A1732" s="53" t="s">
        <v>2642</v>
      </c>
      <c r="B1732" s="53" t="s">
        <v>287</v>
      </c>
      <c r="C1732" s="53" t="s">
        <v>660</v>
      </c>
      <c r="D1732" s="53" t="s">
        <v>986</v>
      </c>
      <c r="E1732" s="53" t="s">
        <v>272</v>
      </c>
      <c r="F1732" s="53" t="s">
        <v>145</v>
      </c>
      <c r="G1732" s="53" t="s">
        <v>273</v>
      </c>
      <c r="H1732" s="53">
        <v>4</v>
      </c>
      <c r="I1732" s="53" t="s">
        <v>130</v>
      </c>
      <c r="J1732" s="53">
        <v>0</v>
      </c>
      <c r="K1732" s="53">
        <v>1</v>
      </c>
      <c r="L1732" s="53">
        <v>19.2</v>
      </c>
      <c r="M1732" s="53" t="s">
        <v>722</v>
      </c>
      <c r="N1732" s="53">
        <v>17.2</v>
      </c>
      <c r="O1732" s="51" t="str">
        <f>TEXT(tblWorkPackages[[#This Row],[Request date serial]]-WEEKDAY(tblWorkPackages[[#This Row],[Request date serial]],3),"yyyy-mm-dd")</f>
        <v>2024-09-16</v>
      </c>
      <c r="P1732" s="51">
        <f>ABS(tblWorkPackages[[#This Row],[Actual labor hours]]-tblWorkPackages[[#This Row],[Estimated labor hours]])</f>
        <v>2</v>
      </c>
      <c r="Q1732" s="51">
        <f>IF(tblWorkPackages[[#This Row],[Actual labor hours]]&gt;tblWorkPackages[[#This Row],[Estimated labor hours]],1,0)</f>
        <v>0</v>
      </c>
      <c r="R1732" s="51">
        <f>tblWorkPackages[[#This Row],[Actual labor hours]]-tblWorkPackages[[#This Row],[Estimated labor hours]]</f>
        <v>-2</v>
      </c>
      <c r="S1732" s="51" t="str">
        <f>IF(tblWorkPackages[[#This Row],[Request date serial]]&lt;ValidationStart,"Train 2024",IF(tblWorkPackages[[#This Row],[Request date serial]]&lt;HoldoutStart,"Validation H1","Holdout H2"))</f>
        <v>Train 2024</v>
      </c>
      <c r="T1732" s="51" t="str">
        <f>IF(tblWorkPackages[[#This Row],[Time split]]="Train 2024","",tblWorkPackages[[#This Row],[Estimated labor hours]]+VLOOKUP(tblWorkPackages[[#This Row],[Task type]],'Forecast validation'!$A$14:$E$25,IF(tblWorkPackages[[#This Row],[Time split]]="Validation H1",4,5),FALSE()))</f>
        <v/>
      </c>
      <c r="U1732" s="51" t="str">
        <f>IF(tblWorkPackages[[#This Row],[Calibrated forecast hours]]="","",ABS(tblWorkPackages[[#This Row],[Actual labor hours]]-tblWorkPackages[[#This Row],[Calibrated forecast hours]]))</f>
        <v/>
      </c>
      <c r="V1732" s="51">
        <f>IF(tblWorkPackages[[#This Row],[Time split]]="Train 2024",tblWorkPackages[[#This Row],[Estimated labor hours]],tblWorkPackages[[#This Row],[Calibrated forecast hours]])</f>
        <v>19.2</v>
      </c>
      <c r="W1732" s="64">
        <f>DATEVALUE(tblWorkPackages[[#This Row],[Request date]])</f>
        <v>45556.0</v>
      </c>
      <c r="X1732" s="64">
        <f>DATEVALUE(tblWorkPackages[[#This Row],[Due date]])</f>
        <v>45569.0</v>
      </c>
      <c r="Y1732" s="64">
        <f>DATEVALUE(tblWorkPackages[[#This Row],[Completion date]])</f>
        <v>45576.0</v>
      </c>
      <c r="Z1732" s="64">
        <f>_xlfn.MINIFS(tblLaborEntries[Work date serial],tblLaborEntries[Work package ID],tblWorkPackages[[#This Row],[Work package ID]])</f>
        <v>45574.0</v>
      </c>
      <c r="AA1732" s="64">
        <f>_xlfn.MAXIFS(tblLaborEntries[Work date serial],tblLaborEntries[Work package ID],tblWorkPackages[[#This Row],[Work package ID]])</f>
        <v>45574.0</v>
      </c>
      <c r="AB1732" s="65">
        <f>IF(tblWorkPackages[[#This Row],[Completion date serial]]&gt;tblWorkPackages[[#This Row],[Due date serial]],1,0)</f>
        <v>1</v>
      </c>
      <c r="AC1732" s="65">
        <f>MAX(0,tblWorkPackages[[#This Row],[Completion date serial]]-tblWorkPackages[[#This Row],[Due date serial]])</f>
        <v>7</v>
      </c>
      <c r="AD1732" s="65">
        <f>tblWorkPackages[[#This Row],[First labor date]]-tblWorkPackages[[#This Row],[Request date serial]]</f>
        <v>18</v>
      </c>
      <c r="AE1732" s="65">
        <f>tblWorkPackages[[#This Row],[Last labor date]]-tblWorkPackages[[#This Row],[First labor date]]</f>
        <v>0</v>
      </c>
      <c r="AF1732" s="65">
        <f>tblWorkPackages[[#This Row],[Completion date serial]]-tblWorkPackages[[#This Row],[Last labor date]]</f>
        <v>2</v>
      </c>
      <c r="AG1732" s="65">
        <f>tblWorkPackages[[#This Row],[Completion date serial]]-tblWorkPackages[[#This Row],[Request date serial]]</f>
        <v>20</v>
      </c>
      <c r="AH1732" s="65">
        <f>IFERROR(INDEX(tblParts[Delay days],MATCH(tblWorkPackages[[#This Row],[Work package ID]],tblParts[Work package ID],0)),0)</f>
        <v>0</v>
      </c>
      <c r="AI1732" s="51" t="str">
        <f>IFERROR(INDEX(tblDisruptions[Event type],MATCH(tblWorkPackages[[#This Row],[Work package ID]],tblDisruptions[Work package ID],0)),"None")</f>
        <v>None</v>
      </c>
      <c r="AJ1732" s="51" t="str">
        <f>TEXT(tblWorkPackages[[#This Row],[Due date serial]],"yyyy-mm")</f>
        <v>2024-10</v>
      </c>
    </row>
    <row r="1733" spans="1:36" ht="15" x14ac:dyDescent="0.25">
      <c r="A1733" s="53" t="s">
        <v>2643</v>
      </c>
      <c r="B1733" s="53" t="s">
        <v>287</v>
      </c>
      <c r="C1733" s="53" t="s">
        <v>597</v>
      </c>
      <c r="D1733" s="53" t="s">
        <v>907</v>
      </c>
      <c r="E1733" s="53" t="s">
        <v>237</v>
      </c>
      <c r="F1733" s="53" t="s">
        <v>182</v>
      </c>
      <c r="G1733" s="53" t="s">
        <v>138</v>
      </c>
      <c r="H1733" s="53">
        <v>4</v>
      </c>
      <c r="I1733" s="53" t="s">
        <v>130</v>
      </c>
      <c r="J1733" s="53">
        <v>0</v>
      </c>
      <c r="K1733" s="53">
        <v>0</v>
      </c>
      <c r="L1733" s="53">
        <v>10.9</v>
      </c>
      <c r="M1733" s="53" t="s">
        <v>1035</v>
      </c>
      <c r="N1733" s="53">
        <v>12.5</v>
      </c>
      <c r="O1733" s="51" t="str">
        <f>TEXT(tblWorkPackages[[#This Row],[Request date serial]]-WEEKDAY(tblWorkPackages[[#This Row],[Request date serial]],3),"yyyy-mm-dd")</f>
        <v>2025-05-26</v>
      </c>
      <c r="P1733" s="51">
        <f>ABS(tblWorkPackages[[#This Row],[Actual labor hours]]-tblWorkPackages[[#This Row],[Estimated labor hours]])</f>
        <v>1.6</v>
      </c>
      <c r="Q1733" s="51">
        <f>IF(tblWorkPackages[[#This Row],[Actual labor hours]]&gt;tblWorkPackages[[#This Row],[Estimated labor hours]],1,0)</f>
        <v>1</v>
      </c>
      <c r="R1733" s="51">
        <f>tblWorkPackages[[#This Row],[Actual labor hours]]-tblWorkPackages[[#This Row],[Estimated labor hours]]</f>
        <v>1.6</v>
      </c>
      <c r="S1733" s="51" t="str">
        <f>IF(tblWorkPackages[[#This Row],[Request date serial]]&lt;ValidationStart,"Train 2024",IF(tblWorkPackages[[#This Row],[Request date serial]]&lt;HoldoutStart,"Validation H1","Holdout H2"))</f>
        <v>Validation H1</v>
      </c>
      <c r="T1733" s="51">
        <f>IF(tblWorkPackages[[#This Row],[Time split]]="Train 2024","",tblWorkPackages[[#This Row],[Estimated labor hours]]+VLOOKUP(tblWorkPackages[[#This Row],[Task type]],'Forecast validation'!$A$14:$E$25,IF(tblWorkPackages[[#This Row],[Time split]]="Validation H1",4,5),FALSE()))</f>
        <v>11.4037037037037</v>
      </c>
      <c r="U1733" s="51">
        <f>IF(tblWorkPackages[[#This Row],[Calibrated forecast hours]]="","",ABS(tblWorkPackages[[#This Row],[Actual labor hours]]-tblWorkPackages[[#This Row],[Calibrated forecast hours]]))</f>
        <v>1.0962962962963</v>
      </c>
      <c r="V1733" s="51">
        <f>IF(tblWorkPackages[[#This Row],[Time split]]="Train 2024",tblWorkPackages[[#This Row],[Estimated labor hours]],tblWorkPackages[[#This Row],[Calibrated forecast hours]])</f>
        <v>11.4037037037037</v>
      </c>
      <c r="W1733" s="64">
        <f>DATEVALUE(tblWorkPackages[[#This Row],[Request date]])</f>
        <v>45803.0</v>
      </c>
      <c r="X1733" s="64">
        <f>DATEVALUE(tblWorkPackages[[#This Row],[Due date]])</f>
        <v>45816.0</v>
      </c>
      <c r="Y1733" s="64">
        <f>DATEVALUE(tblWorkPackages[[#This Row],[Completion date]])</f>
        <v>45811.0</v>
      </c>
      <c r="Z1733" s="64">
        <f>_xlfn.MINIFS(tblLaborEntries[Work date serial],tblLaborEntries[Work package ID],tblWorkPackages[[#This Row],[Work package ID]])</f>
        <v>45807.0</v>
      </c>
      <c r="AA1733" s="64">
        <f>_xlfn.MAXIFS(tblLaborEntries[Work date serial],tblLaborEntries[Work package ID],tblWorkPackages[[#This Row],[Work package ID]])</f>
        <v>45808.0</v>
      </c>
      <c r="AB1733" s="65">
        <f>IF(tblWorkPackages[[#This Row],[Completion date serial]]&gt;tblWorkPackages[[#This Row],[Due date serial]],1,0)</f>
        <v>0</v>
      </c>
      <c r="AC1733" s="65">
        <f>MAX(0,tblWorkPackages[[#This Row],[Completion date serial]]-tblWorkPackages[[#This Row],[Due date serial]])</f>
        <v>0</v>
      </c>
      <c r="AD1733" s="65">
        <f>tblWorkPackages[[#This Row],[First labor date]]-tblWorkPackages[[#This Row],[Request date serial]]</f>
        <v>4</v>
      </c>
      <c r="AE1733" s="65">
        <f>tblWorkPackages[[#This Row],[Last labor date]]-tblWorkPackages[[#This Row],[First labor date]]</f>
        <v>1</v>
      </c>
      <c r="AF1733" s="65">
        <f>tblWorkPackages[[#This Row],[Completion date serial]]-tblWorkPackages[[#This Row],[Last labor date]]</f>
        <v>3</v>
      </c>
      <c r="AG1733" s="65">
        <f>tblWorkPackages[[#This Row],[Completion date serial]]-tblWorkPackages[[#This Row],[Request date serial]]</f>
        <v>8</v>
      </c>
      <c r="AH1733" s="65">
        <f>IFERROR(INDEX(tblParts[Delay days],MATCH(tblWorkPackages[[#This Row],[Work package ID]],tblParts[Work package ID],0)),0)</f>
        <v>0</v>
      </c>
      <c r="AI1733" s="51" t="str">
        <f>IFERROR(INDEX(tblDisruptions[Event type],MATCH(tblWorkPackages[[#This Row],[Work package ID]],tblDisruptions[Work package ID],0)),"None")</f>
        <v>None</v>
      </c>
      <c r="AJ1733" s="51" t="str">
        <f>TEXT(tblWorkPackages[[#This Row],[Due date serial]],"yyyy-mm")</f>
        <v>2025-06</v>
      </c>
    </row>
    <row r="1734" spans="1:36" ht="15" x14ac:dyDescent="0.25">
      <c r="A1734" s="53" t="s">
        <v>2644</v>
      </c>
      <c r="B1734" s="53" t="s">
        <v>124</v>
      </c>
      <c r="C1734" s="53" t="s">
        <v>467</v>
      </c>
      <c r="D1734" s="53" t="s">
        <v>967</v>
      </c>
      <c r="E1734" s="53" t="s">
        <v>160</v>
      </c>
      <c r="F1734" s="53" t="s">
        <v>128</v>
      </c>
      <c r="G1734" s="53" t="s">
        <v>138</v>
      </c>
      <c r="H1734" s="53">
        <v>2</v>
      </c>
      <c r="I1734" s="53" t="s">
        <v>176</v>
      </c>
      <c r="J1734" s="53">
        <v>1</v>
      </c>
      <c r="K1734" s="53">
        <v>0</v>
      </c>
      <c r="L1734" s="53">
        <v>5.2</v>
      </c>
      <c r="M1734" s="53" t="s">
        <v>687</v>
      </c>
      <c r="N1734" s="53">
        <v>5.7</v>
      </c>
      <c r="O1734" s="51" t="str">
        <f>TEXT(tblWorkPackages[[#This Row],[Request date serial]]-WEEKDAY(tblWorkPackages[[#This Row],[Request date serial]],3),"yyyy-mm-dd")</f>
        <v>2025-03-31</v>
      </c>
      <c r="P1734" s="51">
        <f>ABS(tblWorkPackages[[#This Row],[Actual labor hours]]-tblWorkPackages[[#This Row],[Estimated labor hours]])</f>
        <v>0.5</v>
      </c>
      <c r="Q1734" s="51">
        <f>IF(tblWorkPackages[[#This Row],[Actual labor hours]]&gt;tblWorkPackages[[#This Row],[Estimated labor hours]],1,0)</f>
        <v>1</v>
      </c>
      <c r="R1734" s="51">
        <f>tblWorkPackages[[#This Row],[Actual labor hours]]-tblWorkPackages[[#This Row],[Estimated labor hours]]</f>
        <v>0.5</v>
      </c>
      <c r="S1734" s="51" t="str">
        <f>IF(tblWorkPackages[[#This Row],[Request date serial]]&lt;ValidationStart,"Train 2024",IF(tblWorkPackages[[#This Row],[Request date serial]]&lt;HoldoutStart,"Validation H1","Holdout H2"))</f>
        <v>Validation H1</v>
      </c>
      <c r="T1734" s="51">
        <f>IF(tblWorkPackages[[#This Row],[Time split]]="Train 2024","",tblWorkPackages[[#This Row],[Estimated labor hours]]+VLOOKUP(tblWorkPackages[[#This Row],[Task type]],'Forecast validation'!$A$14:$E$25,IF(tblWorkPackages[[#This Row],[Time split]]="Validation H1",4,5),FALSE()))</f>
        <v>5.64146341463415</v>
      </c>
      <c r="U1734" s="51">
        <f>IF(tblWorkPackages[[#This Row],[Calibrated forecast hours]]="","",ABS(tblWorkPackages[[#This Row],[Actual labor hours]]-tblWorkPackages[[#This Row],[Calibrated forecast hours]]))</f>
        <v>0.0585365853658537</v>
      </c>
      <c r="V1734" s="51">
        <f>IF(tblWorkPackages[[#This Row],[Time split]]="Train 2024",tblWorkPackages[[#This Row],[Estimated labor hours]],tblWorkPackages[[#This Row],[Calibrated forecast hours]])</f>
        <v>5.64146341463415</v>
      </c>
      <c r="W1734" s="64">
        <f>DATEVALUE(tblWorkPackages[[#This Row],[Request date]])</f>
        <v>45752.0</v>
      </c>
      <c r="X1734" s="64">
        <f>DATEVALUE(tblWorkPackages[[#This Row],[Due date]])</f>
        <v>45758.0</v>
      </c>
      <c r="Y1734" s="64">
        <f>DATEVALUE(tblWorkPackages[[#This Row],[Completion date]])</f>
        <v>45753.0</v>
      </c>
      <c r="Z1734" s="64">
        <f>_xlfn.MINIFS(tblLaborEntries[Work date serial],tblLaborEntries[Work package ID],tblWorkPackages[[#This Row],[Work package ID]])</f>
        <v>45753.0</v>
      </c>
      <c r="AA1734" s="64">
        <f>_xlfn.MAXIFS(tblLaborEntries[Work date serial],tblLaborEntries[Work package ID],tblWorkPackages[[#This Row],[Work package ID]])</f>
        <v>45753.0</v>
      </c>
      <c r="AB1734" s="65">
        <f>IF(tblWorkPackages[[#This Row],[Completion date serial]]&gt;tblWorkPackages[[#This Row],[Due date serial]],1,0)</f>
        <v>0</v>
      </c>
      <c r="AC1734" s="65">
        <f>MAX(0,tblWorkPackages[[#This Row],[Completion date serial]]-tblWorkPackages[[#This Row],[Due date serial]])</f>
        <v>0</v>
      </c>
      <c r="AD1734" s="65">
        <f>tblWorkPackages[[#This Row],[First labor date]]-tblWorkPackages[[#This Row],[Request date serial]]</f>
        <v>1</v>
      </c>
      <c r="AE1734" s="65">
        <f>tblWorkPackages[[#This Row],[Last labor date]]-tblWorkPackages[[#This Row],[First labor date]]</f>
        <v>0</v>
      </c>
      <c r="AF1734" s="65">
        <f>tblWorkPackages[[#This Row],[Completion date serial]]-tblWorkPackages[[#This Row],[Last labor date]]</f>
        <v>0</v>
      </c>
      <c r="AG1734" s="65">
        <f>tblWorkPackages[[#This Row],[Completion date serial]]-tblWorkPackages[[#This Row],[Request date serial]]</f>
        <v>1</v>
      </c>
      <c r="AH1734" s="65">
        <f>IFERROR(INDEX(tblParts[Delay days],MATCH(tblWorkPackages[[#This Row],[Work package ID]],tblParts[Work package ID],0)),0)</f>
        <v>0</v>
      </c>
      <c r="AI1734" s="51" t="str">
        <f>IFERROR(INDEX(tblDisruptions[Event type],MATCH(tblWorkPackages[[#This Row],[Work package ID]],tblDisruptions[Work package ID],0)),"None")</f>
        <v>None</v>
      </c>
      <c r="AJ1734" s="51" t="str">
        <f>TEXT(tblWorkPackages[[#This Row],[Due date serial]],"yyyy-mm")</f>
        <v>2025-04</v>
      </c>
    </row>
    <row r="1735" spans="1:36" ht="15" x14ac:dyDescent="0.25">
      <c r="A1735" s="53" t="s">
        <v>2645</v>
      </c>
      <c r="B1735" s="53" t="s">
        <v>163</v>
      </c>
      <c r="C1735" s="53" t="s">
        <v>447</v>
      </c>
      <c r="D1735" s="53" t="s">
        <v>592</v>
      </c>
      <c r="E1735" s="53" t="s">
        <v>144</v>
      </c>
      <c r="F1735" s="53" t="s">
        <v>145</v>
      </c>
      <c r="G1735" s="53" t="s">
        <v>146</v>
      </c>
      <c r="H1735" s="53">
        <v>4</v>
      </c>
      <c r="I1735" s="53" t="s">
        <v>130</v>
      </c>
      <c r="J1735" s="53">
        <v>1</v>
      </c>
      <c r="K1735" s="53">
        <v>1</v>
      </c>
      <c r="L1735" s="53">
        <v>20.399999999999999</v>
      </c>
      <c r="M1735" s="53" t="s">
        <v>784</v>
      </c>
      <c r="N1735" s="53">
        <v>34</v>
      </c>
      <c r="O1735" s="51" t="str">
        <f>TEXT(tblWorkPackages[[#This Row],[Request date serial]]-WEEKDAY(tblWorkPackages[[#This Row],[Request date serial]],3),"yyyy-mm-dd")</f>
        <v>2025-03-24</v>
      </c>
      <c r="P1735" s="51">
        <f>ABS(tblWorkPackages[[#This Row],[Actual labor hours]]-tblWorkPackages[[#This Row],[Estimated labor hours]])</f>
        <v>13.6</v>
      </c>
      <c r="Q1735" s="51">
        <f>IF(tblWorkPackages[[#This Row],[Actual labor hours]]&gt;tblWorkPackages[[#This Row],[Estimated labor hours]],1,0)</f>
        <v>1</v>
      </c>
      <c r="R1735" s="51">
        <f>tblWorkPackages[[#This Row],[Actual labor hours]]-tblWorkPackages[[#This Row],[Estimated labor hours]]</f>
        <v>13.6</v>
      </c>
      <c r="S1735" s="51" t="str">
        <f>IF(tblWorkPackages[[#This Row],[Request date serial]]&lt;ValidationStart,"Train 2024",IF(tblWorkPackages[[#This Row],[Request date serial]]&lt;HoldoutStart,"Validation H1","Holdout H2"))</f>
        <v>Validation H1</v>
      </c>
      <c r="T1735" s="51">
        <f>IF(tblWorkPackages[[#This Row],[Time split]]="Train 2024","",tblWorkPackages[[#This Row],[Estimated labor hours]]+VLOOKUP(tblWorkPackages[[#This Row],[Task type]],'Forecast validation'!$A$14:$E$25,IF(tblWorkPackages[[#This Row],[Time split]]="Validation H1",4,5),FALSE()))</f>
        <v>21.1547368421053</v>
      </c>
      <c r="U1735" s="51">
        <f>IF(tblWorkPackages[[#This Row],[Calibrated forecast hours]]="","",ABS(tblWorkPackages[[#This Row],[Actual labor hours]]-tblWorkPackages[[#This Row],[Calibrated forecast hours]]))</f>
        <v>12.8452631578947</v>
      </c>
      <c r="V1735" s="51">
        <f>IF(tblWorkPackages[[#This Row],[Time split]]="Train 2024",tblWorkPackages[[#This Row],[Estimated labor hours]],tblWorkPackages[[#This Row],[Calibrated forecast hours]])</f>
        <v>21.1547368421053</v>
      </c>
      <c r="W1735" s="64">
        <f>DATEVALUE(tblWorkPackages[[#This Row],[Request date]])</f>
        <v>45744.0</v>
      </c>
      <c r="X1735" s="64">
        <f>DATEVALUE(tblWorkPackages[[#This Row],[Due date]])</f>
        <v>45757.0</v>
      </c>
      <c r="Y1735" s="64">
        <f>DATEVALUE(tblWorkPackages[[#This Row],[Completion date]])</f>
        <v>45765.0</v>
      </c>
      <c r="Z1735" s="64">
        <f>_xlfn.MINIFS(tblLaborEntries[Work date serial],tblLaborEntries[Work package ID],tblWorkPackages[[#This Row],[Work package ID]])</f>
        <v>45762.0</v>
      </c>
      <c r="AA1735" s="64">
        <f>_xlfn.MAXIFS(tblLaborEntries[Work date serial],tblLaborEntries[Work package ID],tblWorkPackages[[#This Row],[Work package ID]])</f>
        <v>45764.0</v>
      </c>
      <c r="AB1735" s="65">
        <f>IF(tblWorkPackages[[#This Row],[Completion date serial]]&gt;tblWorkPackages[[#This Row],[Due date serial]],1,0)</f>
        <v>1</v>
      </c>
      <c r="AC1735" s="65">
        <f>MAX(0,tblWorkPackages[[#This Row],[Completion date serial]]-tblWorkPackages[[#This Row],[Due date serial]])</f>
        <v>8</v>
      </c>
      <c r="AD1735" s="65">
        <f>tblWorkPackages[[#This Row],[First labor date]]-tblWorkPackages[[#This Row],[Request date serial]]</f>
        <v>18</v>
      </c>
      <c r="AE1735" s="65">
        <f>tblWorkPackages[[#This Row],[Last labor date]]-tblWorkPackages[[#This Row],[First labor date]]</f>
        <v>2</v>
      </c>
      <c r="AF1735" s="65">
        <f>tblWorkPackages[[#This Row],[Completion date serial]]-tblWorkPackages[[#This Row],[Last labor date]]</f>
        <v>1</v>
      </c>
      <c r="AG1735" s="65">
        <f>tblWorkPackages[[#This Row],[Completion date serial]]-tblWorkPackages[[#This Row],[Request date serial]]</f>
        <v>21</v>
      </c>
      <c r="AH1735" s="65">
        <f>IFERROR(INDEX(tblParts[Delay days],MATCH(tblWorkPackages[[#This Row],[Work package ID]],tblParts[Work package ID],0)),0)</f>
        <v>7</v>
      </c>
      <c r="AI1735" s="51" t="str">
        <f>IFERROR(INDEX(tblDisruptions[Event type],MATCH(tblWorkPackages[[#This Row],[Work package ID]],tblDisruptions[Work package ID],0)),"None")</f>
        <v>Part delay</v>
      </c>
      <c r="AJ1735" s="51" t="str">
        <f>TEXT(tblWorkPackages[[#This Row],[Due date serial]],"yyyy-mm")</f>
        <v>2025-04</v>
      </c>
    </row>
    <row r="1736" spans="1:36" ht="15" x14ac:dyDescent="0.25">
      <c r="A1736" s="53" t="s">
        <v>2646</v>
      </c>
      <c r="B1736" s="53" t="s">
        <v>203</v>
      </c>
      <c r="C1736" s="53" t="s">
        <v>1221</v>
      </c>
      <c r="D1736" s="53" t="s">
        <v>1087</v>
      </c>
      <c r="E1736" s="53" t="s">
        <v>127</v>
      </c>
      <c r="F1736" s="53" t="s">
        <v>128</v>
      </c>
      <c r="G1736" s="53" t="s">
        <v>129</v>
      </c>
      <c r="H1736" s="53">
        <v>2</v>
      </c>
      <c r="I1736" s="53" t="s">
        <v>130</v>
      </c>
      <c r="J1736" s="53">
        <v>0</v>
      </c>
      <c r="K1736" s="53">
        <v>0</v>
      </c>
      <c r="L1736" s="53">
        <v>7.4</v>
      </c>
      <c r="M1736" s="53" t="s">
        <v>808</v>
      </c>
      <c r="N1736" s="53">
        <v>10.7</v>
      </c>
      <c r="O1736" s="51" t="str">
        <f>TEXT(tblWorkPackages[[#This Row],[Request date serial]]-WEEKDAY(tblWorkPackages[[#This Row],[Request date serial]],3),"yyyy-mm-dd")</f>
        <v>2025-04-21</v>
      </c>
      <c r="P1736" s="51">
        <f>ABS(tblWorkPackages[[#This Row],[Actual labor hours]]-tblWorkPackages[[#This Row],[Estimated labor hours]])</f>
        <v>3.3</v>
      </c>
      <c r="Q1736" s="51">
        <f>IF(tblWorkPackages[[#This Row],[Actual labor hours]]&gt;tblWorkPackages[[#This Row],[Estimated labor hours]],1,0)</f>
        <v>1</v>
      </c>
      <c r="R1736" s="51">
        <f>tblWorkPackages[[#This Row],[Actual labor hours]]-tblWorkPackages[[#This Row],[Estimated labor hours]]</f>
        <v>3.3</v>
      </c>
      <c r="S1736" s="51" t="str">
        <f>IF(tblWorkPackages[[#This Row],[Request date serial]]&lt;ValidationStart,"Train 2024",IF(tblWorkPackages[[#This Row],[Request date serial]]&lt;HoldoutStart,"Validation H1","Holdout H2"))</f>
        <v>Validation H1</v>
      </c>
      <c r="T1736" s="51">
        <f>IF(tblWorkPackages[[#This Row],[Time split]]="Train 2024","",tblWorkPackages[[#This Row],[Estimated labor hours]]+VLOOKUP(tblWorkPackages[[#This Row],[Task type]],'Forecast validation'!$A$14:$E$25,IF(tblWorkPackages[[#This Row],[Time split]]="Validation H1",4,5),FALSE()))</f>
        <v>7.87564102564103</v>
      </c>
      <c r="U1736" s="51">
        <f>IF(tblWorkPackages[[#This Row],[Calibrated forecast hours]]="","",ABS(tblWorkPackages[[#This Row],[Actual labor hours]]-tblWorkPackages[[#This Row],[Calibrated forecast hours]]))</f>
        <v>2.82435897435897</v>
      </c>
      <c r="V1736" s="51">
        <f>IF(tblWorkPackages[[#This Row],[Time split]]="Train 2024",tblWorkPackages[[#This Row],[Estimated labor hours]],tblWorkPackages[[#This Row],[Calibrated forecast hours]])</f>
        <v>7.87564102564103</v>
      </c>
      <c r="W1736" s="64">
        <f>DATEVALUE(tblWorkPackages[[#This Row],[Request date]])</f>
        <v>45774.0</v>
      </c>
      <c r="X1736" s="64">
        <f>DATEVALUE(tblWorkPackages[[#This Row],[Due date]])</f>
        <v>45787.0</v>
      </c>
      <c r="Y1736" s="64">
        <f>DATEVALUE(tblWorkPackages[[#This Row],[Completion date]])</f>
        <v>45779.0</v>
      </c>
      <c r="Z1736" s="64">
        <f>_xlfn.MINIFS(tblLaborEntries[Work date serial],tblLaborEntries[Work package ID],tblWorkPackages[[#This Row],[Work package ID]])</f>
        <v>45777.0</v>
      </c>
      <c r="AA1736" s="64">
        <f>_xlfn.MAXIFS(tblLaborEntries[Work date serial],tblLaborEntries[Work package ID],tblWorkPackages[[#This Row],[Work package ID]])</f>
        <v>45777.0</v>
      </c>
      <c r="AB1736" s="65">
        <f>IF(tblWorkPackages[[#This Row],[Completion date serial]]&gt;tblWorkPackages[[#This Row],[Due date serial]],1,0)</f>
        <v>0</v>
      </c>
      <c r="AC1736" s="65">
        <f>MAX(0,tblWorkPackages[[#This Row],[Completion date serial]]-tblWorkPackages[[#This Row],[Due date serial]])</f>
        <v>0</v>
      </c>
      <c r="AD1736" s="65">
        <f>tblWorkPackages[[#This Row],[First labor date]]-tblWorkPackages[[#This Row],[Request date serial]]</f>
        <v>3</v>
      </c>
      <c r="AE1736" s="65">
        <f>tblWorkPackages[[#This Row],[Last labor date]]-tblWorkPackages[[#This Row],[First labor date]]</f>
        <v>0</v>
      </c>
      <c r="AF1736" s="65">
        <f>tblWorkPackages[[#This Row],[Completion date serial]]-tblWorkPackages[[#This Row],[Last labor date]]</f>
        <v>2</v>
      </c>
      <c r="AG1736" s="65">
        <f>tblWorkPackages[[#This Row],[Completion date serial]]-tblWorkPackages[[#This Row],[Request date serial]]</f>
        <v>5</v>
      </c>
      <c r="AH1736" s="65">
        <f>IFERROR(INDEX(tblParts[Delay days],MATCH(tblWorkPackages[[#This Row],[Work package ID]],tblParts[Work package ID],0)),0)</f>
        <v>0</v>
      </c>
      <c r="AI1736" s="51" t="str">
        <f>IFERROR(INDEX(tblDisruptions[Event type],MATCH(tblWorkPackages[[#This Row],[Work package ID]],tblDisruptions[Work package ID],0)),"None")</f>
        <v>Repeat inspection</v>
      </c>
      <c r="AJ1736" s="51" t="str">
        <f>TEXT(tblWorkPackages[[#This Row],[Due date serial]],"yyyy-mm")</f>
        <v>2025-05</v>
      </c>
    </row>
    <row r="1737" spans="1:36" ht="15" x14ac:dyDescent="0.25">
      <c r="A1737" s="53" t="s">
        <v>2647</v>
      </c>
      <c r="B1737" s="53" t="s">
        <v>250</v>
      </c>
      <c r="C1737" s="53" t="s">
        <v>800</v>
      </c>
      <c r="D1737" s="53" t="s">
        <v>953</v>
      </c>
      <c r="E1737" s="53" t="s">
        <v>127</v>
      </c>
      <c r="F1737" s="53" t="s">
        <v>128</v>
      </c>
      <c r="G1737" s="53" t="s">
        <v>129</v>
      </c>
      <c r="H1737" s="53">
        <v>1</v>
      </c>
      <c r="I1737" s="53" t="s">
        <v>176</v>
      </c>
      <c r="J1737" s="53">
        <v>0</v>
      </c>
      <c r="K1737" s="53">
        <v>0</v>
      </c>
      <c r="L1737" s="53">
        <v>4.2</v>
      </c>
      <c r="M1737" s="53" t="s">
        <v>736</v>
      </c>
      <c r="N1737" s="53">
        <v>4.9000000000000004</v>
      </c>
      <c r="O1737" s="51" t="str">
        <f>TEXT(tblWorkPackages[[#This Row],[Request date serial]]-WEEKDAY(tblWorkPackages[[#This Row],[Request date serial]],3),"yyyy-mm-dd")</f>
        <v>2024-09-23</v>
      </c>
      <c r="P1737" s="51">
        <f>ABS(tblWorkPackages[[#This Row],[Actual labor hours]]-tblWorkPackages[[#This Row],[Estimated labor hours]])</f>
        <v>0.7</v>
      </c>
      <c r="Q1737" s="51">
        <f>IF(tblWorkPackages[[#This Row],[Actual labor hours]]&gt;tblWorkPackages[[#This Row],[Estimated labor hours]],1,0)</f>
        <v>1</v>
      </c>
      <c r="R1737" s="51">
        <f>tblWorkPackages[[#This Row],[Actual labor hours]]-tblWorkPackages[[#This Row],[Estimated labor hours]]</f>
        <v>0.7</v>
      </c>
      <c r="S1737" s="51" t="str">
        <f>IF(tblWorkPackages[[#This Row],[Request date serial]]&lt;ValidationStart,"Train 2024",IF(tblWorkPackages[[#This Row],[Request date serial]]&lt;HoldoutStart,"Validation H1","Holdout H2"))</f>
        <v>Train 2024</v>
      </c>
      <c r="T1737" s="51" t="str">
        <f>IF(tblWorkPackages[[#This Row],[Time split]]="Train 2024","",tblWorkPackages[[#This Row],[Estimated labor hours]]+VLOOKUP(tblWorkPackages[[#This Row],[Task type]],'Forecast validation'!$A$14:$E$25,IF(tblWorkPackages[[#This Row],[Time split]]="Validation H1",4,5),FALSE()))</f>
        <v/>
      </c>
      <c r="U1737" s="51" t="str">
        <f>IF(tblWorkPackages[[#This Row],[Calibrated forecast hours]]="","",ABS(tblWorkPackages[[#This Row],[Actual labor hours]]-tblWorkPackages[[#This Row],[Calibrated forecast hours]]))</f>
        <v/>
      </c>
      <c r="V1737" s="51">
        <f>IF(tblWorkPackages[[#This Row],[Time split]]="Train 2024",tblWorkPackages[[#This Row],[Estimated labor hours]],tblWorkPackages[[#This Row],[Calibrated forecast hours]])</f>
        <v>4.2</v>
      </c>
      <c r="W1737" s="64">
        <f>DATEVALUE(tblWorkPackages[[#This Row],[Request date]])</f>
        <v>45562.0</v>
      </c>
      <c r="X1737" s="64">
        <f>DATEVALUE(tblWorkPackages[[#This Row],[Due date]])</f>
        <v>45568.0</v>
      </c>
      <c r="Y1737" s="64">
        <f>DATEVALUE(tblWorkPackages[[#This Row],[Completion date]])</f>
        <v>45595.0</v>
      </c>
      <c r="Z1737" s="64">
        <f>_xlfn.MINIFS(tblLaborEntries[Work date serial],tblLaborEntries[Work package ID],tblWorkPackages[[#This Row],[Work package ID]])</f>
        <v>45592.0</v>
      </c>
      <c r="AA1737" s="64">
        <f>_xlfn.MAXIFS(tblLaborEntries[Work date serial],tblLaborEntries[Work package ID],tblWorkPackages[[#This Row],[Work package ID]])</f>
        <v>45592.0</v>
      </c>
      <c r="AB1737" s="65">
        <f>IF(tblWorkPackages[[#This Row],[Completion date serial]]&gt;tblWorkPackages[[#This Row],[Due date serial]],1,0)</f>
        <v>1</v>
      </c>
      <c r="AC1737" s="65">
        <f>MAX(0,tblWorkPackages[[#This Row],[Completion date serial]]-tblWorkPackages[[#This Row],[Due date serial]])</f>
        <v>27</v>
      </c>
      <c r="AD1737" s="65">
        <f>tblWorkPackages[[#This Row],[First labor date]]-tblWorkPackages[[#This Row],[Request date serial]]</f>
        <v>30</v>
      </c>
      <c r="AE1737" s="65">
        <f>tblWorkPackages[[#This Row],[Last labor date]]-tblWorkPackages[[#This Row],[First labor date]]</f>
        <v>0</v>
      </c>
      <c r="AF1737" s="65">
        <f>tblWorkPackages[[#This Row],[Completion date serial]]-tblWorkPackages[[#This Row],[Last labor date]]</f>
        <v>3</v>
      </c>
      <c r="AG1737" s="65">
        <f>tblWorkPackages[[#This Row],[Completion date serial]]-tblWorkPackages[[#This Row],[Request date serial]]</f>
        <v>33</v>
      </c>
      <c r="AH1737" s="65">
        <f>IFERROR(INDEX(tblParts[Delay days],MATCH(tblWorkPackages[[#This Row],[Work package ID]],tblParts[Work package ID],0)),0)</f>
        <v>0</v>
      </c>
      <c r="AI1737" s="51" t="str">
        <f>IFERROR(INDEX(tblDisruptions[Event type],MATCH(tblWorkPackages[[#This Row],[Work package ID]],tblDisruptions[Work package ID],0)),"None")</f>
        <v>Scope change</v>
      </c>
      <c r="AJ1737" s="51" t="str">
        <f>TEXT(tblWorkPackages[[#This Row],[Due date serial]],"yyyy-mm")</f>
        <v>2024-10</v>
      </c>
    </row>
    <row r="1738" spans="1:36" ht="15" x14ac:dyDescent="0.25">
      <c r="A1738" s="53" t="s">
        <v>2648</v>
      </c>
      <c r="B1738" s="53" t="s">
        <v>173</v>
      </c>
      <c r="C1738" s="53" t="s">
        <v>1156</v>
      </c>
      <c r="D1738" s="53" t="s">
        <v>746</v>
      </c>
      <c r="E1738" s="53" t="s">
        <v>272</v>
      </c>
      <c r="F1738" s="53" t="s">
        <v>145</v>
      </c>
      <c r="G1738" s="53" t="s">
        <v>273</v>
      </c>
      <c r="H1738" s="53">
        <v>2</v>
      </c>
      <c r="I1738" s="53" t="s">
        <v>130</v>
      </c>
      <c r="J1738" s="53">
        <v>1</v>
      </c>
      <c r="K1738" s="53">
        <v>1</v>
      </c>
      <c r="L1738" s="53">
        <v>10.9</v>
      </c>
      <c r="M1738" s="53" t="s">
        <v>531</v>
      </c>
      <c r="N1738" s="53">
        <v>16.899999999999999</v>
      </c>
      <c r="O1738" s="51" t="str">
        <f>TEXT(tblWorkPackages[[#This Row],[Request date serial]]-WEEKDAY(tblWorkPackages[[#This Row],[Request date serial]],3),"yyyy-mm-dd")</f>
        <v>2025-07-07</v>
      </c>
      <c r="P1738" s="51">
        <f>ABS(tblWorkPackages[[#This Row],[Actual labor hours]]-tblWorkPackages[[#This Row],[Estimated labor hours]])</f>
        <v>6</v>
      </c>
      <c r="Q1738" s="51">
        <f>IF(tblWorkPackages[[#This Row],[Actual labor hours]]&gt;tblWorkPackages[[#This Row],[Estimated labor hours]],1,0)</f>
        <v>1</v>
      </c>
      <c r="R1738" s="51">
        <f>tblWorkPackages[[#This Row],[Actual labor hours]]-tblWorkPackages[[#This Row],[Estimated labor hours]]</f>
        <v>6</v>
      </c>
      <c r="S1738" s="51" t="str">
        <f>IF(tblWorkPackages[[#This Row],[Request date serial]]&lt;ValidationStart,"Train 2024",IF(tblWorkPackages[[#This Row],[Request date serial]]&lt;HoldoutStart,"Validation H1","Holdout H2"))</f>
        <v>Holdout H2</v>
      </c>
      <c r="T1738" s="51">
        <f>IF(tblWorkPackages[[#This Row],[Time split]]="Train 2024","",tblWorkPackages[[#This Row],[Estimated labor hours]]+VLOOKUP(tblWorkPackages[[#This Row],[Task type]],'Forecast validation'!$A$14:$E$25,IF(tblWorkPackages[[#This Row],[Time split]]="Validation H1",4,5),FALSE()))</f>
        <v>11.88515625</v>
      </c>
      <c r="U1738" s="51">
        <f>IF(tblWorkPackages[[#This Row],[Calibrated forecast hours]]="","",ABS(tblWorkPackages[[#This Row],[Actual labor hours]]-tblWorkPackages[[#This Row],[Calibrated forecast hours]]))</f>
        <v>5.01484375</v>
      </c>
      <c r="V1738" s="51">
        <f>IF(tblWorkPackages[[#This Row],[Time split]]="Train 2024",tblWorkPackages[[#This Row],[Estimated labor hours]],tblWorkPackages[[#This Row],[Calibrated forecast hours]])</f>
        <v>11.88515625</v>
      </c>
      <c r="W1738" s="64">
        <f>DATEVALUE(tblWorkPackages[[#This Row],[Request date]])</f>
        <v>45847.0</v>
      </c>
      <c r="X1738" s="64">
        <f>DATEVALUE(tblWorkPackages[[#This Row],[Due date]])</f>
        <v>45860.0</v>
      </c>
      <c r="Y1738" s="64">
        <f>DATEVALUE(tblWorkPackages[[#This Row],[Completion date]])</f>
        <v>45854.0</v>
      </c>
      <c r="Z1738" s="64">
        <f>_xlfn.MINIFS(tblLaborEntries[Work date serial],tblLaborEntries[Work package ID],tblWorkPackages[[#This Row],[Work package ID]])</f>
        <v>45852.0</v>
      </c>
      <c r="AA1738" s="64">
        <f>_xlfn.MAXIFS(tblLaborEntries[Work date serial],tblLaborEntries[Work package ID],tblWorkPackages[[#This Row],[Work package ID]])</f>
        <v>45854.0</v>
      </c>
      <c r="AB1738" s="65">
        <f>IF(tblWorkPackages[[#This Row],[Completion date serial]]&gt;tblWorkPackages[[#This Row],[Due date serial]],1,0)</f>
        <v>0</v>
      </c>
      <c r="AC1738" s="65">
        <f>MAX(0,tblWorkPackages[[#This Row],[Completion date serial]]-tblWorkPackages[[#This Row],[Due date serial]])</f>
        <v>0</v>
      </c>
      <c r="AD1738" s="65">
        <f>tblWorkPackages[[#This Row],[First labor date]]-tblWorkPackages[[#This Row],[Request date serial]]</f>
        <v>5</v>
      </c>
      <c r="AE1738" s="65">
        <f>tblWorkPackages[[#This Row],[Last labor date]]-tblWorkPackages[[#This Row],[First labor date]]</f>
        <v>2</v>
      </c>
      <c r="AF1738" s="65">
        <f>tblWorkPackages[[#This Row],[Completion date serial]]-tblWorkPackages[[#This Row],[Last labor date]]</f>
        <v>0</v>
      </c>
      <c r="AG1738" s="65">
        <f>tblWorkPackages[[#This Row],[Completion date serial]]-tblWorkPackages[[#This Row],[Request date serial]]</f>
        <v>7</v>
      </c>
      <c r="AH1738" s="65">
        <f>IFERROR(INDEX(tblParts[Delay days],MATCH(tblWorkPackages[[#This Row],[Work package ID]],tblParts[Work package ID],0)),0)</f>
        <v>0</v>
      </c>
      <c r="AI1738" s="51" t="str">
        <f>IFERROR(INDEX(tblDisruptions[Event type],MATCH(tblWorkPackages[[#This Row],[Work package ID]],tblDisruptions[Work package ID],0)),"None")</f>
        <v>None</v>
      </c>
      <c r="AJ1738" s="51" t="str">
        <f>TEXT(tblWorkPackages[[#This Row],[Due date serial]],"yyyy-mm")</f>
        <v>2025-07</v>
      </c>
    </row>
    <row r="1739" spans="1:36" ht="15" x14ac:dyDescent="0.25">
      <c r="A1739" s="53" t="s">
        <v>2649</v>
      </c>
      <c r="B1739" s="53" t="s">
        <v>157</v>
      </c>
      <c r="C1739" s="53" t="s">
        <v>1776</v>
      </c>
      <c r="D1739" s="53" t="s">
        <v>1777</v>
      </c>
      <c r="E1739" s="53" t="s">
        <v>144</v>
      </c>
      <c r="F1739" s="53" t="s">
        <v>145</v>
      </c>
      <c r="G1739" s="53" t="s">
        <v>146</v>
      </c>
      <c r="H1739" s="53">
        <v>2</v>
      </c>
      <c r="I1739" s="53" t="s">
        <v>130</v>
      </c>
      <c r="J1739" s="53">
        <v>0</v>
      </c>
      <c r="K1739" s="53">
        <v>1</v>
      </c>
      <c r="L1739" s="53">
        <v>8.6999999999999993</v>
      </c>
      <c r="M1739" s="53" t="s">
        <v>824</v>
      </c>
      <c r="N1739" s="53">
        <v>10.8</v>
      </c>
      <c r="O1739" s="51" t="str">
        <f>TEXT(tblWorkPackages[[#This Row],[Request date serial]]-WEEKDAY(tblWorkPackages[[#This Row],[Request date serial]],3),"yyyy-mm-dd")</f>
        <v>2024-11-18</v>
      </c>
      <c r="P1739" s="51">
        <f>ABS(tblWorkPackages[[#This Row],[Actual labor hours]]-tblWorkPackages[[#This Row],[Estimated labor hours]])</f>
        <v>2.1</v>
      </c>
      <c r="Q1739" s="51">
        <f>IF(tblWorkPackages[[#This Row],[Actual labor hours]]&gt;tblWorkPackages[[#This Row],[Estimated labor hours]],1,0)</f>
        <v>1</v>
      </c>
      <c r="R1739" s="51">
        <f>tblWorkPackages[[#This Row],[Actual labor hours]]-tblWorkPackages[[#This Row],[Estimated labor hours]]</f>
        <v>2.1</v>
      </c>
      <c r="S1739" s="51" t="str">
        <f>IF(tblWorkPackages[[#This Row],[Request date serial]]&lt;ValidationStart,"Train 2024",IF(tblWorkPackages[[#This Row],[Request date serial]]&lt;HoldoutStart,"Validation H1","Holdout H2"))</f>
        <v>Train 2024</v>
      </c>
      <c r="T1739" s="51" t="str">
        <f>IF(tblWorkPackages[[#This Row],[Time split]]="Train 2024","",tblWorkPackages[[#This Row],[Estimated labor hours]]+VLOOKUP(tblWorkPackages[[#This Row],[Task type]],'Forecast validation'!$A$14:$E$25,IF(tblWorkPackages[[#This Row],[Time split]]="Validation H1",4,5),FALSE()))</f>
        <v/>
      </c>
      <c r="U1739" s="51" t="str">
        <f>IF(tblWorkPackages[[#This Row],[Calibrated forecast hours]]="","",ABS(tblWorkPackages[[#This Row],[Actual labor hours]]-tblWorkPackages[[#This Row],[Calibrated forecast hours]]))</f>
        <v/>
      </c>
      <c r="V1739" s="51">
        <f>IF(tblWorkPackages[[#This Row],[Time split]]="Train 2024",tblWorkPackages[[#This Row],[Estimated labor hours]],tblWorkPackages[[#This Row],[Calibrated forecast hours]])</f>
        <v>8.7</v>
      </c>
      <c r="W1739" s="64">
        <f>DATEVALUE(tblWorkPackages[[#This Row],[Request date]])</f>
        <v>45616.0</v>
      </c>
      <c r="X1739" s="64">
        <f>DATEVALUE(tblWorkPackages[[#This Row],[Due date]])</f>
        <v>45629.0</v>
      </c>
      <c r="Y1739" s="64">
        <f>DATEVALUE(tblWorkPackages[[#This Row],[Completion date]])</f>
        <v>45620.0</v>
      </c>
      <c r="Z1739" s="64">
        <f>_xlfn.MINIFS(tblLaborEntries[Work date serial],tblLaborEntries[Work package ID],tblWorkPackages[[#This Row],[Work package ID]])</f>
        <v>45618.0</v>
      </c>
      <c r="AA1739" s="64">
        <f>_xlfn.MAXIFS(tblLaborEntries[Work date serial],tblLaborEntries[Work package ID],tblWorkPackages[[#This Row],[Work package ID]])</f>
        <v>45619.0</v>
      </c>
      <c r="AB1739" s="65">
        <f>IF(tblWorkPackages[[#This Row],[Completion date serial]]&gt;tblWorkPackages[[#This Row],[Due date serial]],1,0)</f>
        <v>0</v>
      </c>
      <c r="AC1739" s="65">
        <f>MAX(0,tblWorkPackages[[#This Row],[Completion date serial]]-tblWorkPackages[[#This Row],[Due date serial]])</f>
        <v>0</v>
      </c>
      <c r="AD1739" s="65">
        <f>tblWorkPackages[[#This Row],[First labor date]]-tblWorkPackages[[#This Row],[Request date serial]]</f>
        <v>2</v>
      </c>
      <c r="AE1739" s="65">
        <f>tblWorkPackages[[#This Row],[Last labor date]]-tblWorkPackages[[#This Row],[First labor date]]</f>
        <v>1</v>
      </c>
      <c r="AF1739" s="65">
        <f>tblWorkPackages[[#This Row],[Completion date serial]]-tblWorkPackages[[#This Row],[Last labor date]]</f>
        <v>1</v>
      </c>
      <c r="AG1739" s="65">
        <f>tblWorkPackages[[#This Row],[Completion date serial]]-tblWorkPackages[[#This Row],[Request date serial]]</f>
        <v>4</v>
      </c>
      <c r="AH1739" s="65">
        <f>IFERROR(INDEX(tblParts[Delay days],MATCH(tblWorkPackages[[#This Row],[Work package ID]],tblParts[Work package ID],0)),0)</f>
        <v>0</v>
      </c>
      <c r="AI1739" s="51" t="str">
        <f>IFERROR(INDEX(tblDisruptions[Event type],MATCH(tblWorkPackages[[#This Row],[Work package ID]],tblDisruptions[Work package ID],0)),"None")</f>
        <v>None</v>
      </c>
      <c r="AJ1739" s="51" t="str">
        <f>TEXT(tblWorkPackages[[#This Row],[Due date serial]],"yyyy-mm")</f>
        <v>2024-12</v>
      </c>
    </row>
    <row r="1740" spans="1:36" ht="15" x14ac:dyDescent="0.25">
      <c r="A1740" s="53" t="s">
        <v>2650</v>
      </c>
      <c r="B1740" s="53" t="s">
        <v>185</v>
      </c>
      <c r="C1740" s="53" t="s">
        <v>312</v>
      </c>
      <c r="D1740" s="53" t="s">
        <v>1361</v>
      </c>
      <c r="E1740" s="53" t="s">
        <v>160</v>
      </c>
      <c r="F1740" s="53" t="s">
        <v>128</v>
      </c>
      <c r="G1740" s="53" t="s">
        <v>138</v>
      </c>
      <c r="H1740" s="53">
        <v>1</v>
      </c>
      <c r="I1740" s="53" t="s">
        <v>147</v>
      </c>
      <c r="J1740" s="53">
        <v>1</v>
      </c>
      <c r="K1740" s="53">
        <v>0</v>
      </c>
      <c r="L1740" s="53">
        <v>3</v>
      </c>
      <c r="M1740" s="53" t="s">
        <v>521</v>
      </c>
      <c r="N1740" s="53">
        <v>3.4</v>
      </c>
      <c r="O1740" s="51" t="str">
        <f>TEXT(tblWorkPackages[[#This Row],[Request date serial]]-WEEKDAY(tblWorkPackages[[#This Row],[Request date serial]],3),"yyyy-mm-dd")</f>
        <v>2025-08-18</v>
      </c>
      <c r="P1740" s="51">
        <f>ABS(tblWorkPackages[[#This Row],[Actual labor hours]]-tblWorkPackages[[#This Row],[Estimated labor hours]])</f>
        <v>0.4</v>
      </c>
      <c r="Q1740" s="51">
        <f>IF(tblWorkPackages[[#This Row],[Actual labor hours]]&gt;tblWorkPackages[[#This Row],[Estimated labor hours]],1,0)</f>
        <v>1</v>
      </c>
      <c r="R1740" s="51">
        <f>tblWorkPackages[[#This Row],[Actual labor hours]]-tblWorkPackages[[#This Row],[Estimated labor hours]]</f>
        <v>0.4</v>
      </c>
      <c r="S1740" s="51" t="str">
        <f>IF(tblWorkPackages[[#This Row],[Request date serial]]&lt;ValidationStart,"Train 2024",IF(tblWorkPackages[[#This Row],[Request date serial]]&lt;HoldoutStart,"Validation H1","Holdout H2"))</f>
        <v>Holdout H2</v>
      </c>
      <c r="T1740" s="51">
        <f>IF(tblWorkPackages[[#This Row],[Time split]]="Train 2024","",tblWorkPackages[[#This Row],[Estimated labor hours]]+VLOOKUP(tblWorkPackages[[#This Row],[Task type]],'Forecast validation'!$A$14:$E$25,IF(tblWorkPackages[[#This Row],[Time split]]="Validation H1",4,5),FALSE()))</f>
        <v>3.43739837398374</v>
      </c>
      <c r="U1740" s="51">
        <f>IF(tblWorkPackages[[#This Row],[Calibrated forecast hours]]="","",ABS(tblWorkPackages[[#This Row],[Actual labor hours]]-tblWorkPackages[[#This Row],[Calibrated forecast hours]]))</f>
        <v>0.03739837398374</v>
      </c>
      <c r="V1740" s="51">
        <f>IF(tblWorkPackages[[#This Row],[Time split]]="Train 2024",tblWorkPackages[[#This Row],[Estimated labor hours]],tblWorkPackages[[#This Row],[Calibrated forecast hours]])</f>
        <v>3.43739837398374</v>
      </c>
      <c r="W1740" s="64">
        <f>DATEVALUE(tblWorkPackages[[#This Row],[Request date]])</f>
        <v>45887.0</v>
      </c>
      <c r="X1740" s="64">
        <f>DATEVALUE(tblWorkPackages[[#This Row],[Due date]])</f>
        <v>45889.0</v>
      </c>
      <c r="Y1740" s="64">
        <f>DATEVALUE(tblWorkPackages[[#This Row],[Completion date]])</f>
        <v>45903.0</v>
      </c>
      <c r="Z1740" s="64">
        <f>_xlfn.MINIFS(tblLaborEntries[Work date serial],tblLaborEntries[Work package ID],tblWorkPackages[[#This Row],[Work package ID]])</f>
        <v>45901.0</v>
      </c>
      <c r="AA1740" s="64">
        <f>_xlfn.MAXIFS(tblLaborEntries[Work date serial],tblLaborEntries[Work package ID],tblWorkPackages[[#This Row],[Work package ID]])</f>
        <v>45901.0</v>
      </c>
      <c r="AB1740" s="65">
        <f>IF(tblWorkPackages[[#This Row],[Completion date serial]]&gt;tblWorkPackages[[#This Row],[Due date serial]],1,0)</f>
        <v>1</v>
      </c>
      <c r="AC1740" s="65">
        <f>MAX(0,tblWorkPackages[[#This Row],[Completion date serial]]-tblWorkPackages[[#This Row],[Due date serial]])</f>
        <v>14</v>
      </c>
      <c r="AD1740" s="65">
        <f>tblWorkPackages[[#This Row],[First labor date]]-tblWorkPackages[[#This Row],[Request date serial]]</f>
        <v>14</v>
      </c>
      <c r="AE1740" s="65">
        <f>tblWorkPackages[[#This Row],[Last labor date]]-tblWorkPackages[[#This Row],[First labor date]]</f>
        <v>0</v>
      </c>
      <c r="AF1740" s="65">
        <f>tblWorkPackages[[#This Row],[Completion date serial]]-tblWorkPackages[[#This Row],[Last labor date]]</f>
        <v>2</v>
      </c>
      <c r="AG1740" s="65">
        <f>tblWorkPackages[[#This Row],[Completion date serial]]-tblWorkPackages[[#This Row],[Request date serial]]</f>
        <v>16</v>
      </c>
      <c r="AH1740" s="65">
        <f>IFERROR(INDEX(tblParts[Delay days],MATCH(tblWorkPackages[[#This Row],[Work package ID]],tblParts[Work package ID],0)),0)</f>
        <v>0</v>
      </c>
      <c r="AI1740" s="51" t="str">
        <f>IFERROR(INDEX(tblDisruptions[Event type],MATCH(tblWorkPackages[[#This Row],[Work package ID]],tblDisruptions[Work package ID],0)),"None")</f>
        <v>None</v>
      </c>
      <c r="AJ1740" s="51" t="str">
        <f>TEXT(tblWorkPackages[[#This Row],[Due date serial]],"yyyy-mm")</f>
        <v>2025-08</v>
      </c>
    </row>
    <row r="1741" spans="1:36" ht="15" x14ac:dyDescent="0.25">
      <c r="A1741" s="53" t="s">
        <v>2651</v>
      </c>
      <c r="B1741" s="53" t="s">
        <v>157</v>
      </c>
      <c r="C1741" s="53" t="s">
        <v>620</v>
      </c>
      <c r="D1741" s="53" t="s">
        <v>621</v>
      </c>
      <c r="E1741" s="53" t="s">
        <v>209</v>
      </c>
      <c r="F1741" s="53" t="s">
        <v>145</v>
      </c>
      <c r="G1741" s="53" t="s">
        <v>210</v>
      </c>
      <c r="H1741" s="53">
        <v>2</v>
      </c>
      <c r="I1741" s="53" t="s">
        <v>176</v>
      </c>
      <c r="J1741" s="53">
        <v>0</v>
      </c>
      <c r="K1741" s="53">
        <v>1</v>
      </c>
      <c r="L1741" s="53">
        <v>19.399999999999999</v>
      </c>
      <c r="M1741" s="53" t="s">
        <v>552</v>
      </c>
      <c r="N1741" s="53">
        <v>20.399999999999999</v>
      </c>
      <c r="O1741" s="51" t="str">
        <f>TEXT(tblWorkPackages[[#This Row],[Request date serial]]-WEEKDAY(tblWorkPackages[[#This Row],[Request date serial]],3),"yyyy-mm-dd")</f>
        <v>2024-07-15</v>
      </c>
      <c r="P1741" s="51">
        <f>ABS(tblWorkPackages[[#This Row],[Actual labor hours]]-tblWorkPackages[[#This Row],[Estimated labor hours]])</f>
        <v>1</v>
      </c>
      <c r="Q1741" s="51">
        <f>IF(tblWorkPackages[[#This Row],[Actual labor hours]]&gt;tblWorkPackages[[#This Row],[Estimated labor hours]],1,0)</f>
        <v>1</v>
      </c>
      <c r="R1741" s="51">
        <f>tblWorkPackages[[#This Row],[Actual labor hours]]-tblWorkPackages[[#This Row],[Estimated labor hours]]</f>
        <v>1</v>
      </c>
      <c r="S1741" s="51" t="str">
        <f>IF(tblWorkPackages[[#This Row],[Request date serial]]&lt;ValidationStart,"Train 2024",IF(tblWorkPackages[[#This Row],[Request date serial]]&lt;HoldoutStart,"Validation H1","Holdout H2"))</f>
        <v>Train 2024</v>
      </c>
      <c r="T1741" s="51" t="str">
        <f>IF(tblWorkPackages[[#This Row],[Time split]]="Train 2024","",tblWorkPackages[[#This Row],[Estimated labor hours]]+VLOOKUP(tblWorkPackages[[#This Row],[Task type]],'Forecast validation'!$A$14:$E$25,IF(tblWorkPackages[[#This Row],[Time split]]="Validation H1",4,5),FALSE()))</f>
        <v/>
      </c>
      <c r="U1741" s="51" t="str">
        <f>IF(tblWorkPackages[[#This Row],[Calibrated forecast hours]]="","",ABS(tblWorkPackages[[#This Row],[Actual labor hours]]-tblWorkPackages[[#This Row],[Calibrated forecast hours]]))</f>
        <v/>
      </c>
      <c r="V1741" s="51">
        <f>IF(tblWorkPackages[[#This Row],[Time split]]="Train 2024",tblWorkPackages[[#This Row],[Estimated labor hours]],tblWorkPackages[[#This Row],[Calibrated forecast hours]])</f>
        <v>19.4</v>
      </c>
      <c r="W1741" s="64">
        <f>DATEVALUE(tblWorkPackages[[#This Row],[Request date]])</f>
        <v>45490.0</v>
      </c>
      <c r="X1741" s="64">
        <f>DATEVALUE(tblWorkPackages[[#This Row],[Due date]])</f>
        <v>45496.0</v>
      </c>
      <c r="Y1741" s="64">
        <f>DATEVALUE(tblWorkPackages[[#This Row],[Completion date]])</f>
        <v>45498.0</v>
      </c>
      <c r="Z1741" s="64">
        <f>_xlfn.MINIFS(tblLaborEntries[Work date serial],tblLaborEntries[Work package ID],tblWorkPackages[[#This Row],[Work package ID]])</f>
        <v>45494.0</v>
      </c>
      <c r="AA1741" s="64">
        <f>_xlfn.MAXIFS(tblLaborEntries[Work date serial],tblLaborEntries[Work package ID],tblWorkPackages[[#This Row],[Work package ID]])</f>
        <v>45495.0</v>
      </c>
      <c r="AB1741" s="65">
        <f>IF(tblWorkPackages[[#This Row],[Completion date serial]]&gt;tblWorkPackages[[#This Row],[Due date serial]],1,0)</f>
        <v>1</v>
      </c>
      <c r="AC1741" s="65">
        <f>MAX(0,tblWorkPackages[[#This Row],[Completion date serial]]-tblWorkPackages[[#This Row],[Due date serial]])</f>
        <v>2</v>
      </c>
      <c r="AD1741" s="65">
        <f>tblWorkPackages[[#This Row],[First labor date]]-tblWorkPackages[[#This Row],[Request date serial]]</f>
        <v>4</v>
      </c>
      <c r="AE1741" s="65">
        <f>tblWorkPackages[[#This Row],[Last labor date]]-tblWorkPackages[[#This Row],[First labor date]]</f>
        <v>1</v>
      </c>
      <c r="AF1741" s="65">
        <f>tblWorkPackages[[#This Row],[Completion date serial]]-tblWorkPackages[[#This Row],[Last labor date]]</f>
        <v>3</v>
      </c>
      <c r="AG1741" s="65">
        <f>tblWorkPackages[[#This Row],[Completion date serial]]-tblWorkPackages[[#This Row],[Request date serial]]</f>
        <v>8</v>
      </c>
      <c r="AH1741" s="65">
        <f>IFERROR(INDEX(tblParts[Delay days],MATCH(tblWorkPackages[[#This Row],[Work package ID]],tblParts[Work package ID],0)),0)</f>
        <v>0</v>
      </c>
      <c r="AI1741" s="51" t="str">
        <f>IFERROR(INDEX(tblDisruptions[Event type],MATCH(tblWorkPackages[[#This Row],[Work package ID]],tblDisruptions[Work package ID],0)),"None")</f>
        <v>None</v>
      </c>
      <c r="AJ1741" s="51" t="str">
        <f>TEXT(tblWorkPackages[[#This Row],[Due date serial]],"yyyy-mm")</f>
        <v>2024-07</v>
      </c>
    </row>
    <row r="1742" spans="1:36" ht="15" x14ac:dyDescent="0.25">
      <c r="A1742" s="53" t="s">
        <v>2652</v>
      </c>
      <c r="B1742" s="53" t="s">
        <v>287</v>
      </c>
      <c r="C1742" s="53" t="s">
        <v>947</v>
      </c>
      <c r="D1742" s="53" t="s">
        <v>883</v>
      </c>
      <c r="E1742" s="53" t="s">
        <v>136</v>
      </c>
      <c r="F1742" s="53" t="s">
        <v>137</v>
      </c>
      <c r="G1742" s="53" t="s">
        <v>138</v>
      </c>
      <c r="H1742" s="53">
        <v>1</v>
      </c>
      <c r="I1742" s="53" t="s">
        <v>130</v>
      </c>
      <c r="J1742" s="53">
        <v>0</v>
      </c>
      <c r="K1742" s="53">
        <v>1</v>
      </c>
      <c r="L1742" s="53">
        <v>8.5</v>
      </c>
      <c r="M1742" s="53" t="s">
        <v>267</v>
      </c>
      <c r="N1742" s="53">
        <v>9.8000000000000007</v>
      </c>
      <c r="O1742" s="51" t="str">
        <f>TEXT(tblWorkPackages[[#This Row],[Request date serial]]-WEEKDAY(tblWorkPackages[[#This Row],[Request date serial]],3),"yyyy-mm-dd")</f>
        <v>2024-09-30</v>
      </c>
      <c r="P1742" s="51">
        <f>ABS(tblWorkPackages[[#This Row],[Actual labor hours]]-tblWorkPackages[[#This Row],[Estimated labor hours]])</f>
        <v>1.3</v>
      </c>
      <c r="Q1742" s="51">
        <f>IF(tblWorkPackages[[#This Row],[Actual labor hours]]&gt;tblWorkPackages[[#This Row],[Estimated labor hours]],1,0)</f>
        <v>1</v>
      </c>
      <c r="R1742" s="51">
        <f>tblWorkPackages[[#This Row],[Actual labor hours]]-tblWorkPackages[[#This Row],[Estimated labor hours]]</f>
        <v>1.3</v>
      </c>
      <c r="S1742" s="51" t="str">
        <f>IF(tblWorkPackages[[#This Row],[Request date serial]]&lt;ValidationStart,"Train 2024",IF(tblWorkPackages[[#This Row],[Request date serial]]&lt;HoldoutStart,"Validation H1","Holdout H2"))</f>
        <v>Train 2024</v>
      </c>
      <c r="T1742" s="51" t="str">
        <f>IF(tblWorkPackages[[#This Row],[Time split]]="Train 2024","",tblWorkPackages[[#This Row],[Estimated labor hours]]+VLOOKUP(tblWorkPackages[[#This Row],[Task type]],'Forecast validation'!$A$14:$E$25,IF(tblWorkPackages[[#This Row],[Time split]]="Validation H1",4,5),FALSE()))</f>
        <v/>
      </c>
      <c r="U1742" s="51" t="str">
        <f>IF(tblWorkPackages[[#This Row],[Calibrated forecast hours]]="","",ABS(tblWorkPackages[[#This Row],[Actual labor hours]]-tblWorkPackages[[#This Row],[Calibrated forecast hours]]))</f>
        <v/>
      </c>
      <c r="V1742" s="51">
        <f>IF(tblWorkPackages[[#This Row],[Time split]]="Train 2024",tblWorkPackages[[#This Row],[Estimated labor hours]],tblWorkPackages[[#This Row],[Calibrated forecast hours]])</f>
        <v>8.5</v>
      </c>
      <c r="W1742" s="64">
        <f>DATEVALUE(tblWorkPackages[[#This Row],[Request date]])</f>
        <v>45570.0</v>
      </c>
      <c r="X1742" s="64">
        <f>DATEVALUE(tblWorkPackages[[#This Row],[Due date]])</f>
        <v>45583.0</v>
      </c>
      <c r="Y1742" s="64">
        <f>DATEVALUE(tblWorkPackages[[#This Row],[Completion date]])</f>
        <v>45631.0</v>
      </c>
      <c r="Z1742" s="64">
        <f>_xlfn.MINIFS(tblLaborEntries[Work date serial],tblLaborEntries[Work package ID],tblWorkPackages[[#This Row],[Work package ID]])</f>
        <v>45630.0</v>
      </c>
      <c r="AA1742" s="64">
        <f>_xlfn.MAXIFS(tblLaborEntries[Work date serial],tblLaborEntries[Work package ID],tblWorkPackages[[#This Row],[Work package ID]])</f>
        <v>45631.0</v>
      </c>
      <c r="AB1742" s="65">
        <f>IF(tblWorkPackages[[#This Row],[Completion date serial]]&gt;tblWorkPackages[[#This Row],[Due date serial]],1,0)</f>
        <v>1</v>
      </c>
      <c r="AC1742" s="65">
        <f>MAX(0,tblWorkPackages[[#This Row],[Completion date serial]]-tblWorkPackages[[#This Row],[Due date serial]])</f>
        <v>48</v>
      </c>
      <c r="AD1742" s="65">
        <f>tblWorkPackages[[#This Row],[First labor date]]-tblWorkPackages[[#This Row],[Request date serial]]</f>
        <v>60</v>
      </c>
      <c r="AE1742" s="65">
        <f>tblWorkPackages[[#This Row],[Last labor date]]-tblWorkPackages[[#This Row],[First labor date]]</f>
        <v>1</v>
      </c>
      <c r="AF1742" s="65">
        <f>tblWorkPackages[[#This Row],[Completion date serial]]-tblWorkPackages[[#This Row],[Last labor date]]</f>
        <v>0</v>
      </c>
      <c r="AG1742" s="65">
        <f>tblWorkPackages[[#This Row],[Completion date serial]]-tblWorkPackages[[#This Row],[Request date serial]]</f>
        <v>61</v>
      </c>
      <c r="AH1742" s="65">
        <f>IFERROR(INDEX(tblParts[Delay days],MATCH(tblWorkPackages[[#This Row],[Work package ID]],tblParts[Work package ID],0)),0)</f>
        <v>0</v>
      </c>
      <c r="AI1742" s="51" t="str">
        <f>IFERROR(INDEX(tblDisruptions[Event type],MATCH(tblWorkPackages[[#This Row],[Work package ID]],tblDisruptions[Work package ID],0)),"None")</f>
        <v>None</v>
      </c>
      <c r="AJ1742" s="51" t="str">
        <f>TEXT(tblWorkPackages[[#This Row],[Due date serial]],"yyyy-mm")</f>
        <v>2024-10</v>
      </c>
    </row>
    <row r="1743" spans="1:36" ht="15" x14ac:dyDescent="0.25">
      <c r="A1743" s="53" t="s">
        <v>2653</v>
      </c>
      <c r="B1743" s="53" t="s">
        <v>150</v>
      </c>
      <c r="C1743" s="53" t="s">
        <v>285</v>
      </c>
      <c r="D1743" s="53" t="s">
        <v>288</v>
      </c>
      <c r="E1743" s="53" t="s">
        <v>136</v>
      </c>
      <c r="F1743" s="53" t="s">
        <v>137</v>
      </c>
      <c r="G1743" s="53" t="s">
        <v>138</v>
      </c>
      <c r="H1743" s="53">
        <v>3</v>
      </c>
      <c r="I1743" s="53" t="s">
        <v>130</v>
      </c>
      <c r="J1743" s="53">
        <v>0</v>
      </c>
      <c r="K1743" s="53">
        <v>0</v>
      </c>
      <c r="L1743" s="53">
        <v>18.399999999999999</v>
      </c>
      <c r="M1743" s="53" t="s">
        <v>462</v>
      </c>
      <c r="N1743" s="53">
        <v>16.7</v>
      </c>
      <c r="O1743" s="51" t="str">
        <f>TEXT(tblWorkPackages[[#This Row],[Request date serial]]-WEEKDAY(tblWorkPackages[[#This Row],[Request date serial]],3),"yyyy-mm-dd")</f>
        <v>2025-09-15</v>
      </c>
      <c r="P1743" s="51">
        <f>ABS(tblWorkPackages[[#This Row],[Actual labor hours]]-tblWorkPackages[[#This Row],[Estimated labor hours]])</f>
        <v>1.7</v>
      </c>
      <c r="Q1743" s="51">
        <f>IF(tblWorkPackages[[#This Row],[Actual labor hours]]&gt;tblWorkPackages[[#This Row],[Estimated labor hours]],1,0)</f>
        <v>0</v>
      </c>
      <c r="R1743" s="51">
        <f>tblWorkPackages[[#This Row],[Actual labor hours]]-tblWorkPackages[[#This Row],[Estimated labor hours]]</f>
        <v>-1.7</v>
      </c>
      <c r="S1743" s="51" t="str">
        <f>IF(tblWorkPackages[[#This Row],[Request date serial]]&lt;ValidationStart,"Train 2024",IF(tblWorkPackages[[#This Row],[Request date serial]]&lt;HoldoutStart,"Validation H1","Holdout H2"))</f>
        <v>Holdout H2</v>
      </c>
      <c r="T1743" s="51">
        <f>IF(tblWorkPackages[[#This Row],[Time split]]="Train 2024","",tblWorkPackages[[#This Row],[Estimated labor hours]]+VLOOKUP(tblWorkPackages[[#This Row],[Task type]],'Forecast validation'!$A$14:$E$25,IF(tblWorkPackages[[#This Row],[Time split]]="Validation H1",4,5),FALSE()))</f>
        <v>19.3207547169811</v>
      </c>
      <c r="U1743" s="51">
        <f>IF(tblWorkPackages[[#This Row],[Calibrated forecast hours]]="","",ABS(tblWorkPackages[[#This Row],[Actual labor hours]]-tblWorkPackages[[#This Row],[Calibrated forecast hours]]))</f>
        <v>2.62075471698113</v>
      </c>
      <c r="V1743" s="51">
        <f>IF(tblWorkPackages[[#This Row],[Time split]]="Train 2024",tblWorkPackages[[#This Row],[Estimated labor hours]],tblWorkPackages[[#This Row],[Calibrated forecast hours]])</f>
        <v>19.3207547169811</v>
      </c>
      <c r="W1743" s="64">
        <f>DATEVALUE(tblWorkPackages[[#This Row],[Request date]])</f>
        <v>45915.0</v>
      </c>
      <c r="X1743" s="64">
        <f>DATEVALUE(tblWorkPackages[[#This Row],[Due date]])</f>
        <v>45928.0</v>
      </c>
      <c r="Y1743" s="64">
        <f>DATEVALUE(tblWorkPackages[[#This Row],[Completion date]])</f>
        <v>45925.0</v>
      </c>
      <c r="Z1743" s="64">
        <f>_xlfn.MINIFS(tblLaborEntries[Work date serial],tblLaborEntries[Work package ID],tblWorkPackages[[#This Row],[Work package ID]])</f>
        <v>45924.0</v>
      </c>
      <c r="AA1743" s="64">
        <f>_xlfn.MAXIFS(tblLaborEntries[Work date serial],tblLaborEntries[Work package ID],tblWorkPackages[[#This Row],[Work package ID]])</f>
        <v>45924.0</v>
      </c>
      <c r="AB1743" s="65">
        <f>IF(tblWorkPackages[[#This Row],[Completion date serial]]&gt;tblWorkPackages[[#This Row],[Due date serial]],1,0)</f>
        <v>0</v>
      </c>
      <c r="AC1743" s="65">
        <f>MAX(0,tblWorkPackages[[#This Row],[Completion date serial]]-tblWorkPackages[[#This Row],[Due date serial]])</f>
        <v>0</v>
      </c>
      <c r="AD1743" s="65">
        <f>tblWorkPackages[[#This Row],[First labor date]]-tblWorkPackages[[#This Row],[Request date serial]]</f>
        <v>9</v>
      </c>
      <c r="AE1743" s="65">
        <f>tblWorkPackages[[#This Row],[Last labor date]]-tblWorkPackages[[#This Row],[First labor date]]</f>
        <v>0</v>
      </c>
      <c r="AF1743" s="65">
        <f>tblWorkPackages[[#This Row],[Completion date serial]]-tblWorkPackages[[#This Row],[Last labor date]]</f>
        <v>1</v>
      </c>
      <c r="AG1743" s="65">
        <f>tblWorkPackages[[#This Row],[Completion date serial]]-tblWorkPackages[[#This Row],[Request date serial]]</f>
        <v>10</v>
      </c>
      <c r="AH1743" s="65">
        <f>IFERROR(INDEX(tblParts[Delay days],MATCH(tblWorkPackages[[#This Row],[Work package ID]],tblParts[Work package ID],0)),0)</f>
        <v>0</v>
      </c>
      <c r="AI1743" s="51" t="str">
        <f>IFERROR(INDEX(tblDisruptions[Event type],MATCH(tblWorkPackages[[#This Row],[Work package ID]],tblDisruptions[Work package ID],0)),"None")</f>
        <v>None</v>
      </c>
      <c r="AJ1743" s="51" t="str">
        <f>TEXT(tblWorkPackages[[#This Row],[Due date serial]],"yyyy-mm")</f>
        <v>2025-09</v>
      </c>
    </row>
    <row r="1744" spans="1:36" ht="15" x14ac:dyDescent="0.25">
      <c r="A1744" s="53" t="s">
        <v>2654</v>
      </c>
      <c r="B1744" s="53" t="s">
        <v>133</v>
      </c>
      <c r="C1744" s="53" t="s">
        <v>457</v>
      </c>
      <c r="D1744" s="53" t="s">
        <v>1062</v>
      </c>
      <c r="E1744" s="53" t="s">
        <v>200</v>
      </c>
      <c r="F1744" s="53" t="s">
        <v>128</v>
      </c>
      <c r="G1744" s="53" t="s">
        <v>129</v>
      </c>
      <c r="H1744" s="53">
        <v>1</v>
      </c>
      <c r="I1744" s="53" t="s">
        <v>130</v>
      </c>
      <c r="J1744" s="53">
        <v>1</v>
      </c>
      <c r="K1744" s="53">
        <v>1</v>
      </c>
      <c r="L1744" s="53">
        <v>1.9</v>
      </c>
      <c r="M1744" s="53" t="s">
        <v>485</v>
      </c>
      <c r="N1744" s="53">
        <v>2.9</v>
      </c>
      <c r="O1744" s="51" t="str">
        <f>TEXT(tblWorkPackages[[#This Row],[Request date serial]]-WEEKDAY(tblWorkPackages[[#This Row],[Request date serial]],3),"yyyy-mm-dd")</f>
        <v>2025-01-06</v>
      </c>
      <c r="P1744" s="51">
        <f>ABS(tblWorkPackages[[#This Row],[Actual labor hours]]-tblWorkPackages[[#This Row],[Estimated labor hours]])</f>
        <v>1</v>
      </c>
      <c r="Q1744" s="51">
        <f>IF(tblWorkPackages[[#This Row],[Actual labor hours]]&gt;tblWorkPackages[[#This Row],[Estimated labor hours]],1,0)</f>
        <v>1</v>
      </c>
      <c r="R1744" s="51">
        <f>tblWorkPackages[[#This Row],[Actual labor hours]]-tblWorkPackages[[#This Row],[Estimated labor hours]]</f>
        <v>1</v>
      </c>
      <c r="S1744" s="51" t="str">
        <f>IF(tblWorkPackages[[#This Row],[Request date serial]]&lt;ValidationStart,"Train 2024",IF(tblWorkPackages[[#This Row],[Request date serial]]&lt;HoldoutStart,"Validation H1","Holdout H2"))</f>
        <v>Validation H1</v>
      </c>
      <c r="T1744" s="51">
        <f>IF(tblWorkPackages[[#This Row],[Time split]]="Train 2024","",tblWorkPackages[[#This Row],[Estimated labor hours]]+VLOOKUP(tblWorkPackages[[#This Row],[Task type]],'Forecast validation'!$A$14:$E$25,IF(tblWorkPackages[[#This Row],[Time split]]="Validation H1",4,5),FALSE()))</f>
        <v>2.23069306930693</v>
      </c>
      <c r="U1744" s="51">
        <f>IF(tblWorkPackages[[#This Row],[Calibrated forecast hours]]="","",ABS(tblWorkPackages[[#This Row],[Actual labor hours]]-tblWorkPackages[[#This Row],[Calibrated forecast hours]]))</f>
        <v>0.66930693069307</v>
      </c>
      <c r="V1744" s="51">
        <f>IF(tblWorkPackages[[#This Row],[Time split]]="Train 2024",tblWorkPackages[[#This Row],[Estimated labor hours]],tblWorkPackages[[#This Row],[Calibrated forecast hours]])</f>
        <v>2.23069306930693</v>
      </c>
      <c r="W1744" s="64">
        <f>DATEVALUE(tblWorkPackages[[#This Row],[Request date]])</f>
        <v>45669.0</v>
      </c>
      <c r="X1744" s="64">
        <f>DATEVALUE(tblWorkPackages[[#This Row],[Due date]])</f>
        <v>45682.0</v>
      </c>
      <c r="Y1744" s="64">
        <f>DATEVALUE(tblWorkPackages[[#This Row],[Completion date]])</f>
        <v>45675.0</v>
      </c>
      <c r="Z1744" s="64">
        <f>_xlfn.MINIFS(tblLaborEntries[Work date serial],tblLaborEntries[Work package ID],tblWorkPackages[[#This Row],[Work package ID]])</f>
        <v>45671.0</v>
      </c>
      <c r="AA1744" s="64">
        <f>_xlfn.MAXIFS(tblLaborEntries[Work date serial],tblLaborEntries[Work package ID],tblWorkPackages[[#This Row],[Work package ID]])</f>
        <v>45673.0</v>
      </c>
      <c r="AB1744" s="65">
        <f>IF(tblWorkPackages[[#This Row],[Completion date serial]]&gt;tblWorkPackages[[#This Row],[Due date serial]],1,0)</f>
        <v>0</v>
      </c>
      <c r="AC1744" s="65">
        <f>MAX(0,tblWorkPackages[[#This Row],[Completion date serial]]-tblWorkPackages[[#This Row],[Due date serial]])</f>
        <v>0</v>
      </c>
      <c r="AD1744" s="65">
        <f>tblWorkPackages[[#This Row],[First labor date]]-tblWorkPackages[[#This Row],[Request date serial]]</f>
        <v>2</v>
      </c>
      <c r="AE1744" s="65">
        <f>tblWorkPackages[[#This Row],[Last labor date]]-tblWorkPackages[[#This Row],[First labor date]]</f>
        <v>2</v>
      </c>
      <c r="AF1744" s="65">
        <f>tblWorkPackages[[#This Row],[Completion date serial]]-tblWorkPackages[[#This Row],[Last labor date]]</f>
        <v>2</v>
      </c>
      <c r="AG1744" s="65">
        <f>tblWorkPackages[[#This Row],[Completion date serial]]-tblWorkPackages[[#This Row],[Request date serial]]</f>
        <v>6</v>
      </c>
      <c r="AH1744" s="65">
        <f>IFERROR(INDEX(tblParts[Delay days],MATCH(tblWorkPackages[[#This Row],[Work package ID]],tblParts[Work package ID],0)),0)</f>
        <v>0</v>
      </c>
      <c r="AI1744" s="51" t="str">
        <f>IFERROR(INDEX(tblDisruptions[Event type],MATCH(tblWorkPackages[[#This Row],[Work package ID]],tblDisruptions[Work package ID],0)),"None")</f>
        <v>None</v>
      </c>
      <c r="AJ1744" s="51" t="str">
        <f>TEXT(tblWorkPackages[[#This Row],[Due date serial]],"yyyy-mm")</f>
        <v>2025-01</v>
      </c>
    </row>
    <row r="1745" spans="1:36" ht="15" x14ac:dyDescent="0.25">
      <c r="A1745" s="53" t="s">
        <v>2655</v>
      </c>
      <c r="B1745" s="53" t="s">
        <v>173</v>
      </c>
      <c r="C1745" s="53" t="s">
        <v>335</v>
      </c>
      <c r="D1745" s="53" t="s">
        <v>1301</v>
      </c>
      <c r="E1745" s="53" t="s">
        <v>127</v>
      </c>
      <c r="F1745" s="53" t="s">
        <v>128</v>
      </c>
      <c r="G1745" s="53" t="s">
        <v>129</v>
      </c>
      <c r="H1745" s="53">
        <v>1</v>
      </c>
      <c r="I1745" s="53" t="s">
        <v>147</v>
      </c>
      <c r="J1745" s="53">
        <v>0</v>
      </c>
      <c r="K1745" s="53">
        <v>0</v>
      </c>
      <c r="L1745" s="53">
        <v>4</v>
      </c>
      <c r="M1745" s="53" t="s">
        <v>356</v>
      </c>
      <c r="N1745" s="53">
        <v>3.2</v>
      </c>
      <c r="O1745" s="51" t="str">
        <f>TEXT(tblWorkPackages[[#This Row],[Request date serial]]-WEEKDAY(tblWorkPackages[[#This Row],[Request date serial]],3),"yyyy-mm-dd")</f>
        <v>2025-11-17</v>
      </c>
      <c r="P1745" s="51">
        <f>ABS(tblWorkPackages[[#This Row],[Actual labor hours]]-tblWorkPackages[[#This Row],[Estimated labor hours]])</f>
        <v>0.8</v>
      </c>
      <c r="Q1745" s="51">
        <f>IF(tblWorkPackages[[#This Row],[Actual labor hours]]&gt;tblWorkPackages[[#This Row],[Estimated labor hours]],1,0)</f>
        <v>0</v>
      </c>
      <c r="R1745" s="51">
        <f>tblWorkPackages[[#This Row],[Actual labor hours]]-tblWorkPackages[[#This Row],[Estimated labor hours]]</f>
        <v>-0.8</v>
      </c>
      <c r="S1745" s="51" t="str">
        <f>IF(tblWorkPackages[[#This Row],[Request date serial]]&lt;ValidationStart,"Train 2024",IF(tblWorkPackages[[#This Row],[Request date serial]]&lt;HoldoutStart,"Validation H1","Holdout H2"))</f>
        <v>Holdout H2</v>
      </c>
      <c r="T1745" s="51">
        <f>IF(tblWorkPackages[[#This Row],[Time split]]="Train 2024","",tblWorkPackages[[#This Row],[Estimated labor hours]]+VLOOKUP(tblWorkPackages[[#This Row],[Task type]],'Forecast validation'!$A$14:$E$25,IF(tblWorkPackages[[#This Row],[Time split]]="Validation H1",4,5),FALSE()))</f>
        <v>4.54341085271318</v>
      </c>
      <c r="U1745" s="51">
        <f>IF(tblWorkPackages[[#This Row],[Calibrated forecast hours]]="","",ABS(tblWorkPackages[[#This Row],[Actual labor hours]]-tblWorkPackages[[#This Row],[Calibrated forecast hours]]))</f>
        <v>1.34341085271318</v>
      </c>
      <c r="V1745" s="51">
        <f>IF(tblWorkPackages[[#This Row],[Time split]]="Train 2024",tblWorkPackages[[#This Row],[Estimated labor hours]],tblWorkPackages[[#This Row],[Calibrated forecast hours]])</f>
        <v>4.54341085271318</v>
      </c>
      <c r="W1745" s="64">
        <f>DATEVALUE(tblWorkPackages[[#This Row],[Request date]])</f>
        <v>45984.0</v>
      </c>
      <c r="X1745" s="64">
        <f>DATEVALUE(tblWorkPackages[[#This Row],[Due date]])</f>
        <v>45986.0</v>
      </c>
      <c r="Y1745" s="64">
        <f>DATEVALUE(tblWorkPackages[[#This Row],[Completion date]])</f>
        <v>46012.0</v>
      </c>
      <c r="Z1745" s="64">
        <f>_xlfn.MINIFS(tblLaborEntries[Work date serial],tblLaborEntries[Work package ID],tblWorkPackages[[#This Row],[Work package ID]])</f>
        <v>46007.0</v>
      </c>
      <c r="AA1745" s="64">
        <f>_xlfn.MAXIFS(tblLaborEntries[Work date serial],tblLaborEntries[Work package ID],tblWorkPackages[[#This Row],[Work package ID]])</f>
        <v>46009.0</v>
      </c>
      <c r="AB1745" s="65">
        <f>IF(tblWorkPackages[[#This Row],[Completion date serial]]&gt;tblWorkPackages[[#This Row],[Due date serial]],1,0)</f>
        <v>1</v>
      </c>
      <c r="AC1745" s="65">
        <f>MAX(0,tblWorkPackages[[#This Row],[Completion date serial]]-tblWorkPackages[[#This Row],[Due date serial]])</f>
        <v>26</v>
      </c>
      <c r="AD1745" s="65">
        <f>tblWorkPackages[[#This Row],[First labor date]]-tblWorkPackages[[#This Row],[Request date serial]]</f>
        <v>23</v>
      </c>
      <c r="AE1745" s="65">
        <f>tblWorkPackages[[#This Row],[Last labor date]]-tblWorkPackages[[#This Row],[First labor date]]</f>
        <v>2</v>
      </c>
      <c r="AF1745" s="65">
        <f>tblWorkPackages[[#This Row],[Completion date serial]]-tblWorkPackages[[#This Row],[Last labor date]]</f>
        <v>3</v>
      </c>
      <c r="AG1745" s="65">
        <f>tblWorkPackages[[#This Row],[Completion date serial]]-tblWorkPackages[[#This Row],[Request date serial]]</f>
        <v>28</v>
      </c>
      <c r="AH1745" s="65">
        <f>IFERROR(INDEX(tblParts[Delay days],MATCH(tblWorkPackages[[#This Row],[Work package ID]],tblParts[Work package ID],0)),0)</f>
        <v>0</v>
      </c>
      <c r="AI1745" s="51" t="str">
        <f>IFERROR(INDEX(tblDisruptions[Event type],MATCH(tblWorkPackages[[#This Row],[Work package ID]],tblDisruptions[Work package ID],0)),"None")</f>
        <v>None</v>
      </c>
      <c r="AJ1745" s="51" t="str">
        <f>TEXT(tblWorkPackages[[#This Row],[Due date serial]],"yyyy-mm")</f>
        <v>2025-11</v>
      </c>
    </row>
    <row r="1746" spans="1:36" ht="15" x14ac:dyDescent="0.25">
      <c r="A1746" s="53" t="s">
        <v>2656</v>
      </c>
      <c r="B1746" s="53" t="s">
        <v>235</v>
      </c>
      <c r="C1746" s="53" t="s">
        <v>1095</v>
      </c>
      <c r="D1746" s="53" t="s">
        <v>839</v>
      </c>
      <c r="E1746" s="53" t="s">
        <v>272</v>
      </c>
      <c r="F1746" s="53" t="s">
        <v>145</v>
      </c>
      <c r="G1746" s="53" t="s">
        <v>273</v>
      </c>
      <c r="H1746" s="53">
        <v>1</v>
      </c>
      <c r="I1746" s="53" t="s">
        <v>147</v>
      </c>
      <c r="J1746" s="53">
        <v>0</v>
      </c>
      <c r="K1746" s="53">
        <v>0</v>
      </c>
      <c r="L1746" s="53">
        <v>7.9</v>
      </c>
      <c r="M1746" s="53" t="s">
        <v>148</v>
      </c>
      <c r="N1746" s="53">
        <v>7.2</v>
      </c>
      <c r="O1746" s="51" t="str">
        <f>TEXT(tblWorkPackages[[#This Row],[Request date serial]]-WEEKDAY(tblWorkPackages[[#This Row],[Request date serial]],3),"yyyy-mm-dd")</f>
        <v>2024-02-19</v>
      </c>
      <c r="P1746" s="51">
        <f>ABS(tblWorkPackages[[#This Row],[Actual labor hours]]-tblWorkPackages[[#This Row],[Estimated labor hours]])</f>
        <v>0.7</v>
      </c>
      <c r="Q1746" s="51">
        <f>IF(tblWorkPackages[[#This Row],[Actual labor hours]]&gt;tblWorkPackages[[#This Row],[Estimated labor hours]],1,0)</f>
        <v>0</v>
      </c>
      <c r="R1746" s="51">
        <f>tblWorkPackages[[#This Row],[Actual labor hours]]-tblWorkPackages[[#This Row],[Estimated labor hours]]</f>
        <v>-0.7</v>
      </c>
      <c r="S1746" s="51" t="str">
        <f>IF(tblWorkPackages[[#This Row],[Request date serial]]&lt;ValidationStart,"Train 2024",IF(tblWorkPackages[[#This Row],[Request date serial]]&lt;HoldoutStart,"Validation H1","Holdout H2"))</f>
        <v>Train 2024</v>
      </c>
      <c r="T1746" s="51" t="str">
        <f>IF(tblWorkPackages[[#This Row],[Time split]]="Train 2024","",tblWorkPackages[[#This Row],[Estimated labor hours]]+VLOOKUP(tblWorkPackages[[#This Row],[Task type]],'Forecast validation'!$A$14:$E$25,IF(tblWorkPackages[[#This Row],[Time split]]="Validation H1",4,5),FALSE()))</f>
        <v/>
      </c>
      <c r="U1746" s="51" t="str">
        <f>IF(tblWorkPackages[[#This Row],[Calibrated forecast hours]]="","",ABS(tblWorkPackages[[#This Row],[Actual labor hours]]-tblWorkPackages[[#This Row],[Calibrated forecast hours]]))</f>
        <v/>
      </c>
      <c r="V1746" s="51">
        <f>IF(tblWorkPackages[[#This Row],[Time split]]="Train 2024",tblWorkPackages[[#This Row],[Estimated labor hours]],tblWorkPackages[[#This Row],[Calibrated forecast hours]])</f>
        <v>7.9</v>
      </c>
      <c r="W1746" s="64">
        <f>DATEVALUE(tblWorkPackages[[#This Row],[Request date]])</f>
        <v>45344.0</v>
      </c>
      <c r="X1746" s="64">
        <f>DATEVALUE(tblWorkPackages[[#This Row],[Due date]])</f>
        <v>45346.0</v>
      </c>
      <c r="Y1746" s="64">
        <f>DATEVALUE(tblWorkPackages[[#This Row],[Completion date]])</f>
        <v>45348.0</v>
      </c>
      <c r="Z1746" s="64">
        <f>_xlfn.MINIFS(tblLaborEntries[Work date serial],tblLaborEntries[Work package ID],tblWorkPackages[[#This Row],[Work package ID]])</f>
        <v>45348.0</v>
      </c>
      <c r="AA1746" s="64">
        <f>_xlfn.MAXIFS(tblLaborEntries[Work date serial],tblLaborEntries[Work package ID],tblWorkPackages[[#This Row],[Work package ID]])</f>
        <v>45348.0</v>
      </c>
      <c r="AB1746" s="65">
        <f>IF(tblWorkPackages[[#This Row],[Completion date serial]]&gt;tblWorkPackages[[#This Row],[Due date serial]],1,0)</f>
        <v>1</v>
      </c>
      <c r="AC1746" s="65">
        <f>MAX(0,tblWorkPackages[[#This Row],[Completion date serial]]-tblWorkPackages[[#This Row],[Due date serial]])</f>
        <v>2</v>
      </c>
      <c r="AD1746" s="65">
        <f>tblWorkPackages[[#This Row],[First labor date]]-tblWorkPackages[[#This Row],[Request date serial]]</f>
        <v>4</v>
      </c>
      <c r="AE1746" s="65">
        <f>tblWorkPackages[[#This Row],[Last labor date]]-tblWorkPackages[[#This Row],[First labor date]]</f>
        <v>0</v>
      </c>
      <c r="AF1746" s="65">
        <f>tblWorkPackages[[#This Row],[Completion date serial]]-tblWorkPackages[[#This Row],[Last labor date]]</f>
        <v>0</v>
      </c>
      <c r="AG1746" s="65">
        <f>tblWorkPackages[[#This Row],[Completion date serial]]-tblWorkPackages[[#This Row],[Request date serial]]</f>
        <v>4</v>
      </c>
      <c r="AH1746" s="65">
        <f>IFERROR(INDEX(tblParts[Delay days],MATCH(tblWorkPackages[[#This Row],[Work package ID]],tblParts[Work package ID],0)),0)</f>
        <v>0</v>
      </c>
      <c r="AI1746" s="51" t="str">
        <f>IFERROR(INDEX(tblDisruptions[Event type],MATCH(tblWorkPackages[[#This Row],[Work package ID]],tblDisruptions[Work package ID],0)),"None")</f>
        <v>None</v>
      </c>
      <c r="AJ1746" s="51" t="str">
        <f>TEXT(tblWorkPackages[[#This Row],[Due date serial]],"yyyy-mm")</f>
        <v>2024-02</v>
      </c>
    </row>
    <row r="1747" spans="1:36" ht="15" x14ac:dyDescent="0.25">
      <c r="A1747" s="53" t="s">
        <v>2657</v>
      </c>
      <c r="B1747" s="53" t="s">
        <v>173</v>
      </c>
      <c r="C1747" s="53" t="s">
        <v>221</v>
      </c>
      <c r="D1747" s="53" t="s">
        <v>922</v>
      </c>
      <c r="E1747" s="53" t="s">
        <v>272</v>
      </c>
      <c r="F1747" s="53" t="s">
        <v>145</v>
      </c>
      <c r="G1747" s="53" t="s">
        <v>273</v>
      </c>
      <c r="H1747" s="53">
        <v>2</v>
      </c>
      <c r="I1747" s="53" t="s">
        <v>176</v>
      </c>
      <c r="J1747" s="53">
        <v>0</v>
      </c>
      <c r="K1747" s="53">
        <v>0</v>
      </c>
      <c r="L1747" s="53">
        <v>10.3</v>
      </c>
      <c r="M1747" s="53" t="s">
        <v>513</v>
      </c>
      <c r="N1747" s="53">
        <v>10.3</v>
      </c>
      <c r="O1747" s="51" t="str">
        <f>TEXT(tblWorkPackages[[#This Row],[Request date serial]]-WEEKDAY(tblWorkPackages[[#This Row],[Request date serial]],3),"yyyy-mm-dd")</f>
        <v>2024-12-16</v>
      </c>
      <c r="P1747" s="51">
        <f>ABS(tblWorkPackages[[#This Row],[Actual labor hours]]-tblWorkPackages[[#This Row],[Estimated labor hours]])</f>
        <v>0</v>
      </c>
      <c r="Q1747" s="51">
        <f>IF(tblWorkPackages[[#This Row],[Actual labor hours]]&gt;tblWorkPackages[[#This Row],[Estimated labor hours]],1,0)</f>
        <v>0</v>
      </c>
      <c r="R1747" s="51">
        <f>tblWorkPackages[[#This Row],[Actual labor hours]]-tblWorkPackages[[#This Row],[Estimated labor hours]]</f>
        <v>0</v>
      </c>
      <c r="S1747" s="51" t="str">
        <f>IF(tblWorkPackages[[#This Row],[Request date serial]]&lt;ValidationStart,"Train 2024",IF(tblWorkPackages[[#This Row],[Request date serial]]&lt;HoldoutStart,"Validation H1","Holdout H2"))</f>
        <v>Train 2024</v>
      </c>
      <c r="T1747" s="51" t="str">
        <f>IF(tblWorkPackages[[#This Row],[Time split]]="Train 2024","",tblWorkPackages[[#This Row],[Estimated labor hours]]+VLOOKUP(tblWorkPackages[[#This Row],[Task type]],'Forecast validation'!$A$14:$E$25,IF(tblWorkPackages[[#This Row],[Time split]]="Validation H1",4,5),FALSE()))</f>
        <v/>
      </c>
      <c r="U1747" s="51" t="str">
        <f>IF(tblWorkPackages[[#This Row],[Calibrated forecast hours]]="","",ABS(tblWorkPackages[[#This Row],[Actual labor hours]]-tblWorkPackages[[#This Row],[Calibrated forecast hours]]))</f>
        <v/>
      </c>
      <c r="V1747" s="51">
        <f>IF(tblWorkPackages[[#This Row],[Time split]]="Train 2024",tblWorkPackages[[#This Row],[Estimated labor hours]],tblWorkPackages[[#This Row],[Calibrated forecast hours]])</f>
        <v>10.3</v>
      </c>
      <c r="W1747" s="64">
        <f>DATEVALUE(tblWorkPackages[[#This Row],[Request date]])</f>
        <v>45645.0</v>
      </c>
      <c r="X1747" s="64">
        <f>DATEVALUE(tblWorkPackages[[#This Row],[Due date]])</f>
        <v>45651.0</v>
      </c>
      <c r="Y1747" s="64">
        <f>DATEVALUE(tblWorkPackages[[#This Row],[Completion date]])</f>
        <v>45649.0</v>
      </c>
      <c r="Z1747" s="64">
        <f>_xlfn.MINIFS(tblLaborEntries[Work date serial],tblLaborEntries[Work package ID],tblWorkPackages[[#This Row],[Work package ID]])</f>
        <v>45646.0</v>
      </c>
      <c r="AA1747" s="64">
        <f>_xlfn.MAXIFS(tblLaborEntries[Work date serial],tblLaborEntries[Work package ID],tblWorkPackages[[#This Row],[Work package ID]])</f>
        <v>45648.0</v>
      </c>
      <c r="AB1747" s="65">
        <f>IF(tblWorkPackages[[#This Row],[Completion date serial]]&gt;tblWorkPackages[[#This Row],[Due date serial]],1,0)</f>
        <v>0</v>
      </c>
      <c r="AC1747" s="65">
        <f>MAX(0,tblWorkPackages[[#This Row],[Completion date serial]]-tblWorkPackages[[#This Row],[Due date serial]])</f>
        <v>0</v>
      </c>
      <c r="AD1747" s="65">
        <f>tblWorkPackages[[#This Row],[First labor date]]-tblWorkPackages[[#This Row],[Request date serial]]</f>
        <v>1</v>
      </c>
      <c r="AE1747" s="65">
        <f>tblWorkPackages[[#This Row],[Last labor date]]-tblWorkPackages[[#This Row],[First labor date]]</f>
        <v>2</v>
      </c>
      <c r="AF1747" s="65">
        <f>tblWorkPackages[[#This Row],[Completion date serial]]-tblWorkPackages[[#This Row],[Last labor date]]</f>
        <v>1</v>
      </c>
      <c r="AG1747" s="65">
        <f>tblWorkPackages[[#This Row],[Completion date serial]]-tblWorkPackages[[#This Row],[Request date serial]]</f>
        <v>4</v>
      </c>
      <c r="AH1747" s="65">
        <f>IFERROR(INDEX(tblParts[Delay days],MATCH(tblWorkPackages[[#This Row],[Work package ID]],tblParts[Work package ID],0)),0)</f>
        <v>0</v>
      </c>
      <c r="AI1747" s="51" t="str">
        <f>IFERROR(INDEX(tblDisruptions[Event type],MATCH(tblWorkPackages[[#This Row],[Work package ID]],tblDisruptions[Work package ID],0)),"None")</f>
        <v>None</v>
      </c>
      <c r="AJ1747" s="51" t="str">
        <f>TEXT(tblWorkPackages[[#This Row],[Due date serial]],"yyyy-mm")</f>
        <v>2024-12</v>
      </c>
    </row>
    <row r="1748" spans="1:36" ht="15" x14ac:dyDescent="0.25">
      <c r="A1748" s="53" t="s">
        <v>2658</v>
      </c>
      <c r="B1748" s="53" t="s">
        <v>173</v>
      </c>
      <c r="C1748" s="53" t="s">
        <v>134</v>
      </c>
      <c r="D1748" s="53" t="s">
        <v>529</v>
      </c>
      <c r="E1748" s="53" t="s">
        <v>181</v>
      </c>
      <c r="F1748" s="53" t="s">
        <v>182</v>
      </c>
      <c r="G1748" s="53" t="s">
        <v>138</v>
      </c>
      <c r="H1748" s="53">
        <v>3</v>
      </c>
      <c r="I1748" s="53" t="s">
        <v>176</v>
      </c>
      <c r="J1748" s="53">
        <v>0</v>
      </c>
      <c r="K1748" s="53">
        <v>0</v>
      </c>
      <c r="L1748" s="53">
        <v>8.9</v>
      </c>
      <c r="M1748" s="53" t="s">
        <v>289</v>
      </c>
      <c r="N1748" s="53">
        <v>9.6</v>
      </c>
      <c r="O1748" s="51" t="str">
        <f>TEXT(tblWorkPackages[[#This Row],[Request date serial]]-WEEKDAY(tblWorkPackages[[#This Row],[Request date serial]],3),"yyyy-mm-dd")</f>
        <v>2025-09-01</v>
      </c>
      <c r="P1748" s="51">
        <f>ABS(tblWorkPackages[[#This Row],[Actual labor hours]]-tblWorkPackages[[#This Row],[Estimated labor hours]])</f>
        <v>0.699999999999999</v>
      </c>
      <c r="Q1748" s="51">
        <f>IF(tblWorkPackages[[#This Row],[Actual labor hours]]&gt;tblWorkPackages[[#This Row],[Estimated labor hours]],1,0)</f>
        <v>1</v>
      </c>
      <c r="R1748" s="51">
        <f>tblWorkPackages[[#This Row],[Actual labor hours]]-tblWorkPackages[[#This Row],[Estimated labor hours]]</f>
        <v>0.699999999999999</v>
      </c>
      <c r="S1748" s="51" t="str">
        <f>IF(tblWorkPackages[[#This Row],[Request date serial]]&lt;ValidationStart,"Train 2024",IF(tblWorkPackages[[#This Row],[Request date serial]]&lt;HoldoutStart,"Validation H1","Holdout H2"))</f>
        <v>Holdout H2</v>
      </c>
      <c r="T1748" s="51">
        <f>IF(tblWorkPackages[[#This Row],[Time split]]="Train 2024","",tblWorkPackages[[#This Row],[Estimated labor hours]]+VLOOKUP(tblWorkPackages[[#This Row],[Task type]],'Forecast validation'!$A$14:$E$25,IF(tblWorkPackages[[#This Row],[Time split]]="Validation H1",4,5),FALSE()))</f>
        <v>9.49160839160839</v>
      </c>
      <c r="U1748" s="51">
        <f>IF(tblWorkPackages[[#This Row],[Calibrated forecast hours]]="","",ABS(tblWorkPackages[[#This Row],[Actual labor hours]]-tblWorkPackages[[#This Row],[Calibrated forecast hours]]))</f>
        <v>0.108391608391608</v>
      </c>
      <c r="V1748" s="51">
        <f>IF(tblWorkPackages[[#This Row],[Time split]]="Train 2024",tblWorkPackages[[#This Row],[Estimated labor hours]],tblWorkPackages[[#This Row],[Calibrated forecast hours]])</f>
        <v>9.49160839160839</v>
      </c>
      <c r="W1748" s="64">
        <f>DATEVALUE(tblWorkPackages[[#This Row],[Request date]])</f>
        <v>45905.0</v>
      </c>
      <c r="X1748" s="64">
        <f>DATEVALUE(tblWorkPackages[[#This Row],[Due date]])</f>
        <v>45911.0</v>
      </c>
      <c r="Y1748" s="64">
        <f>DATEVALUE(tblWorkPackages[[#This Row],[Completion date]])</f>
        <v>45920.0</v>
      </c>
      <c r="Z1748" s="64">
        <f>_xlfn.MINIFS(tblLaborEntries[Work date serial],tblLaborEntries[Work package ID],tblWorkPackages[[#This Row],[Work package ID]])</f>
        <v>45917.0</v>
      </c>
      <c r="AA1748" s="64">
        <f>_xlfn.MAXIFS(tblLaborEntries[Work date serial],tblLaborEntries[Work package ID],tblWorkPackages[[#This Row],[Work package ID]])</f>
        <v>45918.0</v>
      </c>
      <c r="AB1748" s="65">
        <f>IF(tblWorkPackages[[#This Row],[Completion date serial]]&gt;tblWorkPackages[[#This Row],[Due date serial]],1,0)</f>
        <v>1</v>
      </c>
      <c r="AC1748" s="65">
        <f>MAX(0,tblWorkPackages[[#This Row],[Completion date serial]]-tblWorkPackages[[#This Row],[Due date serial]])</f>
        <v>9</v>
      </c>
      <c r="AD1748" s="65">
        <f>tblWorkPackages[[#This Row],[First labor date]]-tblWorkPackages[[#This Row],[Request date serial]]</f>
        <v>12</v>
      </c>
      <c r="AE1748" s="65">
        <f>tblWorkPackages[[#This Row],[Last labor date]]-tblWorkPackages[[#This Row],[First labor date]]</f>
        <v>1</v>
      </c>
      <c r="AF1748" s="65">
        <f>tblWorkPackages[[#This Row],[Completion date serial]]-tblWorkPackages[[#This Row],[Last labor date]]</f>
        <v>2</v>
      </c>
      <c r="AG1748" s="65">
        <f>tblWorkPackages[[#This Row],[Completion date serial]]-tblWorkPackages[[#This Row],[Request date serial]]</f>
        <v>15</v>
      </c>
      <c r="AH1748" s="65">
        <f>IFERROR(INDEX(tblParts[Delay days],MATCH(tblWorkPackages[[#This Row],[Work package ID]],tblParts[Work package ID],0)),0)</f>
        <v>0</v>
      </c>
      <c r="AI1748" s="51" t="str">
        <f>IFERROR(INDEX(tblDisruptions[Event type],MATCH(tblWorkPackages[[#This Row],[Work package ID]],tblDisruptions[Work package ID],0)),"None")</f>
        <v>None</v>
      </c>
      <c r="AJ1748" s="51" t="str">
        <f>TEXT(tblWorkPackages[[#This Row],[Due date serial]],"yyyy-mm")</f>
        <v>2025-09</v>
      </c>
    </row>
    <row r="1749" spans="1:36" ht="15" x14ac:dyDescent="0.25">
      <c r="A1749" s="53" t="s">
        <v>2659</v>
      </c>
      <c r="B1749" s="53" t="s">
        <v>163</v>
      </c>
      <c r="C1749" s="53" t="s">
        <v>788</v>
      </c>
      <c r="D1749" s="53" t="s">
        <v>1730</v>
      </c>
      <c r="E1749" s="53" t="s">
        <v>237</v>
      </c>
      <c r="F1749" s="53" t="s">
        <v>182</v>
      </c>
      <c r="G1749" s="53" t="s">
        <v>138</v>
      </c>
      <c r="H1749" s="53">
        <v>1</v>
      </c>
      <c r="I1749" s="53" t="s">
        <v>130</v>
      </c>
      <c r="J1749" s="53">
        <v>0</v>
      </c>
      <c r="K1749" s="53">
        <v>0</v>
      </c>
      <c r="L1749" s="53">
        <v>2.9</v>
      </c>
      <c r="M1749" s="53" t="s">
        <v>371</v>
      </c>
      <c r="N1749" s="53">
        <v>2.6</v>
      </c>
      <c r="O1749" s="51" t="str">
        <f>TEXT(tblWorkPackages[[#This Row],[Request date serial]]-WEEKDAY(tblWorkPackages[[#This Row],[Request date serial]],3),"yyyy-mm-dd")</f>
        <v>2024-09-30</v>
      </c>
      <c r="P1749" s="51">
        <f>ABS(tblWorkPackages[[#This Row],[Actual labor hours]]-tblWorkPackages[[#This Row],[Estimated labor hours]])</f>
        <v>0.3</v>
      </c>
      <c r="Q1749" s="51">
        <f>IF(tblWorkPackages[[#This Row],[Actual labor hours]]&gt;tblWorkPackages[[#This Row],[Estimated labor hours]],1,0)</f>
        <v>0</v>
      </c>
      <c r="R1749" s="51">
        <f>tblWorkPackages[[#This Row],[Actual labor hours]]-tblWorkPackages[[#This Row],[Estimated labor hours]]</f>
        <v>-0.3</v>
      </c>
      <c r="S1749" s="51" t="str">
        <f>IF(tblWorkPackages[[#This Row],[Request date serial]]&lt;ValidationStart,"Train 2024",IF(tblWorkPackages[[#This Row],[Request date serial]]&lt;HoldoutStart,"Validation H1","Holdout H2"))</f>
        <v>Train 2024</v>
      </c>
      <c r="T1749" s="51" t="str">
        <f>IF(tblWorkPackages[[#This Row],[Time split]]="Train 2024","",tblWorkPackages[[#This Row],[Estimated labor hours]]+VLOOKUP(tblWorkPackages[[#This Row],[Task type]],'Forecast validation'!$A$14:$E$25,IF(tblWorkPackages[[#This Row],[Time split]]="Validation H1",4,5),FALSE()))</f>
        <v/>
      </c>
      <c r="U1749" s="51" t="str">
        <f>IF(tblWorkPackages[[#This Row],[Calibrated forecast hours]]="","",ABS(tblWorkPackages[[#This Row],[Actual labor hours]]-tblWorkPackages[[#This Row],[Calibrated forecast hours]]))</f>
        <v/>
      </c>
      <c r="V1749" s="51">
        <f>IF(tblWorkPackages[[#This Row],[Time split]]="Train 2024",tblWorkPackages[[#This Row],[Estimated labor hours]],tblWorkPackages[[#This Row],[Calibrated forecast hours]])</f>
        <v>2.9</v>
      </c>
      <c r="W1749" s="64">
        <f>DATEVALUE(tblWorkPackages[[#This Row],[Request date]])</f>
        <v>45566.0</v>
      </c>
      <c r="X1749" s="64">
        <f>DATEVALUE(tblWorkPackages[[#This Row],[Due date]])</f>
        <v>45579.0</v>
      </c>
      <c r="Y1749" s="64">
        <f>DATEVALUE(tblWorkPackages[[#This Row],[Completion date]])</f>
        <v>45573.0</v>
      </c>
      <c r="Z1749" s="64">
        <f>_xlfn.MINIFS(tblLaborEntries[Work date serial],tblLaborEntries[Work package ID],tblWorkPackages[[#This Row],[Work package ID]])</f>
        <v>45569.0</v>
      </c>
      <c r="AA1749" s="64">
        <f>_xlfn.MAXIFS(tblLaborEntries[Work date serial],tblLaborEntries[Work package ID],tblWorkPackages[[#This Row],[Work package ID]])</f>
        <v>45570.0</v>
      </c>
      <c r="AB1749" s="65">
        <f>IF(tblWorkPackages[[#This Row],[Completion date serial]]&gt;tblWorkPackages[[#This Row],[Due date serial]],1,0)</f>
        <v>0</v>
      </c>
      <c r="AC1749" s="65">
        <f>MAX(0,tblWorkPackages[[#This Row],[Completion date serial]]-tblWorkPackages[[#This Row],[Due date serial]])</f>
        <v>0</v>
      </c>
      <c r="AD1749" s="65">
        <f>tblWorkPackages[[#This Row],[First labor date]]-tblWorkPackages[[#This Row],[Request date serial]]</f>
        <v>3</v>
      </c>
      <c r="AE1749" s="65">
        <f>tblWorkPackages[[#This Row],[Last labor date]]-tblWorkPackages[[#This Row],[First labor date]]</f>
        <v>1</v>
      </c>
      <c r="AF1749" s="65">
        <f>tblWorkPackages[[#This Row],[Completion date serial]]-tblWorkPackages[[#This Row],[Last labor date]]</f>
        <v>3</v>
      </c>
      <c r="AG1749" s="65">
        <f>tblWorkPackages[[#This Row],[Completion date serial]]-tblWorkPackages[[#This Row],[Request date serial]]</f>
        <v>7</v>
      </c>
      <c r="AH1749" s="65">
        <f>IFERROR(INDEX(tblParts[Delay days],MATCH(tblWorkPackages[[#This Row],[Work package ID]],tblParts[Work package ID],0)),0)</f>
        <v>0</v>
      </c>
      <c r="AI1749" s="51" t="str">
        <f>IFERROR(INDEX(tblDisruptions[Event type],MATCH(tblWorkPackages[[#This Row],[Work package ID]],tblDisruptions[Work package ID],0)),"None")</f>
        <v>None</v>
      </c>
      <c r="AJ1749" s="51" t="str">
        <f>TEXT(tblWorkPackages[[#This Row],[Due date serial]],"yyyy-mm")</f>
        <v>2024-10</v>
      </c>
    </row>
    <row r="1750" spans="1:36" ht="15" x14ac:dyDescent="0.25">
      <c r="A1750" s="53" t="s">
        <v>2660</v>
      </c>
      <c r="B1750" s="53" t="s">
        <v>287</v>
      </c>
      <c r="C1750" s="53" t="s">
        <v>550</v>
      </c>
      <c r="D1750" s="53" t="s">
        <v>642</v>
      </c>
      <c r="E1750" s="53" t="s">
        <v>242</v>
      </c>
      <c r="F1750" s="53" t="s">
        <v>243</v>
      </c>
      <c r="G1750" s="53" t="s">
        <v>129</v>
      </c>
      <c r="H1750" s="53">
        <v>4</v>
      </c>
      <c r="I1750" s="53" t="s">
        <v>176</v>
      </c>
      <c r="J1750" s="53">
        <v>0</v>
      </c>
      <c r="K1750" s="53">
        <v>1</v>
      </c>
      <c r="L1750" s="53">
        <v>16.100000000000001</v>
      </c>
      <c r="M1750" s="53" t="s">
        <v>1042</v>
      </c>
      <c r="N1750" s="53">
        <v>15</v>
      </c>
      <c r="O1750" s="51" t="str">
        <f>TEXT(tblWorkPackages[[#This Row],[Request date serial]]-WEEKDAY(tblWorkPackages[[#This Row],[Request date serial]],3),"yyyy-mm-dd")</f>
        <v>2024-07-08</v>
      </c>
      <c r="P1750" s="51">
        <f>ABS(tblWorkPackages[[#This Row],[Actual labor hours]]-tblWorkPackages[[#This Row],[Estimated labor hours]])</f>
        <v>1.1</v>
      </c>
      <c r="Q1750" s="51">
        <f>IF(tblWorkPackages[[#This Row],[Actual labor hours]]&gt;tblWorkPackages[[#This Row],[Estimated labor hours]],1,0)</f>
        <v>0</v>
      </c>
      <c r="R1750" s="51">
        <f>tblWorkPackages[[#This Row],[Actual labor hours]]-tblWorkPackages[[#This Row],[Estimated labor hours]]</f>
        <v>-1.1</v>
      </c>
      <c r="S1750" s="51" t="str">
        <f>IF(tblWorkPackages[[#This Row],[Request date serial]]&lt;ValidationStart,"Train 2024",IF(tblWorkPackages[[#This Row],[Request date serial]]&lt;HoldoutStart,"Validation H1","Holdout H2"))</f>
        <v>Train 2024</v>
      </c>
      <c r="T1750" s="51" t="str">
        <f>IF(tblWorkPackages[[#This Row],[Time split]]="Train 2024","",tblWorkPackages[[#This Row],[Estimated labor hours]]+VLOOKUP(tblWorkPackages[[#This Row],[Task type]],'Forecast validation'!$A$14:$E$25,IF(tblWorkPackages[[#This Row],[Time split]]="Validation H1",4,5),FALSE()))</f>
        <v/>
      </c>
      <c r="U1750" s="51" t="str">
        <f>IF(tblWorkPackages[[#This Row],[Calibrated forecast hours]]="","",ABS(tblWorkPackages[[#This Row],[Actual labor hours]]-tblWorkPackages[[#This Row],[Calibrated forecast hours]]))</f>
        <v/>
      </c>
      <c r="V1750" s="51">
        <f>IF(tblWorkPackages[[#This Row],[Time split]]="Train 2024",tblWorkPackages[[#This Row],[Estimated labor hours]],tblWorkPackages[[#This Row],[Calibrated forecast hours]])</f>
        <v>16.1</v>
      </c>
      <c r="W1750" s="64">
        <f>DATEVALUE(tblWorkPackages[[#This Row],[Request date]])</f>
        <v>45482.0</v>
      </c>
      <c r="X1750" s="64">
        <f>DATEVALUE(tblWorkPackages[[#This Row],[Due date]])</f>
        <v>45488.0</v>
      </c>
      <c r="Y1750" s="64">
        <f>DATEVALUE(tblWorkPackages[[#This Row],[Completion date]])</f>
        <v>45518.0</v>
      </c>
      <c r="Z1750" s="64">
        <f>_xlfn.MINIFS(tblLaborEntries[Work date serial],tblLaborEntries[Work package ID],tblWorkPackages[[#This Row],[Work package ID]])</f>
        <v>45517.0</v>
      </c>
      <c r="AA1750" s="64">
        <f>_xlfn.MAXIFS(tblLaborEntries[Work date serial],tblLaborEntries[Work package ID],tblWorkPackages[[#This Row],[Work package ID]])</f>
        <v>45518.0</v>
      </c>
      <c r="AB1750" s="65">
        <f>IF(tblWorkPackages[[#This Row],[Completion date serial]]&gt;tblWorkPackages[[#This Row],[Due date serial]],1,0)</f>
        <v>1</v>
      </c>
      <c r="AC1750" s="65">
        <f>MAX(0,tblWorkPackages[[#This Row],[Completion date serial]]-tblWorkPackages[[#This Row],[Due date serial]])</f>
        <v>30</v>
      </c>
      <c r="AD1750" s="65">
        <f>tblWorkPackages[[#This Row],[First labor date]]-tblWorkPackages[[#This Row],[Request date serial]]</f>
        <v>35</v>
      </c>
      <c r="AE1750" s="65">
        <f>tblWorkPackages[[#This Row],[Last labor date]]-tblWorkPackages[[#This Row],[First labor date]]</f>
        <v>1</v>
      </c>
      <c r="AF1750" s="65">
        <f>tblWorkPackages[[#This Row],[Completion date serial]]-tblWorkPackages[[#This Row],[Last labor date]]</f>
        <v>0</v>
      </c>
      <c r="AG1750" s="65">
        <f>tblWorkPackages[[#This Row],[Completion date serial]]-tblWorkPackages[[#This Row],[Request date serial]]</f>
        <v>36</v>
      </c>
      <c r="AH1750" s="65">
        <f>IFERROR(INDEX(tblParts[Delay days],MATCH(tblWorkPackages[[#This Row],[Work package ID]],tblParts[Work package ID],0)),0)</f>
        <v>0</v>
      </c>
      <c r="AI1750" s="51" t="str">
        <f>IFERROR(INDEX(tblDisruptions[Event type],MATCH(tblWorkPackages[[#This Row],[Work package ID]],tblDisruptions[Work package ID],0)),"None")</f>
        <v>None</v>
      </c>
      <c r="AJ1750" s="51" t="str">
        <f>TEXT(tblWorkPackages[[#This Row],[Due date serial]],"yyyy-mm")</f>
        <v>2024-07</v>
      </c>
    </row>
    <row r="1751" spans="1:36" ht="15" x14ac:dyDescent="0.25">
      <c r="A1751" s="53" t="s">
        <v>2661</v>
      </c>
      <c r="B1751" s="53" t="s">
        <v>124</v>
      </c>
      <c r="C1751" s="53" t="s">
        <v>398</v>
      </c>
      <c r="D1751" s="53" t="s">
        <v>399</v>
      </c>
      <c r="E1751" s="53" t="s">
        <v>181</v>
      </c>
      <c r="F1751" s="53" t="s">
        <v>182</v>
      </c>
      <c r="G1751" s="53" t="s">
        <v>138</v>
      </c>
      <c r="H1751" s="53">
        <v>3</v>
      </c>
      <c r="I1751" s="53" t="s">
        <v>176</v>
      </c>
      <c r="J1751" s="53">
        <v>0</v>
      </c>
      <c r="K1751" s="53">
        <v>1</v>
      </c>
      <c r="L1751" s="53">
        <v>11.7</v>
      </c>
      <c r="M1751" s="53" t="s">
        <v>1311</v>
      </c>
      <c r="N1751" s="53">
        <v>14.6</v>
      </c>
      <c r="O1751" s="51" t="str">
        <f>TEXT(tblWorkPackages[[#This Row],[Request date serial]]-WEEKDAY(tblWorkPackages[[#This Row],[Request date serial]],3),"yyyy-mm-dd")</f>
        <v>2024-05-13</v>
      </c>
      <c r="P1751" s="51">
        <f>ABS(tblWorkPackages[[#This Row],[Actual labor hours]]-tblWorkPackages[[#This Row],[Estimated labor hours]])</f>
        <v>2.9</v>
      </c>
      <c r="Q1751" s="51">
        <f>IF(tblWorkPackages[[#This Row],[Actual labor hours]]&gt;tblWorkPackages[[#This Row],[Estimated labor hours]],1,0)</f>
        <v>1</v>
      </c>
      <c r="R1751" s="51">
        <f>tblWorkPackages[[#This Row],[Actual labor hours]]-tblWorkPackages[[#This Row],[Estimated labor hours]]</f>
        <v>2.9</v>
      </c>
      <c r="S1751" s="51" t="str">
        <f>IF(tblWorkPackages[[#This Row],[Request date serial]]&lt;ValidationStart,"Train 2024",IF(tblWorkPackages[[#This Row],[Request date serial]]&lt;HoldoutStart,"Validation H1","Holdout H2"))</f>
        <v>Train 2024</v>
      </c>
      <c r="T1751" s="51" t="str">
        <f>IF(tblWorkPackages[[#This Row],[Time split]]="Train 2024","",tblWorkPackages[[#This Row],[Estimated labor hours]]+VLOOKUP(tblWorkPackages[[#This Row],[Task type]],'Forecast validation'!$A$14:$E$25,IF(tblWorkPackages[[#This Row],[Time split]]="Validation H1",4,5),FALSE()))</f>
        <v/>
      </c>
      <c r="U1751" s="51" t="str">
        <f>IF(tblWorkPackages[[#This Row],[Calibrated forecast hours]]="","",ABS(tblWorkPackages[[#This Row],[Actual labor hours]]-tblWorkPackages[[#This Row],[Calibrated forecast hours]]))</f>
        <v/>
      </c>
      <c r="V1751" s="51">
        <f>IF(tblWorkPackages[[#This Row],[Time split]]="Train 2024",tblWorkPackages[[#This Row],[Estimated labor hours]],tblWorkPackages[[#This Row],[Calibrated forecast hours]])</f>
        <v>11.7</v>
      </c>
      <c r="W1751" s="64">
        <f>DATEVALUE(tblWorkPackages[[#This Row],[Request date]])</f>
        <v>45430.0</v>
      </c>
      <c r="X1751" s="64">
        <f>DATEVALUE(tblWorkPackages[[#This Row],[Due date]])</f>
        <v>45436.0</v>
      </c>
      <c r="Y1751" s="64">
        <f>DATEVALUE(tblWorkPackages[[#This Row],[Completion date]])</f>
        <v>45439.0</v>
      </c>
      <c r="Z1751" s="64">
        <f>_xlfn.MINIFS(tblLaborEntries[Work date serial],tblLaborEntries[Work package ID],tblWorkPackages[[#This Row],[Work package ID]])</f>
        <v>45437.0</v>
      </c>
      <c r="AA1751" s="64">
        <f>_xlfn.MAXIFS(tblLaborEntries[Work date serial],tblLaborEntries[Work package ID],tblWorkPackages[[#This Row],[Work package ID]])</f>
        <v>45438.0</v>
      </c>
      <c r="AB1751" s="65">
        <f>IF(tblWorkPackages[[#This Row],[Completion date serial]]&gt;tblWorkPackages[[#This Row],[Due date serial]],1,0)</f>
        <v>1</v>
      </c>
      <c r="AC1751" s="65">
        <f>MAX(0,tblWorkPackages[[#This Row],[Completion date serial]]-tblWorkPackages[[#This Row],[Due date serial]])</f>
        <v>3</v>
      </c>
      <c r="AD1751" s="65">
        <f>tblWorkPackages[[#This Row],[First labor date]]-tblWorkPackages[[#This Row],[Request date serial]]</f>
        <v>7</v>
      </c>
      <c r="AE1751" s="65">
        <f>tblWorkPackages[[#This Row],[Last labor date]]-tblWorkPackages[[#This Row],[First labor date]]</f>
        <v>1</v>
      </c>
      <c r="AF1751" s="65">
        <f>tblWorkPackages[[#This Row],[Completion date serial]]-tblWorkPackages[[#This Row],[Last labor date]]</f>
        <v>1</v>
      </c>
      <c r="AG1751" s="65">
        <f>tblWorkPackages[[#This Row],[Completion date serial]]-tblWorkPackages[[#This Row],[Request date serial]]</f>
        <v>9</v>
      </c>
      <c r="AH1751" s="65">
        <f>IFERROR(INDEX(tblParts[Delay days],MATCH(tblWorkPackages[[#This Row],[Work package ID]],tblParts[Work package ID],0)),0)</f>
        <v>0</v>
      </c>
      <c r="AI1751" s="51" t="str">
        <f>IFERROR(INDEX(tblDisruptions[Event type],MATCH(tblWorkPackages[[#This Row],[Work package ID]],tblDisruptions[Work package ID],0)),"None")</f>
        <v>None</v>
      </c>
      <c r="AJ1751" s="51" t="str">
        <f>TEXT(tblWorkPackages[[#This Row],[Due date serial]],"yyyy-mm")</f>
        <v>2024-05</v>
      </c>
    </row>
    <row r="1752" spans="1:36" ht="15" x14ac:dyDescent="0.25">
      <c r="A1752" s="53" t="s">
        <v>2662</v>
      </c>
      <c r="B1752" s="53" t="s">
        <v>185</v>
      </c>
      <c r="C1752" s="53" t="s">
        <v>1161</v>
      </c>
      <c r="D1752" s="53" t="s">
        <v>1162</v>
      </c>
      <c r="E1752" s="53" t="s">
        <v>136</v>
      </c>
      <c r="F1752" s="53" t="s">
        <v>137</v>
      </c>
      <c r="G1752" s="53" t="s">
        <v>138</v>
      </c>
      <c r="H1752" s="53">
        <v>3</v>
      </c>
      <c r="I1752" s="53" t="s">
        <v>130</v>
      </c>
      <c r="J1752" s="53">
        <v>1</v>
      </c>
      <c r="K1752" s="53">
        <v>0</v>
      </c>
      <c r="L1752" s="53">
        <v>19.3</v>
      </c>
      <c r="M1752" s="53" t="s">
        <v>856</v>
      </c>
      <c r="N1752" s="53">
        <v>28.9</v>
      </c>
      <c r="O1752" s="51" t="str">
        <f>TEXT(tblWorkPackages[[#This Row],[Request date serial]]-WEEKDAY(tblWorkPackages[[#This Row],[Request date serial]],3),"yyyy-mm-dd")</f>
        <v>2025-12-15</v>
      </c>
      <c r="P1752" s="51">
        <f>ABS(tblWorkPackages[[#This Row],[Actual labor hours]]-tblWorkPackages[[#This Row],[Estimated labor hours]])</f>
        <v>9.6</v>
      </c>
      <c r="Q1752" s="51">
        <f>IF(tblWorkPackages[[#This Row],[Actual labor hours]]&gt;tblWorkPackages[[#This Row],[Estimated labor hours]],1,0)</f>
        <v>1</v>
      </c>
      <c r="R1752" s="51">
        <f>tblWorkPackages[[#This Row],[Actual labor hours]]-tblWorkPackages[[#This Row],[Estimated labor hours]]</f>
        <v>9.6</v>
      </c>
      <c r="S1752" s="51" t="str">
        <f>IF(tblWorkPackages[[#This Row],[Request date serial]]&lt;ValidationStart,"Train 2024",IF(tblWorkPackages[[#This Row],[Request date serial]]&lt;HoldoutStart,"Validation H1","Holdout H2"))</f>
        <v>Holdout H2</v>
      </c>
      <c r="T1752" s="51">
        <f>IF(tblWorkPackages[[#This Row],[Time split]]="Train 2024","",tblWorkPackages[[#This Row],[Estimated labor hours]]+VLOOKUP(tblWorkPackages[[#This Row],[Task type]],'Forecast validation'!$A$14:$E$25,IF(tblWorkPackages[[#This Row],[Time split]]="Validation H1",4,5),FALSE()))</f>
        <v>20.2207547169811</v>
      </c>
      <c r="U1752" s="51">
        <f>IF(tblWorkPackages[[#This Row],[Calibrated forecast hours]]="","",ABS(tblWorkPackages[[#This Row],[Actual labor hours]]-tblWorkPackages[[#This Row],[Calibrated forecast hours]]))</f>
        <v>8.67924528301887</v>
      </c>
      <c r="V1752" s="51">
        <f>IF(tblWorkPackages[[#This Row],[Time split]]="Train 2024",tblWorkPackages[[#This Row],[Estimated labor hours]],tblWorkPackages[[#This Row],[Calibrated forecast hours]])</f>
        <v>20.2207547169811</v>
      </c>
      <c r="W1752" s="64">
        <f>DATEVALUE(tblWorkPackages[[#This Row],[Request date]])</f>
        <v>46010.0</v>
      </c>
      <c r="X1752" s="64">
        <f>DATEVALUE(tblWorkPackages[[#This Row],[Due date]])</f>
        <v>46023.0</v>
      </c>
      <c r="Y1752" s="64">
        <f>DATEVALUE(tblWorkPackages[[#This Row],[Completion date]])</f>
        <v>46014.0</v>
      </c>
      <c r="Z1752" s="64">
        <f>_xlfn.MINIFS(tblLaborEntries[Work date serial],tblLaborEntries[Work package ID],tblWorkPackages[[#This Row],[Work package ID]])</f>
        <v>46011.0</v>
      </c>
      <c r="AA1752" s="64">
        <f>_xlfn.MAXIFS(tblLaborEntries[Work date serial],tblLaborEntries[Work package ID],tblWorkPackages[[#This Row],[Work package ID]])</f>
        <v>46012.0</v>
      </c>
      <c r="AB1752" s="65">
        <f>IF(tblWorkPackages[[#This Row],[Completion date serial]]&gt;tblWorkPackages[[#This Row],[Due date serial]],1,0)</f>
        <v>0</v>
      </c>
      <c r="AC1752" s="65">
        <f>MAX(0,tblWorkPackages[[#This Row],[Completion date serial]]-tblWorkPackages[[#This Row],[Due date serial]])</f>
        <v>0</v>
      </c>
      <c r="AD1752" s="65">
        <f>tblWorkPackages[[#This Row],[First labor date]]-tblWorkPackages[[#This Row],[Request date serial]]</f>
        <v>1</v>
      </c>
      <c r="AE1752" s="65">
        <f>tblWorkPackages[[#This Row],[Last labor date]]-tblWorkPackages[[#This Row],[First labor date]]</f>
        <v>1</v>
      </c>
      <c r="AF1752" s="65">
        <f>tblWorkPackages[[#This Row],[Completion date serial]]-tblWorkPackages[[#This Row],[Last labor date]]</f>
        <v>2</v>
      </c>
      <c r="AG1752" s="65">
        <f>tblWorkPackages[[#This Row],[Completion date serial]]-tblWorkPackages[[#This Row],[Request date serial]]</f>
        <v>4</v>
      </c>
      <c r="AH1752" s="65">
        <f>IFERROR(INDEX(tblParts[Delay days],MATCH(tblWorkPackages[[#This Row],[Work package ID]],tblParts[Work package ID],0)),0)</f>
        <v>0</v>
      </c>
      <c r="AI1752" s="51" t="str">
        <f>IFERROR(INDEX(tblDisruptions[Event type],MATCH(tblWorkPackages[[#This Row],[Work package ID]],tblDisruptions[Work package ID],0)),"None")</f>
        <v>None</v>
      </c>
      <c r="AJ1752" s="51" t="str">
        <f>TEXT(tblWorkPackages[[#This Row],[Due date serial]],"yyyy-mm")</f>
        <v>2026-01</v>
      </c>
    </row>
    <row r="1753" spans="1:36" ht="15" x14ac:dyDescent="0.25">
      <c r="A1753" s="53" t="s">
        <v>2663</v>
      </c>
      <c r="B1753" s="53" t="s">
        <v>168</v>
      </c>
      <c r="C1753" s="53" t="s">
        <v>843</v>
      </c>
      <c r="D1753" s="53" t="s">
        <v>1402</v>
      </c>
      <c r="E1753" s="53" t="s">
        <v>136</v>
      </c>
      <c r="F1753" s="53" t="s">
        <v>137</v>
      </c>
      <c r="G1753" s="53" t="s">
        <v>138</v>
      </c>
      <c r="H1753" s="53">
        <v>1</v>
      </c>
      <c r="I1753" s="53" t="s">
        <v>130</v>
      </c>
      <c r="J1753" s="53">
        <v>0</v>
      </c>
      <c r="K1753" s="53">
        <v>0</v>
      </c>
      <c r="L1753" s="53">
        <v>9</v>
      </c>
      <c r="M1753" s="53" t="s">
        <v>1078</v>
      </c>
      <c r="N1753" s="53">
        <v>11.9</v>
      </c>
      <c r="O1753" s="51" t="str">
        <f>TEXT(tblWorkPackages[[#This Row],[Request date serial]]-WEEKDAY(tblWorkPackages[[#This Row],[Request date serial]],3),"yyyy-mm-dd")</f>
        <v>2025-08-04</v>
      </c>
      <c r="P1753" s="51">
        <f>ABS(tblWorkPackages[[#This Row],[Actual labor hours]]-tblWorkPackages[[#This Row],[Estimated labor hours]])</f>
        <v>2.9</v>
      </c>
      <c r="Q1753" s="51">
        <f>IF(tblWorkPackages[[#This Row],[Actual labor hours]]&gt;tblWorkPackages[[#This Row],[Estimated labor hours]],1,0)</f>
        <v>1</v>
      </c>
      <c r="R1753" s="51">
        <f>tblWorkPackages[[#This Row],[Actual labor hours]]-tblWorkPackages[[#This Row],[Estimated labor hours]]</f>
        <v>2.9</v>
      </c>
      <c r="S1753" s="51" t="str">
        <f>IF(tblWorkPackages[[#This Row],[Request date serial]]&lt;ValidationStart,"Train 2024",IF(tblWorkPackages[[#This Row],[Request date serial]]&lt;HoldoutStart,"Validation H1","Holdout H2"))</f>
        <v>Holdout H2</v>
      </c>
      <c r="T1753" s="51">
        <f>IF(tblWorkPackages[[#This Row],[Time split]]="Train 2024","",tblWorkPackages[[#This Row],[Estimated labor hours]]+VLOOKUP(tblWorkPackages[[#This Row],[Task type]],'Forecast validation'!$A$14:$E$25,IF(tblWorkPackages[[#This Row],[Time split]]="Validation H1",4,5),FALSE()))</f>
        <v>9.92075471698113</v>
      </c>
      <c r="U1753" s="51">
        <f>IF(tblWorkPackages[[#This Row],[Calibrated forecast hours]]="","",ABS(tblWorkPackages[[#This Row],[Actual labor hours]]-tblWorkPackages[[#This Row],[Calibrated forecast hours]]))</f>
        <v>1.97924528301887</v>
      </c>
      <c r="V1753" s="51">
        <f>IF(tblWorkPackages[[#This Row],[Time split]]="Train 2024",tblWorkPackages[[#This Row],[Estimated labor hours]],tblWorkPackages[[#This Row],[Calibrated forecast hours]])</f>
        <v>9.92075471698113</v>
      </c>
      <c r="W1753" s="64">
        <f>DATEVALUE(tblWorkPackages[[#This Row],[Request date]])</f>
        <v>45878.0</v>
      </c>
      <c r="X1753" s="64">
        <f>DATEVALUE(tblWorkPackages[[#This Row],[Due date]])</f>
        <v>45891.0</v>
      </c>
      <c r="Y1753" s="64">
        <f>DATEVALUE(tblWorkPackages[[#This Row],[Completion date]])</f>
        <v>45898.0</v>
      </c>
      <c r="Z1753" s="64">
        <f>_xlfn.MINIFS(tblLaborEntries[Work date serial],tblLaborEntries[Work package ID],tblWorkPackages[[#This Row],[Work package ID]])</f>
        <v>45893.0</v>
      </c>
      <c r="AA1753" s="64">
        <f>_xlfn.MAXIFS(tblLaborEntries[Work date serial],tblLaborEntries[Work package ID],tblWorkPackages[[#This Row],[Work package ID]])</f>
        <v>45895.0</v>
      </c>
      <c r="AB1753" s="65">
        <f>IF(tblWorkPackages[[#This Row],[Completion date serial]]&gt;tblWorkPackages[[#This Row],[Due date serial]],1,0)</f>
        <v>1</v>
      </c>
      <c r="AC1753" s="65">
        <f>MAX(0,tblWorkPackages[[#This Row],[Completion date serial]]-tblWorkPackages[[#This Row],[Due date serial]])</f>
        <v>7</v>
      </c>
      <c r="AD1753" s="65">
        <f>tblWorkPackages[[#This Row],[First labor date]]-tblWorkPackages[[#This Row],[Request date serial]]</f>
        <v>15</v>
      </c>
      <c r="AE1753" s="65">
        <f>tblWorkPackages[[#This Row],[Last labor date]]-tblWorkPackages[[#This Row],[First labor date]]</f>
        <v>2</v>
      </c>
      <c r="AF1753" s="65">
        <f>tblWorkPackages[[#This Row],[Completion date serial]]-tblWorkPackages[[#This Row],[Last labor date]]</f>
        <v>3</v>
      </c>
      <c r="AG1753" s="65">
        <f>tblWorkPackages[[#This Row],[Completion date serial]]-tblWorkPackages[[#This Row],[Request date serial]]</f>
        <v>20</v>
      </c>
      <c r="AH1753" s="65">
        <f>IFERROR(INDEX(tblParts[Delay days],MATCH(tblWorkPackages[[#This Row],[Work package ID]],tblParts[Work package ID],0)),0)</f>
        <v>0</v>
      </c>
      <c r="AI1753" s="51" t="str">
        <f>IFERROR(INDEX(tblDisruptions[Event type],MATCH(tblWorkPackages[[#This Row],[Work package ID]],tblDisruptions[Work package ID],0)),"None")</f>
        <v>Technician absence</v>
      </c>
      <c r="AJ1753" s="51" t="str">
        <f>TEXT(tblWorkPackages[[#This Row],[Due date serial]],"yyyy-mm")</f>
        <v>2025-08</v>
      </c>
    </row>
    <row r="1754" spans="1:36" ht="15" x14ac:dyDescent="0.25">
      <c r="A1754" s="53" t="s">
        <v>2664</v>
      </c>
      <c r="B1754" s="53" t="s">
        <v>124</v>
      </c>
      <c r="C1754" s="53" t="s">
        <v>1272</v>
      </c>
      <c r="D1754" s="53" t="s">
        <v>1273</v>
      </c>
      <c r="E1754" s="53" t="s">
        <v>144</v>
      </c>
      <c r="F1754" s="53" t="s">
        <v>145</v>
      </c>
      <c r="G1754" s="53" t="s">
        <v>146</v>
      </c>
      <c r="H1754" s="53">
        <v>3</v>
      </c>
      <c r="I1754" s="53" t="s">
        <v>176</v>
      </c>
      <c r="J1754" s="53">
        <v>0</v>
      </c>
      <c r="K1754" s="53">
        <v>1</v>
      </c>
      <c r="L1754" s="53">
        <v>12.8</v>
      </c>
      <c r="M1754" s="53" t="s">
        <v>1273</v>
      </c>
      <c r="N1754" s="53">
        <v>17.100000000000001</v>
      </c>
      <c r="O1754" s="51" t="str">
        <f>TEXT(tblWorkPackages[[#This Row],[Request date serial]]-WEEKDAY(tblWorkPackages[[#This Row],[Request date serial]],3),"yyyy-mm-dd")</f>
        <v>2025-10-06</v>
      </c>
      <c r="P1754" s="51">
        <f>ABS(tblWorkPackages[[#This Row],[Actual labor hours]]-tblWorkPackages[[#This Row],[Estimated labor hours]])</f>
        <v>4.3</v>
      </c>
      <c r="Q1754" s="51">
        <f>IF(tblWorkPackages[[#This Row],[Actual labor hours]]&gt;tblWorkPackages[[#This Row],[Estimated labor hours]],1,0)</f>
        <v>1</v>
      </c>
      <c r="R1754" s="51">
        <f>tblWorkPackages[[#This Row],[Actual labor hours]]-tblWorkPackages[[#This Row],[Estimated labor hours]]</f>
        <v>4.3</v>
      </c>
      <c r="S1754" s="51" t="str">
        <f>IF(tblWorkPackages[[#This Row],[Request date serial]]&lt;ValidationStart,"Train 2024",IF(tblWorkPackages[[#This Row],[Request date serial]]&lt;HoldoutStart,"Validation H1","Holdout H2"))</f>
        <v>Holdout H2</v>
      </c>
      <c r="T1754" s="51">
        <f>IF(tblWorkPackages[[#This Row],[Time split]]="Train 2024","",tblWorkPackages[[#This Row],[Estimated labor hours]]+VLOOKUP(tblWorkPackages[[#This Row],[Task type]],'Forecast validation'!$A$14:$E$25,IF(tblWorkPackages[[#This Row],[Time split]]="Validation H1",4,5),FALSE()))</f>
        <v>13.7735483870968</v>
      </c>
      <c r="U1754" s="51">
        <f>IF(tblWorkPackages[[#This Row],[Calibrated forecast hours]]="","",ABS(tblWorkPackages[[#This Row],[Actual labor hours]]-tblWorkPackages[[#This Row],[Calibrated forecast hours]]))</f>
        <v>3.32645161290323</v>
      </c>
      <c r="V1754" s="51">
        <f>IF(tblWorkPackages[[#This Row],[Time split]]="Train 2024",tblWorkPackages[[#This Row],[Estimated labor hours]],tblWorkPackages[[#This Row],[Calibrated forecast hours]])</f>
        <v>13.7735483870968</v>
      </c>
      <c r="W1754" s="64">
        <f>DATEVALUE(tblWorkPackages[[#This Row],[Request date]])</f>
        <v>45936.0</v>
      </c>
      <c r="X1754" s="64">
        <f>DATEVALUE(tblWorkPackages[[#This Row],[Due date]])</f>
        <v>45942.0</v>
      </c>
      <c r="Y1754" s="64">
        <f>DATEVALUE(tblWorkPackages[[#This Row],[Completion date]])</f>
        <v>45942.0</v>
      </c>
      <c r="Z1754" s="64">
        <f>_xlfn.MINIFS(tblLaborEntries[Work date serial],tblLaborEntries[Work package ID],tblWorkPackages[[#This Row],[Work package ID]])</f>
        <v>45940.0</v>
      </c>
      <c r="AA1754" s="64">
        <f>_xlfn.MAXIFS(tblLaborEntries[Work date serial],tblLaborEntries[Work package ID],tblWorkPackages[[#This Row],[Work package ID]])</f>
        <v>45942.0</v>
      </c>
      <c r="AB1754" s="65">
        <f>IF(tblWorkPackages[[#This Row],[Completion date serial]]&gt;tblWorkPackages[[#This Row],[Due date serial]],1,0)</f>
        <v>0</v>
      </c>
      <c r="AC1754" s="65">
        <f>MAX(0,tblWorkPackages[[#This Row],[Completion date serial]]-tblWorkPackages[[#This Row],[Due date serial]])</f>
        <v>0</v>
      </c>
      <c r="AD1754" s="65">
        <f>tblWorkPackages[[#This Row],[First labor date]]-tblWorkPackages[[#This Row],[Request date serial]]</f>
        <v>4</v>
      </c>
      <c r="AE1754" s="65">
        <f>tblWorkPackages[[#This Row],[Last labor date]]-tblWorkPackages[[#This Row],[First labor date]]</f>
        <v>2</v>
      </c>
      <c r="AF1754" s="65">
        <f>tblWorkPackages[[#This Row],[Completion date serial]]-tblWorkPackages[[#This Row],[Last labor date]]</f>
        <v>0</v>
      </c>
      <c r="AG1754" s="65">
        <f>tblWorkPackages[[#This Row],[Completion date serial]]-tblWorkPackages[[#This Row],[Request date serial]]</f>
        <v>6</v>
      </c>
      <c r="AH1754" s="65">
        <f>IFERROR(INDEX(tblParts[Delay days],MATCH(tblWorkPackages[[#This Row],[Work package ID]],tblParts[Work package ID],0)),0)</f>
        <v>0</v>
      </c>
      <c r="AI1754" s="51" t="str">
        <f>IFERROR(INDEX(tblDisruptions[Event type],MATCH(tblWorkPackages[[#This Row],[Work package ID]],tblDisruptions[Work package ID],0)),"None")</f>
        <v>Repeat inspection</v>
      </c>
      <c r="AJ1754" s="51" t="str">
        <f>TEXT(tblWorkPackages[[#This Row],[Due date serial]],"yyyy-mm")</f>
        <v>2025-10</v>
      </c>
    </row>
    <row r="1755" spans="1:36" ht="15" x14ac:dyDescent="0.25">
      <c r="A1755" s="53" t="s">
        <v>2665</v>
      </c>
      <c r="B1755" s="53" t="s">
        <v>141</v>
      </c>
      <c r="C1755" s="53" t="s">
        <v>1218</v>
      </c>
      <c r="D1755" s="53" t="s">
        <v>409</v>
      </c>
      <c r="E1755" s="53" t="s">
        <v>272</v>
      </c>
      <c r="F1755" s="53" t="s">
        <v>145</v>
      </c>
      <c r="G1755" s="53" t="s">
        <v>273</v>
      </c>
      <c r="H1755" s="53">
        <v>2</v>
      </c>
      <c r="I1755" s="53" t="s">
        <v>130</v>
      </c>
      <c r="J1755" s="53">
        <v>0</v>
      </c>
      <c r="K1755" s="53">
        <v>0</v>
      </c>
      <c r="L1755" s="53">
        <v>12.7</v>
      </c>
      <c r="M1755" s="53" t="s">
        <v>1484</v>
      </c>
      <c r="N1755" s="53">
        <v>16.100000000000001</v>
      </c>
      <c r="O1755" s="51" t="str">
        <f>TEXT(tblWorkPackages[[#This Row],[Request date serial]]-WEEKDAY(tblWorkPackages[[#This Row],[Request date serial]],3),"yyyy-mm-dd")</f>
        <v>2025-04-07</v>
      </c>
      <c r="P1755" s="51">
        <f>ABS(tblWorkPackages[[#This Row],[Actual labor hours]]-tblWorkPackages[[#This Row],[Estimated labor hours]])</f>
        <v>3.4</v>
      </c>
      <c r="Q1755" s="51">
        <f>IF(tblWorkPackages[[#This Row],[Actual labor hours]]&gt;tblWorkPackages[[#This Row],[Estimated labor hours]],1,0)</f>
        <v>1</v>
      </c>
      <c r="R1755" s="51">
        <f>tblWorkPackages[[#This Row],[Actual labor hours]]-tblWorkPackages[[#This Row],[Estimated labor hours]]</f>
        <v>3.4</v>
      </c>
      <c r="S1755" s="51" t="str">
        <f>IF(tblWorkPackages[[#This Row],[Request date serial]]&lt;ValidationStart,"Train 2024",IF(tblWorkPackages[[#This Row],[Request date serial]]&lt;HoldoutStart,"Validation H1","Holdout H2"))</f>
        <v>Validation H1</v>
      </c>
      <c r="T1755" s="51">
        <f>IF(tblWorkPackages[[#This Row],[Time split]]="Train 2024","",tblWorkPackages[[#This Row],[Estimated labor hours]]+VLOOKUP(tblWorkPackages[[#This Row],[Task type]],'Forecast validation'!$A$14:$E$25,IF(tblWorkPackages[[#This Row],[Time split]]="Validation H1",4,5),FALSE()))</f>
        <v>13.7320512820513</v>
      </c>
      <c r="U1755" s="51">
        <f>IF(tblWorkPackages[[#This Row],[Calibrated forecast hours]]="","",ABS(tblWorkPackages[[#This Row],[Actual labor hours]]-tblWorkPackages[[#This Row],[Calibrated forecast hours]]))</f>
        <v>2.36794871794872</v>
      </c>
      <c r="V1755" s="51">
        <f>IF(tblWorkPackages[[#This Row],[Time split]]="Train 2024",tblWorkPackages[[#This Row],[Estimated labor hours]],tblWorkPackages[[#This Row],[Calibrated forecast hours]])</f>
        <v>13.7320512820513</v>
      </c>
      <c r="W1755" s="64">
        <f>DATEVALUE(tblWorkPackages[[#This Row],[Request date]])</f>
        <v>45759.0</v>
      </c>
      <c r="X1755" s="64">
        <f>DATEVALUE(tblWorkPackages[[#This Row],[Due date]])</f>
        <v>45772.0</v>
      </c>
      <c r="Y1755" s="64">
        <f>DATEVALUE(tblWorkPackages[[#This Row],[Completion date]])</f>
        <v>45763.0</v>
      </c>
      <c r="Z1755" s="64">
        <f>_xlfn.MINIFS(tblLaborEntries[Work date serial],tblLaborEntries[Work package ID],tblWorkPackages[[#This Row],[Work package ID]])</f>
        <v>45760.0</v>
      </c>
      <c r="AA1755" s="64">
        <f>_xlfn.MAXIFS(tblLaborEntries[Work date serial],tblLaborEntries[Work package ID],tblWorkPackages[[#This Row],[Work package ID]])</f>
        <v>45762.0</v>
      </c>
      <c r="AB1755" s="65">
        <f>IF(tblWorkPackages[[#This Row],[Completion date serial]]&gt;tblWorkPackages[[#This Row],[Due date serial]],1,0)</f>
        <v>0</v>
      </c>
      <c r="AC1755" s="65">
        <f>MAX(0,tblWorkPackages[[#This Row],[Completion date serial]]-tblWorkPackages[[#This Row],[Due date serial]])</f>
        <v>0</v>
      </c>
      <c r="AD1755" s="65">
        <f>tblWorkPackages[[#This Row],[First labor date]]-tblWorkPackages[[#This Row],[Request date serial]]</f>
        <v>1</v>
      </c>
      <c r="AE1755" s="65">
        <f>tblWorkPackages[[#This Row],[Last labor date]]-tblWorkPackages[[#This Row],[First labor date]]</f>
        <v>2</v>
      </c>
      <c r="AF1755" s="65">
        <f>tblWorkPackages[[#This Row],[Completion date serial]]-tblWorkPackages[[#This Row],[Last labor date]]</f>
        <v>1</v>
      </c>
      <c r="AG1755" s="65">
        <f>tblWorkPackages[[#This Row],[Completion date serial]]-tblWorkPackages[[#This Row],[Request date serial]]</f>
        <v>4</v>
      </c>
      <c r="AH1755" s="65">
        <f>IFERROR(INDEX(tblParts[Delay days],MATCH(tblWorkPackages[[#This Row],[Work package ID]],tblParts[Work package ID],0)),0)</f>
        <v>0</v>
      </c>
      <c r="AI1755" s="51" t="str">
        <f>IFERROR(INDEX(tblDisruptions[Event type],MATCH(tblWorkPackages[[#This Row],[Work package ID]],tblDisruptions[Work package ID],0)),"None")</f>
        <v>None</v>
      </c>
      <c r="AJ1755" s="51" t="str">
        <f>TEXT(tblWorkPackages[[#This Row],[Due date serial]],"yyyy-mm")</f>
        <v>2025-04</v>
      </c>
    </row>
    <row r="1756" spans="1:36" ht="15" x14ac:dyDescent="0.25">
      <c r="A1756" s="53" t="s">
        <v>2666</v>
      </c>
      <c r="B1756" s="53" t="s">
        <v>133</v>
      </c>
      <c r="C1756" s="53" t="s">
        <v>652</v>
      </c>
      <c r="D1756" s="53" t="s">
        <v>778</v>
      </c>
      <c r="E1756" s="53" t="s">
        <v>237</v>
      </c>
      <c r="F1756" s="53" t="s">
        <v>182</v>
      </c>
      <c r="G1756" s="53" t="s">
        <v>138</v>
      </c>
      <c r="H1756" s="53">
        <v>3</v>
      </c>
      <c r="I1756" s="53" t="s">
        <v>147</v>
      </c>
      <c r="J1756" s="53">
        <v>1</v>
      </c>
      <c r="K1756" s="53">
        <v>0</v>
      </c>
      <c r="L1756" s="53">
        <v>6.4</v>
      </c>
      <c r="M1756" s="53" t="s">
        <v>1429</v>
      </c>
      <c r="N1756" s="53">
        <v>7.8</v>
      </c>
      <c r="O1756" s="51" t="str">
        <f>TEXT(tblWorkPackages[[#This Row],[Request date serial]]-WEEKDAY(tblWorkPackages[[#This Row],[Request date serial]],3),"yyyy-mm-dd")</f>
        <v>2025-12-08</v>
      </c>
      <c r="P1756" s="51">
        <f>ABS(tblWorkPackages[[#This Row],[Actual labor hours]]-tblWorkPackages[[#This Row],[Estimated labor hours]])</f>
        <v>1.4</v>
      </c>
      <c r="Q1756" s="51">
        <f>IF(tblWorkPackages[[#This Row],[Actual labor hours]]&gt;tblWorkPackages[[#This Row],[Estimated labor hours]],1,0)</f>
        <v>1</v>
      </c>
      <c r="R1756" s="51">
        <f>tblWorkPackages[[#This Row],[Actual labor hours]]-tblWorkPackages[[#This Row],[Estimated labor hours]]</f>
        <v>1.4</v>
      </c>
      <c r="S1756" s="51" t="str">
        <f>IF(tblWorkPackages[[#This Row],[Request date serial]]&lt;ValidationStart,"Train 2024",IF(tblWorkPackages[[#This Row],[Request date serial]]&lt;HoldoutStart,"Validation H1","Holdout H2"))</f>
        <v>Holdout H2</v>
      </c>
      <c r="T1756" s="51">
        <f>IF(tblWorkPackages[[#This Row],[Time split]]="Train 2024","",tblWorkPackages[[#This Row],[Estimated labor hours]]+VLOOKUP(tblWorkPackages[[#This Row],[Task type]],'Forecast validation'!$A$14:$E$25,IF(tblWorkPackages[[#This Row],[Time split]]="Validation H1",4,5),FALSE()))</f>
        <v>6.853125</v>
      </c>
      <c r="U1756" s="51">
        <f>IF(tblWorkPackages[[#This Row],[Calibrated forecast hours]]="","",ABS(tblWorkPackages[[#This Row],[Actual labor hours]]-tblWorkPackages[[#This Row],[Calibrated forecast hours]]))</f>
        <v>0.946875</v>
      </c>
      <c r="V1756" s="51">
        <f>IF(tblWorkPackages[[#This Row],[Time split]]="Train 2024",tblWorkPackages[[#This Row],[Estimated labor hours]],tblWorkPackages[[#This Row],[Calibrated forecast hours]])</f>
        <v>6.853125</v>
      </c>
      <c r="W1756" s="64">
        <f>DATEVALUE(tblWorkPackages[[#This Row],[Request date]])</f>
        <v>46003.0</v>
      </c>
      <c r="X1756" s="64">
        <f>DATEVALUE(tblWorkPackages[[#This Row],[Due date]])</f>
        <v>46005.0</v>
      </c>
      <c r="Y1756" s="64">
        <f>DATEVALUE(tblWorkPackages[[#This Row],[Completion date]])</f>
        <v>46016.0</v>
      </c>
      <c r="Z1756" s="64">
        <f>_xlfn.MINIFS(tblLaborEntries[Work date serial],tblLaborEntries[Work package ID],tblWorkPackages[[#This Row],[Work package ID]])</f>
        <v>46013.0</v>
      </c>
      <c r="AA1756" s="64">
        <f>_xlfn.MAXIFS(tblLaborEntries[Work date serial],tblLaborEntries[Work package ID],tblWorkPackages[[#This Row],[Work package ID]])</f>
        <v>46014.0</v>
      </c>
      <c r="AB1756" s="65">
        <f>IF(tblWorkPackages[[#This Row],[Completion date serial]]&gt;tblWorkPackages[[#This Row],[Due date serial]],1,0)</f>
        <v>1</v>
      </c>
      <c r="AC1756" s="65">
        <f>MAX(0,tblWorkPackages[[#This Row],[Completion date serial]]-tblWorkPackages[[#This Row],[Due date serial]])</f>
        <v>11</v>
      </c>
      <c r="AD1756" s="65">
        <f>tblWorkPackages[[#This Row],[First labor date]]-tblWorkPackages[[#This Row],[Request date serial]]</f>
        <v>10</v>
      </c>
      <c r="AE1756" s="65">
        <f>tblWorkPackages[[#This Row],[Last labor date]]-tblWorkPackages[[#This Row],[First labor date]]</f>
        <v>1</v>
      </c>
      <c r="AF1756" s="65">
        <f>tblWorkPackages[[#This Row],[Completion date serial]]-tblWorkPackages[[#This Row],[Last labor date]]</f>
        <v>2</v>
      </c>
      <c r="AG1756" s="65">
        <f>tblWorkPackages[[#This Row],[Completion date serial]]-tblWorkPackages[[#This Row],[Request date serial]]</f>
        <v>13</v>
      </c>
      <c r="AH1756" s="65">
        <f>IFERROR(INDEX(tblParts[Delay days],MATCH(tblWorkPackages[[#This Row],[Work package ID]],tblParts[Work package ID],0)),0)</f>
        <v>0</v>
      </c>
      <c r="AI1756" s="51" t="str">
        <f>IFERROR(INDEX(tblDisruptions[Event type],MATCH(tblWorkPackages[[#This Row],[Work package ID]],tblDisruptions[Work package ID],0)),"None")</f>
        <v>None</v>
      </c>
      <c r="AJ1756" s="51" t="str">
        <f>TEXT(tblWorkPackages[[#This Row],[Due date serial]],"yyyy-mm")</f>
        <v>2025-12</v>
      </c>
    </row>
    <row r="1757" spans="1:36" ht="15" x14ac:dyDescent="0.25">
      <c r="A1757" s="53" t="s">
        <v>2667</v>
      </c>
      <c r="B1757" s="53" t="s">
        <v>235</v>
      </c>
      <c r="C1757" s="53" t="s">
        <v>227</v>
      </c>
      <c r="D1757" s="53" t="s">
        <v>190</v>
      </c>
      <c r="E1757" s="53" t="s">
        <v>223</v>
      </c>
      <c r="F1757" s="53" t="s">
        <v>182</v>
      </c>
      <c r="G1757" s="53" t="s">
        <v>154</v>
      </c>
      <c r="H1757" s="53">
        <v>1</v>
      </c>
      <c r="I1757" s="53" t="s">
        <v>130</v>
      </c>
      <c r="J1757" s="53">
        <v>0</v>
      </c>
      <c r="K1757" s="53">
        <v>0</v>
      </c>
      <c r="L1757" s="53">
        <v>7.6</v>
      </c>
      <c r="M1757" s="53" t="s">
        <v>208</v>
      </c>
      <c r="N1757" s="53">
        <v>6.3</v>
      </c>
      <c r="O1757" s="51" t="str">
        <f>TEXT(tblWorkPackages[[#This Row],[Request date serial]]-WEEKDAY(tblWorkPackages[[#This Row],[Request date serial]],3),"yyyy-mm-dd")</f>
        <v>2025-07-28</v>
      </c>
      <c r="P1757" s="51">
        <f>ABS(tblWorkPackages[[#This Row],[Actual labor hours]]-tblWorkPackages[[#This Row],[Estimated labor hours]])</f>
        <v>1.3</v>
      </c>
      <c r="Q1757" s="51">
        <f>IF(tblWorkPackages[[#This Row],[Actual labor hours]]&gt;tblWorkPackages[[#This Row],[Estimated labor hours]],1,0)</f>
        <v>0</v>
      </c>
      <c r="R1757" s="51">
        <f>tblWorkPackages[[#This Row],[Actual labor hours]]-tblWorkPackages[[#This Row],[Estimated labor hours]]</f>
        <v>-1.3</v>
      </c>
      <c r="S1757" s="51" t="str">
        <f>IF(tblWorkPackages[[#This Row],[Request date serial]]&lt;ValidationStart,"Train 2024",IF(tblWorkPackages[[#This Row],[Request date serial]]&lt;HoldoutStart,"Validation H1","Holdout H2"))</f>
        <v>Holdout H2</v>
      </c>
      <c r="T1757" s="51">
        <f>IF(tblWorkPackages[[#This Row],[Time split]]="Train 2024","",tblWorkPackages[[#This Row],[Estimated labor hours]]+VLOOKUP(tblWorkPackages[[#This Row],[Task type]],'Forecast validation'!$A$14:$E$25,IF(tblWorkPackages[[#This Row],[Time split]]="Validation H1",4,5),FALSE()))</f>
        <v>8.52465753424658</v>
      </c>
      <c r="U1757" s="51">
        <f>IF(tblWorkPackages[[#This Row],[Calibrated forecast hours]]="","",ABS(tblWorkPackages[[#This Row],[Actual labor hours]]-tblWorkPackages[[#This Row],[Calibrated forecast hours]]))</f>
        <v>2.22465753424658</v>
      </c>
      <c r="V1757" s="51">
        <f>IF(tblWorkPackages[[#This Row],[Time split]]="Train 2024",tblWorkPackages[[#This Row],[Estimated labor hours]],tblWorkPackages[[#This Row],[Calibrated forecast hours]])</f>
        <v>8.52465753424658</v>
      </c>
      <c r="W1757" s="64">
        <f>DATEVALUE(tblWorkPackages[[#This Row],[Request date]])</f>
        <v>45870.0</v>
      </c>
      <c r="X1757" s="64">
        <f>DATEVALUE(tblWorkPackages[[#This Row],[Due date]])</f>
        <v>45883.0</v>
      </c>
      <c r="Y1757" s="64">
        <f>DATEVALUE(tblWorkPackages[[#This Row],[Completion date]])</f>
        <v>45877.0</v>
      </c>
      <c r="Z1757" s="64">
        <f>_xlfn.MINIFS(tblLaborEntries[Work date serial],tblLaborEntries[Work package ID],tblWorkPackages[[#This Row],[Work package ID]])</f>
        <v>45873.0</v>
      </c>
      <c r="AA1757" s="64">
        <f>_xlfn.MAXIFS(tblLaborEntries[Work date serial],tblLaborEntries[Work package ID],tblWorkPackages[[#This Row],[Work package ID]])</f>
        <v>45874.0</v>
      </c>
      <c r="AB1757" s="65">
        <f>IF(tblWorkPackages[[#This Row],[Completion date serial]]&gt;tblWorkPackages[[#This Row],[Due date serial]],1,0)</f>
        <v>0</v>
      </c>
      <c r="AC1757" s="65">
        <f>MAX(0,tblWorkPackages[[#This Row],[Completion date serial]]-tblWorkPackages[[#This Row],[Due date serial]])</f>
        <v>0</v>
      </c>
      <c r="AD1757" s="65">
        <f>tblWorkPackages[[#This Row],[First labor date]]-tblWorkPackages[[#This Row],[Request date serial]]</f>
        <v>3</v>
      </c>
      <c r="AE1757" s="65">
        <f>tblWorkPackages[[#This Row],[Last labor date]]-tblWorkPackages[[#This Row],[First labor date]]</f>
        <v>1</v>
      </c>
      <c r="AF1757" s="65">
        <f>tblWorkPackages[[#This Row],[Completion date serial]]-tblWorkPackages[[#This Row],[Last labor date]]</f>
        <v>3</v>
      </c>
      <c r="AG1757" s="65">
        <f>tblWorkPackages[[#This Row],[Completion date serial]]-tblWorkPackages[[#This Row],[Request date serial]]</f>
        <v>7</v>
      </c>
      <c r="AH1757" s="65">
        <f>IFERROR(INDEX(tblParts[Delay days],MATCH(tblWorkPackages[[#This Row],[Work package ID]],tblParts[Work package ID],0)),0)</f>
        <v>0</v>
      </c>
      <c r="AI1757" s="51" t="str">
        <f>IFERROR(INDEX(tblDisruptions[Event type],MATCH(tblWorkPackages[[#This Row],[Work package ID]],tblDisruptions[Work package ID],0)),"None")</f>
        <v>None</v>
      </c>
      <c r="AJ1757" s="51" t="str">
        <f>TEXT(tblWorkPackages[[#This Row],[Due date serial]],"yyyy-mm")</f>
        <v>2025-08</v>
      </c>
    </row>
    <row r="1758" spans="1:36" ht="15" x14ac:dyDescent="0.25">
      <c r="A1758" s="53" t="s">
        <v>2668</v>
      </c>
      <c r="B1758" s="53" t="s">
        <v>168</v>
      </c>
      <c r="C1758" s="53" t="s">
        <v>851</v>
      </c>
      <c r="D1758" s="53" t="s">
        <v>531</v>
      </c>
      <c r="E1758" s="53" t="s">
        <v>223</v>
      </c>
      <c r="F1758" s="53" t="s">
        <v>182</v>
      </c>
      <c r="G1758" s="53" t="s">
        <v>154</v>
      </c>
      <c r="H1758" s="53">
        <v>1</v>
      </c>
      <c r="I1758" s="53" t="s">
        <v>130</v>
      </c>
      <c r="J1758" s="53">
        <v>0</v>
      </c>
      <c r="K1758" s="53">
        <v>0</v>
      </c>
      <c r="L1758" s="53">
        <v>8.3000000000000007</v>
      </c>
      <c r="M1758" s="53" t="s">
        <v>227</v>
      </c>
      <c r="N1758" s="53">
        <v>8.5</v>
      </c>
      <c r="O1758" s="51" t="str">
        <f>TEXT(tblWorkPackages[[#This Row],[Request date serial]]-WEEKDAY(tblWorkPackages[[#This Row],[Request date serial]],3),"yyyy-mm-dd")</f>
        <v>2025-06-30</v>
      </c>
      <c r="P1758" s="51">
        <f>ABS(tblWorkPackages[[#This Row],[Actual labor hours]]-tblWorkPackages[[#This Row],[Estimated labor hours]])</f>
        <v>0.199999999999999</v>
      </c>
      <c r="Q1758" s="51">
        <f>IF(tblWorkPackages[[#This Row],[Actual labor hours]]&gt;tblWorkPackages[[#This Row],[Estimated labor hours]],1,0)</f>
        <v>1</v>
      </c>
      <c r="R1758" s="51">
        <f>tblWorkPackages[[#This Row],[Actual labor hours]]-tblWorkPackages[[#This Row],[Estimated labor hours]]</f>
        <v>0.199999999999999</v>
      </c>
      <c r="S1758" s="51" t="str">
        <f>IF(tblWorkPackages[[#This Row],[Request date serial]]&lt;ValidationStart,"Train 2024",IF(tblWorkPackages[[#This Row],[Request date serial]]&lt;HoldoutStart,"Validation H1","Holdout H2"))</f>
        <v>Holdout H2</v>
      </c>
      <c r="T1758" s="51">
        <f>IF(tblWorkPackages[[#This Row],[Time split]]="Train 2024","",tblWorkPackages[[#This Row],[Estimated labor hours]]+VLOOKUP(tblWorkPackages[[#This Row],[Task type]],'Forecast validation'!$A$14:$E$25,IF(tblWorkPackages[[#This Row],[Time split]]="Validation H1",4,5),FALSE()))</f>
        <v>9.22465753424658</v>
      </c>
      <c r="U1758" s="51">
        <f>IF(tblWorkPackages[[#This Row],[Calibrated forecast hours]]="","",ABS(tblWorkPackages[[#This Row],[Actual labor hours]]-tblWorkPackages[[#This Row],[Calibrated forecast hours]]))</f>
        <v>0.724657534246576</v>
      </c>
      <c r="V1758" s="51">
        <f>IF(tblWorkPackages[[#This Row],[Time split]]="Train 2024",tblWorkPackages[[#This Row],[Estimated labor hours]],tblWorkPackages[[#This Row],[Calibrated forecast hours]])</f>
        <v>9.22465753424658</v>
      </c>
      <c r="W1758" s="64">
        <f>DATEVALUE(tblWorkPackages[[#This Row],[Request date]])</f>
        <v>45841.0</v>
      </c>
      <c r="X1758" s="64">
        <f>DATEVALUE(tblWorkPackages[[#This Row],[Due date]])</f>
        <v>45854.0</v>
      </c>
      <c r="Y1758" s="64">
        <f>DATEVALUE(tblWorkPackages[[#This Row],[Completion date]])</f>
        <v>45870.0</v>
      </c>
      <c r="Z1758" s="64">
        <f>_xlfn.MINIFS(tblLaborEntries[Work date serial],tblLaborEntries[Work package ID],tblWorkPackages[[#This Row],[Work package ID]])</f>
        <v>45869.0</v>
      </c>
      <c r="AA1758" s="64">
        <f>_xlfn.MAXIFS(tblLaborEntries[Work date serial],tblLaborEntries[Work package ID],tblWorkPackages[[#This Row],[Work package ID]])</f>
        <v>45870.0</v>
      </c>
      <c r="AB1758" s="65">
        <f>IF(tblWorkPackages[[#This Row],[Completion date serial]]&gt;tblWorkPackages[[#This Row],[Due date serial]],1,0)</f>
        <v>1</v>
      </c>
      <c r="AC1758" s="65">
        <f>MAX(0,tblWorkPackages[[#This Row],[Completion date serial]]-tblWorkPackages[[#This Row],[Due date serial]])</f>
        <v>16</v>
      </c>
      <c r="AD1758" s="65">
        <f>tblWorkPackages[[#This Row],[First labor date]]-tblWorkPackages[[#This Row],[Request date serial]]</f>
        <v>28</v>
      </c>
      <c r="AE1758" s="65">
        <f>tblWorkPackages[[#This Row],[Last labor date]]-tblWorkPackages[[#This Row],[First labor date]]</f>
        <v>1</v>
      </c>
      <c r="AF1758" s="65">
        <f>tblWorkPackages[[#This Row],[Completion date serial]]-tblWorkPackages[[#This Row],[Last labor date]]</f>
        <v>0</v>
      </c>
      <c r="AG1758" s="65">
        <f>tblWorkPackages[[#This Row],[Completion date serial]]-tblWorkPackages[[#This Row],[Request date serial]]</f>
        <v>29</v>
      </c>
      <c r="AH1758" s="65">
        <f>IFERROR(INDEX(tblParts[Delay days],MATCH(tblWorkPackages[[#This Row],[Work package ID]],tblParts[Work package ID],0)),0)</f>
        <v>0</v>
      </c>
      <c r="AI1758" s="51" t="str">
        <f>IFERROR(INDEX(tblDisruptions[Event type],MATCH(tblWorkPackages[[#This Row],[Work package ID]],tblDisruptions[Work package ID],0)),"None")</f>
        <v>None</v>
      </c>
      <c r="AJ1758" s="51" t="str">
        <f>TEXT(tblWorkPackages[[#This Row],[Due date serial]],"yyyy-mm")</f>
        <v>2025-07</v>
      </c>
    </row>
    <row r="1759" spans="1:36" ht="15" x14ac:dyDescent="0.25">
      <c r="A1759" s="53" t="s">
        <v>2669</v>
      </c>
      <c r="B1759" s="53" t="s">
        <v>133</v>
      </c>
      <c r="C1759" s="53" t="s">
        <v>198</v>
      </c>
      <c r="D1759" s="53" t="s">
        <v>323</v>
      </c>
      <c r="E1759" s="53" t="s">
        <v>153</v>
      </c>
      <c r="F1759" s="53" t="s">
        <v>128</v>
      </c>
      <c r="G1759" s="53" t="s">
        <v>154</v>
      </c>
      <c r="H1759" s="53">
        <v>1</v>
      </c>
      <c r="I1759" s="53" t="s">
        <v>130</v>
      </c>
      <c r="J1759" s="53">
        <v>0</v>
      </c>
      <c r="K1759" s="53">
        <v>0</v>
      </c>
      <c r="L1759" s="53">
        <v>6.4</v>
      </c>
      <c r="M1759" s="53" t="s">
        <v>738</v>
      </c>
      <c r="N1759" s="53">
        <v>7.1</v>
      </c>
      <c r="O1759" s="51" t="str">
        <f>TEXT(tblWorkPackages[[#This Row],[Request date serial]]-WEEKDAY(tblWorkPackages[[#This Row],[Request date serial]],3),"yyyy-mm-dd")</f>
        <v>2025-06-23</v>
      </c>
      <c r="P1759" s="51">
        <f>ABS(tblWorkPackages[[#This Row],[Actual labor hours]]-tblWorkPackages[[#This Row],[Estimated labor hours]])</f>
        <v>0.699999999999999</v>
      </c>
      <c r="Q1759" s="51">
        <f>IF(tblWorkPackages[[#This Row],[Actual labor hours]]&gt;tblWorkPackages[[#This Row],[Estimated labor hours]],1,0)</f>
        <v>1</v>
      </c>
      <c r="R1759" s="51">
        <f>tblWorkPackages[[#This Row],[Actual labor hours]]-tblWorkPackages[[#This Row],[Estimated labor hours]]</f>
        <v>0.699999999999999</v>
      </c>
      <c r="S1759" s="51" t="str">
        <f>IF(tblWorkPackages[[#This Row],[Request date serial]]&lt;ValidationStart,"Train 2024",IF(tblWorkPackages[[#This Row],[Request date serial]]&lt;HoldoutStart,"Validation H1","Holdout H2"))</f>
        <v>Validation H1</v>
      </c>
      <c r="T1759" s="51">
        <f>IF(tblWorkPackages[[#This Row],[Time split]]="Train 2024","",tblWorkPackages[[#This Row],[Estimated labor hours]]+VLOOKUP(tblWorkPackages[[#This Row],[Task type]],'Forecast validation'!$A$14:$E$25,IF(tblWorkPackages[[#This Row],[Time split]]="Validation H1",4,5),FALSE()))</f>
        <v>6.94622641509434</v>
      </c>
      <c r="U1759" s="51">
        <f>IF(tblWorkPackages[[#This Row],[Calibrated forecast hours]]="","",ABS(tblWorkPackages[[#This Row],[Actual labor hours]]-tblWorkPackages[[#This Row],[Calibrated forecast hours]]))</f>
        <v>0.15377358490566</v>
      </c>
      <c r="V1759" s="51">
        <f>IF(tblWorkPackages[[#This Row],[Time split]]="Train 2024",tblWorkPackages[[#This Row],[Estimated labor hours]],tblWorkPackages[[#This Row],[Calibrated forecast hours]])</f>
        <v>6.94622641509434</v>
      </c>
      <c r="W1759" s="64">
        <f>DATEVALUE(tblWorkPackages[[#This Row],[Request date]])</f>
        <v>45832.0</v>
      </c>
      <c r="X1759" s="64">
        <f>DATEVALUE(tblWorkPackages[[#This Row],[Due date]])</f>
        <v>45845.0</v>
      </c>
      <c r="Y1759" s="64">
        <f>DATEVALUE(tblWorkPackages[[#This Row],[Completion date]])</f>
        <v>45839.0</v>
      </c>
      <c r="Z1759" s="64">
        <f>_xlfn.MINIFS(tblLaborEntries[Work date serial],tblLaborEntries[Work package ID],tblWorkPackages[[#This Row],[Work package ID]])</f>
        <v>45837.0</v>
      </c>
      <c r="AA1759" s="64">
        <f>_xlfn.MAXIFS(tblLaborEntries[Work date serial],tblLaborEntries[Work package ID],tblWorkPackages[[#This Row],[Work package ID]])</f>
        <v>45838.0</v>
      </c>
      <c r="AB1759" s="65">
        <f>IF(tblWorkPackages[[#This Row],[Completion date serial]]&gt;tblWorkPackages[[#This Row],[Due date serial]],1,0)</f>
        <v>0</v>
      </c>
      <c r="AC1759" s="65">
        <f>MAX(0,tblWorkPackages[[#This Row],[Completion date serial]]-tblWorkPackages[[#This Row],[Due date serial]])</f>
        <v>0</v>
      </c>
      <c r="AD1759" s="65">
        <f>tblWorkPackages[[#This Row],[First labor date]]-tblWorkPackages[[#This Row],[Request date serial]]</f>
        <v>5</v>
      </c>
      <c r="AE1759" s="65">
        <f>tblWorkPackages[[#This Row],[Last labor date]]-tblWorkPackages[[#This Row],[First labor date]]</f>
        <v>1</v>
      </c>
      <c r="AF1759" s="65">
        <f>tblWorkPackages[[#This Row],[Completion date serial]]-tblWorkPackages[[#This Row],[Last labor date]]</f>
        <v>1</v>
      </c>
      <c r="AG1759" s="65">
        <f>tblWorkPackages[[#This Row],[Completion date serial]]-tblWorkPackages[[#This Row],[Request date serial]]</f>
        <v>7</v>
      </c>
      <c r="AH1759" s="65">
        <f>IFERROR(INDEX(tblParts[Delay days],MATCH(tblWorkPackages[[#This Row],[Work package ID]],tblParts[Work package ID],0)),0)</f>
        <v>0</v>
      </c>
      <c r="AI1759" s="51" t="str">
        <f>IFERROR(INDEX(tblDisruptions[Event type],MATCH(tblWorkPackages[[#This Row],[Work package ID]],tblDisruptions[Work package ID],0)),"None")</f>
        <v>None</v>
      </c>
      <c r="AJ1759" s="51" t="str">
        <f>TEXT(tblWorkPackages[[#This Row],[Due date serial]],"yyyy-mm")</f>
        <v>2025-07</v>
      </c>
    </row>
    <row r="1760" spans="1:36" ht="15" x14ac:dyDescent="0.25">
      <c r="A1760" s="53" t="s">
        <v>2670</v>
      </c>
      <c r="B1760" s="53" t="s">
        <v>124</v>
      </c>
      <c r="C1760" s="53" t="s">
        <v>1234</v>
      </c>
      <c r="D1760" s="53" t="s">
        <v>1504</v>
      </c>
      <c r="E1760" s="53" t="s">
        <v>272</v>
      </c>
      <c r="F1760" s="53" t="s">
        <v>145</v>
      </c>
      <c r="G1760" s="53" t="s">
        <v>273</v>
      </c>
      <c r="H1760" s="53">
        <v>3</v>
      </c>
      <c r="I1760" s="53" t="s">
        <v>147</v>
      </c>
      <c r="J1760" s="53">
        <v>0</v>
      </c>
      <c r="K1760" s="53">
        <v>1</v>
      </c>
      <c r="L1760" s="53">
        <v>15.9</v>
      </c>
      <c r="M1760" s="53" t="s">
        <v>842</v>
      </c>
      <c r="N1760" s="53">
        <v>20</v>
      </c>
      <c r="O1760" s="51" t="str">
        <f>TEXT(tblWorkPackages[[#This Row],[Request date serial]]-WEEKDAY(tblWorkPackages[[#This Row],[Request date serial]],3),"yyyy-mm-dd")</f>
        <v>2025-07-21</v>
      </c>
      <c r="P1760" s="51">
        <f>ABS(tblWorkPackages[[#This Row],[Actual labor hours]]-tblWorkPackages[[#This Row],[Estimated labor hours]])</f>
        <v>4.1</v>
      </c>
      <c r="Q1760" s="51">
        <f>IF(tblWorkPackages[[#This Row],[Actual labor hours]]&gt;tblWorkPackages[[#This Row],[Estimated labor hours]],1,0)</f>
        <v>1</v>
      </c>
      <c r="R1760" s="51">
        <f>tblWorkPackages[[#This Row],[Actual labor hours]]-tblWorkPackages[[#This Row],[Estimated labor hours]]</f>
        <v>4.1</v>
      </c>
      <c r="S1760" s="51" t="str">
        <f>IF(tblWorkPackages[[#This Row],[Request date serial]]&lt;ValidationStart,"Train 2024",IF(tblWorkPackages[[#This Row],[Request date serial]]&lt;HoldoutStart,"Validation H1","Holdout H2"))</f>
        <v>Holdout H2</v>
      </c>
      <c r="T1760" s="51">
        <f>IF(tblWorkPackages[[#This Row],[Time split]]="Train 2024","",tblWorkPackages[[#This Row],[Estimated labor hours]]+VLOOKUP(tblWorkPackages[[#This Row],[Task type]],'Forecast validation'!$A$14:$E$25,IF(tblWorkPackages[[#This Row],[Time split]]="Validation H1",4,5),FALSE()))</f>
        <v>16.88515625</v>
      </c>
      <c r="U1760" s="51">
        <f>IF(tblWorkPackages[[#This Row],[Calibrated forecast hours]]="","",ABS(tblWorkPackages[[#This Row],[Actual labor hours]]-tblWorkPackages[[#This Row],[Calibrated forecast hours]]))</f>
        <v>3.11484375</v>
      </c>
      <c r="V1760" s="51">
        <f>IF(tblWorkPackages[[#This Row],[Time split]]="Train 2024",tblWorkPackages[[#This Row],[Estimated labor hours]],tblWorkPackages[[#This Row],[Calibrated forecast hours]])</f>
        <v>16.88515625</v>
      </c>
      <c r="W1760" s="64">
        <f>DATEVALUE(tblWorkPackages[[#This Row],[Request date]])</f>
        <v>45859.0</v>
      </c>
      <c r="X1760" s="64">
        <f>DATEVALUE(tblWorkPackages[[#This Row],[Due date]])</f>
        <v>45861.0</v>
      </c>
      <c r="Y1760" s="64">
        <f>DATEVALUE(tblWorkPackages[[#This Row],[Completion date]])</f>
        <v>45865.0</v>
      </c>
      <c r="Z1760" s="64">
        <f>_xlfn.MINIFS(tblLaborEntries[Work date serial],tblLaborEntries[Work package ID],tblWorkPackages[[#This Row],[Work package ID]])</f>
        <v>45862.0</v>
      </c>
      <c r="AA1760" s="64">
        <f>_xlfn.MAXIFS(tblLaborEntries[Work date serial],tblLaborEntries[Work package ID],tblWorkPackages[[#This Row],[Work package ID]])</f>
        <v>45863.0</v>
      </c>
      <c r="AB1760" s="65">
        <f>IF(tblWorkPackages[[#This Row],[Completion date serial]]&gt;tblWorkPackages[[#This Row],[Due date serial]],1,0)</f>
        <v>1</v>
      </c>
      <c r="AC1760" s="65">
        <f>MAX(0,tblWorkPackages[[#This Row],[Completion date serial]]-tblWorkPackages[[#This Row],[Due date serial]])</f>
        <v>4</v>
      </c>
      <c r="AD1760" s="65">
        <f>tblWorkPackages[[#This Row],[First labor date]]-tblWorkPackages[[#This Row],[Request date serial]]</f>
        <v>3</v>
      </c>
      <c r="AE1760" s="65">
        <f>tblWorkPackages[[#This Row],[Last labor date]]-tblWorkPackages[[#This Row],[First labor date]]</f>
        <v>1</v>
      </c>
      <c r="AF1760" s="65">
        <f>tblWorkPackages[[#This Row],[Completion date serial]]-tblWorkPackages[[#This Row],[Last labor date]]</f>
        <v>2</v>
      </c>
      <c r="AG1760" s="65">
        <f>tblWorkPackages[[#This Row],[Completion date serial]]-tblWorkPackages[[#This Row],[Request date serial]]</f>
        <v>6</v>
      </c>
      <c r="AH1760" s="65">
        <f>IFERROR(INDEX(tblParts[Delay days],MATCH(tblWorkPackages[[#This Row],[Work package ID]],tblParts[Work package ID],0)),0)</f>
        <v>2</v>
      </c>
      <c r="AI1760" s="51" t="str">
        <f>IFERROR(INDEX(tblDisruptions[Event type],MATCH(tblWorkPackages[[#This Row],[Work package ID]],tblDisruptions[Work package ID],0)),"None")</f>
        <v>Part delay</v>
      </c>
      <c r="AJ1760" s="51" t="str">
        <f>TEXT(tblWorkPackages[[#This Row],[Due date serial]],"yyyy-mm")</f>
        <v>2025-07</v>
      </c>
    </row>
    <row r="1761" spans="1:36" ht="15" x14ac:dyDescent="0.25">
      <c r="A1761" s="53" t="s">
        <v>2671</v>
      </c>
      <c r="B1761" s="53" t="s">
        <v>235</v>
      </c>
      <c r="C1761" s="53" t="s">
        <v>945</v>
      </c>
      <c r="D1761" s="53" t="s">
        <v>392</v>
      </c>
      <c r="E1761" s="53" t="s">
        <v>223</v>
      </c>
      <c r="F1761" s="53" t="s">
        <v>182</v>
      </c>
      <c r="G1761" s="53" t="s">
        <v>154</v>
      </c>
      <c r="H1761" s="53">
        <v>4</v>
      </c>
      <c r="I1761" s="53" t="s">
        <v>130</v>
      </c>
      <c r="J1761" s="53">
        <v>1</v>
      </c>
      <c r="K1761" s="53">
        <v>0</v>
      </c>
      <c r="L1761" s="53">
        <v>21.2</v>
      </c>
      <c r="M1761" s="53" t="s">
        <v>540</v>
      </c>
      <c r="N1761" s="53">
        <v>22.1</v>
      </c>
      <c r="O1761" s="51" t="str">
        <f>TEXT(tblWorkPackages[[#This Row],[Request date serial]]-WEEKDAY(tblWorkPackages[[#This Row],[Request date serial]],3),"yyyy-mm-dd")</f>
        <v>2024-08-12</v>
      </c>
      <c r="P1761" s="51">
        <f>ABS(tblWorkPackages[[#This Row],[Actual labor hours]]-tblWorkPackages[[#This Row],[Estimated labor hours]])</f>
        <v>0.900000000000002</v>
      </c>
      <c r="Q1761" s="51">
        <f>IF(tblWorkPackages[[#This Row],[Actual labor hours]]&gt;tblWorkPackages[[#This Row],[Estimated labor hours]],1,0)</f>
        <v>1</v>
      </c>
      <c r="R1761" s="51">
        <f>tblWorkPackages[[#This Row],[Actual labor hours]]-tblWorkPackages[[#This Row],[Estimated labor hours]]</f>
        <v>0.900000000000002</v>
      </c>
      <c r="S1761" s="51" t="str">
        <f>IF(tblWorkPackages[[#This Row],[Request date serial]]&lt;ValidationStart,"Train 2024",IF(tblWorkPackages[[#This Row],[Request date serial]]&lt;HoldoutStart,"Validation H1","Holdout H2"))</f>
        <v>Train 2024</v>
      </c>
      <c r="T1761" s="51" t="str">
        <f>IF(tblWorkPackages[[#This Row],[Time split]]="Train 2024","",tblWorkPackages[[#This Row],[Estimated labor hours]]+VLOOKUP(tblWorkPackages[[#This Row],[Task type]],'Forecast validation'!$A$14:$E$25,IF(tblWorkPackages[[#This Row],[Time split]]="Validation H1",4,5),FALSE()))</f>
        <v/>
      </c>
      <c r="U1761" s="51" t="str">
        <f>IF(tblWorkPackages[[#This Row],[Calibrated forecast hours]]="","",ABS(tblWorkPackages[[#This Row],[Actual labor hours]]-tblWorkPackages[[#This Row],[Calibrated forecast hours]]))</f>
        <v/>
      </c>
      <c r="V1761" s="51">
        <f>IF(tblWorkPackages[[#This Row],[Time split]]="Train 2024",tblWorkPackages[[#This Row],[Estimated labor hours]],tblWorkPackages[[#This Row],[Calibrated forecast hours]])</f>
        <v>21.2</v>
      </c>
      <c r="W1761" s="64">
        <f>DATEVALUE(tblWorkPackages[[#This Row],[Request date]])</f>
        <v>45521.0</v>
      </c>
      <c r="X1761" s="64">
        <f>DATEVALUE(tblWorkPackages[[#This Row],[Due date]])</f>
        <v>45534.0</v>
      </c>
      <c r="Y1761" s="64">
        <f>DATEVALUE(tblWorkPackages[[#This Row],[Completion date]])</f>
        <v>45538.0</v>
      </c>
      <c r="Z1761" s="64">
        <f>_xlfn.MINIFS(tblLaborEntries[Work date serial],tblLaborEntries[Work package ID],tblWorkPackages[[#This Row],[Work package ID]])</f>
        <v>45534.0</v>
      </c>
      <c r="AA1761" s="64">
        <f>_xlfn.MAXIFS(tblLaborEntries[Work date serial],tblLaborEntries[Work package ID],tblWorkPackages[[#This Row],[Work package ID]])</f>
        <v>45535.0</v>
      </c>
      <c r="AB1761" s="65">
        <f>IF(tblWorkPackages[[#This Row],[Completion date serial]]&gt;tblWorkPackages[[#This Row],[Due date serial]],1,0)</f>
        <v>1</v>
      </c>
      <c r="AC1761" s="65">
        <f>MAX(0,tblWorkPackages[[#This Row],[Completion date serial]]-tblWorkPackages[[#This Row],[Due date serial]])</f>
        <v>4</v>
      </c>
      <c r="AD1761" s="65">
        <f>tblWorkPackages[[#This Row],[First labor date]]-tblWorkPackages[[#This Row],[Request date serial]]</f>
        <v>13</v>
      </c>
      <c r="AE1761" s="65">
        <f>tblWorkPackages[[#This Row],[Last labor date]]-tblWorkPackages[[#This Row],[First labor date]]</f>
        <v>1</v>
      </c>
      <c r="AF1761" s="65">
        <f>tblWorkPackages[[#This Row],[Completion date serial]]-tblWorkPackages[[#This Row],[Last labor date]]</f>
        <v>3</v>
      </c>
      <c r="AG1761" s="65">
        <f>tblWorkPackages[[#This Row],[Completion date serial]]-tblWorkPackages[[#This Row],[Request date serial]]</f>
        <v>17</v>
      </c>
      <c r="AH1761" s="65">
        <f>IFERROR(INDEX(tblParts[Delay days],MATCH(tblWorkPackages[[#This Row],[Work package ID]],tblParts[Work package ID],0)),0)</f>
        <v>0</v>
      </c>
      <c r="AI1761" s="51" t="str">
        <f>IFERROR(INDEX(tblDisruptions[Event type],MATCH(tblWorkPackages[[#This Row],[Work package ID]],tblDisruptions[Work package ID],0)),"None")</f>
        <v>None</v>
      </c>
      <c r="AJ1761" s="51" t="str">
        <f>TEXT(tblWorkPackages[[#This Row],[Due date serial]],"yyyy-mm")</f>
        <v>2024-08</v>
      </c>
    </row>
    <row r="1762" spans="1:36" ht="15" x14ac:dyDescent="0.25">
      <c r="A1762" s="53" t="s">
        <v>2672</v>
      </c>
      <c r="B1762" s="53" t="s">
        <v>185</v>
      </c>
      <c r="C1762" s="53" t="s">
        <v>716</v>
      </c>
      <c r="D1762" s="53" t="s">
        <v>717</v>
      </c>
      <c r="E1762" s="53" t="s">
        <v>223</v>
      </c>
      <c r="F1762" s="53" t="s">
        <v>182</v>
      </c>
      <c r="G1762" s="53" t="s">
        <v>154</v>
      </c>
      <c r="H1762" s="53">
        <v>4</v>
      </c>
      <c r="I1762" s="53" t="s">
        <v>130</v>
      </c>
      <c r="J1762" s="53">
        <v>0</v>
      </c>
      <c r="K1762" s="53">
        <v>1</v>
      </c>
      <c r="L1762" s="53">
        <v>25.4</v>
      </c>
      <c r="M1762" s="53" t="s">
        <v>187</v>
      </c>
      <c r="N1762" s="53">
        <v>25.8</v>
      </c>
      <c r="O1762" s="51" t="str">
        <f>TEXT(tblWorkPackages[[#This Row],[Request date serial]]-WEEKDAY(tblWorkPackages[[#This Row],[Request date serial]],3),"yyyy-mm-dd")</f>
        <v>2025-02-17</v>
      </c>
      <c r="P1762" s="51">
        <f>ABS(tblWorkPackages[[#This Row],[Actual labor hours]]-tblWorkPackages[[#This Row],[Estimated labor hours]])</f>
        <v>0.400000000000002</v>
      </c>
      <c r="Q1762" s="51">
        <f>IF(tblWorkPackages[[#This Row],[Actual labor hours]]&gt;tblWorkPackages[[#This Row],[Estimated labor hours]],1,0)</f>
        <v>1</v>
      </c>
      <c r="R1762" s="51">
        <f>tblWorkPackages[[#This Row],[Actual labor hours]]-tblWorkPackages[[#This Row],[Estimated labor hours]]</f>
        <v>0.400000000000002</v>
      </c>
      <c r="S1762" s="51" t="str">
        <f>IF(tblWorkPackages[[#This Row],[Request date serial]]&lt;ValidationStart,"Train 2024",IF(tblWorkPackages[[#This Row],[Request date serial]]&lt;HoldoutStart,"Validation H1","Holdout H2"))</f>
        <v>Validation H1</v>
      </c>
      <c r="T1762" s="51">
        <f>IF(tblWorkPackages[[#This Row],[Time split]]="Train 2024","",tblWorkPackages[[#This Row],[Estimated labor hours]]+VLOOKUP(tblWorkPackages[[#This Row],[Task type]],'Forecast validation'!$A$14:$E$25,IF(tblWorkPackages[[#This Row],[Time split]]="Validation H1",4,5),FALSE()))</f>
        <v>26.2824175824176</v>
      </c>
      <c r="U1762" s="51">
        <f>IF(tblWorkPackages[[#This Row],[Calibrated forecast hours]]="","",ABS(tblWorkPackages[[#This Row],[Actual labor hours]]-tblWorkPackages[[#This Row],[Calibrated forecast hours]]))</f>
        <v>0.482417582417579</v>
      </c>
      <c r="V1762" s="51">
        <f>IF(tblWorkPackages[[#This Row],[Time split]]="Train 2024",tblWorkPackages[[#This Row],[Estimated labor hours]],tblWorkPackages[[#This Row],[Calibrated forecast hours]])</f>
        <v>26.2824175824176</v>
      </c>
      <c r="W1762" s="64">
        <f>DATEVALUE(tblWorkPackages[[#This Row],[Request date]])</f>
        <v>45710.0</v>
      </c>
      <c r="X1762" s="64">
        <f>DATEVALUE(tblWorkPackages[[#This Row],[Due date]])</f>
        <v>45723.0</v>
      </c>
      <c r="Y1762" s="64">
        <f>DATEVALUE(tblWorkPackages[[#This Row],[Completion date]])</f>
        <v>45713.0</v>
      </c>
      <c r="Z1762" s="64">
        <f>_xlfn.MINIFS(tblLaborEntries[Work date serial],tblLaborEntries[Work package ID],tblWorkPackages[[#This Row],[Work package ID]])</f>
        <v>45713.0</v>
      </c>
      <c r="AA1762" s="64">
        <f>_xlfn.MAXIFS(tblLaborEntries[Work date serial],tblLaborEntries[Work package ID],tblWorkPackages[[#This Row],[Work package ID]])</f>
        <v>45713.0</v>
      </c>
      <c r="AB1762" s="65">
        <f>IF(tblWorkPackages[[#This Row],[Completion date serial]]&gt;tblWorkPackages[[#This Row],[Due date serial]],1,0)</f>
        <v>0</v>
      </c>
      <c r="AC1762" s="65">
        <f>MAX(0,tblWorkPackages[[#This Row],[Completion date serial]]-tblWorkPackages[[#This Row],[Due date serial]])</f>
        <v>0</v>
      </c>
      <c r="AD1762" s="65">
        <f>tblWorkPackages[[#This Row],[First labor date]]-tblWorkPackages[[#This Row],[Request date serial]]</f>
        <v>3</v>
      </c>
      <c r="AE1762" s="65">
        <f>tblWorkPackages[[#This Row],[Last labor date]]-tblWorkPackages[[#This Row],[First labor date]]</f>
        <v>0</v>
      </c>
      <c r="AF1762" s="65">
        <f>tblWorkPackages[[#This Row],[Completion date serial]]-tblWorkPackages[[#This Row],[Last labor date]]</f>
        <v>0</v>
      </c>
      <c r="AG1762" s="65">
        <f>tblWorkPackages[[#This Row],[Completion date serial]]-tblWorkPackages[[#This Row],[Request date serial]]</f>
        <v>3</v>
      </c>
      <c r="AH1762" s="65">
        <f>IFERROR(INDEX(tblParts[Delay days],MATCH(tblWorkPackages[[#This Row],[Work package ID]],tblParts[Work package ID],0)),0)</f>
        <v>0</v>
      </c>
      <c r="AI1762" s="51" t="str">
        <f>IFERROR(INDEX(tblDisruptions[Event type],MATCH(tblWorkPackages[[#This Row],[Work package ID]],tblDisruptions[Work package ID],0)),"None")</f>
        <v>None</v>
      </c>
      <c r="AJ1762" s="51" t="str">
        <f>TEXT(tblWorkPackages[[#This Row],[Due date serial]],"yyyy-mm")</f>
        <v>2025-03</v>
      </c>
    </row>
    <row r="1763" spans="1:36" ht="15" x14ac:dyDescent="0.25">
      <c r="A1763" s="53" t="s">
        <v>2673</v>
      </c>
      <c r="B1763" s="53" t="s">
        <v>141</v>
      </c>
      <c r="C1763" s="53" t="s">
        <v>265</v>
      </c>
      <c r="D1763" s="53" t="s">
        <v>799</v>
      </c>
      <c r="E1763" s="53" t="s">
        <v>223</v>
      </c>
      <c r="F1763" s="53" t="s">
        <v>182</v>
      </c>
      <c r="G1763" s="53" t="s">
        <v>154</v>
      </c>
      <c r="H1763" s="53">
        <v>3</v>
      </c>
      <c r="I1763" s="53" t="s">
        <v>130</v>
      </c>
      <c r="J1763" s="53">
        <v>0</v>
      </c>
      <c r="K1763" s="53">
        <v>0</v>
      </c>
      <c r="L1763" s="53">
        <v>15</v>
      </c>
      <c r="M1763" s="53" t="s">
        <v>381</v>
      </c>
      <c r="N1763" s="53">
        <v>13.6</v>
      </c>
      <c r="O1763" s="51" t="str">
        <f>TEXT(tblWorkPackages[[#This Row],[Request date serial]]-WEEKDAY(tblWorkPackages[[#This Row],[Request date serial]],3),"yyyy-mm-dd")</f>
        <v>2024-08-26</v>
      </c>
      <c r="P1763" s="51">
        <f>ABS(tblWorkPackages[[#This Row],[Actual labor hours]]-tblWorkPackages[[#This Row],[Estimated labor hours]])</f>
        <v>1.4</v>
      </c>
      <c r="Q1763" s="51">
        <f>IF(tblWorkPackages[[#This Row],[Actual labor hours]]&gt;tblWorkPackages[[#This Row],[Estimated labor hours]],1,0)</f>
        <v>0</v>
      </c>
      <c r="R1763" s="51">
        <f>tblWorkPackages[[#This Row],[Actual labor hours]]-tblWorkPackages[[#This Row],[Estimated labor hours]]</f>
        <v>-1.4</v>
      </c>
      <c r="S1763" s="51" t="str">
        <f>IF(tblWorkPackages[[#This Row],[Request date serial]]&lt;ValidationStart,"Train 2024",IF(tblWorkPackages[[#This Row],[Request date serial]]&lt;HoldoutStart,"Validation H1","Holdout H2"))</f>
        <v>Train 2024</v>
      </c>
      <c r="T1763" s="51" t="str">
        <f>IF(tblWorkPackages[[#This Row],[Time split]]="Train 2024","",tblWorkPackages[[#This Row],[Estimated labor hours]]+VLOOKUP(tblWorkPackages[[#This Row],[Task type]],'Forecast validation'!$A$14:$E$25,IF(tblWorkPackages[[#This Row],[Time split]]="Validation H1",4,5),FALSE()))</f>
        <v/>
      </c>
      <c r="U1763" s="51" t="str">
        <f>IF(tblWorkPackages[[#This Row],[Calibrated forecast hours]]="","",ABS(tblWorkPackages[[#This Row],[Actual labor hours]]-tblWorkPackages[[#This Row],[Calibrated forecast hours]]))</f>
        <v/>
      </c>
      <c r="V1763" s="51">
        <f>IF(tblWorkPackages[[#This Row],[Time split]]="Train 2024",tblWorkPackages[[#This Row],[Estimated labor hours]],tblWorkPackages[[#This Row],[Calibrated forecast hours]])</f>
        <v>15</v>
      </c>
      <c r="W1763" s="64">
        <f>DATEVALUE(tblWorkPackages[[#This Row],[Request date]])</f>
        <v>45536.0</v>
      </c>
      <c r="X1763" s="64">
        <f>DATEVALUE(tblWorkPackages[[#This Row],[Due date]])</f>
        <v>45549.0</v>
      </c>
      <c r="Y1763" s="64">
        <f>DATEVALUE(tblWorkPackages[[#This Row],[Completion date]])</f>
        <v>45588.0</v>
      </c>
      <c r="Z1763" s="64">
        <f>_xlfn.MINIFS(tblLaborEntries[Work date serial],tblLaborEntries[Work package ID],tblWorkPackages[[#This Row],[Work package ID]])</f>
        <v>45585.0</v>
      </c>
      <c r="AA1763" s="64">
        <f>_xlfn.MAXIFS(tblLaborEntries[Work date serial],tblLaborEntries[Work package ID],tblWorkPackages[[#This Row],[Work package ID]])</f>
        <v>45587.0</v>
      </c>
      <c r="AB1763" s="65">
        <f>IF(tblWorkPackages[[#This Row],[Completion date serial]]&gt;tblWorkPackages[[#This Row],[Due date serial]],1,0)</f>
        <v>1</v>
      </c>
      <c r="AC1763" s="65">
        <f>MAX(0,tblWorkPackages[[#This Row],[Completion date serial]]-tblWorkPackages[[#This Row],[Due date serial]])</f>
        <v>39</v>
      </c>
      <c r="AD1763" s="65">
        <f>tblWorkPackages[[#This Row],[First labor date]]-tblWorkPackages[[#This Row],[Request date serial]]</f>
        <v>49</v>
      </c>
      <c r="AE1763" s="65">
        <f>tblWorkPackages[[#This Row],[Last labor date]]-tblWorkPackages[[#This Row],[First labor date]]</f>
        <v>2</v>
      </c>
      <c r="AF1763" s="65">
        <f>tblWorkPackages[[#This Row],[Completion date serial]]-tblWorkPackages[[#This Row],[Last labor date]]</f>
        <v>1</v>
      </c>
      <c r="AG1763" s="65">
        <f>tblWorkPackages[[#This Row],[Completion date serial]]-tblWorkPackages[[#This Row],[Request date serial]]</f>
        <v>52</v>
      </c>
      <c r="AH1763" s="65">
        <f>IFERROR(INDEX(tblParts[Delay days],MATCH(tblWorkPackages[[#This Row],[Work package ID]],tblParts[Work package ID],0)),0)</f>
        <v>0</v>
      </c>
      <c r="AI1763" s="51" t="str">
        <f>IFERROR(INDEX(tblDisruptions[Event type],MATCH(tblWorkPackages[[#This Row],[Work package ID]],tblDisruptions[Work package ID],0)),"None")</f>
        <v>None</v>
      </c>
      <c r="AJ1763" s="51" t="str">
        <f>TEXT(tblWorkPackages[[#This Row],[Due date serial]],"yyyy-mm")</f>
        <v>2024-09</v>
      </c>
    </row>
    <row r="1764" spans="1:36" ht="15" x14ac:dyDescent="0.25">
      <c r="A1764" s="53" t="s">
        <v>2674</v>
      </c>
      <c r="B1764" s="53" t="s">
        <v>203</v>
      </c>
      <c r="C1764" s="53" t="s">
        <v>559</v>
      </c>
      <c r="D1764" s="53" t="s">
        <v>1427</v>
      </c>
      <c r="E1764" s="53" t="s">
        <v>200</v>
      </c>
      <c r="F1764" s="53" t="s">
        <v>128</v>
      </c>
      <c r="G1764" s="53" t="s">
        <v>129</v>
      </c>
      <c r="H1764" s="53">
        <v>3</v>
      </c>
      <c r="I1764" s="53" t="s">
        <v>130</v>
      </c>
      <c r="J1764" s="53">
        <v>0</v>
      </c>
      <c r="K1764" s="53">
        <v>1</v>
      </c>
      <c r="L1764" s="53">
        <v>3.4</v>
      </c>
      <c r="M1764" s="53" t="s">
        <v>1427</v>
      </c>
      <c r="N1764" s="53">
        <v>3.2</v>
      </c>
      <c r="O1764" s="51" t="str">
        <f>TEXT(tblWorkPackages[[#This Row],[Request date serial]]-WEEKDAY(tblWorkPackages[[#This Row],[Request date serial]],3),"yyyy-mm-dd")</f>
        <v>2025-11-10</v>
      </c>
      <c r="P1764" s="51">
        <f>ABS(tblWorkPackages[[#This Row],[Actual labor hours]]-tblWorkPackages[[#This Row],[Estimated labor hours]])</f>
        <v>0.2</v>
      </c>
      <c r="Q1764" s="51">
        <f>IF(tblWorkPackages[[#This Row],[Actual labor hours]]&gt;tblWorkPackages[[#This Row],[Estimated labor hours]],1,0)</f>
        <v>0</v>
      </c>
      <c r="R1764" s="51">
        <f>tblWorkPackages[[#This Row],[Actual labor hours]]-tblWorkPackages[[#This Row],[Estimated labor hours]]</f>
        <v>-0.2</v>
      </c>
      <c r="S1764" s="51" t="str">
        <f>IF(tblWorkPackages[[#This Row],[Request date serial]]&lt;ValidationStart,"Train 2024",IF(tblWorkPackages[[#This Row],[Request date serial]]&lt;HoldoutStart,"Validation H1","Holdout H2"))</f>
        <v>Holdout H2</v>
      </c>
      <c r="T1764" s="51">
        <f>IF(tblWorkPackages[[#This Row],[Time split]]="Train 2024","",tblWorkPackages[[#This Row],[Estimated labor hours]]+VLOOKUP(tblWorkPackages[[#This Row],[Task type]],'Forecast validation'!$A$14:$E$25,IF(tblWorkPackages[[#This Row],[Time split]]="Validation H1",4,5),FALSE()))</f>
        <v>3.72893081761006</v>
      </c>
      <c r="U1764" s="51">
        <f>IF(tblWorkPackages[[#This Row],[Calibrated forecast hours]]="","",ABS(tblWorkPackages[[#This Row],[Actual labor hours]]-tblWorkPackages[[#This Row],[Calibrated forecast hours]]))</f>
        <v>0.528930817610063</v>
      </c>
      <c r="V1764" s="51">
        <f>IF(tblWorkPackages[[#This Row],[Time split]]="Train 2024",tblWorkPackages[[#This Row],[Estimated labor hours]],tblWorkPackages[[#This Row],[Calibrated forecast hours]])</f>
        <v>3.72893081761006</v>
      </c>
      <c r="W1764" s="64">
        <f>DATEVALUE(tblWorkPackages[[#This Row],[Request date]])</f>
        <v>45974.0</v>
      </c>
      <c r="X1764" s="64">
        <f>DATEVALUE(tblWorkPackages[[#This Row],[Due date]])</f>
        <v>45987.0</v>
      </c>
      <c r="Y1764" s="64">
        <f>DATEVALUE(tblWorkPackages[[#This Row],[Completion date]])</f>
        <v>45987.0</v>
      </c>
      <c r="Z1764" s="64">
        <f>_xlfn.MINIFS(tblLaborEntries[Work date serial],tblLaborEntries[Work package ID],tblWorkPackages[[#This Row],[Work package ID]])</f>
        <v>45985.0</v>
      </c>
      <c r="AA1764" s="64">
        <f>_xlfn.MAXIFS(tblLaborEntries[Work date serial],tblLaborEntries[Work package ID],tblWorkPackages[[#This Row],[Work package ID]])</f>
        <v>45985.0</v>
      </c>
      <c r="AB1764" s="65">
        <f>IF(tblWorkPackages[[#This Row],[Completion date serial]]&gt;tblWorkPackages[[#This Row],[Due date serial]],1,0)</f>
        <v>0</v>
      </c>
      <c r="AC1764" s="65">
        <f>MAX(0,tblWorkPackages[[#This Row],[Completion date serial]]-tblWorkPackages[[#This Row],[Due date serial]])</f>
        <v>0</v>
      </c>
      <c r="AD1764" s="65">
        <f>tblWorkPackages[[#This Row],[First labor date]]-tblWorkPackages[[#This Row],[Request date serial]]</f>
        <v>11</v>
      </c>
      <c r="AE1764" s="65">
        <f>tblWorkPackages[[#This Row],[Last labor date]]-tblWorkPackages[[#This Row],[First labor date]]</f>
        <v>0</v>
      </c>
      <c r="AF1764" s="65">
        <f>tblWorkPackages[[#This Row],[Completion date serial]]-tblWorkPackages[[#This Row],[Last labor date]]</f>
        <v>2</v>
      </c>
      <c r="AG1764" s="65">
        <f>tblWorkPackages[[#This Row],[Completion date serial]]-tblWorkPackages[[#This Row],[Request date serial]]</f>
        <v>13</v>
      </c>
      <c r="AH1764" s="65">
        <f>IFERROR(INDEX(tblParts[Delay days],MATCH(tblWorkPackages[[#This Row],[Work package ID]],tblParts[Work package ID],0)),0)</f>
        <v>3</v>
      </c>
      <c r="AI1764" s="51" t="str">
        <f>IFERROR(INDEX(tblDisruptions[Event type],MATCH(tblWorkPackages[[#This Row],[Work package ID]],tblDisruptions[Work package ID],0)),"None")</f>
        <v>Part delay</v>
      </c>
      <c r="AJ1764" s="51" t="str">
        <f>TEXT(tblWorkPackages[[#This Row],[Due date serial]],"yyyy-mm")</f>
        <v>2025-11</v>
      </c>
    </row>
    <row r="1765" spans="1:36" ht="15" x14ac:dyDescent="0.25">
      <c r="A1765" s="53" t="s">
        <v>2675</v>
      </c>
      <c r="B1765" s="53" t="s">
        <v>157</v>
      </c>
      <c r="C1765" s="53" t="s">
        <v>332</v>
      </c>
      <c r="D1765" s="53" t="s">
        <v>379</v>
      </c>
      <c r="E1765" s="53" t="s">
        <v>181</v>
      </c>
      <c r="F1765" s="53" t="s">
        <v>182</v>
      </c>
      <c r="G1765" s="53" t="s">
        <v>138</v>
      </c>
      <c r="H1765" s="53">
        <v>2</v>
      </c>
      <c r="I1765" s="53" t="s">
        <v>147</v>
      </c>
      <c r="J1765" s="53">
        <v>0</v>
      </c>
      <c r="K1765" s="53">
        <v>0</v>
      </c>
      <c r="L1765" s="53">
        <v>6.2</v>
      </c>
      <c r="M1765" s="53" t="s">
        <v>558</v>
      </c>
      <c r="N1765" s="53">
        <v>7.9</v>
      </c>
      <c r="O1765" s="51" t="str">
        <f>TEXT(tblWorkPackages[[#This Row],[Request date serial]]-WEEKDAY(tblWorkPackages[[#This Row],[Request date serial]],3),"yyyy-mm-dd")</f>
        <v>2025-10-20</v>
      </c>
      <c r="P1765" s="51">
        <f>ABS(tblWorkPackages[[#This Row],[Actual labor hours]]-tblWorkPackages[[#This Row],[Estimated labor hours]])</f>
        <v>1.7</v>
      </c>
      <c r="Q1765" s="51">
        <f>IF(tblWorkPackages[[#This Row],[Actual labor hours]]&gt;tblWorkPackages[[#This Row],[Estimated labor hours]],1,0)</f>
        <v>1</v>
      </c>
      <c r="R1765" s="51">
        <f>tblWorkPackages[[#This Row],[Actual labor hours]]-tblWorkPackages[[#This Row],[Estimated labor hours]]</f>
        <v>1.7</v>
      </c>
      <c r="S1765" s="51" t="str">
        <f>IF(tblWorkPackages[[#This Row],[Request date serial]]&lt;ValidationStart,"Train 2024",IF(tblWorkPackages[[#This Row],[Request date serial]]&lt;HoldoutStart,"Validation H1","Holdout H2"))</f>
        <v>Holdout H2</v>
      </c>
      <c r="T1765" s="51">
        <f>IF(tblWorkPackages[[#This Row],[Time split]]="Train 2024","",tblWorkPackages[[#This Row],[Estimated labor hours]]+VLOOKUP(tblWorkPackages[[#This Row],[Task type]],'Forecast validation'!$A$14:$E$25,IF(tblWorkPackages[[#This Row],[Time split]]="Validation H1",4,5),FALSE()))</f>
        <v>6.79160839160839</v>
      </c>
      <c r="U1765" s="51">
        <f>IF(tblWorkPackages[[#This Row],[Calibrated forecast hours]]="","",ABS(tblWorkPackages[[#This Row],[Actual labor hours]]-tblWorkPackages[[#This Row],[Calibrated forecast hours]]))</f>
        <v>1.10839160839161</v>
      </c>
      <c r="V1765" s="51">
        <f>IF(tblWorkPackages[[#This Row],[Time split]]="Train 2024",tblWorkPackages[[#This Row],[Estimated labor hours]],tblWorkPackages[[#This Row],[Calibrated forecast hours]])</f>
        <v>6.79160839160839</v>
      </c>
      <c r="W1765" s="64">
        <f>DATEVALUE(tblWorkPackages[[#This Row],[Request date]])</f>
        <v>45954.0</v>
      </c>
      <c r="X1765" s="64">
        <f>DATEVALUE(tblWorkPackages[[#This Row],[Due date]])</f>
        <v>45956.0</v>
      </c>
      <c r="Y1765" s="64">
        <f>DATEVALUE(tblWorkPackages[[#This Row],[Completion date]])</f>
        <v>45961.0</v>
      </c>
      <c r="Z1765" s="64">
        <f>_xlfn.MINIFS(tblLaborEntries[Work date serial],tblLaborEntries[Work package ID],tblWorkPackages[[#This Row],[Work package ID]])</f>
        <v>45956.0</v>
      </c>
      <c r="AA1765" s="64">
        <f>_xlfn.MAXIFS(tblLaborEntries[Work date serial],tblLaborEntries[Work package ID],tblWorkPackages[[#This Row],[Work package ID]])</f>
        <v>45958.0</v>
      </c>
      <c r="AB1765" s="65">
        <f>IF(tblWorkPackages[[#This Row],[Completion date serial]]&gt;tblWorkPackages[[#This Row],[Due date serial]],1,0)</f>
        <v>1</v>
      </c>
      <c r="AC1765" s="65">
        <f>MAX(0,tblWorkPackages[[#This Row],[Completion date serial]]-tblWorkPackages[[#This Row],[Due date serial]])</f>
        <v>5</v>
      </c>
      <c r="AD1765" s="65">
        <f>tblWorkPackages[[#This Row],[First labor date]]-tblWorkPackages[[#This Row],[Request date serial]]</f>
        <v>2</v>
      </c>
      <c r="AE1765" s="65">
        <f>tblWorkPackages[[#This Row],[Last labor date]]-tblWorkPackages[[#This Row],[First labor date]]</f>
        <v>2</v>
      </c>
      <c r="AF1765" s="65">
        <f>tblWorkPackages[[#This Row],[Completion date serial]]-tblWorkPackages[[#This Row],[Last labor date]]</f>
        <v>3</v>
      </c>
      <c r="AG1765" s="65">
        <f>tblWorkPackages[[#This Row],[Completion date serial]]-tblWorkPackages[[#This Row],[Request date serial]]</f>
        <v>7</v>
      </c>
      <c r="AH1765" s="65">
        <f>IFERROR(INDEX(tblParts[Delay days],MATCH(tblWorkPackages[[#This Row],[Work package ID]],tblParts[Work package ID],0)),0)</f>
        <v>0</v>
      </c>
      <c r="AI1765" s="51" t="str">
        <f>IFERROR(INDEX(tblDisruptions[Event type],MATCH(tblWorkPackages[[#This Row],[Work package ID]],tblDisruptions[Work package ID],0)),"None")</f>
        <v>None</v>
      </c>
      <c r="AJ1765" s="51" t="str">
        <f>TEXT(tblWorkPackages[[#This Row],[Due date serial]],"yyyy-mm")</f>
        <v>2025-10</v>
      </c>
    </row>
    <row r="1766" spans="1:36" ht="15" x14ac:dyDescent="0.25">
      <c r="A1766" s="53" t="s">
        <v>2676</v>
      </c>
      <c r="B1766" s="53" t="s">
        <v>250</v>
      </c>
      <c r="C1766" s="53" t="s">
        <v>267</v>
      </c>
      <c r="D1766" s="53" t="s">
        <v>268</v>
      </c>
      <c r="E1766" s="53" t="s">
        <v>144</v>
      </c>
      <c r="F1766" s="53" t="s">
        <v>145</v>
      </c>
      <c r="G1766" s="53" t="s">
        <v>146</v>
      </c>
      <c r="H1766" s="53">
        <v>2</v>
      </c>
      <c r="I1766" s="53" t="s">
        <v>130</v>
      </c>
      <c r="J1766" s="53">
        <v>0</v>
      </c>
      <c r="K1766" s="53">
        <v>0</v>
      </c>
      <c r="L1766" s="53">
        <v>9.6999999999999993</v>
      </c>
      <c r="M1766" s="53" t="s">
        <v>922</v>
      </c>
      <c r="N1766" s="53">
        <v>7.4</v>
      </c>
      <c r="O1766" s="51" t="str">
        <f>TEXT(tblWorkPackages[[#This Row],[Request date serial]]-WEEKDAY(tblWorkPackages[[#This Row],[Request date serial]],3),"yyyy-mm-dd")</f>
        <v>2024-12-02</v>
      </c>
      <c r="P1766" s="51">
        <f>ABS(tblWorkPackages[[#This Row],[Actual labor hours]]-tblWorkPackages[[#This Row],[Estimated labor hours]])</f>
        <v>2.3</v>
      </c>
      <c r="Q1766" s="51">
        <f>IF(tblWorkPackages[[#This Row],[Actual labor hours]]&gt;tblWorkPackages[[#This Row],[Estimated labor hours]],1,0)</f>
        <v>0</v>
      </c>
      <c r="R1766" s="51">
        <f>tblWorkPackages[[#This Row],[Actual labor hours]]-tblWorkPackages[[#This Row],[Estimated labor hours]]</f>
        <v>-2.3</v>
      </c>
      <c r="S1766" s="51" t="str">
        <f>IF(tblWorkPackages[[#This Row],[Request date serial]]&lt;ValidationStart,"Train 2024",IF(tblWorkPackages[[#This Row],[Request date serial]]&lt;HoldoutStart,"Validation H1","Holdout H2"))</f>
        <v>Train 2024</v>
      </c>
      <c r="T1766" s="51" t="str">
        <f>IF(tblWorkPackages[[#This Row],[Time split]]="Train 2024","",tblWorkPackages[[#This Row],[Estimated labor hours]]+VLOOKUP(tblWorkPackages[[#This Row],[Task type]],'Forecast validation'!$A$14:$E$25,IF(tblWorkPackages[[#This Row],[Time split]]="Validation H1",4,5),FALSE()))</f>
        <v/>
      </c>
      <c r="U1766" s="51" t="str">
        <f>IF(tblWorkPackages[[#This Row],[Calibrated forecast hours]]="","",ABS(tblWorkPackages[[#This Row],[Actual labor hours]]-tblWorkPackages[[#This Row],[Calibrated forecast hours]]))</f>
        <v/>
      </c>
      <c r="V1766" s="51">
        <f>IF(tblWorkPackages[[#This Row],[Time split]]="Train 2024",tblWorkPackages[[#This Row],[Estimated labor hours]],tblWorkPackages[[#This Row],[Calibrated forecast hours]])</f>
        <v>9.7</v>
      </c>
      <c r="W1766" s="64">
        <f>DATEVALUE(tblWorkPackages[[#This Row],[Request date]])</f>
        <v>45631.0</v>
      </c>
      <c r="X1766" s="64">
        <f>DATEVALUE(tblWorkPackages[[#This Row],[Due date]])</f>
        <v>45644.0</v>
      </c>
      <c r="Y1766" s="64">
        <f>DATEVALUE(tblWorkPackages[[#This Row],[Completion date]])</f>
        <v>45651.0</v>
      </c>
      <c r="Z1766" s="64">
        <f>_xlfn.MINIFS(tblLaborEntries[Work date serial],tblLaborEntries[Work package ID],tblWorkPackages[[#This Row],[Work package ID]])</f>
        <v>45651.0</v>
      </c>
      <c r="AA1766" s="64">
        <f>_xlfn.MAXIFS(tblLaborEntries[Work date serial],tblLaborEntries[Work package ID],tblWorkPackages[[#This Row],[Work package ID]])</f>
        <v>45651.0</v>
      </c>
      <c r="AB1766" s="65">
        <f>IF(tblWorkPackages[[#This Row],[Completion date serial]]&gt;tblWorkPackages[[#This Row],[Due date serial]],1,0)</f>
        <v>1</v>
      </c>
      <c r="AC1766" s="65">
        <f>MAX(0,tblWorkPackages[[#This Row],[Completion date serial]]-tblWorkPackages[[#This Row],[Due date serial]])</f>
        <v>7</v>
      </c>
      <c r="AD1766" s="65">
        <f>tblWorkPackages[[#This Row],[First labor date]]-tblWorkPackages[[#This Row],[Request date serial]]</f>
        <v>20</v>
      </c>
      <c r="AE1766" s="65">
        <f>tblWorkPackages[[#This Row],[Last labor date]]-tblWorkPackages[[#This Row],[First labor date]]</f>
        <v>0</v>
      </c>
      <c r="AF1766" s="65">
        <f>tblWorkPackages[[#This Row],[Completion date serial]]-tblWorkPackages[[#This Row],[Last labor date]]</f>
        <v>0</v>
      </c>
      <c r="AG1766" s="65">
        <f>tblWorkPackages[[#This Row],[Completion date serial]]-tblWorkPackages[[#This Row],[Request date serial]]</f>
        <v>20</v>
      </c>
      <c r="AH1766" s="65">
        <f>IFERROR(INDEX(tblParts[Delay days],MATCH(tblWorkPackages[[#This Row],[Work package ID]],tblParts[Work package ID],0)),0)</f>
        <v>0</v>
      </c>
      <c r="AI1766" s="51" t="str">
        <f>IFERROR(INDEX(tblDisruptions[Event type],MATCH(tblWorkPackages[[#This Row],[Work package ID]],tblDisruptions[Work package ID],0)),"None")</f>
        <v>None</v>
      </c>
      <c r="AJ1766" s="51" t="str">
        <f>TEXT(tblWorkPackages[[#This Row],[Due date serial]],"yyyy-mm")</f>
        <v>2024-12</v>
      </c>
    </row>
    <row r="1767" spans="1:36" ht="15" x14ac:dyDescent="0.25">
      <c r="A1767" s="53" t="s">
        <v>2677</v>
      </c>
      <c r="B1767" s="53" t="s">
        <v>157</v>
      </c>
      <c r="C1767" s="53" t="s">
        <v>1446</v>
      </c>
      <c r="D1767" s="53" t="s">
        <v>1172</v>
      </c>
      <c r="E1767" s="53" t="s">
        <v>160</v>
      </c>
      <c r="F1767" s="53" t="s">
        <v>128</v>
      </c>
      <c r="G1767" s="53" t="s">
        <v>138</v>
      </c>
      <c r="H1767" s="53">
        <v>1</v>
      </c>
      <c r="I1767" s="53" t="s">
        <v>130</v>
      </c>
      <c r="J1767" s="53">
        <v>0</v>
      </c>
      <c r="K1767" s="53">
        <v>0</v>
      </c>
      <c r="L1767" s="53">
        <v>3.1</v>
      </c>
      <c r="M1767" s="53" t="s">
        <v>592</v>
      </c>
      <c r="N1767" s="53">
        <v>2.6</v>
      </c>
      <c r="O1767" s="51" t="str">
        <f>TEXT(tblWorkPackages[[#This Row],[Request date serial]]-WEEKDAY(tblWorkPackages[[#This Row],[Request date serial]],3),"yyyy-mm-dd")</f>
        <v>2025-03-31</v>
      </c>
      <c r="P1767" s="51">
        <f>ABS(tblWorkPackages[[#This Row],[Actual labor hours]]-tblWorkPackages[[#This Row],[Estimated labor hours]])</f>
        <v>0.5</v>
      </c>
      <c r="Q1767" s="51">
        <f>IF(tblWorkPackages[[#This Row],[Actual labor hours]]&gt;tblWorkPackages[[#This Row],[Estimated labor hours]],1,0)</f>
        <v>0</v>
      </c>
      <c r="R1767" s="51">
        <f>tblWorkPackages[[#This Row],[Actual labor hours]]-tblWorkPackages[[#This Row],[Estimated labor hours]]</f>
        <v>-0.5</v>
      </c>
      <c r="S1767" s="51" t="str">
        <f>IF(tblWorkPackages[[#This Row],[Request date serial]]&lt;ValidationStart,"Train 2024",IF(tblWorkPackages[[#This Row],[Request date serial]]&lt;HoldoutStart,"Validation H1","Holdout H2"))</f>
        <v>Validation H1</v>
      </c>
      <c r="T1767" s="51">
        <f>IF(tblWorkPackages[[#This Row],[Time split]]="Train 2024","",tblWorkPackages[[#This Row],[Estimated labor hours]]+VLOOKUP(tblWorkPackages[[#This Row],[Task type]],'Forecast validation'!$A$14:$E$25,IF(tblWorkPackages[[#This Row],[Time split]]="Validation H1",4,5),FALSE()))</f>
        <v>3.54146341463415</v>
      </c>
      <c r="U1767" s="51">
        <f>IF(tblWorkPackages[[#This Row],[Calibrated forecast hours]]="","",ABS(tblWorkPackages[[#This Row],[Actual labor hours]]-tblWorkPackages[[#This Row],[Calibrated forecast hours]]))</f>
        <v>0.941463414634146</v>
      </c>
      <c r="V1767" s="51">
        <f>IF(tblWorkPackages[[#This Row],[Time split]]="Train 2024",tblWorkPackages[[#This Row],[Estimated labor hours]],tblWorkPackages[[#This Row],[Calibrated forecast hours]])</f>
        <v>3.54146341463415</v>
      </c>
      <c r="W1767" s="64">
        <f>DATEVALUE(tblWorkPackages[[#This Row],[Request date]])</f>
        <v>45751.0</v>
      </c>
      <c r="X1767" s="64">
        <f>DATEVALUE(tblWorkPackages[[#This Row],[Due date]])</f>
        <v>45764.0</v>
      </c>
      <c r="Y1767" s="64">
        <f>DATEVALUE(tblWorkPackages[[#This Row],[Completion date]])</f>
        <v>45757.0</v>
      </c>
      <c r="Z1767" s="64">
        <f>_xlfn.MINIFS(tblLaborEntries[Work date serial],tblLaborEntries[Work package ID],tblWorkPackages[[#This Row],[Work package ID]])</f>
        <v>45755.0</v>
      </c>
      <c r="AA1767" s="64">
        <f>_xlfn.MAXIFS(tblLaborEntries[Work date serial],tblLaborEntries[Work package ID],tblWorkPackages[[#This Row],[Work package ID]])</f>
        <v>45756.0</v>
      </c>
      <c r="AB1767" s="65">
        <f>IF(tblWorkPackages[[#This Row],[Completion date serial]]&gt;tblWorkPackages[[#This Row],[Due date serial]],1,0)</f>
        <v>0</v>
      </c>
      <c r="AC1767" s="65">
        <f>MAX(0,tblWorkPackages[[#This Row],[Completion date serial]]-tblWorkPackages[[#This Row],[Due date serial]])</f>
        <v>0</v>
      </c>
      <c r="AD1767" s="65">
        <f>tblWorkPackages[[#This Row],[First labor date]]-tblWorkPackages[[#This Row],[Request date serial]]</f>
        <v>4</v>
      </c>
      <c r="AE1767" s="65">
        <f>tblWorkPackages[[#This Row],[Last labor date]]-tblWorkPackages[[#This Row],[First labor date]]</f>
        <v>1</v>
      </c>
      <c r="AF1767" s="65">
        <f>tblWorkPackages[[#This Row],[Completion date serial]]-tblWorkPackages[[#This Row],[Last labor date]]</f>
        <v>1</v>
      </c>
      <c r="AG1767" s="65">
        <f>tblWorkPackages[[#This Row],[Completion date serial]]-tblWorkPackages[[#This Row],[Request date serial]]</f>
        <v>6</v>
      </c>
      <c r="AH1767" s="65">
        <f>IFERROR(INDEX(tblParts[Delay days],MATCH(tblWorkPackages[[#This Row],[Work package ID]],tblParts[Work package ID],0)),0)</f>
        <v>0</v>
      </c>
      <c r="AI1767" s="51" t="str">
        <f>IFERROR(INDEX(tblDisruptions[Event type],MATCH(tblWorkPackages[[#This Row],[Work package ID]],tblDisruptions[Work package ID],0)),"None")</f>
        <v>None</v>
      </c>
      <c r="AJ1767" s="51" t="str">
        <f>TEXT(tblWorkPackages[[#This Row],[Due date serial]],"yyyy-mm")</f>
        <v>2025-04</v>
      </c>
    </row>
    <row r="1768" spans="1:36" ht="15" x14ac:dyDescent="0.25">
      <c r="A1768" s="53" t="s">
        <v>2678</v>
      </c>
      <c r="B1768" s="53" t="s">
        <v>163</v>
      </c>
      <c r="C1768" s="53" t="s">
        <v>609</v>
      </c>
      <c r="D1768" s="53" t="s">
        <v>300</v>
      </c>
      <c r="E1768" s="53" t="s">
        <v>237</v>
      </c>
      <c r="F1768" s="53" t="s">
        <v>182</v>
      </c>
      <c r="G1768" s="53" t="s">
        <v>138</v>
      </c>
      <c r="H1768" s="53">
        <v>2</v>
      </c>
      <c r="I1768" s="53" t="s">
        <v>130</v>
      </c>
      <c r="J1768" s="53">
        <v>0</v>
      </c>
      <c r="K1768" s="53">
        <v>1</v>
      </c>
      <c r="L1768" s="53">
        <v>5.6</v>
      </c>
      <c r="M1768" s="53" t="s">
        <v>691</v>
      </c>
      <c r="N1768" s="53">
        <v>5.6</v>
      </c>
      <c r="O1768" s="51" t="str">
        <f>TEXT(tblWorkPackages[[#This Row],[Request date serial]]-WEEKDAY(tblWorkPackages[[#This Row],[Request date serial]],3),"yyyy-mm-dd")</f>
        <v>2024-04-01</v>
      </c>
      <c r="P1768" s="51">
        <f>ABS(tblWorkPackages[[#This Row],[Actual labor hours]]-tblWorkPackages[[#This Row],[Estimated labor hours]])</f>
        <v>0</v>
      </c>
      <c r="Q1768" s="51">
        <f>IF(tblWorkPackages[[#This Row],[Actual labor hours]]&gt;tblWorkPackages[[#This Row],[Estimated labor hours]],1,0)</f>
        <v>0</v>
      </c>
      <c r="R1768" s="51">
        <f>tblWorkPackages[[#This Row],[Actual labor hours]]-tblWorkPackages[[#This Row],[Estimated labor hours]]</f>
        <v>0</v>
      </c>
      <c r="S1768" s="51" t="str">
        <f>IF(tblWorkPackages[[#This Row],[Request date serial]]&lt;ValidationStart,"Train 2024",IF(tblWorkPackages[[#This Row],[Request date serial]]&lt;HoldoutStart,"Validation H1","Holdout H2"))</f>
        <v>Train 2024</v>
      </c>
      <c r="T1768" s="51" t="str">
        <f>IF(tblWorkPackages[[#This Row],[Time split]]="Train 2024","",tblWorkPackages[[#This Row],[Estimated labor hours]]+VLOOKUP(tblWorkPackages[[#This Row],[Task type]],'Forecast validation'!$A$14:$E$25,IF(tblWorkPackages[[#This Row],[Time split]]="Validation H1",4,5),FALSE()))</f>
        <v/>
      </c>
      <c r="U1768" s="51" t="str">
        <f>IF(tblWorkPackages[[#This Row],[Calibrated forecast hours]]="","",ABS(tblWorkPackages[[#This Row],[Actual labor hours]]-tblWorkPackages[[#This Row],[Calibrated forecast hours]]))</f>
        <v/>
      </c>
      <c r="V1768" s="51">
        <f>IF(tblWorkPackages[[#This Row],[Time split]]="Train 2024",tblWorkPackages[[#This Row],[Estimated labor hours]],tblWorkPackages[[#This Row],[Calibrated forecast hours]])</f>
        <v>5.6</v>
      </c>
      <c r="W1768" s="64">
        <f>DATEVALUE(tblWorkPackages[[#This Row],[Request date]])</f>
        <v>45384.0</v>
      </c>
      <c r="X1768" s="64">
        <f>DATEVALUE(tblWorkPackages[[#This Row],[Due date]])</f>
        <v>45397.0</v>
      </c>
      <c r="Y1768" s="64">
        <f>DATEVALUE(tblWorkPackages[[#This Row],[Completion date]])</f>
        <v>45389.0</v>
      </c>
      <c r="Z1768" s="64">
        <f>_xlfn.MINIFS(tblLaborEntries[Work date serial],tblLaborEntries[Work package ID],tblWorkPackages[[#This Row],[Work package ID]])</f>
        <v>45385.0</v>
      </c>
      <c r="AA1768" s="64">
        <f>_xlfn.MAXIFS(tblLaborEntries[Work date serial],tblLaborEntries[Work package ID],tblWorkPackages[[#This Row],[Work package ID]])</f>
        <v>45387.0</v>
      </c>
      <c r="AB1768" s="65">
        <f>IF(tblWorkPackages[[#This Row],[Completion date serial]]&gt;tblWorkPackages[[#This Row],[Due date serial]],1,0)</f>
        <v>0</v>
      </c>
      <c r="AC1768" s="65">
        <f>MAX(0,tblWorkPackages[[#This Row],[Completion date serial]]-tblWorkPackages[[#This Row],[Due date serial]])</f>
        <v>0</v>
      </c>
      <c r="AD1768" s="65">
        <f>tblWorkPackages[[#This Row],[First labor date]]-tblWorkPackages[[#This Row],[Request date serial]]</f>
        <v>1</v>
      </c>
      <c r="AE1768" s="65">
        <f>tblWorkPackages[[#This Row],[Last labor date]]-tblWorkPackages[[#This Row],[First labor date]]</f>
        <v>2</v>
      </c>
      <c r="AF1768" s="65">
        <f>tblWorkPackages[[#This Row],[Completion date serial]]-tblWorkPackages[[#This Row],[Last labor date]]</f>
        <v>2</v>
      </c>
      <c r="AG1768" s="65">
        <f>tblWorkPackages[[#This Row],[Completion date serial]]-tblWorkPackages[[#This Row],[Request date serial]]</f>
        <v>5</v>
      </c>
      <c r="AH1768" s="65">
        <f>IFERROR(INDEX(tblParts[Delay days],MATCH(tblWorkPackages[[#This Row],[Work package ID]],tblParts[Work package ID],0)),0)</f>
        <v>0</v>
      </c>
      <c r="AI1768" s="51" t="str">
        <f>IFERROR(INDEX(tblDisruptions[Event type],MATCH(tblWorkPackages[[#This Row],[Work package ID]],tblDisruptions[Work package ID],0)),"None")</f>
        <v>None</v>
      </c>
      <c r="AJ1768" s="51" t="str">
        <f>TEXT(tblWorkPackages[[#This Row],[Due date serial]],"yyyy-mm")</f>
        <v>2024-04</v>
      </c>
    </row>
    <row r="1769" spans="1:36" ht="15" x14ac:dyDescent="0.25">
      <c r="A1769" s="53" t="s">
        <v>2679</v>
      </c>
      <c r="B1769" s="53" t="s">
        <v>250</v>
      </c>
      <c r="C1769" s="53" t="s">
        <v>450</v>
      </c>
      <c r="D1769" s="53" t="s">
        <v>1205</v>
      </c>
      <c r="E1769" s="53" t="s">
        <v>237</v>
      </c>
      <c r="F1769" s="53" t="s">
        <v>182</v>
      </c>
      <c r="G1769" s="53" t="s">
        <v>138</v>
      </c>
      <c r="H1769" s="53">
        <v>2</v>
      </c>
      <c r="I1769" s="53" t="s">
        <v>130</v>
      </c>
      <c r="J1769" s="53">
        <v>0</v>
      </c>
      <c r="K1769" s="53">
        <v>0</v>
      </c>
      <c r="L1769" s="53">
        <v>5.2</v>
      </c>
      <c r="M1769" s="53" t="s">
        <v>1204</v>
      </c>
      <c r="N1769" s="53">
        <v>4.0999999999999996</v>
      </c>
      <c r="O1769" s="51" t="str">
        <f>TEXT(tblWorkPackages[[#This Row],[Request date serial]]-WEEKDAY(tblWorkPackages[[#This Row],[Request date serial]],3),"yyyy-mm-dd")</f>
        <v>2024-07-08</v>
      </c>
      <c r="P1769" s="51">
        <f>ABS(tblWorkPackages[[#This Row],[Actual labor hours]]-tblWorkPackages[[#This Row],[Estimated labor hours]])</f>
        <v>1.1</v>
      </c>
      <c r="Q1769" s="51">
        <f>IF(tblWorkPackages[[#This Row],[Actual labor hours]]&gt;tblWorkPackages[[#This Row],[Estimated labor hours]],1,0)</f>
        <v>0</v>
      </c>
      <c r="R1769" s="51">
        <f>tblWorkPackages[[#This Row],[Actual labor hours]]-tblWorkPackages[[#This Row],[Estimated labor hours]]</f>
        <v>-1.1</v>
      </c>
      <c r="S1769" s="51" t="str">
        <f>IF(tblWorkPackages[[#This Row],[Request date serial]]&lt;ValidationStart,"Train 2024",IF(tblWorkPackages[[#This Row],[Request date serial]]&lt;HoldoutStart,"Validation H1","Holdout H2"))</f>
        <v>Train 2024</v>
      </c>
      <c r="T1769" s="51" t="str">
        <f>IF(tblWorkPackages[[#This Row],[Time split]]="Train 2024","",tblWorkPackages[[#This Row],[Estimated labor hours]]+VLOOKUP(tblWorkPackages[[#This Row],[Task type]],'Forecast validation'!$A$14:$E$25,IF(tblWorkPackages[[#This Row],[Time split]]="Validation H1",4,5),FALSE()))</f>
        <v/>
      </c>
      <c r="U1769" s="51" t="str">
        <f>IF(tblWorkPackages[[#This Row],[Calibrated forecast hours]]="","",ABS(tblWorkPackages[[#This Row],[Actual labor hours]]-tblWorkPackages[[#This Row],[Calibrated forecast hours]]))</f>
        <v/>
      </c>
      <c r="V1769" s="51">
        <f>IF(tblWorkPackages[[#This Row],[Time split]]="Train 2024",tblWorkPackages[[#This Row],[Estimated labor hours]],tblWorkPackages[[#This Row],[Calibrated forecast hours]])</f>
        <v>5.2</v>
      </c>
      <c r="W1769" s="64">
        <f>DATEVALUE(tblWorkPackages[[#This Row],[Request date]])</f>
        <v>45487.0</v>
      </c>
      <c r="X1769" s="64">
        <f>DATEVALUE(tblWorkPackages[[#This Row],[Due date]])</f>
        <v>45500.0</v>
      </c>
      <c r="Y1769" s="64">
        <f>DATEVALUE(tblWorkPackages[[#This Row],[Completion date]])</f>
        <v>45503.0</v>
      </c>
      <c r="Z1769" s="64">
        <f>_xlfn.MINIFS(tblLaborEntries[Work date serial],tblLaborEntries[Work package ID],tblWorkPackages[[#This Row],[Work package ID]])</f>
        <v>45498.0</v>
      </c>
      <c r="AA1769" s="64">
        <f>_xlfn.MAXIFS(tblLaborEntries[Work date serial],tblLaborEntries[Work package ID],tblWorkPackages[[#This Row],[Work package ID]])</f>
        <v>45500.0</v>
      </c>
      <c r="AB1769" s="65">
        <f>IF(tblWorkPackages[[#This Row],[Completion date serial]]&gt;tblWorkPackages[[#This Row],[Due date serial]],1,0)</f>
        <v>1</v>
      </c>
      <c r="AC1769" s="65">
        <f>MAX(0,tblWorkPackages[[#This Row],[Completion date serial]]-tblWorkPackages[[#This Row],[Due date serial]])</f>
        <v>3</v>
      </c>
      <c r="AD1769" s="65">
        <f>tblWorkPackages[[#This Row],[First labor date]]-tblWorkPackages[[#This Row],[Request date serial]]</f>
        <v>11</v>
      </c>
      <c r="AE1769" s="65">
        <f>tblWorkPackages[[#This Row],[Last labor date]]-tblWorkPackages[[#This Row],[First labor date]]</f>
        <v>2</v>
      </c>
      <c r="AF1769" s="65">
        <f>tblWorkPackages[[#This Row],[Completion date serial]]-tblWorkPackages[[#This Row],[Last labor date]]</f>
        <v>3</v>
      </c>
      <c r="AG1769" s="65">
        <f>tblWorkPackages[[#This Row],[Completion date serial]]-tblWorkPackages[[#This Row],[Request date serial]]</f>
        <v>16</v>
      </c>
      <c r="AH1769" s="65">
        <f>IFERROR(INDEX(tblParts[Delay days],MATCH(tblWorkPackages[[#This Row],[Work package ID]],tblParts[Work package ID],0)),0)</f>
        <v>0</v>
      </c>
      <c r="AI1769" s="51" t="str">
        <f>IFERROR(INDEX(tblDisruptions[Event type],MATCH(tblWorkPackages[[#This Row],[Work package ID]],tblDisruptions[Work package ID],0)),"None")</f>
        <v>None</v>
      </c>
      <c r="AJ1769" s="51" t="str">
        <f>TEXT(tblWorkPackages[[#This Row],[Due date serial]],"yyyy-mm")</f>
        <v>2024-07</v>
      </c>
    </row>
    <row r="1770" spans="1:36" ht="15" x14ac:dyDescent="0.25">
      <c r="A1770" s="53" t="s">
        <v>2680</v>
      </c>
      <c r="B1770" s="53" t="s">
        <v>168</v>
      </c>
      <c r="C1770" s="53" t="s">
        <v>880</v>
      </c>
      <c r="D1770" s="53" t="s">
        <v>690</v>
      </c>
      <c r="E1770" s="53" t="s">
        <v>127</v>
      </c>
      <c r="F1770" s="53" t="s">
        <v>128</v>
      </c>
      <c r="G1770" s="53" t="s">
        <v>129</v>
      </c>
      <c r="H1770" s="53">
        <v>4</v>
      </c>
      <c r="I1770" s="53" t="s">
        <v>176</v>
      </c>
      <c r="J1770" s="53">
        <v>0</v>
      </c>
      <c r="K1770" s="53">
        <v>0</v>
      </c>
      <c r="L1770" s="53">
        <v>15</v>
      </c>
      <c r="M1770" s="53" t="s">
        <v>300</v>
      </c>
      <c r="N1770" s="53">
        <v>11.9</v>
      </c>
      <c r="O1770" s="51" t="str">
        <f>TEXT(tblWorkPackages[[#This Row],[Request date serial]]-WEEKDAY(tblWorkPackages[[#This Row],[Request date serial]],3),"yyyy-mm-dd")</f>
        <v>2024-04-08</v>
      </c>
      <c r="P1770" s="51">
        <f>ABS(tblWorkPackages[[#This Row],[Actual labor hours]]-tblWorkPackages[[#This Row],[Estimated labor hours]])</f>
        <v>3.1</v>
      </c>
      <c r="Q1770" s="51">
        <f>IF(tblWorkPackages[[#This Row],[Actual labor hours]]&gt;tblWorkPackages[[#This Row],[Estimated labor hours]],1,0)</f>
        <v>0</v>
      </c>
      <c r="R1770" s="51">
        <f>tblWorkPackages[[#This Row],[Actual labor hours]]-tblWorkPackages[[#This Row],[Estimated labor hours]]</f>
        <v>-3.1</v>
      </c>
      <c r="S1770" s="51" t="str">
        <f>IF(tblWorkPackages[[#This Row],[Request date serial]]&lt;ValidationStart,"Train 2024",IF(tblWorkPackages[[#This Row],[Request date serial]]&lt;HoldoutStart,"Validation H1","Holdout H2"))</f>
        <v>Train 2024</v>
      </c>
      <c r="T1770" s="51" t="str">
        <f>IF(tblWorkPackages[[#This Row],[Time split]]="Train 2024","",tblWorkPackages[[#This Row],[Estimated labor hours]]+VLOOKUP(tblWorkPackages[[#This Row],[Task type]],'Forecast validation'!$A$14:$E$25,IF(tblWorkPackages[[#This Row],[Time split]]="Validation H1",4,5),FALSE()))</f>
        <v/>
      </c>
      <c r="U1770" s="51" t="str">
        <f>IF(tblWorkPackages[[#This Row],[Calibrated forecast hours]]="","",ABS(tblWorkPackages[[#This Row],[Actual labor hours]]-tblWorkPackages[[#This Row],[Calibrated forecast hours]]))</f>
        <v/>
      </c>
      <c r="V1770" s="51">
        <f>IF(tblWorkPackages[[#This Row],[Time split]]="Train 2024",tblWorkPackages[[#This Row],[Estimated labor hours]],tblWorkPackages[[#This Row],[Calibrated forecast hours]])</f>
        <v>15</v>
      </c>
      <c r="W1770" s="64">
        <f>DATEVALUE(tblWorkPackages[[#This Row],[Request date]])</f>
        <v>45392.0</v>
      </c>
      <c r="X1770" s="64">
        <f>DATEVALUE(tblWorkPackages[[#This Row],[Due date]])</f>
        <v>45398.0</v>
      </c>
      <c r="Y1770" s="64">
        <f>DATEVALUE(tblWorkPackages[[#This Row],[Completion date]])</f>
        <v>45397.0</v>
      </c>
      <c r="Z1770" s="64">
        <f>_xlfn.MINIFS(tblLaborEntries[Work date serial],tblLaborEntries[Work package ID],tblWorkPackages[[#This Row],[Work package ID]])</f>
        <v>45395.0</v>
      </c>
      <c r="AA1770" s="64">
        <f>_xlfn.MAXIFS(tblLaborEntries[Work date serial],tblLaborEntries[Work package ID],tblWorkPackages[[#This Row],[Work package ID]])</f>
        <v>45397.0</v>
      </c>
      <c r="AB1770" s="65">
        <f>IF(tblWorkPackages[[#This Row],[Completion date serial]]&gt;tblWorkPackages[[#This Row],[Due date serial]],1,0)</f>
        <v>0</v>
      </c>
      <c r="AC1770" s="65">
        <f>MAX(0,tblWorkPackages[[#This Row],[Completion date serial]]-tblWorkPackages[[#This Row],[Due date serial]])</f>
        <v>0</v>
      </c>
      <c r="AD1770" s="65">
        <f>tblWorkPackages[[#This Row],[First labor date]]-tblWorkPackages[[#This Row],[Request date serial]]</f>
        <v>3</v>
      </c>
      <c r="AE1770" s="65">
        <f>tblWorkPackages[[#This Row],[Last labor date]]-tblWorkPackages[[#This Row],[First labor date]]</f>
        <v>2</v>
      </c>
      <c r="AF1770" s="65">
        <f>tblWorkPackages[[#This Row],[Completion date serial]]-tblWorkPackages[[#This Row],[Last labor date]]</f>
        <v>0</v>
      </c>
      <c r="AG1770" s="65">
        <f>tblWorkPackages[[#This Row],[Completion date serial]]-tblWorkPackages[[#This Row],[Request date serial]]</f>
        <v>5</v>
      </c>
      <c r="AH1770" s="65">
        <f>IFERROR(INDEX(tblParts[Delay days],MATCH(tblWorkPackages[[#This Row],[Work package ID]],tblParts[Work package ID],0)),0)</f>
        <v>0</v>
      </c>
      <c r="AI1770" s="51" t="str">
        <f>IFERROR(INDEX(tblDisruptions[Event type],MATCH(tblWorkPackages[[#This Row],[Work package ID]],tblDisruptions[Work package ID],0)),"None")</f>
        <v>None</v>
      </c>
      <c r="AJ1770" s="51" t="str">
        <f>TEXT(tblWorkPackages[[#This Row],[Due date serial]],"yyyy-mm")</f>
        <v>2024-04</v>
      </c>
    </row>
    <row r="1771" spans="1:36" ht="15" x14ac:dyDescent="0.25">
      <c r="A1771" s="53" t="s">
        <v>2681</v>
      </c>
      <c r="B1771" s="53" t="s">
        <v>250</v>
      </c>
      <c r="C1771" s="53" t="s">
        <v>317</v>
      </c>
      <c r="D1771" s="53" t="s">
        <v>470</v>
      </c>
      <c r="E1771" s="53" t="s">
        <v>160</v>
      </c>
      <c r="F1771" s="53" t="s">
        <v>128</v>
      </c>
      <c r="G1771" s="53" t="s">
        <v>138</v>
      </c>
      <c r="H1771" s="53">
        <v>2</v>
      </c>
      <c r="I1771" s="53" t="s">
        <v>176</v>
      </c>
      <c r="J1771" s="53">
        <v>0</v>
      </c>
      <c r="K1771" s="53">
        <v>0</v>
      </c>
      <c r="L1771" s="53">
        <v>5.0999999999999996</v>
      </c>
      <c r="M1771" s="53" t="s">
        <v>821</v>
      </c>
      <c r="N1771" s="53">
        <v>4.5999999999999996</v>
      </c>
      <c r="O1771" s="51" t="str">
        <f>TEXT(tblWorkPackages[[#This Row],[Request date serial]]-WEEKDAY(tblWorkPackages[[#This Row],[Request date serial]],3),"yyyy-mm-dd")</f>
        <v>2024-04-08</v>
      </c>
      <c r="P1771" s="51">
        <f>ABS(tblWorkPackages[[#This Row],[Actual labor hours]]-tblWorkPackages[[#This Row],[Estimated labor hours]])</f>
        <v>0.5</v>
      </c>
      <c r="Q1771" s="51">
        <f>IF(tblWorkPackages[[#This Row],[Actual labor hours]]&gt;tblWorkPackages[[#This Row],[Estimated labor hours]],1,0)</f>
        <v>0</v>
      </c>
      <c r="R1771" s="51">
        <f>tblWorkPackages[[#This Row],[Actual labor hours]]-tblWorkPackages[[#This Row],[Estimated labor hours]]</f>
        <v>-0.5</v>
      </c>
      <c r="S1771" s="51" t="str">
        <f>IF(tblWorkPackages[[#This Row],[Request date serial]]&lt;ValidationStart,"Train 2024",IF(tblWorkPackages[[#This Row],[Request date serial]]&lt;HoldoutStart,"Validation H1","Holdout H2"))</f>
        <v>Train 2024</v>
      </c>
      <c r="T1771" s="51" t="str">
        <f>IF(tblWorkPackages[[#This Row],[Time split]]="Train 2024","",tblWorkPackages[[#This Row],[Estimated labor hours]]+VLOOKUP(tblWorkPackages[[#This Row],[Task type]],'Forecast validation'!$A$14:$E$25,IF(tblWorkPackages[[#This Row],[Time split]]="Validation H1",4,5),FALSE()))</f>
        <v/>
      </c>
      <c r="U1771" s="51" t="str">
        <f>IF(tblWorkPackages[[#This Row],[Calibrated forecast hours]]="","",ABS(tblWorkPackages[[#This Row],[Actual labor hours]]-tblWorkPackages[[#This Row],[Calibrated forecast hours]]))</f>
        <v/>
      </c>
      <c r="V1771" s="51">
        <f>IF(tblWorkPackages[[#This Row],[Time split]]="Train 2024",tblWorkPackages[[#This Row],[Estimated labor hours]],tblWorkPackages[[#This Row],[Calibrated forecast hours]])</f>
        <v>5.1</v>
      </c>
      <c r="W1771" s="64">
        <f>DATEVALUE(tblWorkPackages[[#This Row],[Request date]])</f>
        <v>45394.0</v>
      </c>
      <c r="X1771" s="64">
        <f>DATEVALUE(tblWorkPackages[[#This Row],[Due date]])</f>
        <v>45400.0</v>
      </c>
      <c r="Y1771" s="64">
        <f>DATEVALUE(tblWorkPackages[[#This Row],[Completion date]])</f>
        <v>45428.0</v>
      </c>
      <c r="Z1771" s="64">
        <f>_xlfn.MINIFS(tblLaborEntries[Work date serial],tblLaborEntries[Work package ID],tblWorkPackages[[#This Row],[Work package ID]])</f>
        <v>45426.0</v>
      </c>
      <c r="AA1771" s="64">
        <f>_xlfn.MAXIFS(tblLaborEntries[Work date serial],tblLaborEntries[Work package ID],tblWorkPackages[[#This Row],[Work package ID]])</f>
        <v>45427.0</v>
      </c>
      <c r="AB1771" s="65">
        <f>IF(tblWorkPackages[[#This Row],[Completion date serial]]&gt;tblWorkPackages[[#This Row],[Due date serial]],1,0)</f>
        <v>1</v>
      </c>
      <c r="AC1771" s="65">
        <f>MAX(0,tblWorkPackages[[#This Row],[Completion date serial]]-tblWorkPackages[[#This Row],[Due date serial]])</f>
        <v>28</v>
      </c>
      <c r="AD1771" s="65">
        <f>tblWorkPackages[[#This Row],[First labor date]]-tblWorkPackages[[#This Row],[Request date serial]]</f>
        <v>32</v>
      </c>
      <c r="AE1771" s="65">
        <f>tblWorkPackages[[#This Row],[Last labor date]]-tblWorkPackages[[#This Row],[First labor date]]</f>
        <v>1</v>
      </c>
      <c r="AF1771" s="65">
        <f>tblWorkPackages[[#This Row],[Completion date serial]]-tblWorkPackages[[#This Row],[Last labor date]]</f>
        <v>1</v>
      </c>
      <c r="AG1771" s="65">
        <f>tblWorkPackages[[#This Row],[Completion date serial]]-tblWorkPackages[[#This Row],[Request date serial]]</f>
        <v>34</v>
      </c>
      <c r="AH1771" s="65">
        <f>IFERROR(INDEX(tblParts[Delay days],MATCH(tblWorkPackages[[#This Row],[Work package ID]],tblParts[Work package ID],0)),0)</f>
        <v>0</v>
      </c>
      <c r="AI1771" s="51" t="str">
        <f>IFERROR(INDEX(tblDisruptions[Event type],MATCH(tblWorkPackages[[#This Row],[Work package ID]],tblDisruptions[Work package ID],0)),"None")</f>
        <v>None</v>
      </c>
      <c r="AJ1771" s="51" t="str">
        <f>TEXT(tblWorkPackages[[#This Row],[Due date serial]],"yyyy-mm")</f>
        <v>2024-04</v>
      </c>
    </row>
    <row r="1772" spans="1:36" ht="15" x14ac:dyDescent="0.25">
      <c r="A1772" s="53" t="s">
        <v>2682</v>
      </c>
      <c r="B1772" s="53" t="s">
        <v>173</v>
      </c>
      <c r="C1772" s="53" t="s">
        <v>1735</v>
      </c>
      <c r="D1772" s="53" t="s">
        <v>433</v>
      </c>
      <c r="E1772" s="53" t="s">
        <v>181</v>
      </c>
      <c r="F1772" s="53" t="s">
        <v>182</v>
      </c>
      <c r="G1772" s="53" t="s">
        <v>138</v>
      </c>
      <c r="H1772" s="53">
        <v>2</v>
      </c>
      <c r="I1772" s="53" t="s">
        <v>130</v>
      </c>
      <c r="J1772" s="53">
        <v>0</v>
      </c>
      <c r="K1772" s="53">
        <v>1</v>
      </c>
      <c r="L1772" s="53">
        <v>6.8</v>
      </c>
      <c r="M1772" s="53" t="s">
        <v>392</v>
      </c>
      <c r="N1772" s="53">
        <v>6.5</v>
      </c>
      <c r="O1772" s="51" t="str">
        <f>TEXT(tblWorkPackages[[#This Row],[Request date serial]]-WEEKDAY(tblWorkPackages[[#This Row],[Request date serial]],3),"yyyy-mm-dd")</f>
        <v>2024-08-19</v>
      </c>
      <c r="P1772" s="51">
        <f>ABS(tblWorkPackages[[#This Row],[Actual labor hours]]-tblWorkPackages[[#This Row],[Estimated labor hours]])</f>
        <v>0.3</v>
      </c>
      <c r="Q1772" s="51">
        <f>IF(tblWorkPackages[[#This Row],[Actual labor hours]]&gt;tblWorkPackages[[#This Row],[Estimated labor hours]],1,0)</f>
        <v>0</v>
      </c>
      <c r="R1772" s="51">
        <f>tblWorkPackages[[#This Row],[Actual labor hours]]-tblWorkPackages[[#This Row],[Estimated labor hours]]</f>
        <v>-0.3</v>
      </c>
      <c r="S1772" s="51" t="str">
        <f>IF(tblWorkPackages[[#This Row],[Request date serial]]&lt;ValidationStart,"Train 2024",IF(tblWorkPackages[[#This Row],[Request date serial]]&lt;HoldoutStart,"Validation H1","Holdout H2"))</f>
        <v>Train 2024</v>
      </c>
      <c r="T1772" s="51" t="str">
        <f>IF(tblWorkPackages[[#This Row],[Time split]]="Train 2024","",tblWorkPackages[[#This Row],[Estimated labor hours]]+VLOOKUP(tblWorkPackages[[#This Row],[Task type]],'Forecast validation'!$A$14:$E$25,IF(tblWorkPackages[[#This Row],[Time split]]="Validation H1",4,5),FALSE()))</f>
        <v/>
      </c>
      <c r="U1772" s="51" t="str">
        <f>IF(tblWorkPackages[[#This Row],[Calibrated forecast hours]]="","",ABS(tblWorkPackages[[#This Row],[Actual labor hours]]-tblWorkPackages[[#This Row],[Calibrated forecast hours]]))</f>
        <v/>
      </c>
      <c r="V1772" s="51">
        <f>IF(tblWorkPackages[[#This Row],[Time split]]="Train 2024",tblWorkPackages[[#This Row],[Estimated labor hours]],tblWorkPackages[[#This Row],[Calibrated forecast hours]])</f>
        <v>6.8</v>
      </c>
      <c r="W1772" s="64">
        <f>DATEVALUE(tblWorkPackages[[#This Row],[Request date]])</f>
        <v>45526.0</v>
      </c>
      <c r="X1772" s="64">
        <f>DATEVALUE(tblWorkPackages[[#This Row],[Due date]])</f>
        <v>45539.0</v>
      </c>
      <c r="Y1772" s="64">
        <f>DATEVALUE(tblWorkPackages[[#This Row],[Completion date]])</f>
        <v>45534.0</v>
      </c>
      <c r="Z1772" s="64">
        <f>_xlfn.MINIFS(tblLaborEntries[Work date serial],tblLaborEntries[Work package ID],tblWorkPackages[[#This Row],[Work package ID]])</f>
        <v>45532.0</v>
      </c>
      <c r="AA1772" s="64">
        <f>_xlfn.MAXIFS(tblLaborEntries[Work date serial],tblLaborEntries[Work package ID],tblWorkPackages[[#This Row],[Work package ID]])</f>
        <v>45532.0</v>
      </c>
      <c r="AB1772" s="65">
        <f>IF(tblWorkPackages[[#This Row],[Completion date serial]]&gt;tblWorkPackages[[#This Row],[Due date serial]],1,0)</f>
        <v>0</v>
      </c>
      <c r="AC1772" s="65">
        <f>MAX(0,tblWorkPackages[[#This Row],[Completion date serial]]-tblWorkPackages[[#This Row],[Due date serial]])</f>
        <v>0</v>
      </c>
      <c r="AD1772" s="65">
        <f>tblWorkPackages[[#This Row],[First labor date]]-tblWorkPackages[[#This Row],[Request date serial]]</f>
        <v>6</v>
      </c>
      <c r="AE1772" s="65">
        <f>tblWorkPackages[[#This Row],[Last labor date]]-tblWorkPackages[[#This Row],[First labor date]]</f>
        <v>0</v>
      </c>
      <c r="AF1772" s="65">
        <f>tblWorkPackages[[#This Row],[Completion date serial]]-tblWorkPackages[[#This Row],[Last labor date]]</f>
        <v>2</v>
      </c>
      <c r="AG1772" s="65">
        <f>tblWorkPackages[[#This Row],[Completion date serial]]-tblWorkPackages[[#This Row],[Request date serial]]</f>
        <v>8</v>
      </c>
      <c r="AH1772" s="65">
        <f>IFERROR(INDEX(tblParts[Delay days],MATCH(tblWorkPackages[[#This Row],[Work package ID]],tblParts[Work package ID],0)),0)</f>
        <v>0</v>
      </c>
      <c r="AI1772" s="51" t="str">
        <f>IFERROR(INDEX(tblDisruptions[Event type],MATCH(tblWorkPackages[[#This Row],[Work package ID]],tblDisruptions[Work package ID],0)),"None")</f>
        <v>None</v>
      </c>
      <c r="AJ1772" s="51" t="str">
        <f>TEXT(tblWorkPackages[[#This Row],[Due date serial]],"yyyy-mm")</f>
        <v>2024-09</v>
      </c>
    </row>
    <row r="1773" spans="1:36" ht="15" x14ac:dyDescent="0.25">
      <c r="A1773" s="53" t="s">
        <v>2683</v>
      </c>
      <c r="B1773" s="53" t="s">
        <v>168</v>
      </c>
      <c r="C1773" s="53" t="s">
        <v>540</v>
      </c>
      <c r="D1773" s="53" t="s">
        <v>1546</v>
      </c>
      <c r="E1773" s="53" t="s">
        <v>200</v>
      </c>
      <c r="F1773" s="53" t="s">
        <v>128</v>
      </c>
      <c r="G1773" s="53" t="s">
        <v>129</v>
      </c>
      <c r="H1773" s="53">
        <v>2</v>
      </c>
      <c r="I1773" s="53" t="s">
        <v>130</v>
      </c>
      <c r="J1773" s="53">
        <v>0</v>
      </c>
      <c r="K1773" s="53">
        <v>0</v>
      </c>
      <c r="L1773" s="53">
        <v>2.8</v>
      </c>
      <c r="M1773" s="53" t="s">
        <v>294</v>
      </c>
      <c r="N1773" s="53">
        <v>2.2999999999999998</v>
      </c>
      <c r="O1773" s="51" t="str">
        <f>TEXT(tblWorkPackages[[#This Row],[Request date serial]]-WEEKDAY(tblWorkPackages[[#This Row],[Request date serial]],3),"yyyy-mm-dd")</f>
        <v>2024-09-02</v>
      </c>
      <c r="P1773" s="51">
        <f>ABS(tblWorkPackages[[#This Row],[Actual labor hours]]-tblWorkPackages[[#This Row],[Estimated labor hours]])</f>
        <v>0.5</v>
      </c>
      <c r="Q1773" s="51">
        <f>IF(tblWorkPackages[[#This Row],[Actual labor hours]]&gt;tblWorkPackages[[#This Row],[Estimated labor hours]],1,0)</f>
        <v>0</v>
      </c>
      <c r="R1773" s="51">
        <f>tblWorkPackages[[#This Row],[Actual labor hours]]-tblWorkPackages[[#This Row],[Estimated labor hours]]</f>
        <v>-0.5</v>
      </c>
      <c r="S1773" s="51" t="str">
        <f>IF(tblWorkPackages[[#This Row],[Request date serial]]&lt;ValidationStart,"Train 2024",IF(tblWorkPackages[[#This Row],[Request date serial]]&lt;HoldoutStart,"Validation H1","Holdout H2"))</f>
        <v>Train 2024</v>
      </c>
      <c r="T1773" s="51" t="str">
        <f>IF(tblWorkPackages[[#This Row],[Time split]]="Train 2024","",tblWorkPackages[[#This Row],[Estimated labor hours]]+VLOOKUP(tblWorkPackages[[#This Row],[Task type]],'Forecast validation'!$A$14:$E$25,IF(tblWorkPackages[[#This Row],[Time split]]="Validation H1",4,5),FALSE()))</f>
        <v/>
      </c>
      <c r="U1773" s="51" t="str">
        <f>IF(tblWorkPackages[[#This Row],[Calibrated forecast hours]]="","",ABS(tblWorkPackages[[#This Row],[Actual labor hours]]-tblWorkPackages[[#This Row],[Calibrated forecast hours]]))</f>
        <v/>
      </c>
      <c r="V1773" s="51">
        <f>IF(tblWorkPackages[[#This Row],[Time split]]="Train 2024",tblWorkPackages[[#This Row],[Estimated labor hours]],tblWorkPackages[[#This Row],[Calibrated forecast hours]])</f>
        <v>2.8</v>
      </c>
      <c r="W1773" s="64">
        <f>DATEVALUE(tblWorkPackages[[#This Row],[Request date]])</f>
        <v>45538.0</v>
      </c>
      <c r="X1773" s="64">
        <f>DATEVALUE(tblWorkPackages[[#This Row],[Due date]])</f>
        <v>45551.0</v>
      </c>
      <c r="Y1773" s="64">
        <f>DATEVALUE(tblWorkPackages[[#This Row],[Completion date]])</f>
        <v>45543.0</v>
      </c>
      <c r="Z1773" s="64">
        <f>_xlfn.MINIFS(tblLaborEntries[Work date serial],tblLaborEntries[Work package ID],tblWorkPackages[[#This Row],[Work package ID]])</f>
        <v>45540.0</v>
      </c>
      <c r="AA1773" s="64">
        <f>_xlfn.MAXIFS(tblLaborEntries[Work date serial],tblLaborEntries[Work package ID],tblWorkPackages[[#This Row],[Work package ID]])</f>
        <v>45540.0</v>
      </c>
      <c r="AB1773" s="65">
        <f>IF(tblWorkPackages[[#This Row],[Completion date serial]]&gt;tblWorkPackages[[#This Row],[Due date serial]],1,0)</f>
        <v>0</v>
      </c>
      <c r="AC1773" s="65">
        <f>MAX(0,tblWorkPackages[[#This Row],[Completion date serial]]-tblWorkPackages[[#This Row],[Due date serial]])</f>
        <v>0</v>
      </c>
      <c r="AD1773" s="65">
        <f>tblWorkPackages[[#This Row],[First labor date]]-tblWorkPackages[[#This Row],[Request date serial]]</f>
        <v>2</v>
      </c>
      <c r="AE1773" s="65">
        <f>tblWorkPackages[[#This Row],[Last labor date]]-tblWorkPackages[[#This Row],[First labor date]]</f>
        <v>0</v>
      </c>
      <c r="AF1773" s="65">
        <f>tblWorkPackages[[#This Row],[Completion date serial]]-tblWorkPackages[[#This Row],[Last labor date]]</f>
        <v>3</v>
      </c>
      <c r="AG1773" s="65">
        <f>tblWorkPackages[[#This Row],[Completion date serial]]-tblWorkPackages[[#This Row],[Request date serial]]</f>
        <v>5</v>
      </c>
      <c r="AH1773" s="65">
        <f>IFERROR(INDEX(tblParts[Delay days],MATCH(tblWorkPackages[[#This Row],[Work package ID]],tblParts[Work package ID],0)),0)</f>
        <v>0</v>
      </c>
      <c r="AI1773" s="51" t="str">
        <f>IFERROR(INDEX(tblDisruptions[Event type],MATCH(tblWorkPackages[[#This Row],[Work package ID]],tblDisruptions[Work package ID],0)),"None")</f>
        <v>None</v>
      </c>
      <c r="AJ1773" s="51" t="str">
        <f>TEXT(tblWorkPackages[[#This Row],[Due date serial]],"yyyy-mm")</f>
        <v>2024-09</v>
      </c>
    </row>
    <row r="1774" spans="1:36" ht="15" x14ac:dyDescent="0.25">
      <c r="A1774" s="53" t="s">
        <v>2684</v>
      </c>
      <c r="B1774" s="53" t="s">
        <v>287</v>
      </c>
      <c r="C1774" s="53" t="s">
        <v>651</v>
      </c>
      <c r="D1774" s="53" t="s">
        <v>1161</v>
      </c>
      <c r="E1774" s="53" t="s">
        <v>237</v>
      </c>
      <c r="F1774" s="53" t="s">
        <v>182</v>
      </c>
      <c r="G1774" s="53" t="s">
        <v>138</v>
      </c>
      <c r="H1774" s="53">
        <v>4</v>
      </c>
      <c r="I1774" s="53" t="s">
        <v>130</v>
      </c>
      <c r="J1774" s="53">
        <v>0</v>
      </c>
      <c r="K1774" s="53">
        <v>0</v>
      </c>
      <c r="L1774" s="53">
        <v>9.3000000000000007</v>
      </c>
      <c r="M1774" s="53" t="s">
        <v>356</v>
      </c>
      <c r="N1774" s="53">
        <v>9.8000000000000007</v>
      </c>
      <c r="O1774" s="51" t="str">
        <f>TEXT(tblWorkPackages[[#This Row],[Request date serial]]-WEEKDAY(tblWorkPackages[[#This Row],[Request date serial]],3),"yyyy-mm-dd")</f>
        <v>2025-12-01</v>
      </c>
      <c r="P1774" s="51">
        <f>ABS(tblWorkPackages[[#This Row],[Actual labor hours]]-tblWorkPackages[[#This Row],[Estimated labor hours]])</f>
        <v>0.5</v>
      </c>
      <c r="Q1774" s="51">
        <f>IF(tblWorkPackages[[#This Row],[Actual labor hours]]&gt;tblWorkPackages[[#This Row],[Estimated labor hours]],1,0)</f>
        <v>1</v>
      </c>
      <c r="R1774" s="51">
        <f>tblWorkPackages[[#This Row],[Actual labor hours]]-tblWorkPackages[[#This Row],[Estimated labor hours]]</f>
        <v>0.5</v>
      </c>
      <c r="S1774" s="51" t="str">
        <f>IF(tblWorkPackages[[#This Row],[Request date serial]]&lt;ValidationStart,"Train 2024",IF(tblWorkPackages[[#This Row],[Request date serial]]&lt;HoldoutStart,"Validation H1","Holdout H2"))</f>
        <v>Holdout H2</v>
      </c>
      <c r="T1774" s="51">
        <f>IF(tblWorkPackages[[#This Row],[Time split]]="Train 2024","",tblWorkPackages[[#This Row],[Estimated labor hours]]+VLOOKUP(tblWorkPackages[[#This Row],[Task type]],'Forecast validation'!$A$14:$E$25,IF(tblWorkPackages[[#This Row],[Time split]]="Validation H1",4,5),FALSE()))</f>
        <v>9.753125</v>
      </c>
      <c r="U1774" s="51">
        <f>IF(tblWorkPackages[[#This Row],[Calibrated forecast hours]]="","",ABS(tblWorkPackages[[#This Row],[Actual labor hours]]-tblWorkPackages[[#This Row],[Calibrated forecast hours]]))</f>
        <v>0.046875</v>
      </c>
      <c r="V1774" s="51">
        <f>IF(tblWorkPackages[[#This Row],[Time split]]="Train 2024",tblWorkPackages[[#This Row],[Estimated labor hours]],tblWorkPackages[[#This Row],[Calibrated forecast hours]])</f>
        <v>9.753125</v>
      </c>
      <c r="W1774" s="64">
        <f>DATEVALUE(tblWorkPackages[[#This Row],[Request date]])</f>
        <v>45997.0</v>
      </c>
      <c r="X1774" s="64">
        <f>DATEVALUE(tblWorkPackages[[#This Row],[Due date]])</f>
        <v>46010.0</v>
      </c>
      <c r="Y1774" s="64">
        <f>DATEVALUE(tblWorkPackages[[#This Row],[Completion date]])</f>
        <v>46012.0</v>
      </c>
      <c r="Z1774" s="64">
        <f>_xlfn.MINIFS(tblLaborEntries[Work date serial],tblLaborEntries[Work package ID],tblWorkPackages[[#This Row],[Work package ID]])</f>
        <v>46012.0</v>
      </c>
      <c r="AA1774" s="64">
        <f>_xlfn.MAXIFS(tblLaborEntries[Work date serial],tblLaborEntries[Work package ID],tblWorkPackages[[#This Row],[Work package ID]])</f>
        <v>46012.0</v>
      </c>
      <c r="AB1774" s="65">
        <f>IF(tblWorkPackages[[#This Row],[Completion date serial]]&gt;tblWorkPackages[[#This Row],[Due date serial]],1,0)</f>
        <v>1</v>
      </c>
      <c r="AC1774" s="65">
        <f>MAX(0,tblWorkPackages[[#This Row],[Completion date serial]]-tblWorkPackages[[#This Row],[Due date serial]])</f>
        <v>2</v>
      </c>
      <c r="AD1774" s="65">
        <f>tblWorkPackages[[#This Row],[First labor date]]-tblWorkPackages[[#This Row],[Request date serial]]</f>
        <v>15</v>
      </c>
      <c r="AE1774" s="65">
        <f>tblWorkPackages[[#This Row],[Last labor date]]-tblWorkPackages[[#This Row],[First labor date]]</f>
        <v>0</v>
      </c>
      <c r="AF1774" s="65">
        <f>tblWorkPackages[[#This Row],[Completion date serial]]-tblWorkPackages[[#This Row],[Last labor date]]</f>
        <v>0</v>
      </c>
      <c r="AG1774" s="65">
        <f>tblWorkPackages[[#This Row],[Completion date serial]]-tblWorkPackages[[#This Row],[Request date serial]]</f>
        <v>15</v>
      </c>
      <c r="AH1774" s="65">
        <f>IFERROR(INDEX(tblParts[Delay days],MATCH(tblWorkPackages[[#This Row],[Work package ID]],tblParts[Work package ID],0)),0)</f>
        <v>0</v>
      </c>
      <c r="AI1774" s="51" t="str">
        <f>IFERROR(INDEX(tblDisruptions[Event type],MATCH(tblWorkPackages[[#This Row],[Work package ID]],tblDisruptions[Work package ID],0)),"None")</f>
        <v>None</v>
      </c>
      <c r="AJ1774" s="51" t="str">
        <f>TEXT(tblWorkPackages[[#This Row],[Due date serial]],"yyyy-mm")</f>
        <v>2025-12</v>
      </c>
    </row>
    <row r="1775" spans="1:36" ht="15" x14ac:dyDescent="0.25">
      <c r="A1775" s="53" t="s">
        <v>2685</v>
      </c>
      <c r="B1775" s="53" t="s">
        <v>185</v>
      </c>
      <c r="C1775" s="53" t="s">
        <v>1260</v>
      </c>
      <c r="D1775" s="53" t="s">
        <v>248</v>
      </c>
      <c r="E1775" s="53" t="s">
        <v>127</v>
      </c>
      <c r="F1775" s="53" t="s">
        <v>128</v>
      </c>
      <c r="G1775" s="53" t="s">
        <v>129</v>
      </c>
      <c r="H1775" s="53">
        <v>2</v>
      </c>
      <c r="I1775" s="53" t="s">
        <v>130</v>
      </c>
      <c r="J1775" s="53">
        <v>0</v>
      </c>
      <c r="K1775" s="53">
        <v>0</v>
      </c>
      <c r="L1775" s="53">
        <v>8.3000000000000007</v>
      </c>
      <c r="M1775" s="53" t="s">
        <v>320</v>
      </c>
      <c r="N1775" s="53">
        <v>7.6</v>
      </c>
      <c r="O1775" s="51" t="str">
        <f>TEXT(tblWorkPackages[[#This Row],[Request date serial]]-WEEKDAY(tblWorkPackages[[#This Row],[Request date serial]],3),"yyyy-mm-dd")</f>
        <v>2024-03-04</v>
      </c>
      <c r="P1775" s="51">
        <f>ABS(tblWorkPackages[[#This Row],[Actual labor hours]]-tblWorkPackages[[#This Row],[Estimated labor hours]])</f>
        <v>0.700000000000001</v>
      </c>
      <c r="Q1775" s="51">
        <f>IF(tblWorkPackages[[#This Row],[Actual labor hours]]&gt;tblWorkPackages[[#This Row],[Estimated labor hours]],1,0)</f>
        <v>0</v>
      </c>
      <c r="R1775" s="51">
        <f>tblWorkPackages[[#This Row],[Actual labor hours]]-tblWorkPackages[[#This Row],[Estimated labor hours]]</f>
        <v>-0.700000000000001</v>
      </c>
      <c r="S1775" s="51" t="str">
        <f>IF(tblWorkPackages[[#This Row],[Request date serial]]&lt;ValidationStart,"Train 2024",IF(tblWorkPackages[[#This Row],[Request date serial]]&lt;HoldoutStart,"Validation H1","Holdout H2"))</f>
        <v>Train 2024</v>
      </c>
      <c r="T1775" s="51" t="str">
        <f>IF(tblWorkPackages[[#This Row],[Time split]]="Train 2024","",tblWorkPackages[[#This Row],[Estimated labor hours]]+VLOOKUP(tblWorkPackages[[#This Row],[Task type]],'Forecast validation'!$A$14:$E$25,IF(tblWorkPackages[[#This Row],[Time split]]="Validation H1",4,5),FALSE()))</f>
        <v/>
      </c>
      <c r="U1775" s="51" t="str">
        <f>IF(tblWorkPackages[[#This Row],[Calibrated forecast hours]]="","",ABS(tblWorkPackages[[#This Row],[Actual labor hours]]-tblWorkPackages[[#This Row],[Calibrated forecast hours]]))</f>
        <v/>
      </c>
      <c r="V1775" s="51">
        <f>IF(tblWorkPackages[[#This Row],[Time split]]="Train 2024",tblWorkPackages[[#This Row],[Estimated labor hours]],tblWorkPackages[[#This Row],[Calibrated forecast hours]])</f>
        <v>8.3</v>
      </c>
      <c r="W1775" s="64">
        <f>DATEVALUE(tblWorkPackages[[#This Row],[Request date]])</f>
        <v>45355.0</v>
      </c>
      <c r="X1775" s="64">
        <f>DATEVALUE(tblWorkPackages[[#This Row],[Due date]])</f>
        <v>45368.0</v>
      </c>
      <c r="Y1775" s="64">
        <f>DATEVALUE(tblWorkPackages[[#This Row],[Completion date]])</f>
        <v>45360.0</v>
      </c>
      <c r="Z1775" s="64">
        <f>_xlfn.MINIFS(tblLaborEntries[Work date serial],tblLaborEntries[Work package ID],tblWorkPackages[[#This Row],[Work package ID]])</f>
        <v>45359.0</v>
      </c>
      <c r="AA1775" s="64">
        <f>_xlfn.MAXIFS(tblLaborEntries[Work date serial],tblLaborEntries[Work package ID],tblWorkPackages[[#This Row],[Work package ID]])</f>
        <v>45359.0</v>
      </c>
      <c r="AB1775" s="65">
        <f>IF(tblWorkPackages[[#This Row],[Completion date serial]]&gt;tblWorkPackages[[#This Row],[Due date serial]],1,0)</f>
        <v>0</v>
      </c>
      <c r="AC1775" s="65">
        <f>MAX(0,tblWorkPackages[[#This Row],[Completion date serial]]-tblWorkPackages[[#This Row],[Due date serial]])</f>
        <v>0</v>
      </c>
      <c r="AD1775" s="65">
        <f>tblWorkPackages[[#This Row],[First labor date]]-tblWorkPackages[[#This Row],[Request date serial]]</f>
        <v>4</v>
      </c>
      <c r="AE1775" s="65">
        <f>tblWorkPackages[[#This Row],[Last labor date]]-tblWorkPackages[[#This Row],[First labor date]]</f>
        <v>0</v>
      </c>
      <c r="AF1775" s="65">
        <f>tblWorkPackages[[#This Row],[Completion date serial]]-tblWorkPackages[[#This Row],[Last labor date]]</f>
        <v>1</v>
      </c>
      <c r="AG1775" s="65">
        <f>tblWorkPackages[[#This Row],[Completion date serial]]-tblWorkPackages[[#This Row],[Request date serial]]</f>
        <v>5</v>
      </c>
      <c r="AH1775" s="65">
        <f>IFERROR(INDEX(tblParts[Delay days],MATCH(tblWorkPackages[[#This Row],[Work package ID]],tblParts[Work package ID],0)),0)</f>
        <v>0</v>
      </c>
      <c r="AI1775" s="51" t="str">
        <f>IFERROR(INDEX(tblDisruptions[Event type],MATCH(tblWorkPackages[[#This Row],[Work package ID]],tblDisruptions[Work package ID],0)),"None")</f>
        <v>None</v>
      </c>
      <c r="AJ1775" s="51" t="str">
        <f>TEXT(tblWorkPackages[[#This Row],[Due date serial]],"yyyy-mm")</f>
        <v>2024-03</v>
      </c>
    </row>
    <row r="1776" spans="1:36" ht="15" x14ac:dyDescent="0.25">
      <c r="A1776" s="53" t="s">
        <v>2686</v>
      </c>
      <c r="B1776" s="53" t="s">
        <v>168</v>
      </c>
      <c r="C1776" s="53" t="s">
        <v>719</v>
      </c>
      <c r="D1776" s="53" t="s">
        <v>320</v>
      </c>
      <c r="E1776" s="53" t="s">
        <v>153</v>
      </c>
      <c r="F1776" s="53" t="s">
        <v>128</v>
      </c>
      <c r="G1776" s="53" t="s">
        <v>154</v>
      </c>
      <c r="H1776" s="53">
        <v>3</v>
      </c>
      <c r="I1776" s="53" t="s">
        <v>176</v>
      </c>
      <c r="J1776" s="53">
        <v>0</v>
      </c>
      <c r="K1776" s="53">
        <v>0</v>
      </c>
      <c r="L1776" s="53">
        <v>14.6</v>
      </c>
      <c r="M1776" s="53" t="s">
        <v>1067</v>
      </c>
      <c r="N1776" s="53">
        <v>11.6</v>
      </c>
      <c r="O1776" s="51" t="str">
        <f>TEXT(tblWorkPackages[[#This Row],[Request date serial]]-WEEKDAY(tblWorkPackages[[#This Row],[Request date serial]],3),"yyyy-mm-dd")</f>
        <v>2024-02-26</v>
      </c>
      <c r="P1776" s="51">
        <f>ABS(tblWorkPackages[[#This Row],[Actual labor hours]]-tblWorkPackages[[#This Row],[Estimated labor hours]])</f>
        <v>3</v>
      </c>
      <c r="Q1776" s="51">
        <f>IF(tblWorkPackages[[#This Row],[Actual labor hours]]&gt;tblWorkPackages[[#This Row],[Estimated labor hours]],1,0)</f>
        <v>0</v>
      </c>
      <c r="R1776" s="51">
        <f>tblWorkPackages[[#This Row],[Actual labor hours]]-tblWorkPackages[[#This Row],[Estimated labor hours]]</f>
        <v>-3</v>
      </c>
      <c r="S1776" s="51" t="str">
        <f>IF(tblWorkPackages[[#This Row],[Request date serial]]&lt;ValidationStart,"Train 2024",IF(tblWorkPackages[[#This Row],[Request date serial]]&lt;HoldoutStart,"Validation H1","Holdout H2"))</f>
        <v>Train 2024</v>
      </c>
      <c r="T1776" s="51" t="str">
        <f>IF(tblWorkPackages[[#This Row],[Time split]]="Train 2024","",tblWorkPackages[[#This Row],[Estimated labor hours]]+VLOOKUP(tblWorkPackages[[#This Row],[Task type]],'Forecast validation'!$A$14:$E$25,IF(tblWorkPackages[[#This Row],[Time split]]="Validation H1",4,5),FALSE()))</f>
        <v/>
      </c>
      <c r="U1776" s="51" t="str">
        <f>IF(tblWorkPackages[[#This Row],[Calibrated forecast hours]]="","",ABS(tblWorkPackages[[#This Row],[Actual labor hours]]-tblWorkPackages[[#This Row],[Calibrated forecast hours]]))</f>
        <v/>
      </c>
      <c r="V1776" s="51">
        <f>IF(tblWorkPackages[[#This Row],[Time split]]="Train 2024",tblWorkPackages[[#This Row],[Estimated labor hours]],tblWorkPackages[[#This Row],[Calibrated forecast hours]])</f>
        <v>14.6</v>
      </c>
      <c r="W1776" s="64">
        <f>DATEVALUE(tblWorkPackages[[#This Row],[Request date]])</f>
        <v>45354.0</v>
      </c>
      <c r="X1776" s="64">
        <f>DATEVALUE(tblWorkPackages[[#This Row],[Due date]])</f>
        <v>45360.0</v>
      </c>
      <c r="Y1776" s="64">
        <f>DATEVALUE(tblWorkPackages[[#This Row],[Completion date]])</f>
        <v>45357.0</v>
      </c>
      <c r="Z1776" s="64">
        <f>_xlfn.MINIFS(tblLaborEntries[Work date serial],tblLaborEntries[Work package ID],tblWorkPackages[[#This Row],[Work package ID]])</f>
        <v>45355.0</v>
      </c>
      <c r="AA1776" s="64">
        <f>_xlfn.MAXIFS(tblLaborEntries[Work date serial],tblLaborEntries[Work package ID],tblWorkPackages[[#This Row],[Work package ID]])</f>
        <v>45355.0</v>
      </c>
      <c r="AB1776" s="65">
        <f>IF(tblWorkPackages[[#This Row],[Completion date serial]]&gt;tblWorkPackages[[#This Row],[Due date serial]],1,0)</f>
        <v>0</v>
      </c>
      <c r="AC1776" s="65">
        <f>MAX(0,tblWorkPackages[[#This Row],[Completion date serial]]-tblWorkPackages[[#This Row],[Due date serial]])</f>
        <v>0</v>
      </c>
      <c r="AD1776" s="65">
        <f>tblWorkPackages[[#This Row],[First labor date]]-tblWorkPackages[[#This Row],[Request date serial]]</f>
        <v>1</v>
      </c>
      <c r="AE1776" s="65">
        <f>tblWorkPackages[[#This Row],[Last labor date]]-tblWorkPackages[[#This Row],[First labor date]]</f>
        <v>0</v>
      </c>
      <c r="AF1776" s="65">
        <f>tblWorkPackages[[#This Row],[Completion date serial]]-tblWorkPackages[[#This Row],[Last labor date]]</f>
        <v>2</v>
      </c>
      <c r="AG1776" s="65">
        <f>tblWorkPackages[[#This Row],[Completion date serial]]-tblWorkPackages[[#This Row],[Request date serial]]</f>
        <v>3</v>
      </c>
      <c r="AH1776" s="65">
        <f>IFERROR(INDEX(tblParts[Delay days],MATCH(tblWorkPackages[[#This Row],[Work package ID]],tblParts[Work package ID],0)),0)</f>
        <v>0</v>
      </c>
      <c r="AI1776" s="51" t="str">
        <f>IFERROR(INDEX(tblDisruptions[Event type],MATCH(tblWorkPackages[[#This Row],[Work package ID]],tblDisruptions[Work package ID],0)),"None")</f>
        <v>None</v>
      </c>
      <c r="AJ1776" s="51" t="str">
        <f>TEXT(tblWorkPackages[[#This Row],[Due date serial]],"yyyy-mm")</f>
        <v>2024-03</v>
      </c>
    </row>
    <row r="1777" spans="1:36" ht="15" x14ac:dyDescent="0.25">
      <c r="A1777" s="53" t="s">
        <v>2687</v>
      </c>
      <c r="B1777" s="53" t="s">
        <v>250</v>
      </c>
      <c r="C1777" s="53" t="s">
        <v>879</v>
      </c>
      <c r="D1777" s="53" t="s">
        <v>880</v>
      </c>
      <c r="E1777" s="53" t="s">
        <v>242</v>
      </c>
      <c r="F1777" s="53" t="s">
        <v>243</v>
      </c>
      <c r="G1777" s="53" t="s">
        <v>129</v>
      </c>
      <c r="H1777" s="53">
        <v>2</v>
      </c>
      <c r="I1777" s="53" t="s">
        <v>176</v>
      </c>
      <c r="J1777" s="53">
        <v>0</v>
      </c>
      <c r="K1777" s="53">
        <v>0</v>
      </c>
      <c r="L1777" s="53">
        <v>9.5</v>
      </c>
      <c r="M1777" s="53" t="s">
        <v>675</v>
      </c>
      <c r="N1777" s="53">
        <v>10.7</v>
      </c>
      <c r="O1777" s="51" t="str">
        <f>TEXT(tblWorkPackages[[#This Row],[Request date serial]]-WEEKDAY(tblWorkPackages[[#This Row],[Request date serial]],3),"yyyy-mm-dd")</f>
        <v>2024-04-01</v>
      </c>
      <c r="P1777" s="51">
        <f>ABS(tblWorkPackages[[#This Row],[Actual labor hours]]-tblWorkPackages[[#This Row],[Estimated labor hours]])</f>
        <v>1.2</v>
      </c>
      <c r="Q1777" s="51">
        <f>IF(tblWorkPackages[[#This Row],[Actual labor hours]]&gt;tblWorkPackages[[#This Row],[Estimated labor hours]],1,0)</f>
        <v>1</v>
      </c>
      <c r="R1777" s="51">
        <f>tblWorkPackages[[#This Row],[Actual labor hours]]-tblWorkPackages[[#This Row],[Estimated labor hours]]</f>
        <v>1.2</v>
      </c>
      <c r="S1777" s="51" t="str">
        <f>IF(tblWorkPackages[[#This Row],[Request date serial]]&lt;ValidationStart,"Train 2024",IF(tblWorkPackages[[#This Row],[Request date serial]]&lt;HoldoutStart,"Validation H1","Holdout H2"))</f>
        <v>Train 2024</v>
      </c>
      <c r="T1777" s="51" t="str">
        <f>IF(tblWorkPackages[[#This Row],[Time split]]="Train 2024","",tblWorkPackages[[#This Row],[Estimated labor hours]]+VLOOKUP(tblWorkPackages[[#This Row],[Task type]],'Forecast validation'!$A$14:$E$25,IF(tblWorkPackages[[#This Row],[Time split]]="Validation H1",4,5),FALSE()))</f>
        <v/>
      </c>
      <c r="U1777" s="51" t="str">
        <f>IF(tblWorkPackages[[#This Row],[Calibrated forecast hours]]="","",ABS(tblWorkPackages[[#This Row],[Actual labor hours]]-tblWorkPackages[[#This Row],[Calibrated forecast hours]]))</f>
        <v/>
      </c>
      <c r="V1777" s="51">
        <f>IF(tblWorkPackages[[#This Row],[Time split]]="Train 2024",tblWorkPackages[[#This Row],[Estimated labor hours]],tblWorkPackages[[#This Row],[Calibrated forecast hours]])</f>
        <v>9.5</v>
      </c>
      <c r="W1777" s="64">
        <f>DATEVALUE(tblWorkPackages[[#This Row],[Request date]])</f>
        <v>45386.0</v>
      </c>
      <c r="X1777" s="64">
        <f>DATEVALUE(tblWorkPackages[[#This Row],[Due date]])</f>
        <v>45392.0</v>
      </c>
      <c r="Y1777" s="64">
        <f>DATEVALUE(tblWorkPackages[[#This Row],[Completion date]])</f>
        <v>45399.0</v>
      </c>
      <c r="Z1777" s="64">
        <f>_xlfn.MINIFS(tblLaborEntries[Work date serial],tblLaborEntries[Work package ID],tblWorkPackages[[#This Row],[Work package ID]])</f>
        <v>45395.0</v>
      </c>
      <c r="AA1777" s="64">
        <f>_xlfn.MAXIFS(tblLaborEntries[Work date serial],tblLaborEntries[Work package ID],tblWorkPackages[[#This Row],[Work package ID]])</f>
        <v>45396.0</v>
      </c>
      <c r="AB1777" s="65">
        <f>IF(tblWorkPackages[[#This Row],[Completion date serial]]&gt;tblWorkPackages[[#This Row],[Due date serial]],1,0)</f>
        <v>1</v>
      </c>
      <c r="AC1777" s="65">
        <f>MAX(0,tblWorkPackages[[#This Row],[Completion date serial]]-tblWorkPackages[[#This Row],[Due date serial]])</f>
        <v>7</v>
      </c>
      <c r="AD1777" s="65">
        <f>tblWorkPackages[[#This Row],[First labor date]]-tblWorkPackages[[#This Row],[Request date serial]]</f>
        <v>9</v>
      </c>
      <c r="AE1777" s="65">
        <f>tblWorkPackages[[#This Row],[Last labor date]]-tblWorkPackages[[#This Row],[First labor date]]</f>
        <v>1</v>
      </c>
      <c r="AF1777" s="65">
        <f>tblWorkPackages[[#This Row],[Completion date serial]]-tblWorkPackages[[#This Row],[Last labor date]]</f>
        <v>3</v>
      </c>
      <c r="AG1777" s="65">
        <f>tblWorkPackages[[#This Row],[Completion date serial]]-tblWorkPackages[[#This Row],[Request date serial]]</f>
        <v>13</v>
      </c>
      <c r="AH1777" s="65">
        <f>IFERROR(INDEX(tblParts[Delay days],MATCH(tblWorkPackages[[#This Row],[Work package ID]],tblParts[Work package ID],0)),0)</f>
        <v>0</v>
      </c>
      <c r="AI1777" s="51" t="str">
        <f>IFERROR(INDEX(tblDisruptions[Event type],MATCH(tblWorkPackages[[#This Row],[Work package ID]],tblDisruptions[Work package ID],0)),"None")</f>
        <v>Repeat inspection</v>
      </c>
      <c r="AJ1777" s="51" t="str">
        <f>TEXT(tblWorkPackages[[#This Row],[Due date serial]],"yyyy-mm")</f>
        <v>2024-04</v>
      </c>
    </row>
    <row r="1778" spans="1:36" ht="15" x14ac:dyDescent="0.25">
      <c r="A1778" s="53" t="s">
        <v>2688</v>
      </c>
      <c r="B1778" s="53" t="s">
        <v>163</v>
      </c>
      <c r="C1778" s="53" t="s">
        <v>373</v>
      </c>
      <c r="D1778" s="53" t="s">
        <v>381</v>
      </c>
      <c r="E1778" s="53" t="s">
        <v>223</v>
      </c>
      <c r="F1778" s="53" t="s">
        <v>182</v>
      </c>
      <c r="G1778" s="53" t="s">
        <v>154</v>
      </c>
      <c r="H1778" s="53">
        <v>1</v>
      </c>
      <c r="I1778" s="53" t="s">
        <v>130</v>
      </c>
      <c r="J1778" s="53">
        <v>0</v>
      </c>
      <c r="K1778" s="53">
        <v>1</v>
      </c>
      <c r="L1778" s="53">
        <v>6.9</v>
      </c>
      <c r="M1778" s="53" t="s">
        <v>403</v>
      </c>
      <c r="N1778" s="53">
        <v>7.8</v>
      </c>
      <c r="O1778" s="51" t="str">
        <f>TEXT(tblWorkPackages[[#This Row],[Request date serial]]-WEEKDAY(tblWorkPackages[[#This Row],[Request date serial]],3),"yyyy-mm-dd")</f>
        <v>2024-10-07</v>
      </c>
      <c r="P1778" s="51">
        <f>ABS(tblWorkPackages[[#This Row],[Actual labor hours]]-tblWorkPackages[[#This Row],[Estimated labor hours]])</f>
        <v>0.9</v>
      </c>
      <c r="Q1778" s="51">
        <f>IF(tblWorkPackages[[#This Row],[Actual labor hours]]&gt;tblWorkPackages[[#This Row],[Estimated labor hours]],1,0)</f>
        <v>1</v>
      </c>
      <c r="R1778" s="51">
        <f>tblWorkPackages[[#This Row],[Actual labor hours]]-tblWorkPackages[[#This Row],[Estimated labor hours]]</f>
        <v>0.9</v>
      </c>
      <c r="S1778" s="51" t="str">
        <f>IF(tblWorkPackages[[#This Row],[Request date serial]]&lt;ValidationStart,"Train 2024",IF(tblWorkPackages[[#This Row],[Request date serial]]&lt;HoldoutStart,"Validation H1","Holdout H2"))</f>
        <v>Train 2024</v>
      </c>
      <c r="T1778" s="51" t="str">
        <f>IF(tblWorkPackages[[#This Row],[Time split]]="Train 2024","",tblWorkPackages[[#This Row],[Estimated labor hours]]+VLOOKUP(tblWorkPackages[[#This Row],[Task type]],'Forecast validation'!$A$14:$E$25,IF(tblWorkPackages[[#This Row],[Time split]]="Validation H1",4,5),FALSE()))</f>
        <v/>
      </c>
      <c r="U1778" s="51" t="str">
        <f>IF(tblWorkPackages[[#This Row],[Calibrated forecast hours]]="","",ABS(tblWorkPackages[[#This Row],[Actual labor hours]]-tblWorkPackages[[#This Row],[Calibrated forecast hours]]))</f>
        <v/>
      </c>
      <c r="V1778" s="51">
        <f>IF(tblWorkPackages[[#This Row],[Time split]]="Train 2024",tblWorkPackages[[#This Row],[Estimated labor hours]],tblWorkPackages[[#This Row],[Calibrated forecast hours]])</f>
        <v>6.9</v>
      </c>
      <c r="W1778" s="64">
        <f>DATEVALUE(tblWorkPackages[[#This Row],[Request date]])</f>
        <v>45575.0</v>
      </c>
      <c r="X1778" s="64">
        <f>DATEVALUE(tblWorkPackages[[#This Row],[Due date]])</f>
        <v>45588.0</v>
      </c>
      <c r="Y1778" s="64">
        <f>DATEVALUE(tblWorkPackages[[#This Row],[Completion date]])</f>
        <v>45577.0</v>
      </c>
      <c r="Z1778" s="64">
        <f>_xlfn.MINIFS(tblLaborEntries[Work date serial],tblLaborEntries[Work package ID],tblWorkPackages[[#This Row],[Work package ID]])</f>
        <v>45577.0</v>
      </c>
      <c r="AA1778" s="64">
        <f>_xlfn.MAXIFS(tblLaborEntries[Work date serial],tblLaborEntries[Work package ID],tblWorkPackages[[#This Row],[Work package ID]])</f>
        <v>45577.0</v>
      </c>
      <c r="AB1778" s="65">
        <f>IF(tblWorkPackages[[#This Row],[Completion date serial]]&gt;tblWorkPackages[[#This Row],[Due date serial]],1,0)</f>
        <v>0</v>
      </c>
      <c r="AC1778" s="65">
        <f>MAX(0,tblWorkPackages[[#This Row],[Completion date serial]]-tblWorkPackages[[#This Row],[Due date serial]])</f>
        <v>0</v>
      </c>
      <c r="AD1778" s="65">
        <f>tblWorkPackages[[#This Row],[First labor date]]-tblWorkPackages[[#This Row],[Request date serial]]</f>
        <v>2</v>
      </c>
      <c r="AE1778" s="65">
        <f>tblWorkPackages[[#This Row],[Last labor date]]-tblWorkPackages[[#This Row],[First labor date]]</f>
        <v>0</v>
      </c>
      <c r="AF1778" s="65">
        <f>tblWorkPackages[[#This Row],[Completion date serial]]-tblWorkPackages[[#This Row],[Last labor date]]</f>
        <v>0</v>
      </c>
      <c r="AG1778" s="65">
        <f>tblWorkPackages[[#This Row],[Completion date serial]]-tblWorkPackages[[#This Row],[Request date serial]]</f>
        <v>2</v>
      </c>
      <c r="AH1778" s="65">
        <f>IFERROR(INDEX(tblParts[Delay days],MATCH(tblWorkPackages[[#This Row],[Work package ID]],tblParts[Work package ID],0)),0)</f>
        <v>0</v>
      </c>
      <c r="AI1778" s="51" t="str">
        <f>IFERROR(INDEX(tblDisruptions[Event type],MATCH(tblWorkPackages[[#This Row],[Work package ID]],tblDisruptions[Work package ID],0)),"None")</f>
        <v>None</v>
      </c>
      <c r="AJ1778" s="51" t="str">
        <f>TEXT(tblWorkPackages[[#This Row],[Due date serial]],"yyyy-mm")</f>
        <v>2024-10</v>
      </c>
    </row>
    <row r="1779" spans="1:36" ht="15" x14ac:dyDescent="0.25">
      <c r="A1779" s="53" t="s">
        <v>2689</v>
      </c>
      <c r="B1779" s="53" t="s">
        <v>124</v>
      </c>
      <c r="C1779" s="53" t="s">
        <v>187</v>
      </c>
      <c r="D1779" s="53" t="s">
        <v>859</v>
      </c>
      <c r="E1779" s="53" t="s">
        <v>181</v>
      </c>
      <c r="F1779" s="53" t="s">
        <v>182</v>
      </c>
      <c r="G1779" s="53" t="s">
        <v>138</v>
      </c>
      <c r="H1779" s="53">
        <v>3</v>
      </c>
      <c r="I1779" s="53" t="s">
        <v>176</v>
      </c>
      <c r="J1779" s="53">
        <v>0</v>
      </c>
      <c r="K1779" s="53">
        <v>0</v>
      </c>
      <c r="L1779" s="53">
        <v>11.2</v>
      </c>
      <c r="M1779" s="53" t="s">
        <v>1191</v>
      </c>
      <c r="N1779" s="53">
        <v>10.5</v>
      </c>
      <c r="O1779" s="51" t="str">
        <f>TEXT(tblWorkPackages[[#This Row],[Request date serial]]-WEEKDAY(tblWorkPackages[[#This Row],[Request date serial]],3),"yyyy-mm-dd")</f>
        <v>2025-02-24</v>
      </c>
      <c r="P1779" s="51">
        <f>ABS(tblWorkPackages[[#This Row],[Actual labor hours]]-tblWorkPackages[[#This Row],[Estimated labor hours]])</f>
        <v>0.699999999999999</v>
      </c>
      <c r="Q1779" s="51">
        <f>IF(tblWorkPackages[[#This Row],[Actual labor hours]]&gt;tblWorkPackages[[#This Row],[Estimated labor hours]],1,0)</f>
        <v>0</v>
      </c>
      <c r="R1779" s="51">
        <f>tblWorkPackages[[#This Row],[Actual labor hours]]-tblWorkPackages[[#This Row],[Estimated labor hours]]</f>
        <v>-0.699999999999999</v>
      </c>
      <c r="S1779" s="51" t="str">
        <f>IF(tblWorkPackages[[#This Row],[Request date serial]]&lt;ValidationStart,"Train 2024",IF(tblWorkPackages[[#This Row],[Request date serial]]&lt;HoldoutStart,"Validation H1","Holdout H2"))</f>
        <v>Validation H1</v>
      </c>
      <c r="T1779" s="51">
        <f>IF(tblWorkPackages[[#This Row],[Time split]]="Train 2024","",tblWorkPackages[[#This Row],[Estimated labor hours]]+VLOOKUP(tblWorkPackages[[#This Row],[Task type]],'Forecast validation'!$A$14:$E$25,IF(tblWorkPackages[[#This Row],[Time split]]="Validation H1",4,5),FALSE()))</f>
        <v>11.7840909090909</v>
      </c>
      <c r="U1779" s="51">
        <f>IF(tblWorkPackages[[#This Row],[Calibrated forecast hours]]="","",ABS(tblWorkPackages[[#This Row],[Actual labor hours]]-tblWorkPackages[[#This Row],[Calibrated forecast hours]]))</f>
        <v>1.28409090909091</v>
      </c>
      <c r="V1779" s="51">
        <f>IF(tblWorkPackages[[#This Row],[Time split]]="Train 2024",tblWorkPackages[[#This Row],[Estimated labor hours]],tblWorkPackages[[#This Row],[Calibrated forecast hours]])</f>
        <v>11.7840909090909</v>
      </c>
      <c r="W1779" s="64">
        <f>DATEVALUE(tblWorkPackages[[#This Row],[Request date]])</f>
        <v>45713.0</v>
      </c>
      <c r="X1779" s="64">
        <f>DATEVALUE(tblWorkPackages[[#This Row],[Due date]])</f>
        <v>45719.0</v>
      </c>
      <c r="Y1779" s="64">
        <f>DATEVALUE(tblWorkPackages[[#This Row],[Completion date]])</f>
        <v>45740.0</v>
      </c>
      <c r="Z1779" s="64">
        <f>_xlfn.MINIFS(tblLaborEntries[Work date serial],tblLaborEntries[Work package ID],tblWorkPackages[[#This Row],[Work package ID]])</f>
        <v>45738.0</v>
      </c>
      <c r="AA1779" s="64">
        <f>_xlfn.MAXIFS(tblLaborEntries[Work date serial],tblLaborEntries[Work package ID],tblWorkPackages[[#This Row],[Work package ID]])</f>
        <v>45739.0</v>
      </c>
      <c r="AB1779" s="65">
        <f>IF(tblWorkPackages[[#This Row],[Completion date serial]]&gt;tblWorkPackages[[#This Row],[Due date serial]],1,0)</f>
        <v>1</v>
      </c>
      <c r="AC1779" s="65">
        <f>MAX(0,tblWorkPackages[[#This Row],[Completion date serial]]-tblWorkPackages[[#This Row],[Due date serial]])</f>
        <v>21</v>
      </c>
      <c r="AD1779" s="65">
        <f>tblWorkPackages[[#This Row],[First labor date]]-tblWorkPackages[[#This Row],[Request date serial]]</f>
        <v>25</v>
      </c>
      <c r="AE1779" s="65">
        <f>tblWorkPackages[[#This Row],[Last labor date]]-tblWorkPackages[[#This Row],[First labor date]]</f>
        <v>1</v>
      </c>
      <c r="AF1779" s="65">
        <f>tblWorkPackages[[#This Row],[Completion date serial]]-tblWorkPackages[[#This Row],[Last labor date]]</f>
        <v>1</v>
      </c>
      <c r="AG1779" s="65">
        <f>tblWorkPackages[[#This Row],[Completion date serial]]-tblWorkPackages[[#This Row],[Request date serial]]</f>
        <v>27</v>
      </c>
      <c r="AH1779" s="65">
        <f>IFERROR(INDEX(tblParts[Delay days],MATCH(tblWorkPackages[[#This Row],[Work package ID]],tblParts[Work package ID],0)),0)</f>
        <v>0</v>
      </c>
      <c r="AI1779" s="51" t="str">
        <f>IFERROR(INDEX(tblDisruptions[Event type],MATCH(tblWorkPackages[[#This Row],[Work package ID]],tblDisruptions[Work package ID],0)),"None")</f>
        <v>None</v>
      </c>
      <c r="AJ1779" s="51" t="str">
        <f>TEXT(tblWorkPackages[[#This Row],[Due date serial]],"yyyy-mm")</f>
        <v>2025-03</v>
      </c>
    </row>
    <row r="1780" spans="1:36" ht="15" x14ac:dyDescent="0.25">
      <c r="A1780" s="53" t="s">
        <v>2690</v>
      </c>
      <c r="B1780" s="53" t="s">
        <v>157</v>
      </c>
      <c r="C1780" s="53" t="s">
        <v>1256</v>
      </c>
      <c r="D1780" s="53" t="s">
        <v>1030</v>
      </c>
      <c r="E1780" s="53" t="s">
        <v>200</v>
      </c>
      <c r="F1780" s="53" t="s">
        <v>128</v>
      </c>
      <c r="G1780" s="53" t="s">
        <v>129</v>
      </c>
      <c r="H1780" s="53">
        <v>1</v>
      </c>
      <c r="I1780" s="53" t="s">
        <v>130</v>
      </c>
      <c r="J1780" s="53">
        <v>0</v>
      </c>
      <c r="K1780" s="53">
        <v>0</v>
      </c>
      <c r="L1780" s="53">
        <v>2</v>
      </c>
      <c r="M1780" s="53" t="s">
        <v>863</v>
      </c>
      <c r="N1780" s="53">
        <v>1.6</v>
      </c>
      <c r="O1780" s="51" t="str">
        <f>TEXT(tblWorkPackages[[#This Row],[Request date serial]]-WEEKDAY(tblWorkPackages[[#This Row],[Request date serial]],3),"yyyy-mm-dd")</f>
        <v>2025-06-23</v>
      </c>
      <c r="P1780" s="51">
        <f>ABS(tblWorkPackages[[#This Row],[Actual labor hours]]-tblWorkPackages[[#This Row],[Estimated labor hours]])</f>
        <v>0.4</v>
      </c>
      <c r="Q1780" s="51">
        <f>IF(tblWorkPackages[[#This Row],[Actual labor hours]]&gt;tblWorkPackages[[#This Row],[Estimated labor hours]],1,0)</f>
        <v>0</v>
      </c>
      <c r="R1780" s="51">
        <f>tblWorkPackages[[#This Row],[Actual labor hours]]-tblWorkPackages[[#This Row],[Estimated labor hours]]</f>
        <v>-0.4</v>
      </c>
      <c r="S1780" s="51" t="str">
        <f>IF(tblWorkPackages[[#This Row],[Request date serial]]&lt;ValidationStart,"Train 2024",IF(tblWorkPackages[[#This Row],[Request date serial]]&lt;HoldoutStart,"Validation H1","Holdout H2"))</f>
        <v>Validation H1</v>
      </c>
      <c r="T1780" s="51">
        <f>IF(tblWorkPackages[[#This Row],[Time split]]="Train 2024","",tblWorkPackages[[#This Row],[Estimated labor hours]]+VLOOKUP(tblWorkPackages[[#This Row],[Task type]],'Forecast validation'!$A$14:$E$25,IF(tblWorkPackages[[#This Row],[Time split]]="Validation H1",4,5),FALSE()))</f>
        <v>2.33069306930693</v>
      </c>
      <c r="U1780" s="51">
        <f>IF(tblWorkPackages[[#This Row],[Calibrated forecast hours]]="","",ABS(tblWorkPackages[[#This Row],[Actual labor hours]]-tblWorkPackages[[#This Row],[Calibrated forecast hours]]))</f>
        <v>0.730693069306931</v>
      </c>
      <c r="V1780" s="51">
        <f>IF(tblWorkPackages[[#This Row],[Time split]]="Train 2024",tblWorkPackages[[#This Row],[Estimated labor hours]],tblWorkPackages[[#This Row],[Calibrated forecast hours]])</f>
        <v>2.33069306930693</v>
      </c>
      <c r="W1780" s="64">
        <f>DATEVALUE(tblWorkPackages[[#This Row],[Request date]])</f>
        <v>45831.0</v>
      </c>
      <c r="X1780" s="64">
        <f>DATEVALUE(tblWorkPackages[[#This Row],[Due date]])</f>
        <v>45844.0</v>
      </c>
      <c r="Y1780" s="64">
        <f>DATEVALUE(tblWorkPackages[[#This Row],[Completion date]])</f>
        <v>45837.0</v>
      </c>
      <c r="Z1780" s="64">
        <f>_xlfn.MINIFS(tblLaborEntries[Work date serial],tblLaborEntries[Work package ID],tblWorkPackages[[#This Row],[Work package ID]])</f>
        <v>45835.0</v>
      </c>
      <c r="AA1780" s="64">
        <f>_xlfn.MAXIFS(tblLaborEntries[Work date serial],tblLaborEntries[Work package ID],tblWorkPackages[[#This Row],[Work package ID]])</f>
        <v>45835.0</v>
      </c>
      <c r="AB1780" s="65">
        <f>IF(tblWorkPackages[[#This Row],[Completion date serial]]&gt;tblWorkPackages[[#This Row],[Due date serial]],1,0)</f>
        <v>0</v>
      </c>
      <c r="AC1780" s="65">
        <f>MAX(0,tblWorkPackages[[#This Row],[Completion date serial]]-tblWorkPackages[[#This Row],[Due date serial]])</f>
        <v>0</v>
      </c>
      <c r="AD1780" s="65">
        <f>tblWorkPackages[[#This Row],[First labor date]]-tblWorkPackages[[#This Row],[Request date serial]]</f>
        <v>4</v>
      </c>
      <c r="AE1780" s="65">
        <f>tblWorkPackages[[#This Row],[Last labor date]]-tblWorkPackages[[#This Row],[First labor date]]</f>
        <v>0</v>
      </c>
      <c r="AF1780" s="65">
        <f>tblWorkPackages[[#This Row],[Completion date serial]]-tblWorkPackages[[#This Row],[Last labor date]]</f>
        <v>2</v>
      </c>
      <c r="AG1780" s="65">
        <f>tblWorkPackages[[#This Row],[Completion date serial]]-tblWorkPackages[[#This Row],[Request date serial]]</f>
        <v>6</v>
      </c>
      <c r="AH1780" s="65">
        <f>IFERROR(INDEX(tblParts[Delay days],MATCH(tblWorkPackages[[#This Row],[Work package ID]],tblParts[Work package ID],0)),0)</f>
        <v>0</v>
      </c>
      <c r="AI1780" s="51" t="str">
        <f>IFERROR(INDEX(tblDisruptions[Event type],MATCH(tblWorkPackages[[#This Row],[Work package ID]],tblDisruptions[Work package ID],0)),"None")</f>
        <v>None</v>
      </c>
      <c r="AJ1780" s="51" t="str">
        <f>TEXT(tblWorkPackages[[#This Row],[Due date serial]],"yyyy-mm")</f>
        <v>2025-07</v>
      </c>
    </row>
    <row r="1781" spans="1:36" ht="15" x14ac:dyDescent="0.25">
      <c r="A1781" s="53" t="s">
        <v>2691</v>
      </c>
      <c r="B1781" s="53" t="s">
        <v>141</v>
      </c>
      <c r="C1781" s="53" t="s">
        <v>1174</v>
      </c>
      <c r="D1781" s="53" t="s">
        <v>565</v>
      </c>
      <c r="E1781" s="53" t="s">
        <v>127</v>
      </c>
      <c r="F1781" s="53" t="s">
        <v>128</v>
      </c>
      <c r="G1781" s="53" t="s">
        <v>129</v>
      </c>
      <c r="H1781" s="53">
        <v>4</v>
      </c>
      <c r="I1781" s="53" t="s">
        <v>130</v>
      </c>
      <c r="J1781" s="53">
        <v>0</v>
      </c>
      <c r="K1781" s="53">
        <v>1</v>
      </c>
      <c r="L1781" s="53">
        <v>13.8</v>
      </c>
      <c r="M1781" s="53" t="s">
        <v>703</v>
      </c>
      <c r="N1781" s="53">
        <v>13.2</v>
      </c>
      <c r="O1781" s="51" t="str">
        <f>TEXT(tblWorkPackages[[#This Row],[Request date serial]]-WEEKDAY(tblWorkPackages[[#This Row],[Request date serial]],3),"yyyy-mm-dd")</f>
        <v>2024-06-03</v>
      </c>
      <c r="P1781" s="51">
        <f>ABS(tblWorkPackages[[#This Row],[Actual labor hours]]-tblWorkPackages[[#This Row],[Estimated labor hours]])</f>
        <v>0.600000000000001</v>
      </c>
      <c r="Q1781" s="51">
        <f>IF(tblWorkPackages[[#This Row],[Actual labor hours]]&gt;tblWorkPackages[[#This Row],[Estimated labor hours]],1,0)</f>
        <v>0</v>
      </c>
      <c r="R1781" s="51">
        <f>tblWorkPackages[[#This Row],[Actual labor hours]]-tblWorkPackages[[#This Row],[Estimated labor hours]]</f>
        <v>-0.600000000000001</v>
      </c>
      <c r="S1781" s="51" t="str">
        <f>IF(tblWorkPackages[[#This Row],[Request date serial]]&lt;ValidationStart,"Train 2024",IF(tblWorkPackages[[#This Row],[Request date serial]]&lt;HoldoutStart,"Validation H1","Holdout H2"))</f>
        <v>Train 2024</v>
      </c>
      <c r="T1781" s="51" t="str">
        <f>IF(tblWorkPackages[[#This Row],[Time split]]="Train 2024","",tblWorkPackages[[#This Row],[Estimated labor hours]]+VLOOKUP(tblWorkPackages[[#This Row],[Task type]],'Forecast validation'!$A$14:$E$25,IF(tblWorkPackages[[#This Row],[Time split]]="Validation H1",4,5),FALSE()))</f>
        <v/>
      </c>
      <c r="U1781" s="51" t="str">
        <f>IF(tblWorkPackages[[#This Row],[Calibrated forecast hours]]="","",ABS(tblWorkPackages[[#This Row],[Actual labor hours]]-tblWorkPackages[[#This Row],[Calibrated forecast hours]]))</f>
        <v/>
      </c>
      <c r="V1781" s="51">
        <f>IF(tblWorkPackages[[#This Row],[Time split]]="Train 2024",tblWorkPackages[[#This Row],[Estimated labor hours]],tblWorkPackages[[#This Row],[Calibrated forecast hours]])</f>
        <v>13.8</v>
      </c>
      <c r="W1781" s="64">
        <f>DATEVALUE(tblWorkPackages[[#This Row],[Request date]])</f>
        <v>45449.0</v>
      </c>
      <c r="X1781" s="64">
        <f>DATEVALUE(tblWorkPackages[[#This Row],[Due date]])</f>
        <v>45462.0</v>
      </c>
      <c r="Y1781" s="64">
        <f>DATEVALUE(tblWorkPackages[[#This Row],[Completion date]])</f>
        <v>45454.0</v>
      </c>
      <c r="Z1781" s="64">
        <f>_xlfn.MINIFS(tblLaborEntries[Work date serial],tblLaborEntries[Work package ID],tblWorkPackages[[#This Row],[Work package ID]])</f>
        <v>45450.0</v>
      </c>
      <c r="AA1781" s="64">
        <f>_xlfn.MAXIFS(tblLaborEntries[Work date serial],tblLaborEntries[Work package ID],tblWorkPackages[[#This Row],[Work package ID]])</f>
        <v>45451.0</v>
      </c>
      <c r="AB1781" s="65">
        <f>IF(tblWorkPackages[[#This Row],[Completion date serial]]&gt;tblWorkPackages[[#This Row],[Due date serial]],1,0)</f>
        <v>0</v>
      </c>
      <c r="AC1781" s="65">
        <f>MAX(0,tblWorkPackages[[#This Row],[Completion date serial]]-tblWorkPackages[[#This Row],[Due date serial]])</f>
        <v>0</v>
      </c>
      <c r="AD1781" s="65">
        <f>tblWorkPackages[[#This Row],[First labor date]]-tblWorkPackages[[#This Row],[Request date serial]]</f>
        <v>1</v>
      </c>
      <c r="AE1781" s="65">
        <f>tblWorkPackages[[#This Row],[Last labor date]]-tblWorkPackages[[#This Row],[First labor date]]</f>
        <v>1</v>
      </c>
      <c r="AF1781" s="65">
        <f>tblWorkPackages[[#This Row],[Completion date serial]]-tblWorkPackages[[#This Row],[Last labor date]]</f>
        <v>3</v>
      </c>
      <c r="AG1781" s="65">
        <f>tblWorkPackages[[#This Row],[Completion date serial]]-tblWorkPackages[[#This Row],[Request date serial]]</f>
        <v>5</v>
      </c>
      <c r="AH1781" s="65">
        <f>IFERROR(INDEX(tblParts[Delay days],MATCH(tblWorkPackages[[#This Row],[Work package ID]],tblParts[Work package ID],0)),0)</f>
        <v>0</v>
      </c>
      <c r="AI1781" s="51" t="str">
        <f>IFERROR(INDEX(tblDisruptions[Event type],MATCH(tblWorkPackages[[#This Row],[Work package ID]],tblDisruptions[Work package ID],0)),"None")</f>
        <v>None</v>
      </c>
      <c r="AJ1781" s="51" t="str">
        <f>TEXT(tblWorkPackages[[#This Row],[Due date serial]],"yyyy-mm")</f>
        <v>2024-06</v>
      </c>
    </row>
    <row r="1782" spans="1:36" ht="15" x14ac:dyDescent="0.25">
      <c r="A1782" s="53" t="s">
        <v>2692</v>
      </c>
      <c r="B1782" s="53" t="s">
        <v>235</v>
      </c>
      <c r="C1782" s="53" t="s">
        <v>584</v>
      </c>
      <c r="D1782" s="53" t="s">
        <v>583</v>
      </c>
      <c r="E1782" s="53" t="s">
        <v>242</v>
      </c>
      <c r="F1782" s="53" t="s">
        <v>243</v>
      </c>
      <c r="G1782" s="53" t="s">
        <v>129</v>
      </c>
      <c r="H1782" s="53">
        <v>2</v>
      </c>
      <c r="I1782" s="53" t="s">
        <v>176</v>
      </c>
      <c r="J1782" s="53">
        <v>1</v>
      </c>
      <c r="K1782" s="53">
        <v>0</v>
      </c>
      <c r="L1782" s="53">
        <v>8</v>
      </c>
      <c r="M1782" s="53" t="s">
        <v>1152</v>
      </c>
      <c r="N1782" s="53">
        <v>11.4</v>
      </c>
      <c r="O1782" s="51" t="str">
        <f>TEXT(tblWorkPackages[[#This Row],[Request date serial]]-WEEKDAY(tblWorkPackages[[#This Row],[Request date serial]],3),"yyyy-mm-dd")</f>
        <v>2025-08-04</v>
      </c>
      <c r="P1782" s="51">
        <f>ABS(tblWorkPackages[[#This Row],[Actual labor hours]]-tblWorkPackages[[#This Row],[Estimated labor hours]])</f>
        <v>3.4</v>
      </c>
      <c r="Q1782" s="51">
        <f>IF(tblWorkPackages[[#This Row],[Actual labor hours]]&gt;tblWorkPackages[[#This Row],[Estimated labor hours]],1,0)</f>
        <v>1</v>
      </c>
      <c r="R1782" s="51">
        <f>tblWorkPackages[[#This Row],[Actual labor hours]]-tblWorkPackages[[#This Row],[Estimated labor hours]]</f>
        <v>3.4</v>
      </c>
      <c r="S1782" s="51" t="str">
        <f>IF(tblWorkPackages[[#This Row],[Request date serial]]&lt;ValidationStart,"Train 2024",IF(tblWorkPackages[[#This Row],[Request date serial]]&lt;HoldoutStart,"Validation H1","Holdout H2"))</f>
        <v>Holdout H2</v>
      </c>
      <c r="T1782" s="51">
        <f>IF(tblWorkPackages[[#This Row],[Time split]]="Train 2024","",tblWorkPackages[[#This Row],[Estimated labor hours]]+VLOOKUP(tblWorkPackages[[#This Row],[Task type]],'Forecast validation'!$A$14:$E$25,IF(tblWorkPackages[[#This Row],[Time split]]="Validation H1",4,5),FALSE()))</f>
        <v>8.82545454545455</v>
      </c>
      <c r="U1782" s="51">
        <f>IF(tblWorkPackages[[#This Row],[Calibrated forecast hours]]="","",ABS(tblWorkPackages[[#This Row],[Actual labor hours]]-tblWorkPackages[[#This Row],[Calibrated forecast hours]]))</f>
        <v>2.57454545454545</v>
      </c>
      <c r="V1782" s="51">
        <f>IF(tblWorkPackages[[#This Row],[Time split]]="Train 2024",tblWorkPackages[[#This Row],[Estimated labor hours]],tblWorkPackages[[#This Row],[Calibrated forecast hours]])</f>
        <v>8.82545454545455</v>
      </c>
      <c r="W1782" s="64">
        <f>DATEVALUE(tblWorkPackages[[#This Row],[Request date]])</f>
        <v>45879.0</v>
      </c>
      <c r="X1782" s="64">
        <f>DATEVALUE(tblWorkPackages[[#This Row],[Due date]])</f>
        <v>45885.0</v>
      </c>
      <c r="Y1782" s="64">
        <f>DATEVALUE(tblWorkPackages[[#This Row],[Completion date]])</f>
        <v>45893.0</v>
      </c>
      <c r="Z1782" s="64">
        <f>_xlfn.MINIFS(tblLaborEntries[Work date serial],tblLaborEntries[Work package ID],tblWorkPackages[[#This Row],[Work package ID]])</f>
        <v>45892.0</v>
      </c>
      <c r="AA1782" s="64">
        <f>_xlfn.MAXIFS(tblLaborEntries[Work date serial],tblLaborEntries[Work package ID],tblWorkPackages[[#This Row],[Work package ID]])</f>
        <v>45893.0</v>
      </c>
      <c r="AB1782" s="65">
        <f>IF(tblWorkPackages[[#This Row],[Completion date serial]]&gt;tblWorkPackages[[#This Row],[Due date serial]],1,0)</f>
        <v>1</v>
      </c>
      <c r="AC1782" s="65">
        <f>MAX(0,tblWorkPackages[[#This Row],[Completion date serial]]-tblWorkPackages[[#This Row],[Due date serial]])</f>
        <v>8</v>
      </c>
      <c r="AD1782" s="65">
        <f>tblWorkPackages[[#This Row],[First labor date]]-tblWorkPackages[[#This Row],[Request date serial]]</f>
        <v>13</v>
      </c>
      <c r="AE1782" s="65">
        <f>tblWorkPackages[[#This Row],[Last labor date]]-tblWorkPackages[[#This Row],[First labor date]]</f>
        <v>1</v>
      </c>
      <c r="AF1782" s="65">
        <f>tblWorkPackages[[#This Row],[Completion date serial]]-tblWorkPackages[[#This Row],[Last labor date]]</f>
        <v>0</v>
      </c>
      <c r="AG1782" s="65">
        <f>tblWorkPackages[[#This Row],[Completion date serial]]-tblWorkPackages[[#This Row],[Request date serial]]</f>
        <v>14</v>
      </c>
      <c r="AH1782" s="65">
        <f>IFERROR(INDEX(tblParts[Delay days],MATCH(tblWorkPackages[[#This Row],[Work package ID]],tblParts[Work package ID],0)),0)</f>
        <v>0</v>
      </c>
      <c r="AI1782" s="51" t="str">
        <f>IFERROR(INDEX(tblDisruptions[Event type],MATCH(tblWorkPackages[[#This Row],[Work package ID]],tblDisruptions[Work package ID],0)),"None")</f>
        <v>None</v>
      </c>
      <c r="AJ1782" s="51" t="str">
        <f>TEXT(tblWorkPackages[[#This Row],[Due date serial]],"yyyy-mm")</f>
        <v>2025-08</v>
      </c>
    </row>
    <row r="1783" spans="1:36" ht="15" x14ac:dyDescent="0.25">
      <c r="A1783" s="53" t="s">
        <v>2693</v>
      </c>
      <c r="B1783" s="53" t="s">
        <v>250</v>
      </c>
      <c r="C1783" s="53" t="s">
        <v>791</v>
      </c>
      <c r="D1783" s="53" t="s">
        <v>1130</v>
      </c>
      <c r="E1783" s="53" t="s">
        <v>160</v>
      </c>
      <c r="F1783" s="53" t="s">
        <v>128</v>
      </c>
      <c r="G1783" s="53" t="s">
        <v>138</v>
      </c>
      <c r="H1783" s="53">
        <v>4</v>
      </c>
      <c r="I1783" s="53" t="s">
        <v>130</v>
      </c>
      <c r="J1783" s="53">
        <v>0</v>
      </c>
      <c r="K1783" s="53">
        <v>0</v>
      </c>
      <c r="L1783" s="53">
        <v>7.5</v>
      </c>
      <c r="M1783" s="53" t="s">
        <v>288</v>
      </c>
      <c r="N1783" s="53">
        <v>6.9</v>
      </c>
      <c r="O1783" s="51" t="str">
        <f>TEXT(tblWorkPackages[[#This Row],[Request date serial]]-WEEKDAY(tblWorkPackages[[#This Row],[Request date serial]],3),"yyyy-mm-dd")</f>
        <v>2025-09-22</v>
      </c>
      <c r="P1783" s="51">
        <f>ABS(tblWorkPackages[[#This Row],[Actual labor hours]]-tblWorkPackages[[#This Row],[Estimated labor hours]])</f>
        <v>0.6</v>
      </c>
      <c r="Q1783" s="51">
        <f>IF(tblWorkPackages[[#This Row],[Actual labor hours]]&gt;tblWorkPackages[[#This Row],[Estimated labor hours]],1,0)</f>
        <v>0</v>
      </c>
      <c r="R1783" s="51">
        <f>tblWorkPackages[[#This Row],[Actual labor hours]]-tblWorkPackages[[#This Row],[Estimated labor hours]]</f>
        <v>-0.6</v>
      </c>
      <c r="S1783" s="51" t="str">
        <f>IF(tblWorkPackages[[#This Row],[Request date serial]]&lt;ValidationStart,"Train 2024",IF(tblWorkPackages[[#This Row],[Request date serial]]&lt;HoldoutStart,"Validation H1","Holdout H2"))</f>
        <v>Holdout H2</v>
      </c>
      <c r="T1783" s="51">
        <f>IF(tblWorkPackages[[#This Row],[Time split]]="Train 2024","",tblWorkPackages[[#This Row],[Estimated labor hours]]+VLOOKUP(tblWorkPackages[[#This Row],[Task type]],'Forecast validation'!$A$14:$E$25,IF(tblWorkPackages[[#This Row],[Time split]]="Validation H1",4,5),FALSE()))</f>
        <v>7.93739837398374</v>
      </c>
      <c r="U1783" s="51">
        <f>IF(tblWorkPackages[[#This Row],[Calibrated forecast hours]]="","",ABS(tblWorkPackages[[#This Row],[Actual labor hours]]-tblWorkPackages[[#This Row],[Calibrated forecast hours]]))</f>
        <v>1.03739837398374</v>
      </c>
      <c r="V1783" s="51">
        <f>IF(tblWorkPackages[[#This Row],[Time split]]="Train 2024",tblWorkPackages[[#This Row],[Estimated labor hours]],tblWorkPackages[[#This Row],[Calibrated forecast hours]])</f>
        <v>7.93739837398374</v>
      </c>
      <c r="W1783" s="64">
        <f>DATEVALUE(tblWorkPackages[[#This Row],[Request date]])</f>
        <v>45922.0</v>
      </c>
      <c r="X1783" s="64">
        <f>DATEVALUE(tblWorkPackages[[#This Row],[Due date]])</f>
        <v>45935.0</v>
      </c>
      <c r="Y1783" s="64">
        <f>DATEVALUE(tblWorkPackages[[#This Row],[Completion date]])</f>
        <v>45928.0</v>
      </c>
      <c r="Z1783" s="64">
        <f>_xlfn.MINIFS(tblLaborEntries[Work date serial],tblLaborEntries[Work package ID],tblWorkPackages[[#This Row],[Work package ID]])</f>
        <v>45925.0</v>
      </c>
      <c r="AA1783" s="64">
        <f>_xlfn.MAXIFS(tblLaborEntries[Work date serial],tblLaborEntries[Work package ID],tblWorkPackages[[#This Row],[Work package ID]])</f>
        <v>45927.0</v>
      </c>
      <c r="AB1783" s="65">
        <f>IF(tblWorkPackages[[#This Row],[Completion date serial]]&gt;tblWorkPackages[[#This Row],[Due date serial]],1,0)</f>
        <v>0</v>
      </c>
      <c r="AC1783" s="65">
        <f>MAX(0,tblWorkPackages[[#This Row],[Completion date serial]]-tblWorkPackages[[#This Row],[Due date serial]])</f>
        <v>0</v>
      </c>
      <c r="AD1783" s="65">
        <f>tblWorkPackages[[#This Row],[First labor date]]-tblWorkPackages[[#This Row],[Request date serial]]</f>
        <v>3</v>
      </c>
      <c r="AE1783" s="65">
        <f>tblWorkPackages[[#This Row],[Last labor date]]-tblWorkPackages[[#This Row],[First labor date]]</f>
        <v>2</v>
      </c>
      <c r="AF1783" s="65">
        <f>tblWorkPackages[[#This Row],[Completion date serial]]-tblWorkPackages[[#This Row],[Last labor date]]</f>
        <v>1</v>
      </c>
      <c r="AG1783" s="65">
        <f>tblWorkPackages[[#This Row],[Completion date serial]]-tblWorkPackages[[#This Row],[Request date serial]]</f>
        <v>6</v>
      </c>
      <c r="AH1783" s="65">
        <f>IFERROR(INDEX(tblParts[Delay days],MATCH(tblWorkPackages[[#This Row],[Work package ID]],tblParts[Work package ID],0)),0)</f>
        <v>0</v>
      </c>
      <c r="AI1783" s="51" t="str">
        <f>IFERROR(INDEX(tblDisruptions[Event type],MATCH(tblWorkPackages[[#This Row],[Work package ID]],tblDisruptions[Work package ID],0)),"None")</f>
        <v>None</v>
      </c>
      <c r="AJ1783" s="51" t="str">
        <f>TEXT(tblWorkPackages[[#This Row],[Due date serial]],"yyyy-mm")</f>
        <v>2025-10</v>
      </c>
    </row>
    <row r="1784" spans="1:36" ht="15" x14ac:dyDescent="0.25">
      <c r="A1784" s="53" t="s">
        <v>2694</v>
      </c>
      <c r="B1784" s="53" t="s">
        <v>235</v>
      </c>
      <c r="C1784" s="53" t="s">
        <v>943</v>
      </c>
      <c r="D1784" s="53" t="s">
        <v>543</v>
      </c>
      <c r="E1784" s="53" t="s">
        <v>209</v>
      </c>
      <c r="F1784" s="53" t="s">
        <v>145</v>
      </c>
      <c r="G1784" s="53" t="s">
        <v>210</v>
      </c>
      <c r="H1784" s="53">
        <v>1</v>
      </c>
      <c r="I1784" s="53" t="s">
        <v>176</v>
      </c>
      <c r="J1784" s="53">
        <v>0</v>
      </c>
      <c r="K1784" s="53">
        <v>0</v>
      </c>
      <c r="L1784" s="53">
        <v>12</v>
      </c>
      <c r="M1784" s="53" t="s">
        <v>1301</v>
      </c>
      <c r="N1784" s="53">
        <v>10.4</v>
      </c>
      <c r="O1784" s="51" t="str">
        <f>TEXT(tblWorkPackages[[#This Row],[Request date serial]]-WEEKDAY(tblWorkPackages[[#This Row],[Request date serial]],3),"yyyy-mm-dd")</f>
        <v>2025-10-13</v>
      </c>
      <c r="P1784" s="51">
        <f>ABS(tblWorkPackages[[#This Row],[Actual labor hours]]-tblWorkPackages[[#This Row],[Estimated labor hours]])</f>
        <v>1.6</v>
      </c>
      <c r="Q1784" s="51">
        <f>IF(tblWorkPackages[[#This Row],[Actual labor hours]]&gt;tblWorkPackages[[#This Row],[Estimated labor hours]],1,0)</f>
        <v>0</v>
      </c>
      <c r="R1784" s="51">
        <f>tblWorkPackages[[#This Row],[Actual labor hours]]-tblWorkPackages[[#This Row],[Estimated labor hours]]</f>
        <v>-1.6</v>
      </c>
      <c r="S1784" s="51" t="str">
        <f>IF(tblWorkPackages[[#This Row],[Request date serial]]&lt;ValidationStart,"Train 2024",IF(tblWorkPackages[[#This Row],[Request date serial]]&lt;HoldoutStart,"Validation H1","Holdout H2"))</f>
        <v>Holdout H2</v>
      </c>
      <c r="T1784" s="51">
        <f>IF(tblWorkPackages[[#This Row],[Time split]]="Train 2024","",tblWorkPackages[[#This Row],[Estimated labor hours]]+VLOOKUP(tblWorkPackages[[#This Row],[Task type]],'Forecast validation'!$A$14:$E$25,IF(tblWorkPackages[[#This Row],[Time split]]="Validation H1",4,5),FALSE()))</f>
        <v>13.795652173913</v>
      </c>
      <c r="U1784" s="51">
        <f>IF(tblWorkPackages[[#This Row],[Calibrated forecast hours]]="","",ABS(tblWorkPackages[[#This Row],[Actual labor hours]]-tblWorkPackages[[#This Row],[Calibrated forecast hours]]))</f>
        <v>3.39565217391304</v>
      </c>
      <c r="V1784" s="51">
        <f>IF(tblWorkPackages[[#This Row],[Time split]]="Train 2024",tblWorkPackages[[#This Row],[Estimated labor hours]],tblWorkPackages[[#This Row],[Calibrated forecast hours]])</f>
        <v>13.795652173913</v>
      </c>
      <c r="W1784" s="64">
        <f>DATEVALUE(tblWorkPackages[[#This Row],[Request date]])</f>
        <v>45944.0</v>
      </c>
      <c r="X1784" s="64">
        <f>DATEVALUE(tblWorkPackages[[#This Row],[Due date]])</f>
        <v>45950.0</v>
      </c>
      <c r="Y1784" s="64">
        <f>DATEVALUE(tblWorkPackages[[#This Row],[Completion date]])</f>
        <v>45986.0</v>
      </c>
      <c r="Z1784" s="64">
        <f>_xlfn.MINIFS(tblLaborEntries[Work date serial],tblLaborEntries[Work package ID],tblWorkPackages[[#This Row],[Work package ID]])</f>
        <v>45983.0</v>
      </c>
      <c r="AA1784" s="64">
        <f>_xlfn.MAXIFS(tblLaborEntries[Work date serial],tblLaborEntries[Work package ID],tblWorkPackages[[#This Row],[Work package ID]])</f>
        <v>45984.0</v>
      </c>
      <c r="AB1784" s="65">
        <f>IF(tblWorkPackages[[#This Row],[Completion date serial]]&gt;tblWorkPackages[[#This Row],[Due date serial]],1,0)</f>
        <v>1</v>
      </c>
      <c r="AC1784" s="65">
        <f>MAX(0,tblWorkPackages[[#This Row],[Completion date serial]]-tblWorkPackages[[#This Row],[Due date serial]])</f>
        <v>36</v>
      </c>
      <c r="AD1784" s="65">
        <f>tblWorkPackages[[#This Row],[First labor date]]-tblWorkPackages[[#This Row],[Request date serial]]</f>
        <v>39</v>
      </c>
      <c r="AE1784" s="65">
        <f>tblWorkPackages[[#This Row],[Last labor date]]-tblWorkPackages[[#This Row],[First labor date]]</f>
        <v>1</v>
      </c>
      <c r="AF1784" s="65">
        <f>tblWorkPackages[[#This Row],[Completion date serial]]-tblWorkPackages[[#This Row],[Last labor date]]</f>
        <v>2</v>
      </c>
      <c r="AG1784" s="65">
        <f>tblWorkPackages[[#This Row],[Completion date serial]]-tblWorkPackages[[#This Row],[Request date serial]]</f>
        <v>42</v>
      </c>
      <c r="AH1784" s="65">
        <f>IFERROR(INDEX(tblParts[Delay days],MATCH(tblWorkPackages[[#This Row],[Work package ID]],tblParts[Work package ID],0)),0)</f>
        <v>0</v>
      </c>
      <c r="AI1784" s="51" t="str">
        <f>IFERROR(INDEX(tblDisruptions[Event type],MATCH(tblWorkPackages[[#This Row],[Work package ID]],tblDisruptions[Work package ID],0)),"None")</f>
        <v>None</v>
      </c>
      <c r="AJ1784" s="51" t="str">
        <f>TEXT(tblWorkPackages[[#This Row],[Due date serial]],"yyyy-mm")</f>
        <v>2025-10</v>
      </c>
    </row>
    <row r="1785" spans="1:36" ht="15" x14ac:dyDescent="0.25">
      <c r="A1785" s="53" t="s">
        <v>2695</v>
      </c>
      <c r="B1785" s="53" t="s">
        <v>235</v>
      </c>
      <c r="C1785" s="53" t="s">
        <v>1138</v>
      </c>
      <c r="D1785" s="53" t="s">
        <v>263</v>
      </c>
      <c r="E1785" s="53" t="s">
        <v>272</v>
      </c>
      <c r="F1785" s="53" t="s">
        <v>145</v>
      </c>
      <c r="G1785" s="53" t="s">
        <v>273</v>
      </c>
      <c r="H1785" s="53">
        <v>1</v>
      </c>
      <c r="I1785" s="53" t="s">
        <v>130</v>
      </c>
      <c r="J1785" s="53">
        <v>0</v>
      </c>
      <c r="K1785" s="53">
        <v>1</v>
      </c>
      <c r="L1785" s="53">
        <v>7</v>
      </c>
      <c r="M1785" s="53" t="s">
        <v>945</v>
      </c>
      <c r="N1785" s="53">
        <v>6.7</v>
      </c>
      <c r="O1785" s="51" t="str">
        <f>TEXT(tblWorkPackages[[#This Row],[Request date serial]]-WEEKDAY(tblWorkPackages[[#This Row],[Request date serial]],3),"yyyy-mm-dd")</f>
        <v>2024-08-05</v>
      </c>
      <c r="P1785" s="51">
        <f>ABS(tblWorkPackages[[#This Row],[Actual labor hours]]-tblWorkPackages[[#This Row],[Estimated labor hours]])</f>
        <v>0.3</v>
      </c>
      <c r="Q1785" s="51">
        <f>IF(tblWorkPackages[[#This Row],[Actual labor hours]]&gt;tblWorkPackages[[#This Row],[Estimated labor hours]],1,0)</f>
        <v>0</v>
      </c>
      <c r="R1785" s="51">
        <f>tblWorkPackages[[#This Row],[Actual labor hours]]-tblWorkPackages[[#This Row],[Estimated labor hours]]</f>
        <v>-0.3</v>
      </c>
      <c r="S1785" s="51" t="str">
        <f>IF(tblWorkPackages[[#This Row],[Request date serial]]&lt;ValidationStart,"Train 2024",IF(tblWorkPackages[[#This Row],[Request date serial]]&lt;HoldoutStart,"Validation H1","Holdout H2"))</f>
        <v>Train 2024</v>
      </c>
      <c r="T1785" s="51" t="str">
        <f>IF(tblWorkPackages[[#This Row],[Time split]]="Train 2024","",tblWorkPackages[[#This Row],[Estimated labor hours]]+VLOOKUP(tblWorkPackages[[#This Row],[Task type]],'Forecast validation'!$A$14:$E$25,IF(tblWorkPackages[[#This Row],[Time split]]="Validation H1",4,5),FALSE()))</f>
        <v/>
      </c>
      <c r="U1785" s="51" t="str">
        <f>IF(tblWorkPackages[[#This Row],[Calibrated forecast hours]]="","",ABS(tblWorkPackages[[#This Row],[Actual labor hours]]-tblWorkPackages[[#This Row],[Calibrated forecast hours]]))</f>
        <v/>
      </c>
      <c r="V1785" s="51">
        <f>IF(tblWorkPackages[[#This Row],[Time split]]="Train 2024",tblWorkPackages[[#This Row],[Estimated labor hours]],tblWorkPackages[[#This Row],[Calibrated forecast hours]])</f>
        <v>7</v>
      </c>
      <c r="W1785" s="64">
        <f>DATEVALUE(tblWorkPackages[[#This Row],[Request date]])</f>
        <v>45509.0</v>
      </c>
      <c r="X1785" s="64">
        <f>DATEVALUE(tblWorkPackages[[#This Row],[Due date]])</f>
        <v>45522.0</v>
      </c>
      <c r="Y1785" s="64">
        <f>DATEVALUE(tblWorkPackages[[#This Row],[Completion date]])</f>
        <v>45521.0</v>
      </c>
      <c r="Z1785" s="64">
        <f>_xlfn.MINIFS(tblLaborEntries[Work date serial],tblLaborEntries[Work package ID],tblWorkPackages[[#This Row],[Work package ID]])</f>
        <v>45516.0</v>
      </c>
      <c r="AA1785" s="64">
        <f>_xlfn.MAXIFS(tblLaborEntries[Work date serial],tblLaborEntries[Work package ID],tblWorkPackages[[#This Row],[Work package ID]])</f>
        <v>45518.0</v>
      </c>
      <c r="AB1785" s="65">
        <f>IF(tblWorkPackages[[#This Row],[Completion date serial]]&gt;tblWorkPackages[[#This Row],[Due date serial]],1,0)</f>
        <v>0</v>
      </c>
      <c r="AC1785" s="65">
        <f>MAX(0,tblWorkPackages[[#This Row],[Completion date serial]]-tblWorkPackages[[#This Row],[Due date serial]])</f>
        <v>0</v>
      </c>
      <c r="AD1785" s="65">
        <f>tblWorkPackages[[#This Row],[First labor date]]-tblWorkPackages[[#This Row],[Request date serial]]</f>
        <v>7</v>
      </c>
      <c r="AE1785" s="65">
        <f>tblWorkPackages[[#This Row],[Last labor date]]-tblWorkPackages[[#This Row],[First labor date]]</f>
        <v>2</v>
      </c>
      <c r="AF1785" s="65">
        <f>tblWorkPackages[[#This Row],[Completion date serial]]-tblWorkPackages[[#This Row],[Last labor date]]</f>
        <v>3</v>
      </c>
      <c r="AG1785" s="65">
        <f>tblWorkPackages[[#This Row],[Completion date serial]]-tblWorkPackages[[#This Row],[Request date serial]]</f>
        <v>12</v>
      </c>
      <c r="AH1785" s="65">
        <f>IFERROR(INDEX(tblParts[Delay days],MATCH(tblWorkPackages[[#This Row],[Work package ID]],tblParts[Work package ID],0)),0)</f>
        <v>0</v>
      </c>
      <c r="AI1785" s="51" t="str">
        <f>IFERROR(INDEX(tblDisruptions[Event type],MATCH(tblWorkPackages[[#This Row],[Work package ID]],tblDisruptions[Work package ID],0)),"None")</f>
        <v>None</v>
      </c>
      <c r="AJ1785" s="51" t="str">
        <f>TEXT(tblWorkPackages[[#This Row],[Due date serial]],"yyyy-mm")</f>
        <v>2024-08</v>
      </c>
    </row>
    <row r="1786" spans="1:36" ht="15" x14ac:dyDescent="0.25">
      <c r="A1786" s="53" t="s">
        <v>2696</v>
      </c>
      <c r="B1786" s="53" t="s">
        <v>235</v>
      </c>
      <c r="C1786" s="53" t="s">
        <v>335</v>
      </c>
      <c r="D1786" s="53" t="s">
        <v>1301</v>
      </c>
      <c r="E1786" s="53" t="s">
        <v>237</v>
      </c>
      <c r="F1786" s="53" t="s">
        <v>182</v>
      </c>
      <c r="G1786" s="53" t="s">
        <v>138</v>
      </c>
      <c r="H1786" s="53">
        <v>2</v>
      </c>
      <c r="I1786" s="53" t="s">
        <v>147</v>
      </c>
      <c r="J1786" s="53">
        <v>0</v>
      </c>
      <c r="K1786" s="53">
        <v>1</v>
      </c>
      <c r="L1786" s="53">
        <v>4.5999999999999996</v>
      </c>
      <c r="M1786" s="53" t="s">
        <v>1614</v>
      </c>
      <c r="N1786" s="53">
        <v>4.8</v>
      </c>
      <c r="O1786" s="51" t="str">
        <f>TEXT(tblWorkPackages[[#This Row],[Request date serial]]-WEEKDAY(tblWorkPackages[[#This Row],[Request date serial]],3),"yyyy-mm-dd")</f>
        <v>2025-11-17</v>
      </c>
      <c r="P1786" s="51">
        <f>ABS(tblWorkPackages[[#This Row],[Actual labor hours]]-tblWorkPackages[[#This Row],[Estimated labor hours]])</f>
        <v>0.2</v>
      </c>
      <c r="Q1786" s="51">
        <f>IF(tblWorkPackages[[#This Row],[Actual labor hours]]&gt;tblWorkPackages[[#This Row],[Estimated labor hours]],1,0)</f>
        <v>1</v>
      </c>
      <c r="R1786" s="51">
        <f>tblWorkPackages[[#This Row],[Actual labor hours]]-tblWorkPackages[[#This Row],[Estimated labor hours]]</f>
        <v>0.2</v>
      </c>
      <c r="S1786" s="51" t="str">
        <f>IF(tblWorkPackages[[#This Row],[Request date serial]]&lt;ValidationStart,"Train 2024",IF(tblWorkPackages[[#This Row],[Request date serial]]&lt;HoldoutStart,"Validation H1","Holdout H2"))</f>
        <v>Holdout H2</v>
      </c>
      <c r="T1786" s="51">
        <f>IF(tblWorkPackages[[#This Row],[Time split]]="Train 2024","",tblWorkPackages[[#This Row],[Estimated labor hours]]+VLOOKUP(tblWorkPackages[[#This Row],[Task type]],'Forecast validation'!$A$14:$E$25,IF(tblWorkPackages[[#This Row],[Time split]]="Validation H1",4,5),FALSE()))</f>
        <v>5.053125</v>
      </c>
      <c r="U1786" s="51">
        <f>IF(tblWorkPackages[[#This Row],[Calibrated forecast hours]]="","",ABS(tblWorkPackages[[#This Row],[Actual labor hours]]-tblWorkPackages[[#This Row],[Calibrated forecast hours]]))</f>
        <v>0.253125</v>
      </c>
      <c r="V1786" s="51">
        <f>IF(tblWorkPackages[[#This Row],[Time split]]="Train 2024",tblWorkPackages[[#This Row],[Estimated labor hours]],tblWorkPackages[[#This Row],[Calibrated forecast hours]])</f>
        <v>5.053125</v>
      </c>
      <c r="W1786" s="64">
        <f>DATEVALUE(tblWorkPackages[[#This Row],[Request date]])</f>
        <v>45984.0</v>
      </c>
      <c r="X1786" s="64">
        <f>DATEVALUE(tblWorkPackages[[#This Row],[Due date]])</f>
        <v>45986.0</v>
      </c>
      <c r="Y1786" s="64">
        <f>DATEVALUE(tblWorkPackages[[#This Row],[Completion date]])</f>
        <v>45988.0</v>
      </c>
      <c r="Z1786" s="64">
        <f>_xlfn.MINIFS(tblLaborEntries[Work date serial],tblLaborEntries[Work package ID],tblWorkPackages[[#This Row],[Work package ID]])</f>
        <v>45986.0</v>
      </c>
      <c r="AA1786" s="64">
        <f>_xlfn.MAXIFS(tblLaborEntries[Work date serial],tblLaborEntries[Work package ID],tblWorkPackages[[#This Row],[Work package ID]])</f>
        <v>45988.0</v>
      </c>
      <c r="AB1786" s="65">
        <f>IF(tblWorkPackages[[#This Row],[Completion date serial]]&gt;tblWorkPackages[[#This Row],[Due date serial]],1,0)</f>
        <v>1</v>
      </c>
      <c r="AC1786" s="65">
        <f>MAX(0,tblWorkPackages[[#This Row],[Completion date serial]]-tblWorkPackages[[#This Row],[Due date serial]])</f>
        <v>2</v>
      </c>
      <c r="AD1786" s="65">
        <f>tblWorkPackages[[#This Row],[First labor date]]-tblWorkPackages[[#This Row],[Request date serial]]</f>
        <v>2</v>
      </c>
      <c r="AE1786" s="65">
        <f>tblWorkPackages[[#This Row],[Last labor date]]-tblWorkPackages[[#This Row],[First labor date]]</f>
        <v>2</v>
      </c>
      <c r="AF1786" s="65">
        <f>tblWorkPackages[[#This Row],[Completion date serial]]-tblWorkPackages[[#This Row],[Last labor date]]</f>
        <v>0</v>
      </c>
      <c r="AG1786" s="65">
        <f>tblWorkPackages[[#This Row],[Completion date serial]]-tblWorkPackages[[#This Row],[Request date serial]]</f>
        <v>4</v>
      </c>
      <c r="AH1786" s="65">
        <f>IFERROR(INDEX(tblParts[Delay days],MATCH(tblWorkPackages[[#This Row],[Work package ID]],tblParts[Work package ID],0)),0)</f>
        <v>0</v>
      </c>
      <c r="AI1786" s="51" t="str">
        <f>IFERROR(INDEX(tblDisruptions[Event type],MATCH(tblWorkPackages[[#This Row],[Work package ID]],tblDisruptions[Work package ID],0)),"None")</f>
        <v>None</v>
      </c>
      <c r="AJ1786" s="51" t="str">
        <f>TEXT(tblWorkPackages[[#This Row],[Due date serial]],"yyyy-mm")</f>
        <v>2025-11</v>
      </c>
    </row>
    <row r="1787" spans="1:36" ht="15" x14ac:dyDescent="0.25">
      <c r="A1787" s="53" t="s">
        <v>2697</v>
      </c>
      <c r="B1787" s="53" t="s">
        <v>141</v>
      </c>
      <c r="C1787" s="53" t="s">
        <v>916</v>
      </c>
      <c r="D1787" s="53" t="s">
        <v>274</v>
      </c>
      <c r="E1787" s="53" t="s">
        <v>160</v>
      </c>
      <c r="F1787" s="53" t="s">
        <v>128</v>
      </c>
      <c r="G1787" s="53" t="s">
        <v>138</v>
      </c>
      <c r="H1787" s="53">
        <v>2</v>
      </c>
      <c r="I1787" s="53" t="s">
        <v>176</v>
      </c>
      <c r="J1787" s="53">
        <v>1</v>
      </c>
      <c r="K1787" s="53">
        <v>0</v>
      </c>
      <c r="L1787" s="53">
        <v>5.0999999999999996</v>
      </c>
      <c r="M1787" s="53" t="s">
        <v>740</v>
      </c>
      <c r="N1787" s="53">
        <v>6.6</v>
      </c>
      <c r="O1787" s="51" t="str">
        <f>TEXT(tblWorkPackages[[#This Row],[Request date serial]]-WEEKDAY(tblWorkPackages[[#This Row],[Request date serial]],3),"yyyy-mm-dd")</f>
        <v>2025-04-28</v>
      </c>
      <c r="P1787" s="51">
        <f>ABS(tblWorkPackages[[#This Row],[Actual labor hours]]-tblWorkPackages[[#This Row],[Estimated labor hours]])</f>
        <v>1.5</v>
      </c>
      <c r="Q1787" s="51">
        <f>IF(tblWorkPackages[[#This Row],[Actual labor hours]]&gt;tblWorkPackages[[#This Row],[Estimated labor hours]],1,0)</f>
        <v>1</v>
      </c>
      <c r="R1787" s="51">
        <f>tblWorkPackages[[#This Row],[Actual labor hours]]-tblWorkPackages[[#This Row],[Estimated labor hours]]</f>
        <v>1.5</v>
      </c>
      <c r="S1787" s="51" t="str">
        <f>IF(tblWorkPackages[[#This Row],[Request date serial]]&lt;ValidationStart,"Train 2024",IF(tblWorkPackages[[#This Row],[Request date serial]]&lt;HoldoutStart,"Validation H1","Holdout H2"))</f>
        <v>Validation H1</v>
      </c>
      <c r="T1787" s="51">
        <f>IF(tblWorkPackages[[#This Row],[Time split]]="Train 2024","",tblWorkPackages[[#This Row],[Estimated labor hours]]+VLOOKUP(tblWorkPackages[[#This Row],[Task type]],'Forecast validation'!$A$14:$E$25,IF(tblWorkPackages[[#This Row],[Time split]]="Validation H1",4,5),FALSE()))</f>
        <v>5.54146341463415</v>
      </c>
      <c r="U1787" s="51">
        <f>IF(tblWorkPackages[[#This Row],[Calibrated forecast hours]]="","",ABS(tblWorkPackages[[#This Row],[Actual labor hours]]-tblWorkPackages[[#This Row],[Calibrated forecast hours]]))</f>
        <v>1.05853658536585</v>
      </c>
      <c r="V1787" s="51">
        <f>IF(tblWorkPackages[[#This Row],[Time split]]="Train 2024",tblWorkPackages[[#This Row],[Estimated labor hours]],tblWorkPackages[[#This Row],[Calibrated forecast hours]])</f>
        <v>5.54146341463415</v>
      </c>
      <c r="W1787" s="64">
        <f>DATEVALUE(tblWorkPackages[[#This Row],[Request date]])</f>
        <v>45777.0</v>
      </c>
      <c r="X1787" s="64">
        <f>DATEVALUE(tblWorkPackages[[#This Row],[Due date]])</f>
        <v>45783.0</v>
      </c>
      <c r="Y1787" s="64">
        <f>DATEVALUE(tblWorkPackages[[#This Row],[Completion date]])</f>
        <v>45797.0</v>
      </c>
      <c r="Z1787" s="64">
        <f>_xlfn.MINIFS(tblLaborEntries[Work date serial],tblLaborEntries[Work package ID],tblWorkPackages[[#This Row],[Work package ID]])</f>
        <v>45794.0</v>
      </c>
      <c r="AA1787" s="64">
        <f>_xlfn.MAXIFS(tblLaborEntries[Work date serial],tblLaborEntries[Work package ID],tblWorkPackages[[#This Row],[Work package ID]])</f>
        <v>45796.0</v>
      </c>
      <c r="AB1787" s="65">
        <f>IF(tblWorkPackages[[#This Row],[Completion date serial]]&gt;tblWorkPackages[[#This Row],[Due date serial]],1,0)</f>
        <v>1</v>
      </c>
      <c r="AC1787" s="65">
        <f>MAX(0,tblWorkPackages[[#This Row],[Completion date serial]]-tblWorkPackages[[#This Row],[Due date serial]])</f>
        <v>14</v>
      </c>
      <c r="AD1787" s="65">
        <f>tblWorkPackages[[#This Row],[First labor date]]-tblWorkPackages[[#This Row],[Request date serial]]</f>
        <v>17</v>
      </c>
      <c r="AE1787" s="65">
        <f>tblWorkPackages[[#This Row],[Last labor date]]-tblWorkPackages[[#This Row],[First labor date]]</f>
        <v>2</v>
      </c>
      <c r="AF1787" s="65">
        <f>tblWorkPackages[[#This Row],[Completion date serial]]-tblWorkPackages[[#This Row],[Last labor date]]</f>
        <v>1</v>
      </c>
      <c r="AG1787" s="65">
        <f>tblWorkPackages[[#This Row],[Completion date serial]]-tblWorkPackages[[#This Row],[Request date serial]]</f>
        <v>20</v>
      </c>
      <c r="AH1787" s="65">
        <f>IFERROR(INDEX(tblParts[Delay days],MATCH(tblWorkPackages[[#This Row],[Work package ID]],tblParts[Work package ID],0)),0)</f>
        <v>0</v>
      </c>
      <c r="AI1787" s="51" t="str">
        <f>IFERROR(INDEX(tblDisruptions[Event type],MATCH(tblWorkPackages[[#This Row],[Work package ID]],tblDisruptions[Work package ID],0)),"None")</f>
        <v>None</v>
      </c>
      <c r="AJ1787" s="51" t="str">
        <f>TEXT(tblWorkPackages[[#This Row],[Due date serial]],"yyyy-mm")</f>
        <v>2025-05</v>
      </c>
    </row>
    <row r="1788" spans="1:36" ht="15" x14ac:dyDescent="0.25">
      <c r="A1788" s="53" t="s">
        <v>2698</v>
      </c>
      <c r="B1788" s="53" t="s">
        <v>133</v>
      </c>
      <c r="C1788" s="53" t="s">
        <v>616</v>
      </c>
      <c r="D1788" s="53" t="s">
        <v>1813</v>
      </c>
      <c r="E1788" s="53" t="s">
        <v>127</v>
      </c>
      <c r="F1788" s="53" t="s">
        <v>128</v>
      </c>
      <c r="G1788" s="53" t="s">
        <v>129</v>
      </c>
      <c r="H1788" s="53">
        <v>4</v>
      </c>
      <c r="I1788" s="53" t="s">
        <v>130</v>
      </c>
      <c r="J1788" s="53">
        <v>0</v>
      </c>
      <c r="K1788" s="53">
        <v>0</v>
      </c>
      <c r="L1788" s="53">
        <v>13.3</v>
      </c>
      <c r="M1788" s="53" t="s">
        <v>1262</v>
      </c>
      <c r="N1788" s="53">
        <v>16.3</v>
      </c>
      <c r="O1788" s="51" t="str">
        <f>TEXT(tblWorkPackages[[#This Row],[Request date serial]]-WEEKDAY(tblWorkPackages[[#This Row],[Request date serial]],3),"yyyy-mm-dd")</f>
        <v>2024-02-05</v>
      </c>
      <c r="P1788" s="51">
        <f>ABS(tblWorkPackages[[#This Row],[Actual labor hours]]-tblWorkPackages[[#This Row],[Estimated labor hours]])</f>
        <v>3</v>
      </c>
      <c r="Q1788" s="51">
        <f>IF(tblWorkPackages[[#This Row],[Actual labor hours]]&gt;tblWorkPackages[[#This Row],[Estimated labor hours]],1,0)</f>
        <v>1</v>
      </c>
      <c r="R1788" s="51">
        <f>tblWorkPackages[[#This Row],[Actual labor hours]]-tblWorkPackages[[#This Row],[Estimated labor hours]]</f>
        <v>3</v>
      </c>
      <c r="S1788" s="51" t="str">
        <f>IF(tblWorkPackages[[#This Row],[Request date serial]]&lt;ValidationStart,"Train 2024",IF(tblWorkPackages[[#This Row],[Request date serial]]&lt;HoldoutStart,"Validation H1","Holdout H2"))</f>
        <v>Train 2024</v>
      </c>
      <c r="T1788" s="51" t="str">
        <f>IF(tblWorkPackages[[#This Row],[Time split]]="Train 2024","",tblWorkPackages[[#This Row],[Estimated labor hours]]+VLOOKUP(tblWorkPackages[[#This Row],[Task type]],'Forecast validation'!$A$14:$E$25,IF(tblWorkPackages[[#This Row],[Time split]]="Validation H1",4,5),FALSE()))</f>
        <v/>
      </c>
      <c r="U1788" s="51" t="str">
        <f>IF(tblWorkPackages[[#This Row],[Calibrated forecast hours]]="","",ABS(tblWorkPackages[[#This Row],[Actual labor hours]]-tblWorkPackages[[#This Row],[Calibrated forecast hours]]))</f>
        <v/>
      </c>
      <c r="V1788" s="51">
        <f>IF(tblWorkPackages[[#This Row],[Time split]]="Train 2024",tblWorkPackages[[#This Row],[Estimated labor hours]],tblWorkPackages[[#This Row],[Calibrated forecast hours]])</f>
        <v>13.3</v>
      </c>
      <c r="W1788" s="64">
        <f>DATEVALUE(tblWorkPackages[[#This Row],[Request date]])</f>
        <v>45329.0</v>
      </c>
      <c r="X1788" s="64">
        <f>DATEVALUE(tblWorkPackages[[#This Row],[Due date]])</f>
        <v>45342.0</v>
      </c>
      <c r="Y1788" s="64">
        <f>DATEVALUE(tblWorkPackages[[#This Row],[Completion date]])</f>
        <v>45337.0</v>
      </c>
      <c r="Z1788" s="64">
        <f>_xlfn.MINIFS(tblLaborEntries[Work date serial],tblLaborEntries[Work package ID],tblWorkPackages[[#This Row],[Work package ID]])</f>
        <v>45333.0</v>
      </c>
      <c r="AA1788" s="64">
        <f>_xlfn.MAXIFS(tblLaborEntries[Work date serial],tblLaborEntries[Work package ID],tblWorkPackages[[#This Row],[Work package ID]])</f>
        <v>45335.0</v>
      </c>
      <c r="AB1788" s="65">
        <f>IF(tblWorkPackages[[#This Row],[Completion date serial]]&gt;tblWorkPackages[[#This Row],[Due date serial]],1,0)</f>
        <v>0</v>
      </c>
      <c r="AC1788" s="65">
        <f>MAX(0,tblWorkPackages[[#This Row],[Completion date serial]]-tblWorkPackages[[#This Row],[Due date serial]])</f>
        <v>0</v>
      </c>
      <c r="AD1788" s="65">
        <f>tblWorkPackages[[#This Row],[First labor date]]-tblWorkPackages[[#This Row],[Request date serial]]</f>
        <v>4</v>
      </c>
      <c r="AE1788" s="65">
        <f>tblWorkPackages[[#This Row],[Last labor date]]-tblWorkPackages[[#This Row],[First labor date]]</f>
        <v>2</v>
      </c>
      <c r="AF1788" s="65">
        <f>tblWorkPackages[[#This Row],[Completion date serial]]-tblWorkPackages[[#This Row],[Last labor date]]</f>
        <v>2</v>
      </c>
      <c r="AG1788" s="65">
        <f>tblWorkPackages[[#This Row],[Completion date serial]]-tblWorkPackages[[#This Row],[Request date serial]]</f>
        <v>8</v>
      </c>
      <c r="AH1788" s="65">
        <f>IFERROR(INDEX(tblParts[Delay days],MATCH(tblWorkPackages[[#This Row],[Work package ID]],tblParts[Work package ID],0)),0)</f>
        <v>0</v>
      </c>
      <c r="AI1788" s="51" t="str">
        <f>IFERROR(INDEX(tblDisruptions[Event type],MATCH(tblWorkPackages[[#This Row],[Work package ID]],tblDisruptions[Work package ID],0)),"None")</f>
        <v>None</v>
      </c>
      <c r="AJ1788" s="51" t="str">
        <f>TEXT(tblWorkPackages[[#This Row],[Due date serial]],"yyyy-mm")</f>
        <v>2024-02</v>
      </c>
    </row>
    <row r="1789" spans="1:36" ht="15" x14ac:dyDescent="0.25">
      <c r="A1789" s="53" t="s">
        <v>2699</v>
      </c>
      <c r="B1789" s="53" t="s">
        <v>168</v>
      </c>
      <c r="C1789" s="53" t="s">
        <v>139</v>
      </c>
      <c r="D1789" s="53" t="s">
        <v>624</v>
      </c>
      <c r="E1789" s="53" t="s">
        <v>181</v>
      </c>
      <c r="F1789" s="53" t="s">
        <v>182</v>
      </c>
      <c r="G1789" s="53" t="s">
        <v>138</v>
      </c>
      <c r="H1789" s="53">
        <v>1</v>
      </c>
      <c r="I1789" s="53" t="s">
        <v>130</v>
      </c>
      <c r="J1789" s="53">
        <v>1</v>
      </c>
      <c r="K1789" s="53">
        <v>1</v>
      </c>
      <c r="L1789" s="53">
        <v>4.5999999999999996</v>
      </c>
      <c r="M1789" s="53" t="s">
        <v>1056</v>
      </c>
      <c r="N1789" s="53">
        <v>5.5</v>
      </c>
      <c r="O1789" s="51" t="str">
        <f>TEXT(tblWorkPackages[[#This Row],[Request date serial]]-WEEKDAY(tblWorkPackages[[#This Row],[Request date serial]],3),"yyyy-mm-dd")</f>
        <v>2025-09-08</v>
      </c>
      <c r="P1789" s="51">
        <f>ABS(tblWorkPackages[[#This Row],[Actual labor hours]]-tblWorkPackages[[#This Row],[Estimated labor hours]])</f>
        <v>0.9</v>
      </c>
      <c r="Q1789" s="51">
        <f>IF(tblWorkPackages[[#This Row],[Actual labor hours]]&gt;tblWorkPackages[[#This Row],[Estimated labor hours]],1,0)</f>
        <v>1</v>
      </c>
      <c r="R1789" s="51">
        <f>tblWorkPackages[[#This Row],[Actual labor hours]]-tblWorkPackages[[#This Row],[Estimated labor hours]]</f>
        <v>0.9</v>
      </c>
      <c r="S1789" s="51" t="str">
        <f>IF(tblWorkPackages[[#This Row],[Request date serial]]&lt;ValidationStart,"Train 2024",IF(tblWorkPackages[[#This Row],[Request date serial]]&lt;HoldoutStart,"Validation H1","Holdout H2"))</f>
        <v>Holdout H2</v>
      </c>
      <c r="T1789" s="51">
        <f>IF(tblWorkPackages[[#This Row],[Time split]]="Train 2024","",tblWorkPackages[[#This Row],[Estimated labor hours]]+VLOOKUP(tblWorkPackages[[#This Row],[Task type]],'Forecast validation'!$A$14:$E$25,IF(tblWorkPackages[[#This Row],[Time split]]="Validation H1",4,5),FALSE()))</f>
        <v>5.19160839160839</v>
      </c>
      <c r="U1789" s="51">
        <f>IF(tblWorkPackages[[#This Row],[Calibrated forecast hours]]="","",ABS(tblWorkPackages[[#This Row],[Actual labor hours]]-tblWorkPackages[[#This Row],[Calibrated forecast hours]]))</f>
        <v>0.308391608391609</v>
      </c>
      <c r="V1789" s="51">
        <f>IF(tblWorkPackages[[#This Row],[Time split]]="Train 2024",tblWorkPackages[[#This Row],[Estimated labor hours]],tblWorkPackages[[#This Row],[Calibrated forecast hours]])</f>
        <v>5.19160839160839</v>
      </c>
      <c r="W1789" s="64">
        <f>DATEVALUE(tblWorkPackages[[#This Row],[Request date]])</f>
        <v>45908.0</v>
      </c>
      <c r="X1789" s="64">
        <f>DATEVALUE(tblWorkPackages[[#This Row],[Due date]])</f>
        <v>45921.0</v>
      </c>
      <c r="Y1789" s="64">
        <f>DATEVALUE(tblWorkPackages[[#This Row],[Completion date]])</f>
        <v>45913.0</v>
      </c>
      <c r="Z1789" s="64">
        <f>_xlfn.MINIFS(tblLaborEntries[Work date serial],tblLaborEntries[Work package ID],tblWorkPackages[[#This Row],[Work package ID]])</f>
        <v>45909.0</v>
      </c>
      <c r="AA1789" s="64">
        <f>_xlfn.MAXIFS(tblLaborEntries[Work date serial],tblLaborEntries[Work package ID],tblWorkPackages[[#This Row],[Work package ID]])</f>
        <v>45910.0</v>
      </c>
      <c r="AB1789" s="65">
        <f>IF(tblWorkPackages[[#This Row],[Completion date serial]]&gt;tblWorkPackages[[#This Row],[Due date serial]],1,0)</f>
        <v>0</v>
      </c>
      <c r="AC1789" s="65">
        <f>MAX(0,tblWorkPackages[[#This Row],[Completion date serial]]-tblWorkPackages[[#This Row],[Due date serial]])</f>
        <v>0</v>
      </c>
      <c r="AD1789" s="65">
        <f>tblWorkPackages[[#This Row],[First labor date]]-tblWorkPackages[[#This Row],[Request date serial]]</f>
        <v>1</v>
      </c>
      <c r="AE1789" s="65">
        <f>tblWorkPackages[[#This Row],[Last labor date]]-tblWorkPackages[[#This Row],[First labor date]]</f>
        <v>1</v>
      </c>
      <c r="AF1789" s="65">
        <f>tblWorkPackages[[#This Row],[Completion date serial]]-tblWorkPackages[[#This Row],[Last labor date]]</f>
        <v>3</v>
      </c>
      <c r="AG1789" s="65">
        <f>tblWorkPackages[[#This Row],[Completion date serial]]-tblWorkPackages[[#This Row],[Request date serial]]</f>
        <v>5</v>
      </c>
      <c r="AH1789" s="65">
        <f>IFERROR(INDEX(tblParts[Delay days],MATCH(tblWorkPackages[[#This Row],[Work package ID]],tblParts[Work package ID],0)),0)</f>
        <v>0</v>
      </c>
      <c r="AI1789" s="51" t="str">
        <f>IFERROR(INDEX(tblDisruptions[Event type],MATCH(tblWorkPackages[[#This Row],[Work package ID]],tblDisruptions[Work package ID],0)),"None")</f>
        <v>None</v>
      </c>
      <c r="AJ1789" s="51" t="str">
        <f>TEXT(tblWorkPackages[[#This Row],[Due date serial]],"yyyy-mm")</f>
        <v>2025-09</v>
      </c>
    </row>
    <row r="1790" spans="1:36" ht="15" x14ac:dyDescent="0.25">
      <c r="A1790" s="53" t="s">
        <v>2700</v>
      </c>
      <c r="B1790" s="53" t="s">
        <v>141</v>
      </c>
      <c r="C1790" s="53" t="s">
        <v>696</v>
      </c>
      <c r="D1790" s="53" t="s">
        <v>698</v>
      </c>
      <c r="E1790" s="53" t="s">
        <v>127</v>
      </c>
      <c r="F1790" s="53" t="s">
        <v>128</v>
      </c>
      <c r="G1790" s="53" t="s">
        <v>129</v>
      </c>
      <c r="H1790" s="53">
        <v>2</v>
      </c>
      <c r="I1790" s="53" t="s">
        <v>176</v>
      </c>
      <c r="J1790" s="53">
        <v>0</v>
      </c>
      <c r="K1790" s="53">
        <v>0</v>
      </c>
      <c r="L1790" s="53">
        <v>7.5</v>
      </c>
      <c r="M1790" s="53" t="s">
        <v>1085</v>
      </c>
      <c r="N1790" s="53">
        <v>9.3000000000000007</v>
      </c>
      <c r="O1790" s="51" t="str">
        <f>TEXT(tblWorkPackages[[#This Row],[Request date serial]]-WEEKDAY(tblWorkPackages[[#This Row],[Request date serial]],3),"yyyy-mm-dd")</f>
        <v>2025-01-27</v>
      </c>
      <c r="P1790" s="51">
        <f>ABS(tblWorkPackages[[#This Row],[Actual labor hours]]-tblWorkPackages[[#This Row],[Estimated labor hours]])</f>
        <v>1.8</v>
      </c>
      <c r="Q1790" s="51">
        <f>IF(tblWorkPackages[[#This Row],[Actual labor hours]]&gt;tblWorkPackages[[#This Row],[Estimated labor hours]],1,0)</f>
        <v>1</v>
      </c>
      <c r="R1790" s="51">
        <f>tblWorkPackages[[#This Row],[Actual labor hours]]-tblWorkPackages[[#This Row],[Estimated labor hours]]</f>
        <v>1.8</v>
      </c>
      <c r="S1790" s="51" t="str">
        <f>IF(tblWorkPackages[[#This Row],[Request date serial]]&lt;ValidationStart,"Train 2024",IF(tblWorkPackages[[#This Row],[Request date serial]]&lt;HoldoutStart,"Validation H1","Holdout H2"))</f>
        <v>Validation H1</v>
      </c>
      <c r="T1790" s="51">
        <f>IF(tblWorkPackages[[#This Row],[Time split]]="Train 2024","",tblWorkPackages[[#This Row],[Estimated labor hours]]+VLOOKUP(tblWorkPackages[[#This Row],[Task type]],'Forecast validation'!$A$14:$E$25,IF(tblWorkPackages[[#This Row],[Time split]]="Validation H1",4,5),FALSE()))</f>
        <v>7.97564102564103</v>
      </c>
      <c r="U1790" s="51">
        <f>IF(tblWorkPackages[[#This Row],[Calibrated forecast hours]]="","",ABS(tblWorkPackages[[#This Row],[Actual labor hours]]-tblWorkPackages[[#This Row],[Calibrated forecast hours]]))</f>
        <v>1.32435897435898</v>
      </c>
      <c r="V1790" s="51">
        <f>IF(tblWorkPackages[[#This Row],[Time split]]="Train 2024",tblWorkPackages[[#This Row],[Estimated labor hours]],tblWorkPackages[[#This Row],[Calibrated forecast hours]])</f>
        <v>7.97564102564103</v>
      </c>
      <c r="W1790" s="64">
        <f>DATEVALUE(tblWorkPackages[[#This Row],[Request date]])</f>
        <v>45690.0</v>
      </c>
      <c r="X1790" s="64">
        <f>DATEVALUE(tblWorkPackages[[#This Row],[Due date]])</f>
        <v>45696.0</v>
      </c>
      <c r="Y1790" s="64">
        <f>DATEVALUE(tblWorkPackages[[#This Row],[Completion date]])</f>
        <v>45701.0</v>
      </c>
      <c r="Z1790" s="64">
        <f>_xlfn.MINIFS(tblLaborEntries[Work date serial],tblLaborEntries[Work package ID],tblWorkPackages[[#This Row],[Work package ID]])</f>
        <v>45700.0</v>
      </c>
      <c r="AA1790" s="64">
        <f>_xlfn.MAXIFS(tblLaborEntries[Work date serial],tblLaborEntries[Work package ID],tblWorkPackages[[#This Row],[Work package ID]])</f>
        <v>45701.0</v>
      </c>
      <c r="AB1790" s="65">
        <f>IF(tblWorkPackages[[#This Row],[Completion date serial]]&gt;tblWorkPackages[[#This Row],[Due date serial]],1,0)</f>
        <v>1</v>
      </c>
      <c r="AC1790" s="65">
        <f>MAX(0,tblWorkPackages[[#This Row],[Completion date serial]]-tblWorkPackages[[#This Row],[Due date serial]])</f>
        <v>5</v>
      </c>
      <c r="AD1790" s="65">
        <f>tblWorkPackages[[#This Row],[First labor date]]-tblWorkPackages[[#This Row],[Request date serial]]</f>
        <v>10</v>
      </c>
      <c r="AE1790" s="65">
        <f>tblWorkPackages[[#This Row],[Last labor date]]-tblWorkPackages[[#This Row],[First labor date]]</f>
        <v>1</v>
      </c>
      <c r="AF1790" s="65">
        <f>tblWorkPackages[[#This Row],[Completion date serial]]-tblWorkPackages[[#This Row],[Last labor date]]</f>
        <v>0</v>
      </c>
      <c r="AG1790" s="65">
        <f>tblWorkPackages[[#This Row],[Completion date serial]]-tblWorkPackages[[#This Row],[Request date serial]]</f>
        <v>11</v>
      </c>
      <c r="AH1790" s="65">
        <f>IFERROR(INDEX(tblParts[Delay days],MATCH(tblWorkPackages[[#This Row],[Work package ID]],tblParts[Work package ID],0)),0)</f>
        <v>0</v>
      </c>
      <c r="AI1790" s="51" t="str">
        <f>IFERROR(INDEX(tblDisruptions[Event type],MATCH(tblWorkPackages[[#This Row],[Work package ID]],tblDisruptions[Work package ID],0)),"None")</f>
        <v>None</v>
      </c>
      <c r="AJ1790" s="51" t="str">
        <f>TEXT(tblWorkPackages[[#This Row],[Due date serial]],"yyyy-mm")</f>
        <v>2025-02</v>
      </c>
    </row>
    <row r="1791" spans="1:36" ht="15" x14ac:dyDescent="0.25">
      <c r="A1791" s="53" t="s">
        <v>2701</v>
      </c>
      <c r="B1791" s="53" t="s">
        <v>250</v>
      </c>
      <c r="C1791" s="53" t="s">
        <v>320</v>
      </c>
      <c r="D1791" s="53" t="s">
        <v>667</v>
      </c>
      <c r="E1791" s="53" t="s">
        <v>136</v>
      </c>
      <c r="F1791" s="53" t="s">
        <v>137</v>
      </c>
      <c r="G1791" s="53" t="s">
        <v>138</v>
      </c>
      <c r="H1791" s="53">
        <v>1</v>
      </c>
      <c r="I1791" s="53" t="s">
        <v>130</v>
      </c>
      <c r="J1791" s="53">
        <v>0</v>
      </c>
      <c r="K1791" s="53">
        <v>0</v>
      </c>
      <c r="L1791" s="53">
        <v>10.3</v>
      </c>
      <c r="M1791" s="53" t="s">
        <v>1001</v>
      </c>
      <c r="N1791" s="53">
        <v>10.7</v>
      </c>
      <c r="O1791" s="51" t="str">
        <f>TEXT(tblWorkPackages[[#This Row],[Request date serial]]-WEEKDAY(tblWorkPackages[[#This Row],[Request date serial]],3),"yyyy-mm-dd")</f>
        <v>2024-03-04</v>
      </c>
      <c r="P1791" s="51">
        <f>ABS(tblWorkPackages[[#This Row],[Actual labor hours]]-tblWorkPackages[[#This Row],[Estimated labor hours]])</f>
        <v>0.399999999999999</v>
      </c>
      <c r="Q1791" s="51">
        <f>IF(tblWorkPackages[[#This Row],[Actual labor hours]]&gt;tblWorkPackages[[#This Row],[Estimated labor hours]],1,0)</f>
        <v>1</v>
      </c>
      <c r="R1791" s="51">
        <f>tblWorkPackages[[#This Row],[Actual labor hours]]-tblWorkPackages[[#This Row],[Estimated labor hours]]</f>
        <v>0.399999999999999</v>
      </c>
      <c r="S1791" s="51" t="str">
        <f>IF(tblWorkPackages[[#This Row],[Request date serial]]&lt;ValidationStart,"Train 2024",IF(tblWorkPackages[[#This Row],[Request date serial]]&lt;HoldoutStart,"Validation H1","Holdout H2"))</f>
        <v>Train 2024</v>
      </c>
      <c r="T1791" s="51" t="str">
        <f>IF(tblWorkPackages[[#This Row],[Time split]]="Train 2024","",tblWorkPackages[[#This Row],[Estimated labor hours]]+VLOOKUP(tblWorkPackages[[#This Row],[Task type]],'Forecast validation'!$A$14:$E$25,IF(tblWorkPackages[[#This Row],[Time split]]="Validation H1",4,5),FALSE()))</f>
        <v/>
      </c>
      <c r="U1791" s="51" t="str">
        <f>IF(tblWorkPackages[[#This Row],[Calibrated forecast hours]]="","",ABS(tblWorkPackages[[#This Row],[Actual labor hours]]-tblWorkPackages[[#This Row],[Calibrated forecast hours]]))</f>
        <v/>
      </c>
      <c r="V1791" s="51">
        <f>IF(tblWorkPackages[[#This Row],[Time split]]="Train 2024",tblWorkPackages[[#This Row],[Estimated labor hours]],tblWorkPackages[[#This Row],[Calibrated forecast hours]])</f>
        <v>10.3</v>
      </c>
      <c r="W1791" s="64">
        <f>DATEVALUE(tblWorkPackages[[#This Row],[Request date]])</f>
        <v>45360.0</v>
      </c>
      <c r="X1791" s="64">
        <f>DATEVALUE(tblWorkPackages[[#This Row],[Due date]])</f>
        <v>45373.0</v>
      </c>
      <c r="Y1791" s="64">
        <f>DATEVALUE(tblWorkPackages[[#This Row],[Completion date]])</f>
        <v>45365.0</v>
      </c>
      <c r="Z1791" s="64">
        <f>_xlfn.MINIFS(tblLaborEntries[Work date serial],tblLaborEntries[Work package ID],tblWorkPackages[[#This Row],[Work package ID]])</f>
        <v>45363.0</v>
      </c>
      <c r="AA1791" s="64">
        <f>_xlfn.MAXIFS(tblLaborEntries[Work date serial],tblLaborEntries[Work package ID],tblWorkPackages[[#This Row],[Work package ID]])</f>
        <v>45364.0</v>
      </c>
      <c r="AB1791" s="65">
        <f>IF(tblWorkPackages[[#This Row],[Completion date serial]]&gt;tblWorkPackages[[#This Row],[Due date serial]],1,0)</f>
        <v>0</v>
      </c>
      <c r="AC1791" s="65">
        <f>MAX(0,tblWorkPackages[[#This Row],[Completion date serial]]-tblWorkPackages[[#This Row],[Due date serial]])</f>
        <v>0</v>
      </c>
      <c r="AD1791" s="65">
        <f>tblWorkPackages[[#This Row],[First labor date]]-tblWorkPackages[[#This Row],[Request date serial]]</f>
        <v>3</v>
      </c>
      <c r="AE1791" s="65">
        <f>tblWorkPackages[[#This Row],[Last labor date]]-tblWorkPackages[[#This Row],[First labor date]]</f>
        <v>1</v>
      </c>
      <c r="AF1791" s="65">
        <f>tblWorkPackages[[#This Row],[Completion date serial]]-tblWorkPackages[[#This Row],[Last labor date]]</f>
        <v>1</v>
      </c>
      <c r="AG1791" s="65">
        <f>tblWorkPackages[[#This Row],[Completion date serial]]-tblWorkPackages[[#This Row],[Request date serial]]</f>
        <v>5</v>
      </c>
      <c r="AH1791" s="65">
        <f>IFERROR(INDEX(tblParts[Delay days],MATCH(tblWorkPackages[[#This Row],[Work package ID]],tblParts[Work package ID],0)),0)</f>
        <v>0</v>
      </c>
      <c r="AI1791" s="51" t="str">
        <f>IFERROR(INDEX(tblDisruptions[Event type],MATCH(tblWorkPackages[[#This Row],[Work package ID]],tblDisruptions[Work package ID],0)),"None")</f>
        <v>Technician absence</v>
      </c>
      <c r="AJ1791" s="51" t="str">
        <f>TEXT(tblWorkPackages[[#This Row],[Due date serial]],"yyyy-mm")</f>
        <v>2024-03</v>
      </c>
    </row>
    <row r="1792" spans="1:36" ht="15" x14ac:dyDescent="0.25">
      <c r="A1792" s="53" t="s">
        <v>2702</v>
      </c>
      <c r="B1792" s="53" t="s">
        <v>157</v>
      </c>
      <c r="C1792" s="53" t="s">
        <v>1128</v>
      </c>
      <c r="D1792" s="53" t="s">
        <v>221</v>
      </c>
      <c r="E1792" s="53" t="s">
        <v>200</v>
      </c>
      <c r="F1792" s="53" t="s">
        <v>128</v>
      </c>
      <c r="G1792" s="53" t="s">
        <v>129</v>
      </c>
      <c r="H1792" s="53">
        <v>4</v>
      </c>
      <c r="I1792" s="53" t="s">
        <v>176</v>
      </c>
      <c r="J1792" s="53">
        <v>0</v>
      </c>
      <c r="K1792" s="53">
        <v>0</v>
      </c>
      <c r="L1792" s="53">
        <v>4.9000000000000004</v>
      </c>
      <c r="M1792" s="53" t="s">
        <v>587</v>
      </c>
      <c r="N1792" s="53">
        <v>3.8</v>
      </c>
      <c r="O1792" s="51" t="str">
        <f>TEXT(tblWorkPackages[[#This Row],[Request date serial]]-WEEKDAY(tblWorkPackages[[#This Row],[Request date serial]],3),"yyyy-mm-dd")</f>
        <v>2024-12-09</v>
      </c>
      <c r="P1792" s="51">
        <f>ABS(tblWorkPackages[[#This Row],[Actual labor hours]]-tblWorkPackages[[#This Row],[Estimated labor hours]])</f>
        <v>1.1</v>
      </c>
      <c r="Q1792" s="51">
        <f>IF(tblWorkPackages[[#This Row],[Actual labor hours]]&gt;tblWorkPackages[[#This Row],[Estimated labor hours]],1,0)</f>
        <v>0</v>
      </c>
      <c r="R1792" s="51">
        <f>tblWorkPackages[[#This Row],[Actual labor hours]]-tblWorkPackages[[#This Row],[Estimated labor hours]]</f>
        <v>-1.1</v>
      </c>
      <c r="S1792" s="51" t="str">
        <f>IF(tblWorkPackages[[#This Row],[Request date serial]]&lt;ValidationStart,"Train 2024",IF(tblWorkPackages[[#This Row],[Request date serial]]&lt;HoldoutStart,"Validation H1","Holdout H2"))</f>
        <v>Train 2024</v>
      </c>
      <c r="T1792" s="51" t="str">
        <f>IF(tblWorkPackages[[#This Row],[Time split]]="Train 2024","",tblWorkPackages[[#This Row],[Estimated labor hours]]+VLOOKUP(tblWorkPackages[[#This Row],[Task type]],'Forecast validation'!$A$14:$E$25,IF(tblWorkPackages[[#This Row],[Time split]]="Validation H1",4,5),FALSE()))</f>
        <v/>
      </c>
      <c r="U1792" s="51" t="str">
        <f>IF(tblWorkPackages[[#This Row],[Calibrated forecast hours]]="","",ABS(tblWorkPackages[[#This Row],[Actual labor hours]]-tblWorkPackages[[#This Row],[Calibrated forecast hours]]))</f>
        <v/>
      </c>
      <c r="V1792" s="51">
        <f>IF(tblWorkPackages[[#This Row],[Time split]]="Train 2024",tblWorkPackages[[#This Row],[Estimated labor hours]],tblWorkPackages[[#This Row],[Calibrated forecast hours]])</f>
        <v>4.9</v>
      </c>
      <c r="W1792" s="64">
        <f>DATEVALUE(tblWorkPackages[[#This Row],[Request date]])</f>
        <v>45639.0</v>
      </c>
      <c r="X1792" s="64">
        <f>DATEVALUE(tblWorkPackages[[#This Row],[Due date]])</f>
        <v>45645.0</v>
      </c>
      <c r="Y1792" s="64">
        <f>DATEVALUE(tblWorkPackages[[#This Row],[Completion date]])</f>
        <v>45671.0</v>
      </c>
      <c r="Z1792" s="64">
        <f>_xlfn.MINIFS(tblLaborEntries[Work date serial],tblLaborEntries[Work package ID],tblWorkPackages[[#This Row],[Work package ID]])</f>
        <v>45668.0</v>
      </c>
      <c r="AA1792" s="64">
        <f>_xlfn.MAXIFS(tblLaborEntries[Work date serial],tblLaborEntries[Work package ID],tblWorkPackages[[#This Row],[Work package ID]])</f>
        <v>45669.0</v>
      </c>
      <c r="AB1792" s="65">
        <f>IF(tblWorkPackages[[#This Row],[Completion date serial]]&gt;tblWorkPackages[[#This Row],[Due date serial]],1,0)</f>
        <v>1</v>
      </c>
      <c r="AC1792" s="65">
        <f>MAX(0,tblWorkPackages[[#This Row],[Completion date serial]]-tblWorkPackages[[#This Row],[Due date serial]])</f>
        <v>26</v>
      </c>
      <c r="AD1792" s="65">
        <f>tblWorkPackages[[#This Row],[First labor date]]-tblWorkPackages[[#This Row],[Request date serial]]</f>
        <v>29</v>
      </c>
      <c r="AE1792" s="65">
        <f>tblWorkPackages[[#This Row],[Last labor date]]-tblWorkPackages[[#This Row],[First labor date]]</f>
        <v>1</v>
      </c>
      <c r="AF1792" s="65">
        <f>tblWorkPackages[[#This Row],[Completion date serial]]-tblWorkPackages[[#This Row],[Last labor date]]</f>
        <v>2</v>
      </c>
      <c r="AG1792" s="65">
        <f>tblWorkPackages[[#This Row],[Completion date serial]]-tblWorkPackages[[#This Row],[Request date serial]]</f>
        <v>32</v>
      </c>
      <c r="AH1792" s="65">
        <f>IFERROR(INDEX(tblParts[Delay days],MATCH(tblWorkPackages[[#This Row],[Work package ID]],tblParts[Work package ID],0)),0)</f>
        <v>0</v>
      </c>
      <c r="AI1792" s="51" t="str">
        <f>IFERROR(INDEX(tblDisruptions[Event type],MATCH(tblWorkPackages[[#This Row],[Work package ID]],tblDisruptions[Work package ID],0)),"None")</f>
        <v>None</v>
      </c>
      <c r="AJ1792" s="51" t="str">
        <f>TEXT(tblWorkPackages[[#This Row],[Due date serial]],"yyyy-mm")</f>
        <v>2024-12</v>
      </c>
    </row>
    <row r="1793" spans="1:36" ht="15" x14ac:dyDescent="0.25">
      <c r="A1793" s="53" t="s">
        <v>2703</v>
      </c>
      <c r="B1793" s="53" t="s">
        <v>173</v>
      </c>
      <c r="C1793" s="53" t="s">
        <v>818</v>
      </c>
      <c r="D1793" s="53" t="s">
        <v>221</v>
      </c>
      <c r="E1793" s="53" t="s">
        <v>242</v>
      </c>
      <c r="F1793" s="53" t="s">
        <v>243</v>
      </c>
      <c r="G1793" s="53" t="s">
        <v>129</v>
      </c>
      <c r="H1793" s="53">
        <v>2</v>
      </c>
      <c r="I1793" s="53" t="s">
        <v>147</v>
      </c>
      <c r="J1793" s="53">
        <v>0</v>
      </c>
      <c r="K1793" s="53">
        <v>0</v>
      </c>
      <c r="L1793" s="53">
        <v>7.7</v>
      </c>
      <c r="M1793" s="53" t="s">
        <v>251</v>
      </c>
      <c r="N1793" s="53">
        <v>6.5</v>
      </c>
      <c r="O1793" s="51" t="str">
        <f>TEXT(tblWorkPackages[[#This Row],[Request date serial]]-WEEKDAY(tblWorkPackages[[#This Row],[Request date serial]],3),"yyyy-mm-dd")</f>
        <v>2024-12-16</v>
      </c>
      <c r="P1793" s="51">
        <f>ABS(tblWorkPackages[[#This Row],[Actual labor hours]]-tblWorkPackages[[#This Row],[Estimated labor hours]])</f>
        <v>1.2</v>
      </c>
      <c r="Q1793" s="51">
        <f>IF(tblWorkPackages[[#This Row],[Actual labor hours]]&gt;tblWorkPackages[[#This Row],[Estimated labor hours]],1,0)</f>
        <v>0</v>
      </c>
      <c r="R1793" s="51">
        <f>tblWorkPackages[[#This Row],[Actual labor hours]]-tblWorkPackages[[#This Row],[Estimated labor hours]]</f>
        <v>-1.2</v>
      </c>
      <c r="S1793" s="51" t="str">
        <f>IF(tblWorkPackages[[#This Row],[Request date serial]]&lt;ValidationStart,"Train 2024",IF(tblWorkPackages[[#This Row],[Request date serial]]&lt;HoldoutStart,"Validation H1","Holdout H2"))</f>
        <v>Train 2024</v>
      </c>
      <c r="T1793" s="51" t="str">
        <f>IF(tblWorkPackages[[#This Row],[Time split]]="Train 2024","",tblWorkPackages[[#This Row],[Estimated labor hours]]+VLOOKUP(tblWorkPackages[[#This Row],[Task type]],'Forecast validation'!$A$14:$E$25,IF(tblWorkPackages[[#This Row],[Time split]]="Validation H1",4,5),FALSE()))</f>
        <v/>
      </c>
      <c r="U1793" s="51" t="str">
        <f>IF(tblWorkPackages[[#This Row],[Calibrated forecast hours]]="","",ABS(tblWorkPackages[[#This Row],[Actual labor hours]]-tblWorkPackages[[#This Row],[Calibrated forecast hours]]))</f>
        <v/>
      </c>
      <c r="V1793" s="51">
        <f>IF(tblWorkPackages[[#This Row],[Time split]]="Train 2024",tblWorkPackages[[#This Row],[Estimated labor hours]],tblWorkPackages[[#This Row],[Calibrated forecast hours]])</f>
        <v>7.7</v>
      </c>
      <c r="W1793" s="64">
        <f>DATEVALUE(tblWorkPackages[[#This Row],[Request date]])</f>
        <v>45643.0</v>
      </c>
      <c r="X1793" s="64">
        <f>DATEVALUE(tblWorkPackages[[#This Row],[Due date]])</f>
        <v>45645.0</v>
      </c>
      <c r="Y1793" s="64">
        <f>DATEVALUE(tblWorkPackages[[#This Row],[Completion date]])</f>
        <v>45652.0</v>
      </c>
      <c r="Z1793" s="64">
        <f>_xlfn.MINIFS(tblLaborEntries[Work date serial],tblLaborEntries[Work package ID],tblWorkPackages[[#This Row],[Work package ID]])</f>
        <v>45648.0</v>
      </c>
      <c r="AA1793" s="64">
        <f>_xlfn.MAXIFS(tblLaborEntries[Work date serial],tblLaborEntries[Work package ID],tblWorkPackages[[#This Row],[Work package ID]])</f>
        <v>45649.0</v>
      </c>
      <c r="AB1793" s="65">
        <f>IF(tblWorkPackages[[#This Row],[Completion date serial]]&gt;tblWorkPackages[[#This Row],[Due date serial]],1,0)</f>
        <v>1</v>
      </c>
      <c r="AC1793" s="65">
        <f>MAX(0,tblWorkPackages[[#This Row],[Completion date serial]]-tblWorkPackages[[#This Row],[Due date serial]])</f>
        <v>7</v>
      </c>
      <c r="AD1793" s="65">
        <f>tblWorkPackages[[#This Row],[First labor date]]-tblWorkPackages[[#This Row],[Request date serial]]</f>
        <v>5</v>
      </c>
      <c r="AE1793" s="65">
        <f>tblWorkPackages[[#This Row],[Last labor date]]-tblWorkPackages[[#This Row],[First labor date]]</f>
        <v>1</v>
      </c>
      <c r="AF1793" s="65">
        <f>tblWorkPackages[[#This Row],[Completion date serial]]-tblWorkPackages[[#This Row],[Last labor date]]</f>
        <v>3</v>
      </c>
      <c r="AG1793" s="65">
        <f>tblWorkPackages[[#This Row],[Completion date serial]]-tblWorkPackages[[#This Row],[Request date serial]]</f>
        <v>9</v>
      </c>
      <c r="AH1793" s="65">
        <f>IFERROR(INDEX(tblParts[Delay days],MATCH(tblWorkPackages[[#This Row],[Work package ID]],tblParts[Work package ID],0)),0)</f>
        <v>0</v>
      </c>
      <c r="AI1793" s="51" t="str">
        <f>IFERROR(INDEX(tblDisruptions[Event type],MATCH(tblWorkPackages[[#This Row],[Work package ID]],tblDisruptions[Work package ID],0)),"None")</f>
        <v>None</v>
      </c>
      <c r="AJ1793" s="51" t="str">
        <f>TEXT(tblWorkPackages[[#This Row],[Due date serial]],"yyyy-mm")</f>
        <v>2024-12</v>
      </c>
    </row>
    <row r="1794" spans="1:36" ht="15" x14ac:dyDescent="0.25">
      <c r="A1794" s="53" t="s">
        <v>2704</v>
      </c>
      <c r="B1794" s="53" t="s">
        <v>124</v>
      </c>
      <c r="C1794" s="53" t="s">
        <v>736</v>
      </c>
      <c r="D1794" s="53" t="s">
        <v>793</v>
      </c>
      <c r="E1794" s="53" t="s">
        <v>223</v>
      </c>
      <c r="F1794" s="53" t="s">
        <v>182</v>
      </c>
      <c r="G1794" s="53" t="s">
        <v>154</v>
      </c>
      <c r="H1794" s="53">
        <v>4</v>
      </c>
      <c r="I1794" s="53" t="s">
        <v>130</v>
      </c>
      <c r="J1794" s="53">
        <v>0</v>
      </c>
      <c r="K1794" s="53">
        <v>0</v>
      </c>
      <c r="L1794" s="53">
        <v>20.5</v>
      </c>
      <c r="M1794" s="53" t="s">
        <v>1721</v>
      </c>
      <c r="N1794" s="53">
        <v>21</v>
      </c>
      <c r="O1794" s="51" t="str">
        <f>TEXT(tblWorkPackages[[#This Row],[Request date serial]]-WEEKDAY(tblWorkPackages[[#This Row],[Request date serial]],3),"yyyy-mm-dd")</f>
        <v>2024-10-28</v>
      </c>
      <c r="P1794" s="51">
        <f>ABS(tblWorkPackages[[#This Row],[Actual labor hours]]-tblWorkPackages[[#This Row],[Estimated labor hours]])</f>
        <v>0.5</v>
      </c>
      <c r="Q1794" s="51">
        <f>IF(tblWorkPackages[[#This Row],[Actual labor hours]]&gt;tblWorkPackages[[#This Row],[Estimated labor hours]],1,0)</f>
        <v>1</v>
      </c>
      <c r="R1794" s="51">
        <f>tblWorkPackages[[#This Row],[Actual labor hours]]-tblWorkPackages[[#This Row],[Estimated labor hours]]</f>
        <v>0.5</v>
      </c>
      <c r="S1794" s="51" t="str">
        <f>IF(tblWorkPackages[[#This Row],[Request date serial]]&lt;ValidationStart,"Train 2024",IF(tblWorkPackages[[#This Row],[Request date serial]]&lt;HoldoutStart,"Validation H1","Holdout H2"))</f>
        <v>Train 2024</v>
      </c>
      <c r="T1794" s="51" t="str">
        <f>IF(tblWorkPackages[[#This Row],[Time split]]="Train 2024","",tblWorkPackages[[#This Row],[Estimated labor hours]]+VLOOKUP(tblWorkPackages[[#This Row],[Task type]],'Forecast validation'!$A$14:$E$25,IF(tblWorkPackages[[#This Row],[Time split]]="Validation H1",4,5),FALSE()))</f>
        <v/>
      </c>
      <c r="U1794" s="51" t="str">
        <f>IF(tblWorkPackages[[#This Row],[Calibrated forecast hours]]="","",ABS(tblWorkPackages[[#This Row],[Actual labor hours]]-tblWorkPackages[[#This Row],[Calibrated forecast hours]]))</f>
        <v/>
      </c>
      <c r="V1794" s="51">
        <f>IF(tblWorkPackages[[#This Row],[Time split]]="Train 2024",tblWorkPackages[[#This Row],[Estimated labor hours]],tblWorkPackages[[#This Row],[Calibrated forecast hours]])</f>
        <v>20.5</v>
      </c>
      <c r="W1794" s="64">
        <f>DATEVALUE(tblWorkPackages[[#This Row],[Request date]])</f>
        <v>45595.0</v>
      </c>
      <c r="X1794" s="64">
        <f>DATEVALUE(tblWorkPackages[[#This Row],[Due date]])</f>
        <v>45608.0</v>
      </c>
      <c r="Y1794" s="64">
        <f>DATEVALUE(tblWorkPackages[[#This Row],[Completion date]])</f>
        <v>45599.0</v>
      </c>
      <c r="Z1794" s="64">
        <f>_xlfn.MINIFS(tblLaborEntries[Work date serial],tblLaborEntries[Work package ID],tblWorkPackages[[#This Row],[Work package ID]])</f>
        <v>45597.0</v>
      </c>
      <c r="AA1794" s="64">
        <f>_xlfn.MAXIFS(tblLaborEntries[Work date serial],tblLaborEntries[Work package ID],tblWorkPackages[[#This Row],[Work package ID]])</f>
        <v>45599.0</v>
      </c>
      <c r="AB1794" s="65">
        <f>IF(tblWorkPackages[[#This Row],[Completion date serial]]&gt;tblWorkPackages[[#This Row],[Due date serial]],1,0)</f>
        <v>0</v>
      </c>
      <c r="AC1794" s="65">
        <f>MAX(0,tblWorkPackages[[#This Row],[Completion date serial]]-tblWorkPackages[[#This Row],[Due date serial]])</f>
        <v>0</v>
      </c>
      <c r="AD1794" s="65">
        <f>tblWorkPackages[[#This Row],[First labor date]]-tblWorkPackages[[#This Row],[Request date serial]]</f>
        <v>2</v>
      </c>
      <c r="AE1794" s="65">
        <f>tblWorkPackages[[#This Row],[Last labor date]]-tblWorkPackages[[#This Row],[First labor date]]</f>
        <v>2</v>
      </c>
      <c r="AF1794" s="65">
        <f>tblWorkPackages[[#This Row],[Completion date serial]]-tblWorkPackages[[#This Row],[Last labor date]]</f>
        <v>0</v>
      </c>
      <c r="AG1794" s="65">
        <f>tblWorkPackages[[#This Row],[Completion date serial]]-tblWorkPackages[[#This Row],[Request date serial]]</f>
        <v>4</v>
      </c>
      <c r="AH1794" s="65">
        <f>IFERROR(INDEX(tblParts[Delay days],MATCH(tblWorkPackages[[#This Row],[Work package ID]],tblParts[Work package ID],0)),0)</f>
        <v>0</v>
      </c>
      <c r="AI1794" s="51" t="str">
        <f>IFERROR(INDEX(tblDisruptions[Event type],MATCH(tblWorkPackages[[#This Row],[Work package ID]],tblDisruptions[Work package ID],0)),"None")</f>
        <v>None</v>
      </c>
      <c r="AJ1794" s="51" t="str">
        <f>TEXT(tblWorkPackages[[#This Row],[Due date serial]],"yyyy-mm")</f>
        <v>2024-11</v>
      </c>
    </row>
    <row r="1795" spans="1:36" ht="15" x14ac:dyDescent="0.25">
      <c r="A1795" s="53" t="s">
        <v>2705</v>
      </c>
      <c r="B1795" s="53" t="s">
        <v>133</v>
      </c>
      <c r="C1795" s="53" t="s">
        <v>1644</v>
      </c>
      <c r="D1795" s="53" t="s">
        <v>151</v>
      </c>
      <c r="E1795" s="53" t="s">
        <v>153</v>
      </c>
      <c r="F1795" s="53" t="s">
        <v>128</v>
      </c>
      <c r="G1795" s="53" t="s">
        <v>154</v>
      </c>
      <c r="H1795" s="53">
        <v>4</v>
      </c>
      <c r="I1795" s="53" t="s">
        <v>130</v>
      </c>
      <c r="J1795" s="53">
        <v>1</v>
      </c>
      <c r="K1795" s="53">
        <v>0</v>
      </c>
      <c r="L1795" s="53">
        <v>15.8</v>
      </c>
      <c r="M1795" s="53" t="s">
        <v>152</v>
      </c>
      <c r="N1795" s="53">
        <v>16.7</v>
      </c>
      <c r="O1795" s="51" t="str">
        <f>TEXT(tblWorkPackages[[#This Row],[Request date serial]]-WEEKDAY(tblWorkPackages[[#This Row],[Request date serial]],3),"yyyy-mm-dd")</f>
        <v>2024-08-05</v>
      </c>
      <c r="P1795" s="51">
        <f>ABS(tblWorkPackages[[#This Row],[Actual labor hours]]-tblWorkPackages[[#This Row],[Estimated labor hours]])</f>
        <v>0.899999999999999</v>
      </c>
      <c r="Q1795" s="51">
        <f>IF(tblWorkPackages[[#This Row],[Actual labor hours]]&gt;tblWorkPackages[[#This Row],[Estimated labor hours]],1,0)</f>
        <v>1</v>
      </c>
      <c r="R1795" s="51">
        <f>tblWorkPackages[[#This Row],[Actual labor hours]]-tblWorkPackages[[#This Row],[Estimated labor hours]]</f>
        <v>0.899999999999999</v>
      </c>
      <c r="S1795" s="51" t="str">
        <f>IF(tblWorkPackages[[#This Row],[Request date serial]]&lt;ValidationStart,"Train 2024",IF(tblWorkPackages[[#This Row],[Request date serial]]&lt;HoldoutStart,"Validation H1","Holdout H2"))</f>
        <v>Train 2024</v>
      </c>
      <c r="T1795" s="51" t="str">
        <f>IF(tblWorkPackages[[#This Row],[Time split]]="Train 2024","",tblWorkPackages[[#This Row],[Estimated labor hours]]+VLOOKUP(tblWorkPackages[[#This Row],[Task type]],'Forecast validation'!$A$14:$E$25,IF(tblWorkPackages[[#This Row],[Time split]]="Validation H1",4,5),FALSE()))</f>
        <v/>
      </c>
      <c r="U1795" s="51" t="str">
        <f>IF(tblWorkPackages[[#This Row],[Calibrated forecast hours]]="","",ABS(tblWorkPackages[[#This Row],[Actual labor hours]]-tblWorkPackages[[#This Row],[Calibrated forecast hours]]))</f>
        <v/>
      </c>
      <c r="V1795" s="51">
        <f>IF(tblWorkPackages[[#This Row],[Time split]]="Train 2024",tblWorkPackages[[#This Row],[Estimated labor hours]],tblWorkPackages[[#This Row],[Calibrated forecast hours]])</f>
        <v>15.8</v>
      </c>
      <c r="W1795" s="64">
        <f>DATEVALUE(tblWorkPackages[[#This Row],[Request date]])</f>
        <v>45514.0</v>
      </c>
      <c r="X1795" s="64">
        <f>DATEVALUE(tblWorkPackages[[#This Row],[Due date]])</f>
        <v>45527.0</v>
      </c>
      <c r="Y1795" s="64">
        <f>DATEVALUE(tblWorkPackages[[#This Row],[Completion date]])</f>
        <v>45529.0</v>
      </c>
      <c r="Z1795" s="64">
        <f>_xlfn.MINIFS(tblLaborEntries[Work date serial],tblLaborEntries[Work package ID],tblWorkPackages[[#This Row],[Work package ID]])</f>
        <v>45528.0</v>
      </c>
      <c r="AA1795" s="64">
        <f>_xlfn.MAXIFS(tblLaborEntries[Work date serial],tblLaborEntries[Work package ID],tblWorkPackages[[#This Row],[Work package ID]])</f>
        <v>45528.0</v>
      </c>
      <c r="AB1795" s="65">
        <f>IF(tblWorkPackages[[#This Row],[Completion date serial]]&gt;tblWorkPackages[[#This Row],[Due date serial]],1,0)</f>
        <v>1</v>
      </c>
      <c r="AC1795" s="65">
        <f>MAX(0,tblWorkPackages[[#This Row],[Completion date serial]]-tblWorkPackages[[#This Row],[Due date serial]])</f>
        <v>2</v>
      </c>
      <c r="AD1795" s="65">
        <f>tblWorkPackages[[#This Row],[First labor date]]-tblWorkPackages[[#This Row],[Request date serial]]</f>
        <v>14</v>
      </c>
      <c r="AE1795" s="65">
        <f>tblWorkPackages[[#This Row],[Last labor date]]-tblWorkPackages[[#This Row],[First labor date]]</f>
        <v>0</v>
      </c>
      <c r="AF1795" s="65">
        <f>tblWorkPackages[[#This Row],[Completion date serial]]-tblWorkPackages[[#This Row],[Last labor date]]</f>
        <v>1</v>
      </c>
      <c r="AG1795" s="65">
        <f>tblWorkPackages[[#This Row],[Completion date serial]]-tblWorkPackages[[#This Row],[Request date serial]]</f>
        <v>15</v>
      </c>
      <c r="AH1795" s="65">
        <f>IFERROR(INDEX(tblParts[Delay days],MATCH(tblWorkPackages[[#This Row],[Work package ID]],tblParts[Work package ID],0)),0)</f>
        <v>0</v>
      </c>
      <c r="AI1795" s="51" t="str">
        <f>IFERROR(INDEX(tblDisruptions[Event type],MATCH(tblWorkPackages[[#This Row],[Work package ID]],tblDisruptions[Work package ID],0)),"None")</f>
        <v>None</v>
      </c>
      <c r="AJ1795" s="51" t="str">
        <f>TEXT(tblWorkPackages[[#This Row],[Due date serial]],"yyyy-mm")</f>
        <v>2024-08</v>
      </c>
    </row>
    <row r="1796" spans="1:36" ht="15" x14ac:dyDescent="0.25">
      <c r="A1796" s="53" t="s">
        <v>2706</v>
      </c>
      <c r="B1796" s="53" t="s">
        <v>185</v>
      </c>
      <c r="C1796" s="53" t="s">
        <v>794</v>
      </c>
      <c r="D1796" s="53" t="s">
        <v>1038</v>
      </c>
      <c r="E1796" s="53" t="s">
        <v>160</v>
      </c>
      <c r="F1796" s="53" t="s">
        <v>128</v>
      </c>
      <c r="G1796" s="53" t="s">
        <v>138</v>
      </c>
      <c r="H1796" s="53">
        <v>2</v>
      </c>
      <c r="I1796" s="53" t="s">
        <v>130</v>
      </c>
      <c r="J1796" s="53">
        <v>0</v>
      </c>
      <c r="K1796" s="53">
        <v>0</v>
      </c>
      <c r="L1796" s="53">
        <v>4.3</v>
      </c>
      <c r="M1796" s="53" t="s">
        <v>1230</v>
      </c>
      <c r="N1796" s="53">
        <v>4.0999999999999996</v>
      </c>
      <c r="O1796" s="51" t="str">
        <f>TEXT(tblWorkPackages[[#This Row],[Request date serial]]-WEEKDAY(tblWorkPackages[[#This Row],[Request date serial]],3),"yyyy-mm-dd")</f>
        <v>2024-11-11</v>
      </c>
      <c r="P1796" s="51">
        <f>ABS(tblWorkPackages[[#This Row],[Actual labor hours]]-tblWorkPackages[[#This Row],[Estimated labor hours]])</f>
        <v>0.2</v>
      </c>
      <c r="Q1796" s="51">
        <f>IF(tblWorkPackages[[#This Row],[Actual labor hours]]&gt;tblWorkPackages[[#This Row],[Estimated labor hours]],1,0)</f>
        <v>0</v>
      </c>
      <c r="R1796" s="51">
        <f>tblWorkPackages[[#This Row],[Actual labor hours]]-tblWorkPackages[[#This Row],[Estimated labor hours]]</f>
        <v>-0.2</v>
      </c>
      <c r="S1796" s="51" t="str">
        <f>IF(tblWorkPackages[[#This Row],[Request date serial]]&lt;ValidationStart,"Train 2024",IF(tblWorkPackages[[#This Row],[Request date serial]]&lt;HoldoutStart,"Validation H1","Holdout H2"))</f>
        <v>Train 2024</v>
      </c>
      <c r="T1796" s="51" t="str">
        <f>IF(tblWorkPackages[[#This Row],[Time split]]="Train 2024","",tblWorkPackages[[#This Row],[Estimated labor hours]]+VLOOKUP(tblWorkPackages[[#This Row],[Task type]],'Forecast validation'!$A$14:$E$25,IF(tblWorkPackages[[#This Row],[Time split]]="Validation H1",4,5),FALSE()))</f>
        <v/>
      </c>
      <c r="U1796" s="51" t="str">
        <f>IF(tblWorkPackages[[#This Row],[Calibrated forecast hours]]="","",ABS(tblWorkPackages[[#This Row],[Actual labor hours]]-tblWorkPackages[[#This Row],[Calibrated forecast hours]]))</f>
        <v/>
      </c>
      <c r="V1796" s="51">
        <f>IF(tblWorkPackages[[#This Row],[Time split]]="Train 2024",tblWorkPackages[[#This Row],[Estimated labor hours]],tblWorkPackages[[#This Row],[Calibrated forecast hours]])</f>
        <v>4.3</v>
      </c>
      <c r="W1796" s="64">
        <f>DATEVALUE(tblWorkPackages[[#This Row],[Request date]])</f>
        <v>45610.0</v>
      </c>
      <c r="X1796" s="64">
        <f>DATEVALUE(tblWorkPackages[[#This Row],[Due date]])</f>
        <v>45623.0</v>
      </c>
      <c r="Y1796" s="64">
        <f>DATEVALUE(tblWorkPackages[[#This Row],[Completion date]])</f>
        <v>45615.0</v>
      </c>
      <c r="Z1796" s="64">
        <f>_xlfn.MINIFS(tblLaborEntries[Work date serial],tblLaborEntries[Work package ID],tblWorkPackages[[#This Row],[Work package ID]])</f>
        <v>45613.0</v>
      </c>
      <c r="AA1796" s="64">
        <f>_xlfn.MAXIFS(tblLaborEntries[Work date serial],tblLaborEntries[Work package ID],tblWorkPackages[[#This Row],[Work package ID]])</f>
        <v>45613.0</v>
      </c>
      <c r="AB1796" s="65">
        <f>IF(tblWorkPackages[[#This Row],[Completion date serial]]&gt;tblWorkPackages[[#This Row],[Due date serial]],1,0)</f>
        <v>0</v>
      </c>
      <c r="AC1796" s="65">
        <f>MAX(0,tblWorkPackages[[#This Row],[Completion date serial]]-tblWorkPackages[[#This Row],[Due date serial]])</f>
        <v>0</v>
      </c>
      <c r="AD1796" s="65">
        <f>tblWorkPackages[[#This Row],[First labor date]]-tblWorkPackages[[#This Row],[Request date serial]]</f>
        <v>3</v>
      </c>
      <c r="AE1796" s="65">
        <f>tblWorkPackages[[#This Row],[Last labor date]]-tblWorkPackages[[#This Row],[First labor date]]</f>
        <v>0</v>
      </c>
      <c r="AF1796" s="65">
        <f>tblWorkPackages[[#This Row],[Completion date serial]]-tblWorkPackages[[#This Row],[Last labor date]]</f>
        <v>2</v>
      </c>
      <c r="AG1796" s="65">
        <f>tblWorkPackages[[#This Row],[Completion date serial]]-tblWorkPackages[[#This Row],[Request date serial]]</f>
        <v>5</v>
      </c>
      <c r="AH1796" s="65">
        <f>IFERROR(INDEX(tblParts[Delay days],MATCH(tblWorkPackages[[#This Row],[Work package ID]],tblParts[Work package ID],0)),0)</f>
        <v>0</v>
      </c>
      <c r="AI1796" s="51" t="str">
        <f>IFERROR(INDEX(tblDisruptions[Event type],MATCH(tblWorkPackages[[#This Row],[Work package ID]],tblDisruptions[Work package ID],0)),"None")</f>
        <v>None</v>
      </c>
      <c r="AJ1796" s="51" t="str">
        <f>TEXT(tblWorkPackages[[#This Row],[Due date serial]],"yyyy-mm")</f>
        <v>2024-11</v>
      </c>
    </row>
    <row r="1797" spans="1:36" ht="15" x14ac:dyDescent="0.25">
      <c r="A1797" s="53" t="s">
        <v>2707</v>
      </c>
      <c r="B1797" s="53" t="s">
        <v>287</v>
      </c>
      <c r="C1797" s="53" t="s">
        <v>371</v>
      </c>
      <c r="D1797" s="53" t="s">
        <v>372</v>
      </c>
      <c r="E1797" s="53" t="s">
        <v>144</v>
      </c>
      <c r="F1797" s="53" t="s">
        <v>145</v>
      </c>
      <c r="G1797" s="53" t="s">
        <v>146</v>
      </c>
      <c r="H1797" s="53">
        <v>3</v>
      </c>
      <c r="I1797" s="53" t="s">
        <v>130</v>
      </c>
      <c r="J1797" s="53">
        <v>0</v>
      </c>
      <c r="K1797" s="53">
        <v>1</v>
      </c>
      <c r="L1797" s="53">
        <v>12.8</v>
      </c>
      <c r="M1797" s="53" t="s">
        <v>256</v>
      </c>
      <c r="N1797" s="53">
        <v>10.5</v>
      </c>
      <c r="O1797" s="51" t="str">
        <f>TEXT(tblWorkPackages[[#This Row],[Request date serial]]-WEEKDAY(tblWorkPackages[[#This Row],[Request date serial]],3),"yyyy-mm-dd")</f>
        <v>2024-10-07</v>
      </c>
      <c r="P1797" s="51">
        <f>ABS(tblWorkPackages[[#This Row],[Actual labor hours]]-tblWorkPackages[[#This Row],[Estimated labor hours]])</f>
        <v>2.3</v>
      </c>
      <c r="Q1797" s="51">
        <f>IF(tblWorkPackages[[#This Row],[Actual labor hours]]&gt;tblWorkPackages[[#This Row],[Estimated labor hours]],1,0)</f>
        <v>0</v>
      </c>
      <c r="R1797" s="51">
        <f>tblWorkPackages[[#This Row],[Actual labor hours]]-tblWorkPackages[[#This Row],[Estimated labor hours]]</f>
        <v>-2.3</v>
      </c>
      <c r="S1797" s="51" t="str">
        <f>IF(tblWorkPackages[[#This Row],[Request date serial]]&lt;ValidationStart,"Train 2024",IF(tblWorkPackages[[#This Row],[Request date serial]]&lt;HoldoutStart,"Validation H1","Holdout H2"))</f>
        <v>Train 2024</v>
      </c>
      <c r="T1797" s="51" t="str">
        <f>IF(tblWorkPackages[[#This Row],[Time split]]="Train 2024","",tblWorkPackages[[#This Row],[Estimated labor hours]]+VLOOKUP(tblWorkPackages[[#This Row],[Task type]],'Forecast validation'!$A$14:$E$25,IF(tblWorkPackages[[#This Row],[Time split]]="Validation H1",4,5),FALSE()))</f>
        <v/>
      </c>
      <c r="U1797" s="51" t="str">
        <f>IF(tblWorkPackages[[#This Row],[Calibrated forecast hours]]="","",ABS(tblWorkPackages[[#This Row],[Actual labor hours]]-tblWorkPackages[[#This Row],[Calibrated forecast hours]]))</f>
        <v/>
      </c>
      <c r="V1797" s="51">
        <f>IF(tblWorkPackages[[#This Row],[Time split]]="Train 2024",tblWorkPackages[[#This Row],[Estimated labor hours]],tblWorkPackages[[#This Row],[Calibrated forecast hours]])</f>
        <v>12.8</v>
      </c>
      <c r="W1797" s="64">
        <f>DATEVALUE(tblWorkPackages[[#This Row],[Request date]])</f>
        <v>45573.0</v>
      </c>
      <c r="X1797" s="64">
        <f>DATEVALUE(tblWorkPackages[[#This Row],[Due date]])</f>
        <v>45586.0</v>
      </c>
      <c r="Y1797" s="64">
        <f>DATEVALUE(tblWorkPackages[[#This Row],[Completion date]])</f>
        <v>45634.0</v>
      </c>
      <c r="Z1797" s="64">
        <f>_xlfn.MINIFS(tblLaborEntries[Work date serial],tblLaborEntries[Work package ID],tblWorkPackages[[#This Row],[Work package ID]])</f>
        <v>45629.0</v>
      </c>
      <c r="AA1797" s="64">
        <f>_xlfn.MAXIFS(tblLaborEntries[Work date serial],tblLaborEntries[Work package ID],tblWorkPackages[[#This Row],[Work package ID]])</f>
        <v>45631.0</v>
      </c>
      <c r="AB1797" s="65">
        <f>IF(tblWorkPackages[[#This Row],[Completion date serial]]&gt;tblWorkPackages[[#This Row],[Due date serial]],1,0)</f>
        <v>1</v>
      </c>
      <c r="AC1797" s="65">
        <f>MAX(0,tblWorkPackages[[#This Row],[Completion date serial]]-tblWorkPackages[[#This Row],[Due date serial]])</f>
        <v>48</v>
      </c>
      <c r="AD1797" s="65">
        <f>tblWorkPackages[[#This Row],[First labor date]]-tblWorkPackages[[#This Row],[Request date serial]]</f>
        <v>56</v>
      </c>
      <c r="AE1797" s="65">
        <f>tblWorkPackages[[#This Row],[Last labor date]]-tblWorkPackages[[#This Row],[First labor date]]</f>
        <v>2</v>
      </c>
      <c r="AF1797" s="65">
        <f>tblWorkPackages[[#This Row],[Completion date serial]]-tblWorkPackages[[#This Row],[Last labor date]]</f>
        <v>3</v>
      </c>
      <c r="AG1797" s="65">
        <f>tblWorkPackages[[#This Row],[Completion date serial]]-tblWorkPackages[[#This Row],[Request date serial]]</f>
        <v>61</v>
      </c>
      <c r="AH1797" s="65">
        <f>IFERROR(INDEX(tblParts[Delay days],MATCH(tblWorkPackages[[#This Row],[Work package ID]],tblParts[Work package ID],0)),0)</f>
        <v>0</v>
      </c>
      <c r="AI1797" s="51" t="str">
        <f>IFERROR(INDEX(tblDisruptions[Event type],MATCH(tblWorkPackages[[#This Row],[Work package ID]],tblDisruptions[Work package ID],0)),"None")</f>
        <v>None</v>
      </c>
      <c r="AJ1797" s="51" t="str">
        <f>TEXT(tblWorkPackages[[#This Row],[Due date serial]],"yyyy-mm")</f>
        <v>2024-10</v>
      </c>
    </row>
    <row r="1798" spans="1:36" ht="15" x14ac:dyDescent="0.25">
      <c r="A1798" s="53" t="s">
        <v>2708</v>
      </c>
      <c r="B1798" s="53" t="s">
        <v>203</v>
      </c>
      <c r="C1798" s="53" t="s">
        <v>1218</v>
      </c>
      <c r="D1798" s="53" t="s">
        <v>409</v>
      </c>
      <c r="E1798" s="53" t="s">
        <v>153</v>
      </c>
      <c r="F1798" s="53" t="s">
        <v>128</v>
      </c>
      <c r="G1798" s="53" t="s">
        <v>154</v>
      </c>
      <c r="H1798" s="53">
        <v>2</v>
      </c>
      <c r="I1798" s="53" t="s">
        <v>130</v>
      </c>
      <c r="J1798" s="53">
        <v>0</v>
      </c>
      <c r="K1798" s="53">
        <v>1</v>
      </c>
      <c r="L1798" s="53">
        <v>9.9</v>
      </c>
      <c r="M1798" s="53" t="s">
        <v>1283</v>
      </c>
      <c r="N1798" s="53">
        <v>11.5</v>
      </c>
      <c r="O1798" s="51" t="str">
        <f>TEXT(tblWorkPackages[[#This Row],[Request date serial]]-WEEKDAY(tblWorkPackages[[#This Row],[Request date serial]],3),"yyyy-mm-dd")</f>
        <v>2025-04-07</v>
      </c>
      <c r="P1798" s="51">
        <f>ABS(tblWorkPackages[[#This Row],[Actual labor hours]]-tblWorkPackages[[#This Row],[Estimated labor hours]])</f>
        <v>1.6</v>
      </c>
      <c r="Q1798" s="51">
        <f>IF(tblWorkPackages[[#This Row],[Actual labor hours]]&gt;tblWorkPackages[[#This Row],[Estimated labor hours]],1,0)</f>
        <v>1</v>
      </c>
      <c r="R1798" s="51">
        <f>tblWorkPackages[[#This Row],[Actual labor hours]]-tblWorkPackages[[#This Row],[Estimated labor hours]]</f>
        <v>1.6</v>
      </c>
      <c r="S1798" s="51" t="str">
        <f>IF(tblWorkPackages[[#This Row],[Request date serial]]&lt;ValidationStart,"Train 2024",IF(tblWorkPackages[[#This Row],[Request date serial]]&lt;HoldoutStart,"Validation H1","Holdout H2"))</f>
        <v>Validation H1</v>
      </c>
      <c r="T1798" s="51">
        <f>IF(tblWorkPackages[[#This Row],[Time split]]="Train 2024","",tblWorkPackages[[#This Row],[Estimated labor hours]]+VLOOKUP(tblWorkPackages[[#This Row],[Task type]],'Forecast validation'!$A$14:$E$25,IF(tblWorkPackages[[#This Row],[Time split]]="Validation H1",4,5),FALSE()))</f>
        <v>10.4462264150943</v>
      </c>
      <c r="U1798" s="51">
        <f>IF(tblWorkPackages[[#This Row],[Calibrated forecast hours]]="","",ABS(tblWorkPackages[[#This Row],[Actual labor hours]]-tblWorkPackages[[#This Row],[Calibrated forecast hours]]))</f>
        <v>1.05377358490566</v>
      </c>
      <c r="V1798" s="51">
        <f>IF(tblWorkPackages[[#This Row],[Time split]]="Train 2024",tblWorkPackages[[#This Row],[Estimated labor hours]],tblWorkPackages[[#This Row],[Calibrated forecast hours]])</f>
        <v>10.4462264150943</v>
      </c>
      <c r="W1798" s="64">
        <f>DATEVALUE(tblWorkPackages[[#This Row],[Request date]])</f>
        <v>45759.0</v>
      </c>
      <c r="X1798" s="64">
        <f>DATEVALUE(tblWorkPackages[[#This Row],[Due date]])</f>
        <v>45772.0</v>
      </c>
      <c r="Y1798" s="64">
        <f>DATEVALUE(tblWorkPackages[[#This Row],[Completion date]])</f>
        <v>45768.0</v>
      </c>
      <c r="Z1798" s="64">
        <f>_xlfn.MINIFS(tblLaborEntries[Work date serial],tblLaborEntries[Work package ID],tblWorkPackages[[#This Row],[Work package ID]])</f>
        <v>45767.0</v>
      </c>
      <c r="AA1798" s="64">
        <f>_xlfn.MAXIFS(tblLaborEntries[Work date serial],tblLaborEntries[Work package ID],tblWorkPackages[[#This Row],[Work package ID]])</f>
        <v>45768.0</v>
      </c>
      <c r="AB1798" s="65">
        <f>IF(tblWorkPackages[[#This Row],[Completion date serial]]&gt;tblWorkPackages[[#This Row],[Due date serial]],1,0)</f>
        <v>0</v>
      </c>
      <c r="AC1798" s="65">
        <f>MAX(0,tblWorkPackages[[#This Row],[Completion date serial]]-tblWorkPackages[[#This Row],[Due date serial]])</f>
        <v>0</v>
      </c>
      <c r="AD1798" s="65">
        <f>tblWorkPackages[[#This Row],[First labor date]]-tblWorkPackages[[#This Row],[Request date serial]]</f>
        <v>8</v>
      </c>
      <c r="AE1798" s="65">
        <f>tblWorkPackages[[#This Row],[Last labor date]]-tblWorkPackages[[#This Row],[First labor date]]</f>
        <v>1</v>
      </c>
      <c r="AF1798" s="65">
        <f>tblWorkPackages[[#This Row],[Completion date serial]]-tblWorkPackages[[#This Row],[Last labor date]]</f>
        <v>0</v>
      </c>
      <c r="AG1798" s="65">
        <f>tblWorkPackages[[#This Row],[Completion date serial]]-tblWorkPackages[[#This Row],[Request date serial]]</f>
        <v>9</v>
      </c>
      <c r="AH1798" s="65">
        <f>IFERROR(INDEX(tblParts[Delay days],MATCH(tblWorkPackages[[#This Row],[Work package ID]],tblParts[Work package ID],0)),0)</f>
        <v>0</v>
      </c>
      <c r="AI1798" s="51" t="str">
        <f>IFERROR(INDEX(tblDisruptions[Event type],MATCH(tblWorkPackages[[#This Row],[Work package ID]],tblDisruptions[Work package ID],0)),"None")</f>
        <v>None</v>
      </c>
      <c r="AJ1798" s="51" t="str">
        <f>TEXT(tblWorkPackages[[#This Row],[Due date serial]],"yyyy-mm")</f>
        <v>2025-04</v>
      </c>
    </row>
    <row r="1799" spans="1:36" ht="15" x14ac:dyDescent="0.25">
      <c r="A1799" s="53" t="s">
        <v>2709</v>
      </c>
      <c r="B1799" s="53" t="s">
        <v>230</v>
      </c>
      <c r="C1799" s="53" t="s">
        <v>1141</v>
      </c>
      <c r="D1799" s="53" t="s">
        <v>970</v>
      </c>
      <c r="E1799" s="53" t="s">
        <v>242</v>
      </c>
      <c r="F1799" s="53" t="s">
        <v>243</v>
      </c>
      <c r="G1799" s="53" t="s">
        <v>129</v>
      </c>
      <c r="H1799" s="53">
        <v>1</v>
      </c>
      <c r="I1799" s="53" t="s">
        <v>176</v>
      </c>
      <c r="J1799" s="53">
        <v>0</v>
      </c>
      <c r="K1799" s="53">
        <v>0</v>
      </c>
      <c r="L1799" s="53">
        <v>6.7</v>
      </c>
      <c r="M1799" s="53" t="s">
        <v>417</v>
      </c>
      <c r="N1799" s="53">
        <v>7.7</v>
      </c>
      <c r="O1799" s="51" t="str">
        <f>TEXT(tblWorkPackages[[#This Row],[Request date serial]]-WEEKDAY(tblWorkPackages[[#This Row],[Request date serial]],3),"yyyy-mm-dd")</f>
        <v>2024-04-29</v>
      </c>
      <c r="P1799" s="51">
        <f>ABS(tblWorkPackages[[#This Row],[Actual labor hours]]-tblWorkPackages[[#This Row],[Estimated labor hours]])</f>
        <v>1</v>
      </c>
      <c r="Q1799" s="51">
        <f>IF(tblWorkPackages[[#This Row],[Actual labor hours]]&gt;tblWorkPackages[[#This Row],[Estimated labor hours]],1,0)</f>
        <v>1</v>
      </c>
      <c r="R1799" s="51">
        <f>tblWorkPackages[[#This Row],[Actual labor hours]]-tblWorkPackages[[#This Row],[Estimated labor hours]]</f>
        <v>1</v>
      </c>
      <c r="S1799" s="51" t="str">
        <f>IF(tblWorkPackages[[#This Row],[Request date serial]]&lt;ValidationStart,"Train 2024",IF(tblWorkPackages[[#This Row],[Request date serial]]&lt;HoldoutStart,"Validation H1","Holdout H2"))</f>
        <v>Train 2024</v>
      </c>
      <c r="T1799" s="51" t="str">
        <f>IF(tblWorkPackages[[#This Row],[Time split]]="Train 2024","",tblWorkPackages[[#This Row],[Estimated labor hours]]+VLOOKUP(tblWorkPackages[[#This Row],[Task type]],'Forecast validation'!$A$14:$E$25,IF(tblWorkPackages[[#This Row],[Time split]]="Validation H1",4,5),FALSE()))</f>
        <v/>
      </c>
      <c r="U1799" s="51" t="str">
        <f>IF(tblWorkPackages[[#This Row],[Calibrated forecast hours]]="","",ABS(tblWorkPackages[[#This Row],[Actual labor hours]]-tblWorkPackages[[#This Row],[Calibrated forecast hours]]))</f>
        <v/>
      </c>
      <c r="V1799" s="51">
        <f>IF(tblWorkPackages[[#This Row],[Time split]]="Train 2024",tblWorkPackages[[#This Row],[Estimated labor hours]],tblWorkPackages[[#This Row],[Calibrated forecast hours]])</f>
        <v>6.7</v>
      </c>
      <c r="W1799" s="64">
        <f>DATEVALUE(tblWorkPackages[[#This Row],[Request date]])</f>
        <v>45412.0</v>
      </c>
      <c r="X1799" s="64">
        <f>DATEVALUE(tblWorkPackages[[#This Row],[Due date]])</f>
        <v>45418.0</v>
      </c>
      <c r="Y1799" s="64">
        <f>DATEVALUE(tblWorkPackages[[#This Row],[Completion date]])</f>
        <v>45416.0</v>
      </c>
      <c r="Z1799" s="64">
        <f>_xlfn.MINIFS(tblLaborEntries[Work date serial],tblLaborEntries[Work package ID],tblWorkPackages[[#This Row],[Work package ID]])</f>
        <v>45414.0</v>
      </c>
      <c r="AA1799" s="64">
        <f>_xlfn.MAXIFS(tblLaborEntries[Work date serial],tblLaborEntries[Work package ID],tblWorkPackages[[#This Row],[Work package ID]])</f>
        <v>45415.0</v>
      </c>
      <c r="AB1799" s="65">
        <f>IF(tblWorkPackages[[#This Row],[Completion date serial]]&gt;tblWorkPackages[[#This Row],[Due date serial]],1,0)</f>
        <v>0</v>
      </c>
      <c r="AC1799" s="65">
        <f>MAX(0,tblWorkPackages[[#This Row],[Completion date serial]]-tblWorkPackages[[#This Row],[Due date serial]])</f>
        <v>0</v>
      </c>
      <c r="AD1799" s="65">
        <f>tblWorkPackages[[#This Row],[First labor date]]-tblWorkPackages[[#This Row],[Request date serial]]</f>
        <v>2</v>
      </c>
      <c r="AE1799" s="65">
        <f>tblWorkPackages[[#This Row],[Last labor date]]-tblWorkPackages[[#This Row],[First labor date]]</f>
        <v>1</v>
      </c>
      <c r="AF1799" s="65">
        <f>tblWorkPackages[[#This Row],[Completion date serial]]-tblWorkPackages[[#This Row],[Last labor date]]</f>
        <v>1</v>
      </c>
      <c r="AG1799" s="65">
        <f>tblWorkPackages[[#This Row],[Completion date serial]]-tblWorkPackages[[#This Row],[Request date serial]]</f>
        <v>4</v>
      </c>
      <c r="AH1799" s="65">
        <f>IFERROR(INDEX(tblParts[Delay days],MATCH(tblWorkPackages[[#This Row],[Work package ID]],tblParts[Work package ID],0)),0)</f>
        <v>0</v>
      </c>
      <c r="AI1799" s="51" t="str">
        <f>IFERROR(INDEX(tblDisruptions[Event type],MATCH(tblWorkPackages[[#This Row],[Work package ID]],tblDisruptions[Work package ID],0)),"None")</f>
        <v>None</v>
      </c>
      <c r="AJ1799" s="51" t="str">
        <f>TEXT(tblWorkPackages[[#This Row],[Due date serial]],"yyyy-mm")</f>
        <v>2024-05</v>
      </c>
    </row>
    <row r="1800" spans="1:36" ht="15" x14ac:dyDescent="0.25">
      <c r="A1800" s="53" t="s">
        <v>2710</v>
      </c>
      <c r="B1800" s="53" t="s">
        <v>163</v>
      </c>
      <c r="C1800" s="53" t="s">
        <v>1236</v>
      </c>
      <c r="D1800" s="53" t="s">
        <v>1237</v>
      </c>
      <c r="E1800" s="53" t="s">
        <v>153</v>
      </c>
      <c r="F1800" s="53" t="s">
        <v>128</v>
      </c>
      <c r="G1800" s="53" t="s">
        <v>154</v>
      </c>
      <c r="H1800" s="53">
        <v>1</v>
      </c>
      <c r="I1800" s="53" t="s">
        <v>130</v>
      </c>
      <c r="J1800" s="53">
        <v>1</v>
      </c>
      <c r="K1800" s="53">
        <v>1</v>
      </c>
      <c r="L1800" s="53">
        <v>6</v>
      </c>
      <c r="M1800" s="53" t="s">
        <v>350</v>
      </c>
      <c r="N1800" s="53">
        <v>9</v>
      </c>
      <c r="O1800" s="51" t="str">
        <f>TEXT(tblWorkPackages[[#This Row],[Request date serial]]-WEEKDAY(tblWorkPackages[[#This Row],[Request date serial]],3),"yyyy-mm-dd")</f>
        <v>2024-01-08</v>
      </c>
      <c r="P1800" s="51">
        <f>ABS(tblWorkPackages[[#This Row],[Actual labor hours]]-tblWorkPackages[[#This Row],[Estimated labor hours]])</f>
        <v>3</v>
      </c>
      <c r="Q1800" s="51">
        <f>IF(tblWorkPackages[[#This Row],[Actual labor hours]]&gt;tblWorkPackages[[#This Row],[Estimated labor hours]],1,0)</f>
        <v>1</v>
      </c>
      <c r="R1800" s="51">
        <f>tblWorkPackages[[#This Row],[Actual labor hours]]-tblWorkPackages[[#This Row],[Estimated labor hours]]</f>
        <v>3</v>
      </c>
      <c r="S1800" s="51" t="str">
        <f>IF(tblWorkPackages[[#This Row],[Request date serial]]&lt;ValidationStart,"Train 2024",IF(tblWorkPackages[[#This Row],[Request date serial]]&lt;HoldoutStart,"Validation H1","Holdout H2"))</f>
        <v>Train 2024</v>
      </c>
      <c r="T1800" s="51" t="str">
        <f>IF(tblWorkPackages[[#This Row],[Time split]]="Train 2024","",tblWorkPackages[[#This Row],[Estimated labor hours]]+VLOOKUP(tblWorkPackages[[#This Row],[Task type]],'Forecast validation'!$A$14:$E$25,IF(tblWorkPackages[[#This Row],[Time split]]="Validation H1",4,5),FALSE()))</f>
        <v/>
      </c>
      <c r="U1800" s="51" t="str">
        <f>IF(tblWorkPackages[[#This Row],[Calibrated forecast hours]]="","",ABS(tblWorkPackages[[#This Row],[Actual labor hours]]-tblWorkPackages[[#This Row],[Calibrated forecast hours]]))</f>
        <v/>
      </c>
      <c r="V1800" s="51">
        <f>IF(tblWorkPackages[[#This Row],[Time split]]="Train 2024",tblWorkPackages[[#This Row],[Estimated labor hours]],tblWorkPackages[[#This Row],[Calibrated forecast hours]])</f>
        <v>6</v>
      </c>
      <c r="W1800" s="64">
        <f>DATEVALUE(tblWorkPackages[[#This Row],[Request date]])</f>
        <v>45299.0</v>
      </c>
      <c r="X1800" s="64">
        <f>DATEVALUE(tblWorkPackages[[#This Row],[Due date]])</f>
        <v>45312.0</v>
      </c>
      <c r="Y1800" s="64">
        <f>DATEVALUE(tblWorkPackages[[#This Row],[Completion date]])</f>
        <v>45323.0</v>
      </c>
      <c r="Z1800" s="64">
        <f>_xlfn.MINIFS(tblLaborEntries[Work date serial],tblLaborEntries[Work package ID],tblWorkPackages[[#This Row],[Work package ID]])</f>
        <v>45321.0</v>
      </c>
      <c r="AA1800" s="64">
        <f>_xlfn.MAXIFS(tblLaborEntries[Work date serial],tblLaborEntries[Work package ID],tblWorkPackages[[#This Row],[Work package ID]])</f>
        <v>45321.0</v>
      </c>
      <c r="AB1800" s="65">
        <f>IF(tblWorkPackages[[#This Row],[Completion date serial]]&gt;tblWorkPackages[[#This Row],[Due date serial]],1,0)</f>
        <v>1</v>
      </c>
      <c r="AC1800" s="65">
        <f>MAX(0,tblWorkPackages[[#This Row],[Completion date serial]]-tblWorkPackages[[#This Row],[Due date serial]])</f>
        <v>11</v>
      </c>
      <c r="AD1800" s="65">
        <f>tblWorkPackages[[#This Row],[First labor date]]-tblWorkPackages[[#This Row],[Request date serial]]</f>
        <v>22</v>
      </c>
      <c r="AE1800" s="65">
        <f>tblWorkPackages[[#This Row],[Last labor date]]-tblWorkPackages[[#This Row],[First labor date]]</f>
        <v>0</v>
      </c>
      <c r="AF1800" s="65">
        <f>tblWorkPackages[[#This Row],[Completion date serial]]-tblWorkPackages[[#This Row],[Last labor date]]</f>
        <v>2</v>
      </c>
      <c r="AG1800" s="65">
        <f>tblWorkPackages[[#This Row],[Completion date serial]]-tblWorkPackages[[#This Row],[Request date serial]]</f>
        <v>24</v>
      </c>
      <c r="AH1800" s="65">
        <f>IFERROR(INDEX(tblParts[Delay days],MATCH(tblWorkPackages[[#This Row],[Work package ID]],tblParts[Work package ID],0)),0)</f>
        <v>0</v>
      </c>
      <c r="AI1800" s="51" t="str">
        <f>IFERROR(INDEX(tblDisruptions[Event type],MATCH(tblWorkPackages[[#This Row],[Work package ID]],tblDisruptions[Work package ID],0)),"None")</f>
        <v>None</v>
      </c>
      <c r="AJ1800" s="51" t="str">
        <f>TEXT(tblWorkPackages[[#This Row],[Due date serial]],"yyyy-mm")</f>
        <v>2024-01</v>
      </c>
    </row>
    <row r="1801" spans="1:36" ht="15" x14ac:dyDescent="0.25">
      <c r="A1801" s="53" t="s">
        <v>2711</v>
      </c>
      <c r="B1801" s="53" t="s">
        <v>141</v>
      </c>
      <c r="C1801" s="53" t="s">
        <v>1016</v>
      </c>
      <c r="D1801" s="53" t="s">
        <v>979</v>
      </c>
      <c r="E1801" s="53" t="s">
        <v>272</v>
      </c>
      <c r="F1801" s="53" t="s">
        <v>145</v>
      </c>
      <c r="G1801" s="53" t="s">
        <v>273</v>
      </c>
      <c r="H1801" s="53">
        <v>1</v>
      </c>
      <c r="I1801" s="53" t="s">
        <v>130</v>
      </c>
      <c r="J1801" s="53">
        <v>0</v>
      </c>
      <c r="K1801" s="53">
        <v>1</v>
      </c>
      <c r="L1801" s="53">
        <v>6.6</v>
      </c>
      <c r="M1801" s="53" t="s">
        <v>421</v>
      </c>
      <c r="N1801" s="53">
        <v>8.1</v>
      </c>
      <c r="O1801" s="51" t="str">
        <f>TEXT(tblWorkPackages[[#This Row],[Request date serial]]-WEEKDAY(tblWorkPackages[[#This Row],[Request date serial]],3),"yyyy-mm-dd")</f>
        <v>2025-10-20</v>
      </c>
      <c r="P1801" s="51">
        <f>ABS(tblWorkPackages[[#This Row],[Actual labor hours]]-tblWorkPackages[[#This Row],[Estimated labor hours]])</f>
        <v>1.5</v>
      </c>
      <c r="Q1801" s="51">
        <f>IF(tblWorkPackages[[#This Row],[Actual labor hours]]&gt;tblWorkPackages[[#This Row],[Estimated labor hours]],1,0)</f>
        <v>1</v>
      </c>
      <c r="R1801" s="51">
        <f>tblWorkPackages[[#This Row],[Actual labor hours]]-tblWorkPackages[[#This Row],[Estimated labor hours]]</f>
        <v>1.5</v>
      </c>
      <c r="S1801" s="51" t="str">
        <f>IF(tblWorkPackages[[#This Row],[Request date serial]]&lt;ValidationStart,"Train 2024",IF(tblWorkPackages[[#This Row],[Request date serial]]&lt;HoldoutStart,"Validation H1","Holdout H2"))</f>
        <v>Holdout H2</v>
      </c>
      <c r="T1801" s="51">
        <f>IF(tblWorkPackages[[#This Row],[Time split]]="Train 2024","",tblWorkPackages[[#This Row],[Estimated labor hours]]+VLOOKUP(tblWorkPackages[[#This Row],[Task type]],'Forecast validation'!$A$14:$E$25,IF(tblWorkPackages[[#This Row],[Time split]]="Validation H1",4,5),FALSE()))</f>
        <v>7.58515625</v>
      </c>
      <c r="U1801" s="51">
        <f>IF(tblWorkPackages[[#This Row],[Calibrated forecast hours]]="","",ABS(tblWorkPackages[[#This Row],[Actual labor hours]]-tblWorkPackages[[#This Row],[Calibrated forecast hours]]))</f>
        <v>0.51484375</v>
      </c>
      <c r="V1801" s="51">
        <f>IF(tblWorkPackages[[#This Row],[Time split]]="Train 2024",tblWorkPackages[[#This Row],[Estimated labor hours]],tblWorkPackages[[#This Row],[Calibrated forecast hours]])</f>
        <v>7.58515625</v>
      </c>
      <c r="W1801" s="64">
        <f>DATEVALUE(tblWorkPackages[[#This Row],[Request date]])</f>
        <v>45952.0</v>
      </c>
      <c r="X1801" s="64">
        <f>DATEVALUE(tblWorkPackages[[#This Row],[Due date]])</f>
        <v>45965.0</v>
      </c>
      <c r="Y1801" s="64">
        <f>DATEVALUE(tblWorkPackages[[#This Row],[Completion date]])</f>
        <v>45960.0</v>
      </c>
      <c r="Z1801" s="64">
        <f>_xlfn.MINIFS(tblLaborEntries[Work date serial],tblLaborEntries[Work package ID],tblWorkPackages[[#This Row],[Work package ID]])</f>
        <v>45956.0</v>
      </c>
      <c r="AA1801" s="64">
        <f>_xlfn.MAXIFS(tblLaborEntries[Work date serial],tblLaborEntries[Work package ID],tblWorkPackages[[#This Row],[Work package ID]])</f>
        <v>45957.0</v>
      </c>
      <c r="AB1801" s="65">
        <f>IF(tblWorkPackages[[#This Row],[Completion date serial]]&gt;tblWorkPackages[[#This Row],[Due date serial]],1,0)</f>
        <v>0</v>
      </c>
      <c r="AC1801" s="65">
        <f>MAX(0,tblWorkPackages[[#This Row],[Completion date serial]]-tblWorkPackages[[#This Row],[Due date serial]])</f>
        <v>0</v>
      </c>
      <c r="AD1801" s="65">
        <f>tblWorkPackages[[#This Row],[First labor date]]-tblWorkPackages[[#This Row],[Request date serial]]</f>
        <v>4</v>
      </c>
      <c r="AE1801" s="65">
        <f>tblWorkPackages[[#This Row],[Last labor date]]-tblWorkPackages[[#This Row],[First labor date]]</f>
        <v>1</v>
      </c>
      <c r="AF1801" s="65">
        <f>tblWorkPackages[[#This Row],[Completion date serial]]-tblWorkPackages[[#This Row],[Last labor date]]</f>
        <v>3</v>
      </c>
      <c r="AG1801" s="65">
        <f>tblWorkPackages[[#This Row],[Completion date serial]]-tblWorkPackages[[#This Row],[Request date serial]]</f>
        <v>8</v>
      </c>
      <c r="AH1801" s="65">
        <f>IFERROR(INDEX(tblParts[Delay days],MATCH(tblWorkPackages[[#This Row],[Work package ID]],tblParts[Work package ID],0)),0)</f>
        <v>0</v>
      </c>
      <c r="AI1801" s="51" t="str">
        <f>IFERROR(INDEX(tblDisruptions[Event type],MATCH(tblWorkPackages[[#This Row],[Work package ID]],tblDisruptions[Work package ID],0)),"None")</f>
        <v>None</v>
      </c>
      <c r="AJ1801" s="51" t="str">
        <f>TEXT(tblWorkPackages[[#This Row],[Due date serial]],"yyyy-mm")</f>
        <v>2025-11</v>
      </c>
    </row>
    <row r="1802" spans="1:36" ht="15" x14ac:dyDescent="0.25">
      <c r="A1802" s="53" t="s">
        <v>2712</v>
      </c>
      <c r="B1802" s="53" t="s">
        <v>185</v>
      </c>
      <c r="C1802" s="53" t="s">
        <v>726</v>
      </c>
      <c r="D1802" s="53" t="s">
        <v>634</v>
      </c>
      <c r="E1802" s="53" t="s">
        <v>153</v>
      </c>
      <c r="F1802" s="53" t="s">
        <v>128</v>
      </c>
      <c r="G1802" s="53" t="s">
        <v>154</v>
      </c>
      <c r="H1802" s="53">
        <v>1</v>
      </c>
      <c r="I1802" s="53" t="s">
        <v>176</v>
      </c>
      <c r="J1802" s="53">
        <v>0</v>
      </c>
      <c r="K1802" s="53">
        <v>1</v>
      </c>
      <c r="L1802" s="53">
        <v>7.3</v>
      </c>
      <c r="M1802" s="53" t="s">
        <v>400</v>
      </c>
      <c r="N1802" s="53">
        <v>8.1999999999999993</v>
      </c>
      <c r="O1802" s="51" t="str">
        <f>TEXT(tblWorkPackages[[#This Row],[Request date serial]]-WEEKDAY(tblWorkPackages[[#This Row],[Request date serial]],3),"yyyy-mm-dd")</f>
        <v>2024-05-20</v>
      </c>
      <c r="P1802" s="51">
        <f>ABS(tblWorkPackages[[#This Row],[Actual labor hours]]-tblWorkPackages[[#This Row],[Estimated labor hours]])</f>
        <v>0.9</v>
      </c>
      <c r="Q1802" s="51">
        <f>IF(tblWorkPackages[[#This Row],[Actual labor hours]]&gt;tblWorkPackages[[#This Row],[Estimated labor hours]],1,0)</f>
        <v>1</v>
      </c>
      <c r="R1802" s="51">
        <f>tblWorkPackages[[#This Row],[Actual labor hours]]-tblWorkPackages[[#This Row],[Estimated labor hours]]</f>
        <v>0.9</v>
      </c>
      <c r="S1802" s="51" t="str">
        <f>IF(tblWorkPackages[[#This Row],[Request date serial]]&lt;ValidationStart,"Train 2024",IF(tblWorkPackages[[#This Row],[Request date serial]]&lt;HoldoutStart,"Validation H1","Holdout H2"))</f>
        <v>Train 2024</v>
      </c>
      <c r="T1802" s="51" t="str">
        <f>IF(tblWorkPackages[[#This Row],[Time split]]="Train 2024","",tblWorkPackages[[#This Row],[Estimated labor hours]]+VLOOKUP(tblWorkPackages[[#This Row],[Task type]],'Forecast validation'!$A$14:$E$25,IF(tblWorkPackages[[#This Row],[Time split]]="Validation H1",4,5),FALSE()))</f>
        <v/>
      </c>
      <c r="U1802" s="51" t="str">
        <f>IF(tblWorkPackages[[#This Row],[Calibrated forecast hours]]="","",ABS(tblWorkPackages[[#This Row],[Actual labor hours]]-tblWorkPackages[[#This Row],[Calibrated forecast hours]]))</f>
        <v/>
      </c>
      <c r="V1802" s="51">
        <f>IF(tblWorkPackages[[#This Row],[Time split]]="Train 2024",tblWorkPackages[[#This Row],[Estimated labor hours]],tblWorkPackages[[#This Row],[Calibrated forecast hours]])</f>
        <v>7.3</v>
      </c>
      <c r="W1802" s="64">
        <f>DATEVALUE(tblWorkPackages[[#This Row],[Request date]])</f>
        <v>45432.0</v>
      </c>
      <c r="X1802" s="64">
        <f>DATEVALUE(tblWorkPackages[[#This Row],[Due date]])</f>
        <v>45438.0</v>
      </c>
      <c r="Y1802" s="64">
        <f>DATEVALUE(tblWorkPackages[[#This Row],[Completion date]])</f>
        <v>45434.0</v>
      </c>
      <c r="Z1802" s="64">
        <f>_xlfn.MINIFS(tblLaborEntries[Work date serial],tblLaborEntries[Work package ID],tblWorkPackages[[#This Row],[Work package ID]])</f>
        <v>45433.0</v>
      </c>
      <c r="AA1802" s="64">
        <f>_xlfn.MAXIFS(tblLaborEntries[Work date serial],tblLaborEntries[Work package ID],tblWorkPackages[[#This Row],[Work package ID]])</f>
        <v>45434.0</v>
      </c>
      <c r="AB1802" s="65">
        <f>IF(tblWorkPackages[[#This Row],[Completion date serial]]&gt;tblWorkPackages[[#This Row],[Due date serial]],1,0)</f>
        <v>0</v>
      </c>
      <c r="AC1802" s="65">
        <f>MAX(0,tblWorkPackages[[#This Row],[Completion date serial]]-tblWorkPackages[[#This Row],[Due date serial]])</f>
        <v>0</v>
      </c>
      <c r="AD1802" s="65">
        <f>tblWorkPackages[[#This Row],[First labor date]]-tblWorkPackages[[#This Row],[Request date serial]]</f>
        <v>1</v>
      </c>
      <c r="AE1802" s="65">
        <f>tblWorkPackages[[#This Row],[Last labor date]]-tblWorkPackages[[#This Row],[First labor date]]</f>
        <v>1</v>
      </c>
      <c r="AF1802" s="65">
        <f>tblWorkPackages[[#This Row],[Completion date serial]]-tblWorkPackages[[#This Row],[Last labor date]]</f>
        <v>0</v>
      </c>
      <c r="AG1802" s="65">
        <f>tblWorkPackages[[#This Row],[Completion date serial]]-tblWorkPackages[[#This Row],[Request date serial]]</f>
        <v>2</v>
      </c>
      <c r="AH1802" s="65">
        <f>IFERROR(INDEX(tblParts[Delay days],MATCH(tblWorkPackages[[#This Row],[Work package ID]],tblParts[Work package ID],0)),0)</f>
        <v>0</v>
      </c>
      <c r="AI1802" s="51" t="str">
        <f>IFERROR(INDEX(tblDisruptions[Event type],MATCH(tblWorkPackages[[#This Row],[Work package ID]],tblDisruptions[Work package ID],0)),"None")</f>
        <v>None</v>
      </c>
      <c r="AJ1802" s="51" t="str">
        <f>TEXT(tblWorkPackages[[#This Row],[Due date serial]],"yyyy-mm")</f>
        <v>2024-05</v>
      </c>
    </row>
    <row r="1803" spans="1:36" ht="15" x14ac:dyDescent="0.25">
      <c r="A1803" s="53" t="s">
        <v>2713</v>
      </c>
      <c r="B1803" s="53" t="s">
        <v>163</v>
      </c>
      <c r="C1803" s="53" t="s">
        <v>1128</v>
      </c>
      <c r="D1803" s="53" t="s">
        <v>251</v>
      </c>
      <c r="E1803" s="53" t="s">
        <v>209</v>
      </c>
      <c r="F1803" s="53" t="s">
        <v>145</v>
      </c>
      <c r="G1803" s="53" t="s">
        <v>210</v>
      </c>
      <c r="H1803" s="53">
        <v>4</v>
      </c>
      <c r="I1803" s="53" t="s">
        <v>130</v>
      </c>
      <c r="J1803" s="53">
        <v>0</v>
      </c>
      <c r="K1803" s="53">
        <v>1</v>
      </c>
      <c r="L1803" s="53">
        <v>34.700000000000003</v>
      </c>
      <c r="M1803" s="53" t="s">
        <v>1437</v>
      </c>
      <c r="N1803" s="53">
        <v>26.7</v>
      </c>
      <c r="O1803" s="51" t="str">
        <f>TEXT(tblWorkPackages[[#This Row],[Request date serial]]-WEEKDAY(tblWorkPackages[[#This Row],[Request date serial]],3),"yyyy-mm-dd")</f>
        <v>2024-12-09</v>
      </c>
      <c r="P1803" s="51">
        <f>ABS(tblWorkPackages[[#This Row],[Actual labor hours]]-tblWorkPackages[[#This Row],[Estimated labor hours]])</f>
        <v>8</v>
      </c>
      <c r="Q1803" s="51">
        <f>IF(tblWorkPackages[[#This Row],[Actual labor hours]]&gt;tblWorkPackages[[#This Row],[Estimated labor hours]],1,0)</f>
        <v>0</v>
      </c>
      <c r="R1803" s="51">
        <f>tblWorkPackages[[#This Row],[Actual labor hours]]-tblWorkPackages[[#This Row],[Estimated labor hours]]</f>
        <v>-8</v>
      </c>
      <c r="S1803" s="51" t="str">
        <f>IF(tblWorkPackages[[#This Row],[Request date serial]]&lt;ValidationStart,"Train 2024",IF(tblWorkPackages[[#This Row],[Request date serial]]&lt;HoldoutStart,"Validation H1","Holdout H2"))</f>
        <v>Train 2024</v>
      </c>
      <c r="T1803" s="51" t="str">
        <f>IF(tblWorkPackages[[#This Row],[Time split]]="Train 2024","",tblWorkPackages[[#This Row],[Estimated labor hours]]+VLOOKUP(tblWorkPackages[[#This Row],[Task type]],'Forecast validation'!$A$14:$E$25,IF(tblWorkPackages[[#This Row],[Time split]]="Validation H1",4,5),FALSE()))</f>
        <v/>
      </c>
      <c r="U1803" s="51" t="str">
        <f>IF(tblWorkPackages[[#This Row],[Calibrated forecast hours]]="","",ABS(tblWorkPackages[[#This Row],[Actual labor hours]]-tblWorkPackages[[#This Row],[Calibrated forecast hours]]))</f>
        <v/>
      </c>
      <c r="V1803" s="51">
        <f>IF(tblWorkPackages[[#This Row],[Time split]]="Train 2024",tblWorkPackages[[#This Row],[Estimated labor hours]],tblWorkPackages[[#This Row],[Calibrated forecast hours]])</f>
        <v>34.7</v>
      </c>
      <c r="W1803" s="64">
        <f>DATEVALUE(tblWorkPackages[[#This Row],[Request date]])</f>
        <v>45639.0</v>
      </c>
      <c r="X1803" s="64">
        <f>DATEVALUE(tblWorkPackages[[#This Row],[Due date]])</f>
        <v>45652.0</v>
      </c>
      <c r="Y1803" s="64">
        <f>DATEVALUE(tblWorkPackages[[#This Row],[Completion date]])</f>
        <v>45653.0</v>
      </c>
      <c r="Z1803" s="64">
        <f>_xlfn.MINIFS(tblLaborEntries[Work date serial],tblLaborEntries[Work package ID],tblWorkPackages[[#This Row],[Work package ID]])</f>
        <v>45651.0</v>
      </c>
      <c r="AA1803" s="64">
        <f>_xlfn.MAXIFS(tblLaborEntries[Work date serial],tblLaborEntries[Work package ID],tblWorkPackages[[#This Row],[Work package ID]])</f>
        <v>45652.0</v>
      </c>
      <c r="AB1803" s="65">
        <f>IF(tblWorkPackages[[#This Row],[Completion date serial]]&gt;tblWorkPackages[[#This Row],[Due date serial]],1,0)</f>
        <v>1</v>
      </c>
      <c r="AC1803" s="65">
        <f>MAX(0,tblWorkPackages[[#This Row],[Completion date serial]]-tblWorkPackages[[#This Row],[Due date serial]])</f>
        <v>1</v>
      </c>
      <c r="AD1803" s="65">
        <f>tblWorkPackages[[#This Row],[First labor date]]-tblWorkPackages[[#This Row],[Request date serial]]</f>
        <v>12</v>
      </c>
      <c r="AE1803" s="65">
        <f>tblWorkPackages[[#This Row],[Last labor date]]-tblWorkPackages[[#This Row],[First labor date]]</f>
        <v>1</v>
      </c>
      <c r="AF1803" s="65">
        <f>tblWorkPackages[[#This Row],[Completion date serial]]-tblWorkPackages[[#This Row],[Last labor date]]</f>
        <v>1</v>
      </c>
      <c r="AG1803" s="65">
        <f>tblWorkPackages[[#This Row],[Completion date serial]]-tblWorkPackages[[#This Row],[Request date serial]]</f>
        <v>14</v>
      </c>
      <c r="AH1803" s="65">
        <f>IFERROR(INDEX(tblParts[Delay days],MATCH(tblWorkPackages[[#This Row],[Work package ID]],tblParts[Work package ID],0)),0)</f>
        <v>0</v>
      </c>
      <c r="AI1803" s="51" t="str">
        <f>IFERROR(INDEX(tblDisruptions[Event type],MATCH(tblWorkPackages[[#This Row],[Work package ID]],tblDisruptions[Work package ID],0)),"None")</f>
        <v>None</v>
      </c>
      <c r="AJ1803" s="51" t="str">
        <f>TEXT(tblWorkPackages[[#This Row],[Due date serial]],"yyyy-mm")</f>
        <v>2024-12</v>
      </c>
    </row>
    <row r="1804" spans="1:36" ht="15" x14ac:dyDescent="0.25">
      <c r="A1804" s="53" t="s">
        <v>2714</v>
      </c>
      <c r="B1804" s="53" t="s">
        <v>133</v>
      </c>
      <c r="C1804" s="53" t="s">
        <v>757</v>
      </c>
      <c r="D1804" s="53" t="s">
        <v>756</v>
      </c>
      <c r="E1804" s="53" t="s">
        <v>144</v>
      </c>
      <c r="F1804" s="53" t="s">
        <v>145</v>
      </c>
      <c r="G1804" s="53" t="s">
        <v>146</v>
      </c>
      <c r="H1804" s="53">
        <v>2</v>
      </c>
      <c r="I1804" s="53" t="s">
        <v>176</v>
      </c>
      <c r="J1804" s="53">
        <v>0</v>
      </c>
      <c r="K1804" s="53">
        <v>0</v>
      </c>
      <c r="L1804" s="53">
        <v>9</v>
      </c>
      <c r="M1804" s="53" t="s">
        <v>1578</v>
      </c>
      <c r="N1804" s="53">
        <v>10.6</v>
      </c>
      <c r="O1804" s="51" t="str">
        <f>TEXT(tblWorkPackages[[#This Row],[Request date serial]]-WEEKDAY(tblWorkPackages[[#This Row],[Request date serial]],3),"yyyy-mm-dd")</f>
        <v>2024-09-16</v>
      </c>
      <c r="P1804" s="51">
        <f>ABS(tblWorkPackages[[#This Row],[Actual labor hours]]-tblWorkPackages[[#This Row],[Estimated labor hours]])</f>
        <v>1.6</v>
      </c>
      <c r="Q1804" s="51">
        <f>IF(tblWorkPackages[[#This Row],[Actual labor hours]]&gt;tblWorkPackages[[#This Row],[Estimated labor hours]],1,0)</f>
        <v>1</v>
      </c>
      <c r="R1804" s="51">
        <f>tblWorkPackages[[#This Row],[Actual labor hours]]-tblWorkPackages[[#This Row],[Estimated labor hours]]</f>
        <v>1.6</v>
      </c>
      <c r="S1804" s="51" t="str">
        <f>IF(tblWorkPackages[[#This Row],[Request date serial]]&lt;ValidationStart,"Train 2024",IF(tblWorkPackages[[#This Row],[Request date serial]]&lt;HoldoutStart,"Validation H1","Holdout H2"))</f>
        <v>Train 2024</v>
      </c>
      <c r="T1804" s="51" t="str">
        <f>IF(tblWorkPackages[[#This Row],[Time split]]="Train 2024","",tblWorkPackages[[#This Row],[Estimated labor hours]]+VLOOKUP(tblWorkPackages[[#This Row],[Task type]],'Forecast validation'!$A$14:$E$25,IF(tblWorkPackages[[#This Row],[Time split]]="Validation H1",4,5),FALSE()))</f>
        <v/>
      </c>
      <c r="U1804" s="51" t="str">
        <f>IF(tblWorkPackages[[#This Row],[Calibrated forecast hours]]="","",ABS(tblWorkPackages[[#This Row],[Actual labor hours]]-tblWorkPackages[[#This Row],[Calibrated forecast hours]]))</f>
        <v/>
      </c>
      <c r="V1804" s="51">
        <f>IF(tblWorkPackages[[#This Row],[Time split]]="Train 2024",tblWorkPackages[[#This Row],[Estimated labor hours]],tblWorkPackages[[#This Row],[Calibrated forecast hours]])</f>
        <v>9</v>
      </c>
      <c r="W1804" s="64">
        <f>DATEVALUE(tblWorkPackages[[#This Row],[Request date]])</f>
        <v>45557.0</v>
      </c>
      <c r="X1804" s="64">
        <f>DATEVALUE(tblWorkPackages[[#This Row],[Due date]])</f>
        <v>45563.0</v>
      </c>
      <c r="Y1804" s="64">
        <f>DATEVALUE(tblWorkPackages[[#This Row],[Completion date]])</f>
        <v>45564.0</v>
      </c>
      <c r="Z1804" s="64">
        <f>_xlfn.MINIFS(tblLaborEntries[Work date serial],tblLaborEntries[Work package ID],tblWorkPackages[[#This Row],[Work package ID]])</f>
        <v>45560.0</v>
      </c>
      <c r="AA1804" s="64">
        <f>_xlfn.MAXIFS(tblLaborEntries[Work date serial],tblLaborEntries[Work package ID],tblWorkPackages[[#This Row],[Work package ID]])</f>
        <v>45562.0</v>
      </c>
      <c r="AB1804" s="65">
        <f>IF(tblWorkPackages[[#This Row],[Completion date serial]]&gt;tblWorkPackages[[#This Row],[Due date serial]],1,0)</f>
        <v>1</v>
      </c>
      <c r="AC1804" s="65">
        <f>MAX(0,tblWorkPackages[[#This Row],[Completion date serial]]-tblWorkPackages[[#This Row],[Due date serial]])</f>
        <v>1</v>
      </c>
      <c r="AD1804" s="65">
        <f>tblWorkPackages[[#This Row],[First labor date]]-tblWorkPackages[[#This Row],[Request date serial]]</f>
        <v>3</v>
      </c>
      <c r="AE1804" s="65">
        <f>tblWorkPackages[[#This Row],[Last labor date]]-tblWorkPackages[[#This Row],[First labor date]]</f>
        <v>2</v>
      </c>
      <c r="AF1804" s="65">
        <f>tblWorkPackages[[#This Row],[Completion date serial]]-tblWorkPackages[[#This Row],[Last labor date]]</f>
        <v>2</v>
      </c>
      <c r="AG1804" s="65">
        <f>tblWorkPackages[[#This Row],[Completion date serial]]-tblWorkPackages[[#This Row],[Request date serial]]</f>
        <v>7</v>
      </c>
      <c r="AH1804" s="65">
        <f>IFERROR(INDEX(tblParts[Delay days],MATCH(tblWorkPackages[[#This Row],[Work package ID]],tblParts[Work package ID],0)),0)</f>
        <v>0</v>
      </c>
      <c r="AI1804" s="51" t="str">
        <f>IFERROR(INDEX(tblDisruptions[Event type],MATCH(tblWorkPackages[[#This Row],[Work package ID]],tblDisruptions[Work package ID],0)),"None")</f>
        <v>None</v>
      </c>
      <c r="AJ1804" s="51" t="str">
        <f>TEXT(tblWorkPackages[[#This Row],[Due date serial]],"yyyy-mm")</f>
        <v>2024-09</v>
      </c>
    </row>
    <row r="1805" spans="1:36" ht="15" x14ac:dyDescent="0.25">
      <c r="A1805" s="53" t="s">
        <v>2715</v>
      </c>
      <c r="B1805" s="53" t="s">
        <v>168</v>
      </c>
      <c r="C1805" s="53" t="s">
        <v>1204</v>
      </c>
      <c r="D1805" s="53" t="s">
        <v>1321</v>
      </c>
      <c r="E1805" s="53" t="s">
        <v>136</v>
      </c>
      <c r="F1805" s="53" t="s">
        <v>137</v>
      </c>
      <c r="G1805" s="53" t="s">
        <v>138</v>
      </c>
      <c r="H1805" s="53">
        <v>3</v>
      </c>
      <c r="I1805" s="53" t="s">
        <v>130</v>
      </c>
      <c r="J1805" s="53">
        <v>0</v>
      </c>
      <c r="K1805" s="53">
        <v>1</v>
      </c>
      <c r="L1805" s="53">
        <v>19.899999999999999</v>
      </c>
      <c r="M1805" s="53" t="s">
        <v>846</v>
      </c>
      <c r="N1805" s="53">
        <v>22.6</v>
      </c>
      <c r="O1805" s="51" t="str">
        <f>TEXT(tblWorkPackages[[#This Row],[Request date serial]]-WEEKDAY(tblWorkPackages[[#This Row],[Request date serial]],3),"yyyy-mm-dd")</f>
        <v>2024-07-29</v>
      </c>
      <c r="P1805" s="51">
        <f>ABS(tblWorkPackages[[#This Row],[Actual labor hours]]-tblWorkPackages[[#This Row],[Estimated labor hours]])</f>
        <v>2.7</v>
      </c>
      <c r="Q1805" s="51">
        <f>IF(tblWorkPackages[[#This Row],[Actual labor hours]]&gt;tblWorkPackages[[#This Row],[Estimated labor hours]],1,0)</f>
        <v>1</v>
      </c>
      <c r="R1805" s="51">
        <f>tblWorkPackages[[#This Row],[Actual labor hours]]-tblWorkPackages[[#This Row],[Estimated labor hours]]</f>
        <v>2.7</v>
      </c>
      <c r="S1805" s="51" t="str">
        <f>IF(tblWorkPackages[[#This Row],[Request date serial]]&lt;ValidationStart,"Train 2024",IF(tblWorkPackages[[#This Row],[Request date serial]]&lt;HoldoutStart,"Validation H1","Holdout H2"))</f>
        <v>Train 2024</v>
      </c>
      <c r="T1805" s="51" t="str">
        <f>IF(tblWorkPackages[[#This Row],[Time split]]="Train 2024","",tblWorkPackages[[#This Row],[Estimated labor hours]]+VLOOKUP(tblWorkPackages[[#This Row],[Task type]],'Forecast validation'!$A$14:$E$25,IF(tblWorkPackages[[#This Row],[Time split]]="Validation H1",4,5),FALSE()))</f>
        <v/>
      </c>
      <c r="U1805" s="51" t="str">
        <f>IF(tblWorkPackages[[#This Row],[Calibrated forecast hours]]="","",ABS(tblWorkPackages[[#This Row],[Actual labor hours]]-tblWorkPackages[[#This Row],[Calibrated forecast hours]]))</f>
        <v/>
      </c>
      <c r="V1805" s="51">
        <f>IF(tblWorkPackages[[#This Row],[Time split]]="Train 2024",tblWorkPackages[[#This Row],[Estimated labor hours]],tblWorkPackages[[#This Row],[Calibrated forecast hours]])</f>
        <v>19.9</v>
      </c>
      <c r="W1805" s="64">
        <f>DATEVALUE(tblWorkPackages[[#This Row],[Request date]])</f>
        <v>45503.0</v>
      </c>
      <c r="X1805" s="64">
        <f>DATEVALUE(tblWorkPackages[[#This Row],[Due date]])</f>
        <v>45516.0</v>
      </c>
      <c r="Y1805" s="64">
        <f>DATEVALUE(tblWorkPackages[[#This Row],[Completion date]])</f>
        <v>45542.0</v>
      </c>
      <c r="Z1805" s="64">
        <f>_xlfn.MINIFS(tblLaborEntries[Work date serial],tblLaborEntries[Work package ID],tblWorkPackages[[#This Row],[Work package ID]])</f>
        <v>45537.0</v>
      </c>
      <c r="AA1805" s="64">
        <f>_xlfn.MAXIFS(tblLaborEntries[Work date serial],tblLaborEntries[Work package ID],tblWorkPackages[[#This Row],[Work package ID]])</f>
        <v>45539.0</v>
      </c>
      <c r="AB1805" s="65">
        <f>IF(tblWorkPackages[[#This Row],[Completion date serial]]&gt;tblWorkPackages[[#This Row],[Due date serial]],1,0)</f>
        <v>1</v>
      </c>
      <c r="AC1805" s="65">
        <f>MAX(0,tblWorkPackages[[#This Row],[Completion date serial]]-tblWorkPackages[[#This Row],[Due date serial]])</f>
        <v>26</v>
      </c>
      <c r="AD1805" s="65">
        <f>tblWorkPackages[[#This Row],[First labor date]]-tblWorkPackages[[#This Row],[Request date serial]]</f>
        <v>34</v>
      </c>
      <c r="AE1805" s="65">
        <f>tblWorkPackages[[#This Row],[Last labor date]]-tblWorkPackages[[#This Row],[First labor date]]</f>
        <v>2</v>
      </c>
      <c r="AF1805" s="65">
        <f>tblWorkPackages[[#This Row],[Completion date serial]]-tblWorkPackages[[#This Row],[Last labor date]]</f>
        <v>3</v>
      </c>
      <c r="AG1805" s="65">
        <f>tblWorkPackages[[#This Row],[Completion date serial]]-tblWorkPackages[[#This Row],[Request date serial]]</f>
        <v>39</v>
      </c>
      <c r="AH1805" s="65">
        <f>IFERROR(INDEX(tblParts[Delay days],MATCH(tblWorkPackages[[#This Row],[Work package ID]],tblParts[Work package ID],0)),0)</f>
        <v>0</v>
      </c>
      <c r="AI1805" s="51" t="str">
        <f>IFERROR(INDEX(tblDisruptions[Event type],MATCH(tblWorkPackages[[#This Row],[Work package ID]],tblDisruptions[Work package ID],0)),"None")</f>
        <v>None</v>
      </c>
      <c r="AJ1805" s="51" t="str">
        <f>TEXT(tblWorkPackages[[#This Row],[Due date serial]],"yyyy-mm")</f>
        <v>2024-08</v>
      </c>
    </row>
    <row r="1806" spans="1:36" ht="15" x14ac:dyDescent="0.25">
      <c r="A1806" s="53" t="s">
        <v>2716</v>
      </c>
      <c r="B1806" s="53" t="s">
        <v>168</v>
      </c>
      <c r="C1806" s="53" t="s">
        <v>984</v>
      </c>
      <c r="D1806" s="53" t="s">
        <v>1333</v>
      </c>
      <c r="E1806" s="53" t="s">
        <v>237</v>
      </c>
      <c r="F1806" s="53" t="s">
        <v>182</v>
      </c>
      <c r="G1806" s="53" t="s">
        <v>138</v>
      </c>
      <c r="H1806" s="53">
        <v>2</v>
      </c>
      <c r="I1806" s="53" t="s">
        <v>130</v>
      </c>
      <c r="J1806" s="53">
        <v>0</v>
      </c>
      <c r="K1806" s="53">
        <v>0</v>
      </c>
      <c r="L1806" s="53">
        <v>5.3</v>
      </c>
      <c r="M1806" s="53" t="s">
        <v>343</v>
      </c>
      <c r="N1806" s="53">
        <v>5.4</v>
      </c>
      <c r="O1806" s="51" t="str">
        <f>TEXT(tblWorkPackages[[#This Row],[Request date serial]]-WEEKDAY(tblWorkPackages[[#This Row],[Request date serial]],3),"yyyy-mm-dd")</f>
        <v>2025-07-14</v>
      </c>
      <c r="P1806" s="51">
        <f>ABS(tblWorkPackages[[#This Row],[Actual labor hours]]-tblWorkPackages[[#This Row],[Estimated labor hours]])</f>
        <v>0.100000000000001</v>
      </c>
      <c r="Q1806" s="51">
        <f>IF(tblWorkPackages[[#This Row],[Actual labor hours]]&gt;tblWorkPackages[[#This Row],[Estimated labor hours]],1,0)</f>
        <v>1</v>
      </c>
      <c r="R1806" s="51">
        <f>tblWorkPackages[[#This Row],[Actual labor hours]]-tblWorkPackages[[#This Row],[Estimated labor hours]]</f>
        <v>0.100000000000001</v>
      </c>
      <c r="S1806" s="51" t="str">
        <f>IF(tblWorkPackages[[#This Row],[Request date serial]]&lt;ValidationStart,"Train 2024",IF(tblWorkPackages[[#This Row],[Request date serial]]&lt;HoldoutStart,"Validation H1","Holdout H2"))</f>
        <v>Holdout H2</v>
      </c>
      <c r="T1806" s="51">
        <f>IF(tblWorkPackages[[#This Row],[Time split]]="Train 2024","",tblWorkPackages[[#This Row],[Estimated labor hours]]+VLOOKUP(tblWorkPackages[[#This Row],[Task type]],'Forecast validation'!$A$14:$E$25,IF(tblWorkPackages[[#This Row],[Time split]]="Validation H1",4,5),FALSE()))</f>
        <v>5.753125</v>
      </c>
      <c r="U1806" s="51">
        <f>IF(tblWorkPackages[[#This Row],[Calibrated forecast hours]]="","",ABS(tblWorkPackages[[#This Row],[Actual labor hours]]-tblWorkPackages[[#This Row],[Calibrated forecast hours]]))</f>
        <v>0.353124999999999</v>
      </c>
      <c r="V1806" s="51">
        <f>IF(tblWorkPackages[[#This Row],[Time split]]="Train 2024",tblWorkPackages[[#This Row],[Estimated labor hours]],tblWorkPackages[[#This Row],[Calibrated forecast hours]])</f>
        <v>5.753125</v>
      </c>
      <c r="W1806" s="64">
        <f>DATEVALUE(tblWorkPackages[[#This Row],[Request date]])</f>
        <v>45855.0</v>
      </c>
      <c r="X1806" s="64">
        <f>DATEVALUE(tblWorkPackages[[#This Row],[Due date]])</f>
        <v>45868.0</v>
      </c>
      <c r="Y1806" s="64">
        <f>DATEVALUE(tblWorkPackages[[#This Row],[Completion date]])</f>
        <v>45862.0</v>
      </c>
      <c r="Z1806" s="64">
        <f>_xlfn.MINIFS(tblLaborEntries[Work date serial],tblLaborEntries[Work package ID],tblWorkPackages[[#This Row],[Work package ID]])</f>
        <v>45861.0</v>
      </c>
      <c r="AA1806" s="64">
        <f>_xlfn.MAXIFS(tblLaborEntries[Work date serial],tblLaborEntries[Work package ID],tblWorkPackages[[#This Row],[Work package ID]])</f>
        <v>45862.0</v>
      </c>
      <c r="AB1806" s="65">
        <f>IF(tblWorkPackages[[#This Row],[Completion date serial]]&gt;tblWorkPackages[[#This Row],[Due date serial]],1,0)</f>
        <v>0</v>
      </c>
      <c r="AC1806" s="65">
        <f>MAX(0,tblWorkPackages[[#This Row],[Completion date serial]]-tblWorkPackages[[#This Row],[Due date serial]])</f>
        <v>0</v>
      </c>
      <c r="AD1806" s="65">
        <f>tblWorkPackages[[#This Row],[First labor date]]-tblWorkPackages[[#This Row],[Request date serial]]</f>
        <v>6</v>
      </c>
      <c r="AE1806" s="65">
        <f>tblWorkPackages[[#This Row],[Last labor date]]-tblWorkPackages[[#This Row],[First labor date]]</f>
        <v>1</v>
      </c>
      <c r="AF1806" s="65">
        <f>tblWorkPackages[[#This Row],[Completion date serial]]-tblWorkPackages[[#This Row],[Last labor date]]</f>
        <v>0</v>
      </c>
      <c r="AG1806" s="65">
        <f>tblWorkPackages[[#This Row],[Completion date serial]]-tblWorkPackages[[#This Row],[Request date serial]]</f>
        <v>7</v>
      </c>
      <c r="AH1806" s="65">
        <f>IFERROR(INDEX(tblParts[Delay days],MATCH(tblWorkPackages[[#This Row],[Work package ID]],tblParts[Work package ID],0)),0)</f>
        <v>0</v>
      </c>
      <c r="AI1806" s="51" t="str">
        <f>IFERROR(INDEX(tblDisruptions[Event type],MATCH(tblWorkPackages[[#This Row],[Work package ID]],tblDisruptions[Work package ID],0)),"None")</f>
        <v>None</v>
      </c>
      <c r="AJ1806" s="51" t="str">
        <f>TEXT(tblWorkPackages[[#This Row],[Due date serial]],"yyyy-mm")</f>
        <v>2025-07</v>
      </c>
    </row>
    <row r="1807" spans="1:36" ht="15" x14ac:dyDescent="0.25">
      <c r="A1807" s="53" t="s">
        <v>2717</v>
      </c>
      <c r="B1807" s="53" t="s">
        <v>173</v>
      </c>
      <c r="C1807" s="53" t="s">
        <v>571</v>
      </c>
      <c r="D1807" s="53" t="s">
        <v>1455</v>
      </c>
      <c r="E1807" s="53" t="s">
        <v>127</v>
      </c>
      <c r="F1807" s="53" t="s">
        <v>128</v>
      </c>
      <c r="G1807" s="53" t="s">
        <v>129</v>
      </c>
      <c r="H1807" s="53">
        <v>4</v>
      </c>
      <c r="I1807" s="53" t="s">
        <v>130</v>
      </c>
      <c r="J1807" s="53">
        <v>0</v>
      </c>
      <c r="K1807" s="53">
        <v>0</v>
      </c>
      <c r="L1807" s="53">
        <v>12.6</v>
      </c>
      <c r="M1807" s="53" t="s">
        <v>279</v>
      </c>
      <c r="N1807" s="53">
        <v>10.1</v>
      </c>
      <c r="O1807" s="51" t="str">
        <f>TEXT(tblWorkPackages[[#This Row],[Request date serial]]-WEEKDAY(tblWorkPackages[[#This Row],[Request date serial]],3),"yyyy-mm-dd")</f>
        <v>2025-01-13</v>
      </c>
      <c r="P1807" s="51">
        <f>ABS(tblWorkPackages[[#This Row],[Actual labor hours]]-tblWorkPackages[[#This Row],[Estimated labor hours]])</f>
        <v>2.5</v>
      </c>
      <c r="Q1807" s="51">
        <f>IF(tblWorkPackages[[#This Row],[Actual labor hours]]&gt;tblWorkPackages[[#This Row],[Estimated labor hours]],1,0)</f>
        <v>0</v>
      </c>
      <c r="R1807" s="51">
        <f>tblWorkPackages[[#This Row],[Actual labor hours]]-tblWorkPackages[[#This Row],[Estimated labor hours]]</f>
        <v>-2.5</v>
      </c>
      <c r="S1807" s="51" t="str">
        <f>IF(tblWorkPackages[[#This Row],[Request date serial]]&lt;ValidationStart,"Train 2024",IF(tblWorkPackages[[#This Row],[Request date serial]]&lt;HoldoutStart,"Validation H1","Holdout H2"))</f>
        <v>Validation H1</v>
      </c>
      <c r="T1807" s="51">
        <f>IF(tblWorkPackages[[#This Row],[Time split]]="Train 2024","",tblWorkPackages[[#This Row],[Estimated labor hours]]+VLOOKUP(tblWorkPackages[[#This Row],[Task type]],'Forecast validation'!$A$14:$E$25,IF(tblWorkPackages[[#This Row],[Time split]]="Validation H1",4,5),FALSE()))</f>
        <v>13.075641025641</v>
      </c>
      <c r="U1807" s="51">
        <f>IF(tblWorkPackages[[#This Row],[Calibrated forecast hours]]="","",ABS(tblWorkPackages[[#This Row],[Actual labor hours]]-tblWorkPackages[[#This Row],[Calibrated forecast hours]]))</f>
        <v>2.97564102564103</v>
      </c>
      <c r="V1807" s="51">
        <f>IF(tblWorkPackages[[#This Row],[Time split]]="Train 2024",tblWorkPackages[[#This Row],[Estimated labor hours]],tblWorkPackages[[#This Row],[Calibrated forecast hours]])</f>
        <v>13.075641025641</v>
      </c>
      <c r="W1807" s="64">
        <f>DATEVALUE(tblWorkPackages[[#This Row],[Request date]])</f>
        <v>45674.0</v>
      </c>
      <c r="X1807" s="64">
        <f>DATEVALUE(tblWorkPackages[[#This Row],[Due date]])</f>
        <v>45687.0</v>
      </c>
      <c r="Y1807" s="64">
        <f>DATEVALUE(tblWorkPackages[[#This Row],[Completion date]])</f>
        <v>45679.0</v>
      </c>
      <c r="Z1807" s="64">
        <f>_xlfn.MINIFS(tblLaborEntries[Work date serial],tblLaborEntries[Work package ID],tblWorkPackages[[#This Row],[Work package ID]])</f>
        <v>45676.0</v>
      </c>
      <c r="AA1807" s="64">
        <f>_xlfn.MAXIFS(tblLaborEntries[Work date serial],tblLaborEntries[Work package ID],tblWorkPackages[[#This Row],[Work package ID]])</f>
        <v>45678.0</v>
      </c>
      <c r="AB1807" s="65">
        <f>IF(tblWorkPackages[[#This Row],[Completion date serial]]&gt;tblWorkPackages[[#This Row],[Due date serial]],1,0)</f>
        <v>0</v>
      </c>
      <c r="AC1807" s="65">
        <f>MAX(0,tblWorkPackages[[#This Row],[Completion date serial]]-tblWorkPackages[[#This Row],[Due date serial]])</f>
        <v>0</v>
      </c>
      <c r="AD1807" s="65">
        <f>tblWorkPackages[[#This Row],[First labor date]]-tblWorkPackages[[#This Row],[Request date serial]]</f>
        <v>2</v>
      </c>
      <c r="AE1807" s="65">
        <f>tblWorkPackages[[#This Row],[Last labor date]]-tblWorkPackages[[#This Row],[First labor date]]</f>
        <v>2</v>
      </c>
      <c r="AF1807" s="65">
        <f>tblWorkPackages[[#This Row],[Completion date serial]]-tblWorkPackages[[#This Row],[Last labor date]]</f>
        <v>1</v>
      </c>
      <c r="AG1807" s="65">
        <f>tblWorkPackages[[#This Row],[Completion date serial]]-tblWorkPackages[[#This Row],[Request date serial]]</f>
        <v>5</v>
      </c>
      <c r="AH1807" s="65">
        <f>IFERROR(INDEX(tblParts[Delay days],MATCH(tblWorkPackages[[#This Row],[Work package ID]],tblParts[Work package ID],0)),0)</f>
        <v>0</v>
      </c>
      <c r="AI1807" s="51" t="str">
        <f>IFERROR(INDEX(tblDisruptions[Event type],MATCH(tblWorkPackages[[#This Row],[Work package ID]],tblDisruptions[Work package ID],0)),"None")</f>
        <v>None</v>
      </c>
      <c r="AJ1807" s="51" t="str">
        <f>TEXT(tblWorkPackages[[#This Row],[Due date serial]],"yyyy-mm")</f>
        <v>2025-01</v>
      </c>
    </row>
    <row r="1808" spans="1:36" ht="15" x14ac:dyDescent="0.25">
      <c r="A1808" s="53" t="s">
        <v>2718</v>
      </c>
      <c r="B1808" s="53" t="s">
        <v>173</v>
      </c>
      <c r="C1808" s="53" t="s">
        <v>171</v>
      </c>
      <c r="D1808" s="53" t="s">
        <v>204</v>
      </c>
      <c r="E1808" s="53" t="s">
        <v>242</v>
      </c>
      <c r="F1808" s="53" t="s">
        <v>243</v>
      </c>
      <c r="G1808" s="53" t="s">
        <v>129</v>
      </c>
      <c r="H1808" s="53">
        <v>3</v>
      </c>
      <c r="I1808" s="53" t="s">
        <v>176</v>
      </c>
      <c r="J1808" s="53">
        <v>0</v>
      </c>
      <c r="K1808" s="53">
        <v>1</v>
      </c>
      <c r="L1808" s="53">
        <v>9.8000000000000007</v>
      </c>
      <c r="M1808" s="53" t="s">
        <v>205</v>
      </c>
      <c r="N1808" s="53">
        <v>11.8</v>
      </c>
      <c r="O1808" s="51" t="str">
        <f>TEXT(tblWorkPackages[[#This Row],[Request date serial]]-WEEKDAY(tblWorkPackages[[#This Row],[Request date serial]],3),"yyyy-mm-dd")</f>
        <v>2024-10-21</v>
      </c>
      <c r="P1808" s="51">
        <f>ABS(tblWorkPackages[[#This Row],[Actual labor hours]]-tblWorkPackages[[#This Row],[Estimated labor hours]])</f>
        <v>2</v>
      </c>
      <c r="Q1808" s="51">
        <f>IF(tblWorkPackages[[#This Row],[Actual labor hours]]&gt;tblWorkPackages[[#This Row],[Estimated labor hours]],1,0)</f>
        <v>1</v>
      </c>
      <c r="R1808" s="51">
        <f>tblWorkPackages[[#This Row],[Actual labor hours]]-tblWorkPackages[[#This Row],[Estimated labor hours]]</f>
        <v>2</v>
      </c>
      <c r="S1808" s="51" t="str">
        <f>IF(tblWorkPackages[[#This Row],[Request date serial]]&lt;ValidationStart,"Train 2024",IF(tblWorkPackages[[#This Row],[Request date serial]]&lt;HoldoutStart,"Validation H1","Holdout H2"))</f>
        <v>Train 2024</v>
      </c>
      <c r="T1808" s="51" t="str">
        <f>IF(tblWorkPackages[[#This Row],[Time split]]="Train 2024","",tblWorkPackages[[#This Row],[Estimated labor hours]]+VLOOKUP(tblWorkPackages[[#This Row],[Task type]],'Forecast validation'!$A$14:$E$25,IF(tblWorkPackages[[#This Row],[Time split]]="Validation H1",4,5),FALSE()))</f>
        <v/>
      </c>
      <c r="U1808" s="51" t="str">
        <f>IF(tblWorkPackages[[#This Row],[Calibrated forecast hours]]="","",ABS(tblWorkPackages[[#This Row],[Actual labor hours]]-tblWorkPackages[[#This Row],[Calibrated forecast hours]]))</f>
        <v/>
      </c>
      <c r="V1808" s="51">
        <f>IF(tblWorkPackages[[#This Row],[Time split]]="Train 2024",tblWorkPackages[[#This Row],[Estimated labor hours]],tblWorkPackages[[#This Row],[Calibrated forecast hours]])</f>
        <v>9.8</v>
      </c>
      <c r="W1808" s="64">
        <f>DATEVALUE(tblWorkPackages[[#This Row],[Request date]])</f>
        <v>45590.0</v>
      </c>
      <c r="X1808" s="64">
        <f>DATEVALUE(tblWorkPackages[[#This Row],[Due date]])</f>
        <v>45596.0</v>
      </c>
      <c r="Y1808" s="64">
        <f>DATEVALUE(tblWorkPackages[[#This Row],[Completion date]])</f>
        <v>45609.0</v>
      </c>
      <c r="Z1808" s="64">
        <f>_xlfn.MINIFS(tblLaborEntries[Work date serial],tblLaborEntries[Work package ID],tblWorkPackages[[#This Row],[Work package ID]])</f>
        <v>45605.0</v>
      </c>
      <c r="AA1808" s="64">
        <f>_xlfn.MAXIFS(tblLaborEntries[Work date serial],tblLaborEntries[Work package ID],tblWorkPackages[[#This Row],[Work package ID]])</f>
        <v>45607.0</v>
      </c>
      <c r="AB1808" s="65">
        <f>IF(tblWorkPackages[[#This Row],[Completion date serial]]&gt;tblWorkPackages[[#This Row],[Due date serial]],1,0)</f>
        <v>1</v>
      </c>
      <c r="AC1808" s="65">
        <f>MAX(0,tblWorkPackages[[#This Row],[Completion date serial]]-tblWorkPackages[[#This Row],[Due date serial]])</f>
        <v>13</v>
      </c>
      <c r="AD1808" s="65">
        <f>tblWorkPackages[[#This Row],[First labor date]]-tblWorkPackages[[#This Row],[Request date serial]]</f>
        <v>15</v>
      </c>
      <c r="AE1808" s="65">
        <f>tblWorkPackages[[#This Row],[Last labor date]]-tblWorkPackages[[#This Row],[First labor date]]</f>
        <v>2</v>
      </c>
      <c r="AF1808" s="65">
        <f>tblWorkPackages[[#This Row],[Completion date serial]]-tblWorkPackages[[#This Row],[Last labor date]]</f>
        <v>2</v>
      </c>
      <c r="AG1808" s="65">
        <f>tblWorkPackages[[#This Row],[Completion date serial]]-tblWorkPackages[[#This Row],[Request date serial]]</f>
        <v>19</v>
      </c>
      <c r="AH1808" s="65">
        <f>IFERROR(INDEX(tblParts[Delay days],MATCH(tblWorkPackages[[#This Row],[Work package ID]],tblParts[Work package ID],0)),0)</f>
        <v>0</v>
      </c>
      <c r="AI1808" s="51" t="str">
        <f>IFERROR(INDEX(tblDisruptions[Event type],MATCH(tblWorkPackages[[#This Row],[Work package ID]],tblDisruptions[Work package ID],0)),"None")</f>
        <v>None</v>
      </c>
      <c r="AJ1808" s="51" t="str">
        <f>TEXT(tblWorkPackages[[#This Row],[Due date serial]],"yyyy-mm")</f>
        <v>2024-10</v>
      </c>
    </row>
    <row r="1809" spans="1:36" ht="15" x14ac:dyDescent="0.25">
      <c r="A1809" s="53" t="s">
        <v>2719</v>
      </c>
      <c r="B1809" s="53" t="s">
        <v>141</v>
      </c>
      <c r="C1809" s="53" t="s">
        <v>1012</v>
      </c>
      <c r="D1809" s="53" t="s">
        <v>885</v>
      </c>
      <c r="E1809" s="53" t="s">
        <v>272</v>
      </c>
      <c r="F1809" s="53" t="s">
        <v>145</v>
      </c>
      <c r="G1809" s="53" t="s">
        <v>273</v>
      </c>
      <c r="H1809" s="53">
        <v>2</v>
      </c>
      <c r="I1809" s="53" t="s">
        <v>130</v>
      </c>
      <c r="J1809" s="53">
        <v>0</v>
      </c>
      <c r="K1809" s="53">
        <v>0</v>
      </c>
      <c r="L1809" s="53">
        <v>10.6</v>
      </c>
      <c r="M1809" s="53" t="s">
        <v>283</v>
      </c>
      <c r="N1809" s="53">
        <v>8.5</v>
      </c>
      <c r="O1809" s="51" t="str">
        <f>TEXT(tblWorkPackages[[#This Row],[Request date serial]]-WEEKDAY(tblWorkPackages[[#This Row],[Request date serial]],3),"yyyy-mm-dd")</f>
        <v>2025-08-18</v>
      </c>
      <c r="P1809" s="51">
        <f>ABS(tblWorkPackages[[#This Row],[Actual labor hours]]-tblWorkPackages[[#This Row],[Estimated labor hours]])</f>
        <v>2.1</v>
      </c>
      <c r="Q1809" s="51">
        <f>IF(tblWorkPackages[[#This Row],[Actual labor hours]]&gt;tblWorkPackages[[#This Row],[Estimated labor hours]],1,0)</f>
        <v>0</v>
      </c>
      <c r="R1809" s="51">
        <f>tblWorkPackages[[#This Row],[Actual labor hours]]-tblWorkPackages[[#This Row],[Estimated labor hours]]</f>
        <v>-2.1</v>
      </c>
      <c r="S1809" s="51" t="str">
        <f>IF(tblWorkPackages[[#This Row],[Request date serial]]&lt;ValidationStart,"Train 2024",IF(tblWorkPackages[[#This Row],[Request date serial]]&lt;HoldoutStart,"Validation H1","Holdout H2"))</f>
        <v>Holdout H2</v>
      </c>
      <c r="T1809" s="51">
        <f>IF(tblWorkPackages[[#This Row],[Time split]]="Train 2024","",tblWorkPackages[[#This Row],[Estimated labor hours]]+VLOOKUP(tblWorkPackages[[#This Row],[Task type]],'Forecast validation'!$A$14:$E$25,IF(tblWorkPackages[[#This Row],[Time split]]="Validation H1",4,5),FALSE()))</f>
        <v>11.58515625</v>
      </c>
      <c r="U1809" s="51">
        <f>IF(tblWorkPackages[[#This Row],[Calibrated forecast hours]]="","",ABS(tblWorkPackages[[#This Row],[Actual labor hours]]-tblWorkPackages[[#This Row],[Calibrated forecast hours]]))</f>
        <v>3.08515625</v>
      </c>
      <c r="V1809" s="51">
        <f>IF(tblWorkPackages[[#This Row],[Time split]]="Train 2024",tblWorkPackages[[#This Row],[Estimated labor hours]],tblWorkPackages[[#This Row],[Calibrated forecast hours]])</f>
        <v>11.58515625</v>
      </c>
      <c r="W1809" s="64">
        <f>DATEVALUE(tblWorkPackages[[#This Row],[Request date]])</f>
        <v>45888.0</v>
      </c>
      <c r="X1809" s="64">
        <f>DATEVALUE(tblWorkPackages[[#This Row],[Due date]])</f>
        <v>45901.0</v>
      </c>
      <c r="Y1809" s="64">
        <f>DATEVALUE(tblWorkPackages[[#This Row],[Completion date]])</f>
        <v>45897.0</v>
      </c>
      <c r="Z1809" s="64">
        <f>_xlfn.MINIFS(tblLaborEntries[Work date serial],tblLaborEntries[Work package ID],tblWorkPackages[[#This Row],[Work package ID]])</f>
        <v>45892.0</v>
      </c>
      <c r="AA1809" s="64">
        <f>_xlfn.MAXIFS(tblLaborEntries[Work date serial],tblLaborEntries[Work package ID],tblWorkPackages[[#This Row],[Work package ID]])</f>
        <v>45894.0</v>
      </c>
      <c r="AB1809" s="65">
        <f>IF(tblWorkPackages[[#This Row],[Completion date serial]]&gt;tblWorkPackages[[#This Row],[Due date serial]],1,0)</f>
        <v>0</v>
      </c>
      <c r="AC1809" s="65">
        <f>MAX(0,tblWorkPackages[[#This Row],[Completion date serial]]-tblWorkPackages[[#This Row],[Due date serial]])</f>
        <v>0</v>
      </c>
      <c r="AD1809" s="65">
        <f>tblWorkPackages[[#This Row],[First labor date]]-tblWorkPackages[[#This Row],[Request date serial]]</f>
        <v>4</v>
      </c>
      <c r="AE1809" s="65">
        <f>tblWorkPackages[[#This Row],[Last labor date]]-tblWorkPackages[[#This Row],[First labor date]]</f>
        <v>2</v>
      </c>
      <c r="AF1809" s="65">
        <f>tblWorkPackages[[#This Row],[Completion date serial]]-tblWorkPackages[[#This Row],[Last labor date]]</f>
        <v>3</v>
      </c>
      <c r="AG1809" s="65">
        <f>tblWorkPackages[[#This Row],[Completion date serial]]-tblWorkPackages[[#This Row],[Request date serial]]</f>
        <v>9</v>
      </c>
      <c r="AH1809" s="65">
        <f>IFERROR(INDEX(tblParts[Delay days],MATCH(tblWorkPackages[[#This Row],[Work package ID]],tblParts[Work package ID],0)),0)</f>
        <v>0</v>
      </c>
      <c r="AI1809" s="51" t="str">
        <f>IFERROR(INDEX(tblDisruptions[Event type],MATCH(tblWorkPackages[[#This Row],[Work package ID]],tblDisruptions[Work package ID],0)),"None")</f>
        <v>None</v>
      </c>
      <c r="AJ1809" s="51" t="str">
        <f>TEXT(tblWorkPackages[[#This Row],[Due date serial]],"yyyy-mm")</f>
        <v>2025-09</v>
      </c>
    </row>
    <row r="1810" spans="1:36" ht="15" x14ac:dyDescent="0.25">
      <c r="A1810" s="53" t="s">
        <v>2720</v>
      </c>
      <c r="B1810" s="53" t="s">
        <v>157</v>
      </c>
      <c r="C1810" s="53" t="s">
        <v>986</v>
      </c>
      <c r="D1810" s="53" t="s">
        <v>196</v>
      </c>
      <c r="E1810" s="53" t="s">
        <v>153</v>
      </c>
      <c r="F1810" s="53" t="s">
        <v>128</v>
      </c>
      <c r="G1810" s="53" t="s">
        <v>154</v>
      </c>
      <c r="H1810" s="53">
        <v>3</v>
      </c>
      <c r="I1810" s="53" t="s">
        <v>130</v>
      </c>
      <c r="J1810" s="53">
        <v>0</v>
      </c>
      <c r="K1810" s="53">
        <v>0</v>
      </c>
      <c r="L1810" s="53">
        <v>10.6</v>
      </c>
      <c r="M1810" s="53" t="s">
        <v>771</v>
      </c>
      <c r="N1810" s="53">
        <v>8.5</v>
      </c>
      <c r="O1810" s="51" t="str">
        <f>TEXT(tblWorkPackages[[#This Row],[Request date serial]]-WEEKDAY(tblWorkPackages[[#This Row],[Request date serial]],3),"yyyy-mm-dd")</f>
        <v>2024-09-30</v>
      </c>
      <c r="P1810" s="51">
        <f>ABS(tblWorkPackages[[#This Row],[Actual labor hours]]-tblWorkPackages[[#This Row],[Estimated labor hours]])</f>
        <v>2.1</v>
      </c>
      <c r="Q1810" s="51">
        <f>IF(tblWorkPackages[[#This Row],[Actual labor hours]]&gt;tblWorkPackages[[#This Row],[Estimated labor hours]],1,0)</f>
        <v>0</v>
      </c>
      <c r="R1810" s="51">
        <f>tblWorkPackages[[#This Row],[Actual labor hours]]-tblWorkPackages[[#This Row],[Estimated labor hours]]</f>
        <v>-2.1</v>
      </c>
      <c r="S1810" s="51" t="str">
        <f>IF(tblWorkPackages[[#This Row],[Request date serial]]&lt;ValidationStart,"Train 2024",IF(tblWorkPackages[[#This Row],[Request date serial]]&lt;HoldoutStart,"Validation H1","Holdout H2"))</f>
        <v>Train 2024</v>
      </c>
      <c r="T1810" s="51" t="str">
        <f>IF(tblWorkPackages[[#This Row],[Time split]]="Train 2024","",tblWorkPackages[[#This Row],[Estimated labor hours]]+VLOOKUP(tblWorkPackages[[#This Row],[Task type]],'Forecast validation'!$A$14:$E$25,IF(tblWorkPackages[[#This Row],[Time split]]="Validation H1",4,5),FALSE()))</f>
        <v/>
      </c>
      <c r="U1810" s="51" t="str">
        <f>IF(tblWorkPackages[[#This Row],[Calibrated forecast hours]]="","",ABS(tblWorkPackages[[#This Row],[Actual labor hours]]-tblWorkPackages[[#This Row],[Calibrated forecast hours]]))</f>
        <v/>
      </c>
      <c r="V1810" s="51">
        <f>IF(tblWorkPackages[[#This Row],[Time split]]="Train 2024",tblWorkPackages[[#This Row],[Estimated labor hours]],tblWorkPackages[[#This Row],[Calibrated forecast hours]])</f>
        <v>10.6</v>
      </c>
      <c r="W1810" s="64">
        <f>DATEVALUE(tblWorkPackages[[#This Row],[Request date]])</f>
        <v>45569.0</v>
      </c>
      <c r="X1810" s="64">
        <f>DATEVALUE(tblWorkPackages[[#This Row],[Due date]])</f>
        <v>45582.0</v>
      </c>
      <c r="Y1810" s="64">
        <f>DATEVALUE(tblWorkPackages[[#This Row],[Completion date]])</f>
        <v>45571.0</v>
      </c>
      <c r="Z1810" s="64">
        <f>_xlfn.MINIFS(tblLaborEntries[Work date serial],tblLaborEntries[Work package ID],tblWorkPackages[[#This Row],[Work package ID]])</f>
        <v>45570.0</v>
      </c>
      <c r="AA1810" s="64">
        <f>_xlfn.MAXIFS(tblLaborEntries[Work date serial],tblLaborEntries[Work package ID],tblWorkPackages[[#This Row],[Work package ID]])</f>
        <v>45571.0</v>
      </c>
      <c r="AB1810" s="65">
        <f>IF(tblWorkPackages[[#This Row],[Completion date serial]]&gt;tblWorkPackages[[#This Row],[Due date serial]],1,0)</f>
        <v>0</v>
      </c>
      <c r="AC1810" s="65">
        <f>MAX(0,tblWorkPackages[[#This Row],[Completion date serial]]-tblWorkPackages[[#This Row],[Due date serial]])</f>
        <v>0</v>
      </c>
      <c r="AD1810" s="65">
        <f>tblWorkPackages[[#This Row],[First labor date]]-tblWorkPackages[[#This Row],[Request date serial]]</f>
        <v>1</v>
      </c>
      <c r="AE1810" s="65">
        <f>tblWorkPackages[[#This Row],[Last labor date]]-tblWorkPackages[[#This Row],[First labor date]]</f>
        <v>1</v>
      </c>
      <c r="AF1810" s="65">
        <f>tblWorkPackages[[#This Row],[Completion date serial]]-tblWorkPackages[[#This Row],[Last labor date]]</f>
        <v>0</v>
      </c>
      <c r="AG1810" s="65">
        <f>tblWorkPackages[[#This Row],[Completion date serial]]-tblWorkPackages[[#This Row],[Request date serial]]</f>
        <v>2</v>
      </c>
      <c r="AH1810" s="65">
        <f>IFERROR(INDEX(tblParts[Delay days],MATCH(tblWorkPackages[[#This Row],[Work package ID]],tblParts[Work package ID],0)),0)</f>
        <v>0</v>
      </c>
      <c r="AI1810" s="51" t="str">
        <f>IFERROR(INDEX(tblDisruptions[Event type],MATCH(tblWorkPackages[[#This Row],[Work package ID]],tblDisruptions[Work package ID],0)),"None")</f>
        <v>None</v>
      </c>
      <c r="AJ1810" s="51" t="str">
        <f>TEXT(tblWorkPackages[[#This Row],[Due date serial]],"yyyy-mm")</f>
        <v>2024-10</v>
      </c>
    </row>
    <row r="1811" spans="1:36" ht="15" x14ac:dyDescent="0.25">
      <c r="A1811" s="53" t="s">
        <v>2721</v>
      </c>
      <c r="B1811" s="53" t="s">
        <v>150</v>
      </c>
      <c r="C1811" s="53" t="s">
        <v>621</v>
      </c>
      <c r="D1811" s="53" t="s">
        <v>1138</v>
      </c>
      <c r="E1811" s="53" t="s">
        <v>237</v>
      </c>
      <c r="F1811" s="53" t="s">
        <v>182</v>
      </c>
      <c r="G1811" s="53" t="s">
        <v>138</v>
      </c>
      <c r="H1811" s="53">
        <v>4</v>
      </c>
      <c r="I1811" s="53" t="s">
        <v>130</v>
      </c>
      <c r="J1811" s="53">
        <v>0</v>
      </c>
      <c r="K1811" s="53">
        <v>0</v>
      </c>
      <c r="L1811" s="53">
        <v>10.199999999999999</v>
      </c>
      <c r="M1811" s="53" t="s">
        <v>1138</v>
      </c>
      <c r="N1811" s="53">
        <v>13.4</v>
      </c>
      <c r="O1811" s="51" t="str">
        <f>TEXT(tblWorkPackages[[#This Row],[Request date serial]]-WEEKDAY(tblWorkPackages[[#This Row],[Request date serial]],3),"yyyy-mm-dd")</f>
        <v>2024-07-22</v>
      </c>
      <c r="P1811" s="51">
        <f>ABS(tblWorkPackages[[#This Row],[Actual labor hours]]-tblWorkPackages[[#This Row],[Estimated labor hours]])</f>
        <v>3.2</v>
      </c>
      <c r="Q1811" s="51">
        <f>IF(tblWorkPackages[[#This Row],[Actual labor hours]]&gt;tblWorkPackages[[#This Row],[Estimated labor hours]],1,0)</f>
        <v>1</v>
      </c>
      <c r="R1811" s="51">
        <f>tblWorkPackages[[#This Row],[Actual labor hours]]-tblWorkPackages[[#This Row],[Estimated labor hours]]</f>
        <v>3.2</v>
      </c>
      <c r="S1811" s="51" t="str">
        <f>IF(tblWorkPackages[[#This Row],[Request date serial]]&lt;ValidationStart,"Train 2024",IF(tblWorkPackages[[#This Row],[Request date serial]]&lt;HoldoutStart,"Validation H1","Holdout H2"))</f>
        <v>Train 2024</v>
      </c>
      <c r="T1811" s="51" t="str">
        <f>IF(tblWorkPackages[[#This Row],[Time split]]="Train 2024","",tblWorkPackages[[#This Row],[Estimated labor hours]]+VLOOKUP(tblWorkPackages[[#This Row],[Task type]],'Forecast validation'!$A$14:$E$25,IF(tblWorkPackages[[#This Row],[Time split]]="Validation H1",4,5),FALSE()))</f>
        <v/>
      </c>
      <c r="U1811" s="51" t="str">
        <f>IF(tblWorkPackages[[#This Row],[Calibrated forecast hours]]="","",ABS(tblWorkPackages[[#This Row],[Actual labor hours]]-tblWorkPackages[[#This Row],[Calibrated forecast hours]]))</f>
        <v/>
      </c>
      <c r="V1811" s="51">
        <f>IF(tblWorkPackages[[#This Row],[Time split]]="Train 2024",tblWorkPackages[[#This Row],[Estimated labor hours]],tblWorkPackages[[#This Row],[Calibrated forecast hours]])</f>
        <v>10.2</v>
      </c>
      <c r="W1811" s="64">
        <f>DATEVALUE(tblWorkPackages[[#This Row],[Request date]])</f>
        <v>45496.0</v>
      </c>
      <c r="X1811" s="64">
        <f>DATEVALUE(tblWorkPackages[[#This Row],[Due date]])</f>
        <v>45509.0</v>
      </c>
      <c r="Y1811" s="64">
        <f>DATEVALUE(tblWorkPackages[[#This Row],[Completion date]])</f>
        <v>45509.0</v>
      </c>
      <c r="Z1811" s="64">
        <f>_xlfn.MINIFS(tblLaborEntries[Work date serial],tblLaborEntries[Work package ID],tblWorkPackages[[#This Row],[Work package ID]])</f>
        <v>45506.0</v>
      </c>
      <c r="AA1811" s="64">
        <f>_xlfn.MAXIFS(tblLaborEntries[Work date serial],tblLaborEntries[Work package ID],tblWorkPackages[[#This Row],[Work package ID]])</f>
        <v>45508.0</v>
      </c>
      <c r="AB1811" s="65">
        <f>IF(tblWorkPackages[[#This Row],[Completion date serial]]&gt;tblWorkPackages[[#This Row],[Due date serial]],1,0)</f>
        <v>0</v>
      </c>
      <c r="AC1811" s="65">
        <f>MAX(0,tblWorkPackages[[#This Row],[Completion date serial]]-tblWorkPackages[[#This Row],[Due date serial]])</f>
        <v>0</v>
      </c>
      <c r="AD1811" s="65">
        <f>tblWorkPackages[[#This Row],[First labor date]]-tblWorkPackages[[#This Row],[Request date serial]]</f>
        <v>10</v>
      </c>
      <c r="AE1811" s="65">
        <f>tblWorkPackages[[#This Row],[Last labor date]]-tblWorkPackages[[#This Row],[First labor date]]</f>
        <v>2</v>
      </c>
      <c r="AF1811" s="65">
        <f>tblWorkPackages[[#This Row],[Completion date serial]]-tblWorkPackages[[#This Row],[Last labor date]]</f>
        <v>1</v>
      </c>
      <c r="AG1811" s="65">
        <f>tblWorkPackages[[#This Row],[Completion date serial]]-tblWorkPackages[[#This Row],[Request date serial]]</f>
        <v>13</v>
      </c>
      <c r="AH1811" s="65">
        <f>IFERROR(INDEX(tblParts[Delay days],MATCH(tblWorkPackages[[#This Row],[Work package ID]],tblParts[Work package ID],0)),0)</f>
        <v>0</v>
      </c>
      <c r="AI1811" s="51" t="str">
        <f>IFERROR(INDEX(tblDisruptions[Event type],MATCH(tblWorkPackages[[#This Row],[Work package ID]],tblDisruptions[Work package ID],0)),"None")</f>
        <v>Technician absence</v>
      </c>
      <c r="AJ1811" s="51" t="str">
        <f>TEXT(tblWorkPackages[[#This Row],[Due date serial]],"yyyy-mm")</f>
        <v>2024-08</v>
      </c>
    </row>
    <row r="1812" spans="1:36" ht="15" x14ac:dyDescent="0.25">
      <c r="A1812" s="53" t="s">
        <v>2722</v>
      </c>
      <c r="B1812" s="53" t="s">
        <v>230</v>
      </c>
      <c r="C1812" s="53" t="s">
        <v>694</v>
      </c>
      <c r="D1812" s="53" t="s">
        <v>338</v>
      </c>
      <c r="E1812" s="53" t="s">
        <v>272</v>
      </c>
      <c r="F1812" s="53" t="s">
        <v>145</v>
      </c>
      <c r="G1812" s="53" t="s">
        <v>273</v>
      </c>
      <c r="H1812" s="53">
        <v>4</v>
      </c>
      <c r="I1812" s="53" t="s">
        <v>130</v>
      </c>
      <c r="J1812" s="53">
        <v>0</v>
      </c>
      <c r="K1812" s="53">
        <v>1</v>
      </c>
      <c r="L1812" s="53">
        <v>24.8</v>
      </c>
      <c r="M1812" s="53" t="s">
        <v>1008</v>
      </c>
      <c r="N1812" s="53">
        <v>30.9</v>
      </c>
      <c r="O1812" s="51" t="str">
        <f>TEXT(tblWorkPackages[[#This Row],[Request date serial]]-WEEKDAY(tblWorkPackages[[#This Row],[Request date serial]],3),"yyyy-mm-dd")</f>
        <v>2024-04-22</v>
      </c>
      <c r="P1812" s="51">
        <f>ABS(tblWorkPackages[[#This Row],[Actual labor hours]]-tblWorkPackages[[#This Row],[Estimated labor hours]])</f>
        <v>6.1</v>
      </c>
      <c r="Q1812" s="51">
        <f>IF(tblWorkPackages[[#This Row],[Actual labor hours]]&gt;tblWorkPackages[[#This Row],[Estimated labor hours]],1,0)</f>
        <v>1</v>
      </c>
      <c r="R1812" s="51">
        <f>tblWorkPackages[[#This Row],[Actual labor hours]]-tblWorkPackages[[#This Row],[Estimated labor hours]]</f>
        <v>6.1</v>
      </c>
      <c r="S1812" s="51" t="str">
        <f>IF(tblWorkPackages[[#This Row],[Request date serial]]&lt;ValidationStart,"Train 2024",IF(tblWorkPackages[[#This Row],[Request date serial]]&lt;HoldoutStart,"Validation H1","Holdout H2"))</f>
        <v>Train 2024</v>
      </c>
      <c r="T1812" s="51" t="str">
        <f>IF(tblWorkPackages[[#This Row],[Time split]]="Train 2024","",tblWorkPackages[[#This Row],[Estimated labor hours]]+VLOOKUP(tblWorkPackages[[#This Row],[Task type]],'Forecast validation'!$A$14:$E$25,IF(tblWorkPackages[[#This Row],[Time split]]="Validation H1",4,5),FALSE()))</f>
        <v/>
      </c>
      <c r="U1812" s="51" t="str">
        <f>IF(tblWorkPackages[[#This Row],[Calibrated forecast hours]]="","",ABS(tblWorkPackages[[#This Row],[Actual labor hours]]-tblWorkPackages[[#This Row],[Calibrated forecast hours]]))</f>
        <v/>
      </c>
      <c r="V1812" s="51">
        <f>IF(tblWorkPackages[[#This Row],[Time split]]="Train 2024",tblWorkPackages[[#This Row],[Estimated labor hours]],tblWorkPackages[[#This Row],[Calibrated forecast hours]])</f>
        <v>24.8</v>
      </c>
      <c r="W1812" s="64">
        <f>DATEVALUE(tblWorkPackages[[#This Row],[Request date]])</f>
        <v>45404.0</v>
      </c>
      <c r="X1812" s="64">
        <f>DATEVALUE(tblWorkPackages[[#This Row],[Due date]])</f>
        <v>45417.0</v>
      </c>
      <c r="Y1812" s="64">
        <f>DATEVALUE(tblWorkPackages[[#This Row],[Completion date]])</f>
        <v>45409.0</v>
      </c>
      <c r="Z1812" s="64">
        <f>_xlfn.MINIFS(tblLaborEntries[Work date serial],tblLaborEntries[Work package ID],tblWorkPackages[[#This Row],[Work package ID]])</f>
        <v>45407.0</v>
      </c>
      <c r="AA1812" s="64">
        <f>_xlfn.MAXIFS(tblLaborEntries[Work date serial],tblLaborEntries[Work package ID],tblWorkPackages[[#This Row],[Work package ID]])</f>
        <v>45407.0</v>
      </c>
      <c r="AB1812" s="65">
        <f>IF(tblWorkPackages[[#This Row],[Completion date serial]]&gt;tblWorkPackages[[#This Row],[Due date serial]],1,0)</f>
        <v>0</v>
      </c>
      <c r="AC1812" s="65">
        <f>MAX(0,tblWorkPackages[[#This Row],[Completion date serial]]-tblWorkPackages[[#This Row],[Due date serial]])</f>
        <v>0</v>
      </c>
      <c r="AD1812" s="65">
        <f>tblWorkPackages[[#This Row],[First labor date]]-tblWorkPackages[[#This Row],[Request date serial]]</f>
        <v>3</v>
      </c>
      <c r="AE1812" s="65">
        <f>tblWorkPackages[[#This Row],[Last labor date]]-tblWorkPackages[[#This Row],[First labor date]]</f>
        <v>0</v>
      </c>
      <c r="AF1812" s="65">
        <f>tblWorkPackages[[#This Row],[Completion date serial]]-tblWorkPackages[[#This Row],[Last labor date]]</f>
        <v>2</v>
      </c>
      <c r="AG1812" s="65">
        <f>tblWorkPackages[[#This Row],[Completion date serial]]-tblWorkPackages[[#This Row],[Request date serial]]</f>
        <v>5</v>
      </c>
      <c r="AH1812" s="65">
        <f>IFERROR(INDEX(tblParts[Delay days],MATCH(tblWorkPackages[[#This Row],[Work package ID]],tblParts[Work package ID],0)),0)</f>
        <v>0</v>
      </c>
      <c r="AI1812" s="51" t="str">
        <f>IFERROR(INDEX(tblDisruptions[Event type],MATCH(tblWorkPackages[[#This Row],[Work package ID]],tblDisruptions[Work package ID],0)),"None")</f>
        <v>None</v>
      </c>
      <c r="AJ1812" s="51" t="str">
        <f>TEXT(tblWorkPackages[[#This Row],[Due date serial]],"yyyy-mm")</f>
        <v>2024-05</v>
      </c>
    </row>
    <row r="1813" spans="1:36" ht="15" x14ac:dyDescent="0.25">
      <c r="A1813" s="53" t="s">
        <v>2723</v>
      </c>
      <c r="B1813" s="53" t="s">
        <v>141</v>
      </c>
      <c r="C1813" s="53" t="s">
        <v>345</v>
      </c>
      <c r="D1813" s="53" t="s">
        <v>346</v>
      </c>
      <c r="E1813" s="53" t="s">
        <v>272</v>
      </c>
      <c r="F1813" s="53" t="s">
        <v>145</v>
      </c>
      <c r="G1813" s="53" t="s">
        <v>273</v>
      </c>
      <c r="H1813" s="53">
        <v>2</v>
      </c>
      <c r="I1813" s="53" t="s">
        <v>130</v>
      </c>
      <c r="J1813" s="53">
        <v>0</v>
      </c>
      <c r="K1813" s="53">
        <v>0</v>
      </c>
      <c r="L1813" s="53">
        <v>12</v>
      </c>
      <c r="M1813" s="53" t="s">
        <v>773</v>
      </c>
      <c r="N1813" s="53">
        <v>10.6</v>
      </c>
      <c r="O1813" s="51" t="str">
        <f>TEXT(tblWorkPackages[[#This Row],[Request date serial]]-WEEKDAY(tblWorkPackages[[#This Row],[Request date serial]],3),"yyyy-mm-dd")</f>
        <v>2024-01-29</v>
      </c>
      <c r="P1813" s="51">
        <f>ABS(tblWorkPackages[[#This Row],[Actual labor hours]]-tblWorkPackages[[#This Row],[Estimated labor hours]])</f>
        <v>1.4</v>
      </c>
      <c r="Q1813" s="51">
        <f>IF(tblWorkPackages[[#This Row],[Actual labor hours]]&gt;tblWorkPackages[[#This Row],[Estimated labor hours]],1,0)</f>
        <v>0</v>
      </c>
      <c r="R1813" s="51">
        <f>tblWorkPackages[[#This Row],[Actual labor hours]]-tblWorkPackages[[#This Row],[Estimated labor hours]]</f>
        <v>-1.4</v>
      </c>
      <c r="S1813" s="51" t="str">
        <f>IF(tblWorkPackages[[#This Row],[Request date serial]]&lt;ValidationStart,"Train 2024",IF(tblWorkPackages[[#This Row],[Request date serial]]&lt;HoldoutStart,"Validation H1","Holdout H2"))</f>
        <v>Train 2024</v>
      </c>
      <c r="T1813" s="51" t="str">
        <f>IF(tblWorkPackages[[#This Row],[Time split]]="Train 2024","",tblWorkPackages[[#This Row],[Estimated labor hours]]+VLOOKUP(tblWorkPackages[[#This Row],[Task type]],'Forecast validation'!$A$14:$E$25,IF(tblWorkPackages[[#This Row],[Time split]]="Validation H1",4,5),FALSE()))</f>
        <v/>
      </c>
      <c r="U1813" s="51" t="str">
        <f>IF(tblWorkPackages[[#This Row],[Calibrated forecast hours]]="","",ABS(tblWorkPackages[[#This Row],[Actual labor hours]]-tblWorkPackages[[#This Row],[Calibrated forecast hours]]))</f>
        <v/>
      </c>
      <c r="V1813" s="51">
        <f>IF(tblWorkPackages[[#This Row],[Time split]]="Train 2024",tblWorkPackages[[#This Row],[Estimated labor hours]],tblWorkPackages[[#This Row],[Calibrated forecast hours]])</f>
        <v>12</v>
      </c>
      <c r="W1813" s="64">
        <f>DATEVALUE(tblWorkPackages[[#This Row],[Request date]])</f>
        <v>45325.0</v>
      </c>
      <c r="X1813" s="64">
        <f>DATEVALUE(tblWorkPackages[[#This Row],[Due date]])</f>
        <v>45338.0</v>
      </c>
      <c r="Y1813" s="64">
        <f>DATEVALUE(tblWorkPackages[[#This Row],[Completion date]])</f>
        <v>45356.0</v>
      </c>
      <c r="Z1813" s="64">
        <f>_xlfn.MINIFS(tblLaborEntries[Work date serial],tblLaborEntries[Work package ID],tblWorkPackages[[#This Row],[Work package ID]])</f>
        <v>45351.0</v>
      </c>
      <c r="AA1813" s="64">
        <f>_xlfn.MAXIFS(tblLaborEntries[Work date serial],tblLaborEntries[Work package ID],tblWorkPackages[[#This Row],[Work package ID]])</f>
        <v>45353.0</v>
      </c>
      <c r="AB1813" s="65">
        <f>IF(tblWorkPackages[[#This Row],[Completion date serial]]&gt;tblWorkPackages[[#This Row],[Due date serial]],1,0)</f>
        <v>1</v>
      </c>
      <c r="AC1813" s="65">
        <f>MAX(0,tblWorkPackages[[#This Row],[Completion date serial]]-tblWorkPackages[[#This Row],[Due date serial]])</f>
        <v>18</v>
      </c>
      <c r="AD1813" s="65">
        <f>tblWorkPackages[[#This Row],[First labor date]]-tblWorkPackages[[#This Row],[Request date serial]]</f>
        <v>26</v>
      </c>
      <c r="AE1813" s="65">
        <f>tblWorkPackages[[#This Row],[Last labor date]]-tblWorkPackages[[#This Row],[First labor date]]</f>
        <v>2</v>
      </c>
      <c r="AF1813" s="65">
        <f>tblWorkPackages[[#This Row],[Completion date serial]]-tblWorkPackages[[#This Row],[Last labor date]]</f>
        <v>3</v>
      </c>
      <c r="AG1813" s="65">
        <f>tblWorkPackages[[#This Row],[Completion date serial]]-tblWorkPackages[[#This Row],[Request date serial]]</f>
        <v>31</v>
      </c>
      <c r="AH1813" s="65">
        <f>IFERROR(INDEX(tblParts[Delay days],MATCH(tblWorkPackages[[#This Row],[Work package ID]],tblParts[Work package ID],0)),0)</f>
        <v>0</v>
      </c>
      <c r="AI1813" s="51" t="str">
        <f>IFERROR(INDEX(tblDisruptions[Event type],MATCH(tblWorkPackages[[#This Row],[Work package ID]],tblDisruptions[Work package ID],0)),"None")</f>
        <v>None</v>
      </c>
      <c r="AJ1813" s="51" t="str">
        <f>TEXT(tblWorkPackages[[#This Row],[Due date serial]],"yyyy-mm")</f>
        <v>2024-02</v>
      </c>
    </row>
    <row r="1814" spans="1:36" ht="15" x14ac:dyDescent="0.25">
      <c r="A1814" s="53" t="s">
        <v>2724</v>
      </c>
      <c r="B1814" s="53" t="s">
        <v>230</v>
      </c>
      <c r="C1814" s="53" t="s">
        <v>468</v>
      </c>
      <c r="D1814" s="53" t="s">
        <v>517</v>
      </c>
      <c r="E1814" s="53" t="s">
        <v>272</v>
      </c>
      <c r="F1814" s="53" t="s">
        <v>145</v>
      </c>
      <c r="G1814" s="53" t="s">
        <v>273</v>
      </c>
      <c r="H1814" s="53">
        <v>1</v>
      </c>
      <c r="I1814" s="53" t="s">
        <v>130</v>
      </c>
      <c r="J1814" s="53">
        <v>0</v>
      </c>
      <c r="K1814" s="53">
        <v>1</v>
      </c>
      <c r="L1814" s="53">
        <v>8.9</v>
      </c>
      <c r="M1814" s="53" t="s">
        <v>751</v>
      </c>
      <c r="N1814" s="53">
        <v>15.4</v>
      </c>
      <c r="O1814" s="51" t="str">
        <f>TEXT(tblWorkPackages[[#This Row],[Request date serial]]-WEEKDAY(tblWorkPackages[[#This Row],[Request date serial]],3),"yyyy-mm-dd")</f>
        <v>2025-04-28</v>
      </c>
      <c r="P1814" s="51">
        <f>ABS(tblWorkPackages[[#This Row],[Actual labor hours]]-tblWorkPackages[[#This Row],[Estimated labor hours]])</f>
        <v>6.5</v>
      </c>
      <c r="Q1814" s="51">
        <f>IF(tblWorkPackages[[#This Row],[Actual labor hours]]&gt;tblWorkPackages[[#This Row],[Estimated labor hours]],1,0)</f>
        <v>1</v>
      </c>
      <c r="R1814" s="51">
        <f>tblWorkPackages[[#This Row],[Actual labor hours]]-tblWorkPackages[[#This Row],[Estimated labor hours]]</f>
        <v>6.5</v>
      </c>
      <c r="S1814" s="51" t="str">
        <f>IF(tblWorkPackages[[#This Row],[Request date serial]]&lt;ValidationStart,"Train 2024",IF(tblWorkPackages[[#This Row],[Request date serial]]&lt;HoldoutStart,"Validation H1","Holdout H2"))</f>
        <v>Validation H1</v>
      </c>
      <c r="T1814" s="51">
        <f>IF(tblWorkPackages[[#This Row],[Time split]]="Train 2024","",tblWorkPackages[[#This Row],[Estimated labor hours]]+VLOOKUP(tblWorkPackages[[#This Row],[Task type]],'Forecast validation'!$A$14:$E$25,IF(tblWorkPackages[[#This Row],[Time split]]="Validation H1",4,5),FALSE()))</f>
        <v>9.93205128205128</v>
      </c>
      <c r="U1814" s="51">
        <f>IF(tblWorkPackages[[#This Row],[Calibrated forecast hours]]="","",ABS(tblWorkPackages[[#This Row],[Actual labor hours]]-tblWorkPackages[[#This Row],[Calibrated forecast hours]]))</f>
        <v>5.46794871794872</v>
      </c>
      <c r="V1814" s="51">
        <f>IF(tblWorkPackages[[#This Row],[Time split]]="Train 2024",tblWorkPackages[[#This Row],[Estimated labor hours]],tblWorkPackages[[#This Row],[Calibrated forecast hours]])</f>
        <v>9.93205128205128</v>
      </c>
      <c r="W1814" s="64">
        <f>DATEVALUE(tblWorkPackages[[#This Row],[Request date]])</f>
        <v>45775.0</v>
      </c>
      <c r="X1814" s="64">
        <f>DATEVALUE(tblWorkPackages[[#This Row],[Due date]])</f>
        <v>45788.0</v>
      </c>
      <c r="Y1814" s="64">
        <f>DATEVALUE(tblWorkPackages[[#This Row],[Completion date]])</f>
        <v>45795.0</v>
      </c>
      <c r="Z1814" s="64">
        <f>_xlfn.MINIFS(tblLaborEntries[Work date serial],tblLaborEntries[Work package ID],tblWorkPackages[[#This Row],[Work package ID]])</f>
        <v>45793.0</v>
      </c>
      <c r="AA1814" s="64">
        <f>_xlfn.MAXIFS(tblLaborEntries[Work date serial],tblLaborEntries[Work package ID],tblWorkPackages[[#This Row],[Work package ID]])</f>
        <v>45795.0</v>
      </c>
      <c r="AB1814" s="65">
        <f>IF(tblWorkPackages[[#This Row],[Completion date serial]]&gt;tblWorkPackages[[#This Row],[Due date serial]],1,0)</f>
        <v>1</v>
      </c>
      <c r="AC1814" s="65">
        <f>MAX(0,tblWorkPackages[[#This Row],[Completion date serial]]-tblWorkPackages[[#This Row],[Due date serial]])</f>
        <v>7</v>
      </c>
      <c r="AD1814" s="65">
        <f>tblWorkPackages[[#This Row],[First labor date]]-tblWorkPackages[[#This Row],[Request date serial]]</f>
        <v>18</v>
      </c>
      <c r="AE1814" s="65">
        <f>tblWorkPackages[[#This Row],[Last labor date]]-tblWorkPackages[[#This Row],[First labor date]]</f>
        <v>2</v>
      </c>
      <c r="AF1814" s="65">
        <f>tblWorkPackages[[#This Row],[Completion date serial]]-tblWorkPackages[[#This Row],[Last labor date]]</f>
        <v>0</v>
      </c>
      <c r="AG1814" s="65">
        <f>tblWorkPackages[[#This Row],[Completion date serial]]-tblWorkPackages[[#This Row],[Request date serial]]</f>
        <v>20</v>
      </c>
      <c r="AH1814" s="65">
        <f>IFERROR(INDEX(tblParts[Delay days],MATCH(tblWorkPackages[[#This Row],[Work package ID]],tblParts[Work package ID],0)),0)</f>
        <v>14</v>
      </c>
      <c r="AI1814" s="51" t="str">
        <f>IFERROR(INDEX(tblDisruptions[Event type],MATCH(tblWorkPackages[[#This Row],[Work package ID]],tblDisruptions[Work package ID],0)),"None")</f>
        <v>Part delay</v>
      </c>
      <c r="AJ1814" s="51" t="str">
        <f>TEXT(tblWorkPackages[[#This Row],[Due date serial]],"yyyy-mm")</f>
        <v>2025-05</v>
      </c>
    </row>
    <row r="1815" spans="1:36" ht="15" x14ac:dyDescent="0.25">
      <c r="A1815" s="53" t="s">
        <v>2725</v>
      </c>
      <c r="B1815" s="53" t="s">
        <v>287</v>
      </c>
      <c r="C1815" s="53" t="s">
        <v>1195</v>
      </c>
      <c r="D1815" s="53" t="s">
        <v>1297</v>
      </c>
      <c r="E1815" s="53" t="s">
        <v>136</v>
      </c>
      <c r="F1815" s="53" t="s">
        <v>137</v>
      </c>
      <c r="G1815" s="53" t="s">
        <v>138</v>
      </c>
      <c r="H1815" s="53">
        <v>3</v>
      </c>
      <c r="I1815" s="53" t="s">
        <v>130</v>
      </c>
      <c r="J1815" s="53">
        <v>0</v>
      </c>
      <c r="K1815" s="53">
        <v>0</v>
      </c>
      <c r="L1815" s="53">
        <v>17.5</v>
      </c>
      <c r="M1815" s="53" t="s">
        <v>480</v>
      </c>
      <c r="N1815" s="53">
        <v>15.1</v>
      </c>
      <c r="O1815" s="51" t="str">
        <f>TEXT(tblWorkPackages[[#This Row],[Request date serial]]-WEEKDAY(tblWorkPackages[[#This Row],[Request date serial]],3),"yyyy-mm-dd")</f>
        <v>2025-10-20</v>
      </c>
      <c r="P1815" s="51">
        <f>ABS(tblWorkPackages[[#This Row],[Actual labor hours]]-tblWorkPackages[[#This Row],[Estimated labor hours]])</f>
        <v>2.4</v>
      </c>
      <c r="Q1815" s="51">
        <f>IF(tblWorkPackages[[#This Row],[Actual labor hours]]&gt;tblWorkPackages[[#This Row],[Estimated labor hours]],1,0)</f>
        <v>0</v>
      </c>
      <c r="R1815" s="51">
        <f>tblWorkPackages[[#This Row],[Actual labor hours]]-tblWorkPackages[[#This Row],[Estimated labor hours]]</f>
        <v>-2.4</v>
      </c>
      <c r="S1815" s="51" t="str">
        <f>IF(tblWorkPackages[[#This Row],[Request date serial]]&lt;ValidationStart,"Train 2024",IF(tblWorkPackages[[#This Row],[Request date serial]]&lt;HoldoutStart,"Validation H1","Holdout H2"))</f>
        <v>Holdout H2</v>
      </c>
      <c r="T1815" s="51">
        <f>IF(tblWorkPackages[[#This Row],[Time split]]="Train 2024","",tblWorkPackages[[#This Row],[Estimated labor hours]]+VLOOKUP(tblWorkPackages[[#This Row],[Task type]],'Forecast validation'!$A$14:$E$25,IF(tblWorkPackages[[#This Row],[Time split]]="Validation H1",4,5),FALSE()))</f>
        <v>18.4207547169811</v>
      </c>
      <c r="U1815" s="51">
        <f>IF(tblWorkPackages[[#This Row],[Calibrated forecast hours]]="","",ABS(tblWorkPackages[[#This Row],[Actual labor hours]]-tblWorkPackages[[#This Row],[Calibrated forecast hours]]))</f>
        <v>3.32075471698113</v>
      </c>
      <c r="V1815" s="51">
        <f>IF(tblWorkPackages[[#This Row],[Time split]]="Train 2024",tblWorkPackages[[#This Row],[Estimated labor hours]],tblWorkPackages[[#This Row],[Calibrated forecast hours]])</f>
        <v>18.4207547169811</v>
      </c>
      <c r="W1815" s="64">
        <f>DATEVALUE(tblWorkPackages[[#This Row],[Request date]])</f>
        <v>45953.0</v>
      </c>
      <c r="X1815" s="64">
        <f>DATEVALUE(tblWorkPackages[[#This Row],[Due date]])</f>
        <v>45966.0</v>
      </c>
      <c r="Y1815" s="64">
        <f>DATEVALUE(tblWorkPackages[[#This Row],[Completion date]])</f>
        <v>45955.0</v>
      </c>
      <c r="Z1815" s="64">
        <f>_xlfn.MINIFS(tblLaborEntries[Work date serial],tblLaborEntries[Work package ID],tblWorkPackages[[#This Row],[Work package ID]])</f>
        <v>45954.0</v>
      </c>
      <c r="AA1815" s="64">
        <f>_xlfn.MAXIFS(tblLaborEntries[Work date serial],tblLaborEntries[Work package ID],tblWorkPackages[[#This Row],[Work package ID]])</f>
        <v>45954.0</v>
      </c>
      <c r="AB1815" s="65">
        <f>IF(tblWorkPackages[[#This Row],[Completion date serial]]&gt;tblWorkPackages[[#This Row],[Due date serial]],1,0)</f>
        <v>0</v>
      </c>
      <c r="AC1815" s="65">
        <f>MAX(0,tblWorkPackages[[#This Row],[Completion date serial]]-tblWorkPackages[[#This Row],[Due date serial]])</f>
        <v>0</v>
      </c>
      <c r="AD1815" s="65">
        <f>tblWorkPackages[[#This Row],[First labor date]]-tblWorkPackages[[#This Row],[Request date serial]]</f>
        <v>1</v>
      </c>
      <c r="AE1815" s="65">
        <f>tblWorkPackages[[#This Row],[Last labor date]]-tblWorkPackages[[#This Row],[First labor date]]</f>
        <v>0</v>
      </c>
      <c r="AF1815" s="65">
        <f>tblWorkPackages[[#This Row],[Completion date serial]]-tblWorkPackages[[#This Row],[Last labor date]]</f>
        <v>1</v>
      </c>
      <c r="AG1815" s="65">
        <f>tblWorkPackages[[#This Row],[Completion date serial]]-tblWorkPackages[[#This Row],[Request date serial]]</f>
        <v>2</v>
      </c>
      <c r="AH1815" s="65">
        <f>IFERROR(INDEX(tblParts[Delay days],MATCH(tblWorkPackages[[#This Row],[Work package ID]],tblParts[Work package ID],0)),0)</f>
        <v>0</v>
      </c>
      <c r="AI1815" s="51" t="str">
        <f>IFERROR(INDEX(tblDisruptions[Event type],MATCH(tblWorkPackages[[#This Row],[Work package ID]],tblDisruptions[Work package ID],0)),"None")</f>
        <v>None</v>
      </c>
      <c r="AJ1815" s="51" t="str">
        <f>TEXT(tblWorkPackages[[#This Row],[Due date serial]],"yyyy-mm")</f>
        <v>2025-11</v>
      </c>
    </row>
    <row r="1816" spans="1:36" ht="15" x14ac:dyDescent="0.25">
      <c r="A1816" s="53" t="s">
        <v>2726</v>
      </c>
      <c r="B1816" s="53" t="s">
        <v>150</v>
      </c>
      <c r="C1816" s="53" t="s">
        <v>603</v>
      </c>
      <c r="D1816" s="53" t="s">
        <v>502</v>
      </c>
      <c r="E1816" s="53" t="s">
        <v>127</v>
      </c>
      <c r="F1816" s="53" t="s">
        <v>128</v>
      </c>
      <c r="G1816" s="53" t="s">
        <v>129</v>
      </c>
      <c r="H1816" s="53">
        <v>2</v>
      </c>
      <c r="I1816" s="53" t="s">
        <v>176</v>
      </c>
      <c r="J1816" s="53">
        <v>0</v>
      </c>
      <c r="K1816" s="53">
        <v>0</v>
      </c>
      <c r="L1816" s="53">
        <v>8</v>
      </c>
      <c r="M1816" s="53" t="s">
        <v>366</v>
      </c>
      <c r="N1816" s="53">
        <v>9.3000000000000007</v>
      </c>
      <c r="O1816" s="51" t="str">
        <f>TEXT(tblWorkPackages[[#This Row],[Request date serial]]-WEEKDAY(tblWorkPackages[[#This Row],[Request date serial]],3),"yyyy-mm-dd")</f>
        <v>2025-06-23</v>
      </c>
      <c r="P1816" s="51">
        <f>ABS(tblWorkPackages[[#This Row],[Actual labor hours]]-tblWorkPackages[[#This Row],[Estimated labor hours]])</f>
        <v>1.3</v>
      </c>
      <c r="Q1816" s="51">
        <f>IF(tblWorkPackages[[#This Row],[Actual labor hours]]&gt;tblWorkPackages[[#This Row],[Estimated labor hours]],1,0)</f>
        <v>1</v>
      </c>
      <c r="R1816" s="51">
        <f>tblWorkPackages[[#This Row],[Actual labor hours]]-tblWorkPackages[[#This Row],[Estimated labor hours]]</f>
        <v>1.3</v>
      </c>
      <c r="S1816" s="51" t="str">
        <f>IF(tblWorkPackages[[#This Row],[Request date serial]]&lt;ValidationStart,"Train 2024",IF(tblWorkPackages[[#This Row],[Request date serial]]&lt;HoldoutStart,"Validation H1","Holdout H2"))</f>
        <v>Validation H1</v>
      </c>
      <c r="T1816" s="51">
        <f>IF(tblWorkPackages[[#This Row],[Time split]]="Train 2024","",tblWorkPackages[[#This Row],[Estimated labor hours]]+VLOOKUP(tblWorkPackages[[#This Row],[Task type]],'Forecast validation'!$A$14:$E$25,IF(tblWorkPackages[[#This Row],[Time split]]="Validation H1",4,5),FALSE()))</f>
        <v>8.47564102564103</v>
      </c>
      <c r="U1816" s="51">
        <f>IF(tblWorkPackages[[#This Row],[Calibrated forecast hours]]="","",ABS(tblWorkPackages[[#This Row],[Actual labor hours]]-tblWorkPackages[[#This Row],[Calibrated forecast hours]]))</f>
        <v>0.824358974358976</v>
      </c>
      <c r="V1816" s="51">
        <f>IF(tblWorkPackages[[#This Row],[Time split]]="Train 2024",tblWorkPackages[[#This Row],[Estimated labor hours]],tblWorkPackages[[#This Row],[Calibrated forecast hours]])</f>
        <v>8.47564102564103</v>
      </c>
      <c r="W1816" s="64">
        <f>DATEVALUE(tblWorkPackages[[#This Row],[Request date]])</f>
        <v>45834.0</v>
      </c>
      <c r="X1816" s="64">
        <f>DATEVALUE(tblWorkPackages[[#This Row],[Due date]])</f>
        <v>45840.0</v>
      </c>
      <c r="Y1816" s="64">
        <f>DATEVALUE(tblWorkPackages[[#This Row],[Completion date]])</f>
        <v>45851.0</v>
      </c>
      <c r="Z1816" s="64">
        <f>_xlfn.MINIFS(tblLaborEntries[Work date serial],tblLaborEntries[Work package ID],tblWorkPackages[[#This Row],[Work package ID]])</f>
        <v>45847.0</v>
      </c>
      <c r="AA1816" s="64">
        <f>_xlfn.MAXIFS(tblLaborEntries[Work date serial],tblLaborEntries[Work package ID],tblWorkPackages[[#This Row],[Work package ID]])</f>
        <v>45849.0</v>
      </c>
      <c r="AB1816" s="65">
        <f>IF(tblWorkPackages[[#This Row],[Completion date serial]]&gt;tblWorkPackages[[#This Row],[Due date serial]],1,0)</f>
        <v>1</v>
      </c>
      <c r="AC1816" s="65">
        <f>MAX(0,tblWorkPackages[[#This Row],[Completion date serial]]-tblWorkPackages[[#This Row],[Due date serial]])</f>
        <v>11</v>
      </c>
      <c r="AD1816" s="65">
        <f>tblWorkPackages[[#This Row],[First labor date]]-tblWorkPackages[[#This Row],[Request date serial]]</f>
        <v>13</v>
      </c>
      <c r="AE1816" s="65">
        <f>tblWorkPackages[[#This Row],[Last labor date]]-tblWorkPackages[[#This Row],[First labor date]]</f>
        <v>2</v>
      </c>
      <c r="AF1816" s="65">
        <f>tblWorkPackages[[#This Row],[Completion date serial]]-tblWorkPackages[[#This Row],[Last labor date]]</f>
        <v>2</v>
      </c>
      <c r="AG1816" s="65">
        <f>tblWorkPackages[[#This Row],[Completion date serial]]-tblWorkPackages[[#This Row],[Request date serial]]</f>
        <v>17</v>
      </c>
      <c r="AH1816" s="65">
        <f>IFERROR(INDEX(tblParts[Delay days],MATCH(tblWorkPackages[[#This Row],[Work package ID]],tblParts[Work package ID],0)),0)</f>
        <v>0</v>
      </c>
      <c r="AI1816" s="51" t="str">
        <f>IFERROR(INDEX(tblDisruptions[Event type],MATCH(tblWorkPackages[[#This Row],[Work package ID]],tblDisruptions[Work package ID],0)),"None")</f>
        <v>None</v>
      </c>
      <c r="AJ1816" s="51" t="str">
        <f>TEXT(tblWorkPackages[[#This Row],[Due date serial]],"yyyy-mm")</f>
        <v>2025-07</v>
      </c>
    </row>
    <row r="1817" spans="1:36" ht="15" x14ac:dyDescent="0.25">
      <c r="A1817" s="53" t="s">
        <v>2727</v>
      </c>
      <c r="B1817" s="53" t="s">
        <v>163</v>
      </c>
      <c r="C1817" s="53" t="s">
        <v>1380</v>
      </c>
      <c r="D1817" s="53" t="s">
        <v>821</v>
      </c>
      <c r="E1817" s="53" t="s">
        <v>209</v>
      </c>
      <c r="F1817" s="53" t="s">
        <v>145</v>
      </c>
      <c r="G1817" s="53" t="s">
        <v>210</v>
      </c>
      <c r="H1817" s="53">
        <v>3</v>
      </c>
      <c r="I1817" s="53" t="s">
        <v>130</v>
      </c>
      <c r="J1817" s="53">
        <v>0</v>
      </c>
      <c r="K1817" s="53">
        <v>0</v>
      </c>
      <c r="L1817" s="53">
        <v>30.2</v>
      </c>
      <c r="M1817" s="53" t="s">
        <v>649</v>
      </c>
      <c r="N1817" s="53">
        <v>33.4</v>
      </c>
      <c r="O1817" s="51" t="str">
        <f>TEXT(tblWorkPackages[[#This Row],[Request date serial]]-WEEKDAY(tblWorkPackages[[#This Row],[Request date serial]],3),"yyyy-mm-dd")</f>
        <v>2024-04-29</v>
      </c>
      <c r="P1817" s="51">
        <f>ABS(tblWorkPackages[[#This Row],[Actual labor hours]]-tblWorkPackages[[#This Row],[Estimated labor hours]])</f>
        <v>3.2</v>
      </c>
      <c r="Q1817" s="51">
        <f>IF(tblWorkPackages[[#This Row],[Actual labor hours]]&gt;tblWorkPackages[[#This Row],[Estimated labor hours]],1,0)</f>
        <v>1</v>
      </c>
      <c r="R1817" s="51">
        <f>tblWorkPackages[[#This Row],[Actual labor hours]]-tblWorkPackages[[#This Row],[Estimated labor hours]]</f>
        <v>3.2</v>
      </c>
      <c r="S1817" s="51" t="str">
        <f>IF(tblWorkPackages[[#This Row],[Request date serial]]&lt;ValidationStart,"Train 2024",IF(tblWorkPackages[[#This Row],[Request date serial]]&lt;HoldoutStart,"Validation H1","Holdout H2"))</f>
        <v>Train 2024</v>
      </c>
      <c r="T1817" s="51" t="str">
        <f>IF(tblWorkPackages[[#This Row],[Time split]]="Train 2024","",tblWorkPackages[[#This Row],[Estimated labor hours]]+VLOOKUP(tblWorkPackages[[#This Row],[Task type]],'Forecast validation'!$A$14:$E$25,IF(tblWorkPackages[[#This Row],[Time split]]="Validation H1",4,5),FALSE()))</f>
        <v/>
      </c>
      <c r="U1817" s="51" t="str">
        <f>IF(tblWorkPackages[[#This Row],[Calibrated forecast hours]]="","",ABS(tblWorkPackages[[#This Row],[Actual labor hours]]-tblWorkPackages[[#This Row],[Calibrated forecast hours]]))</f>
        <v/>
      </c>
      <c r="V1817" s="51">
        <f>IF(tblWorkPackages[[#This Row],[Time split]]="Train 2024",tblWorkPackages[[#This Row],[Estimated labor hours]],tblWorkPackages[[#This Row],[Calibrated forecast hours]])</f>
        <v>30.2</v>
      </c>
      <c r="W1817" s="64">
        <f>DATEVALUE(tblWorkPackages[[#This Row],[Request date]])</f>
        <v>45415.0</v>
      </c>
      <c r="X1817" s="64">
        <f>DATEVALUE(tblWorkPackages[[#This Row],[Due date]])</f>
        <v>45428.0</v>
      </c>
      <c r="Y1817" s="64">
        <f>DATEVALUE(tblWorkPackages[[#This Row],[Completion date]])</f>
        <v>45423.0</v>
      </c>
      <c r="Z1817" s="64">
        <f>_xlfn.MINIFS(tblLaborEntries[Work date serial],tblLaborEntries[Work package ID],tblWorkPackages[[#This Row],[Work package ID]])</f>
        <v>45418.0</v>
      </c>
      <c r="AA1817" s="64">
        <f>_xlfn.MAXIFS(tblLaborEntries[Work date serial],tblLaborEntries[Work package ID],tblWorkPackages[[#This Row],[Work package ID]])</f>
        <v>45420.0</v>
      </c>
      <c r="AB1817" s="65">
        <f>IF(tblWorkPackages[[#This Row],[Completion date serial]]&gt;tblWorkPackages[[#This Row],[Due date serial]],1,0)</f>
        <v>0</v>
      </c>
      <c r="AC1817" s="65">
        <f>MAX(0,tblWorkPackages[[#This Row],[Completion date serial]]-tblWorkPackages[[#This Row],[Due date serial]])</f>
        <v>0</v>
      </c>
      <c r="AD1817" s="65">
        <f>tblWorkPackages[[#This Row],[First labor date]]-tblWorkPackages[[#This Row],[Request date serial]]</f>
        <v>3</v>
      </c>
      <c r="AE1817" s="65">
        <f>tblWorkPackages[[#This Row],[Last labor date]]-tblWorkPackages[[#This Row],[First labor date]]</f>
        <v>2</v>
      </c>
      <c r="AF1817" s="65">
        <f>tblWorkPackages[[#This Row],[Completion date serial]]-tblWorkPackages[[#This Row],[Last labor date]]</f>
        <v>3</v>
      </c>
      <c r="AG1817" s="65">
        <f>tblWorkPackages[[#This Row],[Completion date serial]]-tblWorkPackages[[#This Row],[Request date serial]]</f>
        <v>8</v>
      </c>
      <c r="AH1817" s="65">
        <f>IFERROR(INDEX(tblParts[Delay days],MATCH(tblWorkPackages[[#This Row],[Work package ID]],tblParts[Work package ID],0)),0)</f>
        <v>0</v>
      </c>
      <c r="AI1817" s="51" t="str">
        <f>IFERROR(INDEX(tblDisruptions[Event type],MATCH(tblWorkPackages[[#This Row],[Work package ID]],tblDisruptions[Work package ID],0)),"None")</f>
        <v>None</v>
      </c>
      <c r="AJ1817" s="51" t="str">
        <f>TEXT(tblWorkPackages[[#This Row],[Due date serial]],"yyyy-mm")</f>
        <v>2024-05</v>
      </c>
    </row>
    <row r="1818" spans="1:36" ht="15" x14ac:dyDescent="0.25">
      <c r="A1818" s="53" t="s">
        <v>2728</v>
      </c>
      <c r="B1818" s="53" t="s">
        <v>235</v>
      </c>
      <c r="C1818" s="53" t="s">
        <v>673</v>
      </c>
      <c r="D1818" s="53" t="s">
        <v>627</v>
      </c>
      <c r="E1818" s="53" t="s">
        <v>242</v>
      </c>
      <c r="F1818" s="53" t="s">
        <v>243</v>
      </c>
      <c r="G1818" s="53" t="s">
        <v>129</v>
      </c>
      <c r="H1818" s="53">
        <v>2</v>
      </c>
      <c r="I1818" s="53" t="s">
        <v>130</v>
      </c>
      <c r="J1818" s="53">
        <v>0</v>
      </c>
      <c r="K1818" s="53">
        <v>0</v>
      </c>
      <c r="L1818" s="53">
        <v>9</v>
      </c>
      <c r="M1818" s="53" t="s">
        <v>611</v>
      </c>
      <c r="N1818" s="53">
        <v>9</v>
      </c>
      <c r="O1818" s="51" t="str">
        <f>TEXT(tblWorkPackages[[#This Row],[Request date serial]]-WEEKDAY(tblWorkPackages[[#This Row],[Request date serial]],3),"yyyy-mm-dd")</f>
        <v>2025-06-16</v>
      </c>
      <c r="P1818" s="51">
        <f>ABS(tblWorkPackages[[#This Row],[Actual labor hours]]-tblWorkPackages[[#This Row],[Estimated labor hours]])</f>
        <v>0</v>
      </c>
      <c r="Q1818" s="51">
        <f>IF(tblWorkPackages[[#This Row],[Actual labor hours]]&gt;tblWorkPackages[[#This Row],[Estimated labor hours]],1,0)</f>
        <v>0</v>
      </c>
      <c r="R1818" s="51">
        <f>tblWorkPackages[[#This Row],[Actual labor hours]]-tblWorkPackages[[#This Row],[Estimated labor hours]]</f>
        <v>0</v>
      </c>
      <c r="S1818" s="51" t="str">
        <f>IF(tblWorkPackages[[#This Row],[Request date serial]]&lt;ValidationStart,"Train 2024",IF(tblWorkPackages[[#This Row],[Request date serial]]&lt;HoldoutStart,"Validation H1","Holdout H2"))</f>
        <v>Validation H1</v>
      </c>
      <c r="T1818" s="51">
        <f>IF(tblWorkPackages[[#This Row],[Time split]]="Train 2024","",tblWorkPackages[[#This Row],[Estimated labor hours]]+VLOOKUP(tblWorkPackages[[#This Row],[Task type]],'Forecast validation'!$A$14:$E$25,IF(tblWorkPackages[[#This Row],[Time split]]="Validation H1",4,5),FALSE()))</f>
        <v>9.55612244897959</v>
      </c>
      <c r="U1818" s="51">
        <f>IF(tblWorkPackages[[#This Row],[Calibrated forecast hours]]="","",ABS(tblWorkPackages[[#This Row],[Actual labor hours]]-tblWorkPackages[[#This Row],[Calibrated forecast hours]]))</f>
        <v>0.556122448979592</v>
      </c>
      <c r="V1818" s="51">
        <f>IF(tblWorkPackages[[#This Row],[Time split]]="Train 2024",tblWorkPackages[[#This Row],[Estimated labor hours]],tblWorkPackages[[#This Row],[Calibrated forecast hours]])</f>
        <v>9.55612244897959</v>
      </c>
      <c r="W1818" s="64">
        <f>DATEVALUE(tblWorkPackages[[#This Row],[Request date]])</f>
        <v>45830.0</v>
      </c>
      <c r="X1818" s="64">
        <f>DATEVALUE(tblWorkPackages[[#This Row],[Due date]])</f>
        <v>45843.0</v>
      </c>
      <c r="Y1818" s="64">
        <f>DATEVALUE(tblWorkPackages[[#This Row],[Completion date]])</f>
        <v>45876.0</v>
      </c>
      <c r="Z1818" s="64">
        <f>_xlfn.MINIFS(tblLaborEntries[Work date serial],tblLaborEntries[Work package ID],tblWorkPackages[[#This Row],[Work package ID]])</f>
        <v>45875.0</v>
      </c>
      <c r="AA1818" s="64">
        <f>_xlfn.MAXIFS(tblLaborEntries[Work date serial],tblLaborEntries[Work package ID],tblWorkPackages[[#This Row],[Work package ID]])</f>
        <v>45876.0</v>
      </c>
      <c r="AB1818" s="65">
        <f>IF(tblWorkPackages[[#This Row],[Completion date serial]]&gt;tblWorkPackages[[#This Row],[Due date serial]],1,0)</f>
        <v>1</v>
      </c>
      <c r="AC1818" s="65">
        <f>MAX(0,tblWorkPackages[[#This Row],[Completion date serial]]-tblWorkPackages[[#This Row],[Due date serial]])</f>
        <v>33</v>
      </c>
      <c r="AD1818" s="65">
        <f>tblWorkPackages[[#This Row],[First labor date]]-tblWorkPackages[[#This Row],[Request date serial]]</f>
        <v>45</v>
      </c>
      <c r="AE1818" s="65">
        <f>tblWorkPackages[[#This Row],[Last labor date]]-tblWorkPackages[[#This Row],[First labor date]]</f>
        <v>1</v>
      </c>
      <c r="AF1818" s="65">
        <f>tblWorkPackages[[#This Row],[Completion date serial]]-tblWorkPackages[[#This Row],[Last labor date]]</f>
        <v>0</v>
      </c>
      <c r="AG1818" s="65">
        <f>tblWorkPackages[[#This Row],[Completion date serial]]-tblWorkPackages[[#This Row],[Request date serial]]</f>
        <v>46</v>
      </c>
      <c r="AH1818" s="65">
        <f>IFERROR(INDEX(tblParts[Delay days],MATCH(tblWorkPackages[[#This Row],[Work package ID]],tblParts[Work package ID],0)),0)</f>
        <v>0</v>
      </c>
      <c r="AI1818" s="51" t="str">
        <f>IFERROR(INDEX(tblDisruptions[Event type],MATCH(tblWorkPackages[[#This Row],[Work package ID]],tblDisruptions[Work package ID],0)),"None")</f>
        <v>None</v>
      </c>
      <c r="AJ1818" s="51" t="str">
        <f>TEXT(tblWorkPackages[[#This Row],[Due date serial]],"yyyy-mm")</f>
        <v>2025-07</v>
      </c>
    </row>
    <row r="1819" spans="1:36" ht="15" x14ac:dyDescent="0.25">
      <c r="A1819" s="53" t="s">
        <v>2729</v>
      </c>
      <c r="B1819" s="53" t="s">
        <v>141</v>
      </c>
      <c r="C1819" s="53" t="s">
        <v>759</v>
      </c>
      <c r="D1819" s="53" t="s">
        <v>655</v>
      </c>
      <c r="E1819" s="53" t="s">
        <v>237</v>
      </c>
      <c r="F1819" s="53" t="s">
        <v>182</v>
      </c>
      <c r="G1819" s="53" t="s">
        <v>138</v>
      </c>
      <c r="H1819" s="53">
        <v>4</v>
      </c>
      <c r="I1819" s="53" t="s">
        <v>176</v>
      </c>
      <c r="J1819" s="53">
        <v>0</v>
      </c>
      <c r="K1819" s="53">
        <v>0</v>
      </c>
      <c r="L1819" s="53">
        <v>10.5</v>
      </c>
      <c r="M1819" s="53" t="s">
        <v>1000</v>
      </c>
      <c r="N1819" s="53">
        <v>13</v>
      </c>
      <c r="O1819" s="51" t="str">
        <f>TEXT(tblWorkPackages[[#This Row],[Request date serial]]-WEEKDAY(tblWorkPackages[[#This Row],[Request date serial]],3),"yyyy-mm-dd")</f>
        <v>2024-03-11</v>
      </c>
      <c r="P1819" s="51">
        <f>ABS(tblWorkPackages[[#This Row],[Actual labor hours]]-tblWorkPackages[[#This Row],[Estimated labor hours]])</f>
        <v>2.5</v>
      </c>
      <c r="Q1819" s="51">
        <f>IF(tblWorkPackages[[#This Row],[Actual labor hours]]&gt;tblWorkPackages[[#This Row],[Estimated labor hours]],1,0)</f>
        <v>1</v>
      </c>
      <c r="R1819" s="51">
        <f>tblWorkPackages[[#This Row],[Actual labor hours]]-tblWorkPackages[[#This Row],[Estimated labor hours]]</f>
        <v>2.5</v>
      </c>
      <c r="S1819" s="51" t="str">
        <f>IF(tblWorkPackages[[#This Row],[Request date serial]]&lt;ValidationStart,"Train 2024",IF(tblWorkPackages[[#This Row],[Request date serial]]&lt;HoldoutStart,"Validation H1","Holdout H2"))</f>
        <v>Train 2024</v>
      </c>
      <c r="T1819" s="51" t="str">
        <f>IF(tblWorkPackages[[#This Row],[Time split]]="Train 2024","",tblWorkPackages[[#This Row],[Estimated labor hours]]+VLOOKUP(tblWorkPackages[[#This Row],[Task type]],'Forecast validation'!$A$14:$E$25,IF(tblWorkPackages[[#This Row],[Time split]]="Validation H1",4,5),FALSE()))</f>
        <v/>
      </c>
      <c r="U1819" s="51" t="str">
        <f>IF(tblWorkPackages[[#This Row],[Calibrated forecast hours]]="","",ABS(tblWorkPackages[[#This Row],[Actual labor hours]]-tblWorkPackages[[#This Row],[Calibrated forecast hours]]))</f>
        <v/>
      </c>
      <c r="V1819" s="51">
        <f>IF(tblWorkPackages[[#This Row],[Time split]]="Train 2024",tblWorkPackages[[#This Row],[Estimated labor hours]],tblWorkPackages[[#This Row],[Calibrated forecast hours]])</f>
        <v>10.5</v>
      </c>
      <c r="W1819" s="64">
        <f>DATEVALUE(tblWorkPackages[[#This Row],[Request date]])</f>
        <v>45363.0</v>
      </c>
      <c r="X1819" s="64">
        <f>DATEVALUE(tblWorkPackages[[#This Row],[Due date]])</f>
        <v>45369.0</v>
      </c>
      <c r="Y1819" s="64">
        <f>DATEVALUE(tblWorkPackages[[#This Row],[Completion date]])</f>
        <v>45372.0</v>
      </c>
      <c r="Z1819" s="64">
        <f>_xlfn.MINIFS(tblLaborEntries[Work date serial],tblLaborEntries[Work package ID],tblWorkPackages[[#This Row],[Work package ID]])</f>
        <v>45371.0</v>
      </c>
      <c r="AA1819" s="64">
        <f>_xlfn.MAXIFS(tblLaborEntries[Work date serial],tblLaborEntries[Work package ID],tblWorkPackages[[#This Row],[Work package ID]])</f>
        <v>45371.0</v>
      </c>
      <c r="AB1819" s="65">
        <f>IF(tblWorkPackages[[#This Row],[Completion date serial]]&gt;tblWorkPackages[[#This Row],[Due date serial]],1,0)</f>
        <v>1</v>
      </c>
      <c r="AC1819" s="65">
        <f>MAX(0,tblWorkPackages[[#This Row],[Completion date serial]]-tblWorkPackages[[#This Row],[Due date serial]])</f>
        <v>3</v>
      </c>
      <c r="AD1819" s="65">
        <f>tblWorkPackages[[#This Row],[First labor date]]-tblWorkPackages[[#This Row],[Request date serial]]</f>
        <v>8</v>
      </c>
      <c r="AE1819" s="65">
        <f>tblWorkPackages[[#This Row],[Last labor date]]-tblWorkPackages[[#This Row],[First labor date]]</f>
        <v>0</v>
      </c>
      <c r="AF1819" s="65">
        <f>tblWorkPackages[[#This Row],[Completion date serial]]-tblWorkPackages[[#This Row],[Last labor date]]</f>
        <v>1</v>
      </c>
      <c r="AG1819" s="65">
        <f>tblWorkPackages[[#This Row],[Completion date serial]]-tblWorkPackages[[#This Row],[Request date serial]]</f>
        <v>9</v>
      </c>
      <c r="AH1819" s="65">
        <f>IFERROR(INDEX(tblParts[Delay days],MATCH(tblWorkPackages[[#This Row],[Work package ID]],tblParts[Work package ID],0)),0)</f>
        <v>0</v>
      </c>
      <c r="AI1819" s="51" t="str">
        <f>IFERROR(INDEX(tblDisruptions[Event type],MATCH(tblWorkPackages[[#This Row],[Work package ID]],tblDisruptions[Work package ID],0)),"None")</f>
        <v>None</v>
      </c>
      <c r="AJ1819" s="51" t="str">
        <f>TEXT(tblWorkPackages[[#This Row],[Due date serial]],"yyyy-mm")</f>
        <v>2024-03</v>
      </c>
    </row>
    <row r="1820" spans="1:36" ht="15" x14ac:dyDescent="0.25">
      <c r="A1820" s="53" t="s">
        <v>2730</v>
      </c>
      <c r="B1820" s="53" t="s">
        <v>173</v>
      </c>
      <c r="C1820" s="53" t="s">
        <v>891</v>
      </c>
      <c r="D1820" s="53" t="s">
        <v>255</v>
      </c>
      <c r="E1820" s="53" t="s">
        <v>237</v>
      </c>
      <c r="F1820" s="53" t="s">
        <v>182</v>
      </c>
      <c r="G1820" s="53" t="s">
        <v>138</v>
      </c>
      <c r="H1820" s="53">
        <v>1</v>
      </c>
      <c r="I1820" s="53" t="s">
        <v>176</v>
      </c>
      <c r="J1820" s="53">
        <v>0</v>
      </c>
      <c r="K1820" s="53">
        <v>1</v>
      </c>
      <c r="L1820" s="53">
        <v>3</v>
      </c>
      <c r="M1820" s="53" t="s">
        <v>818</v>
      </c>
      <c r="N1820" s="53">
        <v>3.5</v>
      </c>
      <c r="O1820" s="51" t="str">
        <f>TEXT(tblWorkPackages[[#This Row],[Request date serial]]-WEEKDAY(tblWorkPackages[[#This Row],[Request date serial]],3),"yyyy-mm-dd")</f>
        <v>2024-11-25</v>
      </c>
      <c r="P1820" s="51">
        <f>ABS(tblWorkPackages[[#This Row],[Actual labor hours]]-tblWorkPackages[[#This Row],[Estimated labor hours]])</f>
        <v>0.5</v>
      </c>
      <c r="Q1820" s="51">
        <f>IF(tblWorkPackages[[#This Row],[Actual labor hours]]&gt;tblWorkPackages[[#This Row],[Estimated labor hours]],1,0)</f>
        <v>1</v>
      </c>
      <c r="R1820" s="51">
        <f>tblWorkPackages[[#This Row],[Actual labor hours]]-tblWorkPackages[[#This Row],[Estimated labor hours]]</f>
        <v>0.5</v>
      </c>
      <c r="S1820" s="51" t="str">
        <f>IF(tblWorkPackages[[#This Row],[Request date serial]]&lt;ValidationStart,"Train 2024",IF(tblWorkPackages[[#This Row],[Request date serial]]&lt;HoldoutStart,"Validation H1","Holdout H2"))</f>
        <v>Train 2024</v>
      </c>
      <c r="T1820" s="51" t="str">
        <f>IF(tblWorkPackages[[#This Row],[Time split]]="Train 2024","",tblWorkPackages[[#This Row],[Estimated labor hours]]+VLOOKUP(tblWorkPackages[[#This Row],[Task type]],'Forecast validation'!$A$14:$E$25,IF(tblWorkPackages[[#This Row],[Time split]]="Validation H1",4,5),FALSE()))</f>
        <v/>
      </c>
      <c r="U1820" s="51" t="str">
        <f>IF(tblWorkPackages[[#This Row],[Calibrated forecast hours]]="","",ABS(tblWorkPackages[[#This Row],[Actual labor hours]]-tblWorkPackages[[#This Row],[Calibrated forecast hours]]))</f>
        <v/>
      </c>
      <c r="V1820" s="51">
        <f>IF(tblWorkPackages[[#This Row],[Time split]]="Train 2024",tblWorkPackages[[#This Row],[Estimated labor hours]],tblWorkPackages[[#This Row],[Calibrated forecast hours]])</f>
        <v>3</v>
      </c>
      <c r="W1820" s="64">
        <f>DATEVALUE(tblWorkPackages[[#This Row],[Request date]])</f>
        <v>45626.0</v>
      </c>
      <c r="X1820" s="64">
        <f>DATEVALUE(tblWorkPackages[[#This Row],[Due date]])</f>
        <v>45632.0</v>
      </c>
      <c r="Y1820" s="64">
        <f>DATEVALUE(tblWorkPackages[[#This Row],[Completion date]])</f>
        <v>45643.0</v>
      </c>
      <c r="Z1820" s="64">
        <f>_xlfn.MINIFS(tblLaborEntries[Work date serial],tblLaborEntries[Work package ID],tblWorkPackages[[#This Row],[Work package ID]])</f>
        <v>45641.0</v>
      </c>
      <c r="AA1820" s="64">
        <f>_xlfn.MAXIFS(tblLaborEntries[Work date serial],tblLaborEntries[Work package ID],tblWorkPackages[[#This Row],[Work package ID]])</f>
        <v>45641.0</v>
      </c>
      <c r="AB1820" s="65">
        <f>IF(tblWorkPackages[[#This Row],[Completion date serial]]&gt;tblWorkPackages[[#This Row],[Due date serial]],1,0)</f>
        <v>1</v>
      </c>
      <c r="AC1820" s="65">
        <f>MAX(0,tblWorkPackages[[#This Row],[Completion date serial]]-tblWorkPackages[[#This Row],[Due date serial]])</f>
        <v>11</v>
      </c>
      <c r="AD1820" s="65">
        <f>tblWorkPackages[[#This Row],[First labor date]]-tblWorkPackages[[#This Row],[Request date serial]]</f>
        <v>15</v>
      </c>
      <c r="AE1820" s="65">
        <f>tblWorkPackages[[#This Row],[Last labor date]]-tblWorkPackages[[#This Row],[First labor date]]</f>
        <v>0</v>
      </c>
      <c r="AF1820" s="65">
        <f>tblWorkPackages[[#This Row],[Completion date serial]]-tblWorkPackages[[#This Row],[Last labor date]]</f>
        <v>2</v>
      </c>
      <c r="AG1820" s="65">
        <f>tblWorkPackages[[#This Row],[Completion date serial]]-tblWorkPackages[[#This Row],[Request date serial]]</f>
        <v>17</v>
      </c>
      <c r="AH1820" s="65">
        <f>IFERROR(INDEX(tblParts[Delay days],MATCH(tblWorkPackages[[#This Row],[Work package ID]],tblParts[Work package ID],0)),0)</f>
        <v>13</v>
      </c>
      <c r="AI1820" s="51" t="str">
        <f>IFERROR(INDEX(tblDisruptions[Event type],MATCH(tblWorkPackages[[#This Row],[Work package ID]],tblDisruptions[Work package ID],0)),"None")</f>
        <v>Part delay</v>
      </c>
      <c r="AJ1820" s="51" t="str">
        <f>TEXT(tblWorkPackages[[#This Row],[Due date serial]],"yyyy-mm")</f>
        <v>2024-12</v>
      </c>
    </row>
    <row r="1821" spans="1:36" ht="15" x14ac:dyDescent="0.25">
      <c r="A1821" s="53" t="s">
        <v>2731</v>
      </c>
      <c r="B1821" s="53" t="s">
        <v>235</v>
      </c>
      <c r="C1821" s="53" t="s">
        <v>179</v>
      </c>
      <c r="D1821" s="53" t="s">
        <v>180</v>
      </c>
      <c r="E1821" s="53" t="s">
        <v>200</v>
      </c>
      <c r="F1821" s="53" t="s">
        <v>128</v>
      </c>
      <c r="G1821" s="53" t="s">
        <v>129</v>
      </c>
      <c r="H1821" s="53">
        <v>3</v>
      </c>
      <c r="I1821" s="53" t="s">
        <v>130</v>
      </c>
      <c r="J1821" s="53">
        <v>0</v>
      </c>
      <c r="K1821" s="53">
        <v>0</v>
      </c>
      <c r="L1821" s="53">
        <v>4.5</v>
      </c>
      <c r="M1821" s="53" t="s">
        <v>639</v>
      </c>
      <c r="N1821" s="53">
        <v>5.3</v>
      </c>
      <c r="O1821" s="51" t="str">
        <f>TEXT(tblWorkPackages[[#This Row],[Request date serial]]-WEEKDAY(tblWorkPackages[[#This Row],[Request date serial]],3),"yyyy-mm-dd")</f>
        <v>2025-05-12</v>
      </c>
      <c r="P1821" s="51">
        <f>ABS(tblWorkPackages[[#This Row],[Actual labor hours]]-tblWorkPackages[[#This Row],[Estimated labor hours]])</f>
        <v>0.8</v>
      </c>
      <c r="Q1821" s="51">
        <f>IF(tblWorkPackages[[#This Row],[Actual labor hours]]&gt;tblWorkPackages[[#This Row],[Estimated labor hours]],1,0)</f>
        <v>1</v>
      </c>
      <c r="R1821" s="51">
        <f>tblWorkPackages[[#This Row],[Actual labor hours]]-tblWorkPackages[[#This Row],[Estimated labor hours]]</f>
        <v>0.8</v>
      </c>
      <c r="S1821" s="51" t="str">
        <f>IF(tblWorkPackages[[#This Row],[Request date serial]]&lt;ValidationStart,"Train 2024",IF(tblWorkPackages[[#This Row],[Request date serial]]&lt;HoldoutStart,"Validation H1","Holdout H2"))</f>
        <v>Validation H1</v>
      </c>
      <c r="T1821" s="51">
        <f>IF(tblWorkPackages[[#This Row],[Time split]]="Train 2024","",tblWorkPackages[[#This Row],[Estimated labor hours]]+VLOOKUP(tblWorkPackages[[#This Row],[Task type]],'Forecast validation'!$A$14:$E$25,IF(tblWorkPackages[[#This Row],[Time split]]="Validation H1",4,5),FALSE()))</f>
        <v>4.83069306930693</v>
      </c>
      <c r="U1821" s="51">
        <f>IF(tblWorkPackages[[#This Row],[Calibrated forecast hours]]="","",ABS(tblWorkPackages[[#This Row],[Actual labor hours]]-tblWorkPackages[[#This Row],[Calibrated forecast hours]]))</f>
        <v>0.469306930693069</v>
      </c>
      <c r="V1821" s="51">
        <f>IF(tblWorkPackages[[#This Row],[Time split]]="Train 2024",tblWorkPackages[[#This Row],[Estimated labor hours]],tblWorkPackages[[#This Row],[Calibrated forecast hours]])</f>
        <v>4.83069306930693</v>
      </c>
      <c r="W1821" s="64">
        <f>DATEVALUE(tblWorkPackages[[#This Row],[Request date]])</f>
        <v>45792.0</v>
      </c>
      <c r="X1821" s="64">
        <f>DATEVALUE(tblWorkPackages[[#This Row],[Due date]])</f>
        <v>45805.0</v>
      </c>
      <c r="Y1821" s="64">
        <f>DATEVALUE(tblWorkPackages[[#This Row],[Completion date]])</f>
        <v>45815.0</v>
      </c>
      <c r="Z1821" s="64">
        <f>_xlfn.MINIFS(tblLaborEntries[Work date serial],tblLaborEntries[Work package ID],tblWorkPackages[[#This Row],[Work package ID]])</f>
        <v>45811.0</v>
      </c>
      <c r="AA1821" s="64">
        <f>_xlfn.MAXIFS(tblLaborEntries[Work date serial],tblLaborEntries[Work package ID],tblWorkPackages[[#This Row],[Work package ID]])</f>
        <v>45812.0</v>
      </c>
      <c r="AB1821" s="65">
        <f>IF(tblWorkPackages[[#This Row],[Completion date serial]]&gt;tblWorkPackages[[#This Row],[Due date serial]],1,0)</f>
        <v>1</v>
      </c>
      <c r="AC1821" s="65">
        <f>MAX(0,tblWorkPackages[[#This Row],[Completion date serial]]-tblWorkPackages[[#This Row],[Due date serial]])</f>
        <v>10</v>
      </c>
      <c r="AD1821" s="65">
        <f>tblWorkPackages[[#This Row],[First labor date]]-tblWorkPackages[[#This Row],[Request date serial]]</f>
        <v>19</v>
      </c>
      <c r="AE1821" s="65">
        <f>tblWorkPackages[[#This Row],[Last labor date]]-tblWorkPackages[[#This Row],[First labor date]]</f>
        <v>1</v>
      </c>
      <c r="AF1821" s="65">
        <f>tblWorkPackages[[#This Row],[Completion date serial]]-tblWorkPackages[[#This Row],[Last labor date]]</f>
        <v>3</v>
      </c>
      <c r="AG1821" s="65">
        <f>tblWorkPackages[[#This Row],[Completion date serial]]-tblWorkPackages[[#This Row],[Request date serial]]</f>
        <v>23</v>
      </c>
      <c r="AH1821" s="65">
        <f>IFERROR(INDEX(tblParts[Delay days],MATCH(tblWorkPackages[[#This Row],[Work package ID]],tblParts[Work package ID],0)),0)</f>
        <v>0</v>
      </c>
      <c r="AI1821" s="51" t="str">
        <f>IFERROR(INDEX(tblDisruptions[Event type],MATCH(tblWorkPackages[[#This Row],[Work package ID]],tblDisruptions[Work package ID],0)),"None")</f>
        <v>None</v>
      </c>
      <c r="AJ1821" s="51" t="str">
        <f>TEXT(tblWorkPackages[[#This Row],[Due date serial]],"yyyy-mm")</f>
        <v>2025-05</v>
      </c>
    </row>
    <row r="1822" spans="1:36" ht="15" x14ac:dyDescent="0.25">
      <c r="A1822" s="53" t="s">
        <v>2732</v>
      </c>
      <c r="B1822" s="53" t="s">
        <v>203</v>
      </c>
      <c r="C1822" s="53" t="s">
        <v>1455</v>
      </c>
      <c r="D1822" s="53" t="s">
        <v>383</v>
      </c>
      <c r="E1822" s="53" t="s">
        <v>200</v>
      </c>
      <c r="F1822" s="53" t="s">
        <v>128</v>
      </c>
      <c r="G1822" s="53" t="s">
        <v>129</v>
      </c>
      <c r="H1822" s="53">
        <v>2</v>
      </c>
      <c r="I1822" s="53" t="s">
        <v>176</v>
      </c>
      <c r="J1822" s="53">
        <v>0</v>
      </c>
      <c r="K1822" s="53">
        <v>0</v>
      </c>
      <c r="L1822" s="53">
        <v>2.8</v>
      </c>
      <c r="M1822" s="53" t="s">
        <v>383</v>
      </c>
      <c r="N1822" s="53">
        <v>2.6</v>
      </c>
      <c r="O1822" s="51" t="str">
        <f>TEXT(tblWorkPackages[[#This Row],[Request date serial]]-WEEKDAY(tblWorkPackages[[#This Row],[Request date serial]],3),"yyyy-mm-dd")</f>
        <v>2025-01-27</v>
      </c>
      <c r="P1822" s="51">
        <f>ABS(tblWorkPackages[[#This Row],[Actual labor hours]]-tblWorkPackages[[#This Row],[Estimated labor hours]])</f>
        <v>0.2</v>
      </c>
      <c r="Q1822" s="51">
        <f>IF(tblWorkPackages[[#This Row],[Actual labor hours]]&gt;tblWorkPackages[[#This Row],[Estimated labor hours]],1,0)</f>
        <v>0</v>
      </c>
      <c r="R1822" s="51">
        <f>tblWorkPackages[[#This Row],[Actual labor hours]]-tblWorkPackages[[#This Row],[Estimated labor hours]]</f>
        <v>-0.2</v>
      </c>
      <c r="S1822" s="51" t="str">
        <f>IF(tblWorkPackages[[#This Row],[Request date serial]]&lt;ValidationStart,"Train 2024",IF(tblWorkPackages[[#This Row],[Request date serial]]&lt;HoldoutStart,"Validation H1","Holdout H2"))</f>
        <v>Validation H1</v>
      </c>
      <c r="T1822" s="51">
        <f>IF(tblWorkPackages[[#This Row],[Time split]]="Train 2024","",tblWorkPackages[[#This Row],[Estimated labor hours]]+VLOOKUP(tblWorkPackages[[#This Row],[Task type]],'Forecast validation'!$A$14:$E$25,IF(tblWorkPackages[[#This Row],[Time split]]="Validation H1",4,5),FALSE()))</f>
        <v>3.13069306930693</v>
      </c>
      <c r="U1822" s="51">
        <f>IF(tblWorkPackages[[#This Row],[Calibrated forecast hours]]="","",ABS(tblWorkPackages[[#This Row],[Actual labor hours]]-tblWorkPackages[[#This Row],[Calibrated forecast hours]]))</f>
        <v>0.53069306930693</v>
      </c>
      <c r="V1822" s="51">
        <f>IF(tblWorkPackages[[#This Row],[Time split]]="Train 2024",tblWorkPackages[[#This Row],[Estimated labor hours]],tblWorkPackages[[#This Row],[Calibrated forecast hours]])</f>
        <v>3.13069306930693</v>
      </c>
      <c r="W1822" s="64">
        <f>DATEVALUE(tblWorkPackages[[#This Row],[Request date]])</f>
        <v>45687.0</v>
      </c>
      <c r="X1822" s="64">
        <f>DATEVALUE(tblWorkPackages[[#This Row],[Due date]])</f>
        <v>45693.0</v>
      </c>
      <c r="Y1822" s="64">
        <f>DATEVALUE(tblWorkPackages[[#This Row],[Completion date]])</f>
        <v>45693.0</v>
      </c>
      <c r="Z1822" s="64">
        <f>_xlfn.MINIFS(tblLaborEntries[Work date serial],tblLaborEntries[Work package ID],tblWorkPackages[[#This Row],[Work package ID]])</f>
        <v>45691.0</v>
      </c>
      <c r="AA1822" s="64">
        <f>_xlfn.MAXIFS(tblLaborEntries[Work date serial],tblLaborEntries[Work package ID],tblWorkPackages[[#This Row],[Work package ID]])</f>
        <v>45693.0</v>
      </c>
      <c r="AB1822" s="65">
        <f>IF(tblWorkPackages[[#This Row],[Completion date serial]]&gt;tblWorkPackages[[#This Row],[Due date serial]],1,0)</f>
        <v>0</v>
      </c>
      <c r="AC1822" s="65">
        <f>MAX(0,tblWorkPackages[[#This Row],[Completion date serial]]-tblWorkPackages[[#This Row],[Due date serial]])</f>
        <v>0</v>
      </c>
      <c r="AD1822" s="65">
        <f>tblWorkPackages[[#This Row],[First labor date]]-tblWorkPackages[[#This Row],[Request date serial]]</f>
        <v>4</v>
      </c>
      <c r="AE1822" s="65">
        <f>tblWorkPackages[[#This Row],[Last labor date]]-tblWorkPackages[[#This Row],[First labor date]]</f>
        <v>2</v>
      </c>
      <c r="AF1822" s="65">
        <f>tblWorkPackages[[#This Row],[Completion date serial]]-tblWorkPackages[[#This Row],[Last labor date]]</f>
        <v>0</v>
      </c>
      <c r="AG1822" s="65">
        <f>tblWorkPackages[[#This Row],[Completion date serial]]-tblWorkPackages[[#This Row],[Request date serial]]</f>
        <v>6</v>
      </c>
      <c r="AH1822" s="65">
        <f>IFERROR(INDEX(tblParts[Delay days],MATCH(tblWorkPackages[[#This Row],[Work package ID]],tblParts[Work package ID],0)),0)</f>
        <v>0</v>
      </c>
      <c r="AI1822" s="51" t="str">
        <f>IFERROR(INDEX(tblDisruptions[Event type],MATCH(tblWorkPackages[[#This Row],[Work package ID]],tblDisruptions[Work package ID],0)),"None")</f>
        <v>None</v>
      </c>
      <c r="AJ1822" s="51" t="str">
        <f>TEXT(tblWorkPackages[[#This Row],[Due date serial]],"yyyy-mm")</f>
        <v>2025-02</v>
      </c>
    </row>
    <row r="1823" spans="1:36" ht="15" x14ac:dyDescent="0.25">
      <c r="A1823" s="53" t="s">
        <v>2733</v>
      </c>
      <c r="B1823" s="53" t="s">
        <v>150</v>
      </c>
      <c r="C1823" s="53" t="s">
        <v>1148</v>
      </c>
      <c r="D1823" s="53" t="s">
        <v>281</v>
      </c>
      <c r="E1823" s="53" t="s">
        <v>136</v>
      </c>
      <c r="F1823" s="53" t="s">
        <v>137</v>
      </c>
      <c r="G1823" s="53" t="s">
        <v>138</v>
      </c>
      <c r="H1823" s="53">
        <v>4</v>
      </c>
      <c r="I1823" s="53" t="s">
        <v>176</v>
      </c>
      <c r="J1823" s="53">
        <v>0</v>
      </c>
      <c r="K1823" s="53">
        <v>0</v>
      </c>
      <c r="L1823" s="53">
        <v>27.7</v>
      </c>
      <c r="M1823" s="53" t="s">
        <v>1058</v>
      </c>
      <c r="N1823" s="53">
        <v>30.3</v>
      </c>
      <c r="O1823" s="51" t="str">
        <f>TEXT(tblWorkPackages[[#This Row],[Request date serial]]-WEEKDAY(tblWorkPackages[[#This Row],[Request date serial]],3),"yyyy-mm-dd")</f>
        <v>2025-01-20</v>
      </c>
      <c r="P1823" s="51">
        <f>ABS(tblWorkPackages[[#This Row],[Actual labor hours]]-tblWorkPackages[[#This Row],[Estimated labor hours]])</f>
        <v>2.6</v>
      </c>
      <c r="Q1823" s="51">
        <f>IF(tblWorkPackages[[#This Row],[Actual labor hours]]&gt;tblWorkPackages[[#This Row],[Estimated labor hours]],1,0)</f>
        <v>1</v>
      </c>
      <c r="R1823" s="51">
        <f>tblWorkPackages[[#This Row],[Actual labor hours]]-tblWorkPackages[[#This Row],[Estimated labor hours]]</f>
        <v>2.6</v>
      </c>
      <c r="S1823" s="51" t="str">
        <f>IF(tblWorkPackages[[#This Row],[Request date serial]]&lt;ValidationStart,"Train 2024",IF(tblWorkPackages[[#This Row],[Request date serial]]&lt;HoldoutStart,"Validation H1","Holdout H2"))</f>
        <v>Validation H1</v>
      </c>
      <c r="T1823" s="51">
        <f>IF(tblWorkPackages[[#This Row],[Time split]]="Train 2024","",tblWorkPackages[[#This Row],[Estimated labor hours]]+VLOOKUP(tblWorkPackages[[#This Row],[Task type]],'Forecast validation'!$A$14:$E$25,IF(tblWorkPackages[[#This Row],[Time split]]="Validation H1",4,5),FALSE()))</f>
        <v>28.5765306122449</v>
      </c>
      <c r="U1823" s="51">
        <f>IF(tblWorkPackages[[#This Row],[Calibrated forecast hours]]="","",ABS(tblWorkPackages[[#This Row],[Actual labor hours]]-tblWorkPackages[[#This Row],[Calibrated forecast hours]]))</f>
        <v>1.7234693877551</v>
      </c>
      <c r="V1823" s="51">
        <f>IF(tblWorkPackages[[#This Row],[Time split]]="Train 2024",tblWorkPackages[[#This Row],[Estimated labor hours]],tblWorkPackages[[#This Row],[Calibrated forecast hours]])</f>
        <v>28.5765306122449</v>
      </c>
      <c r="W1823" s="64">
        <f>DATEVALUE(tblWorkPackages[[#This Row],[Request date]])</f>
        <v>45678.0</v>
      </c>
      <c r="X1823" s="64">
        <f>DATEVALUE(tblWorkPackages[[#This Row],[Due date]])</f>
        <v>45684.0</v>
      </c>
      <c r="Y1823" s="64">
        <f>DATEVALUE(tblWorkPackages[[#This Row],[Completion date]])</f>
        <v>45680.0</v>
      </c>
      <c r="Z1823" s="64">
        <f>_xlfn.MINIFS(tblLaborEntries[Work date serial],tblLaborEntries[Work package ID],tblWorkPackages[[#This Row],[Work package ID]])</f>
        <v>45679.0</v>
      </c>
      <c r="AA1823" s="64">
        <f>_xlfn.MAXIFS(tblLaborEntries[Work date serial],tblLaborEntries[Work package ID],tblWorkPackages[[#This Row],[Work package ID]])</f>
        <v>45679.0</v>
      </c>
      <c r="AB1823" s="65">
        <f>IF(tblWorkPackages[[#This Row],[Completion date serial]]&gt;tblWorkPackages[[#This Row],[Due date serial]],1,0)</f>
        <v>0</v>
      </c>
      <c r="AC1823" s="65">
        <f>MAX(0,tblWorkPackages[[#This Row],[Completion date serial]]-tblWorkPackages[[#This Row],[Due date serial]])</f>
        <v>0</v>
      </c>
      <c r="AD1823" s="65">
        <f>tblWorkPackages[[#This Row],[First labor date]]-tblWorkPackages[[#This Row],[Request date serial]]</f>
        <v>1</v>
      </c>
      <c r="AE1823" s="65">
        <f>tblWorkPackages[[#This Row],[Last labor date]]-tblWorkPackages[[#This Row],[First labor date]]</f>
        <v>0</v>
      </c>
      <c r="AF1823" s="65">
        <f>tblWorkPackages[[#This Row],[Completion date serial]]-tblWorkPackages[[#This Row],[Last labor date]]</f>
        <v>1</v>
      </c>
      <c r="AG1823" s="65">
        <f>tblWorkPackages[[#This Row],[Completion date serial]]-tblWorkPackages[[#This Row],[Request date serial]]</f>
        <v>2</v>
      </c>
      <c r="AH1823" s="65">
        <f>IFERROR(INDEX(tblParts[Delay days],MATCH(tblWorkPackages[[#This Row],[Work package ID]],tblParts[Work package ID],0)),0)</f>
        <v>0</v>
      </c>
      <c r="AI1823" s="51" t="str">
        <f>IFERROR(INDEX(tblDisruptions[Event type],MATCH(tblWorkPackages[[#This Row],[Work package ID]],tblDisruptions[Work package ID],0)),"None")</f>
        <v>None</v>
      </c>
      <c r="AJ1823" s="51" t="str">
        <f>TEXT(tblWorkPackages[[#This Row],[Due date serial]],"yyyy-mm")</f>
        <v>2025-01</v>
      </c>
    </row>
    <row r="1824" spans="1:36" ht="15" x14ac:dyDescent="0.25">
      <c r="A1824" s="53" t="s">
        <v>2734</v>
      </c>
      <c r="B1824" s="53" t="s">
        <v>230</v>
      </c>
      <c r="C1824" s="53" t="s">
        <v>233</v>
      </c>
      <c r="D1824" s="53" t="s">
        <v>571</v>
      </c>
      <c r="E1824" s="53" t="s">
        <v>136</v>
      </c>
      <c r="F1824" s="53" t="s">
        <v>137</v>
      </c>
      <c r="G1824" s="53" t="s">
        <v>138</v>
      </c>
      <c r="H1824" s="53">
        <v>3</v>
      </c>
      <c r="I1824" s="53" t="s">
        <v>130</v>
      </c>
      <c r="J1824" s="53">
        <v>0</v>
      </c>
      <c r="K1824" s="53">
        <v>0</v>
      </c>
      <c r="L1824" s="53">
        <v>20.5</v>
      </c>
      <c r="M1824" s="53" t="s">
        <v>485</v>
      </c>
      <c r="N1824" s="53">
        <v>24.2</v>
      </c>
      <c r="O1824" s="51" t="str">
        <f>TEXT(tblWorkPackages[[#This Row],[Request date serial]]-WEEKDAY(tblWorkPackages[[#This Row],[Request date serial]],3),"yyyy-mm-dd")</f>
        <v>2024-12-30</v>
      </c>
      <c r="P1824" s="51">
        <f>ABS(tblWorkPackages[[#This Row],[Actual labor hours]]-tblWorkPackages[[#This Row],[Estimated labor hours]])</f>
        <v>3.7</v>
      </c>
      <c r="Q1824" s="51">
        <f>IF(tblWorkPackages[[#This Row],[Actual labor hours]]&gt;tblWorkPackages[[#This Row],[Estimated labor hours]],1,0)</f>
        <v>1</v>
      </c>
      <c r="R1824" s="51">
        <f>tblWorkPackages[[#This Row],[Actual labor hours]]-tblWorkPackages[[#This Row],[Estimated labor hours]]</f>
        <v>3.7</v>
      </c>
      <c r="S1824" s="51" t="str">
        <f>IF(tblWorkPackages[[#This Row],[Request date serial]]&lt;ValidationStart,"Train 2024",IF(tblWorkPackages[[#This Row],[Request date serial]]&lt;HoldoutStart,"Validation H1","Holdout H2"))</f>
        <v>Validation H1</v>
      </c>
      <c r="T1824" s="51">
        <f>IF(tblWorkPackages[[#This Row],[Time split]]="Train 2024","",tblWorkPackages[[#This Row],[Estimated labor hours]]+VLOOKUP(tblWorkPackages[[#This Row],[Task type]],'Forecast validation'!$A$14:$E$25,IF(tblWorkPackages[[#This Row],[Time split]]="Validation H1",4,5),FALSE()))</f>
        <v>21.3765306122449</v>
      </c>
      <c r="U1824" s="51">
        <f>IF(tblWorkPackages[[#This Row],[Calibrated forecast hours]]="","",ABS(tblWorkPackages[[#This Row],[Actual labor hours]]-tblWorkPackages[[#This Row],[Calibrated forecast hours]]))</f>
        <v>2.8234693877551</v>
      </c>
      <c r="V1824" s="51">
        <f>IF(tblWorkPackages[[#This Row],[Time split]]="Train 2024",tblWorkPackages[[#This Row],[Estimated labor hours]],tblWorkPackages[[#This Row],[Calibrated forecast hours]])</f>
        <v>21.3765306122449</v>
      </c>
      <c r="W1824" s="64">
        <f>DATEVALUE(tblWorkPackages[[#This Row],[Request date]])</f>
        <v>45661.0</v>
      </c>
      <c r="X1824" s="64">
        <f>DATEVALUE(tblWorkPackages[[#This Row],[Due date]])</f>
        <v>45674.0</v>
      </c>
      <c r="Y1824" s="64">
        <f>DATEVALUE(tblWorkPackages[[#This Row],[Completion date]])</f>
        <v>45675.0</v>
      </c>
      <c r="Z1824" s="64">
        <f>_xlfn.MINIFS(tblLaborEntries[Work date serial],tblLaborEntries[Work package ID],tblWorkPackages[[#This Row],[Work package ID]])</f>
        <v>45672.0</v>
      </c>
      <c r="AA1824" s="64">
        <f>_xlfn.MAXIFS(tblLaborEntries[Work date serial],tblLaborEntries[Work package ID],tblWorkPackages[[#This Row],[Work package ID]])</f>
        <v>45673.0</v>
      </c>
      <c r="AB1824" s="65">
        <f>IF(tblWorkPackages[[#This Row],[Completion date serial]]&gt;tblWorkPackages[[#This Row],[Due date serial]],1,0)</f>
        <v>1</v>
      </c>
      <c r="AC1824" s="65">
        <f>MAX(0,tblWorkPackages[[#This Row],[Completion date serial]]-tblWorkPackages[[#This Row],[Due date serial]])</f>
        <v>1</v>
      </c>
      <c r="AD1824" s="65">
        <f>tblWorkPackages[[#This Row],[First labor date]]-tblWorkPackages[[#This Row],[Request date serial]]</f>
        <v>11</v>
      </c>
      <c r="AE1824" s="65">
        <f>tblWorkPackages[[#This Row],[Last labor date]]-tblWorkPackages[[#This Row],[First labor date]]</f>
        <v>1</v>
      </c>
      <c r="AF1824" s="65">
        <f>tblWorkPackages[[#This Row],[Completion date serial]]-tblWorkPackages[[#This Row],[Last labor date]]</f>
        <v>2</v>
      </c>
      <c r="AG1824" s="65">
        <f>tblWorkPackages[[#This Row],[Completion date serial]]-tblWorkPackages[[#This Row],[Request date serial]]</f>
        <v>14</v>
      </c>
      <c r="AH1824" s="65">
        <f>IFERROR(INDEX(tblParts[Delay days],MATCH(tblWorkPackages[[#This Row],[Work package ID]],tblParts[Work package ID],0)),0)</f>
        <v>0</v>
      </c>
      <c r="AI1824" s="51" t="str">
        <f>IFERROR(INDEX(tblDisruptions[Event type],MATCH(tblWorkPackages[[#This Row],[Work package ID]],tblDisruptions[Work package ID],0)),"None")</f>
        <v>None</v>
      </c>
      <c r="AJ1824" s="51" t="str">
        <f>TEXT(tblWorkPackages[[#This Row],[Due date serial]],"yyyy-mm")</f>
        <v>2025-01</v>
      </c>
    </row>
    <row r="1825" spans="1:36" ht="15" x14ac:dyDescent="0.25">
      <c r="A1825" s="53" t="s">
        <v>2735</v>
      </c>
      <c r="B1825" s="53" t="s">
        <v>124</v>
      </c>
      <c r="C1825" s="53" t="s">
        <v>347</v>
      </c>
      <c r="D1825" s="53" t="s">
        <v>1026</v>
      </c>
      <c r="E1825" s="53" t="s">
        <v>237</v>
      </c>
      <c r="F1825" s="53" t="s">
        <v>182</v>
      </c>
      <c r="G1825" s="53" t="s">
        <v>138</v>
      </c>
      <c r="H1825" s="53">
        <v>3</v>
      </c>
      <c r="I1825" s="53" t="s">
        <v>130</v>
      </c>
      <c r="J1825" s="53">
        <v>0</v>
      </c>
      <c r="K1825" s="53">
        <v>0</v>
      </c>
      <c r="L1825" s="53">
        <v>8.1</v>
      </c>
      <c r="M1825" s="53" t="s">
        <v>246</v>
      </c>
      <c r="N1825" s="53">
        <v>9.4</v>
      </c>
      <c r="O1825" s="51" t="str">
        <f>TEXT(tblWorkPackages[[#This Row],[Request date serial]]-WEEKDAY(tblWorkPackages[[#This Row],[Request date serial]],3),"yyyy-mm-dd")</f>
        <v>2024-03-04</v>
      </c>
      <c r="P1825" s="51">
        <f>ABS(tblWorkPackages[[#This Row],[Actual labor hours]]-tblWorkPackages[[#This Row],[Estimated labor hours]])</f>
        <v>1.3</v>
      </c>
      <c r="Q1825" s="51">
        <f>IF(tblWorkPackages[[#This Row],[Actual labor hours]]&gt;tblWorkPackages[[#This Row],[Estimated labor hours]],1,0)</f>
        <v>1</v>
      </c>
      <c r="R1825" s="51">
        <f>tblWorkPackages[[#This Row],[Actual labor hours]]-tblWorkPackages[[#This Row],[Estimated labor hours]]</f>
        <v>1.3</v>
      </c>
      <c r="S1825" s="51" t="str">
        <f>IF(tblWorkPackages[[#This Row],[Request date serial]]&lt;ValidationStart,"Train 2024",IF(tblWorkPackages[[#This Row],[Request date serial]]&lt;HoldoutStart,"Validation H1","Holdout H2"))</f>
        <v>Train 2024</v>
      </c>
      <c r="T1825" s="51" t="str">
        <f>IF(tblWorkPackages[[#This Row],[Time split]]="Train 2024","",tblWorkPackages[[#This Row],[Estimated labor hours]]+VLOOKUP(tblWorkPackages[[#This Row],[Task type]],'Forecast validation'!$A$14:$E$25,IF(tblWorkPackages[[#This Row],[Time split]]="Validation H1",4,5),FALSE()))</f>
        <v/>
      </c>
      <c r="U1825" s="51" t="str">
        <f>IF(tblWorkPackages[[#This Row],[Calibrated forecast hours]]="","",ABS(tblWorkPackages[[#This Row],[Actual labor hours]]-tblWorkPackages[[#This Row],[Calibrated forecast hours]]))</f>
        <v/>
      </c>
      <c r="V1825" s="51">
        <f>IF(tblWorkPackages[[#This Row],[Time split]]="Train 2024",tblWorkPackages[[#This Row],[Estimated labor hours]],tblWorkPackages[[#This Row],[Calibrated forecast hours]])</f>
        <v>8.1</v>
      </c>
      <c r="W1825" s="64">
        <f>DATEVALUE(tblWorkPackages[[#This Row],[Request date]])</f>
        <v>45358.0</v>
      </c>
      <c r="X1825" s="64">
        <f>DATEVALUE(tblWorkPackages[[#This Row],[Due date]])</f>
        <v>45371.0</v>
      </c>
      <c r="Y1825" s="64">
        <f>DATEVALUE(tblWorkPackages[[#This Row],[Completion date]])</f>
        <v>45364.0</v>
      </c>
      <c r="Z1825" s="64">
        <f>_xlfn.MINIFS(tblLaborEntries[Work date serial],tblLaborEntries[Work package ID],tblWorkPackages[[#This Row],[Work package ID]])</f>
        <v>45361.0</v>
      </c>
      <c r="AA1825" s="64">
        <f>_xlfn.MAXIFS(tblLaborEntries[Work date serial],tblLaborEntries[Work package ID],tblWorkPackages[[#This Row],[Work package ID]])</f>
        <v>45361.0</v>
      </c>
      <c r="AB1825" s="65">
        <f>IF(tblWorkPackages[[#This Row],[Completion date serial]]&gt;tblWorkPackages[[#This Row],[Due date serial]],1,0)</f>
        <v>0</v>
      </c>
      <c r="AC1825" s="65">
        <f>MAX(0,tblWorkPackages[[#This Row],[Completion date serial]]-tblWorkPackages[[#This Row],[Due date serial]])</f>
        <v>0</v>
      </c>
      <c r="AD1825" s="65">
        <f>tblWorkPackages[[#This Row],[First labor date]]-tblWorkPackages[[#This Row],[Request date serial]]</f>
        <v>3</v>
      </c>
      <c r="AE1825" s="65">
        <f>tblWorkPackages[[#This Row],[Last labor date]]-tblWorkPackages[[#This Row],[First labor date]]</f>
        <v>0</v>
      </c>
      <c r="AF1825" s="65">
        <f>tblWorkPackages[[#This Row],[Completion date serial]]-tblWorkPackages[[#This Row],[Last labor date]]</f>
        <v>3</v>
      </c>
      <c r="AG1825" s="65">
        <f>tblWorkPackages[[#This Row],[Completion date serial]]-tblWorkPackages[[#This Row],[Request date serial]]</f>
        <v>6</v>
      </c>
      <c r="AH1825" s="65">
        <f>IFERROR(INDEX(tblParts[Delay days],MATCH(tblWorkPackages[[#This Row],[Work package ID]],tblParts[Work package ID],0)),0)</f>
        <v>0</v>
      </c>
      <c r="AI1825" s="51" t="str">
        <f>IFERROR(INDEX(tblDisruptions[Event type],MATCH(tblWorkPackages[[#This Row],[Work package ID]],tblDisruptions[Work package ID],0)),"None")</f>
        <v>None</v>
      </c>
      <c r="AJ1825" s="51" t="str">
        <f>TEXT(tblWorkPackages[[#This Row],[Due date serial]],"yyyy-mm")</f>
        <v>2024-03</v>
      </c>
    </row>
    <row r="1826" spans="1:36" ht="15" x14ac:dyDescent="0.25">
      <c r="A1826" s="53" t="s">
        <v>2736</v>
      </c>
      <c r="B1826" s="53" t="s">
        <v>124</v>
      </c>
      <c r="C1826" s="53" t="s">
        <v>788</v>
      </c>
      <c r="D1826" s="53" t="s">
        <v>1730</v>
      </c>
      <c r="E1826" s="53" t="s">
        <v>237</v>
      </c>
      <c r="F1826" s="53" t="s">
        <v>182</v>
      </c>
      <c r="G1826" s="53" t="s">
        <v>138</v>
      </c>
      <c r="H1826" s="53">
        <v>1</v>
      </c>
      <c r="I1826" s="53" t="s">
        <v>130</v>
      </c>
      <c r="J1826" s="53">
        <v>0</v>
      </c>
      <c r="K1826" s="53">
        <v>0</v>
      </c>
      <c r="L1826" s="53">
        <v>3.1</v>
      </c>
      <c r="M1826" s="53" t="s">
        <v>1721</v>
      </c>
      <c r="N1826" s="53">
        <v>3.5</v>
      </c>
      <c r="O1826" s="51" t="str">
        <f>TEXT(tblWorkPackages[[#This Row],[Request date serial]]-WEEKDAY(tblWorkPackages[[#This Row],[Request date serial]],3),"yyyy-mm-dd")</f>
        <v>2024-09-30</v>
      </c>
      <c r="P1826" s="51">
        <f>ABS(tblWorkPackages[[#This Row],[Actual labor hours]]-tblWorkPackages[[#This Row],[Estimated labor hours]])</f>
        <v>0.4</v>
      </c>
      <c r="Q1826" s="51">
        <f>IF(tblWorkPackages[[#This Row],[Actual labor hours]]&gt;tblWorkPackages[[#This Row],[Estimated labor hours]],1,0)</f>
        <v>1</v>
      </c>
      <c r="R1826" s="51">
        <f>tblWorkPackages[[#This Row],[Actual labor hours]]-tblWorkPackages[[#This Row],[Estimated labor hours]]</f>
        <v>0.4</v>
      </c>
      <c r="S1826" s="51" t="str">
        <f>IF(tblWorkPackages[[#This Row],[Request date serial]]&lt;ValidationStart,"Train 2024",IF(tblWorkPackages[[#This Row],[Request date serial]]&lt;HoldoutStart,"Validation H1","Holdout H2"))</f>
        <v>Train 2024</v>
      </c>
      <c r="T1826" s="51" t="str">
        <f>IF(tblWorkPackages[[#This Row],[Time split]]="Train 2024","",tblWorkPackages[[#This Row],[Estimated labor hours]]+VLOOKUP(tblWorkPackages[[#This Row],[Task type]],'Forecast validation'!$A$14:$E$25,IF(tblWorkPackages[[#This Row],[Time split]]="Validation H1",4,5),FALSE()))</f>
        <v/>
      </c>
      <c r="U1826" s="51" t="str">
        <f>IF(tblWorkPackages[[#This Row],[Calibrated forecast hours]]="","",ABS(tblWorkPackages[[#This Row],[Actual labor hours]]-tblWorkPackages[[#This Row],[Calibrated forecast hours]]))</f>
        <v/>
      </c>
      <c r="V1826" s="51">
        <f>IF(tblWorkPackages[[#This Row],[Time split]]="Train 2024",tblWorkPackages[[#This Row],[Estimated labor hours]],tblWorkPackages[[#This Row],[Calibrated forecast hours]])</f>
        <v>3.1</v>
      </c>
      <c r="W1826" s="64">
        <f>DATEVALUE(tblWorkPackages[[#This Row],[Request date]])</f>
        <v>45566.0</v>
      </c>
      <c r="X1826" s="64">
        <f>DATEVALUE(tblWorkPackages[[#This Row],[Due date]])</f>
        <v>45579.0</v>
      </c>
      <c r="Y1826" s="64">
        <f>DATEVALUE(tblWorkPackages[[#This Row],[Completion date]])</f>
        <v>45599.0</v>
      </c>
      <c r="Z1826" s="64">
        <f>_xlfn.MINIFS(tblLaborEntries[Work date serial],tblLaborEntries[Work package ID],tblWorkPackages[[#This Row],[Work package ID]])</f>
        <v>45597.0</v>
      </c>
      <c r="AA1826" s="64">
        <f>_xlfn.MAXIFS(tblLaborEntries[Work date serial],tblLaborEntries[Work package ID],tblWorkPackages[[#This Row],[Work package ID]])</f>
        <v>45599.0</v>
      </c>
      <c r="AB1826" s="65">
        <f>IF(tblWorkPackages[[#This Row],[Completion date serial]]&gt;tblWorkPackages[[#This Row],[Due date serial]],1,0)</f>
        <v>1</v>
      </c>
      <c r="AC1826" s="65">
        <f>MAX(0,tblWorkPackages[[#This Row],[Completion date serial]]-tblWorkPackages[[#This Row],[Due date serial]])</f>
        <v>20</v>
      </c>
      <c r="AD1826" s="65">
        <f>tblWorkPackages[[#This Row],[First labor date]]-tblWorkPackages[[#This Row],[Request date serial]]</f>
        <v>31</v>
      </c>
      <c r="AE1826" s="65">
        <f>tblWorkPackages[[#This Row],[Last labor date]]-tblWorkPackages[[#This Row],[First labor date]]</f>
        <v>2</v>
      </c>
      <c r="AF1826" s="65">
        <f>tblWorkPackages[[#This Row],[Completion date serial]]-tblWorkPackages[[#This Row],[Last labor date]]</f>
        <v>0</v>
      </c>
      <c r="AG1826" s="65">
        <f>tblWorkPackages[[#This Row],[Completion date serial]]-tblWorkPackages[[#This Row],[Request date serial]]</f>
        <v>33</v>
      </c>
      <c r="AH1826" s="65">
        <f>IFERROR(INDEX(tblParts[Delay days],MATCH(tblWorkPackages[[#This Row],[Work package ID]],tblParts[Work package ID],0)),0)</f>
        <v>0</v>
      </c>
      <c r="AI1826" s="51" t="str">
        <f>IFERROR(INDEX(tblDisruptions[Event type],MATCH(tblWorkPackages[[#This Row],[Work package ID]],tblDisruptions[Work package ID],0)),"None")</f>
        <v>None</v>
      </c>
      <c r="AJ1826" s="51" t="str">
        <f>TEXT(tblWorkPackages[[#This Row],[Due date serial]],"yyyy-mm")</f>
        <v>2024-10</v>
      </c>
    </row>
    <row r="1827" spans="1:36" ht="15" x14ac:dyDescent="0.25">
      <c r="A1827" s="53" t="s">
        <v>2737</v>
      </c>
      <c r="B1827" s="53" t="s">
        <v>230</v>
      </c>
      <c r="C1827" s="53" t="s">
        <v>431</v>
      </c>
      <c r="D1827" s="53" t="s">
        <v>842</v>
      </c>
      <c r="E1827" s="53" t="s">
        <v>153</v>
      </c>
      <c r="F1827" s="53" t="s">
        <v>128</v>
      </c>
      <c r="G1827" s="53" t="s">
        <v>154</v>
      </c>
      <c r="H1827" s="53">
        <v>4</v>
      </c>
      <c r="I1827" s="53" t="s">
        <v>130</v>
      </c>
      <c r="J1827" s="53">
        <v>0</v>
      </c>
      <c r="K1827" s="53">
        <v>1</v>
      </c>
      <c r="L1827" s="53">
        <v>18.5</v>
      </c>
      <c r="M1827" s="53" t="s">
        <v>1504</v>
      </c>
      <c r="N1827" s="53">
        <v>22.1</v>
      </c>
      <c r="O1827" s="51" t="str">
        <f>TEXT(tblWorkPackages[[#This Row],[Request date serial]]-WEEKDAY(tblWorkPackages[[#This Row],[Request date serial]],3),"yyyy-mm-dd")</f>
        <v>2025-07-14</v>
      </c>
      <c r="P1827" s="51">
        <f>ABS(tblWorkPackages[[#This Row],[Actual labor hours]]-tblWorkPackages[[#This Row],[Estimated labor hours]])</f>
        <v>3.6</v>
      </c>
      <c r="Q1827" s="51">
        <f>IF(tblWorkPackages[[#This Row],[Actual labor hours]]&gt;tblWorkPackages[[#This Row],[Estimated labor hours]],1,0)</f>
        <v>1</v>
      </c>
      <c r="R1827" s="51">
        <f>tblWorkPackages[[#This Row],[Actual labor hours]]-tblWorkPackages[[#This Row],[Estimated labor hours]]</f>
        <v>3.6</v>
      </c>
      <c r="S1827" s="51" t="str">
        <f>IF(tblWorkPackages[[#This Row],[Request date serial]]&lt;ValidationStart,"Train 2024",IF(tblWorkPackages[[#This Row],[Request date serial]]&lt;HoldoutStart,"Validation H1","Holdout H2"))</f>
        <v>Holdout H2</v>
      </c>
      <c r="T1827" s="51">
        <f>IF(tblWorkPackages[[#This Row],[Time split]]="Train 2024","",tblWorkPackages[[#This Row],[Estimated labor hours]]+VLOOKUP(tblWorkPackages[[#This Row],[Task type]],'Forecast validation'!$A$14:$E$25,IF(tblWorkPackages[[#This Row],[Time split]]="Validation H1",4,5),FALSE()))</f>
        <v>19.1026666666667</v>
      </c>
      <c r="U1827" s="51">
        <f>IF(tblWorkPackages[[#This Row],[Calibrated forecast hours]]="","",ABS(tblWorkPackages[[#This Row],[Actual labor hours]]-tblWorkPackages[[#This Row],[Calibrated forecast hours]]))</f>
        <v>2.99733333333333</v>
      </c>
      <c r="V1827" s="51">
        <f>IF(tblWorkPackages[[#This Row],[Time split]]="Train 2024",tblWorkPackages[[#This Row],[Estimated labor hours]],tblWorkPackages[[#This Row],[Calibrated forecast hours]])</f>
        <v>19.1026666666667</v>
      </c>
      <c r="W1827" s="64">
        <f>DATEVALUE(tblWorkPackages[[#This Row],[Request date]])</f>
        <v>45852.0</v>
      </c>
      <c r="X1827" s="64">
        <f>DATEVALUE(tblWorkPackages[[#This Row],[Due date]])</f>
        <v>45865.0</v>
      </c>
      <c r="Y1827" s="64">
        <f>DATEVALUE(tblWorkPackages[[#This Row],[Completion date]])</f>
        <v>45861.0</v>
      </c>
      <c r="Z1827" s="64">
        <f>_xlfn.MINIFS(tblLaborEntries[Work date serial],tblLaborEntries[Work package ID],tblWorkPackages[[#This Row],[Work package ID]])</f>
        <v>45858.0</v>
      </c>
      <c r="AA1827" s="64">
        <f>_xlfn.MAXIFS(tblLaborEntries[Work date serial],tblLaborEntries[Work package ID],tblWorkPackages[[#This Row],[Work package ID]])</f>
        <v>45860.0</v>
      </c>
      <c r="AB1827" s="65">
        <f>IF(tblWorkPackages[[#This Row],[Completion date serial]]&gt;tblWorkPackages[[#This Row],[Due date serial]],1,0)</f>
        <v>0</v>
      </c>
      <c r="AC1827" s="65">
        <f>MAX(0,tblWorkPackages[[#This Row],[Completion date serial]]-tblWorkPackages[[#This Row],[Due date serial]])</f>
        <v>0</v>
      </c>
      <c r="AD1827" s="65">
        <f>tblWorkPackages[[#This Row],[First labor date]]-tblWorkPackages[[#This Row],[Request date serial]]</f>
        <v>6</v>
      </c>
      <c r="AE1827" s="65">
        <f>tblWorkPackages[[#This Row],[Last labor date]]-tblWorkPackages[[#This Row],[First labor date]]</f>
        <v>2</v>
      </c>
      <c r="AF1827" s="65">
        <f>tblWorkPackages[[#This Row],[Completion date serial]]-tblWorkPackages[[#This Row],[Last labor date]]</f>
        <v>1</v>
      </c>
      <c r="AG1827" s="65">
        <f>tblWorkPackages[[#This Row],[Completion date serial]]-tblWorkPackages[[#This Row],[Request date serial]]</f>
        <v>9</v>
      </c>
      <c r="AH1827" s="65">
        <f>IFERROR(INDEX(tblParts[Delay days],MATCH(tblWorkPackages[[#This Row],[Work package ID]],tblParts[Work package ID],0)),0)</f>
        <v>0</v>
      </c>
      <c r="AI1827" s="51" t="str">
        <f>IFERROR(INDEX(tblDisruptions[Event type],MATCH(tblWorkPackages[[#This Row],[Work package ID]],tblDisruptions[Work package ID],0)),"None")</f>
        <v>None</v>
      </c>
      <c r="AJ1827" s="51" t="str">
        <f>TEXT(tblWorkPackages[[#This Row],[Due date serial]],"yyyy-mm")</f>
        <v>2025-07</v>
      </c>
    </row>
    <row r="1828" spans="1:36" ht="15" x14ac:dyDescent="0.25">
      <c r="A1828" s="53" t="s">
        <v>2738</v>
      </c>
      <c r="B1828" s="53" t="s">
        <v>203</v>
      </c>
      <c r="C1828" s="53" t="s">
        <v>1152</v>
      </c>
      <c r="D1828" s="53" t="s">
        <v>527</v>
      </c>
      <c r="E1828" s="53" t="s">
        <v>144</v>
      </c>
      <c r="F1828" s="53" t="s">
        <v>145</v>
      </c>
      <c r="G1828" s="53" t="s">
        <v>146</v>
      </c>
      <c r="H1828" s="53">
        <v>1</v>
      </c>
      <c r="I1828" s="53" t="s">
        <v>130</v>
      </c>
      <c r="J1828" s="53">
        <v>0</v>
      </c>
      <c r="K1828" s="53">
        <v>1</v>
      </c>
      <c r="L1828" s="53">
        <v>6</v>
      </c>
      <c r="M1828" s="53" t="s">
        <v>1078</v>
      </c>
      <c r="N1828" s="53">
        <v>4.7</v>
      </c>
      <c r="O1828" s="51" t="str">
        <f>TEXT(tblWorkPackages[[#This Row],[Request date serial]]-WEEKDAY(tblWorkPackages[[#This Row],[Request date serial]],3),"yyyy-mm-dd")</f>
        <v>2025-08-18</v>
      </c>
      <c r="P1828" s="51">
        <f>ABS(tblWorkPackages[[#This Row],[Actual labor hours]]-tblWorkPackages[[#This Row],[Estimated labor hours]])</f>
        <v>1.3</v>
      </c>
      <c r="Q1828" s="51">
        <f>IF(tblWorkPackages[[#This Row],[Actual labor hours]]&gt;tblWorkPackages[[#This Row],[Estimated labor hours]],1,0)</f>
        <v>0</v>
      </c>
      <c r="R1828" s="51">
        <f>tblWorkPackages[[#This Row],[Actual labor hours]]-tblWorkPackages[[#This Row],[Estimated labor hours]]</f>
        <v>-1.3</v>
      </c>
      <c r="S1828" s="51" t="str">
        <f>IF(tblWorkPackages[[#This Row],[Request date serial]]&lt;ValidationStart,"Train 2024",IF(tblWorkPackages[[#This Row],[Request date serial]]&lt;HoldoutStart,"Validation H1","Holdout H2"))</f>
        <v>Holdout H2</v>
      </c>
      <c r="T1828" s="51">
        <f>IF(tblWorkPackages[[#This Row],[Time split]]="Train 2024","",tblWorkPackages[[#This Row],[Estimated labor hours]]+VLOOKUP(tblWorkPackages[[#This Row],[Task type]],'Forecast validation'!$A$14:$E$25,IF(tblWorkPackages[[#This Row],[Time split]]="Validation H1",4,5),FALSE()))</f>
        <v>6.97354838709677</v>
      </c>
      <c r="U1828" s="51">
        <f>IF(tblWorkPackages[[#This Row],[Calibrated forecast hours]]="","",ABS(tblWorkPackages[[#This Row],[Actual labor hours]]-tblWorkPackages[[#This Row],[Calibrated forecast hours]]))</f>
        <v>2.27354838709677</v>
      </c>
      <c r="V1828" s="51">
        <f>IF(tblWorkPackages[[#This Row],[Time split]]="Train 2024",tblWorkPackages[[#This Row],[Estimated labor hours]],tblWorkPackages[[#This Row],[Calibrated forecast hours]])</f>
        <v>6.97354838709677</v>
      </c>
      <c r="W1828" s="64">
        <f>DATEVALUE(tblWorkPackages[[#This Row],[Request date]])</f>
        <v>45893.0</v>
      </c>
      <c r="X1828" s="64">
        <f>DATEVALUE(tblWorkPackages[[#This Row],[Due date]])</f>
        <v>45906.0</v>
      </c>
      <c r="Y1828" s="64">
        <f>DATEVALUE(tblWorkPackages[[#This Row],[Completion date]])</f>
        <v>45898.0</v>
      </c>
      <c r="Z1828" s="64">
        <f>_xlfn.MINIFS(tblLaborEntries[Work date serial],tblLaborEntries[Work package ID],tblWorkPackages[[#This Row],[Work package ID]])</f>
        <v>45895.0</v>
      </c>
      <c r="AA1828" s="64">
        <f>_xlfn.MAXIFS(tblLaborEntries[Work date serial],tblLaborEntries[Work package ID],tblWorkPackages[[#This Row],[Work package ID]])</f>
        <v>45896.0</v>
      </c>
      <c r="AB1828" s="65">
        <f>IF(tblWorkPackages[[#This Row],[Completion date serial]]&gt;tblWorkPackages[[#This Row],[Due date serial]],1,0)</f>
        <v>0</v>
      </c>
      <c r="AC1828" s="65">
        <f>MAX(0,tblWorkPackages[[#This Row],[Completion date serial]]-tblWorkPackages[[#This Row],[Due date serial]])</f>
        <v>0</v>
      </c>
      <c r="AD1828" s="65">
        <f>tblWorkPackages[[#This Row],[First labor date]]-tblWorkPackages[[#This Row],[Request date serial]]</f>
        <v>2</v>
      </c>
      <c r="AE1828" s="65">
        <f>tblWorkPackages[[#This Row],[Last labor date]]-tblWorkPackages[[#This Row],[First labor date]]</f>
        <v>1</v>
      </c>
      <c r="AF1828" s="65">
        <f>tblWorkPackages[[#This Row],[Completion date serial]]-tblWorkPackages[[#This Row],[Last labor date]]</f>
        <v>2</v>
      </c>
      <c r="AG1828" s="65">
        <f>tblWorkPackages[[#This Row],[Completion date serial]]-tblWorkPackages[[#This Row],[Request date serial]]</f>
        <v>5</v>
      </c>
      <c r="AH1828" s="65">
        <f>IFERROR(INDEX(tblParts[Delay days],MATCH(tblWorkPackages[[#This Row],[Work package ID]],tblParts[Work package ID],0)),0)</f>
        <v>0</v>
      </c>
      <c r="AI1828" s="51" t="str">
        <f>IFERROR(INDEX(tblDisruptions[Event type],MATCH(tblWorkPackages[[#This Row],[Work package ID]],tblDisruptions[Work package ID],0)),"None")</f>
        <v>None</v>
      </c>
      <c r="AJ1828" s="51" t="str">
        <f>TEXT(tblWorkPackages[[#This Row],[Due date serial]],"yyyy-mm")</f>
        <v>2025-09</v>
      </c>
    </row>
    <row r="1829" spans="1:36" ht="15" x14ac:dyDescent="0.25">
      <c r="A1829" s="53" t="s">
        <v>2739</v>
      </c>
      <c r="B1829" s="53" t="s">
        <v>124</v>
      </c>
      <c r="C1829" s="53" t="s">
        <v>942</v>
      </c>
      <c r="D1829" s="53" t="s">
        <v>978</v>
      </c>
      <c r="E1829" s="53" t="s">
        <v>136</v>
      </c>
      <c r="F1829" s="53" t="s">
        <v>137</v>
      </c>
      <c r="G1829" s="53" t="s">
        <v>138</v>
      </c>
      <c r="H1829" s="53">
        <v>1</v>
      </c>
      <c r="I1829" s="53" t="s">
        <v>130</v>
      </c>
      <c r="J1829" s="53">
        <v>0</v>
      </c>
      <c r="K1829" s="53">
        <v>0</v>
      </c>
      <c r="L1829" s="53">
        <v>8.5</v>
      </c>
      <c r="M1829" s="53" t="s">
        <v>832</v>
      </c>
      <c r="N1829" s="53">
        <v>10</v>
      </c>
      <c r="O1829" s="51" t="str">
        <f>TEXT(tblWorkPackages[[#This Row],[Request date serial]]-WEEKDAY(tblWorkPackages[[#This Row],[Request date serial]],3),"yyyy-mm-dd")</f>
        <v>2025-10-13</v>
      </c>
      <c r="P1829" s="51">
        <f>ABS(tblWorkPackages[[#This Row],[Actual labor hours]]-tblWorkPackages[[#This Row],[Estimated labor hours]])</f>
        <v>1.5</v>
      </c>
      <c r="Q1829" s="51">
        <f>IF(tblWorkPackages[[#This Row],[Actual labor hours]]&gt;tblWorkPackages[[#This Row],[Estimated labor hours]],1,0)</f>
        <v>1</v>
      </c>
      <c r="R1829" s="51">
        <f>tblWorkPackages[[#This Row],[Actual labor hours]]-tblWorkPackages[[#This Row],[Estimated labor hours]]</f>
        <v>1.5</v>
      </c>
      <c r="S1829" s="51" t="str">
        <f>IF(tblWorkPackages[[#This Row],[Request date serial]]&lt;ValidationStart,"Train 2024",IF(tblWorkPackages[[#This Row],[Request date serial]]&lt;HoldoutStart,"Validation H1","Holdout H2"))</f>
        <v>Holdout H2</v>
      </c>
      <c r="T1829" s="51">
        <f>IF(tblWorkPackages[[#This Row],[Time split]]="Train 2024","",tblWorkPackages[[#This Row],[Estimated labor hours]]+VLOOKUP(tblWorkPackages[[#This Row],[Task type]],'Forecast validation'!$A$14:$E$25,IF(tblWorkPackages[[#This Row],[Time split]]="Validation H1",4,5),FALSE()))</f>
        <v>9.42075471698113</v>
      </c>
      <c r="U1829" s="51">
        <f>IF(tblWorkPackages[[#This Row],[Calibrated forecast hours]]="","",ABS(tblWorkPackages[[#This Row],[Actual labor hours]]-tblWorkPackages[[#This Row],[Calibrated forecast hours]]))</f>
        <v>0.579245283018869</v>
      </c>
      <c r="V1829" s="51">
        <f>IF(tblWorkPackages[[#This Row],[Time split]]="Train 2024",tblWorkPackages[[#This Row],[Estimated labor hours]],tblWorkPackages[[#This Row],[Calibrated forecast hours]])</f>
        <v>9.42075471698113</v>
      </c>
      <c r="W1829" s="64">
        <f>DATEVALUE(tblWorkPackages[[#This Row],[Request date]])</f>
        <v>45946.0</v>
      </c>
      <c r="X1829" s="64">
        <f>DATEVALUE(tblWorkPackages[[#This Row],[Due date]])</f>
        <v>45959.0</v>
      </c>
      <c r="Y1829" s="64">
        <f>DATEVALUE(tblWorkPackages[[#This Row],[Completion date]])</f>
        <v>45963.0</v>
      </c>
      <c r="Z1829" s="64">
        <f>_xlfn.MINIFS(tblLaborEntries[Work date serial],tblLaborEntries[Work package ID],tblWorkPackages[[#This Row],[Work package ID]])</f>
        <v>45960.0</v>
      </c>
      <c r="AA1829" s="64">
        <f>_xlfn.MAXIFS(tblLaborEntries[Work date serial],tblLaborEntries[Work package ID],tblWorkPackages[[#This Row],[Work package ID]])</f>
        <v>45960.0</v>
      </c>
      <c r="AB1829" s="65">
        <f>IF(tblWorkPackages[[#This Row],[Completion date serial]]&gt;tblWorkPackages[[#This Row],[Due date serial]],1,0)</f>
        <v>1</v>
      </c>
      <c r="AC1829" s="65">
        <f>MAX(0,tblWorkPackages[[#This Row],[Completion date serial]]-tblWorkPackages[[#This Row],[Due date serial]])</f>
        <v>4</v>
      </c>
      <c r="AD1829" s="65">
        <f>tblWorkPackages[[#This Row],[First labor date]]-tblWorkPackages[[#This Row],[Request date serial]]</f>
        <v>14</v>
      </c>
      <c r="AE1829" s="65">
        <f>tblWorkPackages[[#This Row],[Last labor date]]-tblWorkPackages[[#This Row],[First labor date]]</f>
        <v>0</v>
      </c>
      <c r="AF1829" s="65">
        <f>tblWorkPackages[[#This Row],[Completion date serial]]-tblWorkPackages[[#This Row],[Last labor date]]</f>
        <v>3</v>
      </c>
      <c r="AG1829" s="65">
        <f>tblWorkPackages[[#This Row],[Completion date serial]]-tblWorkPackages[[#This Row],[Request date serial]]</f>
        <v>17</v>
      </c>
      <c r="AH1829" s="65">
        <f>IFERROR(INDEX(tblParts[Delay days],MATCH(tblWorkPackages[[#This Row],[Work package ID]],tblParts[Work package ID],0)),0)</f>
        <v>0</v>
      </c>
      <c r="AI1829" s="51" t="str">
        <f>IFERROR(INDEX(tblDisruptions[Event type],MATCH(tblWorkPackages[[#This Row],[Work package ID]],tblDisruptions[Work package ID],0)),"None")</f>
        <v>None</v>
      </c>
      <c r="AJ1829" s="51" t="str">
        <f>TEXT(tblWorkPackages[[#This Row],[Due date serial]],"yyyy-mm")</f>
        <v>2025-10</v>
      </c>
    </row>
    <row r="1830" spans="1:36" ht="15" x14ac:dyDescent="0.25">
      <c r="A1830" s="53" t="s">
        <v>2740</v>
      </c>
      <c r="B1830" s="53" t="s">
        <v>185</v>
      </c>
      <c r="C1830" s="53" t="s">
        <v>265</v>
      </c>
      <c r="D1830" s="53" t="s">
        <v>799</v>
      </c>
      <c r="E1830" s="53" t="s">
        <v>144</v>
      </c>
      <c r="F1830" s="53" t="s">
        <v>145</v>
      </c>
      <c r="G1830" s="53" t="s">
        <v>146</v>
      </c>
      <c r="H1830" s="53">
        <v>4</v>
      </c>
      <c r="I1830" s="53" t="s">
        <v>130</v>
      </c>
      <c r="J1830" s="53">
        <v>0</v>
      </c>
      <c r="K1830" s="53">
        <v>0</v>
      </c>
      <c r="L1830" s="53">
        <v>18.2</v>
      </c>
      <c r="M1830" s="53" t="s">
        <v>787</v>
      </c>
      <c r="N1830" s="53">
        <v>17</v>
      </c>
      <c r="O1830" s="51" t="str">
        <f>TEXT(tblWorkPackages[[#This Row],[Request date serial]]-WEEKDAY(tblWorkPackages[[#This Row],[Request date serial]],3),"yyyy-mm-dd")</f>
        <v>2024-08-26</v>
      </c>
      <c r="P1830" s="51">
        <f>ABS(tblWorkPackages[[#This Row],[Actual labor hours]]-tblWorkPackages[[#This Row],[Estimated labor hours]])</f>
        <v>1.2</v>
      </c>
      <c r="Q1830" s="51">
        <f>IF(tblWorkPackages[[#This Row],[Actual labor hours]]&gt;tblWorkPackages[[#This Row],[Estimated labor hours]],1,0)</f>
        <v>0</v>
      </c>
      <c r="R1830" s="51">
        <f>tblWorkPackages[[#This Row],[Actual labor hours]]-tblWorkPackages[[#This Row],[Estimated labor hours]]</f>
        <v>-1.2</v>
      </c>
      <c r="S1830" s="51" t="str">
        <f>IF(tblWorkPackages[[#This Row],[Request date serial]]&lt;ValidationStart,"Train 2024",IF(tblWorkPackages[[#This Row],[Request date serial]]&lt;HoldoutStart,"Validation H1","Holdout H2"))</f>
        <v>Train 2024</v>
      </c>
      <c r="T1830" s="51" t="str">
        <f>IF(tblWorkPackages[[#This Row],[Time split]]="Train 2024","",tblWorkPackages[[#This Row],[Estimated labor hours]]+VLOOKUP(tblWorkPackages[[#This Row],[Task type]],'Forecast validation'!$A$14:$E$25,IF(tblWorkPackages[[#This Row],[Time split]]="Validation H1",4,5),FALSE()))</f>
        <v/>
      </c>
      <c r="U1830" s="51" t="str">
        <f>IF(tblWorkPackages[[#This Row],[Calibrated forecast hours]]="","",ABS(tblWorkPackages[[#This Row],[Actual labor hours]]-tblWorkPackages[[#This Row],[Calibrated forecast hours]]))</f>
        <v/>
      </c>
      <c r="V1830" s="51">
        <f>IF(tblWorkPackages[[#This Row],[Time split]]="Train 2024",tblWorkPackages[[#This Row],[Estimated labor hours]],tblWorkPackages[[#This Row],[Calibrated forecast hours]])</f>
        <v>18.2</v>
      </c>
      <c r="W1830" s="64">
        <f>DATEVALUE(tblWorkPackages[[#This Row],[Request date]])</f>
        <v>45536.0</v>
      </c>
      <c r="X1830" s="64">
        <f>DATEVALUE(tblWorkPackages[[#This Row],[Due date]])</f>
        <v>45549.0</v>
      </c>
      <c r="Y1830" s="64">
        <f>DATEVALUE(tblWorkPackages[[#This Row],[Completion date]])</f>
        <v>45541.0</v>
      </c>
      <c r="Z1830" s="64">
        <f>_xlfn.MINIFS(tblLaborEntries[Work date serial],tblLaborEntries[Work package ID],tblWorkPackages[[#This Row],[Work package ID]])</f>
        <v>45540.0</v>
      </c>
      <c r="AA1830" s="64">
        <f>_xlfn.MAXIFS(tblLaborEntries[Work date serial],tblLaborEntries[Work package ID],tblWorkPackages[[#This Row],[Work package ID]])</f>
        <v>45541.0</v>
      </c>
      <c r="AB1830" s="65">
        <f>IF(tblWorkPackages[[#This Row],[Completion date serial]]&gt;tblWorkPackages[[#This Row],[Due date serial]],1,0)</f>
        <v>0</v>
      </c>
      <c r="AC1830" s="65">
        <f>MAX(0,tblWorkPackages[[#This Row],[Completion date serial]]-tblWorkPackages[[#This Row],[Due date serial]])</f>
        <v>0</v>
      </c>
      <c r="AD1830" s="65">
        <f>tblWorkPackages[[#This Row],[First labor date]]-tblWorkPackages[[#This Row],[Request date serial]]</f>
        <v>4</v>
      </c>
      <c r="AE1830" s="65">
        <f>tblWorkPackages[[#This Row],[Last labor date]]-tblWorkPackages[[#This Row],[First labor date]]</f>
        <v>1</v>
      </c>
      <c r="AF1830" s="65">
        <f>tblWorkPackages[[#This Row],[Completion date serial]]-tblWorkPackages[[#This Row],[Last labor date]]</f>
        <v>0</v>
      </c>
      <c r="AG1830" s="65">
        <f>tblWorkPackages[[#This Row],[Completion date serial]]-tblWorkPackages[[#This Row],[Request date serial]]</f>
        <v>5</v>
      </c>
      <c r="AH1830" s="65">
        <f>IFERROR(INDEX(tblParts[Delay days],MATCH(tblWorkPackages[[#This Row],[Work package ID]],tblParts[Work package ID],0)),0)</f>
        <v>0</v>
      </c>
      <c r="AI1830" s="51" t="str">
        <f>IFERROR(INDEX(tblDisruptions[Event type],MATCH(tblWorkPackages[[#This Row],[Work package ID]],tblDisruptions[Work package ID],0)),"None")</f>
        <v>None</v>
      </c>
      <c r="AJ1830" s="51" t="str">
        <f>TEXT(tblWorkPackages[[#This Row],[Due date serial]],"yyyy-mm")</f>
        <v>2024-09</v>
      </c>
    </row>
    <row r="1831" spans="1:36" ht="15" x14ac:dyDescent="0.25">
      <c r="A1831" s="53" t="s">
        <v>2741</v>
      </c>
      <c r="B1831" s="53" t="s">
        <v>185</v>
      </c>
      <c r="C1831" s="53" t="s">
        <v>281</v>
      </c>
      <c r="D1831" s="53" t="s">
        <v>696</v>
      </c>
      <c r="E1831" s="53" t="s">
        <v>272</v>
      </c>
      <c r="F1831" s="53" t="s">
        <v>145</v>
      </c>
      <c r="G1831" s="53" t="s">
        <v>273</v>
      </c>
      <c r="H1831" s="53">
        <v>4</v>
      </c>
      <c r="I1831" s="53" t="s">
        <v>176</v>
      </c>
      <c r="J1831" s="53">
        <v>0</v>
      </c>
      <c r="K1831" s="53">
        <v>0</v>
      </c>
      <c r="L1831" s="53">
        <v>22.2</v>
      </c>
      <c r="M1831" s="53" t="s">
        <v>260</v>
      </c>
      <c r="N1831" s="53">
        <v>23.3</v>
      </c>
      <c r="O1831" s="51" t="str">
        <f>TEXT(tblWorkPackages[[#This Row],[Request date serial]]-WEEKDAY(tblWorkPackages[[#This Row],[Request date serial]],3),"yyyy-mm-dd")</f>
        <v>2025-01-27</v>
      </c>
      <c r="P1831" s="51">
        <f>ABS(tblWorkPackages[[#This Row],[Actual labor hours]]-tblWorkPackages[[#This Row],[Estimated labor hours]])</f>
        <v>1.1</v>
      </c>
      <c r="Q1831" s="51">
        <f>IF(tblWorkPackages[[#This Row],[Actual labor hours]]&gt;tblWorkPackages[[#This Row],[Estimated labor hours]],1,0)</f>
        <v>1</v>
      </c>
      <c r="R1831" s="51">
        <f>tblWorkPackages[[#This Row],[Actual labor hours]]-tblWorkPackages[[#This Row],[Estimated labor hours]]</f>
        <v>1.1</v>
      </c>
      <c r="S1831" s="51" t="str">
        <f>IF(tblWorkPackages[[#This Row],[Request date serial]]&lt;ValidationStart,"Train 2024",IF(tblWorkPackages[[#This Row],[Request date serial]]&lt;HoldoutStart,"Validation H1","Holdout H2"))</f>
        <v>Validation H1</v>
      </c>
      <c r="T1831" s="51">
        <f>IF(tblWorkPackages[[#This Row],[Time split]]="Train 2024","",tblWorkPackages[[#This Row],[Estimated labor hours]]+VLOOKUP(tblWorkPackages[[#This Row],[Task type]],'Forecast validation'!$A$14:$E$25,IF(tblWorkPackages[[#This Row],[Time split]]="Validation H1",4,5),FALSE()))</f>
        <v>23.2320512820513</v>
      </c>
      <c r="U1831" s="51">
        <f>IF(tblWorkPackages[[#This Row],[Calibrated forecast hours]]="","",ABS(tblWorkPackages[[#This Row],[Actual labor hours]]-tblWorkPackages[[#This Row],[Calibrated forecast hours]]))</f>
        <v>0.0679487179487204</v>
      </c>
      <c r="V1831" s="51">
        <f>IF(tblWorkPackages[[#This Row],[Time split]]="Train 2024",tblWorkPackages[[#This Row],[Estimated labor hours]],tblWorkPackages[[#This Row],[Calibrated forecast hours]])</f>
        <v>23.2320512820513</v>
      </c>
      <c r="W1831" s="64">
        <f>DATEVALUE(tblWorkPackages[[#This Row],[Request date]])</f>
        <v>45684.0</v>
      </c>
      <c r="X1831" s="64">
        <f>DATEVALUE(tblWorkPackages[[#This Row],[Due date]])</f>
        <v>45690.0</v>
      </c>
      <c r="Y1831" s="64">
        <f>DATEVALUE(tblWorkPackages[[#This Row],[Completion date]])</f>
        <v>45686.0</v>
      </c>
      <c r="Z1831" s="64">
        <f>_xlfn.MINIFS(tblLaborEntries[Work date serial],tblLaborEntries[Work package ID],tblWorkPackages[[#This Row],[Work package ID]])</f>
        <v>45685.0</v>
      </c>
      <c r="AA1831" s="64">
        <f>_xlfn.MAXIFS(tblLaborEntries[Work date serial],tblLaborEntries[Work package ID],tblWorkPackages[[#This Row],[Work package ID]])</f>
        <v>45685.0</v>
      </c>
      <c r="AB1831" s="65">
        <f>IF(tblWorkPackages[[#This Row],[Completion date serial]]&gt;tblWorkPackages[[#This Row],[Due date serial]],1,0)</f>
        <v>0</v>
      </c>
      <c r="AC1831" s="65">
        <f>MAX(0,tblWorkPackages[[#This Row],[Completion date serial]]-tblWorkPackages[[#This Row],[Due date serial]])</f>
        <v>0</v>
      </c>
      <c r="AD1831" s="65">
        <f>tblWorkPackages[[#This Row],[First labor date]]-tblWorkPackages[[#This Row],[Request date serial]]</f>
        <v>1</v>
      </c>
      <c r="AE1831" s="65">
        <f>tblWorkPackages[[#This Row],[Last labor date]]-tblWorkPackages[[#This Row],[First labor date]]</f>
        <v>0</v>
      </c>
      <c r="AF1831" s="65">
        <f>tblWorkPackages[[#This Row],[Completion date serial]]-tblWorkPackages[[#This Row],[Last labor date]]</f>
        <v>1</v>
      </c>
      <c r="AG1831" s="65">
        <f>tblWorkPackages[[#This Row],[Completion date serial]]-tblWorkPackages[[#This Row],[Request date serial]]</f>
        <v>2</v>
      </c>
      <c r="AH1831" s="65">
        <f>IFERROR(INDEX(tblParts[Delay days],MATCH(tblWorkPackages[[#This Row],[Work package ID]],tblParts[Work package ID],0)),0)</f>
        <v>0</v>
      </c>
      <c r="AI1831" s="51" t="str">
        <f>IFERROR(INDEX(tblDisruptions[Event type],MATCH(tblWorkPackages[[#This Row],[Work package ID]],tblDisruptions[Work package ID],0)),"None")</f>
        <v>None</v>
      </c>
      <c r="AJ1831" s="51" t="str">
        <f>TEXT(tblWorkPackages[[#This Row],[Due date serial]],"yyyy-mm")</f>
        <v>2025-02</v>
      </c>
    </row>
    <row r="1832" spans="1:36" ht="15" x14ac:dyDescent="0.25">
      <c r="A1832" s="53" t="s">
        <v>2742</v>
      </c>
      <c r="B1832" s="53" t="s">
        <v>163</v>
      </c>
      <c r="C1832" s="53" t="s">
        <v>942</v>
      </c>
      <c r="D1832" s="53" t="s">
        <v>978</v>
      </c>
      <c r="E1832" s="53" t="s">
        <v>144</v>
      </c>
      <c r="F1832" s="53" t="s">
        <v>145</v>
      </c>
      <c r="G1832" s="53" t="s">
        <v>146</v>
      </c>
      <c r="H1832" s="53">
        <v>3</v>
      </c>
      <c r="I1832" s="53" t="s">
        <v>130</v>
      </c>
      <c r="J1832" s="53">
        <v>0</v>
      </c>
      <c r="K1832" s="53">
        <v>0</v>
      </c>
      <c r="L1832" s="53">
        <v>12</v>
      </c>
      <c r="M1832" s="53" t="s">
        <v>2029</v>
      </c>
      <c r="N1832" s="53">
        <v>16.5</v>
      </c>
      <c r="O1832" s="51" t="str">
        <f>TEXT(tblWorkPackages[[#This Row],[Request date serial]]-WEEKDAY(tblWorkPackages[[#This Row],[Request date serial]],3),"yyyy-mm-dd")</f>
        <v>2025-10-13</v>
      </c>
      <c r="P1832" s="51">
        <f>ABS(tblWorkPackages[[#This Row],[Actual labor hours]]-tblWorkPackages[[#This Row],[Estimated labor hours]])</f>
        <v>4.5</v>
      </c>
      <c r="Q1832" s="51">
        <f>IF(tblWorkPackages[[#This Row],[Actual labor hours]]&gt;tblWorkPackages[[#This Row],[Estimated labor hours]],1,0)</f>
        <v>1</v>
      </c>
      <c r="R1832" s="51">
        <f>tblWorkPackages[[#This Row],[Actual labor hours]]-tblWorkPackages[[#This Row],[Estimated labor hours]]</f>
        <v>4.5</v>
      </c>
      <c r="S1832" s="51" t="str">
        <f>IF(tblWorkPackages[[#This Row],[Request date serial]]&lt;ValidationStart,"Train 2024",IF(tblWorkPackages[[#This Row],[Request date serial]]&lt;HoldoutStart,"Validation H1","Holdout H2"))</f>
        <v>Holdout H2</v>
      </c>
      <c r="T1832" s="51">
        <f>IF(tblWorkPackages[[#This Row],[Time split]]="Train 2024","",tblWorkPackages[[#This Row],[Estimated labor hours]]+VLOOKUP(tblWorkPackages[[#This Row],[Task type]],'Forecast validation'!$A$14:$E$25,IF(tblWorkPackages[[#This Row],[Time split]]="Validation H1",4,5),FALSE()))</f>
        <v>12.9735483870968</v>
      </c>
      <c r="U1832" s="51">
        <f>IF(tblWorkPackages[[#This Row],[Calibrated forecast hours]]="","",ABS(tblWorkPackages[[#This Row],[Actual labor hours]]-tblWorkPackages[[#This Row],[Calibrated forecast hours]]))</f>
        <v>3.52645161290323</v>
      </c>
      <c r="V1832" s="51">
        <f>IF(tblWorkPackages[[#This Row],[Time split]]="Train 2024",tblWorkPackages[[#This Row],[Estimated labor hours]],tblWorkPackages[[#This Row],[Calibrated forecast hours]])</f>
        <v>12.9735483870968</v>
      </c>
      <c r="W1832" s="64">
        <f>DATEVALUE(tblWorkPackages[[#This Row],[Request date]])</f>
        <v>45946.0</v>
      </c>
      <c r="X1832" s="64">
        <f>DATEVALUE(tblWorkPackages[[#This Row],[Due date]])</f>
        <v>45959.0</v>
      </c>
      <c r="Y1832" s="64">
        <f>DATEVALUE(tblWorkPackages[[#This Row],[Completion date]])</f>
        <v>45958.0</v>
      </c>
      <c r="Z1832" s="64">
        <f>_xlfn.MINIFS(tblLaborEntries[Work date serial],tblLaborEntries[Work package ID],tblWorkPackages[[#This Row],[Work package ID]])</f>
        <v>45955.0</v>
      </c>
      <c r="AA1832" s="64">
        <f>_xlfn.MAXIFS(tblLaborEntries[Work date serial],tblLaborEntries[Work package ID],tblWorkPackages[[#This Row],[Work package ID]])</f>
        <v>45956.0</v>
      </c>
      <c r="AB1832" s="65">
        <f>IF(tblWorkPackages[[#This Row],[Completion date serial]]&gt;tblWorkPackages[[#This Row],[Due date serial]],1,0)</f>
        <v>0</v>
      </c>
      <c r="AC1832" s="65">
        <f>MAX(0,tblWorkPackages[[#This Row],[Completion date serial]]-tblWorkPackages[[#This Row],[Due date serial]])</f>
        <v>0</v>
      </c>
      <c r="AD1832" s="65">
        <f>tblWorkPackages[[#This Row],[First labor date]]-tblWorkPackages[[#This Row],[Request date serial]]</f>
        <v>9</v>
      </c>
      <c r="AE1832" s="65">
        <f>tblWorkPackages[[#This Row],[Last labor date]]-tblWorkPackages[[#This Row],[First labor date]]</f>
        <v>1</v>
      </c>
      <c r="AF1832" s="65">
        <f>tblWorkPackages[[#This Row],[Completion date serial]]-tblWorkPackages[[#This Row],[Last labor date]]</f>
        <v>2</v>
      </c>
      <c r="AG1832" s="65">
        <f>tblWorkPackages[[#This Row],[Completion date serial]]-tblWorkPackages[[#This Row],[Request date serial]]</f>
        <v>12</v>
      </c>
      <c r="AH1832" s="65">
        <f>IFERROR(INDEX(tblParts[Delay days],MATCH(tblWorkPackages[[#This Row],[Work package ID]],tblParts[Work package ID],0)),0)</f>
        <v>0</v>
      </c>
      <c r="AI1832" s="51" t="str">
        <f>IFERROR(INDEX(tblDisruptions[Event type],MATCH(tblWorkPackages[[#This Row],[Work package ID]],tblDisruptions[Work package ID],0)),"None")</f>
        <v>Technician absence</v>
      </c>
      <c r="AJ1832" s="51" t="str">
        <f>TEXT(tblWorkPackages[[#This Row],[Due date serial]],"yyyy-mm")</f>
        <v>2025-10</v>
      </c>
    </row>
    <row r="1833" spans="1:36" ht="15" x14ac:dyDescent="0.25">
      <c r="A1833" s="53" t="s">
        <v>2743</v>
      </c>
      <c r="B1833" s="53" t="s">
        <v>168</v>
      </c>
      <c r="C1833" s="53" t="s">
        <v>1108</v>
      </c>
      <c r="D1833" s="53" t="s">
        <v>2744</v>
      </c>
      <c r="E1833" s="53" t="s">
        <v>209</v>
      </c>
      <c r="F1833" s="53" t="s">
        <v>145</v>
      </c>
      <c r="G1833" s="53" t="s">
        <v>210</v>
      </c>
      <c r="H1833" s="53">
        <v>4</v>
      </c>
      <c r="I1833" s="53" t="s">
        <v>130</v>
      </c>
      <c r="J1833" s="53">
        <v>0</v>
      </c>
      <c r="K1833" s="53">
        <v>1</v>
      </c>
      <c r="L1833" s="53">
        <v>43.5</v>
      </c>
      <c r="M1833" s="53" t="s">
        <v>1728</v>
      </c>
      <c r="N1833" s="53">
        <v>48.5</v>
      </c>
      <c r="O1833" s="51" t="str">
        <f>TEXT(tblWorkPackages[[#This Row],[Request date serial]]-WEEKDAY(tblWorkPackages[[#This Row],[Request date serial]],3),"yyyy-mm-dd")</f>
        <v>2024-05-20</v>
      </c>
      <c r="P1833" s="51">
        <f>ABS(tblWorkPackages[[#This Row],[Actual labor hours]]-tblWorkPackages[[#This Row],[Estimated labor hours]])</f>
        <v>5</v>
      </c>
      <c r="Q1833" s="51">
        <f>IF(tblWorkPackages[[#This Row],[Actual labor hours]]&gt;tblWorkPackages[[#This Row],[Estimated labor hours]],1,0)</f>
        <v>1</v>
      </c>
      <c r="R1833" s="51">
        <f>tblWorkPackages[[#This Row],[Actual labor hours]]-tblWorkPackages[[#This Row],[Estimated labor hours]]</f>
        <v>5</v>
      </c>
      <c r="S1833" s="51" t="str">
        <f>IF(tblWorkPackages[[#This Row],[Request date serial]]&lt;ValidationStart,"Train 2024",IF(tblWorkPackages[[#This Row],[Request date serial]]&lt;HoldoutStart,"Validation H1","Holdout H2"))</f>
        <v>Train 2024</v>
      </c>
      <c r="T1833" s="51" t="str">
        <f>IF(tblWorkPackages[[#This Row],[Time split]]="Train 2024","",tblWorkPackages[[#This Row],[Estimated labor hours]]+VLOOKUP(tblWorkPackages[[#This Row],[Task type]],'Forecast validation'!$A$14:$E$25,IF(tblWorkPackages[[#This Row],[Time split]]="Validation H1",4,5),FALSE()))</f>
        <v/>
      </c>
      <c r="U1833" s="51" t="str">
        <f>IF(tblWorkPackages[[#This Row],[Calibrated forecast hours]]="","",ABS(tblWorkPackages[[#This Row],[Actual labor hours]]-tblWorkPackages[[#This Row],[Calibrated forecast hours]]))</f>
        <v/>
      </c>
      <c r="V1833" s="51">
        <f>IF(tblWorkPackages[[#This Row],[Time split]]="Train 2024",tblWorkPackages[[#This Row],[Estimated labor hours]],tblWorkPackages[[#This Row],[Calibrated forecast hours]])</f>
        <v>43.5</v>
      </c>
      <c r="W1833" s="64">
        <f>DATEVALUE(tblWorkPackages[[#This Row],[Request date]])</f>
        <v>45437.0</v>
      </c>
      <c r="X1833" s="64">
        <f>DATEVALUE(tblWorkPackages[[#This Row],[Due date]])</f>
        <v>45450.0</v>
      </c>
      <c r="Y1833" s="64">
        <f>DATEVALUE(tblWorkPackages[[#This Row],[Completion date]])</f>
        <v>45443.0</v>
      </c>
      <c r="Z1833" s="64">
        <f>_xlfn.MINIFS(tblLaborEntries[Work date serial],tblLaborEntries[Work package ID],tblWorkPackages[[#This Row],[Work package ID]])</f>
        <v>45439.0</v>
      </c>
      <c r="AA1833" s="64">
        <f>_xlfn.MAXIFS(tblLaborEntries[Work date serial],tblLaborEntries[Work package ID],tblWorkPackages[[#This Row],[Work package ID]])</f>
        <v>45440.0</v>
      </c>
      <c r="AB1833" s="65">
        <f>IF(tblWorkPackages[[#This Row],[Completion date serial]]&gt;tblWorkPackages[[#This Row],[Due date serial]],1,0)</f>
        <v>0</v>
      </c>
      <c r="AC1833" s="65">
        <f>MAX(0,tblWorkPackages[[#This Row],[Completion date serial]]-tblWorkPackages[[#This Row],[Due date serial]])</f>
        <v>0</v>
      </c>
      <c r="AD1833" s="65">
        <f>tblWorkPackages[[#This Row],[First labor date]]-tblWorkPackages[[#This Row],[Request date serial]]</f>
        <v>2</v>
      </c>
      <c r="AE1833" s="65">
        <f>tblWorkPackages[[#This Row],[Last labor date]]-tblWorkPackages[[#This Row],[First labor date]]</f>
        <v>1</v>
      </c>
      <c r="AF1833" s="65">
        <f>tblWorkPackages[[#This Row],[Completion date serial]]-tblWorkPackages[[#This Row],[Last labor date]]</f>
        <v>3</v>
      </c>
      <c r="AG1833" s="65">
        <f>tblWorkPackages[[#This Row],[Completion date serial]]-tblWorkPackages[[#This Row],[Request date serial]]</f>
        <v>6</v>
      </c>
      <c r="AH1833" s="65">
        <f>IFERROR(INDEX(tblParts[Delay days],MATCH(tblWorkPackages[[#This Row],[Work package ID]],tblParts[Work package ID],0)),0)</f>
        <v>0</v>
      </c>
      <c r="AI1833" s="51" t="str">
        <f>IFERROR(INDEX(tblDisruptions[Event type],MATCH(tblWorkPackages[[#This Row],[Work package ID]],tblDisruptions[Work package ID],0)),"None")</f>
        <v>None</v>
      </c>
      <c r="AJ1833" s="51" t="str">
        <f>TEXT(tblWorkPackages[[#This Row],[Due date serial]],"yyyy-mm")</f>
        <v>2024-06</v>
      </c>
    </row>
    <row r="1834" spans="1:36" ht="15" x14ac:dyDescent="0.25">
      <c r="A1834" s="53" t="s">
        <v>2745</v>
      </c>
      <c r="B1834" s="53" t="s">
        <v>124</v>
      </c>
      <c r="C1834" s="53" t="s">
        <v>1044</v>
      </c>
      <c r="D1834" s="53" t="s">
        <v>201</v>
      </c>
      <c r="E1834" s="53" t="s">
        <v>209</v>
      </c>
      <c r="F1834" s="53" t="s">
        <v>145</v>
      </c>
      <c r="G1834" s="53" t="s">
        <v>210</v>
      </c>
      <c r="H1834" s="53">
        <v>3</v>
      </c>
      <c r="I1834" s="53" t="s">
        <v>130</v>
      </c>
      <c r="J1834" s="53">
        <v>0</v>
      </c>
      <c r="K1834" s="53">
        <v>1</v>
      </c>
      <c r="L1834" s="53">
        <v>30.9</v>
      </c>
      <c r="M1834" s="53" t="s">
        <v>430</v>
      </c>
      <c r="N1834" s="53">
        <v>39.4</v>
      </c>
      <c r="O1834" s="51" t="str">
        <f>TEXT(tblWorkPackages[[#This Row],[Request date serial]]-WEEKDAY(tblWorkPackages[[#This Row],[Request date serial]],3),"yyyy-mm-dd")</f>
        <v>2025-06-09</v>
      </c>
      <c r="P1834" s="51">
        <f>ABS(tblWorkPackages[[#This Row],[Actual labor hours]]-tblWorkPackages[[#This Row],[Estimated labor hours]])</f>
        <v>8.5</v>
      </c>
      <c r="Q1834" s="51">
        <f>IF(tblWorkPackages[[#This Row],[Actual labor hours]]&gt;tblWorkPackages[[#This Row],[Estimated labor hours]],1,0)</f>
        <v>1</v>
      </c>
      <c r="R1834" s="51">
        <f>tblWorkPackages[[#This Row],[Actual labor hours]]-tblWorkPackages[[#This Row],[Estimated labor hours]]</f>
        <v>8.5</v>
      </c>
      <c r="S1834" s="51" t="str">
        <f>IF(tblWorkPackages[[#This Row],[Request date serial]]&lt;ValidationStart,"Train 2024",IF(tblWorkPackages[[#This Row],[Request date serial]]&lt;HoldoutStart,"Validation H1","Holdout H2"))</f>
        <v>Validation H1</v>
      </c>
      <c r="T1834" s="51">
        <f>IF(tblWorkPackages[[#This Row],[Time split]]="Train 2024","",tblWorkPackages[[#This Row],[Estimated labor hours]]+VLOOKUP(tblWorkPackages[[#This Row],[Task type]],'Forecast validation'!$A$14:$E$25,IF(tblWorkPackages[[#This Row],[Time split]]="Validation H1",4,5),FALSE()))</f>
        <v>32.0029850746269</v>
      </c>
      <c r="U1834" s="51">
        <f>IF(tblWorkPackages[[#This Row],[Calibrated forecast hours]]="","",ABS(tblWorkPackages[[#This Row],[Actual labor hours]]-tblWorkPackages[[#This Row],[Calibrated forecast hours]]))</f>
        <v>7.39701492537314</v>
      </c>
      <c r="V1834" s="51">
        <f>IF(tblWorkPackages[[#This Row],[Time split]]="Train 2024",tblWorkPackages[[#This Row],[Estimated labor hours]],tblWorkPackages[[#This Row],[Calibrated forecast hours]])</f>
        <v>32.0029850746269</v>
      </c>
      <c r="W1834" s="64">
        <f>DATEVALUE(tblWorkPackages[[#This Row],[Request date]])</f>
        <v>45822.0</v>
      </c>
      <c r="X1834" s="64">
        <f>DATEVALUE(tblWorkPackages[[#This Row],[Due date]])</f>
        <v>45835.0</v>
      </c>
      <c r="Y1834" s="64">
        <f>DATEVALUE(tblWorkPackages[[#This Row],[Completion date]])</f>
        <v>45846.0</v>
      </c>
      <c r="Z1834" s="64">
        <f>_xlfn.MINIFS(tblLaborEntries[Work date serial],tblLaborEntries[Work package ID],tblWorkPackages[[#This Row],[Work package ID]])</f>
        <v>45845.0</v>
      </c>
      <c r="AA1834" s="64">
        <f>_xlfn.MAXIFS(tblLaborEntries[Work date serial],tblLaborEntries[Work package ID],tblWorkPackages[[#This Row],[Work package ID]])</f>
        <v>45846.0</v>
      </c>
      <c r="AB1834" s="65">
        <f>IF(tblWorkPackages[[#This Row],[Completion date serial]]&gt;tblWorkPackages[[#This Row],[Due date serial]],1,0)</f>
        <v>1</v>
      </c>
      <c r="AC1834" s="65">
        <f>MAX(0,tblWorkPackages[[#This Row],[Completion date serial]]-tblWorkPackages[[#This Row],[Due date serial]])</f>
        <v>11</v>
      </c>
      <c r="AD1834" s="65">
        <f>tblWorkPackages[[#This Row],[First labor date]]-tblWorkPackages[[#This Row],[Request date serial]]</f>
        <v>23</v>
      </c>
      <c r="AE1834" s="65">
        <f>tblWorkPackages[[#This Row],[Last labor date]]-tblWorkPackages[[#This Row],[First labor date]]</f>
        <v>1</v>
      </c>
      <c r="AF1834" s="65">
        <f>tblWorkPackages[[#This Row],[Completion date serial]]-tblWorkPackages[[#This Row],[Last labor date]]</f>
        <v>0</v>
      </c>
      <c r="AG1834" s="65">
        <f>tblWorkPackages[[#This Row],[Completion date serial]]-tblWorkPackages[[#This Row],[Request date serial]]</f>
        <v>24</v>
      </c>
      <c r="AH1834" s="65">
        <f>IFERROR(INDEX(tblParts[Delay days],MATCH(tblWorkPackages[[#This Row],[Work package ID]],tblParts[Work package ID],0)),0)</f>
        <v>0</v>
      </c>
      <c r="AI1834" s="51" t="str">
        <f>IFERROR(INDEX(tblDisruptions[Event type],MATCH(tblWorkPackages[[#This Row],[Work package ID]],tblDisruptions[Work package ID],0)),"None")</f>
        <v>Scope change</v>
      </c>
      <c r="AJ1834" s="51" t="str">
        <f>TEXT(tblWorkPackages[[#This Row],[Due date serial]],"yyyy-mm")</f>
        <v>2025-06</v>
      </c>
    </row>
    <row r="1835" spans="1:36" ht="15" x14ac:dyDescent="0.25">
      <c r="A1835" s="53" t="s">
        <v>2746</v>
      </c>
      <c r="B1835" s="53" t="s">
        <v>150</v>
      </c>
      <c r="C1835" s="53" t="s">
        <v>1234</v>
      </c>
      <c r="D1835" s="53" t="s">
        <v>1504</v>
      </c>
      <c r="E1835" s="53" t="s">
        <v>209</v>
      </c>
      <c r="F1835" s="53" t="s">
        <v>145</v>
      </c>
      <c r="G1835" s="53" t="s">
        <v>210</v>
      </c>
      <c r="H1835" s="53">
        <v>3</v>
      </c>
      <c r="I1835" s="53" t="s">
        <v>147</v>
      </c>
      <c r="J1835" s="53">
        <v>0</v>
      </c>
      <c r="K1835" s="53">
        <v>0</v>
      </c>
      <c r="L1835" s="53">
        <v>30.1</v>
      </c>
      <c r="M1835" s="53" t="s">
        <v>842</v>
      </c>
      <c r="N1835" s="53">
        <v>23.6</v>
      </c>
      <c r="O1835" s="51" t="str">
        <f>TEXT(tblWorkPackages[[#This Row],[Request date serial]]-WEEKDAY(tblWorkPackages[[#This Row],[Request date serial]],3),"yyyy-mm-dd")</f>
        <v>2025-07-21</v>
      </c>
      <c r="P1835" s="51">
        <f>ABS(tblWorkPackages[[#This Row],[Actual labor hours]]-tblWorkPackages[[#This Row],[Estimated labor hours]])</f>
        <v>6.5</v>
      </c>
      <c r="Q1835" s="51">
        <f>IF(tblWorkPackages[[#This Row],[Actual labor hours]]&gt;tblWorkPackages[[#This Row],[Estimated labor hours]],1,0)</f>
        <v>0</v>
      </c>
      <c r="R1835" s="51">
        <f>tblWorkPackages[[#This Row],[Actual labor hours]]-tblWorkPackages[[#This Row],[Estimated labor hours]]</f>
        <v>-6.5</v>
      </c>
      <c r="S1835" s="51" t="str">
        <f>IF(tblWorkPackages[[#This Row],[Request date serial]]&lt;ValidationStart,"Train 2024",IF(tblWorkPackages[[#This Row],[Request date serial]]&lt;HoldoutStart,"Validation H1","Holdout H2"))</f>
        <v>Holdout H2</v>
      </c>
      <c r="T1835" s="51">
        <f>IF(tblWorkPackages[[#This Row],[Time split]]="Train 2024","",tblWorkPackages[[#This Row],[Estimated labor hours]]+VLOOKUP(tblWorkPackages[[#This Row],[Task type]],'Forecast validation'!$A$14:$E$25,IF(tblWorkPackages[[#This Row],[Time split]]="Validation H1",4,5),FALSE()))</f>
        <v>31.895652173913</v>
      </c>
      <c r="U1835" s="51">
        <f>IF(tblWorkPackages[[#This Row],[Calibrated forecast hours]]="","",ABS(tblWorkPackages[[#This Row],[Actual labor hours]]-tblWorkPackages[[#This Row],[Calibrated forecast hours]]))</f>
        <v>8.29565217391304</v>
      </c>
      <c r="V1835" s="51">
        <f>IF(tblWorkPackages[[#This Row],[Time split]]="Train 2024",tblWorkPackages[[#This Row],[Estimated labor hours]],tblWorkPackages[[#This Row],[Calibrated forecast hours]])</f>
        <v>31.895652173913</v>
      </c>
      <c r="W1835" s="64">
        <f>DATEVALUE(tblWorkPackages[[#This Row],[Request date]])</f>
        <v>45859.0</v>
      </c>
      <c r="X1835" s="64">
        <f>DATEVALUE(tblWorkPackages[[#This Row],[Due date]])</f>
        <v>45861.0</v>
      </c>
      <c r="Y1835" s="64">
        <f>DATEVALUE(tblWorkPackages[[#This Row],[Completion date]])</f>
        <v>45865.0</v>
      </c>
      <c r="Z1835" s="64">
        <f>_xlfn.MINIFS(tblLaborEntries[Work date serial],tblLaborEntries[Work package ID],tblWorkPackages[[#This Row],[Work package ID]])</f>
        <v>45863.0</v>
      </c>
      <c r="AA1835" s="64">
        <f>_xlfn.MAXIFS(tblLaborEntries[Work date serial],tblLaborEntries[Work package ID],tblWorkPackages[[#This Row],[Work package ID]])</f>
        <v>45864.0</v>
      </c>
      <c r="AB1835" s="65">
        <f>IF(tblWorkPackages[[#This Row],[Completion date serial]]&gt;tblWorkPackages[[#This Row],[Due date serial]],1,0)</f>
        <v>1</v>
      </c>
      <c r="AC1835" s="65">
        <f>MAX(0,tblWorkPackages[[#This Row],[Completion date serial]]-tblWorkPackages[[#This Row],[Due date serial]])</f>
        <v>4</v>
      </c>
      <c r="AD1835" s="65">
        <f>tblWorkPackages[[#This Row],[First labor date]]-tblWorkPackages[[#This Row],[Request date serial]]</f>
        <v>4</v>
      </c>
      <c r="AE1835" s="65">
        <f>tblWorkPackages[[#This Row],[Last labor date]]-tblWorkPackages[[#This Row],[First labor date]]</f>
        <v>1</v>
      </c>
      <c r="AF1835" s="65">
        <f>tblWorkPackages[[#This Row],[Completion date serial]]-tblWorkPackages[[#This Row],[Last labor date]]</f>
        <v>1</v>
      </c>
      <c r="AG1835" s="65">
        <f>tblWorkPackages[[#This Row],[Completion date serial]]-tblWorkPackages[[#This Row],[Request date serial]]</f>
        <v>6</v>
      </c>
      <c r="AH1835" s="65">
        <f>IFERROR(INDEX(tblParts[Delay days],MATCH(tblWorkPackages[[#This Row],[Work package ID]],tblParts[Work package ID],0)),0)</f>
        <v>0</v>
      </c>
      <c r="AI1835" s="51" t="str">
        <f>IFERROR(INDEX(tblDisruptions[Event type],MATCH(tblWorkPackages[[#This Row],[Work package ID]],tblDisruptions[Work package ID],0)),"None")</f>
        <v>None</v>
      </c>
      <c r="AJ1835" s="51" t="str">
        <f>TEXT(tblWorkPackages[[#This Row],[Due date serial]],"yyyy-mm")</f>
        <v>2025-07</v>
      </c>
    </row>
    <row r="1836" spans="1:36" ht="15" x14ac:dyDescent="0.25">
      <c r="A1836" s="53" t="s">
        <v>2747</v>
      </c>
      <c r="B1836" s="53" t="s">
        <v>287</v>
      </c>
      <c r="C1836" s="53" t="s">
        <v>1965</v>
      </c>
      <c r="D1836" s="53" t="s">
        <v>349</v>
      </c>
      <c r="E1836" s="53" t="s">
        <v>223</v>
      </c>
      <c r="F1836" s="53" t="s">
        <v>182</v>
      </c>
      <c r="G1836" s="53" t="s">
        <v>154</v>
      </c>
      <c r="H1836" s="53">
        <v>4</v>
      </c>
      <c r="I1836" s="53" t="s">
        <v>176</v>
      </c>
      <c r="J1836" s="53">
        <v>0</v>
      </c>
      <c r="K1836" s="53">
        <v>0</v>
      </c>
      <c r="L1836" s="53">
        <v>23.3</v>
      </c>
      <c r="M1836" s="53" t="s">
        <v>1314</v>
      </c>
      <c r="N1836" s="53">
        <v>18.399999999999999</v>
      </c>
      <c r="O1836" s="51" t="str">
        <f>TEXT(tblWorkPackages[[#This Row],[Request date serial]]-WEEKDAY(tblWorkPackages[[#This Row],[Request date serial]],3),"yyyy-mm-dd")</f>
        <v>2024-01-08</v>
      </c>
      <c r="P1836" s="51">
        <f>ABS(tblWorkPackages[[#This Row],[Actual labor hours]]-tblWorkPackages[[#This Row],[Estimated labor hours]])</f>
        <v>4.9</v>
      </c>
      <c r="Q1836" s="51">
        <f>IF(tblWorkPackages[[#This Row],[Actual labor hours]]&gt;tblWorkPackages[[#This Row],[Estimated labor hours]],1,0)</f>
        <v>0</v>
      </c>
      <c r="R1836" s="51">
        <f>tblWorkPackages[[#This Row],[Actual labor hours]]-tblWorkPackages[[#This Row],[Estimated labor hours]]</f>
        <v>-4.9</v>
      </c>
      <c r="S1836" s="51" t="str">
        <f>IF(tblWorkPackages[[#This Row],[Request date serial]]&lt;ValidationStart,"Train 2024",IF(tblWorkPackages[[#This Row],[Request date serial]]&lt;HoldoutStart,"Validation H1","Holdout H2"))</f>
        <v>Train 2024</v>
      </c>
      <c r="T1836" s="51" t="str">
        <f>IF(tblWorkPackages[[#This Row],[Time split]]="Train 2024","",tblWorkPackages[[#This Row],[Estimated labor hours]]+VLOOKUP(tblWorkPackages[[#This Row],[Task type]],'Forecast validation'!$A$14:$E$25,IF(tblWorkPackages[[#This Row],[Time split]]="Validation H1",4,5),FALSE()))</f>
        <v/>
      </c>
      <c r="U1836" s="51" t="str">
        <f>IF(tblWorkPackages[[#This Row],[Calibrated forecast hours]]="","",ABS(tblWorkPackages[[#This Row],[Actual labor hours]]-tblWorkPackages[[#This Row],[Calibrated forecast hours]]))</f>
        <v/>
      </c>
      <c r="V1836" s="51">
        <f>IF(tblWorkPackages[[#This Row],[Time split]]="Train 2024",tblWorkPackages[[#This Row],[Estimated labor hours]],tblWorkPackages[[#This Row],[Calibrated forecast hours]])</f>
        <v>23.3</v>
      </c>
      <c r="W1836" s="64">
        <f>DATEVALUE(tblWorkPackages[[#This Row],[Request date]])</f>
        <v>45304.0</v>
      </c>
      <c r="X1836" s="64">
        <f>DATEVALUE(tblWorkPackages[[#This Row],[Due date]])</f>
        <v>45310.0</v>
      </c>
      <c r="Y1836" s="64">
        <f>DATEVALUE(tblWorkPackages[[#This Row],[Completion date]])</f>
        <v>45309.0</v>
      </c>
      <c r="Z1836" s="64">
        <f>_xlfn.MINIFS(tblLaborEntries[Work date serial],tblLaborEntries[Work package ID],tblWorkPackages[[#This Row],[Work package ID]])</f>
        <v>45305.0</v>
      </c>
      <c r="AA1836" s="64">
        <f>_xlfn.MAXIFS(tblLaborEntries[Work date serial],tblLaborEntries[Work package ID],tblWorkPackages[[#This Row],[Work package ID]])</f>
        <v>45307.0</v>
      </c>
      <c r="AB1836" s="65">
        <f>IF(tblWorkPackages[[#This Row],[Completion date serial]]&gt;tblWorkPackages[[#This Row],[Due date serial]],1,0)</f>
        <v>0</v>
      </c>
      <c r="AC1836" s="65">
        <f>MAX(0,tblWorkPackages[[#This Row],[Completion date serial]]-tblWorkPackages[[#This Row],[Due date serial]])</f>
        <v>0</v>
      </c>
      <c r="AD1836" s="65">
        <f>tblWorkPackages[[#This Row],[First labor date]]-tblWorkPackages[[#This Row],[Request date serial]]</f>
        <v>1</v>
      </c>
      <c r="AE1836" s="65">
        <f>tblWorkPackages[[#This Row],[Last labor date]]-tblWorkPackages[[#This Row],[First labor date]]</f>
        <v>2</v>
      </c>
      <c r="AF1836" s="65">
        <f>tblWorkPackages[[#This Row],[Completion date serial]]-tblWorkPackages[[#This Row],[Last labor date]]</f>
        <v>2</v>
      </c>
      <c r="AG1836" s="65">
        <f>tblWorkPackages[[#This Row],[Completion date serial]]-tblWorkPackages[[#This Row],[Request date serial]]</f>
        <v>5</v>
      </c>
      <c r="AH1836" s="65">
        <f>IFERROR(INDEX(tblParts[Delay days],MATCH(tblWorkPackages[[#This Row],[Work package ID]],tblParts[Work package ID],0)),0)</f>
        <v>0</v>
      </c>
      <c r="AI1836" s="51" t="str">
        <f>IFERROR(INDEX(tblDisruptions[Event type],MATCH(tblWorkPackages[[#This Row],[Work package ID]],tblDisruptions[Work package ID],0)),"None")</f>
        <v>None</v>
      </c>
      <c r="AJ1836" s="51" t="str">
        <f>TEXT(tblWorkPackages[[#This Row],[Due date serial]],"yyyy-mm")</f>
        <v>2024-01</v>
      </c>
    </row>
    <row r="1837" spans="1:36" ht="15" x14ac:dyDescent="0.25">
      <c r="A1837" s="53" t="s">
        <v>2748</v>
      </c>
      <c r="B1837" s="53" t="s">
        <v>203</v>
      </c>
      <c r="C1837" s="53" t="s">
        <v>252</v>
      </c>
      <c r="D1837" s="53" t="s">
        <v>486</v>
      </c>
      <c r="E1837" s="53" t="s">
        <v>160</v>
      </c>
      <c r="F1837" s="53" t="s">
        <v>128</v>
      </c>
      <c r="G1837" s="53" t="s">
        <v>138</v>
      </c>
      <c r="H1837" s="53">
        <v>4</v>
      </c>
      <c r="I1837" s="53" t="s">
        <v>130</v>
      </c>
      <c r="J1837" s="53">
        <v>0</v>
      </c>
      <c r="K1837" s="53">
        <v>0</v>
      </c>
      <c r="L1837" s="53">
        <v>7.3</v>
      </c>
      <c r="M1837" s="53" t="s">
        <v>732</v>
      </c>
      <c r="N1837" s="53">
        <v>7</v>
      </c>
      <c r="O1837" s="51" t="str">
        <f>TEXT(tblWorkPackages[[#This Row],[Request date serial]]-WEEKDAY(tblWorkPackages[[#This Row],[Request date serial]],3),"yyyy-mm-dd")</f>
        <v>2024-12-23</v>
      </c>
      <c r="P1837" s="51">
        <f>ABS(tblWorkPackages[[#This Row],[Actual labor hours]]-tblWorkPackages[[#This Row],[Estimated labor hours]])</f>
        <v>0.3</v>
      </c>
      <c r="Q1837" s="51">
        <f>IF(tblWorkPackages[[#This Row],[Actual labor hours]]&gt;tblWorkPackages[[#This Row],[Estimated labor hours]],1,0)</f>
        <v>0</v>
      </c>
      <c r="R1837" s="51">
        <f>tblWorkPackages[[#This Row],[Actual labor hours]]-tblWorkPackages[[#This Row],[Estimated labor hours]]</f>
        <v>-0.3</v>
      </c>
      <c r="S1837" s="51" t="str">
        <f>IF(tblWorkPackages[[#This Row],[Request date serial]]&lt;ValidationStart,"Train 2024",IF(tblWorkPackages[[#This Row],[Request date serial]]&lt;HoldoutStart,"Validation H1","Holdout H2"))</f>
        <v>Train 2024</v>
      </c>
      <c r="T1837" s="51" t="str">
        <f>IF(tblWorkPackages[[#This Row],[Time split]]="Train 2024","",tblWorkPackages[[#This Row],[Estimated labor hours]]+VLOOKUP(tblWorkPackages[[#This Row],[Task type]],'Forecast validation'!$A$14:$E$25,IF(tblWorkPackages[[#This Row],[Time split]]="Validation H1",4,5),FALSE()))</f>
        <v/>
      </c>
      <c r="U1837" s="51" t="str">
        <f>IF(tblWorkPackages[[#This Row],[Calibrated forecast hours]]="","",ABS(tblWorkPackages[[#This Row],[Actual labor hours]]-tblWorkPackages[[#This Row],[Calibrated forecast hours]]))</f>
        <v/>
      </c>
      <c r="V1837" s="51">
        <f>IF(tblWorkPackages[[#This Row],[Time split]]="Train 2024",tblWorkPackages[[#This Row],[Estimated labor hours]],tblWorkPackages[[#This Row],[Calibrated forecast hours]])</f>
        <v>7.3</v>
      </c>
      <c r="W1837" s="64">
        <f>DATEVALUE(tblWorkPackages[[#This Row],[Request date]])</f>
        <v>45654.0</v>
      </c>
      <c r="X1837" s="64">
        <f>DATEVALUE(tblWorkPackages[[#This Row],[Due date]])</f>
        <v>45667.0</v>
      </c>
      <c r="Y1837" s="64">
        <f>DATEVALUE(tblWorkPackages[[#This Row],[Completion date]])</f>
        <v>45670.0</v>
      </c>
      <c r="Z1837" s="64">
        <f>_xlfn.MINIFS(tblLaborEntries[Work date serial],tblLaborEntries[Work package ID],tblWorkPackages[[#This Row],[Work package ID]])</f>
        <v>45666.0</v>
      </c>
      <c r="AA1837" s="64">
        <f>_xlfn.MAXIFS(tblLaborEntries[Work date serial],tblLaborEntries[Work package ID],tblWorkPackages[[#This Row],[Work package ID]])</f>
        <v>45667.0</v>
      </c>
      <c r="AB1837" s="65">
        <f>IF(tblWorkPackages[[#This Row],[Completion date serial]]&gt;tblWorkPackages[[#This Row],[Due date serial]],1,0)</f>
        <v>1</v>
      </c>
      <c r="AC1837" s="65">
        <f>MAX(0,tblWorkPackages[[#This Row],[Completion date serial]]-tblWorkPackages[[#This Row],[Due date serial]])</f>
        <v>3</v>
      </c>
      <c r="AD1837" s="65">
        <f>tblWorkPackages[[#This Row],[First labor date]]-tblWorkPackages[[#This Row],[Request date serial]]</f>
        <v>12</v>
      </c>
      <c r="AE1837" s="65">
        <f>tblWorkPackages[[#This Row],[Last labor date]]-tblWorkPackages[[#This Row],[First labor date]]</f>
        <v>1</v>
      </c>
      <c r="AF1837" s="65">
        <f>tblWorkPackages[[#This Row],[Completion date serial]]-tblWorkPackages[[#This Row],[Last labor date]]</f>
        <v>3</v>
      </c>
      <c r="AG1837" s="65">
        <f>tblWorkPackages[[#This Row],[Completion date serial]]-tblWorkPackages[[#This Row],[Request date serial]]</f>
        <v>16</v>
      </c>
      <c r="AH1837" s="65">
        <f>IFERROR(INDEX(tblParts[Delay days],MATCH(tblWorkPackages[[#This Row],[Work package ID]],tblParts[Work package ID],0)),0)</f>
        <v>0</v>
      </c>
      <c r="AI1837" s="51" t="str">
        <f>IFERROR(INDEX(tblDisruptions[Event type],MATCH(tblWorkPackages[[#This Row],[Work package ID]],tblDisruptions[Work package ID],0)),"None")</f>
        <v>None</v>
      </c>
      <c r="AJ1837" s="51" t="str">
        <f>TEXT(tblWorkPackages[[#This Row],[Due date serial]],"yyyy-mm")</f>
        <v>2025-01</v>
      </c>
    </row>
    <row r="1838" spans="1:36" ht="15" x14ac:dyDescent="0.25">
      <c r="A1838" s="53" t="s">
        <v>2749</v>
      </c>
      <c r="B1838" s="53" t="s">
        <v>163</v>
      </c>
      <c r="C1838" s="53" t="s">
        <v>569</v>
      </c>
      <c r="D1838" s="53" t="s">
        <v>425</v>
      </c>
      <c r="E1838" s="53" t="s">
        <v>160</v>
      </c>
      <c r="F1838" s="53" t="s">
        <v>128</v>
      </c>
      <c r="G1838" s="53" t="s">
        <v>138</v>
      </c>
      <c r="H1838" s="53">
        <v>2</v>
      </c>
      <c r="I1838" s="53" t="s">
        <v>130</v>
      </c>
      <c r="J1838" s="53">
        <v>0</v>
      </c>
      <c r="K1838" s="53">
        <v>0</v>
      </c>
      <c r="L1838" s="53">
        <v>4.8</v>
      </c>
      <c r="M1838" s="53" t="s">
        <v>2009</v>
      </c>
      <c r="N1838" s="53">
        <v>6.1</v>
      </c>
      <c r="O1838" s="51" t="str">
        <f>TEXT(tblWorkPackages[[#This Row],[Request date serial]]-WEEKDAY(tblWorkPackages[[#This Row],[Request date serial]],3),"yyyy-mm-dd")</f>
        <v>2025-05-26</v>
      </c>
      <c r="P1838" s="51">
        <f>ABS(tblWorkPackages[[#This Row],[Actual labor hours]]-tblWorkPackages[[#This Row],[Estimated labor hours]])</f>
        <v>1.3</v>
      </c>
      <c r="Q1838" s="51">
        <f>IF(tblWorkPackages[[#This Row],[Actual labor hours]]&gt;tblWorkPackages[[#This Row],[Estimated labor hours]],1,0)</f>
        <v>1</v>
      </c>
      <c r="R1838" s="51">
        <f>tblWorkPackages[[#This Row],[Actual labor hours]]-tblWorkPackages[[#This Row],[Estimated labor hours]]</f>
        <v>1.3</v>
      </c>
      <c r="S1838" s="51" t="str">
        <f>IF(tblWorkPackages[[#This Row],[Request date serial]]&lt;ValidationStart,"Train 2024",IF(tblWorkPackages[[#This Row],[Request date serial]]&lt;HoldoutStart,"Validation H1","Holdout H2"))</f>
        <v>Validation H1</v>
      </c>
      <c r="T1838" s="51">
        <f>IF(tblWorkPackages[[#This Row],[Time split]]="Train 2024","",tblWorkPackages[[#This Row],[Estimated labor hours]]+VLOOKUP(tblWorkPackages[[#This Row],[Task type]],'Forecast validation'!$A$14:$E$25,IF(tblWorkPackages[[#This Row],[Time split]]="Validation H1",4,5),FALSE()))</f>
        <v>5.24146341463415</v>
      </c>
      <c r="U1838" s="51">
        <f>IF(tblWorkPackages[[#This Row],[Calibrated forecast hours]]="","",ABS(tblWorkPackages[[#This Row],[Actual labor hours]]-tblWorkPackages[[#This Row],[Calibrated forecast hours]]))</f>
        <v>0.858536585365854</v>
      </c>
      <c r="V1838" s="51">
        <f>IF(tblWorkPackages[[#This Row],[Time split]]="Train 2024",tblWorkPackages[[#This Row],[Estimated labor hours]],tblWorkPackages[[#This Row],[Calibrated forecast hours]])</f>
        <v>5.24146341463415</v>
      </c>
      <c r="W1838" s="64">
        <f>DATEVALUE(tblWorkPackages[[#This Row],[Request date]])</f>
        <v>45807.0</v>
      </c>
      <c r="X1838" s="64">
        <f>DATEVALUE(tblWorkPackages[[#This Row],[Due date]])</f>
        <v>45820.0</v>
      </c>
      <c r="Y1838" s="64">
        <f>DATEVALUE(tblWorkPackages[[#This Row],[Completion date]])</f>
        <v>45810.0</v>
      </c>
      <c r="Z1838" s="64">
        <f>_xlfn.MINIFS(tblLaborEntries[Work date serial],tblLaborEntries[Work package ID],tblWorkPackages[[#This Row],[Work package ID]])</f>
        <v>45810.0</v>
      </c>
      <c r="AA1838" s="64">
        <f>_xlfn.MAXIFS(tblLaborEntries[Work date serial],tblLaborEntries[Work package ID],tblWorkPackages[[#This Row],[Work package ID]])</f>
        <v>45810.0</v>
      </c>
      <c r="AB1838" s="65">
        <f>IF(tblWorkPackages[[#This Row],[Completion date serial]]&gt;tblWorkPackages[[#This Row],[Due date serial]],1,0)</f>
        <v>0</v>
      </c>
      <c r="AC1838" s="65">
        <f>MAX(0,tblWorkPackages[[#This Row],[Completion date serial]]-tblWorkPackages[[#This Row],[Due date serial]])</f>
        <v>0</v>
      </c>
      <c r="AD1838" s="65">
        <f>tblWorkPackages[[#This Row],[First labor date]]-tblWorkPackages[[#This Row],[Request date serial]]</f>
        <v>3</v>
      </c>
      <c r="AE1838" s="65">
        <f>tblWorkPackages[[#This Row],[Last labor date]]-tblWorkPackages[[#This Row],[First labor date]]</f>
        <v>0</v>
      </c>
      <c r="AF1838" s="65">
        <f>tblWorkPackages[[#This Row],[Completion date serial]]-tblWorkPackages[[#This Row],[Last labor date]]</f>
        <v>0</v>
      </c>
      <c r="AG1838" s="65">
        <f>tblWorkPackages[[#This Row],[Completion date serial]]-tblWorkPackages[[#This Row],[Request date serial]]</f>
        <v>3</v>
      </c>
      <c r="AH1838" s="65">
        <f>IFERROR(INDEX(tblParts[Delay days],MATCH(tblWorkPackages[[#This Row],[Work package ID]],tblParts[Work package ID],0)),0)</f>
        <v>0</v>
      </c>
      <c r="AI1838" s="51" t="str">
        <f>IFERROR(INDEX(tblDisruptions[Event type],MATCH(tblWorkPackages[[#This Row],[Work package ID]],tblDisruptions[Work package ID],0)),"None")</f>
        <v>None</v>
      </c>
      <c r="AJ1838" s="51" t="str">
        <f>TEXT(tblWorkPackages[[#This Row],[Due date serial]],"yyyy-mm")</f>
        <v>2025-06</v>
      </c>
    </row>
    <row r="1839" spans="1:36" ht="15" x14ac:dyDescent="0.25">
      <c r="A1839" s="53" t="s">
        <v>2750</v>
      </c>
      <c r="B1839" s="53" t="s">
        <v>230</v>
      </c>
      <c r="C1839" s="53" t="s">
        <v>1084</v>
      </c>
      <c r="D1839" s="53" t="s">
        <v>506</v>
      </c>
      <c r="E1839" s="53" t="s">
        <v>209</v>
      </c>
      <c r="F1839" s="53" t="s">
        <v>145</v>
      </c>
      <c r="G1839" s="53" t="s">
        <v>210</v>
      </c>
      <c r="H1839" s="53">
        <v>4</v>
      </c>
      <c r="I1839" s="53" t="s">
        <v>130</v>
      </c>
      <c r="J1839" s="53">
        <v>0</v>
      </c>
      <c r="K1839" s="53">
        <v>0</v>
      </c>
      <c r="L1839" s="53">
        <v>43.1</v>
      </c>
      <c r="M1839" s="53" t="s">
        <v>870</v>
      </c>
      <c r="N1839" s="53">
        <v>43.5</v>
      </c>
      <c r="O1839" s="51" t="str">
        <f>TEXT(tblWorkPackages[[#This Row],[Request date serial]]-WEEKDAY(tblWorkPackages[[#This Row],[Request date serial]],3),"yyyy-mm-dd")</f>
        <v>2025-02-03</v>
      </c>
      <c r="P1839" s="51">
        <f>ABS(tblWorkPackages[[#This Row],[Actual labor hours]]-tblWorkPackages[[#This Row],[Estimated labor hours]])</f>
        <v>0.399999999999999</v>
      </c>
      <c r="Q1839" s="51">
        <f>IF(tblWorkPackages[[#This Row],[Actual labor hours]]&gt;tblWorkPackages[[#This Row],[Estimated labor hours]],1,0)</f>
        <v>1</v>
      </c>
      <c r="R1839" s="51">
        <f>tblWorkPackages[[#This Row],[Actual labor hours]]-tblWorkPackages[[#This Row],[Estimated labor hours]]</f>
        <v>0.399999999999999</v>
      </c>
      <c r="S1839" s="51" t="str">
        <f>IF(tblWorkPackages[[#This Row],[Request date serial]]&lt;ValidationStart,"Train 2024",IF(tblWorkPackages[[#This Row],[Request date serial]]&lt;HoldoutStart,"Validation H1","Holdout H2"))</f>
        <v>Validation H1</v>
      </c>
      <c r="T1839" s="51">
        <f>IF(tblWorkPackages[[#This Row],[Time split]]="Train 2024","",tblWorkPackages[[#This Row],[Estimated labor hours]]+VLOOKUP(tblWorkPackages[[#This Row],[Task type]],'Forecast validation'!$A$14:$E$25,IF(tblWorkPackages[[#This Row],[Time split]]="Validation H1",4,5),FALSE()))</f>
        <v>44.2029850746269</v>
      </c>
      <c r="U1839" s="51">
        <f>IF(tblWorkPackages[[#This Row],[Calibrated forecast hours]]="","",ABS(tblWorkPackages[[#This Row],[Actual labor hours]]-tblWorkPackages[[#This Row],[Calibrated forecast hours]]))</f>
        <v>0.702985074626866</v>
      </c>
      <c r="V1839" s="51">
        <f>IF(tblWorkPackages[[#This Row],[Time split]]="Train 2024",tblWorkPackages[[#This Row],[Estimated labor hours]],tblWorkPackages[[#This Row],[Calibrated forecast hours]])</f>
        <v>44.2029850746269</v>
      </c>
      <c r="W1839" s="64">
        <f>DATEVALUE(tblWorkPackages[[#This Row],[Request date]])</f>
        <v>45695.0</v>
      </c>
      <c r="X1839" s="64">
        <f>DATEVALUE(tblWorkPackages[[#This Row],[Due date]])</f>
        <v>45708.0</v>
      </c>
      <c r="Y1839" s="64">
        <f>DATEVALUE(tblWorkPackages[[#This Row],[Completion date]])</f>
        <v>45732.0</v>
      </c>
      <c r="Z1839" s="64">
        <f>_xlfn.MINIFS(tblLaborEntries[Work date serial],tblLaborEntries[Work package ID],tblWorkPackages[[#This Row],[Work package ID]])</f>
        <v>45730.0</v>
      </c>
      <c r="AA1839" s="64">
        <f>_xlfn.MAXIFS(tblLaborEntries[Work date serial],tblLaborEntries[Work package ID],tblWorkPackages[[#This Row],[Work package ID]])</f>
        <v>45731.0</v>
      </c>
      <c r="AB1839" s="65">
        <f>IF(tblWorkPackages[[#This Row],[Completion date serial]]&gt;tblWorkPackages[[#This Row],[Due date serial]],1,0)</f>
        <v>1</v>
      </c>
      <c r="AC1839" s="65">
        <f>MAX(0,tblWorkPackages[[#This Row],[Completion date serial]]-tblWorkPackages[[#This Row],[Due date serial]])</f>
        <v>24</v>
      </c>
      <c r="AD1839" s="65">
        <f>tblWorkPackages[[#This Row],[First labor date]]-tblWorkPackages[[#This Row],[Request date serial]]</f>
        <v>35</v>
      </c>
      <c r="AE1839" s="65">
        <f>tblWorkPackages[[#This Row],[Last labor date]]-tblWorkPackages[[#This Row],[First labor date]]</f>
        <v>1</v>
      </c>
      <c r="AF1839" s="65">
        <f>tblWorkPackages[[#This Row],[Completion date serial]]-tblWorkPackages[[#This Row],[Last labor date]]</f>
        <v>1</v>
      </c>
      <c r="AG1839" s="65">
        <f>tblWorkPackages[[#This Row],[Completion date serial]]-tblWorkPackages[[#This Row],[Request date serial]]</f>
        <v>37</v>
      </c>
      <c r="AH1839" s="65">
        <f>IFERROR(INDEX(tblParts[Delay days],MATCH(tblWorkPackages[[#This Row],[Work package ID]],tblParts[Work package ID],0)),0)</f>
        <v>0</v>
      </c>
      <c r="AI1839" s="51" t="str">
        <f>IFERROR(INDEX(tblDisruptions[Event type],MATCH(tblWorkPackages[[#This Row],[Work package ID]],tblDisruptions[Work package ID],0)),"None")</f>
        <v>None</v>
      </c>
      <c r="AJ1839" s="51" t="str">
        <f>TEXT(tblWorkPackages[[#This Row],[Due date serial]],"yyyy-mm")</f>
        <v>2025-02</v>
      </c>
    </row>
    <row r="1840" spans="1:36" ht="15" x14ac:dyDescent="0.25">
      <c r="A1840" s="53" t="s">
        <v>2751</v>
      </c>
      <c r="B1840" s="53" t="s">
        <v>250</v>
      </c>
      <c r="C1840" s="53" t="s">
        <v>652</v>
      </c>
      <c r="D1840" s="53" t="s">
        <v>780</v>
      </c>
      <c r="E1840" s="53" t="s">
        <v>242</v>
      </c>
      <c r="F1840" s="53" t="s">
        <v>243</v>
      </c>
      <c r="G1840" s="53" t="s">
        <v>129</v>
      </c>
      <c r="H1840" s="53">
        <v>2</v>
      </c>
      <c r="I1840" s="53" t="s">
        <v>176</v>
      </c>
      <c r="J1840" s="53">
        <v>0</v>
      </c>
      <c r="K1840" s="53">
        <v>0</v>
      </c>
      <c r="L1840" s="53">
        <v>8</v>
      </c>
      <c r="M1840" s="53" t="s">
        <v>914</v>
      </c>
      <c r="N1840" s="53">
        <v>9.1999999999999993</v>
      </c>
      <c r="O1840" s="51" t="str">
        <f>TEXT(tblWorkPackages[[#This Row],[Request date serial]]-WEEKDAY(tblWorkPackages[[#This Row],[Request date serial]],3),"yyyy-mm-dd")</f>
        <v>2025-12-08</v>
      </c>
      <c r="P1840" s="51">
        <f>ABS(tblWorkPackages[[#This Row],[Actual labor hours]]-tblWorkPackages[[#This Row],[Estimated labor hours]])</f>
        <v>1.2</v>
      </c>
      <c r="Q1840" s="51">
        <f>IF(tblWorkPackages[[#This Row],[Actual labor hours]]&gt;tblWorkPackages[[#This Row],[Estimated labor hours]],1,0)</f>
        <v>1</v>
      </c>
      <c r="R1840" s="51">
        <f>tblWorkPackages[[#This Row],[Actual labor hours]]-tblWorkPackages[[#This Row],[Estimated labor hours]]</f>
        <v>1.2</v>
      </c>
      <c r="S1840" s="51" t="str">
        <f>IF(tblWorkPackages[[#This Row],[Request date serial]]&lt;ValidationStart,"Train 2024",IF(tblWorkPackages[[#This Row],[Request date serial]]&lt;HoldoutStart,"Validation H1","Holdout H2"))</f>
        <v>Holdout H2</v>
      </c>
      <c r="T1840" s="51">
        <f>IF(tblWorkPackages[[#This Row],[Time split]]="Train 2024","",tblWorkPackages[[#This Row],[Estimated labor hours]]+VLOOKUP(tblWorkPackages[[#This Row],[Task type]],'Forecast validation'!$A$14:$E$25,IF(tblWorkPackages[[#This Row],[Time split]]="Validation H1",4,5),FALSE()))</f>
        <v>8.82545454545455</v>
      </c>
      <c r="U1840" s="51">
        <f>IF(tblWorkPackages[[#This Row],[Calibrated forecast hours]]="","",ABS(tblWorkPackages[[#This Row],[Actual labor hours]]-tblWorkPackages[[#This Row],[Calibrated forecast hours]]))</f>
        <v>0.374545454545453</v>
      </c>
      <c r="V1840" s="51">
        <f>IF(tblWorkPackages[[#This Row],[Time split]]="Train 2024",tblWorkPackages[[#This Row],[Estimated labor hours]],tblWorkPackages[[#This Row],[Calibrated forecast hours]])</f>
        <v>8.82545454545455</v>
      </c>
      <c r="W1840" s="64">
        <f>DATEVALUE(tblWorkPackages[[#This Row],[Request date]])</f>
        <v>46003.0</v>
      </c>
      <c r="X1840" s="64">
        <f>DATEVALUE(tblWorkPackages[[#This Row],[Due date]])</f>
        <v>46009.0</v>
      </c>
      <c r="Y1840" s="64">
        <f>DATEVALUE(tblWorkPackages[[#This Row],[Completion date]])</f>
        <v>46013.0</v>
      </c>
      <c r="Z1840" s="64">
        <f>_xlfn.MINIFS(tblLaborEntries[Work date serial],tblLaborEntries[Work package ID],tblWorkPackages[[#This Row],[Work package ID]])</f>
        <v>46010.0</v>
      </c>
      <c r="AA1840" s="64">
        <f>_xlfn.MAXIFS(tblLaborEntries[Work date serial],tblLaborEntries[Work package ID],tblWorkPackages[[#This Row],[Work package ID]])</f>
        <v>46011.0</v>
      </c>
      <c r="AB1840" s="65">
        <f>IF(tblWorkPackages[[#This Row],[Completion date serial]]&gt;tblWorkPackages[[#This Row],[Due date serial]],1,0)</f>
        <v>1</v>
      </c>
      <c r="AC1840" s="65">
        <f>MAX(0,tblWorkPackages[[#This Row],[Completion date serial]]-tblWorkPackages[[#This Row],[Due date serial]])</f>
        <v>4</v>
      </c>
      <c r="AD1840" s="65">
        <f>tblWorkPackages[[#This Row],[First labor date]]-tblWorkPackages[[#This Row],[Request date serial]]</f>
        <v>7</v>
      </c>
      <c r="AE1840" s="65">
        <f>tblWorkPackages[[#This Row],[Last labor date]]-tblWorkPackages[[#This Row],[First labor date]]</f>
        <v>1</v>
      </c>
      <c r="AF1840" s="65">
        <f>tblWorkPackages[[#This Row],[Completion date serial]]-tblWorkPackages[[#This Row],[Last labor date]]</f>
        <v>2</v>
      </c>
      <c r="AG1840" s="65">
        <f>tblWorkPackages[[#This Row],[Completion date serial]]-tblWorkPackages[[#This Row],[Request date serial]]</f>
        <v>10</v>
      </c>
      <c r="AH1840" s="65">
        <f>IFERROR(INDEX(tblParts[Delay days],MATCH(tblWorkPackages[[#This Row],[Work package ID]],tblParts[Work package ID],0)),0)</f>
        <v>0</v>
      </c>
      <c r="AI1840" s="51" t="str">
        <f>IFERROR(INDEX(tblDisruptions[Event type],MATCH(tblWorkPackages[[#This Row],[Work package ID]],tblDisruptions[Work package ID],0)),"None")</f>
        <v>Repeat inspection</v>
      </c>
      <c r="AJ1840" s="51" t="str">
        <f>TEXT(tblWorkPackages[[#This Row],[Due date serial]],"yyyy-mm")</f>
        <v>2025-12</v>
      </c>
    </row>
    <row r="1841" spans="1:36" ht="15" x14ac:dyDescent="0.25">
      <c r="A1841" s="53" t="s">
        <v>2752</v>
      </c>
      <c r="B1841" s="53" t="s">
        <v>150</v>
      </c>
      <c r="C1841" s="53" t="s">
        <v>627</v>
      </c>
      <c r="D1841" s="53" t="s">
        <v>628</v>
      </c>
      <c r="E1841" s="53" t="s">
        <v>127</v>
      </c>
      <c r="F1841" s="53" t="s">
        <v>128</v>
      </c>
      <c r="G1841" s="53" t="s">
        <v>129</v>
      </c>
      <c r="H1841" s="53">
        <v>4</v>
      </c>
      <c r="I1841" s="53" t="s">
        <v>176</v>
      </c>
      <c r="J1841" s="53">
        <v>0</v>
      </c>
      <c r="K1841" s="53">
        <v>1</v>
      </c>
      <c r="L1841" s="53">
        <v>13.9</v>
      </c>
      <c r="M1841" s="53" t="s">
        <v>628</v>
      </c>
      <c r="N1841" s="53">
        <v>13.9</v>
      </c>
      <c r="O1841" s="51" t="str">
        <f>TEXT(tblWorkPackages[[#This Row],[Request date serial]]-WEEKDAY(tblWorkPackages[[#This Row],[Request date serial]],3),"yyyy-mm-dd")</f>
        <v>2025-06-30</v>
      </c>
      <c r="P1841" s="51">
        <f>ABS(tblWorkPackages[[#This Row],[Actual labor hours]]-tblWorkPackages[[#This Row],[Estimated labor hours]])</f>
        <v>0</v>
      </c>
      <c r="Q1841" s="51">
        <f>IF(tblWorkPackages[[#This Row],[Actual labor hours]]&gt;tblWorkPackages[[#This Row],[Estimated labor hours]],1,0)</f>
        <v>0</v>
      </c>
      <c r="R1841" s="51">
        <f>tblWorkPackages[[#This Row],[Actual labor hours]]-tblWorkPackages[[#This Row],[Estimated labor hours]]</f>
        <v>0</v>
      </c>
      <c r="S1841" s="51" t="str">
        <f>IF(tblWorkPackages[[#This Row],[Request date serial]]&lt;ValidationStart,"Train 2024",IF(tblWorkPackages[[#This Row],[Request date serial]]&lt;HoldoutStart,"Validation H1","Holdout H2"))</f>
        <v>Holdout H2</v>
      </c>
      <c r="T1841" s="51">
        <f>IF(tblWorkPackages[[#This Row],[Time split]]="Train 2024","",tblWorkPackages[[#This Row],[Estimated labor hours]]+VLOOKUP(tblWorkPackages[[#This Row],[Task type]],'Forecast validation'!$A$14:$E$25,IF(tblWorkPackages[[#This Row],[Time split]]="Validation H1",4,5),FALSE()))</f>
        <v>14.4434108527132</v>
      </c>
      <c r="U1841" s="51">
        <f>IF(tblWorkPackages[[#This Row],[Calibrated forecast hours]]="","",ABS(tblWorkPackages[[#This Row],[Actual labor hours]]-tblWorkPackages[[#This Row],[Calibrated forecast hours]]))</f>
        <v>0.543410852713178</v>
      </c>
      <c r="V1841" s="51">
        <f>IF(tblWorkPackages[[#This Row],[Time split]]="Train 2024",tblWorkPackages[[#This Row],[Estimated labor hours]],tblWorkPackages[[#This Row],[Calibrated forecast hours]])</f>
        <v>14.4434108527132</v>
      </c>
      <c r="W1841" s="64">
        <f>DATEVALUE(tblWorkPackages[[#This Row],[Request date]])</f>
        <v>45843.0</v>
      </c>
      <c r="X1841" s="64">
        <f>DATEVALUE(tblWorkPackages[[#This Row],[Due date]])</f>
        <v>45849.0</v>
      </c>
      <c r="Y1841" s="64">
        <f>DATEVALUE(tblWorkPackages[[#This Row],[Completion date]])</f>
        <v>45849.0</v>
      </c>
      <c r="Z1841" s="64">
        <f>_xlfn.MINIFS(tblLaborEntries[Work date serial],tblLaborEntries[Work package ID],tblWorkPackages[[#This Row],[Work package ID]])</f>
        <v>45845.0</v>
      </c>
      <c r="AA1841" s="64">
        <f>_xlfn.MAXIFS(tblLaborEntries[Work date serial],tblLaborEntries[Work package ID],tblWorkPackages[[#This Row],[Work package ID]])</f>
        <v>45846.0</v>
      </c>
      <c r="AB1841" s="65">
        <f>IF(tblWorkPackages[[#This Row],[Completion date serial]]&gt;tblWorkPackages[[#This Row],[Due date serial]],1,0)</f>
        <v>0</v>
      </c>
      <c r="AC1841" s="65">
        <f>MAX(0,tblWorkPackages[[#This Row],[Completion date serial]]-tblWorkPackages[[#This Row],[Due date serial]])</f>
        <v>0</v>
      </c>
      <c r="AD1841" s="65">
        <f>tblWorkPackages[[#This Row],[First labor date]]-tblWorkPackages[[#This Row],[Request date serial]]</f>
        <v>2</v>
      </c>
      <c r="AE1841" s="65">
        <f>tblWorkPackages[[#This Row],[Last labor date]]-tblWorkPackages[[#This Row],[First labor date]]</f>
        <v>1</v>
      </c>
      <c r="AF1841" s="65">
        <f>tblWorkPackages[[#This Row],[Completion date serial]]-tblWorkPackages[[#This Row],[Last labor date]]</f>
        <v>3</v>
      </c>
      <c r="AG1841" s="65">
        <f>tblWorkPackages[[#This Row],[Completion date serial]]-tblWorkPackages[[#This Row],[Request date serial]]</f>
        <v>6</v>
      </c>
      <c r="AH1841" s="65">
        <f>IFERROR(INDEX(tblParts[Delay days],MATCH(tblWorkPackages[[#This Row],[Work package ID]],tblParts[Work package ID],0)),0)</f>
        <v>0</v>
      </c>
      <c r="AI1841" s="51" t="str">
        <f>IFERROR(INDEX(tblDisruptions[Event type],MATCH(tblWorkPackages[[#This Row],[Work package ID]],tblDisruptions[Work package ID],0)),"None")</f>
        <v>None</v>
      </c>
      <c r="AJ1841" s="51" t="str">
        <f>TEXT(tblWorkPackages[[#This Row],[Due date serial]],"yyyy-mm")</f>
        <v>2025-07</v>
      </c>
    </row>
    <row r="1842" spans="1:36" ht="15" x14ac:dyDescent="0.25">
      <c r="A1842" s="53" t="s">
        <v>2753</v>
      </c>
      <c r="B1842" s="53" t="s">
        <v>150</v>
      </c>
      <c r="C1842" s="53" t="s">
        <v>543</v>
      </c>
      <c r="D1842" s="53" t="s">
        <v>832</v>
      </c>
      <c r="E1842" s="53" t="s">
        <v>127</v>
      </c>
      <c r="F1842" s="53" t="s">
        <v>128</v>
      </c>
      <c r="G1842" s="53" t="s">
        <v>129</v>
      </c>
      <c r="H1842" s="53">
        <v>2</v>
      </c>
      <c r="I1842" s="53" t="s">
        <v>130</v>
      </c>
      <c r="J1842" s="53">
        <v>0</v>
      </c>
      <c r="K1842" s="53">
        <v>0</v>
      </c>
      <c r="L1842" s="53">
        <v>6.6</v>
      </c>
      <c r="M1842" s="53" t="s">
        <v>309</v>
      </c>
      <c r="N1842" s="53">
        <v>7.6</v>
      </c>
      <c r="O1842" s="51" t="str">
        <f>TEXT(tblWorkPackages[[#This Row],[Request date serial]]-WEEKDAY(tblWorkPackages[[#This Row],[Request date serial]],3),"yyyy-mm-dd")</f>
        <v>2025-10-20</v>
      </c>
      <c r="P1842" s="51">
        <f>ABS(tblWorkPackages[[#This Row],[Actual labor hours]]-tblWorkPackages[[#This Row],[Estimated labor hours]])</f>
        <v>1</v>
      </c>
      <c r="Q1842" s="51">
        <f>IF(tblWorkPackages[[#This Row],[Actual labor hours]]&gt;tblWorkPackages[[#This Row],[Estimated labor hours]],1,0)</f>
        <v>1</v>
      </c>
      <c r="R1842" s="51">
        <f>tblWorkPackages[[#This Row],[Actual labor hours]]-tblWorkPackages[[#This Row],[Estimated labor hours]]</f>
        <v>1</v>
      </c>
      <c r="S1842" s="51" t="str">
        <f>IF(tblWorkPackages[[#This Row],[Request date serial]]&lt;ValidationStart,"Train 2024",IF(tblWorkPackages[[#This Row],[Request date serial]]&lt;HoldoutStart,"Validation H1","Holdout H2"))</f>
        <v>Holdout H2</v>
      </c>
      <c r="T1842" s="51">
        <f>IF(tblWorkPackages[[#This Row],[Time split]]="Train 2024","",tblWorkPackages[[#This Row],[Estimated labor hours]]+VLOOKUP(tblWorkPackages[[#This Row],[Task type]],'Forecast validation'!$A$14:$E$25,IF(tblWorkPackages[[#This Row],[Time split]]="Validation H1",4,5),FALSE()))</f>
        <v>7.14341085271318</v>
      </c>
      <c r="U1842" s="51">
        <f>IF(tblWorkPackages[[#This Row],[Calibrated forecast hours]]="","",ABS(tblWorkPackages[[#This Row],[Actual labor hours]]-tblWorkPackages[[#This Row],[Calibrated forecast hours]]))</f>
        <v>0.456589147286822</v>
      </c>
      <c r="V1842" s="51">
        <f>IF(tblWorkPackages[[#This Row],[Time split]]="Train 2024",tblWorkPackages[[#This Row],[Estimated labor hours]],tblWorkPackages[[#This Row],[Calibrated forecast hours]])</f>
        <v>7.14341085271318</v>
      </c>
      <c r="W1842" s="64">
        <f>DATEVALUE(tblWorkPackages[[#This Row],[Request date]])</f>
        <v>45950.0</v>
      </c>
      <c r="X1842" s="64">
        <f>DATEVALUE(tblWorkPackages[[#This Row],[Due date]])</f>
        <v>45963.0</v>
      </c>
      <c r="Y1842" s="64">
        <f>DATEVALUE(tblWorkPackages[[#This Row],[Completion date]])</f>
        <v>45967.0</v>
      </c>
      <c r="Z1842" s="64">
        <f>_xlfn.MINIFS(tblLaborEntries[Work date serial],tblLaborEntries[Work package ID],tblWorkPackages[[#This Row],[Work package ID]])</f>
        <v>45966.0</v>
      </c>
      <c r="AA1842" s="64">
        <f>_xlfn.MAXIFS(tblLaborEntries[Work date serial],tblLaborEntries[Work package ID],tblWorkPackages[[#This Row],[Work package ID]])</f>
        <v>45967.0</v>
      </c>
      <c r="AB1842" s="65">
        <f>IF(tblWorkPackages[[#This Row],[Completion date serial]]&gt;tblWorkPackages[[#This Row],[Due date serial]],1,0)</f>
        <v>1</v>
      </c>
      <c r="AC1842" s="65">
        <f>MAX(0,tblWorkPackages[[#This Row],[Completion date serial]]-tblWorkPackages[[#This Row],[Due date serial]])</f>
        <v>4</v>
      </c>
      <c r="AD1842" s="65">
        <f>tblWorkPackages[[#This Row],[First labor date]]-tblWorkPackages[[#This Row],[Request date serial]]</f>
        <v>16</v>
      </c>
      <c r="AE1842" s="65">
        <f>tblWorkPackages[[#This Row],[Last labor date]]-tblWorkPackages[[#This Row],[First labor date]]</f>
        <v>1</v>
      </c>
      <c r="AF1842" s="65">
        <f>tblWorkPackages[[#This Row],[Completion date serial]]-tblWorkPackages[[#This Row],[Last labor date]]</f>
        <v>0</v>
      </c>
      <c r="AG1842" s="65">
        <f>tblWorkPackages[[#This Row],[Completion date serial]]-tblWorkPackages[[#This Row],[Request date serial]]</f>
        <v>17</v>
      </c>
      <c r="AH1842" s="65">
        <f>IFERROR(INDEX(tblParts[Delay days],MATCH(tblWorkPackages[[#This Row],[Work package ID]],tblParts[Work package ID],0)),0)</f>
        <v>0</v>
      </c>
      <c r="AI1842" s="51" t="str">
        <f>IFERROR(INDEX(tblDisruptions[Event type],MATCH(tblWorkPackages[[#This Row],[Work package ID]],tblDisruptions[Work package ID],0)),"None")</f>
        <v>None</v>
      </c>
      <c r="AJ1842" s="51" t="str">
        <f>TEXT(tblWorkPackages[[#This Row],[Due date serial]],"yyyy-mm")</f>
        <v>2025-11</v>
      </c>
    </row>
    <row r="1843" spans="1:36" ht="15" x14ac:dyDescent="0.25">
      <c r="A1843" s="53" t="s">
        <v>2754</v>
      </c>
      <c r="B1843" s="53" t="s">
        <v>287</v>
      </c>
      <c r="C1843" s="53" t="s">
        <v>1028</v>
      </c>
      <c r="D1843" s="53" t="s">
        <v>1425</v>
      </c>
      <c r="E1843" s="53" t="s">
        <v>144</v>
      </c>
      <c r="F1843" s="53" t="s">
        <v>145</v>
      </c>
      <c r="G1843" s="53" t="s">
        <v>146</v>
      </c>
      <c r="H1843" s="53">
        <v>3</v>
      </c>
      <c r="I1843" s="53" t="s">
        <v>130</v>
      </c>
      <c r="J1843" s="53">
        <v>0</v>
      </c>
      <c r="K1843" s="53">
        <v>0</v>
      </c>
      <c r="L1843" s="53">
        <v>13.1</v>
      </c>
      <c r="M1843" s="53" t="s">
        <v>1301</v>
      </c>
      <c r="N1843" s="53">
        <v>16.7</v>
      </c>
      <c r="O1843" s="51" t="str">
        <f>TEXT(tblWorkPackages[[#This Row],[Request date serial]]-WEEKDAY(tblWorkPackages[[#This Row],[Request date serial]],3),"yyyy-mm-dd")</f>
        <v>2025-11-17</v>
      </c>
      <c r="P1843" s="51">
        <f>ABS(tblWorkPackages[[#This Row],[Actual labor hours]]-tblWorkPackages[[#This Row],[Estimated labor hours]])</f>
        <v>3.6</v>
      </c>
      <c r="Q1843" s="51">
        <f>IF(tblWorkPackages[[#This Row],[Actual labor hours]]&gt;tblWorkPackages[[#This Row],[Estimated labor hours]],1,0)</f>
        <v>1</v>
      </c>
      <c r="R1843" s="51">
        <f>tblWorkPackages[[#This Row],[Actual labor hours]]-tblWorkPackages[[#This Row],[Estimated labor hours]]</f>
        <v>3.6</v>
      </c>
      <c r="S1843" s="51" t="str">
        <f>IF(tblWorkPackages[[#This Row],[Request date serial]]&lt;ValidationStart,"Train 2024",IF(tblWorkPackages[[#This Row],[Request date serial]]&lt;HoldoutStart,"Validation H1","Holdout H2"))</f>
        <v>Holdout H2</v>
      </c>
      <c r="T1843" s="51">
        <f>IF(tblWorkPackages[[#This Row],[Time split]]="Train 2024","",tblWorkPackages[[#This Row],[Estimated labor hours]]+VLOOKUP(tblWorkPackages[[#This Row],[Task type]],'Forecast validation'!$A$14:$E$25,IF(tblWorkPackages[[#This Row],[Time split]]="Validation H1",4,5),FALSE()))</f>
        <v>14.0735483870968</v>
      </c>
      <c r="U1843" s="51">
        <f>IF(tblWorkPackages[[#This Row],[Calibrated forecast hours]]="","",ABS(tblWorkPackages[[#This Row],[Actual labor hours]]-tblWorkPackages[[#This Row],[Calibrated forecast hours]]))</f>
        <v>2.62645161290322</v>
      </c>
      <c r="V1843" s="51">
        <f>IF(tblWorkPackages[[#This Row],[Time split]]="Train 2024",tblWorkPackages[[#This Row],[Estimated labor hours]],tblWorkPackages[[#This Row],[Calibrated forecast hours]])</f>
        <v>14.0735483870968</v>
      </c>
      <c r="W1843" s="64">
        <f>DATEVALUE(tblWorkPackages[[#This Row],[Request date]])</f>
        <v>45981.0</v>
      </c>
      <c r="X1843" s="64">
        <f>DATEVALUE(tblWorkPackages[[#This Row],[Due date]])</f>
        <v>45994.0</v>
      </c>
      <c r="Y1843" s="64">
        <f>DATEVALUE(tblWorkPackages[[#This Row],[Completion date]])</f>
        <v>45986.0</v>
      </c>
      <c r="Z1843" s="64">
        <f>_xlfn.MINIFS(tblLaborEntries[Work date serial],tblLaborEntries[Work package ID],tblWorkPackages[[#This Row],[Work package ID]])</f>
        <v>45985.0</v>
      </c>
      <c r="AA1843" s="64">
        <f>_xlfn.MAXIFS(tblLaborEntries[Work date serial],tblLaborEntries[Work package ID],tblWorkPackages[[#This Row],[Work package ID]])</f>
        <v>45985.0</v>
      </c>
      <c r="AB1843" s="65">
        <f>IF(tblWorkPackages[[#This Row],[Completion date serial]]&gt;tblWorkPackages[[#This Row],[Due date serial]],1,0)</f>
        <v>0</v>
      </c>
      <c r="AC1843" s="65">
        <f>MAX(0,tblWorkPackages[[#This Row],[Completion date serial]]-tblWorkPackages[[#This Row],[Due date serial]])</f>
        <v>0</v>
      </c>
      <c r="AD1843" s="65">
        <f>tblWorkPackages[[#This Row],[First labor date]]-tblWorkPackages[[#This Row],[Request date serial]]</f>
        <v>4</v>
      </c>
      <c r="AE1843" s="65">
        <f>tblWorkPackages[[#This Row],[Last labor date]]-tblWorkPackages[[#This Row],[First labor date]]</f>
        <v>0</v>
      </c>
      <c r="AF1843" s="65">
        <f>tblWorkPackages[[#This Row],[Completion date serial]]-tblWorkPackages[[#This Row],[Last labor date]]</f>
        <v>1</v>
      </c>
      <c r="AG1843" s="65">
        <f>tblWorkPackages[[#This Row],[Completion date serial]]-tblWorkPackages[[#This Row],[Request date serial]]</f>
        <v>5</v>
      </c>
      <c r="AH1843" s="65">
        <f>IFERROR(INDEX(tblParts[Delay days],MATCH(tblWorkPackages[[#This Row],[Work package ID]],tblParts[Work package ID],0)),0)</f>
        <v>0</v>
      </c>
      <c r="AI1843" s="51" t="str">
        <f>IFERROR(INDEX(tblDisruptions[Event type],MATCH(tblWorkPackages[[#This Row],[Work package ID]],tblDisruptions[Work package ID],0)),"None")</f>
        <v>None</v>
      </c>
      <c r="AJ1843" s="51" t="str">
        <f>TEXT(tblWorkPackages[[#This Row],[Due date serial]],"yyyy-mm")</f>
        <v>2025-12</v>
      </c>
    </row>
    <row r="1844" spans="1:36" ht="15" x14ac:dyDescent="0.25">
      <c r="A1844" s="53" t="s">
        <v>2755</v>
      </c>
      <c r="B1844" s="53" t="s">
        <v>173</v>
      </c>
      <c r="C1844" s="53" t="s">
        <v>545</v>
      </c>
      <c r="D1844" s="53" t="s">
        <v>1236</v>
      </c>
      <c r="E1844" s="53" t="s">
        <v>272</v>
      </c>
      <c r="F1844" s="53" t="s">
        <v>145</v>
      </c>
      <c r="G1844" s="53" t="s">
        <v>273</v>
      </c>
      <c r="H1844" s="53">
        <v>1</v>
      </c>
      <c r="I1844" s="53" t="s">
        <v>176</v>
      </c>
      <c r="J1844" s="53">
        <v>0</v>
      </c>
      <c r="K1844" s="53">
        <v>0</v>
      </c>
      <c r="L1844" s="53">
        <v>7.2</v>
      </c>
      <c r="M1844" s="53" t="s">
        <v>2048</v>
      </c>
      <c r="N1844" s="53">
        <v>8</v>
      </c>
      <c r="O1844" s="51" t="str">
        <f>TEXT(tblWorkPackages[[#This Row],[Request date serial]]-WEEKDAY(tblWorkPackages[[#This Row],[Request date serial]],3),"yyyy-mm-dd")</f>
        <v>2024-01-01</v>
      </c>
      <c r="P1844" s="51">
        <f>ABS(tblWorkPackages[[#This Row],[Actual labor hours]]-tblWorkPackages[[#This Row],[Estimated labor hours]])</f>
        <v>0.8</v>
      </c>
      <c r="Q1844" s="51">
        <f>IF(tblWorkPackages[[#This Row],[Actual labor hours]]&gt;tblWorkPackages[[#This Row],[Estimated labor hours]],1,0)</f>
        <v>1</v>
      </c>
      <c r="R1844" s="51">
        <f>tblWorkPackages[[#This Row],[Actual labor hours]]-tblWorkPackages[[#This Row],[Estimated labor hours]]</f>
        <v>0.8</v>
      </c>
      <c r="S1844" s="51" t="str">
        <f>IF(tblWorkPackages[[#This Row],[Request date serial]]&lt;ValidationStart,"Train 2024",IF(tblWorkPackages[[#This Row],[Request date serial]]&lt;HoldoutStart,"Validation H1","Holdout H2"))</f>
        <v>Train 2024</v>
      </c>
      <c r="T1844" s="51" t="str">
        <f>IF(tblWorkPackages[[#This Row],[Time split]]="Train 2024","",tblWorkPackages[[#This Row],[Estimated labor hours]]+VLOOKUP(tblWorkPackages[[#This Row],[Task type]],'Forecast validation'!$A$14:$E$25,IF(tblWorkPackages[[#This Row],[Time split]]="Validation H1",4,5),FALSE()))</f>
        <v/>
      </c>
      <c r="U1844" s="51" t="str">
        <f>IF(tblWorkPackages[[#This Row],[Calibrated forecast hours]]="","",ABS(tblWorkPackages[[#This Row],[Actual labor hours]]-tblWorkPackages[[#This Row],[Calibrated forecast hours]]))</f>
        <v/>
      </c>
      <c r="V1844" s="51">
        <f>IF(tblWorkPackages[[#This Row],[Time split]]="Train 2024",tblWorkPackages[[#This Row],[Estimated labor hours]],tblWorkPackages[[#This Row],[Calibrated forecast hours]])</f>
        <v>7.2</v>
      </c>
      <c r="W1844" s="64">
        <f>DATEVALUE(tblWorkPackages[[#This Row],[Request date]])</f>
        <v>45293.0</v>
      </c>
      <c r="X1844" s="64">
        <f>DATEVALUE(tblWorkPackages[[#This Row],[Due date]])</f>
        <v>45299.0</v>
      </c>
      <c r="Y1844" s="64">
        <f>DATEVALUE(tblWorkPackages[[#This Row],[Completion date]])</f>
        <v>45297.0</v>
      </c>
      <c r="Z1844" s="64">
        <f>_xlfn.MINIFS(tblLaborEntries[Work date serial],tblLaborEntries[Work package ID],tblWorkPackages[[#This Row],[Work package ID]])</f>
        <v>45294.0</v>
      </c>
      <c r="AA1844" s="64">
        <f>_xlfn.MAXIFS(tblLaborEntries[Work date serial],tblLaborEntries[Work package ID],tblWorkPackages[[#This Row],[Work package ID]])</f>
        <v>45295.0</v>
      </c>
      <c r="AB1844" s="65">
        <f>IF(tblWorkPackages[[#This Row],[Completion date serial]]&gt;tblWorkPackages[[#This Row],[Due date serial]],1,0)</f>
        <v>0</v>
      </c>
      <c r="AC1844" s="65">
        <f>MAX(0,tblWorkPackages[[#This Row],[Completion date serial]]-tblWorkPackages[[#This Row],[Due date serial]])</f>
        <v>0</v>
      </c>
      <c r="AD1844" s="65">
        <f>tblWorkPackages[[#This Row],[First labor date]]-tblWorkPackages[[#This Row],[Request date serial]]</f>
        <v>1</v>
      </c>
      <c r="AE1844" s="65">
        <f>tblWorkPackages[[#This Row],[Last labor date]]-tblWorkPackages[[#This Row],[First labor date]]</f>
        <v>1</v>
      </c>
      <c r="AF1844" s="65">
        <f>tblWorkPackages[[#This Row],[Completion date serial]]-tblWorkPackages[[#This Row],[Last labor date]]</f>
        <v>2</v>
      </c>
      <c r="AG1844" s="65">
        <f>tblWorkPackages[[#This Row],[Completion date serial]]-tblWorkPackages[[#This Row],[Request date serial]]</f>
        <v>4</v>
      </c>
      <c r="AH1844" s="65">
        <f>IFERROR(INDEX(tblParts[Delay days],MATCH(tblWorkPackages[[#This Row],[Work package ID]],tblParts[Work package ID],0)),0)</f>
        <v>0</v>
      </c>
      <c r="AI1844" s="51" t="str">
        <f>IFERROR(INDEX(tblDisruptions[Event type],MATCH(tblWorkPackages[[#This Row],[Work package ID]],tblDisruptions[Work package ID],0)),"None")</f>
        <v>None</v>
      </c>
      <c r="AJ1844" s="51" t="str">
        <f>TEXT(tblWorkPackages[[#This Row],[Due date serial]],"yyyy-mm")</f>
        <v>2024-01</v>
      </c>
    </row>
    <row r="1845" spans="1:36" ht="15" x14ac:dyDescent="0.25">
      <c r="A1845" s="53" t="s">
        <v>2756</v>
      </c>
      <c r="B1845" s="53" t="s">
        <v>133</v>
      </c>
      <c r="C1845" s="53" t="s">
        <v>312</v>
      </c>
      <c r="D1845" s="53" t="s">
        <v>192</v>
      </c>
      <c r="E1845" s="53" t="s">
        <v>272</v>
      </c>
      <c r="F1845" s="53" t="s">
        <v>145</v>
      </c>
      <c r="G1845" s="53" t="s">
        <v>273</v>
      </c>
      <c r="H1845" s="53">
        <v>1</v>
      </c>
      <c r="I1845" s="53" t="s">
        <v>130</v>
      </c>
      <c r="J1845" s="53">
        <v>0</v>
      </c>
      <c r="K1845" s="53">
        <v>1</v>
      </c>
      <c r="L1845" s="53">
        <v>6.8</v>
      </c>
      <c r="M1845" s="53" t="s">
        <v>885</v>
      </c>
      <c r="N1845" s="53">
        <v>5.5</v>
      </c>
      <c r="O1845" s="51" t="str">
        <f>TEXT(tblWorkPackages[[#This Row],[Request date serial]]-WEEKDAY(tblWorkPackages[[#This Row],[Request date serial]],3),"yyyy-mm-dd")</f>
        <v>2025-08-18</v>
      </c>
      <c r="P1845" s="51">
        <f>ABS(tblWorkPackages[[#This Row],[Actual labor hours]]-tblWorkPackages[[#This Row],[Estimated labor hours]])</f>
        <v>1.3</v>
      </c>
      <c r="Q1845" s="51">
        <f>IF(tblWorkPackages[[#This Row],[Actual labor hours]]&gt;tblWorkPackages[[#This Row],[Estimated labor hours]],1,0)</f>
        <v>0</v>
      </c>
      <c r="R1845" s="51">
        <f>tblWorkPackages[[#This Row],[Actual labor hours]]-tblWorkPackages[[#This Row],[Estimated labor hours]]</f>
        <v>-1.3</v>
      </c>
      <c r="S1845" s="51" t="str">
        <f>IF(tblWorkPackages[[#This Row],[Request date serial]]&lt;ValidationStart,"Train 2024",IF(tblWorkPackages[[#This Row],[Request date serial]]&lt;HoldoutStart,"Validation H1","Holdout H2"))</f>
        <v>Holdout H2</v>
      </c>
      <c r="T1845" s="51">
        <f>IF(tblWorkPackages[[#This Row],[Time split]]="Train 2024","",tblWorkPackages[[#This Row],[Estimated labor hours]]+VLOOKUP(tblWorkPackages[[#This Row],[Task type]],'Forecast validation'!$A$14:$E$25,IF(tblWorkPackages[[#This Row],[Time split]]="Validation H1",4,5),FALSE()))</f>
        <v>7.78515625</v>
      </c>
      <c r="U1845" s="51">
        <f>IF(tblWorkPackages[[#This Row],[Calibrated forecast hours]]="","",ABS(tblWorkPackages[[#This Row],[Actual labor hours]]-tblWorkPackages[[#This Row],[Calibrated forecast hours]]))</f>
        <v>2.28515625</v>
      </c>
      <c r="V1845" s="51">
        <f>IF(tblWorkPackages[[#This Row],[Time split]]="Train 2024",tblWorkPackages[[#This Row],[Estimated labor hours]],tblWorkPackages[[#This Row],[Calibrated forecast hours]])</f>
        <v>7.78515625</v>
      </c>
      <c r="W1845" s="64">
        <f>DATEVALUE(tblWorkPackages[[#This Row],[Request date]])</f>
        <v>45887.0</v>
      </c>
      <c r="X1845" s="64">
        <f>DATEVALUE(tblWorkPackages[[#This Row],[Due date]])</f>
        <v>45900.0</v>
      </c>
      <c r="Y1845" s="64">
        <f>DATEVALUE(tblWorkPackages[[#This Row],[Completion date]])</f>
        <v>45901.0</v>
      </c>
      <c r="Z1845" s="64">
        <f>_xlfn.MINIFS(tblLaborEntries[Work date serial],tblLaborEntries[Work package ID],tblWorkPackages[[#This Row],[Work package ID]])</f>
        <v>45897.0</v>
      </c>
      <c r="AA1845" s="64">
        <f>_xlfn.MAXIFS(tblLaborEntries[Work date serial],tblLaborEntries[Work package ID],tblWorkPackages[[#This Row],[Work package ID]])</f>
        <v>45898.0</v>
      </c>
      <c r="AB1845" s="65">
        <f>IF(tblWorkPackages[[#This Row],[Completion date serial]]&gt;tblWorkPackages[[#This Row],[Due date serial]],1,0)</f>
        <v>1</v>
      </c>
      <c r="AC1845" s="65">
        <f>MAX(0,tblWorkPackages[[#This Row],[Completion date serial]]-tblWorkPackages[[#This Row],[Due date serial]])</f>
        <v>1</v>
      </c>
      <c r="AD1845" s="65">
        <f>tblWorkPackages[[#This Row],[First labor date]]-tblWorkPackages[[#This Row],[Request date serial]]</f>
        <v>10</v>
      </c>
      <c r="AE1845" s="65">
        <f>tblWorkPackages[[#This Row],[Last labor date]]-tblWorkPackages[[#This Row],[First labor date]]</f>
        <v>1</v>
      </c>
      <c r="AF1845" s="65">
        <f>tblWorkPackages[[#This Row],[Completion date serial]]-tblWorkPackages[[#This Row],[Last labor date]]</f>
        <v>3</v>
      </c>
      <c r="AG1845" s="65">
        <f>tblWorkPackages[[#This Row],[Completion date serial]]-tblWorkPackages[[#This Row],[Request date serial]]</f>
        <v>14</v>
      </c>
      <c r="AH1845" s="65">
        <f>IFERROR(INDEX(tblParts[Delay days],MATCH(tblWorkPackages[[#This Row],[Work package ID]],tblParts[Work package ID],0)),0)</f>
        <v>0</v>
      </c>
      <c r="AI1845" s="51" t="str">
        <f>IFERROR(INDEX(tblDisruptions[Event type],MATCH(tblWorkPackages[[#This Row],[Work package ID]],tblDisruptions[Work package ID],0)),"None")</f>
        <v>None</v>
      </c>
      <c r="AJ1845" s="51" t="str">
        <f>TEXT(tblWorkPackages[[#This Row],[Due date serial]],"yyyy-mm")</f>
        <v>2025-08</v>
      </c>
    </row>
    <row r="1846" spans="1:36" ht="15" x14ac:dyDescent="0.25">
      <c r="A1846" s="53" t="s">
        <v>2757</v>
      </c>
      <c r="B1846" s="53" t="s">
        <v>287</v>
      </c>
      <c r="C1846" s="53" t="s">
        <v>260</v>
      </c>
      <c r="D1846" s="53" t="s">
        <v>1167</v>
      </c>
      <c r="E1846" s="53" t="s">
        <v>237</v>
      </c>
      <c r="F1846" s="53" t="s">
        <v>182</v>
      </c>
      <c r="G1846" s="53" t="s">
        <v>138</v>
      </c>
      <c r="H1846" s="53">
        <v>1</v>
      </c>
      <c r="I1846" s="53" t="s">
        <v>176</v>
      </c>
      <c r="J1846" s="53">
        <v>0</v>
      </c>
      <c r="K1846" s="53">
        <v>0</v>
      </c>
      <c r="L1846" s="53">
        <v>3.5</v>
      </c>
      <c r="M1846" s="53" t="s">
        <v>696</v>
      </c>
      <c r="N1846" s="53">
        <v>3.7</v>
      </c>
      <c r="O1846" s="51" t="str">
        <f>TEXT(tblWorkPackages[[#This Row],[Request date serial]]-WEEKDAY(tblWorkPackages[[#This Row],[Request date serial]],3),"yyyy-mm-dd")</f>
        <v>2025-01-27</v>
      </c>
      <c r="P1846" s="51">
        <f>ABS(tblWorkPackages[[#This Row],[Actual labor hours]]-tblWorkPackages[[#This Row],[Estimated labor hours]])</f>
        <v>0.2</v>
      </c>
      <c r="Q1846" s="51">
        <f>IF(tblWorkPackages[[#This Row],[Actual labor hours]]&gt;tblWorkPackages[[#This Row],[Estimated labor hours]],1,0)</f>
        <v>1</v>
      </c>
      <c r="R1846" s="51">
        <f>tblWorkPackages[[#This Row],[Actual labor hours]]-tblWorkPackages[[#This Row],[Estimated labor hours]]</f>
        <v>0.2</v>
      </c>
      <c r="S1846" s="51" t="str">
        <f>IF(tblWorkPackages[[#This Row],[Request date serial]]&lt;ValidationStart,"Train 2024",IF(tblWorkPackages[[#This Row],[Request date serial]]&lt;HoldoutStart,"Validation H1","Holdout H2"))</f>
        <v>Validation H1</v>
      </c>
      <c r="T1846" s="51">
        <f>IF(tblWorkPackages[[#This Row],[Time split]]="Train 2024","",tblWorkPackages[[#This Row],[Estimated labor hours]]+VLOOKUP(tblWorkPackages[[#This Row],[Task type]],'Forecast validation'!$A$14:$E$25,IF(tblWorkPackages[[#This Row],[Time split]]="Validation H1",4,5),FALSE()))</f>
        <v>4.0037037037037</v>
      </c>
      <c r="U1846" s="51">
        <f>IF(tblWorkPackages[[#This Row],[Calibrated forecast hours]]="","",ABS(tblWorkPackages[[#This Row],[Actual labor hours]]-tblWorkPackages[[#This Row],[Calibrated forecast hours]]))</f>
        <v>0.303703703703704</v>
      </c>
      <c r="V1846" s="51">
        <f>IF(tblWorkPackages[[#This Row],[Time split]]="Train 2024",tblWorkPackages[[#This Row],[Estimated labor hours]],tblWorkPackages[[#This Row],[Calibrated forecast hours]])</f>
        <v>4.0037037037037</v>
      </c>
      <c r="W1846" s="64">
        <f>DATEVALUE(tblWorkPackages[[#This Row],[Request date]])</f>
        <v>45686.0</v>
      </c>
      <c r="X1846" s="64">
        <f>DATEVALUE(tblWorkPackages[[#This Row],[Due date]])</f>
        <v>45692.0</v>
      </c>
      <c r="Y1846" s="64">
        <f>DATEVALUE(tblWorkPackages[[#This Row],[Completion date]])</f>
        <v>45690.0</v>
      </c>
      <c r="Z1846" s="64">
        <f>_xlfn.MINIFS(tblLaborEntries[Work date serial],tblLaborEntries[Work package ID],tblWorkPackages[[#This Row],[Work package ID]])</f>
        <v>45689.0</v>
      </c>
      <c r="AA1846" s="64">
        <f>_xlfn.MAXIFS(tblLaborEntries[Work date serial],tblLaborEntries[Work package ID],tblWorkPackages[[#This Row],[Work package ID]])</f>
        <v>45690.0</v>
      </c>
      <c r="AB1846" s="65">
        <f>IF(tblWorkPackages[[#This Row],[Completion date serial]]&gt;tblWorkPackages[[#This Row],[Due date serial]],1,0)</f>
        <v>0</v>
      </c>
      <c r="AC1846" s="65">
        <f>MAX(0,tblWorkPackages[[#This Row],[Completion date serial]]-tblWorkPackages[[#This Row],[Due date serial]])</f>
        <v>0</v>
      </c>
      <c r="AD1846" s="65">
        <f>tblWorkPackages[[#This Row],[First labor date]]-tblWorkPackages[[#This Row],[Request date serial]]</f>
        <v>3</v>
      </c>
      <c r="AE1846" s="65">
        <f>tblWorkPackages[[#This Row],[Last labor date]]-tblWorkPackages[[#This Row],[First labor date]]</f>
        <v>1</v>
      </c>
      <c r="AF1846" s="65">
        <f>tblWorkPackages[[#This Row],[Completion date serial]]-tblWorkPackages[[#This Row],[Last labor date]]</f>
        <v>0</v>
      </c>
      <c r="AG1846" s="65">
        <f>tblWorkPackages[[#This Row],[Completion date serial]]-tblWorkPackages[[#This Row],[Request date serial]]</f>
        <v>4</v>
      </c>
      <c r="AH1846" s="65">
        <f>IFERROR(INDEX(tblParts[Delay days],MATCH(tblWorkPackages[[#This Row],[Work package ID]],tblParts[Work package ID],0)),0)</f>
        <v>0</v>
      </c>
      <c r="AI1846" s="51" t="str">
        <f>IFERROR(INDEX(tblDisruptions[Event type],MATCH(tblWorkPackages[[#This Row],[Work package ID]],tblDisruptions[Work package ID],0)),"None")</f>
        <v>None</v>
      </c>
      <c r="AJ1846" s="51" t="str">
        <f>TEXT(tblWorkPackages[[#This Row],[Due date serial]],"yyyy-mm")</f>
        <v>2025-02</v>
      </c>
    </row>
    <row r="1847" spans="1:36" ht="15" x14ac:dyDescent="0.25">
      <c r="A1847" s="53" t="s">
        <v>2758</v>
      </c>
      <c r="B1847" s="53" t="s">
        <v>173</v>
      </c>
      <c r="C1847" s="53" t="s">
        <v>854</v>
      </c>
      <c r="D1847" s="53" t="s">
        <v>1089</v>
      </c>
      <c r="E1847" s="53" t="s">
        <v>127</v>
      </c>
      <c r="F1847" s="53" t="s">
        <v>128</v>
      </c>
      <c r="G1847" s="53" t="s">
        <v>129</v>
      </c>
      <c r="H1847" s="53">
        <v>3</v>
      </c>
      <c r="I1847" s="53" t="s">
        <v>130</v>
      </c>
      <c r="J1847" s="53">
        <v>0</v>
      </c>
      <c r="K1847" s="53">
        <v>1</v>
      </c>
      <c r="L1847" s="53">
        <v>9.3000000000000007</v>
      </c>
      <c r="M1847" s="53" t="s">
        <v>263</v>
      </c>
      <c r="N1847" s="53">
        <v>11.9</v>
      </c>
      <c r="O1847" s="51" t="str">
        <f>TEXT(tblWorkPackages[[#This Row],[Request date serial]]-WEEKDAY(tblWorkPackages[[#This Row],[Request date serial]],3),"yyyy-mm-dd")</f>
        <v>2024-07-15</v>
      </c>
      <c r="P1847" s="51">
        <f>ABS(tblWorkPackages[[#This Row],[Actual labor hours]]-tblWorkPackages[[#This Row],[Estimated labor hours]])</f>
        <v>2.6</v>
      </c>
      <c r="Q1847" s="51">
        <f>IF(tblWorkPackages[[#This Row],[Actual labor hours]]&gt;tblWorkPackages[[#This Row],[Estimated labor hours]],1,0)</f>
        <v>1</v>
      </c>
      <c r="R1847" s="51">
        <f>tblWorkPackages[[#This Row],[Actual labor hours]]-tblWorkPackages[[#This Row],[Estimated labor hours]]</f>
        <v>2.6</v>
      </c>
      <c r="S1847" s="51" t="str">
        <f>IF(tblWorkPackages[[#This Row],[Request date serial]]&lt;ValidationStart,"Train 2024",IF(tblWorkPackages[[#This Row],[Request date serial]]&lt;HoldoutStart,"Validation H1","Holdout H2"))</f>
        <v>Train 2024</v>
      </c>
      <c r="T1847" s="51" t="str">
        <f>IF(tblWorkPackages[[#This Row],[Time split]]="Train 2024","",tblWorkPackages[[#This Row],[Estimated labor hours]]+VLOOKUP(tblWorkPackages[[#This Row],[Task type]],'Forecast validation'!$A$14:$E$25,IF(tblWorkPackages[[#This Row],[Time split]]="Validation H1",4,5),FALSE()))</f>
        <v/>
      </c>
      <c r="U1847" s="51" t="str">
        <f>IF(tblWorkPackages[[#This Row],[Calibrated forecast hours]]="","",ABS(tblWorkPackages[[#This Row],[Actual labor hours]]-tblWorkPackages[[#This Row],[Calibrated forecast hours]]))</f>
        <v/>
      </c>
      <c r="V1847" s="51">
        <f>IF(tblWorkPackages[[#This Row],[Time split]]="Train 2024",tblWorkPackages[[#This Row],[Estimated labor hours]],tblWorkPackages[[#This Row],[Calibrated forecast hours]])</f>
        <v>9.3</v>
      </c>
      <c r="W1847" s="64">
        <f>DATEVALUE(tblWorkPackages[[#This Row],[Request date]])</f>
        <v>45492.0</v>
      </c>
      <c r="X1847" s="64">
        <f>DATEVALUE(tblWorkPackages[[#This Row],[Due date]])</f>
        <v>45505.0</v>
      </c>
      <c r="Y1847" s="64">
        <f>DATEVALUE(tblWorkPackages[[#This Row],[Completion date]])</f>
        <v>45522.0</v>
      </c>
      <c r="Z1847" s="64">
        <f>_xlfn.MINIFS(tblLaborEntries[Work date serial],tblLaborEntries[Work package ID],tblWorkPackages[[#This Row],[Work package ID]])</f>
        <v>45520.0</v>
      </c>
      <c r="AA1847" s="64">
        <f>_xlfn.MAXIFS(tblLaborEntries[Work date serial],tblLaborEntries[Work package ID],tblWorkPackages[[#This Row],[Work package ID]])</f>
        <v>45521.0</v>
      </c>
      <c r="AB1847" s="65">
        <f>IF(tblWorkPackages[[#This Row],[Completion date serial]]&gt;tblWorkPackages[[#This Row],[Due date serial]],1,0)</f>
        <v>1</v>
      </c>
      <c r="AC1847" s="65">
        <f>MAX(0,tblWorkPackages[[#This Row],[Completion date serial]]-tblWorkPackages[[#This Row],[Due date serial]])</f>
        <v>17</v>
      </c>
      <c r="AD1847" s="65">
        <f>tblWorkPackages[[#This Row],[First labor date]]-tblWorkPackages[[#This Row],[Request date serial]]</f>
        <v>28</v>
      </c>
      <c r="AE1847" s="65">
        <f>tblWorkPackages[[#This Row],[Last labor date]]-tblWorkPackages[[#This Row],[First labor date]]</f>
        <v>1</v>
      </c>
      <c r="AF1847" s="65">
        <f>tblWorkPackages[[#This Row],[Completion date serial]]-tblWorkPackages[[#This Row],[Last labor date]]</f>
        <v>1</v>
      </c>
      <c r="AG1847" s="65">
        <f>tblWorkPackages[[#This Row],[Completion date serial]]-tblWorkPackages[[#This Row],[Request date serial]]</f>
        <v>30</v>
      </c>
      <c r="AH1847" s="65">
        <f>IFERROR(INDEX(tblParts[Delay days],MATCH(tblWorkPackages[[#This Row],[Work package ID]],tblParts[Work package ID],0)),0)</f>
        <v>0</v>
      </c>
      <c r="AI1847" s="51" t="str">
        <f>IFERROR(INDEX(tblDisruptions[Event type],MATCH(tblWorkPackages[[#This Row],[Work package ID]],tblDisruptions[Work package ID],0)),"None")</f>
        <v>None</v>
      </c>
      <c r="AJ1847" s="51" t="str">
        <f>TEXT(tblWorkPackages[[#This Row],[Due date serial]],"yyyy-mm")</f>
        <v>2024-08</v>
      </c>
    </row>
    <row r="1848" spans="1:36" ht="15" x14ac:dyDescent="0.25">
      <c r="A1848" s="53" t="s">
        <v>2759</v>
      </c>
      <c r="B1848" s="53" t="s">
        <v>150</v>
      </c>
      <c r="C1848" s="53" t="s">
        <v>155</v>
      </c>
      <c r="D1848" s="53" t="s">
        <v>874</v>
      </c>
      <c r="E1848" s="53" t="s">
        <v>181</v>
      </c>
      <c r="F1848" s="53" t="s">
        <v>182</v>
      </c>
      <c r="G1848" s="53" t="s">
        <v>138</v>
      </c>
      <c r="H1848" s="53">
        <v>4</v>
      </c>
      <c r="I1848" s="53" t="s">
        <v>130</v>
      </c>
      <c r="J1848" s="53">
        <v>0</v>
      </c>
      <c r="K1848" s="53">
        <v>0</v>
      </c>
      <c r="L1848" s="53">
        <v>13.9</v>
      </c>
      <c r="M1848" s="53" t="s">
        <v>294</v>
      </c>
      <c r="N1848" s="53">
        <v>14.7</v>
      </c>
      <c r="O1848" s="51" t="str">
        <f>TEXT(tblWorkPackages[[#This Row],[Request date serial]]-WEEKDAY(tblWorkPackages[[#This Row],[Request date serial]],3),"yyyy-mm-dd")</f>
        <v>2024-08-26</v>
      </c>
      <c r="P1848" s="51">
        <f>ABS(tblWorkPackages[[#This Row],[Actual labor hours]]-tblWorkPackages[[#This Row],[Estimated labor hours]])</f>
        <v>0.799999999999999</v>
      </c>
      <c r="Q1848" s="51">
        <f>IF(tblWorkPackages[[#This Row],[Actual labor hours]]&gt;tblWorkPackages[[#This Row],[Estimated labor hours]],1,0)</f>
        <v>1</v>
      </c>
      <c r="R1848" s="51">
        <f>tblWorkPackages[[#This Row],[Actual labor hours]]-tblWorkPackages[[#This Row],[Estimated labor hours]]</f>
        <v>0.799999999999999</v>
      </c>
      <c r="S1848" s="51" t="str">
        <f>IF(tblWorkPackages[[#This Row],[Request date serial]]&lt;ValidationStart,"Train 2024",IF(tblWorkPackages[[#This Row],[Request date serial]]&lt;HoldoutStart,"Validation H1","Holdout H2"))</f>
        <v>Train 2024</v>
      </c>
      <c r="T1848" s="51" t="str">
        <f>IF(tblWorkPackages[[#This Row],[Time split]]="Train 2024","",tblWorkPackages[[#This Row],[Estimated labor hours]]+VLOOKUP(tblWorkPackages[[#This Row],[Task type]],'Forecast validation'!$A$14:$E$25,IF(tblWorkPackages[[#This Row],[Time split]]="Validation H1",4,5),FALSE()))</f>
        <v/>
      </c>
      <c r="U1848" s="51" t="str">
        <f>IF(tblWorkPackages[[#This Row],[Calibrated forecast hours]]="","",ABS(tblWorkPackages[[#This Row],[Actual labor hours]]-tblWorkPackages[[#This Row],[Calibrated forecast hours]]))</f>
        <v/>
      </c>
      <c r="V1848" s="51">
        <f>IF(tblWorkPackages[[#This Row],[Time split]]="Train 2024",tblWorkPackages[[#This Row],[Estimated labor hours]],tblWorkPackages[[#This Row],[Calibrated forecast hours]])</f>
        <v>13.9</v>
      </c>
      <c r="W1848" s="64">
        <f>DATEVALUE(tblWorkPackages[[#This Row],[Request date]])</f>
        <v>45535.0</v>
      </c>
      <c r="X1848" s="64">
        <f>DATEVALUE(tblWorkPackages[[#This Row],[Due date]])</f>
        <v>45548.0</v>
      </c>
      <c r="Y1848" s="64">
        <f>DATEVALUE(tblWorkPackages[[#This Row],[Completion date]])</f>
        <v>45543.0</v>
      </c>
      <c r="Z1848" s="64">
        <f>_xlfn.MINIFS(tblLaborEntries[Work date serial],tblLaborEntries[Work package ID],tblWorkPackages[[#This Row],[Work package ID]])</f>
        <v>45540.0</v>
      </c>
      <c r="AA1848" s="64">
        <f>_xlfn.MAXIFS(tblLaborEntries[Work date serial],tblLaborEntries[Work package ID],tblWorkPackages[[#This Row],[Work package ID]])</f>
        <v>45541.0</v>
      </c>
      <c r="AB1848" s="65">
        <f>IF(tblWorkPackages[[#This Row],[Completion date serial]]&gt;tblWorkPackages[[#This Row],[Due date serial]],1,0)</f>
        <v>0</v>
      </c>
      <c r="AC1848" s="65">
        <f>MAX(0,tblWorkPackages[[#This Row],[Completion date serial]]-tblWorkPackages[[#This Row],[Due date serial]])</f>
        <v>0</v>
      </c>
      <c r="AD1848" s="65">
        <f>tblWorkPackages[[#This Row],[First labor date]]-tblWorkPackages[[#This Row],[Request date serial]]</f>
        <v>5</v>
      </c>
      <c r="AE1848" s="65">
        <f>tblWorkPackages[[#This Row],[Last labor date]]-tblWorkPackages[[#This Row],[First labor date]]</f>
        <v>1</v>
      </c>
      <c r="AF1848" s="65">
        <f>tblWorkPackages[[#This Row],[Completion date serial]]-tblWorkPackages[[#This Row],[Last labor date]]</f>
        <v>2</v>
      </c>
      <c r="AG1848" s="65">
        <f>tblWorkPackages[[#This Row],[Completion date serial]]-tblWorkPackages[[#This Row],[Request date serial]]</f>
        <v>8</v>
      </c>
      <c r="AH1848" s="65">
        <f>IFERROR(INDEX(tblParts[Delay days],MATCH(tblWorkPackages[[#This Row],[Work package ID]],tblParts[Work package ID],0)),0)</f>
        <v>0</v>
      </c>
      <c r="AI1848" s="51" t="str">
        <f>IFERROR(INDEX(tblDisruptions[Event type],MATCH(tblWorkPackages[[#This Row],[Work package ID]],tblDisruptions[Work package ID],0)),"None")</f>
        <v>None</v>
      </c>
      <c r="AJ1848" s="51" t="str">
        <f>TEXT(tblWorkPackages[[#This Row],[Due date serial]],"yyyy-mm")</f>
        <v>2024-09</v>
      </c>
    </row>
    <row r="1849" spans="1:36" ht="15" x14ac:dyDescent="0.25">
      <c r="A1849" s="53" t="s">
        <v>2760</v>
      </c>
      <c r="B1849" s="53" t="s">
        <v>168</v>
      </c>
      <c r="C1849" s="53" t="s">
        <v>1019</v>
      </c>
      <c r="D1849" s="53" t="s">
        <v>520</v>
      </c>
      <c r="E1849" s="53" t="s">
        <v>237</v>
      </c>
      <c r="F1849" s="53" t="s">
        <v>182</v>
      </c>
      <c r="G1849" s="53" t="s">
        <v>138</v>
      </c>
      <c r="H1849" s="53">
        <v>4</v>
      </c>
      <c r="I1849" s="53" t="s">
        <v>176</v>
      </c>
      <c r="J1849" s="53">
        <v>0</v>
      </c>
      <c r="K1849" s="53">
        <v>0</v>
      </c>
      <c r="L1849" s="53">
        <v>9.3000000000000007</v>
      </c>
      <c r="M1849" s="53" t="s">
        <v>1361</v>
      </c>
      <c r="N1849" s="53">
        <v>10.199999999999999</v>
      </c>
      <c r="O1849" s="51" t="str">
        <f>TEXT(tblWorkPackages[[#This Row],[Request date serial]]-WEEKDAY(tblWorkPackages[[#This Row],[Request date serial]],3),"yyyy-mm-dd")</f>
        <v>2025-08-11</v>
      </c>
      <c r="P1849" s="51">
        <f>ABS(tblWorkPackages[[#This Row],[Actual labor hours]]-tblWorkPackages[[#This Row],[Estimated labor hours]])</f>
        <v>0.899999999999999</v>
      </c>
      <c r="Q1849" s="51">
        <f>IF(tblWorkPackages[[#This Row],[Actual labor hours]]&gt;tblWorkPackages[[#This Row],[Estimated labor hours]],1,0)</f>
        <v>1</v>
      </c>
      <c r="R1849" s="51">
        <f>tblWorkPackages[[#This Row],[Actual labor hours]]-tblWorkPackages[[#This Row],[Estimated labor hours]]</f>
        <v>0.899999999999999</v>
      </c>
      <c r="S1849" s="51" t="str">
        <f>IF(tblWorkPackages[[#This Row],[Request date serial]]&lt;ValidationStart,"Train 2024",IF(tblWorkPackages[[#This Row],[Request date serial]]&lt;HoldoutStart,"Validation H1","Holdout H2"))</f>
        <v>Holdout H2</v>
      </c>
      <c r="T1849" s="51">
        <f>IF(tblWorkPackages[[#This Row],[Time split]]="Train 2024","",tblWorkPackages[[#This Row],[Estimated labor hours]]+VLOOKUP(tblWorkPackages[[#This Row],[Task type]],'Forecast validation'!$A$14:$E$25,IF(tblWorkPackages[[#This Row],[Time split]]="Validation H1",4,5),FALSE()))</f>
        <v>9.753125</v>
      </c>
      <c r="U1849" s="51">
        <f>IF(tblWorkPackages[[#This Row],[Calibrated forecast hours]]="","",ABS(tblWorkPackages[[#This Row],[Actual labor hours]]-tblWorkPackages[[#This Row],[Calibrated forecast hours]]))</f>
        <v>0.446874999999999</v>
      </c>
      <c r="V1849" s="51">
        <f>IF(tblWorkPackages[[#This Row],[Time split]]="Train 2024",tblWorkPackages[[#This Row],[Estimated labor hours]],tblWorkPackages[[#This Row],[Calibrated forecast hours]])</f>
        <v>9.753125</v>
      </c>
      <c r="W1849" s="64">
        <f>DATEVALUE(tblWorkPackages[[#This Row],[Request date]])</f>
        <v>45884.0</v>
      </c>
      <c r="X1849" s="64">
        <f>DATEVALUE(tblWorkPackages[[#This Row],[Due date]])</f>
        <v>45890.0</v>
      </c>
      <c r="Y1849" s="64">
        <f>DATEVALUE(tblWorkPackages[[#This Row],[Completion date]])</f>
        <v>45889.0</v>
      </c>
      <c r="Z1849" s="64">
        <f>_xlfn.MINIFS(tblLaborEntries[Work date serial],tblLaborEntries[Work package ID],tblWorkPackages[[#This Row],[Work package ID]])</f>
        <v>45886.0</v>
      </c>
      <c r="AA1849" s="64">
        <f>_xlfn.MAXIFS(tblLaborEntries[Work date serial],tblLaborEntries[Work package ID],tblWorkPackages[[#This Row],[Work package ID]])</f>
        <v>45886.0</v>
      </c>
      <c r="AB1849" s="65">
        <f>IF(tblWorkPackages[[#This Row],[Completion date serial]]&gt;tblWorkPackages[[#This Row],[Due date serial]],1,0)</f>
        <v>0</v>
      </c>
      <c r="AC1849" s="65">
        <f>MAX(0,tblWorkPackages[[#This Row],[Completion date serial]]-tblWorkPackages[[#This Row],[Due date serial]])</f>
        <v>0</v>
      </c>
      <c r="AD1849" s="65">
        <f>tblWorkPackages[[#This Row],[First labor date]]-tblWorkPackages[[#This Row],[Request date serial]]</f>
        <v>2</v>
      </c>
      <c r="AE1849" s="65">
        <f>tblWorkPackages[[#This Row],[Last labor date]]-tblWorkPackages[[#This Row],[First labor date]]</f>
        <v>0</v>
      </c>
      <c r="AF1849" s="65">
        <f>tblWorkPackages[[#This Row],[Completion date serial]]-tblWorkPackages[[#This Row],[Last labor date]]</f>
        <v>3</v>
      </c>
      <c r="AG1849" s="65">
        <f>tblWorkPackages[[#This Row],[Completion date serial]]-tblWorkPackages[[#This Row],[Request date serial]]</f>
        <v>5</v>
      </c>
      <c r="AH1849" s="65">
        <f>IFERROR(INDEX(tblParts[Delay days],MATCH(tblWorkPackages[[#This Row],[Work package ID]],tblParts[Work package ID],0)),0)</f>
        <v>0</v>
      </c>
      <c r="AI1849" s="51" t="str">
        <f>IFERROR(INDEX(tblDisruptions[Event type],MATCH(tblWorkPackages[[#This Row],[Work package ID]],tblDisruptions[Work package ID],0)),"None")</f>
        <v>None</v>
      </c>
      <c r="AJ1849" s="51" t="str">
        <f>TEXT(tblWorkPackages[[#This Row],[Due date serial]],"yyyy-mm")</f>
        <v>2025-08</v>
      </c>
    </row>
    <row r="1850" spans="1:36" ht="15" x14ac:dyDescent="0.25">
      <c r="A1850" s="53" t="s">
        <v>2761</v>
      </c>
      <c r="B1850" s="53" t="s">
        <v>230</v>
      </c>
      <c r="C1850" s="53" t="s">
        <v>1191</v>
      </c>
      <c r="D1850" s="53" t="s">
        <v>687</v>
      </c>
      <c r="E1850" s="53" t="s">
        <v>200</v>
      </c>
      <c r="F1850" s="53" t="s">
        <v>128</v>
      </c>
      <c r="G1850" s="53" t="s">
        <v>129</v>
      </c>
      <c r="H1850" s="53">
        <v>4</v>
      </c>
      <c r="I1850" s="53" t="s">
        <v>130</v>
      </c>
      <c r="J1850" s="53">
        <v>0</v>
      </c>
      <c r="K1850" s="53">
        <v>0</v>
      </c>
      <c r="L1850" s="53">
        <v>6.5</v>
      </c>
      <c r="M1850" s="53" t="s">
        <v>1480</v>
      </c>
      <c r="N1850" s="53">
        <v>8.3000000000000007</v>
      </c>
      <c r="O1850" s="51" t="str">
        <f>TEXT(tblWorkPackages[[#This Row],[Request date serial]]-WEEKDAY(tblWorkPackages[[#This Row],[Request date serial]],3),"yyyy-mm-dd")</f>
        <v>2025-03-24</v>
      </c>
      <c r="P1850" s="51">
        <f>ABS(tblWorkPackages[[#This Row],[Actual labor hours]]-tblWorkPackages[[#This Row],[Estimated labor hours]])</f>
        <v>1.8</v>
      </c>
      <c r="Q1850" s="51">
        <f>IF(tblWorkPackages[[#This Row],[Actual labor hours]]&gt;tblWorkPackages[[#This Row],[Estimated labor hours]],1,0)</f>
        <v>1</v>
      </c>
      <c r="R1850" s="51">
        <f>tblWorkPackages[[#This Row],[Actual labor hours]]-tblWorkPackages[[#This Row],[Estimated labor hours]]</f>
        <v>1.8</v>
      </c>
      <c r="S1850" s="51" t="str">
        <f>IF(tblWorkPackages[[#This Row],[Request date serial]]&lt;ValidationStart,"Train 2024",IF(tblWorkPackages[[#This Row],[Request date serial]]&lt;HoldoutStart,"Validation H1","Holdout H2"))</f>
        <v>Validation H1</v>
      </c>
      <c r="T1850" s="51">
        <f>IF(tblWorkPackages[[#This Row],[Time split]]="Train 2024","",tblWorkPackages[[#This Row],[Estimated labor hours]]+VLOOKUP(tblWorkPackages[[#This Row],[Task type]],'Forecast validation'!$A$14:$E$25,IF(tblWorkPackages[[#This Row],[Time split]]="Validation H1",4,5),FALSE()))</f>
        <v>6.83069306930693</v>
      </c>
      <c r="U1850" s="51">
        <f>IF(tblWorkPackages[[#This Row],[Calibrated forecast hours]]="","",ABS(tblWorkPackages[[#This Row],[Actual labor hours]]-tblWorkPackages[[#This Row],[Calibrated forecast hours]]))</f>
        <v>1.46930693069307</v>
      </c>
      <c r="V1850" s="51">
        <f>IF(tblWorkPackages[[#This Row],[Time split]]="Train 2024",tblWorkPackages[[#This Row],[Estimated labor hours]],tblWorkPackages[[#This Row],[Calibrated forecast hours]])</f>
        <v>6.83069306930693</v>
      </c>
      <c r="W1850" s="64">
        <f>DATEVALUE(tblWorkPackages[[#This Row],[Request date]])</f>
        <v>45740.0</v>
      </c>
      <c r="X1850" s="64">
        <f>DATEVALUE(tblWorkPackages[[#This Row],[Due date]])</f>
        <v>45753.0</v>
      </c>
      <c r="Y1850" s="64">
        <f>DATEVALUE(tblWorkPackages[[#This Row],[Completion date]])</f>
        <v>45754.0</v>
      </c>
      <c r="Z1850" s="64">
        <f>_xlfn.MINIFS(tblLaborEntries[Work date serial],tblLaborEntries[Work package ID],tblWorkPackages[[#This Row],[Work package ID]])</f>
        <v>45753.0</v>
      </c>
      <c r="AA1850" s="64">
        <f>_xlfn.MAXIFS(tblLaborEntries[Work date serial],tblLaborEntries[Work package ID],tblWorkPackages[[#This Row],[Work package ID]])</f>
        <v>45754.0</v>
      </c>
      <c r="AB1850" s="65">
        <f>IF(tblWorkPackages[[#This Row],[Completion date serial]]&gt;tblWorkPackages[[#This Row],[Due date serial]],1,0)</f>
        <v>1</v>
      </c>
      <c r="AC1850" s="65">
        <f>MAX(0,tblWorkPackages[[#This Row],[Completion date serial]]-tblWorkPackages[[#This Row],[Due date serial]])</f>
        <v>1</v>
      </c>
      <c r="AD1850" s="65">
        <f>tblWorkPackages[[#This Row],[First labor date]]-tblWorkPackages[[#This Row],[Request date serial]]</f>
        <v>13</v>
      </c>
      <c r="AE1850" s="65">
        <f>tblWorkPackages[[#This Row],[Last labor date]]-tblWorkPackages[[#This Row],[First labor date]]</f>
        <v>1</v>
      </c>
      <c r="AF1850" s="65">
        <f>tblWorkPackages[[#This Row],[Completion date serial]]-tblWorkPackages[[#This Row],[Last labor date]]</f>
        <v>0</v>
      </c>
      <c r="AG1850" s="65">
        <f>tblWorkPackages[[#This Row],[Completion date serial]]-tblWorkPackages[[#This Row],[Request date serial]]</f>
        <v>14</v>
      </c>
      <c r="AH1850" s="65">
        <f>IFERROR(INDEX(tblParts[Delay days],MATCH(tblWorkPackages[[#This Row],[Work package ID]],tblParts[Work package ID],0)),0)</f>
        <v>0</v>
      </c>
      <c r="AI1850" s="51" t="str">
        <f>IFERROR(INDEX(tblDisruptions[Event type],MATCH(tblWorkPackages[[#This Row],[Work package ID]],tblDisruptions[Work package ID],0)),"None")</f>
        <v>None</v>
      </c>
      <c r="AJ1850" s="51" t="str">
        <f>TEXT(tblWorkPackages[[#This Row],[Due date serial]],"yyyy-mm")</f>
        <v>2025-04</v>
      </c>
    </row>
    <row r="1851" spans="1:36" ht="15" x14ac:dyDescent="0.25">
      <c r="A1851" s="53" t="s">
        <v>2762</v>
      </c>
      <c r="B1851" s="53" t="s">
        <v>163</v>
      </c>
      <c r="C1851" s="53" t="s">
        <v>966</v>
      </c>
      <c r="D1851" s="53" t="s">
        <v>589</v>
      </c>
      <c r="E1851" s="53" t="s">
        <v>144</v>
      </c>
      <c r="F1851" s="53" t="s">
        <v>145</v>
      </c>
      <c r="G1851" s="53" t="s">
        <v>146</v>
      </c>
      <c r="H1851" s="53">
        <v>1</v>
      </c>
      <c r="I1851" s="53" t="s">
        <v>176</v>
      </c>
      <c r="J1851" s="53">
        <v>0</v>
      </c>
      <c r="K1851" s="53">
        <v>1</v>
      </c>
      <c r="L1851" s="53">
        <v>7.3</v>
      </c>
      <c r="M1851" s="53" t="s">
        <v>871</v>
      </c>
      <c r="N1851" s="53">
        <v>5.9</v>
      </c>
      <c r="O1851" s="51" t="str">
        <f>TEXT(tblWorkPackages[[#This Row],[Request date serial]]-WEEKDAY(tblWorkPackages[[#This Row],[Request date serial]],3),"yyyy-mm-dd")</f>
        <v>2025-03-17</v>
      </c>
      <c r="P1851" s="51">
        <f>ABS(tblWorkPackages[[#This Row],[Actual labor hours]]-tblWorkPackages[[#This Row],[Estimated labor hours]])</f>
        <v>1.4</v>
      </c>
      <c r="Q1851" s="51">
        <f>IF(tblWorkPackages[[#This Row],[Actual labor hours]]&gt;tblWorkPackages[[#This Row],[Estimated labor hours]],1,0)</f>
        <v>0</v>
      </c>
      <c r="R1851" s="51">
        <f>tblWorkPackages[[#This Row],[Actual labor hours]]-tblWorkPackages[[#This Row],[Estimated labor hours]]</f>
        <v>-1.4</v>
      </c>
      <c r="S1851" s="51" t="str">
        <f>IF(tblWorkPackages[[#This Row],[Request date serial]]&lt;ValidationStart,"Train 2024",IF(tblWorkPackages[[#This Row],[Request date serial]]&lt;HoldoutStart,"Validation H1","Holdout H2"))</f>
        <v>Validation H1</v>
      </c>
      <c r="T1851" s="51">
        <f>IF(tblWorkPackages[[#This Row],[Time split]]="Train 2024","",tblWorkPackages[[#This Row],[Estimated labor hours]]+VLOOKUP(tblWorkPackages[[#This Row],[Task type]],'Forecast validation'!$A$14:$E$25,IF(tblWorkPackages[[#This Row],[Time split]]="Validation H1",4,5),FALSE()))</f>
        <v>8.05473684210526</v>
      </c>
      <c r="U1851" s="51">
        <f>IF(tblWorkPackages[[#This Row],[Calibrated forecast hours]]="","",ABS(tblWorkPackages[[#This Row],[Actual labor hours]]-tblWorkPackages[[#This Row],[Calibrated forecast hours]]))</f>
        <v>2.15473684210526</v>
      </c>
      <c r="V1851" s="51">
        <f>IF(tblWorkPackages[[#This Row],[Time split]]="Train 2024",tblWorkPackages[[#This Row],[Estimated labor hours]],tblWorkPackages[[#This Row],[Calibrated forecast hours]])</f>
        <v>8.05473684210526</v>
      </c>
      <c r="W1851" s="64">
        <f>DATEVALUE(tblWorkPackages[[#This Row],[Request date]])</f>
        <v>45733.0</v>
      </c>
      <c r="X1851" s="64">
        <f>DATEVALUE(tblWorkPackages[[#This Row],[Due date]])</f>
        <v>45739.0</v>
      </c>
      <c r="Y1851" s="64">
        <f>DATEVALUE(tblWorkPackages[[#This Row],[Completion date]])</f>
        <v>45738.0</v>
      </c>
      <c r="Z1851" s="64">
        <f>_xlfn.MINIFS(tblLaborEntries[Work date serial],tblLaborEntries[Work package ID],tblWorkPackages[[#This Row],[Work package ID]])</f>
        <v>45736.0</v>
      </c>
      <c r="AA1851" s="64">
        <f>_xlfn.MAXIFS(tblLaborEntries[Work date serial],tblLaborEntries[Work package ID],tblWorkPackages[[#This Row],[Work package ID]])</f>
        <v>45737.0</v>
      </c>
      <c r="AB1851" s="65">
        <f>IF(tblWorkPackages[[#This Row],[Completion date serial]]&gt;tblWorkPackages[[#This Row],[Due date serial]],1,0)</f>
        <v>0</v>
      </c>
      <c r="AC1851" s="65">
        <f>MAX(0,tblWorkPackages[[#This Row],[Completion date serial]]-tblWorkPackages[[#This Row],[Due date serial]])</f>
        <v>0</v>
      </c>
      <c r="AD1851" s="65">
        <f>tblWorkPackages[[#This Row],[First labor date]]-tblWorkPackages[[#This Row],[Request date serial]]</f>
        <v>3</v>
      </c>
      <c r="AE1851" s="65">
        <f>tblWorkPackages[[#This Row],[Last labor date]]-tblWorkPackages[[#This Row],[First labor date]]</f>
        <v>1</v>
      </c>
      <c r="AF1851" s="65">
        <f>tblWorkPackages[[#This Row],[Completion date serial]]-tblWorkPackages[[#This Row],[Last labor date]]</f>
        <v>1</v>
      </c>
      <c r="AG1851" s="65">
        <f>tblWorkPackages[[#This Row],[Completion date serial]]-tblWorkPackages[[#This Row],[Request date serial]]</f>
        <v>5</v>
      </c>
      <c r="AH1851" s="65">
        <f>IFERROR(INDEX(tblParts[Delay days],MATCH(tblWorkPackages[[#This Row],[Work package ID]],tblParts[Work package ID],0)),0)</f>
        <v>0</v>
      </c>
      <c r="AI1851" s="51" t="str">
        <f>IFERROR(INDEX(tblDisruptions[Event type],MATCH(tblWorkPackages[[#This Row],[Work package ID]],tblDisruptions[Work package ID],0)),"None")</f>
        <v>None</v>
      </c>
      <c r="AJ1851" s="51" t="str">
        <f>TEXT(tblWorkPackages[[#This Row],[Due date serial]],"yyyy-mm")</f>
        <v>2025-03</v>
      </c>
    </row>
    <row r="1852" spans="1:36" ht="15" x14ac:dyDescent="0.25">
      <c r="A1852" s="53" t="s">
        <v>2763</v>
      </c>
      <c r="B1852" s="53" t="s">
        <v>287</v>
      </c>
      <c r="C1852" s="53" t="s">
        <v>613</v>
      </c>
      <c r="D1852" s="53" t="s">
        <v>879</v>
      </c>
      <c r="E1852" s="53" t="s">
        <v>144</v>
      </c>
      <c r="F1852" s="53" t="s">
        <v>145</v>
      </c>
      <c r="G1852" s="53" t="s">
        <v>146</v>
      </c>
      <c r="H1852" s="53">
        <v>2</v>
      </c>
      <c r="I1852" s="53" t="s">
        <v>176</v>
      </c>
      <c r="J1852" s="53">
        <v>0</v>
      </c>
      <c r="K1852" s="53">
        <v>0</v>
      </c>
      <c r="L1852" s="53">
        <v>11.8</v>
      </c>
      <c r="M1852" s="53" t="s">
        <v>1126</v>
      </c>
      <c r="N1852" s="53">
        <v>12.6</v>
      </c>
      <c r="O1852" s="51" t="str">
        <f>TEXT(tblWorkPackages[[#This Row],[Request date serial]]-WEEKDAY(tblWorkPackages[[#This Row],[Request date serial]],3),"yyyy-mm-dd")</f>
        <v>2024-03-25</v>
      </c>
      <c r="P1852" s="51">
        <f>ABS(tblWorkPackages[[#This Row],[Actual labor hours]]-tblWorkPackages[[#This Row],[Estimated labor hours]])</f>
        <v>0.799999999999999</v>
      </c>
      <c r="Q1852" s="51">
        <f>IF(tblWorkPackages[[#This Row],[Actual labor hours]]&gt;tblWorkPackages[[#This Row],[Estimated labor hours]],1,0)</f>
        <v>1</v>
      </c>
      <c r="R1852" s="51">
        <f>tblWorkPackages[[#This Row],[Actual labor hours]]-tblWorkPackages[[#This Row],[Estimated labor hours]]</f>
        <v>0.799999999999999</v>
      </c>
      <c r="S1852" s="51" t="str">
        <f>IF(tblWorkPackages[[#This Row],[Request date serial]]&lt;ValidationStart,"Train 2024",IF(tblWorkPackages[[#This Row],[Request date serial]]&lt;HoldoutStart,"Validation H1","Holdout H2"))</f>
        <v>Train 2024</v>
      </c>
      <c r="T1852" s="51" t="str">
        <f>IF(tblWorkPackages[[#This Row],[Time split]]="Train 2024","",tblWorkPackages[[#This Row],[Estimated labor hours]]+VLOOKUP(tblWorkPackages[[#This Row],[Task type]],'Forecast validation'!$A$14:$E$25,IF(tblWorkPackages[[#This Row],[Time split]]="Validation H1",4,5),FALSE()))</f>
        <v/>
      </c>
      <c r="U1852" s="51" t="str">
        <f>IF(tblWorkPackages[[#This Row],[Calibrated forecast hours]]="","",ABS(tblWorkPackages[[#This Row],[Actual labor hours]]-tblWorkPackages[[#This Row],[Calibrated forecast hours]]))</f>
        <v/>
      </c>
      <c r="V1852" s="51">
        <f>IF(tblWorkPackages[[#This Row],[Time split]]="Train 2024",tblWorkPackages[[#This Row],[Estimated labor hours]],tblWorkPackages[[#This Row],[Calibrated forecast hours]])</f>
        <v>11.8</v>
      </c>
      <c r="W1852" s="64">
        <f>DATEVALUE(tblWorkPackages[[#This Row],[Request date]])</f>
        <v>45380.0</v>
      </c>
      <c r="X1852" s="64">
        <f>DATEVALUE(tblWorkPackages[[#This Row],[Due date]])</f>
        <v>45386.0</v>
      </c>
      <c r="Y1852" s="64">
        <f>DATEVALUE(tblWorkPackages[[#This Row],[Completion date]])</f>
        <v>45435.0</v>
      </c>
      <c r="Z1852" s="64">
        <f>_xlfn.MINIFS(tblLaborEntries[Work date serial],tblLaborEntries[Work package ID],tblWorkPackages[[#This Row],[Work package ID]])</f>
        <v>45432.0</v>
      </c>
      <c r="AA1852" s="64">
        <f>_xlfn.MAXIFS(tblLaborEntries[Work date serial],tblLaborEntries[Work package ID],tblWorkPackages[[#This Row],[Work package ID]])</f>
        <v>45433.0</v>
      </c>
      <c r="AB1852" s="65">
        <f>IF(tblWorkPackages[[#This Row],[Completion date serial]]&gt;tblWorkPackages[[#This Row],[Due date serial]],1,0)</f>
        <v>1</v>
      </c>
      <c r="AC1852" s="65">
        <f>MAX(0,tblWorkPackages[[#This Row],[Completion date serial]]-tblWorkPackages[[#This Row],[Due date serial]])</f>
        <v>49</v>
      </c>
      <c r="AD1852" s="65">
        <f>tblWorkPackages[[#This Row],[First labor date]]-tblWorkPackages[[#This Row],[Request date serial]]</f>
        <v>52</v>
      </c>
      <c r="AE1852" s="65">
        <f>tblWorkPackages[[#This Row],[Last labor date]]-tblWorkPackages[[#This Row],[First labor date]]</f>
        <v>1</v>
      </c>
      <c r="AF1852" s="65">
        <f>tblWorkPackages[[#This Row],[Completion date serial]]-tblWorkPackages[[#This Row],[Last labor date]]</f>
        <v>2</v>
      </c>
      <c r="AG1852" s="65">
        <f>tblWorkPackages[[#This Row],[Completion date serial]]-tblWorkPackages[[#This Row],[Request date serial]]</f>
        <v>55</v>
      </c>
      <c r="AH1852" s="65">
        <f>IFERROR(INDEX(tblParts[Delay days],MATCH(tblWorkPackages[[#This Row],[Work package ID]],tblParts[Work package ID],0)),0)</f>
        <v>0</v>
      </c>
      <c r="AI1852" s="51" t="str">
        <f>IFERROR(INDEX(tblDisruptions[Event type],MATCH(tblWorkPackages[[#This Row],[Work package ID]],tblDisruptions[Work package ID],0)),"None")</f>
        <v>None</v>
      </c>
      <c r="AJ1852" s="51" t="str">
        <f>TEXT(tblWorkPackages[[#This Row],[Due date serial]],"yyyy-mm")</f>
        <v>2024-04</v>
      </c>
    </row>
    <row r="1853" spans="1:36" ht="15" x14ac:dyDescent="0.25">
      <c r="A1853" s="53" t="s">
        <v>2764</v>
      </c>
      <c r="B1853" s="53" t="s">
        <v>150</v>
      </c>
      <c r="C1853" s="53" t="s">
        <v>177</v>
      </c>
      <c r="D1853" s="53" t="s">
        <v>459</v>
      </c>
      <c r="E1853" s="53" t="s">
        <v>181</v>
      </c>
      <c r="F1853" s="53" t="s">
        <v>182</v>
      </c>
      <c r="G1853" s="53" t="s">
        <v>138</v>
      </c>
      <c r="H1853" s="53">
        <v>2</v>
      </c>
      <c r="I1853" s="53" t="s">
        <v>176</v>
      </c>
      <c r="J1853" s="53">
        <v>0</v>
      </c>
      <c r="K1853" s="53">
        <v>0</v>
      </c>
      <c r="L1853" s="53">
        <v>7.5</v>
      </c>
      <c r="M1853" s="53" t="s">
        <v>283</v>
      </c>
      <c r="N1853" s="53">
        <v>7.3</v>
      </c>
      <c r="O1853" s="51" t="str">
        <f>TEXT(tblWorkPackages[[#This Row],[Request date serial]]-WEEKDAY(tblWorkPackages[[#This Row],[Request date serial]],3),"yyyy-mm-dd")</f>
        <v>2025-08-11</v>
      </c>
      <c r="P1853" s="51">
        <f>ABS(tblWorkPackages[[#This Row],[Actual labor hours]]-tblWorkPackages[[#This Row],[Estimated labor hours]])</f>
        <v>0.2</v>
      </c>
      <c r="Q1853" s="51">
        <f>IF(tblWorkPackages[[#This Row],[Actual labor hours]]&gt;tblWorkPackages[[#This Row],[Estimated labor hours]],1,0)</f>
        <v>0</v>
      </c>
      <c r="R1853" s="51">
        <f>tblWorkPackages[[#This Row],[Actual labor hours]]-tblWorkPackages[[#This Row],[Estimated labor hours]]</f>
        <v>-0.2</v>
      </c>
      <c r="S1853" s="51" t="str">
        <f>IF(tblWorkPackages[[#This Row],[Request date serial]]&lt;ValidationStart,"Train 2024",IF(tblWorkPackages[[#This Row],[Request date serial]]&lt;HoldoutStart,"Validation H1","Holdout H2"))</f>
        <v>Holdout H2</v>
      </c>
      <c r="T1853" s="51">
        <f>IF(tblWorkPackages[[#This Row],[Time split]]="Train 2024","",tblWorkPackages[[#This Row],[Estimated labor hours]]+VLOOKUP(tblWorkPackages[[#This Row],[Task type]],'Forecast validation'!$A$14:$E$25,IF(tblWorkPackages[[#This Row],[Time split]]="Validation H1",4,5),FALSE()))</f>
        <v>8.09160839160839</v>
      </c>
      <c r="U1853" s="51">
        <f>IF(tblWorkPackages[[#This Row],[Calibrated forecast hours]]="","",ABS(tblWorkPackages[[#This Row],[Actual labor hours]]-tblWorkPackages[[#This Row],[Calibrated forecast hours]]))</f>
        <v>0.791608391608391</v>
      </c>
      <c r="V1853" s="51">
        <f>IF(tblWorkPackages[[#This Row],[Time split]]="Train 2024",tblWorkPackages[[#This Row],[Estimated labor hours]],tblWorkPackages[[#This Row],[Calibrated forecast hours]])</f>
        <v>8.09160839160839</v>
      </c>
      <c r="W1853" s="64">
        <f>DATEVALUE(tblWorkPackages[[#This Row],[Request date]])</f>
        <v>45886.0</v>
      </c>
      <c r="X1853" s="64">
        <f>DATEVALUE(tblWorkPackages[[#This Row],[Due date]])</f>
        <v>45892.0</v>
      </c>
      <c r="Y1853" s="64">
        <f>DATEVALUE(tblWorkPackages[[#This Row],[Completion date]])</f>
        <v>45897.0</v>
      </c>
      <c r="Z1853" s="64">
        <f>_xlfn.MINIFS(tblLaborEntries[Work date serial],tblLaborEntries[Work package ID],tblWorkPackages[[#This Row],[Work package ID]])</f>
        <v>45894.0</v>
      </c>
      <c r="AA1853" s="64">
        <f>_xlfn.MAXIFS(tblLaborEntries[Work date serial],tblLaborEntries[Work package ID],tblWorkPackages[[#This Row],[Work package ID]])</f>
        <v>45894.0</v>
      </c>
      <c r="AB1853" s="65">
        <f>IF(tblWorkPackages[[#This Row],[Completion date serial]]&gt;tblWorkPackages[[#This Row],[Due date serial]],1,0)</f>
        <v>1</v>
      </c>
      <c r="AC1853" s="65">
        <f>MAX(0,tblWorkPackages[[#This Row],[Completion date serial]]-tblWorkPackages[[#This Row],[Due date serial]])</f>
        <v>5</v>
      </c>
      <c r="AD1853" s="65">
        <f>tblWorkPackages[[#This Row],[First labor date]]-tblWorkPackages[[#This Row],[Request date serial]]</f>
        <v>8</v>
      </c>
      <c r="AE1853" s="65">
        <f>tblWorkPackages[[#This Row],[Last labor date]]-tblWorkPackages[[#This Row],[First labor date]]</f>
        <v>0</v>
      </c>
      <c r="AF1853" s="65">
        <f>tblWorkPackages[[#This Row],[Completion date serial]]-tblWorkPackages[[#This Row],[Last labor date]]</f>
        <v>3</v>
      </c>
      <c r="AG1853" s="65">
        <f>tblWorkPackages[[#This Row],[Completion date serial]]-tblWorkPackages[[#This Row],[Request date serial]]</f>
        <v>11</v>
      </c>
      <c r="AH1853" s="65">
        <f>IFERROR(INDEX(tblParts[Delay days],MATCH(tblWorkPackages[[#This Row],[Work package ID]],tblParts[Work package ID],0)),0)</f>
        <v>0</v>
      </c>
      <c r="AI1853" s="51" t="str">
        <f>IFERROR(INDEX(tblDisruptions[Event type],MATCH(tblWorkPackages[[#This Row],[Work package ID]],tblDisruptions[Work package ID],0)),"None")</f>
        <v>None</v>
      </c>
      <c r="AJ1853" s="51" t="str">
        <f>TEXT(tblWorkPackages[[#This Row],[Due date serial]],"yyyy-mm")</f>
        <v>2025-08</v>
      </c>
    </row>
    <row r="1854" spans="1:36" ht="15" x14ac:dyDescent="0.25">
      <c r="A1854" s="53" t="s">
        <v>2765</v>
      </c>
      <c r="B1854" s="53" t="s">
        <v>235</v>
      </c>
      <c r="C1854" s="53" t="s">
        <v>308</v>
      </c>
      <c r="D1854" s="53" t="s">
        <v>334</v>
      </c>
      <c r="E1854" s="53" t="s">
        <v>237</v>
      </c>
      <c r="F1854" s="53" t="s">
        <v>182</v>
      </c>
      <c r="G1854" s="53" t="s">
        <v>138</v>
      </c>
      <c r="H1854" s="53">
        <v>4</v>
      </c>
      <c r="I1854" s="53" t="s">
        <v>130</v>
      </c>
      <c r="J1854" s="53">
        <v>0</v>
      </c>
      <c r="K1854" s="53">
        <v>0</v>
      </c>
      <c r="L1854" s="53">
        <v>8.5</v>
      </c>
      <c r="M1854" s="53" t="s">
        <v>939</v>
      </c>
      <c r="N1854" s="53">
        <v>7.9</v>
      </c>
      <c r="O1854" s="51" t="str">
        <f>TEXT(tblWorkPackages[[#This Row],[Request date serial]]-WEEKDAY(tblWorkPackages[[#This Row],[Request date serial]],3),"yyyy-mm-dd")</f>
        <v>2025-11-10</v>
      </c>
      <c r="P1854" s="51">
        <f>ABS(tblWorkPackages[[#This Row],[Actual labor hours]]-tblWorkPackages[[#This Row],[Estimated labor hours]])</f>
        <v>0.6</v>
      </c>
      <c r="Q1854" s="51">
        <f>IF(tblWorkPackages[[#This Row],[Actual labor hours]]&gt;tblWorkPackages[[#This Row],[Estimated labor hours]],1,0)</f>
        <v>0</v>
      </c>
      <c r="R1854" s="51">
        <f>tblWorkPackages[[#This Row],[Actual labor hours]]-tblWorkPackages[[#This Row],[Estimated labor hours]]</f>
        <v>-0.6</v>
      </c>
      <c r="S1854" s="51" t="str">
        <f>IF(tblWorkPackages[[#This Row],[Request date serial]]&lt;ValidationStart,"Train 2024",IF(tblWorkPackages[[#This Row],[Request date serial]]&lt;HoldoutStart,"Validation H1","Holdout H2"))</f>
        <v>Holdout H2</v>
      </c>
      <c r="T1854" s="51">
        <f>IF(tblWorkPackages[[#This Row],[Time split]]="Train 2024","",tblWorkPackages[[#This Row],[Estimated labor hours]]+VLOOKUP(tblWorkPackages[[#This Row],[Task type]],'Forecast validation'!$A$14:$E$25,IF(tblWorkPackages[[#This Row],[Time split]]="Validation H1",4,5),FALSE()))</f>
        <v>8.953125</v>
      </c>
      <c r="U1854" s="51">
        <f>IF(tblWorkPackages[[#This Row],[Calibrated forecast hours]]="","",ABS(tblWorkPackages[[#This Row],[Actual labor hours]]-tblWorkPackages[[#This Row],[Calibrated forecast hours]]))</f>
        <v>1.053125</v>
      </c>
      <c r="V1854" s="51">
        <f>IF(tblWorkPackages[[#This Row],[Time split]]="Train 2024",tblWorkPackages[[#This Row],[Estimated labor hours]],tblWorkPackages[[#This Row],[Calibrated forecast hours]])</f>
        <v>8.953125</v>
      </c>
      <c r="W1854" s="64">
        <f>DATEVALUE(tblWorkPackages[[#This Row],[Request date]])</f>
        <v>45977.0</v>
      </c>
      <c r="X1854" s="64">
        <f>DATEVALUE(tblWorkPackages[[#This Row],[Due date]])</f>
        <v>45990.0</v>
      </c>
      <c r="Y1854" s="64">
        <f>DATEVALUE(tblWorkPackages[[#This Row],[Completion date]])</f>
        <v>45980.0</v>
      </c>
      <c r="Z1854" s="64">
        <f>_xlfn.MINIFS(tblLaborEntries[Work date serial],tblLaborEntries[Work package ID],tblWorkPackages[[#This Row],[Work package ID]])</f>
        <v>45979.0</v>
      </c>
      <c r="AA1854" s="64">
        <f>_xlfn.MAXIFS(tblLaborEntries[Work date serial],tblLaborEntries[Work package ID],tblWorkPackages[[#This Row],[Work package ID]])</f>
        <v>45980.0</v>
      </c>
      <c r="AB1854" s="65">
        <f>IF(tblWorkPackages[[#This Row],[Completion date serial]]&gt;tblWorkPackages[[#This Row],[Due date serial]],1,0)</f>
        <v>0</v>
      </c>
      <c r="AC1854" s="65">
        <f>MAX(0,tblWorkPackages[[#This Row],[Completion date serial]]-tblWorkPackages[[#This Row],[Due date serial]])</f>
        <v>0</v>
      </c>
      <c r="AD1854" s="65">
        <f>tblWorkPackages[[#This Row],[First labor date]]-tblWorkPackages[[#This Row],[Request date serial]]</f>
        <v>2</v>
      </c>
      <c r="AE1854" s="65">
        <f>tblWorkPackages[[#This Row],[Last labor date]]-tblWorkPackages[[#This Row],[First labor date]]</f>
        <v>1</v>
      </c>
      <c r="AF1854" s="65">
        <f>tblWorkPackages[[#This Row],[Completion date serial]]-tblWorkPackages[[#This Row],[Last labor date]]</f>
        <v>0</v>
      </c>
      <c r="AG1854" s="65">
        <f>tblWorkPackages[[#This Row],[Completion date serial]]-tblWorkPackages[[#This Row],[Request date serial]]</f>
        <v>3</v>
      </c>
      <c r="AH1854" s="65">
        <f>IFERROR(INDEX(tblParts[Delay days],MATCH(tblWorkPackages[[#This Row],[Work package ID]],tblParts[Work package ID],0)),0)</f>
        <v>0</v>
      </c>
      <c r="AI1854" s="51" t="str">
        <f>IFERROR(INDEX(tblDisruptions[Event type],MATCH(tblWorkPackages[[#This Row],[Work package ID]],tblDisruptions[Work package ID],0)),"None")</f>
        <v>None</v>
      </c>
      <c r="AJ1854" s="51" t="str">
        <f>TEXT(tblWorkPackages[[#This Row],[Due date serial]],"yyyy-mm")</f>
        <v>2025-11</v>
      </c>
    </row>
    <row r="1855" spans="1:36" ht="15" x14ac:dyDescent="0.25">
      <c r="A1855" s="53" t="s">
        <v>2766</v>
      </c>
      <c r="B1855" s="53" t="s">
        <v>163</v>
      </c>
      <c r="C1855" s="53" t="s">
        <v>1469</v>
      </c>
      <c r="D1855" s="53" t="s">
        <v>1124</v>
      </c>
      <c r="E1855" s="53" t="s">
        <v>223</v>
      </c>
      <c r="F1855" s="53" t="s">
        <v>182</v>
      </c>
      <c r="G1855" s="53" t="s">
        <v>154</v>
      </c>
      <c r="H1855" s="53">
        <v>1</v>
      </c>
      <c r="I1855" s="53" t="s">
        <v>176</v>
      </c>
      <c r="J1855" s="53">
        <v>0</v>
      </c>
      <c r="K1855" s="53">
        <v>0</v>
      </c>
      <c r="L1855" s="53">
        <v>8.6</v>
      </c>
      <c r="M1855" s="53" t="s">
        <v>1107</v>
      </c>
      <c r="N1855" s="53">
        <v>9.9</v>
      </c>
      <c r="O1855" s="51" t="str">
        <f>TEXT(tblWorkPackages[[#This Row],[Request date serial]]-WEEKDAY(tblWorkPackages[[#This Row],[Request date serial]],3),"yyyy-mm-dd")</f>
        <v>2024-05-06</v>
      </c>
      <c r="P1855" s="51">
        <f>ABS(tblWorkPackages[[#This Row],[Actual labor hours]]-tblWorkPackages[[#This Row],[Estimated labor hours]])</f>
        <v>1.3</v>
      </c>
      <c r="Q1855" s="51">
        <f>IF(tblWorkPackages[[#This Row],[Actual labor hours]]&gt;tblWorkPackages[[#This Row],[Estimated labor hours]],1,0)</f>
        <v>1</v>
      </c>
      <c r="R1855" s="51">
        <f>tblWorkPackages[[#This Row],[Actual labor hours]]-tblWorkPackages[[#This Row],[Estimated labor hours]]</f>
        <v>1.3</v>
      </c>
      <c r="S1855" s="51" t="str">
        <f>IF(tblWorkPackages[[#This Row],[Request date serial]]&lt;ValidationStart,"Train 2024",IF(tblWorkPackages[[#This Row],[Request date serial]]&lt;HoldoutStart,"Validation H1","Holdout H2"))</f>
        <v>Train 2024</v>
      </c>
      <c r="T1855" s="51" t="str">
        <f>IF(tblWorkPackages[[#This Row],[Time split]]="Train 2024","",tblWorkPackages[[#This Row],[Estimated labor hours]]+VLOOKUP(tblWorkPackages[[#This Row],[Task type]],'Forecast validation'!$A$14:$E$25,IF(tblWorkPackages[[#This Row],[Time split]]="Validation H1",4,5),FALSE()))</f>
        <v/>
      </c>
      <c r="U1855" s="51" t="str">
        <f>IF(tblWorkPackages[[#This Row],[Calibrated forecast hours]]="","",ABS(tblWorkPackages[[#This Row],[Actual labor hours]]-tblWorkPackages[[#This Row],[Calibrated forecast hours]]))</f>
        <v/>
      </c>
      <c r="V1855" s="51">
        <f>IF(tblWorkPackages[[#This Row],[Time split]]="Train 2024",tblWorkPackages[[#This Row],[Estimated labor hours]],tblWorkPackages[[#This Row],[Calibrated forecast hours]])</f>
        <v>8.6</v>
      </c>
      <c r="W1855" s="64">
        <f>DATEVALUE(tblWorkPackages[[#This Row],[Request date]])</f>
        <v>45421.0</v>
      </c>
      <c r="X1855" s="64">
        <f>DATEVALUE(tblWorkPackages[[#This Row],[Due date]])</f>
        <v>45427.0</v>
      </c>
      <c r="Y1855" s="64">
        <f>DATEVALUE(tblWorkPackages[[#This Row],[Completion date]])</f>
        <v>45444.0</v>
      </c>
      <c r="Z1855" s="64">
        <f>_xlfn.MINIFS(tblLaborEntries[Work date serial],tblLaborEntries[Work package ID],tblWorkPackages[[#This Row],[Work package ID]])</f>
        <v>45441.0</v>
      </c>
      <c r="AA1855" s="64">
        <f>_xlfn.MAXIFS(tblLaborEntries[Work date serial],tblLaborEntries[Work package ID],tblWorkPackages[[#This Row],[Work package ID]])</f>
        <v>45443.0</v>
      </c>
      <c r="AB1855" s="65">
        <f>IF(tblWorkPackages[[#This Row],[Completion date serial]]&gt;tblWorkPackages[[#This Row],[Due date serial]],1,0)</f>
        <v>1</v>
      </c>
      <c r="AC1855" s="65">
        <f>MAX(0,tblWorkPackages[[#This Row],[Completion date serial]]-tblWorkPackages[[#This Row],[Due date serial]])</f>
        <v>17</v>
      </c>
      <c r="AD1855" s="65">
        <f>tblWorkPackages[[#This Row],[First labor date]]-tblWorkPackages[[#This Row],[Request date serial]]</f>
        <v>20</v>
      </c>
      <c r="AE1855" s="65">
        <f>tblWorkPackages[[#This Row],[Last labor date]]-tblWorkPackages[[#This Row],[First labor date]]</f>
        <v>2</v>
      </c>
      <c r="AF1855" s="65">
        <f>tblWorkPackages[[#This Row],[Completion date serial]]-tblWorkPackages[[#This Row],[Last labor date]]</f>
        <v>1</v>
      </c>
      <c r="AG1855" s="65">
        <f>tblWorkPackages[[#This Row],[Completion date serial]]-tblWorkPackages[[#This Row],[Request date serial]]</f>
        <v>23</v>
      </c>
      <c r="AH1855" s="65">
        <f>IFERROR(INDEX(tblParts[Delay days],MATCH(tblWorkPackages[[#This Row],[Work package ID]],tblParts[Work package ID],0)),0)</f>
        <v>0</v>
      </c>
      <c r="AI1855" s="51" t="str">
        <f>IFERROR(INDEX(tblDisruptions[Event type],MATCH(tblWorkPackages[[#This Row],[Work package ID]],tblDisruptions[Work package ID],0)),"None")</f>
        <v>None</v>
      </c>
      <c r="AJ1855" s="51" t="str">
        <f>TEXT(tblWorkPackages[[#This Row],[Due date serial]],"yyyy-mm")</f>
        <v>2024-05</v>
      </c>
    </row>
    <row r="1856" spans="1:36" ht="15" x14ac:dyDescent="0.25">
      <c r="A1856" s="53" t="s">
        <v>2767</v>
      </c>
      <c r="B1856" s="53" t="s">
        <v>150</v>
      </c>
      <c r="C1856" s="53" t="s">
        <v>308</v>
      </c>
      <c r="D1856" s="53" t="s">
        <v>482</v>
      </c>
      <c r="E1856" s="53" t="s">
        <v>127</v>
      </c>
      <c r="F1856" s="53" t="s">
        <v>128</v>
      </c>
      <c r="G1856" s="53" t="s">
        <v>129</v>
      </c>
      <c r="H1856" s="53">
        <v>2</v>
      </c>
      <c r="I1856" s="53" t="s">
        <v>176</v>
      </c>
      <c r="J1856" s="53">
        <v>0</v>
      </c>
      <c r="K1856" s="53">
        <v>1</v>
      </c>
      <c r="L1856" s="53">
        <v>6.7</v>
      </c>
      <c r="M1856" s="53" t="s">
        <v>482</v>
      </c>
      <c r="N1856" s="53">
        <v>6.7</v>
      </c>
      <c r="O1856" s="51" t="str">
        <f>TEXT(tblWorkPackages[[#This Row],[Request date serial]]-WEEKDAY(tblWorkPackages[[#This Row],[Request date serial]],3),"yyyy-mm-dd")</f>
        <v>2025-11-10</v>
      </c>
      <c r="P1856" s="51">
        <f>ABS(tblWorkPackages[[#This Row],[Actual labor hours]]-tblWorkPackages[[#This Row],[Estimated labor hours]])</f>
        <v>0</v>
      </c>
      <c r="Q1856" s="51">
        <f>IF(tblWorkPackages[[#This Row],[Actual labor hours]]&gt;tblWorkPackages[[#This Row],[Estimated labor hours]],1,0)</f>
        <v>0</v>
      </c>
      <c r="R1856" s="51">
        <f>tblWorkPackages[[#This Row],[Actual labor hours]]-tblWorkPackages[[#This Row],[Estimated labor hours]]</f>
        <v>0</v>
      </c>
      <c r="S1856" s="51" t="str">
        <f>IF(tblWorkPackages[[#This Row],[Request date serial]]&lt;ValidationStart,"Train 2024",IF(tblWorkPackages[[#This Row],[Request date serial]]&lt;HoldoutStart,"Validation H1","Holdout H2"))</f>
        <v>Holdout H2</v>
      </c>
      <c r="T1856" s="51">
        <f>IF(tblWorkPackages[[#This Row],[Time split]]="Train 2024","",tblWorkPackages[[#This Row],[Estimated labor hours]]+VLOOKUP(tblWorkPackages[[#This Row],[Task type]],'Forecast validation'!$A$14:$E$25,IF(tblWorkPackages[[#This Row],[Time split]]="Validation H1",4,5),FALSE()))</f>
        <v>7.24341085271318</v>
      </c>
      <c r="U1856" s="51">
        <f>IF(tblWorkPackages[[#This Row],[Calibrated forecast hours]]="","",ABS(tblWorkPackages[[#This Row],[Actual labor hours]]-tblWorkPackages[[#This Row],[Calibrated forecast hours]]))</f>
        <v>0.543410852713178</v>
      </c>
      <c r="V1856" s="51">
        <f>IF(tblWorkPackages[[#This Row],[Time split]]="Train 2024",tblWorkPackages[[#This Row],[Estimated labor hours]],tblWorkPackages[[#This Row],[Calibrated forecast hours]])</f>
        <v>7.24341085271318</v>
      </c>
      <c r="W1856" s="64">
        <f>DATEVALUE(tblWorkPackages[[#This Row],[Request date]])</f>
        <v>45977.0</v>
      </c>
      <c r="X1856" s="64">
        <f>DATEVALUE(tblWorkPackages[[#This Row],[Due date]])</f>
        <v>45983.0</v>
      </c>
      <c r="Y1856" s="64">
        <f>DATEVALUE(tblWorkPackages[[#This Row],[Completion date]])</f>
        <v>45983.0</v>
      </c>
      <c r="Z1856" s="64">
        <f>_xlfn.MINIFS(tblLaborEntries[Work date serial],tblLaborEntries[Work package ID],tblWorkPackages[[#This Row],[Work package ID]])</f>
        <v>45981.0</v>
      </c>
      <c r="AA1856" s="64">
        <f>_xlfn.MAXIFS(tblLaborEntries[Work date serial],tblLaborEntries[Work package ID],tblWorkPackages[[#This Row],[Work package ID]])</f>
        <v>45981.0</v>
      </c>
      <c r="AB1856" s="65">
        <f>IF(tblWorkPackages[[#This Row],[Completion date serial]]&gt;tblWorkPackages[[#This Row],[Due date serial]],1,0)</f>
        <v>0</v>
      </c>
      <c r="AC1856" s="65">
        <f>MAX(0,tblWorkPackages[[#This Row],[Completion date serial]]-tblWorkPackages[[#This Row],[Due date serial]])</f>
        <v>0</v>
      </c>
      <c r="AD1856" s="65">
        <f>tblWorkPackages[[#This Row],[First labor date]]-tblWorkPackages[[#This Row],[Request date serial]]</f>
        <v>4</v>
      </c>
      <c r="AE1856" s="65">
        <f>tblWorkPackages[[#This Row],[Last labor date]]-tblWorkPackages[[#This Row],[First labor date]]</f>
        <v>0</v>
      </c>
      <c r="AF1856" s="65">
        <f>tblWorkPackages[[#This Row],[Completion date serial]]-tblWorkPackages[[#This Row],[Last labor date]]</f>
        <v>2</v>
      </c>
      <c r="AG1856" s="65">
        <f>tblWorkPackages[[#This Row],[Completion date serial]]-tblWorkPackages[[#This Row],[Request date serial]]</f>
        <v>6</v>
      </c>
      <c r="AH1856" s="65">
        <f>IFERROR(INDEX(tblParts[Delay days],MATCH(tblWorkPackages[[#This Row],[Work package ID]],tblParts[Work package ID],0)),0)</f>
        <v>0</v>
      </c>
      <c r="AI1856" s="51" t="str">
        <f>IFERROR(INDEX(tblDisruptions[Event type],MATCH(tblWorkPackages[[#This Row],[Work package ID]],tblDisruptions[Work package ID],0)),"None")</f>
        <v>None</v>
      </c>
      <c r="AJ1856" s="51" t="str">
        <f>TEXT(tblWorkPackages[[#This Row],[Due date serial]],"yyyy-mm")</f>
        <v>2025-11</v>
      </c>
    </row>
    <row r="1857" spans="1:36" ht="15" x14ac:dyDescent="0.25">
      <c r="A1857" s="53" t="s">
        <v>2768</v>
      </c>
      <c r="B1857" s="53" t="s">
        <v>203</v>
      </c>
      <c r="C1857" s="53" t="s">
        <v>738</v>
      </c>
      <c r="D1857" s="53" t="s">
        <v>851</v>
      </c>
      <c r="E1857" s="53" t="s">
        <v>209</v>
      </c>
      <c r="F1857" s="53" t="s">
        <v>145</v>
      </c>
      <c r="G1857" s="53" t="s">
        <v>210</v>
      </c>
      <c r="H1857" s="53">
        <v>1</v>
      </c>
      <c r="I1857" s="53" t="s">
        <v>147</v>
      </c>
      <c r="J1857" s="53">
        <v>0</v>
      </c>
      <c r="K1857" s="53">
        <v>1</v>
      </c>
      <c r="L1857" s="53">
        <v>12.8</v>
      </c>
      <c r="M1857" s="53" t="s">
        <v>323</v>
      </c>
      <c r="N1857" s="53">
        <v>13.3</v>
      </c>
      <c r="O1857" s="51" t="str">
        <f>TEXT(tblWorkPackages[[#This Row],[Request date serial]]-WEEKDAY(tblWorkPackages[[#This Row],[Request date serial]],3),"yyyy-mm-dd")</f>
        <v>2025-06-30</v>
      </c>
      <c r="P1857" s="51">
        <f>ABS(tblWorkPackages[[#This Row],[Actual labor hours]]-tblWorkPackages[[#This Row],[Estimated labor hours]])</f>
        <v>0.5</v>
      </c>
      <c r="Q1857" s="51">
        <f>IF(tblWorkPackages[[#This Row],[Actual labor hours]]&gt;tblWorkPackages[[#This Row],[Estimated labor hours]],1,0)</f>
        <v>1</v>
      </c>
      <c r="R1857" s="51">
        <f>tblWorkPackages[[#This Row],[Actual labor hours]]-tblWorkPackages[[#This Row],[Estimated labor hours]]</f>
        <v>0.5</v>
      </c>
      <c r="S1857" s="51" t="str">
        <f>IF(tblWorkPackages[[#This Row],[Request date serial]]&lt;ValidationStart,"Train 2024",IF(tblWorkPackages[[#This Row],[Request date serial]]&lt;HoldoutStart,"Validation H1","Holdout H2"))</f>
        <v>Holdout H2</v>
      </c>
      <c r="T1857" s="51">
        <f>IF(tblWorkPackages[[#This Row],[Time split]]="Train 2024","",tblWorkPackages[[#This Row],[Estimated labor hours]]+VLOOKUP(tblWorkPackages[[#This Row],[Task type]],'Forecast validation'!$A$14:$E$25,IF(tblWorkPackages[[#This Row],[Time split]]="Validation H1",4,5),FALSE()))</f>
        <v>14.595652173913</v>
      </c>
      <c r="U1857" s="51">
        <f>IF(tblWorkPackages[[#This Row],[Calibrated forecast hours]]="","",ABS(tblWorkPackages[[#This Row],[Actual labor hours]]-tblWorkPackages[[#This Row],[Calibrated forecast hours]]))</f>
        <v>1.29565217391304</v>
      </c>
      <c r="V1857" s="51">
        <f>IF(tblWorkPackages[[#This Row],[Time split]]="Train 2024",tblWorkPackages[[#This Row],[Estimated labor hours]],tblWorkPackages[[#This Row],[Calibrated forecast hours]])</f>
        <v>14.595652173913</v>
      </c>
      <c r="W1857" s="64">
        <f>DATEVALUE(tblWorkPackages[[#This Row],[Request date]])</f>
        <v>45839.0</v>
      </c>
      <c r="X1857" s="64">
        <f>DATEVALUE(tblWorkPackages[[#This Row],[Due date]])</f>
        <v>45841.0</v>
      </c>
      <c r="Y1857" s="64">
        <f>DATEVALUE(tblWorkPackages[[#This Row],[Completion date]])</f>
        <v>45845.0</v>
      </c>
      <c r="Z1857" s="64">
        <f>_xlfn.MINIFS(tblLaborEntries[Work date serial],tblLaborEntries[Work package ID],tblWorkPackages[[#This Row],[Work package ID]])</f>
        <v>45840.0</v>
      </c>
      <c r="AA1857" s="64">
        <f>_xlfn.MAXIFS(tblLaborEntries[Work date serial],tblLaborEntries[Work package ID],tblWorkPackages[[#This Row],[Work package ID]])</f>
        <v>45842.0</v>
      </c>
      <c r="AB1857" s="65">
        <f>IF(tblWorkPackages[[#This Row],[Completion date serial]]&gt;tblWorkPackages[[#This Row],[Due date serial]],1,0)</f>
        <v>1</v>
      </c>
      <c r="AC1857" s="65">
        <f>MAX(0,tblWorkPackages[[#This Row],[Completion date serial]]-tblWorkPackages[[#This Row],[Due date serial]])</f>
        <v>4</v>
      </c>
      <c r="AD1857" s="65">
        <f>tblWorkPackages[[#This Row],[First labor date]]-tblWorkPackages[[#This Row],[Request date serial]]</f>
        <v>1</v>
      </c>
      <c r="AE1857" s="65">
        <f>tblWorkPackages[[#This Row],[Last labor date]]-tblWorkPackages[[#This Row],[First labor date]]</f>
        <v>2</v>
      </c>
      <c r="AF1857" s="65">
        <f>tblWorkPackages[[#This Row],[Completion date serial]]-tblWorkPackages[[#This Row],[Last labor date]]</f>
        <v>3</v>
      </c>
      <c r="AG1857" s="65">
        <f>tblWorkPackages[[#This Row],[Completion date serial]]-tblWorkPackages[[#This Row],[Request date serial]]</f>
        <v>6</v>
      </c>
      <c r="AH1857" s="65">
        <f>IFERROR(INDEX(tblParts[Delay days],MATCH(tblWorkPackages[[#This Row],[Work package ID]],tblParts[Work package ID],0)),0)</f>
        <v>0</v>
      </c>
      <c r="AI1857" s="51" t="str">
        <f>IFERROR(INDEX(tblDisruptions[Event type],MATCH(tblWorkPackages[[#This Row],[Work package ID]],tblDisruptions[Work package ID],0)),"None")</f>
        <v>None</v>
      </c>
      <c r="AJ1857" s="51" t="str">
        <f>TEXT(tblWorkPackages[[#This Row],[Due date serial]],"yyyy-mm")</f>
        <v>2025-07</v>
      </c>
    </row>
    <row r="1858" spans="1:36" ht="15" x14ac:dyDescent="0.25">
      <c r="A1858" s="53" t="s">
        <v>2769</v>
      </c>
      <c r="B1858" s="53" t="s">
        <v>235</v>
      </c>
      <c r="C1858" s="53" t="s">
        <v>1237</v>
      </c>
      <c r="D1858" s="53" t="s">
        <v>345</v>
      </c>
      <c r="E1858" s="53" t="s">
        <v>237</v>
      </c>
      <c r="F1858" s="53" t="s">
        <v>182</v>
      </c>
      <c r="G1858" s="53" t="s">
        <v>138</v>
      </c>
      <c r="H1858" s="53">
        <v>1</v>
      </c>
      <c r="I1858" s="53" t="s">
        <v>130</v>
      </c>
      <c r="J1858" s="53">
        <v>0</v>
      </c>
      <c r="K1858" s="53">
        <v>1</v>
      </c>
      <c r="L1858" s="53">
        <v>3.4</v>
      </c>
      <c r="M1858" s="53" t="s">
        <v>1457</v>
      </c>
      <c r="N1858" s="53">
        <v>4.7</v>
      </c>
      <c r="O1858" s="51" t="str">
        <f>TEXT(tblWorkPackages[[#This Row],[Request date serial]]-WEEKDAY(tblWorkPackages[[#This Row],[Request date serial]],3),"yyyy-mm-dd")</f>
        <v>2024-01-15</v>
      </c>
      <c r="P1858" s="51">
        <f>ABS(tblWorkPackages[[#This Row],[Actual labor hours]]-tblWorkPackages[[#This Row],[Estimated labor hours]])</f>
        <v>1.3</v>
      </c>
      <c r="Q1858" s="51">
        <f>IF(tblWorkPackages[[#This Row],[Actual labor hours]]&gt;tblWorkPackages[[#This Row],[Estimated labor hours]],1,0)</f>
        <v>1</v>
      </c>
      <c r="R1858" s="51">
        <f>tblWorkPackages[[#This Row],[Actual labor hours]]-tblWorkPackages[[#This Row],[Estimated labor hours]]</f>
        <v>1.3</v>
      </c>
      <c r="S1858" s="51" t="str">
        <f>IF(tblWorkPackages[[#This Row],[Request date serial]]&lt;ValidationStart,"Train 2024",IF(tblWorkPackages[[#This Row],[Request date serial]]&lt;HoldoutStart,"Validation H1","Holdout H2"))</f>
        <v>Train 2024</v>
      </c>
      <c r="T1858" s="51" t="str">
        <f>IF(tblWorkPackages[[#This Row],[Time split]]="Train 2024","",tblWorkPackages[[#This Row],[Estimated labor hours]]+VLOOKUP(tblWorkPackages[[#This Row],[Task type]],'Forecast validation'!$A$14:$E$25,IF(tblWorkPackages[[#This Row],[Time split]]="Validation H1",4,5),FALSE()))</f>
        <v/>
      </c>
      <c r="U1858" s="51" t="str">
        <f>IF(tblWorkPackages[[#This Row],[Calibrated forecast hours]]="","",ABS(tblWorkPackages[[#This Row],[Actual labor hours]]-tblWorkPackages[[#This Row],[Calibrated forecast hours]]))</f>
        <v/>
      </c>
      <c r="V1858" s="51">
        <f>IF(tblWorkPackages[[#This Row],[Time split]]="Train 2024",tblWorkPackages[[#This Row],[Estimated labor hours]],tblWorkPackages[[#This Row],[Calibrated forecast hours]])</f>
        <v>3.4</v>
      </c>
      <c r="W1858" s="64">
        <f>DATEVALUE(tblWorkPackages[[#This Row],[Request date]])</f>
        <v>45312.0</v>
      </c>
      <c r="X1858" s="64">
        <f>DATEVALUE(tblWorkPackages[[#This Row],[Due date]])</f>
        <v>45325.0</v>
      </c>
      <c r="Y1858" s="64">
        <f>DATEVALUE(tblWorkPackages[[#This Row],[Completion date]])</f>
        <v>45334.0</v>
      </c>
      <c r="Z1858" s="64">
        <f>_xlfn.MINIFS(tblLaborEntries[Work date serial],tblLaborEntries[Work package ID],tblWorkPackages[[#This Row],[Work package ID]])</f>
        <v>45333.0</v>
      </c>
      <c r="AA1858" s="64">
        <f>_xlfn.MAXIFS(tblLaborEntries[Work date serial],tblLaborEntries[Work package ID],tblWorkPackages[[#This Row],[Work package ID]])</f>
        <v>45334.0</v>
      </c>
      <c r="AB1858" s="65">
        <f>IF(tblWorkPackages[[#This Row],[Completion date serial]]&gt;tblWorkPackages[[#This Row],[Due date serial]],1,0)</f>
        <v>1</v>
      </c>
      <c r="AC1858" s="65">
        <f>MAX(0,tblWorkPackages[[#This Row],[Completion date serial]]-tblWorkPackages[[#This Row],[Due date serial]])</f>
        <v>9</v>
      </c>
      <c r="AD1858" s="65">
        <f>tblWorkPackages[[#This Row],[First labor date]]-tblWorkPackages[[#This Row],[Request date serial]]</f>
        <v>21</v>
      </c>
      <c r="AE1858" s="65">
        <f>tblWorkPackages[[#This Row],[Last labor date]]-tblWorkPackages[[#This Row],[First labor date]]</f>
        <v>1</v>
      </c>
      <c r="AF1858" s="65">
        <f>tblWorkPackages[[#This Row],[Completion date serial]]-tblWorkPackages[[#This Row],[Last labor date]]</f>
        <v>0</v>
      </c>
      <c r="AG1858" s="65">
        <f>tblWorkPackages[[#This Row],[Completion date serial]]-tblWorkPackages[[#This Row],[Request date serial]]</f>
        <v>22</v>
      </c>
      <c r="AH1858" s="65">
        <f>IFERROR(INDEX(tblParts[Delay days],MATCH(tblWorkPackages[[#This Row],[Work package ID]],tblParts[Work package ID],0)),0)</f>
        <v>10</v>
      </c>
      <c r="AI1858" s="51" t="str">
        <f>IFERROR(INDEX(tblDisruptions[Event type],MATCH(tblWorkPackages[[#This Row],[Work package ID]],tblDisruptions[Work package ID],0)),"None")</f>
        <v>Part delay</v>
      </c>
      <c r="AJ1858" s="51" t="str">
        <f>TEXT(tblWorkPackages[[#This Row],[Due date serial]],"yyyy-mm")</f>
        <v>2024-02</v>
      </c>
    </row>
    <row r="1859" spans="1:36" ht="15" x14ac:dyDescent="0.25">
      <c r="A1859" s="53" t="s">
        <v>2770</v>
      </c>
      <c r="B1859" s="53" t="s">
        <v>250</v>
      </c>
      <c r="C1859" s="53" t="s">
        <v>199</v>
      </c>
      <c r="D1859" s="53" t="s">
        <v>366</v>
      </c>
      <c r="E1859" s="53" t="s">
        <v>272</v>
      </c>
      <c r="F1859" s="53" t="s">
        <v>145</v>
      </c>
      <c r="G1859" s="53" t="s">
        <v>273</v>
      </c>
      <c r="H1859" s="53">
        <v>2</v>
      </c>
      <c r="I1859" s="53" t="s">
        <v>130</v>
      </c>
      <c r="J1859" s="53">
        <v>0</v>
      </c>
      <c r="K1859" s="53">
        <v>1</v>
      </c>
      <c r="L1859" s="53">
        <v>12</v>
      </c>
      <c r="M1859" s="53" t="s">
        <v>1030</v>
      </c>
      <c r="N1859" s="53">
        <v>13.7</v>
      </c>
      <c r="O1859" s="51" t="str">
        <f>TEXT(tblWorkPackages[[#This Row],[Request date serial]]-WEEKDAY(tblWorkPackages[[#This Row],[Request date serial]],3),"yyyy-mm-dd")</f>
        <v>2025-06-30</v>
      </c>
      <c r="P1859" s="51">
        <f>ABS(tblWorkPackages[[#This Row],[Actual labor hours]]-tblWorkPackages[[#This Row],[Estimated labor hours]])</f>
        <v>1.7</v>
      </c>
      <c r="Q1859" s="51">
        <f>IF(tblWorkPackages[[#This Row],[Actual labor hours]]&gt;tblWorkPackages[[#This Row],[Estimated labor hours]],1,0)</f>
        <v>1</v>
      </c>
      <c r="R1859" s="51">
        <f>tblWorkPackages[[#This Row],[Actual labor hours]]-tblWorkPackages[[#This Row],[Estimated labor hours]]</f>
        <v>1.7</v>
      </c>
      <c r="S1859" s="51" t="str">
        <f>IF(tblWorkPackages[[#This Row],[Request date serial]]&lt;ValidationStart,"Train 2024",IF(tblWorkPackages[[#This Row],[Request date serial]]&lt;HoldoutStart,"Validation H1","Holdout H2"))</f>
        <v>Validation H1</v>
      </c>
      <c r="T1859" s="51">
        <f>IF(tblWorkPackages[[#This Row],[Time split]]="Train 2024","",tblWorkPackages[[#This Row],[Estimated labor hours]]+VLOOKUP(tblWorkPackages[[#This Row],[Task type]],'Forecast validation'!$A$14:$E$25,IF(tblWorkPackages[[#This Row],[Time split]]="Validation H1",4,5),FALSE()))</f>
        <v>13.0320512820513</v>
      </c>
      <c r="U1859" s="51">
        <f>IF(tblWorkPackages[[#This Row],[Calibrated forecast hours]]="","",ABS(tblWorkPackages[[#This Row],[Actual labor hours]]-tblWorkPackages[[#This Row],[Calibrated forecast hours]]))</f>
        <v>0.667948717948718</v>
      </c>
      <c r="V1859" s="51">
        <f>IF(tblWorkPackages[[#This Row],[Time split]]="Train 2024",tblWorkPackages[[#This Row],[Estimated labor hours]],tblWorkPackages[[#This Row],[Calibrated forecast hours]])</f>
        <v>13.0320512820513</v>
      </c>
      <c r="W1859" s="64">
        <f>DATEVALUE(tblWorkPackages[[#This Row],[Request date]])</f>
        <v>45838.0</v>
      </c>
      <c r="X1859" s="64">
        <f>DATEVALUE(tblWorkPackages[[#This Row],[Due date]])</f>
        <v>45851.0</v>
      </c>
      <c r="Y1859" s="64">
        <f>DATEVALUE(tblWorkPackages[[#This Row],[Completion date]])</f>
        <v>45844.0</v>
      </c>
      <c r="Z1859" s="64">
        <f>_xlfn.MINIFS(tblLaborEntries[Work date serial],tblLaborEntries[Work package ID],tblWorkPackages[[#This Row],[Work package ID]])</f>
        <v>45841.0</v>
      </c>
      <c r="AA1859" s="64">
        <f>_xlfn.MAXIFS(tblLaborEntries[Work date serial],tblLaborEntries[Work package ID],tblWorkPackages[[#This Row],[Work package ID]])</f>
        <v>45843.0</v>
      </c>
      <c r="AB1859" s="65">
        <f>IF(tblWorkPackages[[#This Row],[Completion date serial]]&gt;tblWorkPackages[[#This Row],[Due date serial]],1,0)</f>
        <v>0</v>
      </c>
      <c r="AC1859" s="65">
        <f>MAX(0,tblWorkPackages[[#This Row],[Completion date serial]]-tblWorkPackages[[#This Row],[Due date serial]])</f>
        <v>0</v>
      </c>
      <c r="AD1859" s="65">
        <f>tblWorkPackages[[#This Row],[First labor date]]-tblWorkPackages[[#This Row],[Request date serial]]</f>
        <v>3</v>
      </c>
      <c r="AE1859" s="65">
        <f>tblWorkPackages[[#This Row],[Last labor date]]-tblWorkPackages[[#This Row],[First labor date]]</f>
        <v>2</v>
      </c>
      <c r="AF1859" s="65">
        <f>tblWorkPackages[[#This Row],[Completion date serial]]-tblWorkPackages[[#This Row],[Last labor date]]</f>
        <v>1</v>
      </c>
      <c r="AG1859" s="65">
        <f>tblWorkPackages[[#This Row],[Completion date serial]]-tblWorkPackages[[#This Row],[Request date serial]]</f>
        <v>6</v>
      </c>
      <c r="AH1859" s="65">
        <f>IFERROR(INDEX(tblParts[Delay days],MATCH(tblWorkPackages[[#This Row],[Work package ID]],tblParts[Work package ID],0)),0)</f>
        <v>0</v>
      </c>
      <c r="AI1859" s="51" t="str">
        <f>IFERROR(INDEX(tblDisruptions[Event type],MATCH(tblWorkPackages[[#This Row],[Work package ID]],tblDisruptions[Work package ID],0)),"None")</f>
        <v>None</v>
      </c>
      <c r="AJ1859" s="51" t="str">
        <f>TEXT(tblWorkPackages[[#This Row],[Due date serial]],"yyyy-mm")</f>
        <v>2025-07</v>
      </c>
    </row>
    <row r="1860" spans="1:36" ht="15" x14ac:dyDescent="0.25">
      <c r="A1860" s="53" t="s">
        <v>2771</v>
      </c>
      <c r="B1860" s="53" t="s">
        <v>185</v>
      </c>
      <c r="C1860" s="53" t="s">
        <v>643</v>
      </c>
      <c r="D1860" s="53" t="s">
        <v>525</v>
      </c>
      <c r="E1860" s="53" t="s">
        <v>209</v>
      </c>
      <c r="F1860" s="53" t="s">
        <v>145</v>
      </c>
      <c r="G1860" s="53" t="s">
        <v>210</v>
      </c>
      <c r="H1860" s="53">
        <v>4</v>
      </c>
      <c r="I1860" s="53" t="s">
        <v>176</v>
      </c>
      <c r="J1860" s="53">
        <v>0</v>
      </c>
      <c r="K1860" s="53">
        <v>1</v>
      </c>
      <c r="L1860" s="53">
        <v>40.6</v>
      </c>
      <c r="M1860" s="53" t="s">
        <v>1346</v>
      </c>
      <c r="N1860" s="53">
        <v>47</v>
      </c>
      <c r="O1860" s="51" t="str">
        <f>TEXT(tblWorkPackages[[#This Row],[Request date serial]]-WEEKDAY(tblWorkPackages[[#This Row],[Request date serial]],3),"yyyy-mm-dd")</f>
        <v>2024-07-22</v>
      </c>
      <c r="P1860" s="51">
        <f>ABS(tblWorkPackages[[#This Row],[Actual labor hours]]-tblWorkPackages[[#This Row],[Estimated labor hours]])</f>
        <v>6.4</v>
      </c>
      <c r="Q1860" s="51">
        <f>IF(tblWorkPackages[[#This Row],[Actual labor hours]]&gt;tblWorkPackages[[#This Row],[Estimated labor hours]],1,0)</f>
        <v>1</v>
      </c>
      <c r="R1860" s="51">
        <f>tblWorkPackages[[#This Row],[Actual labor hours]]-tblWorkPackages[[#This Row],[Estimated labor hours]]</f>
        <v>6.4</v>
      </c>
      <c r="S1860" s="51" t="str">
        <f>IF(tblWorkPackages[[#This Row],[Request date serial]]&lt;ValidationStart,"Train 2024",IF(tblWorkPackages[[#This Row],[Request date serial]]&lt;HoldoutStart,"Validation H1","Holdout H2"))</f>
        <v>Train 2024</v>
      </c>
      <c r="T1860" s="51" t="str">
        <f>IF(tblWorkPackages[[#This Row],[Time split]]="Train 2024","",tblWorkPackages[[#This Row],[Estimated labor hours]]+VLOOKUP(tblWorkPackages[[#This Row],[Task type]],'Forecast validation'!$A$14:$E$25,IF(tblWorkPackages[[#This Row],[Time split]]="Validation H1",4,5),FALSE()))</f>
        <v/>
      </c>
      <c r="U1860" s="51" t="str">
        <f>IF(tblWorkPackages[[#This Row],[Calibrated forecast hours]]="","",ABS(tblWorkPackages[[#This Row],[Actual labor hours]]-tblWorkPackages[[#This Row],[Calibrated forecast hours]]))</f>
        <v/>
      </c>
      <c r="V1860" s="51">
        <f>IF(tblWorkPackages[[#This Row],[Time split]]="Train 2024",tblWorkPackages[[#This Row],[Estimated labor hours]],tblWorkPackages[[#This Row],[Calibrated forecast hours]])</f>
        <v>40.6</v>
      </c>
      <c r="W1860" s="64">
        <f>DATEVALUE(tblWorkPackages[[#This Row],[Request date]])</f>
        <v>45495.0</v>
      </c>
      <c r="X1860" s="64">
        <f>DATEVALUE(tblWorkPackages[[#This Row],[Due date]])</f>
        <v>45501.0</v>
      </c>
      <c r="Y1860" s="64">
        <f>DATEVALUE(tblWorkPackages[[#This Row],[Completion date]])</f>
        <v>45532.0</v>
      </c>
      <c r="Z1860" s="64">
        <f>_xlfn.MINIFS(tblLaborEntries[Work date serial],tblLaborEntries[Work package ID],tblWorkPackages[[#This Row],[Work package ID]])</f>
        <v>45528.0</v>
      </c>
      <c r="AA1860" s="64">
        <f>_xlfn.MAXIFS(tblLaborEntries[Work date serial],tblLaborEntries[Work package ID],tblWorkPackages[[#This Row],[Work package ID]])</f>
        <v>45530.0</v>
      </c>
      <c r="AB1860" s="65">
        <f>IF(tblWorkPackages[[#This Row],[Completion date serial]]&gt;tblWorkPackages[[#This Row],[Due date serial]],1,0)</f>
        <v>1</v>
      </c>
      <c r="AC1860" s="65">
        <f>MAX(0,tblWorkPackages[[#This Row],[Completion date serial]]-tblWorkPackages[[#This Row],[Due date serial]])</f>
        <v>31</v>
      </c>
      <c r="AD1860" s="65">
        <f>tblWorkPackages[[#This Row],[First labor date]]-tblWorkPackages[[#This Row],[Request date serial]]</f>
        <v>33</v>
      </c>
      <c r="AE1860" s="65">
        <f>tblWorkPackages[[#This Row],[Last labor date]]-tblWorkPackages[[#This Row],[First labor date]]</f>
        <v>2</v>
      </c>
      <c r="AF1860" s="65">
        <f>tblWorkPackages[[#This Row],[Completion date serial]]-tblWorkPackages[[#This Row],[Last labor date]]</f>
        <v>2</v>
      </c>
      <c r="AG1860" s="65">
        <f>tblWorkPackages[[#This Row],[Completion date serial]]-tblWorkPackages[[#This Row],[Request date serial]]</f>
        <v>37</v>
      </c>
      <c r="AH1860" s="65">
        <f>IFERROR(INDEX(tblParts[Delay days],MATCH(tblWorkPackages[[#This Row],[Work package ID]],tblParts[Work package ID],0)),0)</f>
        <v>0</v>
      </c>
      <c r="AI1860" s="51" t="str">
        <f>IFERROR(INDEX(tblDisruptions[Event type],MATCH(tblWorkPackages[[#This Row],[Work package ID]],tblDisruptions[Work package ID],0)),"None")</f>
        <v>None</v>
      </c>
      <c r="AJ1860" s="51" t="str">
        <f>TEXT(tblWorkPackages[[#This Row],[Due date serial]],"yyyy-mm")</f>
        <v>2024-07</v>
      </c>
    </row>
    <row r="1861" spans="1:36" ht="15" x14ac:dyDescent="0.25">
      <c r="A1861" s="53" t="s">
        <v>2772</v>
      </c>
      <c r="B1861" s="53" t="s">
        <v>250</v>
      </c>
      <c r="C1861" s="53" t="s">
        <v>1234</v>
      </c>
      <c r="D1861" s="53" t="s">
        <v>842</v>
      </c>
      <c r="E1861" s="53" t="s">
        <v>144</v>
      </c>
      <c r="F1861" s="53" t="s">
        <v>145</v>
      </c>
      <c r="G1861" s="53" t="s">
        <v>146</v>
      </c>
      <c r="H1861" s="53">
        <v>1</v>
      </c>
      <c r="I1861" s="53" t="s">
        <v>176</v>
      </c>
      <c r="J1861" s="53">
        <v>1</v>
      </c>
      <c r="K1861" s="53">
        <v>1</v>
      </c>
      <c r="L1861" s="53">
        <v>6.8</v>
      </c>
      <c r="M1861" s="53" t="s">
        <v>311</v>
      </c>
      <c r="N1861" s="53">
        <v>14.4</v>
      </c>
      <c r="O1861" s="51" t="str">
        <f>TEXT(tblWorkPackages[[#This Row],[Request date serial]]-WEEKDAY(tblWorkPackages[[#This Row],[Request date serial]],3),"yyyy-mm-dd")</f>
        <v>2025-07-21</v>
      </c>
      <c r="P1861" s="51">
        <f>ABS(tblWorkPackages[[#This Row],[Actual labor hours]]-tblWorkPackages[[#This Row],[Estimated labor hours]])</f>
        <v>7.6</v>
      </c>
      <c r="Q1861" s="51">
        <f>IF(tblWorkPackages[[#This Row],[Actual labor hours]]&gt;tblWorkPackages[[#This Row],[Estimated labor hours]],1,0)</f>
        <v>1</v>
      </c>
      <c r="R1861" s="51">
        <f>tblWorkPackages[[#This Row],[Actual labor hours]]-tblWorkPackages[[#This Row],[Estimated labor hours]]</f>
        <v>7.6</v>
      </c>
      <c r="S1861" s="51" t="str">
        <f>IF(tblWorkPackages[[#This Row],[Request date serial]]&lt;ValidationStart,"Train 2024",IF(tblWorkPackages[[#This Row],[Request date serial]]&lt;HoldoutStart,"Validation H1","Holdout H2"))</f>
        <v>Holdout H2</v>
      </c>
      <c r="T1861" s="51">
        <f>IF(tblWorkPackages[[#This Row],[Time split]]="Train 2024","",tblWorkPackages[[#This Row],[Estimated labor hours]]+VLOOKUP(tblWorkPackages[[#This Row],[Task type]],'Forecast validation'!$A$14:$E$25,IF(tblWorkPackages[[#This Row],[Time split]]="Validation H1",4,5),FALSE()))</f>
        <v>7.77354838709677</v>
      </c>
      <c r="U1861" s="51">
        <f>IF(tblWorkPackages[[#This Row],[Calibrated forecast hours]]="","",ABS(tblWorkPackages[[#This Row],[Actual labor hours]]-tblWorkPackages[[#This Row],[Calibrated forecast hours]]))</f>
        <v>6.62645161290323</v>
      </c>
      <c r="V1861" s="51">
        <f>IF(tblWorkPackages[[#This Row],[Time split]]="Train 2024",tblWorkPackages[[#This Row],[Estimated labor hours]],tblWorkPackages[[#This Row],[Calibrated forecast hours]])</f>
        <v>7.77354838709677</v>
      </c>
      <c r="W1861" s="64">
        <f>DATEVALUE(tblWorkPackages[[#This Row],[Request date]])</f>
        <v>45859.0</v>
      </c>
      <c r="X1861" s="64">
        <f>DATEVALUE(tblWorkPackages[[#This Row],[Due date]])</f>
        <v>45865.0</v>
      </c>
      <c r="Y1861" s="64">
        <f>DATEVALUE(tblWorkPackages[[#This Row],[Completion date]])</f>
        <v>45881.0</v>
      </c>
      <c r="Z1861" s="64">
        <f>_xlfn.MINIFS(tblLaborEntries[Work date serial],tblLaborEntries[Work package ID],tblWorkPackages[[#This Row],[Work package ID]])</f>
        <v>45878.0</v>
      </c>
      <c r="AA1861" s="64">
        <f>_xlfn.MAXIFS(tblLaborEntries[Work date serial],tblLaborEntries[Work package ID],tblWorkPackages[[#This Row],[Work package ID]])</f>
        <v>45878.0</v>
      </c>
      <c r="AB1861" s="65">
        <f>IF(tblWorkPackages[[#This Row],[Completion date serial]]&gt;tblWorkPackages[[#This Row],[Due date serial]],1,0)</f>
        <v>1</v>
      </c>
      <c r="AC1861" s="65">
        <f>MAX(0,tblWorkPackages[[#This Row],[Completion date serial]]-tblWorkPackages[[#This Row],[Due date serial]])</f>
        <v>16</v>
      </c>
      <c r="AD1861" s="65">
        <f>tblWorkPackages[[#This Row],[First labor date]]-tblWorkPackages[[#This Row],[Request date serial]]</f>
        <v>19</v>
      </c>
      <c r="AE1861" s="65">
        <f>tblWorkPackages[[#This Row],[Last labor date]]-tblWorkPackages[[#This Row],[First labor date]]</f>
        <v>0</v>
      </c>
      <c r="AF1861" s="65">
        <f>tblWorkPackages[[#This Row],[Completion date serial]]-tblWorkPackages[[#This Row],[Last labor date]]</f>
        <v>3</v>
      </c>
      <c r="AG1861" s="65">
        <f>tblWorkPackages[[#This Row],[Completion date serial]]-tblWorkPackages[[#This Row],[Request date serial]]</f>
        <v>22</v>
      </c>
      <c r="AH1861" s="65">
        <f>IFERROR(INDEX(tblParts[Delay days],MATCH(tblWorkPackages[[#This Row],[Work package ID]],tblParts[Work package ID],0)),0)</f>
        <v>13</v>
      </c>
      <c r="AI1861" s="51" t="str">
        <f>IFERROR(INDEX(tblDisruptions[Event type],MATCH(tblWorkPackages[[#This Row],[Work package ID]],tblDisruptions[Work package ID],0)),"None")</f>
        <v>Part delay</v>
      </c>
      <c r="AJ1861" s="51" t="str">
        <f>TEXT(tblWorkPackages[[#This Row],[Due date serial]],"yyyy-mm")</f>
        <v>2025-07</v>
      </c>
    </row>
    <row r="1862" spans="1:36" ht="15" x14ac:dyDescent="0.25">
      <c r="A1862" s="53" t="s">
        <v>2773</v>
      </c>
      <c r="B1862" s="53" t="s">
        <v>287</v>
      </c>
      <c r="C1862" s="53" t="s">
        <v>1194</v>
      </c>
      <c r="D1862" s="53" t="s">
        <v>942</v>
      </c>
      <c r="E1862" s="53" t="s">
        <v>272</v>
      </c>
      <c r="F1862" s="53" t="s">
        <v>145</v>
      </c>
      <c r="G1862" s="53" t="s">
        <v>273</v>
      </c>
      <c r="H1862" s="53">
        <v>1</v>
      </c>
      <c r="I1862" s="53" t="s">
        <v>176</v>
      </c>
      <c r="J1862" s="53">
        <v>0</v>
      </c>
      <c r="K1862" s="53">
        <v>1</v>
      </c>
      <c r="L1862" s="53">
        <v>6.8</v>
      </c>
      <c r="M1862" s="53" t="s">
        <v>1273</v>
      </c>
      <c r="N1862" s="53">
        <v>8</v>
      </c>
      <c r="O1862" s="51" t="str">
        <f>TEXT(tblWorkPackages[[#This Row],[Request date serial]]-WEEKDAY(tblWorkPackages[[#This Row],[Request date serial]],3),"yyyy-mm-dd")</f>
        <v>2025-10-06</v>
      </c>
      <c r="P1862" s="51">
        <f>ABS(tblWorkPackages[[#This Row],[Actual labor hours]]-tblWorkPackages[[#This Row],[Estimated labor hours]])</f>
        <v>1.2</v>
      </c>
      <c r="Q1862" s="51">
        <f>IF(tblWorkPackages[[#This Row],[Actual labor hours]]&gt;tblWorkPackages[[#This Row],[Estimated labor hours]],1,0)</f>
        <v>1</v>
      </c>
      <c r="R1862" s="51">
        <f>tblWorkPackages[[#This Row],[Actual labor hours]]-tblWorkPackages[[#This Row],[Estimated labor hours]]</f>
        <v>1.2</v>
      </c>
      <c r="S1862" s="51" t="str">
        <f>IF(tblWorkPackages[[#This Row],[Request date serial]]&lt;ValidationStart,"Train 2024",IF(tblWorkPackages[[#This Row],[Request date serial]]&lt;HoldoutStart,"Validation H1","Holdout H2"))</f>
        <v>Holdout H2</v>
      </c>
      <c r="T1862" s="51">
        <f>IF(tblWorkPackages[[#This Row],[Time split]]="Train 2024","",tblWorkPackages[[#This Row],[Estimated labor hours]]+VLOOKUP(tblWorkPackages[[#This Row],[Task type]],'Forecast validation'!$A$14:$E$25,IF(tblWorkPackages[[#This Row],[Time split]]="Validation H1",4,5),FALSE()))</f>
        <v>7.78515625</v>
      </c>
      <c r="U1862" s="51">
        <f>IF(tblWorkPackages[[#This Row],[Calibrated forecast hours]]="","",ABS(tblWorkPackages[[#This Row],[Actual labor hours]]-tblWorkPackages[[#This Row],[Calibrated forecast hours]]))</f>
        <v>0.21484375</v>
      </c>
      <c r="V1862" s="51">
        <f>IF(tblWorkPackages[[#This Row],[Time split]]="Train 2024",tblWorkPackages[[#This Row],[Estimated labor hours]],tblWorkPackages[[#This Row],[Calibrated forecast hours]])</f>
        <v>7.78515625</v>
      </c>
      <c r="W1862" s="64">
        <f>DATEVALUE(tblWorkPackages[[#This Row],[Request date]])</f>
        <v>45940.0</v>
      </c>
      <c r="X1862" s="64">
        <f>DATEVALUE(tblWorkPackages[[#This Row],[Due date]])</f>
        <v>45946.0</v>
      </c>
      <c r="Y1862" s="64">
        <f>DATEVALUE(tblWorkPackages[[#This Row],[Completion date]])</f>
        <v>45942.0</v>
      </c>
      <c r="Z1862" s="64">
        <f>_xlfn.MINIFS(tblLaborEntries[Work date serial],tblLaborEntries[Work package ID],tblWorkPackages[[#This Row],[Work package ID]])</f>
        <v>45942.0</v>
      </c>
      <c r="AA1862" s="64">
        <f>_xlfn.MAXIFS(tblLaborEntries[Work date serial],tblLaborEntries[Work package ID],tblWorkPackages[[#This Row],[Work package ID]])</f>
        <v>45942.0</v>
      </c>
      <c r="AB1862" s="65">
        <f>IF(tblWorkPackages[[#This Row],[Completion date serial]]&gt;tblWorkPackages[[#This Row],[Due date serial]],1,0)</f>
        <v>0</v>
      </c>
      <c r="AC1862" s="65">
        <f>MAX(0,tblWorkPackages[[#This Row],[Completion date serial]]-tblWorkPackages[[#This Row],[Due date serial]])</f>
        <v>0</v>
      </c>
      <c r="AD1862" s="65">
        <f>tblWorkPackages[[#This Row],[First labor date]]-tblWorkPackages[[#This Row],[Request date serial]]</f>
        <v>2</v>
      </c>
      <c r="AE1862" s="65">
        <f>tblWorkPackages[[#This Row],[Last labor date]]-tblWorkPackages[[#This Row],[First labor date]]</f>
        <v>0</v>
      </c>
      <c r="AF1862" s="65">
        <f>tblWorkPackages[[#This Row],[Completion date serial]]-tblWorkPackages[[#This Row],[Last labor date]]</f>
        <v>0</v>
      </c>
      <c r="AG1862" s="65">
        <f>tblWorkPackages[[#This Row],[Completion date serial]]-tblWorkPackages[[#This Row],[Request date serial]]</f>
        <v>2</v>
      </c>
      <c r="AH1862" s="65">
        <f>IFERROR(INDEX(tblParts[Delay days],MATCH(tblWorkPackages[[#This Row],[Work package ID]],tblParts[Work package ID],0)),0)</f>
        <v>0</v>
      </c>
      <c r="AI1862" s="51" t="str">
        <f>IFERROR(INDEX(tblDisruptions[Event type],MATCH(tblWorkPackages[[#This Row],[Work package ID]],tblDisruptions[Work package ID],0)),"None")</f>
        <v>None</v>
      </c>
      <c r="AJ1862" s="51" t="str">
        <f>TEXT(tblWorkPackages[[#This Row],[Due date serial]],"yyyy-mm")</f>
        <v>2025-10</v>
      </c>
    </row>
    <row r="1863" spans="1:36" ht="15" x14ac:dyDescent="0.25">
      <c r="A1863" s="53" t="s">
        <v>2774</v>
      </c>
      <c r="B1863" s="53" t="s">
        <v>203</v>
      </c>
      <c r="C1863" s="53" t="s">
        <v>170</v>
      </c>
      <c r="D1863" s="53" t="s">
        <v>1741</v>
      </c>
      <c r="E1863" s="53" t="s">
        <v>223</v>
      </c>
      <c r="F1863" s="53" t="s">
        <v>182</v>
      </c>
      <c r="G1863" s="53" t="s">
        <v>154</v>
      </c>
      <c r="H1863" s="53">
        <v>4</v>
      </c>
      <c r="I1863" s="53" t="s">
        <v>130</v>
      </c>
      <c r="J1863" s="53">
        <v>0</v>
      </c>
      <c r="K1863" s="53">
        <v>0</v>
      </c>
      <c r="L1863" s="53">
        <v>18.5</v>
      </c>
      <c r="M1863" s="53" t="s">
        <v>2263</v>
      </c>
      <c r="N1863" s="53">
        <v>20.8</v>
      </c>
      <c r="O1863" s="51" t="str">
        <f>TEXT(tblWorkPackages[[#This Row],[Request date serial]]-WEEKDAY(tblWorkPackages[[#This Row],[Request date serial]],3),"yyyy-mm-dd")</f>
        <v>2024-10-21</v>
      </c>
      <c r="P1863" s="51">
        <f>ABS(tblWorkPackages[[#This Row],[Actual labor hours]]-tblWorkPackages[[#This Row],[Estimated labor hours]])</f>
        <v>2.3</v>
      </c>
      <c r="Q1863" s="51">
        <f>IF(tblWorkPackages[[#This Row],[Actual labor hours]]&gt;tblWorkPackages[[#This Row],[Estimated labor hours]],1,0)</f>
        <v>1</v>
      </c>
      <c r="R1863" s="51">
        <f>tblWorkPackages[[#This Row],[Actual labor hours]]-tblWorkPackages[[#This Row],[Estimated labor hours]]</f>
        <v>2.3</v>
      </c>
      <c r="S1863" s="51" t="str">
        <f>IF(tblWorkPackages[[#This Row],[Request date serial]]&lt;ValidationStart,"Train 2024",IF(tblWorkPackages[[#This Row],[Request date serial]]&lt;HoldoutStart,"Validation H1","Holdout H2"))</f>
        <v>Train 2024</v>
      </c>
      <c r="T1863" s="51" t="str">
        <f>IF(tblWorkPackages[[#This Row],[Time split]]="Train 2024","",tblWorkPackages[[#This Row],[Estimated labor hours]]+VLOOKUP(tblWorkPackages[[#This Row],[Task type]],'Forecast validation'!$A$14:$E$25,IF(tblWorkPackages[[#This Row],[Time split]]="Validation H1",4,5),FALSE()))</f>
        <v/>
      </c>
      <c r="U1863" s="51" t="str">
        <f>IF(tblWorkPackages[[#This Row],[Calibrated forecast hours]]="","",ABS(tblWorkPackages[[#This Row],[Actual labor hours]]-tblWorkPackages[[#This Row],[Calibrated forecast hours]]))</f>
        <v/>
      </c>
      <c r="V1863" s="51">
        <f>IF(tblWorkPackages[[#This Row],[Time split]]="Train 2024",tblWorkPackages[[#This Row],[Estimated labor hours]],tblWorkPackages[[#This Row],[Calibrated forecast hours]])</f>
        <v>18.5</v>
      </c>
      <c r="W1863" s="64">
        <f>DATEVALUE(tblWorkPackages[[#This Row],[Request date]])</f>
        <v>45587.0</v>
      </c>
      <c r="X1863" s="64">
        <f>DATEVALUE(tblWorkPackages[[#This Row],[Due date]])</f>
        <v>45600.0</v>
      </c>
      <c r="Y1863" s="64">
        <f>DATEVALUE(tblWorkPackages[[#This Row],[Completion date]])</f>
        <v>45605.0</v>
      </c>
      <c r="Z1863" s="64">
        <f>_xlfn.MINIFS(tblLaborEntries[Work date serial],tblLaborEntries[Work package ID],tblWorkPackages[[#This Row],[Work package ID]])</f>
        <v>45602.0</v>
      </c>
      <c r="AA1863" s="64">
        <f>_xlfn.MAXIFS(tblLaborEntries[Work date serial],tblLaborEntries[Work package ID],tblWorkPackages[[#This Row],[Work package ID]])</f>
        <v>45604.0</v>
      </c>
      <c r="AB1863" s="65">
        <f>IF(tblWorkPackages[[#This Row],[Completion date serial]]&gt;tblWorkPackages[[#This Row],[Due date serial]],1,0)</f>
        <v>1</v>
      </c>
      <c r="AC1863" s="65">
        <f>MAX(0,tblWorkPackages[[#This Row],[Completion date serial]]-tblWorkPackages[[#This Row],[Due date serial]])</f>
        <v>5</v>
      </c>
      <c r="AD1863" s="65">
        <f>tblWorkPackages[[#This Row],[First labor date]]-tblWorkPackages[[#This Row],[Request date serial]]</f>
        <v>15</v>
      </c>
      <c r="AE1863" s="65">
        <f>tblWorkPackages[[#This Row],[Last labor date]]-tblWorkPackages[[#This Row],[First labor date]]</f>
        <v>2</v>
      </c>
      <c r="AF1863" s="65">
        <f>tblWorkPackages[[#This Row],[Completion date serial]]-tblWorkPackages[[#This Row],[Last labor date]]</f>
        <v>1</v>
      </c>
      <c r="AG1863" s="65">
        <f>tblWorkPackages[[#This Row],[Completion date serial]]-tblWorkPackages[[#This Row],[Request date serial]]</f>
        <v>18</v>
      </c>
      <c r="AH1863" s="65">
        <f>IFERROR(INDEX(tblParts[Delay days],MATCH(tblWorkPackages[[#This Row],[Work package ID]],tblParts[Work package ID],0)),0)</f>
        <v>0</v>
      </c>
      <c r="AI1863" s="51" t="str">
        <f>IFERROR(INDEX(tblDisruptions[Event type],MATCH(tblWorkPackages[[#This Row],[Work package ID]],tblDisruptions[Work package ID],0)),"None")</f>
        <v>None</v>
      </c>
      <c r="AJ1863" s="51" t="str">
        <f>TEXT(tblWorkPackages[[#This Row],[Due date serial]],"yyyy-mm")</f>
        <v>2024-11</v>
      </c>
    </row>
    <row r="1864" spans="1:36" ht="15" x14ac:dyDescent="0.25">
      <c r="A1864" s="53" t="s">
        <v>2775</v>
      </c>
      <c r="B1864" s="53" t="s">
        <v>250</v>
      </c>
      <c r="C1864" s="53" t="s">
        <v>587</v>
      </c>
      <c r="D1864" s="53" t="s">
        <v>259</v>
      </c>
      <c r="E1864" s="53" t="s">
        <v>200</v>
      </c>
      <c r="F1864" s="53" t="s">
        <v>128</v>
      </c>
      <c r="G1864" s="53" t="s">
        <v>129</v>
      </c>
      <c r="H1864" s="53">
        <v>2</v>
      </c>
      <c r="I1864" s="53" t="s">
        <v>147</v>
      </c>
      <c r="J1864" s="53">
        <v>0</v>
      </c>
      <c r="K1864" s="53">
        <v>0</v>
      </c>
      <c r="L1864" s="53">
        <v>3</v>
      </c>
      <c r="M1864" s="53" t="s">
        <v>253</v>
      </c>
      <c r="N1864" s="53">
        <v>3.3</v>
      </c>
      <c r="O1864" s="51" t="str">
        <f>TEXT(tblWorkPackages[[#This Row],[Request date serial]]-WEEKDAY(tblWorkPackages[[#This Row],[Request date serial]],3),"yyyy-mm-dd")</f>
        <v>2025-01-13</v>
      </c>
      <c r="P1864" s="51">
        <f>ABS(tblWorkPackages[[#This Row],[Actual labor hours]]-tblWorkPackages[[#This Row],[Estimated labor hours]])</f>
        <v>0.3</v>
      </c>
      <c r="Q1864" s="51">
        <f>IF(tblWorkPackages[[#This Row],[Actual labor hours]]&gt;tblWorkPackages[[#This Row],[Estimated labor hours]],1,0)</f>
        <v>1</v>
      </c>
      <c r="R1864" s="51">
        <f>tblWorkPackages[[#This Row],[Actual labor hours]]-tblWorkPackages[[#This Row],[Estimated labor hours]]</f>
        <v>0.3</v>
      </c>
      <c r="S1864" s="51" t="str">
        <f>IF(tblWorkPackages[[#This Row],[Request date serial]]&lt;ValidationStart,"Train 2024",IF(tblWorkPackages[[#This Row],[Request date serial]]&lt;HoldoutStart,"Validation H1","Holdout H2"))</f>
        <v>Validation H1</v>
      </c>
      <c r="T1864" s="51">
        <f>IF(tblWorkPackages[[#This Row],[Time split]]="Train 2024","",tblWorkPackages[[#This Row],[Estimated labor hours]]+VLOOKUP(tblWorkPackages[[#This Row],[Task type]],'Forecast validation'!$A$14:$E$25,IF(tblWorkPackages[[#This Row],[Time split]]="Validation H1",4,5),FALSE()))</f>
        <v>3.33069306930693</v>
      </c>
      <c r="U1864" s="51">
        <f>IF(tblWorkPackages[[#This Row],[Calibrated forecast hours]]="","",ABS(tblWorkPackages[[#This Row],[Actual labor hours]]-tblWorkPackages[[#This Row],[Calibrated forecast hours]]))</f>
        <v>0.0306930693069307</v>
      </c>
      <c r="V1864" s="51">
        <f>IF(tblWorkPackages[[#This Row],[Time split]]="Train 2024",tblWorkPackages[[#This Row],[Estimated labor hours]],tblWorkPackages[[#This Row],[Calibrated forecast hours]])</f>
        <v>3.33069306930693</v>
      </c>
      <c r="W1864" s="64">
        <f>DATEVALUE(tblWorkPackages[[#This Row],[Request date]])</f>
        <v>45671.0</v>
      </c>
      <c r="X1864" s="64">
        <f>DATEVALUE(tblWorkPackages[[#This Row],[Due date]])</f>
        <v>45673.0</v>
      </c>
      <c r="Y1864" s="64">
        <f>DATEVALUE(tblWorkPackages[[#This Row],[Completion date]])</f>
        <v>45677.0</v>
      </c>
      <c r="Z1864" s="64">
        <f>_xlfn.MINIFS(tblLaborEntries[Work date serial],tblLaborEntries[Work package ID],tblWorkPackages[[#This Row],[Work package ID]])</f>
        <v>45675.0</v>
      </c>
      <c r="AA1864" s="64">
        <f>_xlfn.MAXIFS(tblLaborEntries[Work date serial],tblLaborEntries[Work package ID],tblWorkPackages[[#This Row],[Work package ID]])</f>
        <v>45675.0</v>
      </c>
      <c r="AB1864" s="65">
        <f>IF(tblWorkPackages[[#This Row],[Completion date serial]]&gt;tblWorkPackages[[#This Row],[Due date serial]],1,0)</f>
        <v>1</v>
      </c>
      <c r="AC1864" s="65">
        <f>MAX(0,tblWorkPackages[[#This Row],[Completion date serial]]-tblWorkPackages[[#This Row],[Due date serial]])</f>
        <v>4</v>
      </c>
      <c r="AD1864" s="65">
        <f>tblWorkPackages[[#This Row],[First labor date]]-tblWorkPackages[[#This Row],[Request date serial]]</f>
        <v>4</v>
      </c>
      <c r="AE1864" s="65">
        <f>tblWorkPackages[[#This Row],[Last labor date]]-tblWorkPackages[[#This Row],[First labor date]]</f>
        <v>0</v>
      </c>
      <c r="AF1864" s="65">
        <f>tblWorkPackages[[#This Row],[Completion date serial]]-tblWorkPackages[[#This Row],[Last labor date]]</f>
        <v>2</v>
      </c>
      <c r="AG1864" s="65">
        <f>tblWorkPackages[[#This Row],[Completion date serial]]-tblWorkPackages[[#This Row],[Request date serial]]</f>
        <v>6</v>
      </c>
      <c r="AH1864" s="65">
        <f>IFERROR(INDEX(tblParts[Delay days],MATCH(tblWorkPackages[[#This Row],[Work package ID]],tblParts[Work package ID],0)),0)</f>
        <v>0</v>
      </c>
      <c r="AI1864" s="51" t="str">
        <f>IFERROR(INDEX(tblDisruptions[Event type],MATCH(tblWorkPackages[[#This Row],[Work package ID]],tblDisruptions[Work package ID],0)),"None")</f>
        <v>None</v>
      </c>
      <c r="AJ1864" s="51" t="str">
        <f>TEXT(tblWorkPackages[[#This Row],[Due date serial]],"yyyy-mm")</f>
        <v>2025-01</v>
      </c>
    </row>
    <row r="1865" spans="1:36" ht="15" x14ac:dyDescent="0.25">
      <c r="A1865" s="53" t="s">
        <v>2776</v>
      </c>
      <c r="B1865" s="53" t="s">
        <v>185</v>
      </c>
      <c r="C1865" s="53" t="s">
        <v>475</v>
      </c>
      <c r="D1865" s="53" t="s">
        <v>663</v>
      </c>
      <c r="E1865" s="53" t="s">
        <v>209</v>
      </c>
      <c r="F1865" s="53" t="s">
        <v>145</v>
      </c>
      <c r="G1865" s="53" t="s">
        <v>210</v>
      </c>
      <c r="H1865" s="53">
        <v>4</v>
      </c>
      <c r="I1865" s="53" t="s">
        <v>130</v>
      </c>
      <c r="J1865" s="53">
        <v>0</v>
      </c>
      <c r="K1865" s="53">
        <v>1</v>
      </c>
      <c r="L1865" s="53">
        <v>44.9</v>
      </c>
      <c r="M1865" s="53" t="s">
        <v>1067</v>
      </c>
      <c r="N1865" s="53">
        <v>47.4</v>
      </c>
      <c r="O1865" s="51" t="str">
        <f>TEXT(tblWorkPackages[[#This Row],[Request date serial]]-WEEKDAY(tblWorkPackages[[#This Row],[Request date serial]],3),"yyyy-mm-dd")</f>
        <v>2024-02-26</v>
      </c>
      <c r="P1865" s="51">
        <f>ABS(tblWorkPackages[[#This Row],[Actual labor hours]]-tblWorkPackages[[#This Row],[Estimated labor hours]])</f>
        <v>2.5</v>
      </c>
      <c r="Q1865" s="51">
        <f>IF(tblWorkPackages[[#This Row],[Actual labor hours]]&gt;tblWorkPackages[[#This Row],[Estimated labor hours]],1,0)</f>
        <v>1</v>
      </c>
      <c r="R1865" s="51">
        <f>tblWorkPackages[[#This Row],[Actual labor hours]]-tblWorkPackages[[#This Row],[Estimated labor hours]]</f>
        <v>2.5</v>
      </c>
      <c r="S1865" s="51" t="str">
        <f>IF(tblWorkPackages[[#This Row],[Request date serial]]&lt;ValidationStart,"Train 2024",IF(tblWorkPackages[[#This Row],[Request date serial]]&lt;HoldoutStart,"Validation H1","Holdout H2"))</f>
        <v>Train 2024</v>
      </c>
      <c r="T1865" s="51" t="str">
        <f>IF(tblWorkPackages[[#This Row],[Time split]]="Train 2024","",tblWorkPackages[[#This Row],[Estimated labor hours]]+VLOOKUP(tblWorkPackages[[#This Row],[Task type]],'Forecast validation'!$A$14:$E$25,IF(tblWorkPackages[[#This Row],[Time split]]="Validation H1",4,5),FALSE()))</f>
        <v/>
      </c>
      <c r="U1865" s="51" t="str">
        <f>IF(tblWorkPackages[[#This Row],[Calibrated forecast hours]]="","",ABS(tblWorkPackages[[#This Row],[Actual labor hours]]-tblWorkPackages[[#This Row],[Calibrated forecast hours]]))</f>
        <v/>
      </c>
      <c r="V1865" s="51">
        <f>IF(tblWorkPackages[[#This Row],[Time split]]="Train 2024",tblWorkPackages[[#This Row],[Estimated labor hours]],tblWorkPackages[[#This Row],[Calibrated forecast hours]])</f>
        <v>44.9</v>
      </c>
      <c r="W1865" s="64">
        <f>DATEVALUE(tblWorkPackages[[#This Row],[Request date]])</f>
        <v>45353.0</v>
      </c>
      <c r="X1865" s="64">
        <f>DATEVALUE(tblWorkPackages[[#This Row],[Due date]])</f>
        <v>45366.0</v>
      </c>
      <c r="Y1865" s="64">
        <f>DATEVALUE(tblWorkPackages[[#This Row],[Completion date]])</f>
        <v>45357.0</v>
      </c>
      <c r="Z1865" s="64">
        <f>_xlfn.MINIFS(tblLaborEntries[Work date serial],tblLaborEntries[Work package ID],tblWorkPackages[[#This Row],[Work package ID]])</f>
        <v>45353.0</v>
      </c>
      <c r="AA1865" s="64">
        <f>_xlfn.MAXIFS(tblLaborEntries[Work date serial],tblLaborEntries[Work package ID],tblWorkPackages[[#This Row],[Work package ID]])</f>
        <v>45354.0</v>
      </c>
      <c r="AB1865" s="65">
        <f>IF(tblWorkPackages[[#This Row],[Completion date serial]]&gt;tblWorkPackages[[#This Row],[Due date serial]],1,0)</f>
        <v>0</v>
      </c>
      <c r="AC1865" s="65">
        <f>MAX(0,tblWorkPackages[[#This Row],[Completion date serial]]-tblWorkPackages[[#This Row],[Due date serial]])</f>
        <v>0</v>
      </c>
      <c r="AD1865" s="65">
        <f>tblWorkPackages[[#This Row],[First labor date]]-tblWorkPackages[[#This Row],[Request date serial]]</f>
        <v>0</v>
      </c>
      <c r="AE1865" s="65">
        <f>tblWorkPackages[[#This Row],[Last labor date]]-tblWorkPackages[[#This Row],[First labor date]]</f>
        <v>1</v>
      </c>
      <c r="AF1865" s="65">
        <f>tblWorkPackages[[#This Row],[Completion date serial]]-tblWorkPackages[[#This Row],[Last labor date]]</f>
        <v>3</v>
      </c>
      <c r="AG1865" s="65">
        <f>tblWorkPackages[[#This Row],[Completion date serial]]-tblWorkPackages[[#This Row],[Request date serial]]</f>
        <v>4</v>
      </c>
      <c r="AH1865" s="65">
        <f>IFERROR(INDEX(tblParts[Delay days],MATCH(tblWorkPackages[[#This Row],[Work package ID]],tblParts[Work package ID],0)),0)</f>
        <v>0</v>
      </c>
      <c r="AI1865" s="51" t="str">
        <f>IFERROR(INDEX(tblDisruptions[Event type],MATCH(tblWorkPackages[[#This Row],[Work package ID]],tblDisruptions[Work package ID],0)),"None")</f>
        <v>None</v>
      </c>
      <c r="AJ1865" s="51" t="str">
        <f>TEXT(tblWorkPackages[[#This Row],[Due date serial]],"yyyy-mm")</f>
        <v>2024-03</v>
      </c>
    </row>
    <row r="1866" spans="1:36" ht="15" x14ac:dyDescent="0.25">
      <c r="A1866" s="53" t="s">
        <v>2777</v>
      </c>
      <c r="B1866" s="53" t="s">
        <v>124</v>
      </c>
      <c r="C1866" s="53" t="s">
        <v>1186</v>
      </c>
      <c r="D1866" s="53" t="s">
        <v>447</v>
      </c>
      <c r="E1866" s="53" t="s">
        <v>144</v>
      </c>
      <c r="F1866" s="53" t="s">
        <v>145</v>
      </c>
      <c r="G1866" s="53" t="s">
        <v>146</v>
      </c>
      <c r="H1866" s="53">
        <v>4</v>
      </c>
      <c r="I1866" s="53" t="s">
        <v>130</v>
      </c>
      <c r="J1866" s="53">
        <v>0</v>
      </c>
      <c r="K1866" s="53">
        <v>1</v>
      </c>
      <c r="L1866" s="53">
        <v>21.7</v>
      </c>
      <c r="M1866" s="53" t="s">
        <v>1620</v>
      </c>
      <c r="N1866" s="53">
        <v>18.2</v>
      </c>
      <c r="O1866" s="51" t="str">
        <f>TEXT(tblWorkPackages[[#This Row],[Request date serial]]-WEEKDAY(tblWorkPackages[[#This Row],[Request date serial]],3),"yyyy-mm-dd")</f>
        <v>2025-03-10</v>
      </c>
      <c r="P1866" s="51">
        <f>ABS(tblWorkPackages[[#This Row],[Actual labor hours]]-tblWorkPackages[[#This Row],[Estimated labor hours]])</f>
        <v>3.5</v>
      </c>
      <c r="Q1866" s="51">
        <f>IF(tblWorkPackages[[#This Row],[Actual labor hours]]&gt;tblWorkPackages[[#This Row],[Estimated labor hours]],1,0)</f>
        <v>0</v>
      </c>
      <c r="R1866" s="51">
        <f>tblWorkPackages[[#This Row],[Actual labor hours]]-tblWorkPackages[[#This Row],[Estimated labor hours]]</f>
        <v>-3.5</v>
      </c>
      <c r="S1866" s="51" t="str">
        <f>IF(tblWorkPackages[[#This Row],[Request date serial]]&lt;ValidationStart,"Train 2024",IF(tblWorkPackages[[#This Row],[Request date serial]]&lt;HoldoutStart,"Validation H1","Holdout H2"))</f>
        <v>Validation H1</v>
      </c>
      <c r="T1866" s="51">
        <f>IF(tblWorkPackages[[#This Row],[Time split]]="Train 2024","",tblWorkPackages[[#This Row],[Estimated labor hours]]+VLOOKUP(tblWorkPackages[[#This Row],[Task type]],'Forecast validation'!$A$14:$E$25,IF(tblWorkPackages[[#This Row],[Time split]]="Validation H1",4,5),FALSE()))</f>
        <v>22.4547368421053</v>
      </c>
      <c r="U1866" s="51">
        <f>IF(tblWorkPackages[[#This Row],[Calibrated forecast hours]]="","",ABS(tblWorkPackages[[#This Row],[Actual labor hours]]-tblWorkPackages[[#This Row],[Calibrated forecast hours]]))</f>
        <v>4.25473684210526</v>
      </c>
      <c r="V1866" s="51">
        <f>IF(tblWorkPackages[[#This Row],[Time split]]="Train 2024",tblWorkPackages[[#This Row],[Estimated labor hours]],tblWorkPackages[[#This Row],[Calibrated forecast hours]])</f>
        <v>22.4547368421053</v>
      </c>
      <c r="W1866" s="64">
        <f>DATEVALUE(tblWorkPackages[[#This Row],[Request date]])</f>
        <v>45731.0</v>
      </c>
      <c r="X1866" s="64">
        <f>DATEVALUE(tblWorkPackages[[#This Row],[Due date]])</f>
        <v>45744.0</v>
      </c>
      <c r="Y1866" s="64">
        <f>DATEVALUE(tblWorkPackages[[#This Row],[Completion date]])</f>
        <v>45741.0</v>
      </c>
      <c r="Z1866" s="64">
        <f>_xlfn.MINIFS(tblLaborEntries[Work date serial],tblLaborEntries[Work package ID],tblWorkPackages[[#This Row],[Work package ID]])</f>
        <v>45740.0</v>
      </c>
      <c r="AA1866" s="64">
        <f>_xlfn.MAXIFS(tblLaborEntries[Work date serial],tblLaborEntries[Work package ID],tblWorkPackages[[#This Row],[Work package ID]])</f>
        <v>45741.0</v>
      </c>
      <c r="AB1866" s="65">
        <f>IF(tblWorkPackages[[#This Row],[Completion date serial]]&gt;tblWorkPackages[[#This Row],[Due date serial]],1,0)</f>
        <v>0</v>
      </c>
      <c r="AC1866" s="65">
        <f>MAX(0,tblWorkPackages[[#This Row],[Completion date serial]]-tblWorkPackages[[#This Row],[Due date serial]])</f>
        <v>0</v>
      </c>
      <c r="AD1866" s="65">
        <f>tblWorkPackages[[#This Row],[First labor date]]-tblWorkPackages[[#This Row],[Request date serial]]</f>
        <v>9</v>
      </c>
      <c r="AE1866" s="65">
        <f>tblWorkPackages[[#This Row],[Last labor date]]-tblWorkPackages[[#This Row],[First labor date]]</f>
        <v>1</v>
      </c>
      <c r="AF1866" s="65">
        <f>tblWorkPackages[[#This Row],[Completion date serial]]-tblWorkPackages[[#This Row],[Last labor date]]</f>
        <v>0</v>
      </c>
      <c r="AG1866" s="65">
        <f>tblWorkPackages[[#This Row],[Completion date serial]]-tblWorkPackages[[#This Row],[Request date serial]]</f>
        <v>10</v>
      </c>
      <c r="AH1866" s="65">
        <f>IFERROR(INDEX(tblParts[Delay days],MATCH(tblWorkPackages[[#This Row],[Work package ID]],tblParts[Work package ID],0)),0)</f>
        <v>0</v>
      </c>
      <c r="AI1866" s="51" t="str">
        <f>IFERROR(INDEX(tblDisruptions[Event type],MATCH(tblWorkPackages[[#This Row],[Work package ID]],tblDisruptions[Work package ID],0)),"None")</f>
        <v>None</v>
      </c>
      <c r="AJ1866" s="51" t="str">
        <f>TEXT(tblWorkPackages[[#This Row],[Due date serial]],"yyyy-mm")</f>
        <v>2025-03</v>
      </c>
    </row>
    <row r="1867" spans="1:36" ht="15" x14ac:dyDescent="0.25">
      <c r="A1867" s="53" t="s">
        <v>2778</v>
      </c>
      <c r="B1867" s="53" t="s">
        <v>124</v>
      </c>
      <c r="C1867" s="53" t="s">
        <v>948</v>
      </c>
      <c r="D1867" s="53" t="s">
        <v>1776</v>
      </c>
      <c r="E1867" s="53" t="s">
        <v>237</v>
      </c>
      <c r="F1867" s="53" t="s">
        <v>182</v>
      </c>
      <c r="G1867" s="53" t="s">
        <v>138</v>
      </c>
      <c r="H1867" s="53">
        <v>1</v>
      </c>
      <c r="I1867" s="53" t="s">
        <v>130</v>
      </c>
      <c r="J1867" s="53">
        <v>0</v>
      </c>
      <c r="K1867" s="53">
        <v>1</v>
      </c>
      <c r="L1867" s="53">
        <v>3.2</v>
      </c>
      <c r="M1867" s="53" t="s">
        <v>1200</v>
      </c>
      <c r="N1867" s="53">
        <v>3.9</v>
      </c>
      <c r="O1867" s="51" t="str">
        <f>TEXT(tblWorkPackages[[#This Row],[Request date serial]]-WEEKDAY(tblWorkPackages[[#This Row],[Request date serial]],3),"yyyy-mm-dd")</f>
        <v>2024-11-04</v>
      </c>
      <c r="P1867" s="51">
        <f>ABS(tblWorkPackages[[#This Row],[Actual labor hours]]-tblWorkPackages[[#This Row],[Estimated labor hours]])</f>
        <v>0.7</v>
      </c>
      <c r="Q1867" s="51">
        <f>IF(tblWorkPackages[[#This Row],[Actual labor hours]]&gt;tblWorkPackages[[#This Row],[Estimated labor hours]],1,0)</f>
        <v>1</v>
      </c>
      <c r="R1867" s="51">
        <f>tblWorkPackages[[#This Row],[Actual labor hours]]-tblWorkPackages[[#This Row],[Estimated labor hours]]</f>
        <v>0.7</v>
      </c>
      <c r="S1867" s="51" t="str">
        <f>IF(tblWorkPackages[[#This Row],[Request date serial]]&lt;ValidationStart,"Train 2024",IF(tblWorkPackages[[#This Row],[Request date serial]]&lt;HoldoutStart,"Validation H1","Holdout H2"))</f>
        <v>Train 2024</v>
      </c>
      <c r="T1867" s="51" t="str">
        <f>IF(tblWorkPackages[[#This Row],[Time split]]="Train 2024","",tblWorkPackages[[#This Row],[Estimated labor hours]]+VLOOKUP(tblWorkPackages[[#This Row],[Task type]],'Forecast validation'!$A$14:$E$25,IF(tblWorkPackages[[#This Row],[Time split]]="Validation H1",4,5),FALSE()))</f>
        <v/>
      </c>
      <c r="U1867" s="51" t="str">
        <f>IF(tblWorkPackages[[#This Row],[Calibrated forecast hours]]="","",ABS(tblWorkPackages[[#This Row],[Actual labor hours]]-tblWorkPackages[[#This Row],[Calibrated forecast hours]]))</f>
        <v/>
      </c>
      <c r="V1867" s="51">
        <f>IF(tblWorkPackages[[#This Row],[Time split]]="Train 2024",tblWorkPackages[[#This Row],[Estimated labor hours]],tblWorkPackages[[#This Row],[Calibrated forecast hours]])</f>
        <v>3.2</v>
      </c>
      <c r="W1867" s="64">
        <f>DATEVALUE(tblWorkPackages[[#This Row],[Request date]])</f>
        <v>45603.0</v>
      </c>
      <c r="X1867" s="64">
        <f>DATEVALUE(tblWorkPackages[[#This Row],[Due date]])</f>
        <v>45616.0</v>
      </c>
      <c r="Y1867" s="64">
        <f>DATEVALUE(tblWorkPackages[[#This Row],[Completion date]])</f>
        <v>45619.0</v>
      </c>
      <c r="Z1867" s="64">
        <f>_xlfn.MINIFS(tblLaborEntries[Work date serial],tblLaborEntries[Work package ID],tblWorkPackages[[#This Row],[Work package ID]])</f>
        <v>45618.0</v>
      </c>
      <c r="AA1867" s="64">
        <f>_xlfn.MAXIFS(tblLaborEntries[Work date serial],tblLaborEntries[Work package ID],tblWorkPackages[[#This Row],[Work package ID]])</f>
        <v>45618.0</v>
      </c>
      <c r="AB1867" s="65">
        <f>IF(tblWorkPackages[[#This Row],[Completion date serial]]&gt;tblWorkPackages[[#This Row],[Due date serial]],1,0)</f>
        <v>1</v>
      </c>
      <c r="AC1867" s="65">
        <f>MAX(0,tblWorkPackages[[#This Row],[Completion date serial]]-tblWorkPackages[[#This Row],[Due date serial]])</f>
        <v>3</v>
      </c>
      <c r="AD1867" s="65">
        <f>tblWorkPackages[[#This Row],[First labor date]]-tblWorkPackages[[#This Row],[Request date serial]]</f>
        <v>15</v>
      </c>
      <c r="AE1867" s="65">
        <f>tblWorkPackages[[#This Row],[Last labor date]]-tblWorkPackages[[#This Row],[First labor date]]</f>
        <v>0</v>
      </c>
      <c r="AF1867" s="65">
        <f>tblWorkPackages[[#This Row],[Completion date serial]]-tblWorkPackages[[#This Row],[Last labor date]]</f>
        <v>1</v>
      </c>
      <c r="AG1867" s="65">
        <f>tblWorkPackages[[#This Row],[Completion date serial]]-tblWorkPackages[[#This Row],[Request date serial]]</f>
        <v>16</v>
      </c>
      <c r="AH1867" s="65">
        <f>IFERROR(INDEX(tblParts[Delay days],MATCH(tblWorkPackages[[#This Row],[Work package ID]],tblParts[Work package ID],0)),0)</f>
        <v>12</v>
      </c>
      <c r="AI1867" s="51" t="str">
        <f>IFERROR(INDEX(tblDisruptions[Event type],MATCH(tblWorkPackages[[#This Row],[Work package ID]],tblDisruptions[Work package ID],0)),"None")</f>
        <v>Part delay</v>
      </c>
      <c r="AJ1867" s="51" t="str">
        <f>TEXT(tblWorkPackages[[#This Row],[Due date serial]],"yyyy-mm")</f>
        <v>2024-11</v>
      </c>
    </row>
    <row r="1868" spans="1:36" ht="15" x14ac:dyDescent="0.25">
      <c r="A1868" s="53" t="s">
        <v>2779</v>
      </c>
      <c r="B1868" s="53" t="s">
        <v>157</v>
      </c>
      <c r="C1868" s="53" t="s">
        <v>1948</v>
      </c>
      <c r="D1868" s="53" t="s">
        <v>877</v>
      </c>
      <c r="E1868" s="53" t="s">
        <v>200</v>
      </c>
      <c r="F1868" s="53" t="s">
        <v>128</v>
      </c>
      <c r="G1868" s="53" t="s">
        <v>129</v>
      </c>
      <c r="H1868" s="53">
        <v>3</v>
      </c>
      <c r="I1868" s="53" t="s">
        <v>130</v>
      </c>
      <c r="J1868" s="53">
        <v>0</v>
      </c>
      <c r="K1868" s="53">
        <v>0</v>
      </c>
      <c r="L1868" s="53">
        <v>3.4</v>
      </c>
      <c r="M1868" s="53" t="s">
        <v>159</v>
      </c>
      <c r="N1868" s="53">
        <v>4.0999999999999996</v>
      </c>
      <c r="O1868" s="51" t="str">
        <f>TEXT(tblWorkPackages[[#This Row],[Request date serial]]-WEEKDAY(tblWorkPackages[[#This Row],[Request date serial]],3),"yyyy-mm-dd")</f>
        <v>2024-11-11</v>
      </c>
      <c r="P1868" s="51">
        <f>ABS(tblWorkPackages[[#This Row],[Actual labor hours]]-tblWorkPackages[[#This Row],[Estimated labor hours]])</f>
        <v>0.7</v>
      </c>
      <c r="Q1868" s="51">
        <f>IF(tblWorkPackages[[#This Row],[Actual labor hours]]&gt;tblWorkPackages[[#This Row],[Estimated labor hours]],1,0)</f>
        <v>1</v>
      </c>
      <c r="R1868" s="51">
        <f>tblWorkPackages[[#This Row],[Actual labor hours]]-tblWorkPackages[[#This Row],[Estimated labor hours]]</f>
        <v>0.7</v>
      </c>
      <c r="S1868" s="51" t="str">
        <f>IF(tblWorkPackages[[#This Row],[Request date serial]]&lt;ValidationStart,"Train 2024",IF(tblWorkPackages[[#This Row],[Request date serial]]&lt;HoldoutStart,"Validation H1","Holdout H2"))</f>
        <v>Train 2024</v>
      </c>
      <c r="T1868" s="51" t="str">
        <f>IF(tblWorkPackages[[#This Row],[Time split]]="Train 2024","",tblWorkPackages[[#This Row],[Estimated labor hours]]+VLOOKUP(tblWorkPackages[[#This Row],[Task type]],'Forecast validation'!$A$14:$E$25,IF(tblWorkPackages[[#This Row],[Time split]]="Validation H1",4,5),FALSE()))</f>
        <v/>
      </c>
      <c r="U1868" s="51" t="str">
        <f>IF(tblWorkPackages[[#This Row],[Calibrated forecast hours]]="","",ABS(tblWorkPackages[[#This Row],[Actual labor hours]]-tblWorkPackages[[#This Row],[Calibrated forecast hours]]))</f>
        <v/>
      </c>
      <c r="V1868" s="51">
        <f>IF(tblWorkPackages[[#This Row],[Time split]]="Train 2024",tblWorkPackages[[#This Row],[Estimated labor hours]],tblWorkPackages[[#This Row],[Calibrated forecast hours]])</f>
        <v>3.4</v>
      </c>
      <c r="W1868" s="64">
        <f>DATEVALUE(tblWorkPackages[[#This Row],[Request date]])</f>
        <v>45611.0</v>
      </c>
      <c r="X1868" s="64">
        <f>DATEVALUE(tblWorkPackages[[#This Row],[Due date]])</f>
        <v>45624.0</v>
      </c>
      <c r="Y1868" s="64">
        <f>DATEVALUE(tblWorkPackages[[#This Row],[Completion date]])</f>
        <v>45640.0</v>
      </c>
      <c r="Z1868" s="64">
        <f>_xlfn.MINIFS(tblLaborEntries[Work date serial],tblLaborEntries[Work package ID],tblWorkPackages[[#This Row],[Work package ID]])</f>
        <v>45636.0</v>
      </c>
      <c r="AA1868" s="64">
        <f>_xlfn.MAXIFS(tblLaborEntries[Work date serial],tblLaborEntries[Work package ID],tblWorkPackages[[#This Row],[Work package ID]])</f>
        <v>45638.0</v>
      </c>
      <c r="AB1868" s="65">
        <f>IF(tblWorkPackages[[#This Row],[Completion date serial]]&gt;tblWorkPackages[[#This Row],[Due date serial]],1,0)</f>
        <v>1</v>
      </c>
      <c r="AC1868" s="65">
        <f>MAX(0,tblWorkPackages[[#This Row],[Completion date serial]]-tblWorkPackages[[#This Row],[Due date serial]])</f>
        <v>16</v>
      </c>
      <c r="AD1868" s="65">
        <f>tblWorkPackages[[#This Row],[First labor date]]-tblWorkPackages[[#This Row],[Request date serial]]</f>
        <v>25</v>
      </c>
      <c r="AE1868" s="65">
        <f>tblWorkPackages[[#This Row],[Last labor date]]-tblWorkPackages[[#This Row],[First labor date]]</f>
        <v>2</v>
      </c>
      <c r="AF1868" s="65">
        <f>tblWorkPackages[[#This Row],[Completion date serial]]-tblWorkPackages[[#This Row],[Last labor date]]</f>
        <v>2</v>
      </c>
      <c r="AG1868" s="65">
        <f>tblWorkPackages[[#This Row],[Completion date serial]]-tblWorkPackages[[#This Row],[Request date serial]]</f>
        <v>29</v>
      </c>
      <c r="AH1868" s="65">
        <f>IFERROR(INDEX(tblParts[Delay days],MATCH(tblWorkPackages[[#This Row],[Work package ID]],tblParts[Work package ID],0)),0)</f>
        <v>0</v>
      </c>
      <c r="AI1868" s="51" t="str">
        <f>IFERROR(INDEX(tblDisruptions[Event type],MATCH(tblWorkPackages[[#This Row],[Work package ID]],tblDisruptions[Work package ID],0)),"None")</f>
        <v>None</v>
      </c>
      <c r="AJ1868" s="51" t="str">
        <f>TEXT(tblWorkPackages[[#This Row],[Due date serial]],"yyyy-mm")</f>
        <v>2024-11</v>
      </c>
    </row>
    <row r="1869" spans="1:36" ht="15" x14ac:dyDescent="0.25">
      <c r="A1869" s="53" t="s">
        <v>2780</v>
      </c>
      <c r="B1869" s="53" t="s">
        <v>173</v>
      </c>
      <c r="C1869" s="53" t="s">
        <v>1668</v>
      </c>
      <c r="D1869" s="53" t="s">
        <v>1180</v>
      </c>
      <c r="E1869" s="53" t="s">
        <v>153</v>
      </c>
      <c r="F1869" s="53" t="s">
        <v>128</v>
      </c>
      <c r="G1869" s="53" t="s">
        <v>154</v>
      </c>
      <c r="H1869" s="53">
        <v>4</v>
      </c>
      <c r="I1869" s="53" t="s">
        <v>130</v>
      </c>
      <c r="J1869" s="53">
        <v>0</v>
      </c>
      <c r="K1869" s="53">
        <v>0</v>
      </c>
      <c r="L1869" s="53">
        <v>16.8</v>
      </c>
      <c r="M1869" s="53" t="s">
        <v>142</v>
      </c>
      <c r="N1869" s="53">
        <v>20.3</v>
      </c>
      <c r="O1869" s="51" t="str">
        <f>TEXT(tblWorkPackages[[#This Row],[Request date serial]]-WEEKDAY(tblWorkPackages[[#This Row],[Request date serial]],3),"yyyy-mm-dd")</f>
        <v>2024-01-22</v>
      </c>
      <c r="P1869" s="51">
        <f>ABS(tblWorkPackages[[#This Row],[Actual labor hours]]-tblWorkPackages[[#This Row],[Estimated labor hours]])</f>
        <v>3.5</v>
      </c>
      <c r="Q1869" s="51">
        <f>IF(tblWorkPackages[[#This Row],[Actual labor hours]]&gt;tblWorkPackages[[#This Row],[Estimated labor hours]],1,0)</f>
        <v>1</v>
      </c>
      <c r="R1869" s="51">
        <f>tblWorkPackages[[#This Row],[Actual labor hours]]-tblWorkPackages[[#This Row],[Estimated labor hours]]</f>
        <v>3.5</v>
      </c>
      <c r="S1869" s="51" t="str">
        <f>IF(tblWorkPackages[[#This Row],[Request date serial]]&lt;ValidationStart,"Train 2024",IF(tblWorkPackages[[#This Row],[Request date serial]]&lt;HoldoutStart,"Validation H1","Holdout H2"))</f>
        <v>Train 2024</v>
      </c>
      <c r="T1869" s="51" t="str">
        <f>IF(tblWorkPackages[[#This Row],[Time split]]="Train 2024","",tblWorkPackages[[#This Row],[Estimated labor hours]]+VLOOKUP(tblWorkPackages[[#This Row],[Task type]],'Forecast validation'!$A$14:$E$25,IF(tblWorkPackages[[#This Row],[Time split]]="Validation H1",4,5),FALSE()))</f>
        <v/>
      </c>
      <c r="U1869" s="51" t="str">
        <f>IF(tblWorkPackages[[#This Row],[Calibrated forecast hours]]="","",ABS(tblWorkPackages[[#This Row],[Actual labor hours]]-tblWorkPackages[[#This Row],[Calibrated forecast hours]]))</f>
        <v/>
      </c>
      <c r="V1869" s="51">
        <f>IF(tblWorkPackages[[#This Row],[Time split]]="Train 2024",tblWorkPackages[[#This Row],[Estimated labor hours]],tblWorkPackages[[#This Row],[Calibrated forecast hours]])</f>
        <v>16.8</v>
      </c>
      <c r="W1869" s="64">
        <f>DATEVALUE(tblWorkPackages[[#This Row],[Request date]])</f>
        <v>45314.0</v>
      </c>
      <c r="X1869" s="64">
        <f>DATEVALUE(tblWorkPackages[[#This Row],[Due date]])</f>
        <v>45327.0</v>
      </c>
      <c r="Y1869" s="64">
        <f>DATEVALUE(tblWorkPackages[[#This Row],[Completion date]])</f>
        <v>45322.0</v>
      </c>
      <c r="Z1869" s="64">
        <f>_xlfn.MINIFS(tblLaborEntries[Work date serial],tblLaborEntries[Work package ID],tblWorkPackages[[#This Row],[Work package ID]])</f>
        <v>45318.0</v>
      </c>
      <c r="AA1869" s="64">
        <f>_xlfn.MAXIFS(tblLaborEntries[Work date serial],tblLaborEntries[Work package ID],tblWorkPackages[[#This Row],[Work package ID]])</f>
        <v>45319.0</v>
      </c>
      <c r="AB1869" s="65">
        <f>IF(tblWorkPackages[[#This Row],[Completion date serial]]&gt;tblWorkPackages[[#This Row],[Due date serial]],1,0)</f>
        <v>0</v>
      </c>
      <c r="AC1869" s="65">
        <f>MAX(0,tblWorkPackages[[#This Row],[Completion date serial]]-tblWorkPackages[[#This Row],[Due date serial]])</f>
        <v>0</v>
      </c>
      <c r="AD1869" s="65">
        <f>tblWorkPackages[[#This Row],[First labor date]]-tblWorkPackages[[#This Row],[Request date serial]]</f>
        <v>4</v>
      </c>
      <c r="AE1869" s="65">
        <f>tblWorkPackages[[#This Row],[Last labor date]]-tblWorkPackages[[#This Row],[First labor date]]</f>
        <v>1</v>
      </c>
      <c r="AF1869" s="65">
        <f>tblWorkPackages[[#This Row],[Completion date serial]]-tblWorkPackages[[#This Row],[Last labor date]]</f>
        <v>3</v>
      </c>
      <c r="AG1869" s="65">
        <f>tblWorkPackages[[#This Row],[Completion date serial]]-tblWorkPackages[[#This Row],[Request date serial]]</f>
        <v>8</v>
      </c>
      <c r="AH1869" s="65">
        <f>IFERROR(INDEX(tblParts[Delay days],MATCH(tblWorkPackages[[#This Row],[Work package ID]],tblParts[Work package ID],0)),0)</f>
        <v>0</v>
      </c>
      <c r="AI1869" s="51" t="str">
        <f>IFERROR(INDEX(tblDisruptions[Event type],MATCH(tblWorkPackages[[#This Row],[Work package ID]],tblDisruptions[Work package ID],0)),"None")</f>
        <v>None</v>
      </c>
      <c r="AJ1869" s="51" t="str">
        <f>TEXT(tblWorkPackages[[#This Row],[Due date serial]],"yyyy-mm")</f>
        <v>2024-02</v>
      </c>
    </row>
    <row r="1870" spans="1:36" ht="15" x14ac:dyDescent="0.25">
      <c r="A1870" s="53" t="s">
        <v>2781</v>
      </c>
      <c r="B1870" s="53" t="s">
        <v>235</v>
      </c>
      <c r="C1870" s="53" t="s">
        <v>646</v>
      </c>
      <c r="D1870" s="53" t="s">
        <v>1253</v>
      </c>
      <c r="E1870" s="53" t="s">
        <v>153</v>
      </c>
      <c r="F1870" s="53" t="s">
        <v>128</v>
      </c>
      <c r="G1870" s="53" t="s">
        <v>154</v>
      </c>
      <c r="H1870" s="53">
        <v>3</v>
      </c>
      <c r="I1870" s="53" t="s">
        <v>130</v>
      </c>
      <c r="J1870" s="53">
        <v>0</v>
      </c>
      <c r="K1870" s="53">
        <v>1</v>
      </c>
      <c r="L1870" s="53">
        <v>12.1</v>
      </c>
      <c r="M1870" s="53" t="s">
        <v>218</v>
      </c>
      <c r="N1870" s="53">
        <v>12.5</v>
      </c>
      <c r="O1870" s="51" t="str">
        <f>TEXT(tblWorkPackages[[#This Row],[Request date serial]]-WEEKDAY(tblWorkPackages[[#This Row],[Request date serial]],3),"yyyy-mm-dd")</f>
        <v>2025-12-22</v>
      </c>
      <c r="P1870" s="51">
        <f>ABS(tblWorkPackages[[#This Row],[Actual labor hours]]-tblWorkPackages[[#This Row],[Estimated labor hours]])</f>
        <v>0.4</v>
      </c>
      <c r="Q1870" s="51">
        <f>IF(tblWorkPackages[[#This Row],[Actual labor hours]]&gt;tblWorkPackages[[#This Row],[Estimated labor hours]],1,0)</f>
        <v>1</v>
      </c>
      <c r="R1870" s="51">
        <f>tblWorkPackages[[#This Row],[Actual labor hours]]-tblWorkPackages[[#This Row],[Estimated labor hours]]</f>
        <v>0.4</v>
      </c>
      <c r="S1870" s="51" t="str">
        <f>IF(tblWorkPackages[[#This Row],[Request date serial]]&lt;ValidationStart,"Train 2024",IF(tblWorkPackages[[#This Row],[Request date serial]]&lt;HoldoutStart,"Validation H1","Holdout H2"))</f>
        <v>Holdout H2</v>
      </c>
      <c r="T1870" s="51">
        <f>IF(tblWorkPackages[[#This Row],[Time split]]="Train 2024","",tblWorkPackages[[#This Row],[Estimated labor hours]]+VLOOKUP(tblWorkPackages[[#This Row],[Task type]],'Forecast validation'!$A$14:$E$25,IF(tblWorkPackages[[#This Row],[Time split]]="Validation H1",4,5),FALSE()))</f>
        <v>12.7026666666667</v>
      </c>
      <c r="U1870" s="51">
        <f>IF(tblWorkPackages[[#This Row],[Calibrated forecast hours]]="","",ABS(tblWorkPackages[[#This Row],[Actual labor hours]]-tblWorkPackages[[#This Row],[Calibrated forecast hours]]))</f>
        <v>0.202666666666666</v>
      </c>
      <c r="V1870" s="51">
        <f>IF(tblWorkPackages[[#This Row],[Time split]]="Train 2024",tblWorkPackages[[#This Row],[Estimated labor hours]],tblWorkPackages[[#This Row],[Calibrated forecast hours]])</f>
        <v>12.7026666666667</v>
      </c>
      <c r="W1870" s="64">
        <f>DATEVALUE(tblWorkPackages[[#This Row],[Request date]])</f>
        <v>46015.0</v>
      </c>
      <c r="X1870" s="64">
        <f>DATEVALUE(tblWorkPackages[[#This Row],[Due date]])</f>
        <v>46028.0</v>
      </c>
      <c r="Y1870" s="64">
        <f>DATEVALUE(tblWorkPackages[[#This Row],[Completion date]])</f>
        <v>46017.0</v>
      </c>
      <c r="Z1870" s="64">
        <f>_xlfn.MINIFS(tblLaborEntries[Work date serial],tblLaborEntries[Work package ID],tblWorkPackages[[#This Row],[Work package ID]])</f>
        <v>46016.0</v>
      </c>
      <c r="AA1870" s="64">
        <f>_xlfn.MAXIFS(tblLaborEntries[Work date serial],tblLaborEntries[Work package ID],tblWorkPackages[[#This Row],[Work package ID]])</f>
        <v>46017.0</v>
      </c>
      <c r="AB1870" s="65">
        <f>IF(tblWorkPackages[[#This Row],[Completion date serial]]&gt;tblWorkPackages[[#This Row],[Due date serial]],1,0)</f>
        <v>0</v>
      </c>
      <c r="AC1870" s="65">
        <f>MAX(0,tblWorkPackages[[#This Row],[Completion date serial]]-tblWorkPackages[[#This Row],[Due date serial]])</f>
        <v>0</v>
      </c>
      <c r="AD1870" s="65">
        <f>tblWorkPackages[[#This Row],[First labor date]]-tblWorkPackages[[#This Row],[Request date serial]]</f>
        <v>1</v>
      </c>
      <c r="AE1870" s="65">
        <f>tblWorkPackages[[#This Row],[Last labor date]]-tblWorkPackages[[#This Row],[First labor date]]</f>
        <v>1</v>
      </c>
      <c r="AF1870" s="65">
        <f>tblWorkPackages[[#This Row],[Completion date serial]]-tblWorkPackages[[#This Row],[Last labor date]]</f>
        <v>0</v>
      </c>
      <c r="AG1870" s="65">
        <f>tblWorkPackages[[#This Row],[Completion date serial]]-tblWorkPackages[[#This Row],[Request date serial]]</f>
        <v>2</v>
      </c>
      <c r="AH1870" s="65">
        <f>IFERROR(INDEX(tblParts[Delay days],MATCH(tblWorkPackages[[#This Row],[Work package ID]],tblParts[Work package ID],0)),0)</f>
        <v>0</v>
      </c>
      <c r="AI1870" s="51" t="str">
        <f>IFERROR(INDEX(tblDisruptions[Event type],MATCH(tblWorkPackages[[#This Row],[Work package ID]],tblDisruptions[Work package ID],0)),"None")</f>
        <v>None</v>
      </c>
      <c r="AJ1870" s="51" t="str">
        <f>TEXT(tblWorkPackages[[#This Row],[Due date serial]],"yyyy-mm")</f>
        <v>2026-01</v>
      </c>
    </row>
    <row r="1871" spans="1:36" ht="15" x14ac:dyDescent="0.25">
      <c r="A1871" s="53" t="s">
        <v>2782</v>
      </c>
      <c r="B1871" s="53" t="s">
        <v>203</v>
      </c>
      <c r="C1871" s="53" t="s">
        <v>794</v>
      </c>
      <c r="D1871" s="53" t="s">
        <v>1038</v>
      </c>
      <c r="E1871" s="53" t="s">
        <v>237</v>
      </c>
      <c r="F1871" s="53" t="s">
        <v>182</v>
      </c>
      <c r="G1871" s="53" t="s">
        <v>138</v>
      </c>
      <c r="H1871" s="53">
        <v>4</v>
      </c>
      <c r="I1871" s="53" t="s">
        <v>130</v>
      </c>
      <c r="J1871" s="53">
        <v>0</v>
      </c>
      <c r="K1871" s="53">
        <v>1</v>
      </c>
      <c r="L1871" s="53">
        <v>8</v>
      </c>
      <c r="M1871" s="53" t="s">
        <v>891</v>
      </c>
      <c r="N1871" s="53">
        <v>6.3</v>
      </c>
      <c r="O1871" s="51" t="str">
        <f>TEXT(tblWorkPackages[[#This Row],[Request date serial]]-WEEKDAY(tblWorkPackages[[#This Row],[Request date serial]],3),"yyyy-mm-dd")</f>
        <v>2024-11-11</v>
      </c>
      <c r="P1871" s="51">
        <f>ABS(tblWorkPackages[[#This Row],[Actual labor hours]]-tblWorkPackages[[#This Row],[Estimated labor hours]])</f>
        <v>1.7</v>
      </c>
      <c r="Q1871" s="51">
        <f>IF(tblWorkPackages[[#This Row],[Actual labor hours]]&gt;tblWorkPackages[[#This Row],[Estimated labor hours]],1,0)</f>
        <v>0</v>
      </c>
      <c r="R1871" s="51">
        <f>tblWorkPackages[[#This Row],[Actual labor hours]]-tblWorkPackages[[#This Row],[Estimated labor hours]]</f>
        <v>-1.7</v>
      </c>
      <c r="S1871" s="51" t="str">
        <f>IF(tblWorkPackages[[#This Row],[Request date serial]]&lt;ValidationStart,"Train 2024",IF(tblWorkPackages[[#This Row],[Request date serial]]&lt;HoldoutStart,"Validation H1","Holdout H2"))</f>
        <v>Train 2024</v>
      </c>
      <c r="T1871" s="51" t="str">
        <f>IF(tblWorkPackages[[#This Row],[Time split]]="Train 2024","",tblWorkPackages[[#This Row],[Estimated labor hours]]+VLOOKUP(tblWorkPackages[[#This Row],[Task type]],'Forecast validation'!$A$14:$E$25,IF(tblWorkPackages[[#This Row],[Time split]]="Validation H1",4,5),FALSE()))</f>
        <v/>
      </c>
      <c r="U1871" s="51" t="str">
        <f>IF(tblWorkPackages[[#This Row],[Calibrated forecast hours]]="","",ABS(tblWorkPackages[[#This Row],[Actual labor hours]]-tblWorkPackages[[#This Row],[Calibrated forecast hours]]))</f>
        <v/>
      </c>
      <c r="V1871" s="51">
        <f>IF(tblWorkPackages[[#This Row],[Time split]]="Train 2024",tblWorkPackages[[#This Row],[Estimated labor hours]],tblWorkPackages[[#This Row],[Calibrated forecast hours]])</f>
        <v>8</v>
      </c>
      <c r="W1871" s="64">
        <f>DATEVALUE(tblWorkPackages[[#This Row],[Request date]])</f>
        <v>45610.0</v>
      </c>
      <c r="X1871" s="64">
        <f>DATEVALUE(tblWorkPackages[[#This Row],[Due date]])</f>
        <v>45623.0</v>
      </c>
      <c r="Y1871" s="64">
        <f>DATEVALUE(tblWorkPackages[[#This Row],[Completion date]])</f>
        <v>45626.0</v>
      </c>
      <c r="Z1871" s="64">
        <f>_xlfn.MINIFS(tblLaborEntries[Work date serial],tblLaborEntries[Work package ID],tblWorkPackages[[#This Row],[Work package ID]])</f>
        <v>45623.0</v>
      </c>
      <c r="AA1871" s="64">
        <f>_xlfn.MAXIFS(tblLaborEntries[Work date serial],tblLaborEntries[Work package ID],tblWorkPackages[[#This Row],[Work package ID]])</f>
        <v>45625.0</v>
      </c>
      <c r="AB1871" s="65">
        <f>IF(tblWorkPackages[[#This Row],[Completion date serial]]&gt;tblWorkPackages[[#This Row],[Due date serial]],1,0)</f>
        <v>1</v>
      </c>
      <c r="AC1871" s="65">
        <f>MAX(0,tblWorkPackages[[#This Row],[Completion date serial]]-tblWorkPackages[[#This Row],[Due date serial]])</f>
        <v>3</v>
      </c>
      <c r="AD1871" s="65">
        <f>tblWorkPackages[[#This Row],[First labor date]]-tblWorkPackages[[#This Row],[Request date serial]]</f>
        <v>13</v>
      </c>
      <c r="AE1871" s="65">
        <f>tblWorkPackages[[#This Row],[Last labor date]]-tblWorkPackages[[#This Row],[First labor date]]</f>
        <v>2</v>
      </c>
      <c r="AF1871" s="65">
        <f>tblWorkPackages[[#This Row],[Completion date serial]]-tblWorkPackages[[#This Row],[Last labor date]]</f>
        <v>1</v>
      </c>
      <c r="AG1871" s="65">
        <f>tblWorkPackages[[#This Row],[Completion date serial]]-tblWorkPackages[[#This Row],[Request date serial]]</f>
        <v>16</v>
      </c>
      <c r="AH1871" s="65">
        <f>IFERROR(INDEX(tblParts[Delay days],MATCH(tblWorkPackages[[#This Row],[Work package ID]],tblParts[Work package ID],0)),0)</f>
        <v>0</v>
      </c>
      <c r="AI1871" s="51" t="str">
        <f>IFERROR(INDEX(tblDisruptions[Event type],MATCH(tblWorkPackages[[#This Row],[Work package ID]],tblDisruptions[Work package ID],0)),"None")</f>
        <v>None</v>
      </c>
      <c r="AJ1871" s="51" t="str">
        <f>TEXT(tblWorkPackages[[#This Row],[Due date serial]],"yyyy-mm")</f>
        <v>2024-11</v>
      </c>
    </row>
    <row r="1872" spans="1:36" ht="15" x14ac:dyDescent="0.25">
      <c r="A1872" s="53" t="s">
        <v>2783</v>
      </c>
      <c r="B1872" s="53" t="s">
        <v>150</v>
      </c>
      <c r="C1872" s="53" t="s">
        <v>472</v>
      </c>
      <c r="D1872" s="53" t="s">
        <v>1115</v>
      </c>
      <c r="E1872" s="53" t="s">
        <v>144</v>
      </c>
      <c r="F1872" s="53" t="s">
        <v>145</v>
      </c>
      <c r="G1872" s="53" t="s">
        <v>146</v>
      </c>
      <c r="H1872" s="53">
        <v>4</v>
      </c>
      <c r="I1872" s="53" t="s">
        <v>176</v>
      </c>
      <c r="J1872" s="53">
        <v>0</v>
      </c>
      <c r="K1872" s="53">
        <v>1</v>
      </c>
      <c r="L1872" s="53">
        <v>22.8</v>
      </c>
      <c r="M1872" s="53" t="s">
        <v>1380</v>
      </c>
      <c r="N1872" s="53">
        <v>23.6</v>
      </c>
      <c r="O1872" s="51" t="str">
        <f>TEXT(tblWorkPackages[[#This Row],[Request date serial]]-WEEKDAY(tblWorkPackages[[#This Row],[Request date serial]],3),"yyyy-mm-dd")</f>
        <v>2024-04-22</v>
      </c>
      <c r="P1872" s="51">
        <f>ABS(tblWorkPackages[[#This Row],[Actual labor hours]]-tblWorkPackages[[#This Row],[Estimated labor hours]])</f>
        <v>0.800000000000001</v>
      </c>
      <c r="Q1872" s="51">
        <f>IF(tblWorkPackages[[#This Row],[Actual labor hours]]&gt;tblWorkPackages[[#This Row],[Estimated labor hours]],1,0)</f>
        <v>1</v>
      </c>
      <c r="R1872" s="51">
        <f>tblWorkPackages[[#This Row],[Actual labor hours]]-tblWorkPackages[[#This Row],[Estimated labor hours]]</f>
        <v>0.800000000000001</v>
      </c>
      <c r="S1872" s="51" t="str">
        <f>IF(tblWorkPackages[[#This Row],[Request date serial]]&lt;ValidationStart,"Train 2024",IF(tblWorkPackages[[#This Row],[Request date serial]]&lt;HoldoutStart,"Validation H1","Holdout H2"))</f>
        <v>Train 2024</v>
      </c>
      <c r="T1872" s="51" t="str">
        <f>IF(tblWorkPackages[[#This Row],[Time split]]="Train 2024","",tblWorkPackages[[#This Row],[Estimated labor hours]]+VLOOKUP(tblWorkPackages[[#This Row],[Task type]],'Forecast validation'!$A$14:$E$25,IF(tblWorkPackages[[#This Row],[Time split]]="Validation H1",4,5),FALSE()))</f>
        <v/>
      </c>
      <c r="U1872" s="51" t="str">
        <f>IF(tblWorkPackages[[#This Row],[Calibrated forecast hours]]="","",ABS(tblWorkPackages[[#This Row],[Actual labor hours]]-tblWorkPackages[[#This Row],[Calibrated forecast hours]]))</f>
        <v/>
      </c>
      <c r="V1872" s="51">
        <f>IF(tblWorkPackages[[#This Row],[Time split]]="Train 2024",tblWorkPackages[[#This Row],[Estimated labor hours]],tblWorkPackages[[#This Row],[Calibrated forecast hours]])</f>
        <v>22.8</v>
      </c>
      <c r="W1872" s="64">
        <f>DATEVALUE(tblWorkPackages[[#This Row],[Request date]])</f>
        <v>45408.0</v>
      </c>
      <c r="X1872" s="64">
        <f>DATEVALUE(tblWorkPackages[[#This Row],[Due date]])</f>
        <v>45414.0</v>
      </c>
      <c r="Y1872" s="64">
        <f>DATEVALUE(tblWorkPackages[[#This Row],[Completion date]])</f>
        <v>45415.0</v>
      </c>
      <c r="Z1872" s="64">
        <f>_xlfn.MINIFS(tblLaborEntries[Work date serial],tblLaborEntries[Work package ID],tblWorkPackages[[#This Row],[Work package ID]])</f>
        <v>45411.0</v>
      </c>
      <c r="AA1872" s="64">
        <f>_xlfn.MAXIFS(tblLaborEntries[Work date serial],tblLaborEntries[Work package ID],tblWorkPackages[[#This Row],[Work package ID]])</f>
        <v>45413.0</v>
      </c>
      <c r="AB1872" s="65">
        <f>IF(tblWorkPackages[[#This Row],[Completion date serial]]&gt;tblWorkPackages[[#This Row],[Due date serial]],1,0)</f>
        <v>1</v>
      </c>
      <c r="AC1872" s="65">
        <f>MAX(0,tblWorkPackages[[#This Row],[Completion date serial]]-tblWorkPackages[[#This Row],[Due date serial]])</f>
        <v>1</v>
      </c>
      <c r="AD1872" s="65">
        <f>tblWorkPackages[[#This Row],[First labor date]]-tblWorkPackages[[#This Row],[Request date serial]]</f>
        <v>3</v>
      </c>
      <c r="AE1872" s="65">
        <f>tblWorkPackages[[#This Row],[Last labor date]]-tblWorkPackages[[#This Row],[First labor date]]</f>
        <v>2</v>
      </c>
      <c r="AF1872" s="65">
        <f>tblWorkPackages[[#This Row],[Completion date serial]]-tblWorkPackages[[#This Row],[Last labor date]]</f>
        <v>2</v>
      </c>
      <c r="AG1872" s="65">
        <f>tblWorkPackages[[#This Row],[Completion date serial]]-tblWorkPackages[[#This Row],[Request date serial]]</f>
        <v>7</v>
      </c>
      <c r="AH1872" s="65">
        <f>IFERROR(INDEX(tblParts[Delay days],MATCH(tblWorkPackages[[#This Row],[Work package ID]],tblParts[Work package ID],0)),0)</f>
        <v>0</v>
      </c>
      <c r="AI1872" s="51" t="str">
        <f>IFERROR(INDEX(tblDisruptions[Event type],MATCH(tblWorkPackages[[#This Row],[Work package ID]],tblDisruptions[Work package ID],0)),"None")</f>
        <v>None</v>
      </c>
      <c r="AJ1872" s="51" t="str">
        <f>TEXT(tblWorkPackages[[#This Row],[Due date serial]],"yyyy-mm")</f>
        <v>2024-05</v>
      </c>
    </row>
    <row r="1873" spans="1:36" ht="15" x14ac:dyDescent="0.25">
      <c r="A1873" s="53" t="s">
        <v>2784</v>
      </c>
      <c r="B1873" s="53" t="s">
        <v>124</v>
      </c>
      <c r="C1873" s="53" t="s">
        <v>1058</v>
      </c>
      <c r="D1873" s="53" t="s">
        <v>383</v>
      </c>
      <c r="E1873" s="53" t="s">
        <v>144</v>
      </c>
      <c r="F1873" s="53" t="s">
        <v>145</v>
      </c>
      <c r="G1873" s="53" t="s">
        <v>146</v>
      </c>
      <c r="H1873" s="53">
        <v>4</v>
      </c>
      <c r="I1873" s="53" t="s">
        <v>130</v>
      </c>
      <c r="J1873" s="53">
        <v>0</v>
      </c>
      <c r="K1873" s="53">
        <v>1</v>
      </c>
      <c r="L1873" s="53">
        <v>19.7</v>
      </c>
      <c r="M1873" s="53" t="s">
        <v>1318</v>
      </c>
      <c r="N1873" s="53">
        <v>15.2</v>
      </c>
      <c r="O1873" s="51" t="str">
        <f>TEXT(tblWorkPackages[[#This Row],[Request date serial]]-WEEKDAY(tblWorkPackages[[#This Row],[Request date serial]],3),"yyyy-mm-dd")</f>
        <v>2025-01-20</v>
      </c>
      <c r="P1873" s="51">
        <f>ABS(tblWorkPackages[[#This Row],[Actual labor hours]]-tblWorkPackages[[#This Row],[Estimated labor hours]])</f>
        <v>4.5</v>
      </c>
      <c r="Q1873" s="51">
        <f>IF(tblWorkPackages[[#This Row],[Actual labor hours]]&gt;tblWorkPackages[[#This Row],[Estimated labor hours]],1,0)</f>
        <v>0</v>
      </c>
      <c r="R1873" s="51">
        <f>tblWorkPackages[[#This Row],[Actual labor hours]]-tblWorkPackages[[#This Row],[Estimated labor hours]]</f>
        <v>-4.5</v>
      </c>
      <c r="S1873" s="51" t="str">
        <f>IF(tblWorkPackages[[#This Row],[Request date serial]]&lt;ValidationStart,"Train 2024",IF(tblWorkPackages[[#This Row],[Request date serial]]&lt;HoldoutStart,"Validation H1","Holdout H2"))</f>
        <v>Validation H1</v>
      </c>
      <c r="T1873" s="51">
        <f>IF(tblWorkPackages[[#This Row],[Time split]]="Train 2024","",tblWorkPackages[[#This Row],[Estimated labor hours]]+VLOOKUP(tblWorkPackages[[#This Row],[Task type]],'Forecast validation'!$A$14:$E$25,IF(tblWorkPackages[[#This Row],[Time split]]="Validation H1",4,5),FALSE()))</f>
        <v>20.4547368421053</v>
      </c>
      <c r="U1873" s="51">
        <f>IF(tblWorkPackages[[#This Row],[Calibrated forecast hours]]="","",ABS(tblWorkPackages[[#This Row],[Actual labor hours]]-tblWorkPackages[[#This Row],[Calibrated forecast hours]]))</f>
        <v>5.25473684210526</v>
      </c>
      <c r="V1873" s="51">
        <f>IF(tblWorkPackages[[#This Row],[Time split]]="Train 2024",tblWorkPackages[[#This Row],[Estimated labor hours]],tblWorkPackages[[#This Row],[Calibrated forecast hours]])</f>
        <v>20.4547368421053</v>
      </c>
      <c r="W1873" s="64">
        <f>DATEVALUE(tblWorkPackages[[#This Row],[Request date]])</f>
        <v>45680.0</v>
      </c>
      <c r="X1873" s="64">
        <f>DATEVALUE(tblWorkPackages[[#This Row],[Due date]])</f>
        <v>45693.0</v>
      </c>
      <c r="Y1873" s="64">
        <f>DATEVALUE(tblWorkPackages[[#This Row],[Completion date]])</f>
        <v>45726.0</v>
      </c>
      <c r="Z1873" s="64">
        <f>_xlfn.MINIFS(tblLaborEntries[Work date serial],tblLaborEntries[Work package ID],tblWorkPackages[[#This Row],[Work package ID]])</f>
        <v>45721.0</v>
      </c>
      <c r="AA1873" s="64">
        <f>_xlfn.MAXIFS(tblLaborEntries[Work date serial],tblLaborEntries[Work package ID],tblWorkPackages[[#This Row],[Work package ID]])</f>
        <v>45723.0</v>
      </c>
      <c r="AB1873" s="65">
        <f>IF(tblWorkPackages[[#This Row],[Completion date serial]]&gt;tblWorkPackages[[#This Row],[Due date serial]],1,0)</f>
        <v>1</v>
      </c>
      <c r="AC1873" s="65">
        <f>MAX(0,tblWorkPackages[[#This Row],[Completion date serial]]-tblWorkPackages[[#This Row],[Due date serial]])</f>
        <v>33</v>
      </c>
      <c r="AD1873" s="65">
        <f>tblWorkPackages[[#This Row],[First labor date]]-tblWorkPackages[[#This Row],[Request date serial]]</f>
        <v>41</v>
      </c>
      <c r="AE1873" s="65">
        <f>tblWorkPackages[[#This Row],[Last labor date]]-tblWorkPackages[[#This Row],[First labor date]]</f>
        <v>2</v>
      </c>
      <c r="AF1873" s="65">
        <f>tblWorkPackages[[#This Row],[Completion date serial]]-tblWorkPackages[[#This Row],[Last labor date]]</f>
        <v>3</v>
      </c>
      <c r="AG1873" s="65">
        <f>tblWorkPackages[[#This Row],[Completion date serial]]-tblWorkPackages[[#This Row],[Request date serial]]</f>
        <v>46</v>
      </c>
      <c r="AH1873" s="65">
        <f>IFERROR(INDEX(tblParts[Delay days],MATCH(tblWorkPackages[[#This Row],[Work package ID]],tblParts[Work package ID],0)),0)</f>
        <v>0</v>
      </c>
      <c r="AI1873" s="51" t="str">
        <f>IFERROR(INDEX(tblDisruptions[Event type],MATCH(tblWorkPackages[[#This Row],[Work package ID]],tblDisruptions[Work package ID],0)),"None")</f>
        <v>None</v>
      </c>
      <c r="AJ1873" s="51" t="str">
        <f>TEXT(tblWorkPackages[[#This Row],[Due date serial]],"yyyy-mm")</f>
        <v>2025-02</v>
      </c>
    </row>
    <row r="1874" spans="1:36" ht="15" x14ac:dyDescent="0.25">
      <c r="A1874" s="53" t="s">
        <v>2785</v>
      </c>
      <c r="B1874" s="53" t="s">
        <v>157</v>
      </c>
      <c r="C1874" s="53" t="s">
        <v>1063</v>
      </c>
      <c r="D1874" s="53" t="s">
        <v>858</v>
      </c>
      <c r="E1874" s="53" t="s">
        <v>272</v>
      </c>
      <c r="F1874" s="53" t="s">
        <v>145</v>
      </c>
      <c r="G1874" s="53" t="s">
        <v>273</v>
      </c>
      <c r="H1874" s="53">
        <v>2</v>
      </c>
      <c r="I1874" s="53" t="s">
        <v>147</v>
      </c>
      <c r="J1874" s="53">
        <v>0</v>
      </c>
      <c r="K1874" s="53">
        <v>0</v>
      </c>
      <c r="L1874" s="53">
        <v>11.7</v>
      </c>
      <c r="M1874" s="53" t="s">
        <v>1445</v>
      </c>
      <c r="N1874" s="53">
        <v>14.6</v>
      </c>
      <c r="O1874" s="51" t="str">
        <f>TEXT(tblWorkPackages[[#This Row],[Request date serial]]-WEEKDAY(tblWorkPackages[[#This Row],[Request date serial]],3),"yyyy-mm-dd")</f>
        <v>2025-03-10</v>
      </c>
      <c r="P1874" s="51">
        <f>ABS(tblWorkPackages[[#This Row],[Actual labor hours]]-tblWorkPackages[[#This Row],[Estimated labor hours]])</f>
        <v>2.9</v>
      </c>
      <c r="Q1874" s="51">
        <f>IF(tblWorkPackages[[#This Row],[Actual labor hours]]&gt;tblWorkPackages[[#This Row],[Estimated labor hours]],1,0)</f>
        <v>1</v>
      </c>
      <c r="R1874" s="51">
        <f>tblWorkPackages[[#This Row],[Actual labor hours]]-tblWorkPackages[[#This Row],[Estimated labor hours]]</f>
        <v>2.9</v>
      </c>
      <c r="S1874" s="51" t="str">
        <f>IF(tblWorkPackages[[#This Row],[Request date serial]]&lt;ValidationStart,"Train 2024",IF(tblWorkPackages[[#This Row],[Request date serial]]&lt;HoldoutStart,"Validation H1","Holdout H2"))</f>
        <v>Validation H1</v>
      </c>
      <c r="T1874" s="51">
        <f>IF(tblWorkPackages[[#This Row],[Time split]]="Train 2024","",tblWorkPackages[[#This Row],[Estimated labor hours]]+VLOOKUP(tblWorkPackages[[#This Row],[Task type]],'Forecast validation'!$A$14:$E$25,IF(tblWorkPackages[[#This Row],[Time split]]="Validation H1",4,5),FALSE()))</f>
        <v>12.7320512820513</v>
      </c>
      <c r="U1874" s="51">
        <f>IF(tblWorkPackages[[#This Row],[Calibrated forecast hours]]="","",ABS(tblWorkPackages[[#This Row],[Actual labor hours]]-tblWorkPackages[[#This Row],[Calibrated forecast hours]]))</f>
        <v>1.86794871794872</v>
      </c>
      <c r="V1874" s="51">
        <f>IF(tblWorkPackages[[#This Row],[Time split]]="Train 2024",tblWorkPackages[[#This Row],[Estimated labor hours]],tblWorkPackages[[#This Row],[Calibrated forecast hours]])</f>
        <v>12.7320512820513</v>
      </c>
      <c r="W1874" s="64">
        <f>DATEVALUE(tblWorkPackages[[#This Row],[Request date]])</f>
        <v>45727.0</v>
      </c>
      <c r="X1874" s="64">
        <f>DATEVALUE(tblWorkPackages[[#This Row],[Due date]])</f>
        <v>45729.0</v>
      </c>
      <c r="Y1874" s="64">
        <f>DATEVALUE(tblWorkPackages[[#This Row],[Completion date]])</f>
        <v>45736.0</v>
      </c>
      <c r="Z1874" s="64">
        <f>_xlfn.MINIFS(tblLaborEntries[Work date serial],tblLaborEntries[Work package ID],tblWorkPackages[[#This Row],[Work package ID]])</f>
        <v>45734.0</v>
      </c>
      <c r="AA1874" s="64">
        <f>_xlfn.MAXIFS(tblLaborEntries[Work date serial],tblLaborEntries[Work package ID],tblWorkPackages[[#This Row],[Work package ID]])</f>
        <v>45736.0</v>
      </c>
      <c r="AB1874" s="65">
        <f>IF(tblWorkPackages[[#This Row],[Completion date serial]]&gt;tblWorkPackages[[#This Row],[Due date serial]],1,0)</f>
        <v>1</v>
      </c>
      <c r="AC1874" s="65">
        <f>MAX(0,tblWorkPackages[[#This Row],[Completion date serial]]-tblWorkPackages[[#This Row],[Due date serial]])</f>
        <v>7</v>
      </c>
      <c r="AD1874" s="65">
        <f>tblWorkPackages[[#This Row],[First labor date]]-tblWorkPackages[[#This Row],[Request date serial]]</f>
        <v>7</v>
      </c>
      <c r="AE1874" s="65">
        <f>tblWorkPackages[[#This Row],[Last labor date]]-tblWorkPackages[[#This Row],[First labor date]]</f>
        <v>2</v>
      </c>
      <c r="AF1874" s="65">
        <f>tblWorkPackages[[#This Row],[Completion date serial]]-tblWorkPackages[[#This Row],[Last labor date]]</f>
        <v>0</v>
      </c>
      <c r="AG1874" s="65">
        <f>tblWorkPackages[[#This Row],[Completion date serial]]-tblWorkPackages[[#This Row],[Request date serial]]</f>
        <v>9</v>
      </c>
      <c r="AH1874" s="65">
        <f>IFERROR(INDEX(tblParts[Delay days],MATCH(tblWorkPackages[[#This Row],[Work package ID]],tblParts[Work package ID],0)),0)</f>
        <v>0</v>
      </c>
      <c r="AI1874" s="51" t="str">
        <f>IFERROR(INDEX(tblDisruptions[Event type],MATCH(tblWorkPackages[[#This Row],[Work package ID]],tblDisruptions[Work package ID],0)),"None")</f>
        <v>None</v>
      </c>
      <c r="AJ1874" s="51" t="str">
        <f>TEXT(tblWorkPackages[[#This Row],[Due date serial]],"yyyy-mm")</f>
        <v>2025-03</v>
      </c>
    </row>
    <row r="1875" spans="1:36" ht="15" x14ac:dyDescent="0.25">
      <c r="A1875" s="53" t="s">
        <v>2786</v>
      </c>
      <c r="B1875" s="53" t="s">
        <v>185</v>
      </c>
      <c r="C1875" s="53" t="s">
        <v>457</v>
      </c>
      <c r="D1875" s="53" t="s">
        <v>1062</v>
      </c>
      <c r="E1875" s="53" t="s">
        <v>272</v>
      </c>
      <c r="F1875" s="53" t="s">
        <v>145</v>
      </c>
      <c r="G1875" s="53" t="s">
        <v>273</v>
      </c>
      <c r="H1875" s="53">
        <v>2</v>
      </c>
      <c r="I1875" s="53" t="s">
        <v>130</v>
      </c>
      <c r="J1875" s="53">
        <v>0</v>
      </c>
      <c r="K1875" s="53">
        <v>0</v>
      </c>
      <c r="L1875" s="53">
        <v>12</v>
      </c>
      <c r="M1875" s="53" t="s">
        <v>259</v>
      </c>
      <c r="N1875" s="53">
        <v>9.4</v>
      </c>
      <c r="O1875" s="51" t="str">
        <f>TEXT(tblWorkPackages[[#This Row],[Request date serial]]-WEEKDAY(tblWorkPackages[[#This Row],[Request date serial]],3),"yyyy-mm-dd")</f>
        <v>2025-01-06</v>
      </c>
      <c r="P1875" s="51">
        <f>ABS(tblWorkPackages[[#This Row],[Actual labor hours]]-tblWorkPackages[[#This Row],[Estimated labor hours]])</f>
        <v>2.6</v>
      </c>
      <c r="Q1875" s="51">
        <f>IF(tblWorkPackages[[#This Row],[Actual labor hours]]&gt;tblWorkPackages[[#This Row],[Estimated labor hours]],1,0)</f>
        <v>0</v>
      </c>
      <c r="R1875" s="51">
        <f>tblWorkPackages[[#This Row],[Actual labor hours]]-tblWorkPackages[[#This Row],[Estimated labor hours]]</f>
        <v>-2.6</v>
      </c>
      <c r="S1875" s="51" t="str">
        <f>IF(tblWorkPackages[[#This Row],[Request date serial]]&lt;ValidationStart,"Train 2024",IF(tblWorkPackages[[#This Row],[Request date serial]]&lt;HoldoutStart,"Validation H1","Holdout H2"))</f>
        <v>Validation H1</v>
      </c>
      <c r="T1875" s="51">
        <f>IF(tblWorkPackages[[#This Row],[Time split]]="Train 2024","",tblWorkPackages[[#This Row],[Estimated labor hours]]+VLOOKUP(tblWorkPackages[[#This Row],[Task type]],'Forecast validation'!$A$14:$E$25,IF(tblWorkPackages[[#This Row],[Time split]]="Validation H1",4,5),FALSE()))</f>
        <v>13.0320512820513</v>
      </c>
      <c r="U1875" s="51">
        <f>IF(tblWorkPackages[[#This Row],[Calibrated forecast hours]]="","",ABS(tblWorkPackages[[#This Row],[Actual labor hours]]-tblWorkPackages[[#This Row],[Calibrated forecast hours]]))</f>
        <v>3.63205128205128</v>
      </c>
      <c r="V1875" s="51">
        <f>IF(tblWorkPackages[[#This Row],[Time split]]="Train 2024",tblWorkPackages[[#This Row],[Estimated labor hours]],tblWorkPackages[[#This Row],[Calibrated forecast hours]])</f>
        <v>13.0320512820513</v>
      </c>
      <c r="W1875" s="64">
        <f>DATEVALUE(tblWorkPackages[[#This Row],[Request date]])</f>
        <v>45669.0</v>
      </c>
      <c r="X1875" s="64">
        <f>DATEVALUE(tblWorkPackages[[#This Row],[Due date]])</f>
        <v>45682.0</v>
      </c>
      <c r="Y1875" s="64">
        <f>DATEVALUE(tblWorkPackages[[#This Row],[Completion date]])</f>
        <v>45673.0</v>
      </c>
      <c r="Z1875" s="64">
        <f>_xlfn.MINIFS(tblLaborEntries[Work date serial],tblLaborEntries[Work package ID],tblWorkPackages[[#This Row],[Work package ID]])</f>
        <v>45671.0</v>
      </c>
      <c r="AA1875" s="64">
        <f>_xlfn.MAXIFS(tblLaborEntries[Work date serial],tblLaborEntries[Work package ID],tblWorkPackages[[#This Row],[Work package ID]])</f>
        <v>45672.0</v>
      </c>
      <c r="AB1875" s="65">
        <f>IF(tblWorkPackages[[#This Row],[Completion date serial]]&gt;tblWorkPackages[[#This Row],[Due date serial]],1,0)</f>
        <v>0</v>
      </c>
      <c r="AC1875" s="65">
        <f>MAX(0,tblWorkPackages[[#This Row],[Completion date serial]]-tblWorkPackages[[#This Row],[Due date serial]])</f>
        <v>0</v>
      </c>
      <c r="AD1875" s="65">
        <f>tblWorkPackages[[#This Row],[First labor date]]-tblWorkPackages[[#This Row],[Request date serial]]</f>
        <v>2</v>
      </c>
      <c r="AE1875" s="65">
        <f>tblWorkPackages[[#This Row],[Last labor date]]-tblWorkPackages[[#This Row],[First labor date]]</f>
        <v>1</v>
      </c>
      <c r="AF1875" s="65">
        <f>tblWorkPackages[[#This Row],[Completion date serial]]-tblWorkPackages[[#This Row],[Last labor date]]</f>
        <v>1</v>
      </c>
      <c r="AG1875" s="65">
        <f>tblWorkPackages[[#This Row],[Completion date serial]]-tblWorkPackages[[#This Row],[Request date serial]]</f>
        <v>4</v>
      </c>
      <c r="AH1875" s="65">
        <f>IFERROR(INDEX(tblParts[Delay days],MATCH(tblWorkPackages[[#This Row],[Work package ID]],tblParts[Work package ID],0)),0)</f>
        <v>0</v>
      </c>
      <c r="AI1875" s="51" t="str">
        <f>IFERROR(INDEX(tblDisruptions[Event type],MATCH(tblWorkPackages[[#This Row],[Work package ID]],tblDisruptions[Work package ID],0)),"None")</f>
        <v>None</v>
      </c>
      <c r="AJ1875" s="51" t="str">
        <f>TEXT(tblWorkPackages[[#This Row],[Due date serial]],"yyyy-mm")</f>
        <v>2025-01</v>
      </c>
    </row>
    <row r="1876" spans="1:36" ht="15" x14ac:dyDescent="0.25">
      <c r="A1876" s="53" t="s">
        <v>2787</v>
      </c>
      <c r="B1876" s="53" t="s">
        <v>250</v>
      </c>
      <c r="C1876" s="53" t="s">
        <v>846</v>
      </c>
      <c r="D1876" s="53" t="s">
        <v>874</v>
      </c>
      <c r="E1876" s="53" t="s">
        <v>181</v>
      </c>
      <c r="F1876" s="53" t="s">
        <v>182</v>
      </c>
      <c r="G1876" s="53" t="s">
        <v>138</v>
      </c>
      <c r="H1876" s="53">
        <v>4</v>
      </c>
      <c r="I1876" s="53" t="s">
        <v>176</v>
      </c>
      <c r="J1876" s="53">
        <v>0</v>
      </c>
      <c r="K1876" s="53">
        <v>1</v>
      </c>
      <c r="L1876" s="53">
        <v>12.4</v>
      </c>
      <c r="M1876" s="53" t="s">
        <v>756</v>
      </c>
      <c r="N1876" s="53">
        <v>15.4</v>
      </c>
      <c r="O1876" s="51" t="str">
        <f>TEXT(tblWorkPackages[[#This Row],[Request date serial]]-WEEKDAY(tblWorkPackages[[#This Row],[Request date serial]],3),"yyyy-mm-dd")</f>
        <v>2024-09-02</v>
      </c>
      <c r="P1876" s="51">
        <f>ABS(tblWorkPackages[[#This Row],[Actual labor hours]]-tblWorkPackages[[#This Row],[Estimated labor hours]])</f>
        <v>3</v>
      </c>
      <c r="Q1876" s="51">
        <f>IF(tblWorkPackages[[#This Row],[Actual labor hours]]&gt;tblWorkPackages[[#This Row],[Estimated labor hours]],1,0)</f>
        <v>1</v>
      </c>
      <c r="R1876" s="51">
        <f>tblWorkPackages[[#This Row],[Actual labor hours]]-tblWorkPackages[[#This Row],[Estimated labor hours]]</f>
        <v>3</v>
      </c>
      <c r="S1876" s="51" t="str">
        <f>IF(tblWorkPackages[[#This Row],[Request date serial]]&lt;ValidationStart,"Train 2024",IF(tblWorkPackages[[#This Row],[Request date serial]]&lt;HoldoutStart,"Validation H1","Holdout H2"))</f>
        <v>Train 2024</v>
      </c>
      <c r="T1876" s="51" t="str">
        <f>IF(tblWorkPackages[[#This Row],[Time split]]="Train 2024","",tblWorkPackages[[#This Row],[Estimated labor hours]]+VLOOKUP(tblWorkPackages[[#This Row],[Task type]],'Forecast validation'!$A$14:$E$25,IF(tblWorkPackages[[#This Row],[Time split]]="Validation H1",4,5),FALSE()))</f>
        <v/>
      </c>
      <c r="U1876" s="51" t="str">
        <f>IF(tblWorkPackages[[#This Row],[Calibrated forecast hours]]="","",ABS(tblWorkPackages[[#This Row],[Actual labor hours]]-tblWorkPackages[[#This Row],[Calibrated forecast hours]]))</f>
        <v/>
      </c>
      <c r="V1876" s="51">
        <f>IF(tblWorkPackages[[#This Row],[Time split]]="Train 2024",tblWorkPackages[[#This Row],[Estimated labor hours]],tblWorkPackages[[#This Row],[Calibrated forecast hours]])</f>
        <v>12.4</v>
      </c>
      <c r="W1876" s="64">
        <f>DATEVALUE(tblWorkPackages[[#This Row],[Request date]])</f>
        <v>45542.0</v>
      </c>
      <c r="X1876" s="64">
        <f>DATEVALUE(tblWorkPackages[[#This Row],[Due date]])</f>
        <v>45548.0</v>
      </c>
      <c r="Y1876" s="64">
        <f>DATEVALUE(tblWorkPackages[[#This Row],[Completion date]])</f>
        <v>45563.0</v>
      </c>
      <c r="Z1876" s="64">
        <f>_xlfn.MINIFS(tblLaborEntries[Work date serial],tblLaborEntries[Work package ID],tblWorkPackages[[#This Row],[Work package ID]])</f>
        <v>45559.0</v>
      </c>
      <c r="AA1876" s="64">
        <f>_xlfn.MAXIFS(tblLaborEntries[Work date serial],tblLaborEntries[Work package ID],tblWorkPackages[[#This Row],[Work package ID]])</f>
        <v>45561.0</v>
      </c>
      <c r="AB1876" s="65">
        <f>IF(tblWorkPackages[[#This Row],[Completion date serial]]&gt;tblWorkPackages[[#This Row],[Due date serial]],1,0)</f>
        <v>1</v>
      </c>
      <c r="AC1876" s="65">
        <f>MAX(0,tblWorkPackages[[#This Row],[Completion date serial]]-tblWorkPackages[[#This Row],[Due date serial]])</f>
        <v>15</v>
      </c>
      <c r="AD1876" s="65">
        <f>tblWorkPackages[[#This Row],[First labor date]]-tblWorkPackages[[#This Row],[Request date serial]]</f>
        <v>17</v>
      </c>
      <c r="AE1876" s="65">
        <f>tblWorkPackages[[#This Row],[Last labor date]]-tblWorkPackages[[#This Row],[First labor date]]</f>
        <v>2</v>
      </c>
      <c r="AF1876" s="65">
        <f>tblWorkPackages[[#This Row],[Completion date serial]]-tblWorkPackages[[#This Row],[Last labor date]]</f>
        <v>2</v>
      </c>
      <c r="AG1876" s="65">
        <f>tblWorkPackages[[#This Row],[Completion date serial]]-tblWorkPackages[[#This Row],[Request date serial]]</f>
        <v>21</v>
      </c>
      <c r="AH1876" s="65">
        <f>IFERROR(INDEX(tblParts[Delay days],MATCH(tblWorkPackages[[#This Row],[Work package ID]],tblParts[Work package ID],0)),0)</f>
        <v>0</v>
      </c>
      <c r="AI1876" s="51" t="str">
        <f>IFERROR(INDEX(tblDisruptions[Event type],MATCH(tblWorkPackages[[#This Row],[Work package ID]],tblDisruptions[Work package ID],0)),"None")</f>
        <v>None</v>
      </c>
      <c r="AJ1876" s="51" t="str">
        <f>TEXT(tblWorkPackages[[#This Row],[Due date serial]],"yyyy-mm")</f>
        <v>2024-09</v>
      </c>
    </row>
    <row r="1877" spans="1:36" ht="15" x14ac:dyDescent="0.25">
      <c r="A1877" s="53" t="s">
        <v>2788</v>
      </c>
      <c r="B1877" s="53" t="s">
        <v>163</v>
      </c>
      <c r="C1877" s="53" t="s">
        <v>926</v>
      </c>
      <c r="D1877" s="53" t="s">
        <v>475</v>
      </c>
      <c r="E1877" s="53" t="s">
        <v>223</v>
      </c>
      <c r="F1877" s="53" t="s">
        <v>182</v>
      </c>
      <c r="G1877" s="53" t="s">
        <v>154</v>
      </c>
      <c r="H1877" s="53">
        <v>2</v>
      </c>
      <c r="I1877" s="53" t="s">
        <v>130</v>
      </c>
      <c r="J1877" s="53">
        <v>0</v>
      </c>
      <c r="K1877" s="53">
        <v>0</v>
      </c>
      <c r="L1877" s="53">
        <v>12.6</v>
      </c>
      <c r="M1877" s="53" t="s">
        <v>319</v>
      </c>
      <c r="N1877" s="53">
        <v>11.6</v>
      </c>
      <c r="O1877" s="51" t="str">
        <f>TEXT(tblWorkPackages[[#This Row],[Request date serial]]-WEEKDAY(tblWorkPackages[[#This Row],[Request date serial]],3),"yyyy-mm-dd")</f>
        <v>2024-02-12</v>
      </c>
      <c r="P1877" s="51">
        <f>ABS(tblWorkPackages[[#This Row],[Actual labor hours]]-tblWorkPackages[[#This Row],[Estimated labor hours]])</f>
        <v>1</v>
      </c>
      <c r="Q1877" s="51">
        <f>IF(tblWorkPackages[[#This Row],[Actual labor hours]]&gt;tblWorkPackages[[#This Row],[Estimated labor hours]],1,0)</f>
        <v>0</v>
      </c>
      <c r="R1877" s="51">
        <f>tblWorkPackages[[#This Row],[Actual labor hours]]-tblWorkPackages[[#This Row],[Estimated labor hours]]</f>
        <v>-1</v>
      </c>
      <c r="S1877" s="51" t="str">
        <f>IF(tblWorkPackages[[#This Row],[Request date serial]]&lt;ValidationStart,"Train 2024",IF(tblWorkPackages[[#This Row],[Request date serial]]&lt;HoldoutStart,"Validation H1","Holdout H2"))</f>
        <v>Train 2024</v>
      </c>
      <c r="T1877" s="51" t="str">
        <f>IF(tblWorkPackages[[#This Row],[Time split]]="Train 2024","",tblWorkPackages[[#This Row],[Estimated labor hours]]+VLOOKUP(tblWorkPackages[[#This Row],[Task type]],'Forecast validation'!$A$14:$E$25,IF(tblWorkPackages[[#This Row],[Time split]]="Validation H1",4,5),FALSE()))</f>
        <v/>
      </c>
      <c r="U1877" s="51" t="str">
        <f>IF(tblWorkPackages[[#This Row],[Calibrated forecast hours]]="","",ABS(tblWorkPackages[[#This Row],[Actual labor hours]]-tblWorkPackages[[#This Row],[Calibrated forecast hours]]))</f>
        <v/>
      </c>
      <c r="V1877" s="51">
        <f>IF(tblWorkPackages[[#This Row],[Time split]]="Train 2024",tblWorkPackages[[#This Row],[Estimated labor hours]],tblWorkPackages[[#This Row],[Calibrated forecast hours]])</f>
        <v>12.6</v>
      </c>
      <c r="W1877" s="64">
        <f>DATEVALUE(tblWorkPackages[[#This Row],[Request date]])</f>
        <v>45340.0</v>
      </c>
      <c r="X1877" s="64">
        <f>DATEVALUE(tblWorkPackages[[#This Row],[Due date]])</f>
        <v>45353.0</v>
      </c>
      <c r="Y1877" s="64">
        <f>DATEVALUE(tblWorkPackages[[#This Row],[Completion date]])</f>
        <v>45347.0</v>
      </c>
      <c r="Z1877" s="64">
        <f>_xlfn.MINIFS(tblLaborEntries[Work date serial],tblLaborEntries[Work package ID],tblWorkPackages[[#This Row],[Work package ID]])</f>
        <v>45344.0</v>
      </c>
      <c r="AA1877" s="64">
        <f>_xlfn.MAXIFS(tblLaborEntries[Work date serial],tblLaborEntries[Work package ID],tblWorkPackages[[#This Row],[Work package ID]])</f>
        <v>45344.0</v>
      </c>
      <c r="AB1877" s="65">
        <f>IF(tblWorkPackages[[#This Row],[Completion date serial]]&gt;tblWorkPackages[[#This Row],[Due date serial]],1,0)</f>
        <v>0</v>
      </c>
      <c r="AC1877" s="65">
        <f>MAX(0,tblWorkPackages[[#This Row],[Completion date serial]]-tblWorkPackages[[#This Row],[Due date serial]])</f>
        <v>0</v>
      </c>
      <c r="AD1877" s="65">
        <f>tblWorkPackages[[#This Row],[First labor date]]-tblWorkPackages[[#This Row],[Request date serial]]</f>
        <v>4</v>
      </c>
      <c r="AE1877" s="65">
        <f>tblWorkPackages[[#This Row],[Last labor date]]-tblWorkPackages[[#This Row],[First labor date]]</f>
        <v>0</v>
      </c>
      <c r="AF1877" s="65">
        <f>tblWorkPackages[[#This Row],[Completion date serial]]-tblWorkPackages[[#This Row],[Last labor date]]</f>
        <v>3</v>
      </c>
      <c r="AG1877" s="65">
        <f>tblWorkPackages[[#This Row],[Completion date serial]]-tblWorkPackages[[#This Row],[Request date serial]]</f>
        <v>7</v>
      </c>
      <c r="AH1877" s="65">
        <f>IFERROR(INDEX(tblParts[Delay days],MATCH(tblWorkPackages[[#This Row],[Work package ID]],tblParts[Work package ID],0)),0)</f>
        <v>0</v>
      </c>
      <c r="AI1877" s="51" t="str">
        <f>IFERROR(INDEX(tblDisruptions[Event type],MATCH(tblWorkPackages[[#This Row],[Work package ID]],tblDisruptions[Work package ID],0)),"None")</f>
        <v>None</v>
      </c>
      <c r="AJ1877" s="51" t="str">
        <f>TEXT(tblWorkPackages[[#This Row],[Due date serial]],"yyyy-mm")</f>
        <v>2024-03</v>
      </c>
    </row>
    <row r="1878" spans="1:36" ht="15" x14ac:dyDescent="0.25">
      <c r="A1878" s="53" t="s">
        <v>2789</v>
      </c>
      <c r="B1878" s="53" t="s">
        <v>250</v>
      </c>
      <c r="C1878" s="53" t="s">
        <v>606</v>
      </c>
      <c r="D1878" s="53" t="s">
        <v>607</v>
      </c>
      <c r="E1878" s="53" t="s">
        <v>209</v>
      </c>
      <c r="F1878" s="53" t="s">
        <v>145</v>
      </c>
      <c r="G1878" s="53" t="s">
        <v>210</v>
      </c>
      <c r="H1878" s="53">
        <v>4</v>
      </c>
      <c r="I1878" s="53" t="s">
        <v>130</v>
      </c>
      <c r="J1878" s="53">
        <v>0</v>
      </c>
      <c r="K1878" s="53">
        <v>1</v>
      </c>
      <c r="L1878" s="53">
        <v>42.1</v>
      </c>
      <c r="M1878" s="53" t="s">
        <v>1289</v>
      </c>
      <c r="N1878" s="53">
        <v>49.8</v>
      </c>
      <c r="O1878" s="51" t="str">
        <f>TEXT(tblWorkPackages[[#This Row],[Request date serial]]-WEEKDAY(tblWorkPackages[[#This Row],[Request date serial]],3),"yyyy-mm-dd")</f>
        <v>2025-03-03</v>
      </c>
      <c r="P1878" s="51">
        <f>ABS(tblWorkPackages[[#This Row],[Actual labor hours]]-tblWorkPackages[[#This Row],[Estimated labor hours]])</f>
        <v>7.7</v>
      </c>
      <c r="Q1878" s="51">
        <f>IF(tblWorkPackages[[#This Row],[Actual labor hours]]&gt;tblWorkPackages[[#This Row],[Estimated labor hours]],1,0)</f>
        <v>1</v>
      </c>
      <c r="R1878" s="51">
        <f>tblWorkPackages[[#This Row],[Actual labor hours]]-tblWorkPackages[[#This Row],[Estimated labor hours]]</f>
        <v>7.7</v>
      </c>
      <c r="S1878" s="51" t="str">
        <f>IF(tblWorkPackages[[#This Row],[Request date serial]]&lt;ValidationStart,"Train 2024",IF(tblWorkPackages[[#This Row],[Request date serial]]&lt;HoldoutStart,"Validation H1","Holdout H2"))</f>
        <v>Validation H1</v>
      </c>
      <c r="T1878" s="51">
        <f>IF(tblWorkPackages[[#This Row],[Time split]]="Train 2024","",tblWorkPackages[[#This Row],[Estimated labor hours]]+VLOOKUP(tblWorkPackages[[#This Row],[Task type]],'Forecast validation'!$A$14:$E$25,IF(tblWorkPackages[[#This Row],[Time split]]="Validation H1",4,5),FALSE()))</f>
        <v>43.2029850746269</v>
      </c>
      <c r="U1878" s="51">
        <f>IF(tblWorkPackages[[#This Row],[Calibrated forecast hours]]="","",ABS(tblWorkPackages[[#This Row],[Actual labor hours]]-tblWorkPackages[[#This Row],[Calibrated forecast hours]]))</f>
        <v>6.59701492537313</v>
      </c>
      <c r="V1878" s="51">
        <f>IF(tblWorkPackages[[#This Row],[Time split]]="Train 2024",tblWorkPackages[[#This Row],[Estimated labor hours]],tblWorkPackages[[#This Row],[Calibrated forecast hours]])</f>
        <v>43.2029850746269</v>
      </c>
      <c r="W1878" s="64">
        <f>DATEVALUE(tblWorkPackages[[#This Row],[Request date]])</f>
        <v>45721.0</v>
      </c>
      <c r="X1878" s="64">
        <f>DATEVALUE(tblWorkPackages[[#This Row],[Due date]])</f>
        <v>45734.0</v>
      </c>
      <c r="Y1878" s="64">
        <f>DATEVALUE(tblWorkPackages[[#This Row],[Completion date]])</f>
        <v>45722.0</v>
      </c>
      <c r="Z1878" s="64">
        <f>_xlfn.MINIFS(tblLaborEntries[Work date serial],tblLaborEntries[Work package ID],tblWorkPackages[[#This Row],[Work package ID]])</f>
        <v>45721.0</v>
      </c>
      <c r="AA1878" s="64">
        <f>_xlfn.MAXIFS(tblLaborEntries[Work date serial],tblLaborEntries[Work package ID],tblWorkPackages[[#This Row],[Work package ID]])</f>
        <v>45722.0</v>
      </c>
      <c r="AB1878" s="65">
        <f>IF(tblWorkPackages[[#This Row],[Completion date serial]]&gt;tblWorkPackages[[#This Row],[Due date serial]],1,0)</f>
        <v>0</v>
      </c>
      <c r="AC1878" s="65">
        <f>MAX(0,tblWorkPackages[[#This Row],[Completion date serial]]-tblWorkPackages[[#This Row],[Due date serial]])</f>
        <v>0</v>
      </c>
      <c r="AD1878" s="65">
        <f>tblWorkPackages[[#This Row],[First labor date]]-tblWorkPackages[[#This Row],[Request date serial]]</f>
        <v>0</v>
      </c>
      <c r="AE1878" s="65">
        <f>tblWorkPackages[[#This Row],[Last labor date]]-tblWorkPackages[[#This Row],[First labor date]]</f>
        <v>1</v>
      </c>
      <c r="AF1878" s="65">
        <f>tblWorkPackages[[#This Row],[Completion date serial]]-tblWorkPackages[[#This Row],[Last labor date]]</f>
        <v>0</v>
      </c>
      <c r="AG1878" s="65">
        <f>tblWorkPackages[[#This Row],[Completion date serial]]-tblWorkPackages[[#This Row],[Request date serial]]</f>
        <v>1</v>
      </c>
      <c r="AH1878" s="65">
        <f>IFERROR(INDEX(tblParts[Delay days],MATCH(tblWorkPackages[[#This Row],[Work package ID]],tblParts[Work package ID],0)),0)</f>
        <v>0</v>
      </c>
      <c r="AI1878" s="51" t="str">
        <f>IFERROR(INDEX(tblDisruptions[Event type],MATCH(tblWorkPackages[[#This Row],[Work package ID]],tblDisruptions[Work package ID],0)),"None")</f>
        <v>None</v>
      </c>
      <c r="AJ1878" s="51" t="str">
        <f>TEXT(tblWorkPackages[[#This Row],[Due date serial]],"yyyy-mm")</f>
        <v>2025-03</v>
      </c>
    </row>
    <row r="1879" spans="1:36" ht="15" x14ac:dyDescent="0.25">
      <c r="A1879" s="53" t="s">
        <v>2790</v>
      </c>
      <c r="B1879" s="53" t="s">
        <v>133</v>
      </c>
      <c r="C1879" s="53" t="s">
        <v>546</v>
      </c>
      <c r="D1879" s="53" t="s">
        <v>1237</v>
      </c>
      <c r="E1879" s="53" t="s">
        <v>181</v>
      </c>
      <c r="F1879" s="53" t="s">
        <v>182</v>
      </c>
      <c r="G1879" s="53" t="s">
        <v>138</v>
      </c>
      <c r="H1879" s="53">
        <v>2</v>
      </c>
      <c r="I1879" s="53" t="s">
        <v>176</v>
      </c>
      <c r="J1879" s="53">
        <v>1</v>
      </c>
      <c r="K1879" s="53">
        <v>1</v>
      </c>
      <c r="L1879" s="53">
        <v>7.3</v>
      </c>
      <c r="M1879" s="53" t="s">
        <v>1466</v>
      </c>
      <c r="N1879" s="53">
        <v>10</v>
      </c>
      <c r="O1879" s="51" t="str">
        <f>TEXT(tblWorkPackages[[#This Row],[Request date serial]]-WEEKDAY(tblWorkPackages[[#This Row],[Request date serial]],3),"yyyy-mm-dd")</f>
        <v>2024-01-15</v>
      </c>
      <c r="P1879" s="51">
        <f>ABS(tblWorkPackages[[#This Row],[Actual labor hours]]-tblWorkPackages[[#This Row],[Estimated labor hours]])</f>
        <v>2.7</v>
      </c>
      <c r="Q1879" s="51">
        <f>IF(tblWorkPackages[[#This Row],[Actual labor hours]]&gt;tblWorkPackages[[#This Row],[Estimated labor hours]],1,0)</f>
        <v>1</v>
      </c>
      <c r="R1879" s="51">
        <f>tblWorkPackages[[#This Row],[Actual labor hours]]-tblWorkPackages[[#This Row],[Estimated labor hours]]</f>
        <v>2.7</v>
      </c>
      <c r="S1879" s="51" t="str">
        <f>IF(tblWorkPackages[[#This Row],[Request date serial]]&lt;ValidationStart,"Train 2024",IF(tblWorkPackages[[#This Row],[Request date serial]]&lt;HoldoutStart,"Validation H1","Holdout H2"))</f>
        <v>Train 2024</v>
      </c>
      <c r="T1879" s="51" t="str">
        <f>IF(tblWorkPackages[[#This Row],[Time split]]="Train 2024","",tblWorkPackages[[#This Row],[Estimated labor hours]]+VLOOKUP(tblWorkPackages[[#This Row],[Task type]],'Forecast validation'!$A$14:$E$25,IF(tblWorkPackages[[#This Row],[Time split]]="Validation H1",4,5),FALSE()))</f>
        <v/>
      </c>
      <c r="U1879" s="51" t="str">
        <f>IF(tblWorkPackages[[#This Row],[Calibrated forecast hours]]="","",ABS(tblWorkPackages[[#This Row],[Actual labor hours]]-tblWorkPackages[[#This Row],[Calibrated forecast hours]]))</f>
        <v/>
      </c>
      <c r="V1879" s="51">
        <f>IF(tblWorkPackages[[#This Row],[Time split]]="Train 2024",tblWorkPackages[[#This Row],[Estimated labor hours]],tblWorkPackages[[#This Row],[Calibrated forecast hours]])</f>
        <v>7.3</v>
      </c>
      <c r="W1879" s="64">
        <f>DATEVALUE(tblWorkPackages[[#This Row],[Request date]])</f>
        <v>45306.0</v>
      </c>
      <c r="X1879" s="64">
        <f>DATEVALUE(tblWorkPackages[[#This Row],[Due date]])</f>
        <v>45312.0</v>
      </c>
      <c r="Y1879" s="64">
        <f>DATEVALUE(tblWorkPackages[[#This Row],[Completion date]])</f>
        <v>45333.0</v>
      </c>
      <c r="Z1879" s="64">
        <f>_xlfn.MINIFS(tblLaborEntries[Work date serial],tblLaborEntries[Work package ID],tblWorkPackages[[#This Row],[Work package ID]])</f>
        <v>45331.0</v>
      </c>
      <c r="AA1879" s="64">
        <f>_xlfn.MAXIFS(tblLaborEntries[Work date serial],tblLaborEntries[Work package ID],tblWorkPackages[[#This Row],[Work package ID]])</f>
        <v>45332.0</v>
      </c>
      <c r="AB1879" s="65">
        <f>IF(tblWorkPackages[[#This Row],[Completion date serial]]&gt;tblWorkPackages[[#This Row],[Due date serial]],1,0)</f>
        <v>1</v>
      </c>
      <c r="AC1879" s="65">
        <f>MAX(0,tblWorkPackages[[#This Row],[Completion date serial]]-tblWorkPackages[[#This Row],[Due date serial]])</f>
        <v>21</v>
      </c>
      <c r="AD1879" s="65">
        <f>tblWorkPackages[[#This Row],[First labor date]]-tblWorkPackages[[#This Row],[Request date serial]]</f>
        <v>25</v>
      </c>
      <c r="AE1879" s="65">
        <f>tblWorkPackages[[#This Row],[Last labor date]]-tblWorkPackages[[#This Row],[First labor date]]</f>
        <v>1</v>
      </c>
      <c r="AF1879" s="65">
        <f>tblWorkPackages[[#This Row],[Completion date serial]]-tblWorkPackages[[#This Row],[Last labor date]]</f>
        <v>1</v>
      </c>
      <c r="AG1879" s="65">
        <f>tblWorkPackages[[#This Row],[Completion date serial]]-tblWorkPackages[[#This Row],[Request date serial]]</f>
        <v>27</v>
      </c>
      <c r="AH1879" s="65">
        <f>IFERROR(INDEX(tblParts[Delay days],MATCH(tblWorkPackages[[#This Row],[Work package ID]],tblParts[Work package ID],0)),0)</f>
        <v>14</v>
      </c>
      <c r="AI1879" s="51" t="str">
        <f>IFERROR(INDEX(tblDisruptions[Event type],MATCH(tblWorkPackages[[#This Row],[Work package ID]],tblDisruptions[Work package ID],0)),"None")</f>
        <v>Part delay</v>
      </c>
      <c r="AJ1879" s="51" t="str">
        <f>TEXT(tblWorkPackages[[#This Row],[Due date serial]],"yyyy-mm")</f>
        <v>2024-01</v>
      </c>
    </row>
    <row r="1880" spans="1:36" ht="15" x14ac:dyDescent="0.25">
      <c r="A1880" s="53" t="s">
        <v>2791</v>
      </c>
      <c r="B1880" s="53" t="s">
        <v>168</v>
      </c>
      <c r="C1880" s="53" t="s">
        <v>410</v>
      </c>
      <c r="D1880" s="53" t="s">
        <v>131</v>
      </c>
      <c r="E1880" s="53" t="s">
        <v>209</v>
      </c>
      <c r="F1880" s="53" t="s">
        <v>145</v>
      </c>
      <c r="G1880" s="53" t="s">
        <v>210</v>
      </c>
      <c r="H1880" s="53">
        <v>2</v>
      </c>
      <c r="I1880" s="53" t="s">
        <v>130</v>
      </c>
      <c r="J1880" s="53">
        <v>0</v>
      </c>
      <c r="K1880" s="53">
        <v>0</v>
      </c>
      <c r="L1880" s="53">
        <v>23.6</v>
      </c>
      <c r="M1880" s="53" t="s">
        <v>274</v>
      </c>
      <c r="N1880" s="53">
        <v>29.5</v>
      </c>
      <c r="O1880" s="51" t="str">
        <f>TEXT(tblWorkPackages[[#This Row],[Request date serial]]-WEEKDAY(tblWorkPackages[[#This Row],[Request date serial]],3),"yyyy-mm-dd")</f>
        <v>2025-04-28</v>
      </c>
      <c r="P1880" s="51">
        <f>ABS(tblWorkPackages[[#This Row],[Actual labor hours]]-tblWorkPackages[[#This Row],[Estimated labor hours]])</f>
        <v>5.9</v>
      </c>
      <c r="Q1880" s="51">
        <f>IF(tblWorkPackages[[#This Row],[Actual labor hours]]&gt;tblWorkPackages[[#This Row],[Estimated labor hours]],1,0)</f>
        <v>1</v>
      </c>
      <c r="R1880" s="51">
        <f>tblWorkPackages[[#This Row],[Actual labor hours]]-tblWorkPackages[[#This Row],[Estimated labor hours]]</f>
        <v>5.9</v>
      </c>
      <c r="S1880" s="51" t="str">
        <f>IF(tblWorkPackages[[#This Row],[Request date serial]]&lt;ValidationStart,"Train 2024",IF(tblWorkPackages[[#This Row],[Request date serial]]&lt;HoldoutStart,"Validation H1","Holdout H2"))</f>
        <v>Validation H1</v>
      </c>
      <c r="T1880" s="51">
        <f>IF(tblWorkPackages[[#This Row],[Time split]]="Train 2024","",tblWorkPackages[[#This Row],[Estimated labor hours]]+VLOOKUP(tblWorkPackages[[#This Row],[Task type]],'Forecast validation'!$A$14:$E$25,IF(tblWorkPackages[[#This Row],[Time split]]="Validation H1",4,5),FALSE()))</f>
        <v>24.7029850746269</v>
      </c>
      <c r="U1880" s="51">
        <f>IF(tblWorkPackages[[#This Row],[Calibrated forecast hours]]="","",ABS(tblWorkPackages[[#This Row],[Actual labor hours]]-tblWorkPackages[[#This Row],[Calibrated forecast hours]]))</f>
        <v>4.79701492537313</v>
      </c>
      <c r="V1880" s="51">
        <f>IF(tblWorkPackages[[#This Row],[Time split]]="Train 2024",tblWorkPackages[[#This Row],[Estimated labor hours]],tblWorkPackages[[#This Row],[Calibrated forecast hours]])</f>
        <v>24.7029850746269</v>
      </c>
      <c r="W1880" s="64">
        <f>DATEVALUE(tblWorkPackages[[#This Row],[Request date]])</f>
        <v>45778.0</v>
      </c>
      <c r="X1880" s="64">
        <f>DATEVALUE(tblWorkPackages[[#This Row],[Due date]])</f>
        <v>45791.0</v>
      </c>
      <c r="Y1880" s="64">
        <f>DATEVALUE(tblWorkPackages[[#This Row],[Completion date]])</f>
        <v>45783.0</v>
      </c>
      <c r="Z1880" s="64">
        <f>_xlfn.MINIFS(tblLaborEntries[Work date serial],tblLaborEntries[Work package ID],tblWorkPackages[[#This Row],[Work package ID]])</f>
        <v>45781.0</v>
      </c>
      <c r="AA1880" s="64">
        <f>_xlfn.MAXIFS(tblLaborEntries[Work date serial],tblLaborEntries[Work package ID],tblWorkPackages[[#This Row],[Work package ID]])</f>
        <v>45781.0</v>
      </c>
      <c r="AB1880" s="65">
        <f>IF(tblWorkPackages[[#This Row],[Completion date serial]]&gt;tblWorkPackages[[#This Row],[Due date serial]],1,0)</f>
        <v>0</v>
      </c>
      <c r="AC1880" s="65">
        <f>MAX(0,tblWorkPackages[[#This Row],[Completion date serial]]-tblWorkPackages[[#This Row],[Due date serial]])</f>
        <v>0</v>
      </c>
      <c r="AD1880" s="65">
        <f>tblWorkPackages[[#This Row],[First labor date]]-tblWorkPackages[[#This Row],[Request date serial]]</f>
        <v>3</v>
      </c>
      <c r="AE1880" s="65">
        <f>tblWorkPackages[[#This Row],[Last labor date]]-tblWorkPackages[[#This Row],[First labor date]]</f>
        <v>0</v>
      </c>
      <c r="AF1880" s="65">
        <f>tblWorkPackages[[#This Row],[Completion date serial]]-tblWorkPackages[[#This Row],[Last labor date]]</f>
        <v>2</v>
      </c>
      <c r="AG1880" s="65">
        <f>tblWorkPackages[[#This Row],[Completion date serial]]-tblWorkPackages[[#This Row],[Request date serial]]</f>
        <v>5</v>
      </c>
      <c r="AH1880" s="65">
        <f>IFERROR(INDEX(tblParts[Delay days],MATCH(tblWorkPackages[[#This Row],[Work package ID]],tblParts[Work package ID],0)),0)</f>
        <v>0</v>
      </c>
      <c r="AI1880" s="51" t="str">
        <f>IFERROR(INDEX(tblDisruptions[Event type],MATCH(tblWorkPackages[[#This Row],[Work package ID]],tblDisruptions[Work package ID],0)),"None")</f>
        <v>None</v>
      </c>
      <c r="AJ1880" s="51" t="str">
        <f>TEXT(tblWorkPackages[[#This Row],[Due date serial]],"yyyy-mm")</f>
        <v>2025-05</v>
      </c>
    </row>
    <row r="1881" spans="1:36" ht="15" x14ac:dyDescent="0.25">
      <c r="A1881" s="53" t="s">
        <v>2792</v>
      </c>
      <c r="B1881" s="53" t="s">
        <v>157</v>
      </c>
      <c r="C1881" s="53" t="s">
        <v>1081</v>
      </c>
      <c r="D1881" s="53" t="s">
        <v>468</v>
      </c>
      <c r="E1881" s="53" t="s">
        <v>127</v>
      </c>
      <c r="F1881" s="53" t="s">
        <v>128</v>
      </c>
      <c r="G1881" s="53" t="s">
        <v>129</v>
      </c>
      <c r="H1881" s="53">
        <v>4</v>
      </c>
      <c r="I1881" s="53" t="s">
        <v>176</v>
      </c>
      <c r="J1881" s="53">
        <v>0</v>
      </c>
      <c r="K1881" s="53">
        <v>1</v>
      </c>
      <c r="L1881" s="53">
        <v>13.6</v>
      </c>
      <c r="M1881" s="53" t="s">
        <v>1076</v>
      </c>
      <c r="N1881" s="53">
        <v>13.7</v>
      </c>
      <c r="O1881" s="51" t="str">
        <f>TEXT(tblWorkPackages[[#This Row],[Request date serial]]-WEEKDAY(tblWorkPackages[[#This Row],[Request date serial]],3),"yyyy-mm-dd")</f>
        <v>2025-04-21</v>
      </c>
      <c r="P1881" s="51">
        <f>ABS(tblWorkPackages[[#This Row],[Actual labor hours]]-tblWorkPackages[[#This Row],[Estimated labor hours]])</f>
        <v>0.0999999999999996</v>
      </c>
      <c r="Q1881" s="51">
        <f>IF(tblWorkPackages[[#This Row],[Actual labor hours]]&gt;tblWorkPackages[[#This Row],[Estimated labor hours]],1,0)</f>
        <v>1</v>
      </c>
      <c r="R1881" s="51">
        <f>tblWorkPackages[[#This Row],[Actual labor hours]]-tblWorkPackages[[#This Row],[Estimated labor hours]]</f>
        <v>0.0999999999999996</v>
      </c>
      <c r="S1881" s="51" t="str">
        <f>IF(tblWorkPackages[[#This Row],[Request date serial]]&lt;ValidationStart,"Train 2024",IF(tblWorkPackages[[#This Row],[Request date serial]]&lt;HoldoutStart,"Validation H1","Holdout H2"))</f>
        <v>Validation H1</v>
      </c>
      <c r="T1881" s="51">
        <f>IF(tblWorkPackages[[#This Row],[Time split]]="Train 2024","",tblWorkPackages[[#This Row],[Estimated labor hours]]+VLOOKUP(tblWorkPackages[[#This Row],[Task type]],'Forecast validation'!$A$14:$E$25,IF(tblWorkPackages[[#This Row],[Time split]]="Validation H1",4,5),FALSE()))</f>
        <v>14.075641025641</v>
      </c>
      <c r="U1881" s="51">
        <f>IF(tblWorkPackages[[#This Row],[Calibrated forecast hours]]="","",ABS(tblWorkPackages[[#This Row],[Actual labor hours]]-tblWorkPackages[[#This Row],[Calibrated forecast hours]]))</f>
        <v>0.375641025641025</v>
      </c>
      <c r="V1881" s="51">
        <f>IF(tblWorkPackages[[#This Row],[Time split]]="Train 2024",tblWorkPackages[[#This Row],[Estimated labor hours]],tblWorkPackages[[#This Row],[Calibrated forecast hours]])</f>
        <v>14.075641025641</v>
      </c>
      <c r="W1881" s="64">
        <f>DATEVALUE(tblWorkPackages[[#This Row],[Request date]])</f>
        <v>45769.0</v>
      </c>
      <c r="X1881" s="64">
        <f>DATEVALUE(tblWorkPackages[[#This Row],[Due date]])</f>
        <v>45775.0</v>
      </c>
      <c r="Y1881" s="64">
        <f>DATEVALUE(tblWorkPackages[[#This Row],[Completion date]])</f>
        <v>45804.0</v>
      </c>
      <c r="Z1881" s="64">
        <f>_xlfn.MINIFS(tblLaborEntries[Work date serial],tblLaborEntries[Work package ID],tblWorkPackages[[#This Row],[Work package ID]])</f>
        <v>45799.0</v>
      </c>
      <c r="AA1881" s="64">
        <f>_xlfn.MAXIFS(tblLaborEntries[Work date serial],tblLaborEntries[Work package ID],tblWorkPackages[[#This Row],[Work package ID]])</f>
        <v>45801.0</v>
      </c>
      <c r="AB1881" s="65">
        <f>IF(tblWorkPackages[[#This Row],[Completion date serial]]&gt;tblWorkPackages[[#This Row],[Due date serial]],1,0)</f>
        <v>1</v>
      </c>
      <c r="AC1881" s="65">
        <f>MAX(0,tblWorkPackages[[#This Row],[Completion date serial]]-tblWorkPackages[[#This Row],[Due date serial]])</f>
        <v>29</v>
      </c>
      <c r="AD1881" s="65">
        <f>tblWorkPackages[[#This Row],[First labor date]]-tblWorkPackages[[#This Row],[Request date serial]]</f>
        <v>30</v>
      </c>
      <c r="AE1881" s="65">
        <f>tblWorkPackages[[#This Row],[Last labor date]]-tblWorkPackages[[#This Row],[First labor date]]</f>
        <v>2</v>
      </c>
      <c r="AF1881" s="65">
        <f>tblWorkPackages[[#This Row],[Completion date serial]]-tblWorkPackages[[#This Row],[Last labor date]]</f>
        <v>3</v>
      </c>
      <c r="AG1881" s="65">
        <f>tblWorkPackages[[#This Row],[Completion date serial]]-tblWorkPackages[[#This Row],[Request date serial]]</f>
        <v>35</v>
      </c>
      <c r="AH1881" s="65">
        <f>IFERROR(INDEX(tblParts[Delay days],MATCH(tblWorkPackages[[#This Row],[Work package ID]],tblParts[Work package ID],0)),0)</f>
        <v>0</v>
      </c>
      <c r="AI1881" s="51" t="str">
        <f>IFERROR(INDEX(tblDisruptions[Event type],MATCH(tblWorkPackages[[#This Row],[Work package ID]],tblDisruptions[Work package ID],0)),"None")</f>
        <v>Scope change</v>
      </c>
      <c r="AJ1881" s="51" t="str">
        <f>TEXT(tblWorkPackages[[#This Row],[Due date serial]],"yyyy-mm")</f>
        <v>2025-04</v>
      </c>
    </row>
    <row r="1882" spans="1:36" ht="15" x14ac:dyDescent="0.25">
      <c r="A1882" s="53" t="s">
        <v>2793</v>
      </c>
      <c r="B1882" s="53" t="s">
        <v>141</v>
      </c>
      <c r="C1882" s="53" t="s">
        <v>403</v>
      </c>
      <c r="D1882" s="53" t="s">
        <v>883</v>
      </c>
      <c r="E1882" s="53" t="s">
        <v>136</v>
      </c>
      <c r="F1882" s="53" t="s">
        <v>137</v>
      </c>
      <c r="G1882" s="53" t="s">
        <v>138</v>
      </c>
      <c r="H1882" s="53">
        <v>2</v>
      </c>
      <c r="I1882" s="53" t="s">
        <v>176</v>
      </c>
      <c r="J1882" s="53">
        <v>0</v>
      </c>
      <c r="K1882" s="53">
        <v>0</v>
      </c>
      <c r="L1882" s="53">
        <v>12.4</v>
      </c>
      <c r="M1882" s="53" t="s">
        <v>196</v>
      </c>
      <c r="N1882" s="53">
        <v>12.7</v>
      </c>
      <c r="O1882" s="51" t="str">
        <f>TEXT(tblWorkPackages[[#This Row],[Request date serial]]-WEEKDAY(tblWorkPackages[[#This Row],[Request date serial]],3),"yyyy-mm-dd")</f>
        <v>2024-10-07</v>
      </c>
      <c r="P1882" s="51">
        <f>ABS(tblWorkPackages[[#This Row],[Actual labor hours]]-tblWorkPackages[[#This Row],[Estimated labor hours]])</f>
        <v>0.299999999999999</v>
      </c>
      <c r="Q1882" s="51">
        <f>IF(tblWorkPackages[[#This Row],[Actual labor hours]]&gt;tblWorkPackages[[#This Row],[Estimated labor hours]],1,0)</f>
        <v>1</v>
      </c>
      <c r="R1882" s="51">
        <f>tblWorkPackages[[#This Row],[Actual labor hours]]-tblWorkPackages[[#This Row],[Estimated labor hours]]</f>
        <v>0.299999999999999</v>
      </c>
      <c r="S1882" s="51" t="str">
        <f>IF(tblWorkPackages[[#This Row],[Request date serial]]&lt;ValidationStart,"Train 2024",IF(tblWorkPackages[[#This Row],[Request date serial]]&lt;HoldoutStart,"Validation H1","Holdout H2"))</f>
        <v>Train 2024</v>
      </c>
      <c r="T1882" s="51" t="str">
        <f>IF(tblWorkPackages[[#This Row],[Time split]]="Train 2024","",tblWorkPackages[[#This Row],[Estimated labor hours]]+VLOOKUP(tblWorkPackages[[#This Row],[Task type]],'Forecast validation'!$A$14:$E$25,IF(tblWorkPackages[[#This Row],[Time split]]="Validation H1",4,5),FALSE()))</f>
        <v/>
      </c>
      <c r="U1882" s="51" t="str">
        <f>IF(tblWorkPackages[[#This Row],[Calibrated forecast hours]]="","",ABS(tblWorkPackages[[#This Row],[Actual labor hours]]-tblWorkPackages[[#This Row],[Calibrated forecast hours]]))</f>
        <v/>
      </c>
      <c r="V1882" s="51">
        <f>IF(tblWorkPackages[[#This Row],[Time split]]="Train 2024",tblWorkPackages[[#This Row],[Estimated labor hours]],tblWorkPackages[[#This Row],[Calibrated forecast hours]])</f>
        <v>12.4</v>
      </c>
      <c r="W1882" s="64">
        <f>DATEVALUE(tblWorkPackages[[#This Row],[Request date]])</f>
        <v>45577.0</v>
      </c>
      <c r="X1882" s="64">
        <f>DATEVALUE(tblWorkPackages[[#This Row],[Due date]])</f>
        <v>45583.0</v>
      </c>
      <c r="Y1882" s="64">
        <f>DATEVALUE(tblWorkPackages[[#This Row],[Completion date]])</f>
        <v>45582.0</v>
      </c>
      <c r="Z1882" s="64">
        <f>_xlfn.MINIFS(tblLaborEntries[Work date serial],tblLaborEntries[Work package ID],tblWorkPackages[[#This Row],[Work package ID]])</f>
        <v>45582.0</v>
      </c>
      <c r="AA1882" s="64">
        <f>_xlfn.MAXIFS(tblLaborEntries[Work date serial],tblLaborEntries[Work package ID],tblWorkPackages[[#This Row],[Work package ID]])</f>
        <v>45582.0</v>
      </c>
      <c r="AB1882" s="65">
        <f>IF(tblWorkPackages[[#This Row],[Completion date serial]]&gt;tblWorkPackages[[#This Row],[Due date serial]],1,0)</f>
        <v>0</v>
      </c>
      <c r="AC1882" s="65">
        <f>MAX(0,tblWorkPackages[[#This Row],[Completion date serial]]-tblWorkPackages[[#This Row],[Due date serial]])</f>
        <v>0</v>
      </c>
      <c r="AD1882" s="65">
        <f>tblWorkPackages[[#This Row],[First labor date]]-tblWorkPackages[[#This Row],[Request date serial]]</f>
        <v>5</v>
      </c>
      <c r="AE1882" s="65">
        <f>tblWorkPackages[[#This Row],[Last labor date]]-tblWorkPackages[[#This Row],[First labor date]]</f>
        <v>0</v>
      </c>
      <c r="AF1882" s="65">
        <f>tblWorkPackages[[#This Row],[Completion date serial]]-tblWorkPackages[[#This Row],[Last labor date]]</f>
        <v>0</v>
      </c>
      <c r="AG1882" s="65">
        <f>tblWorkPackages[[#This Row],[Completion date serial]]-tblWorkPackages[[#This Row],[Request date serial]]</f>
        <v>5</v>
      </c>
      <c r="AH1882" s="65">
        <f>IFERROR(INDEX(tblParts[Delay days],MATCH(tblWorkPackages[[#This Row],[Work package ID]],tblParts[Work package ID],0)),0)</f>
        <v>0</v>
      </c>
      <c r="AI1882" s="51" t="str">
        <f>IFERROR(INDEX(tblDisruptions[Event type],MATCH(tblWorkPackages[[#This Row],[Work package ID]],tblDisruptions[Work package ID],0)),"None")</f>
        <v>None</v>
      </c>
      <c r="AJ1882" s="51" t="str">
        <f>TEXT(tblWorkPackages[[#This Row],[Due date serial]],"yyyy-mm")</f>
        <v>2024-10</v>
      </c>
    </row>
    <row r="1883" spans="1:36" ht="15" x14ac:dyDescent="0.25">
      <c r="A1883" s="53" t="s">
        <v>2794</v>
      </c>
      <c r="B1883" s="53" t="s">
        <v>287</v>
      </c>
      <c r="C1883" s="53" t="s">
        <v>710</v>
      </c>
      <c r="D1883" s="53" t="s">
        <v>713</v>
      </c>
      <c r="E1883" s="53" t="s">
        <v>209</v>
      </c>
      <c r="F1883" s="53" t="s">
        <v>145</v>
      </c>
      <c r="G1883" s="53" t="s">
        <v>210</v>
      </c>
      <c r="H1883" s="53">
        <v>2</v>
      </c>
      <c r="I1883" s="53" t="s">
        <v>147</v>
      </c>
      <c r="J1883" s="53">
        <v>0</v>
      </c>
      <c r="K1883" s="53">
        <v>0</v>
      </c>
      <c r="L1883" s="53">
        <v>22.7</v>
      </c>
      <c r="M1883" s="53" t="s">
        <v>672</v>
      </c>
      <c r="N1883" s="53">
        <v>26.9</v>
      </c>
      <c r="O1883" s="51" t="str">
        <f>TEXT(tblWorkPackages[[#This Row],[Request date serial]]-WEEKDAY(tblWorkPackages[[#This Row],[Request date serial]],3),"yyyy-mm-dd")</f>
        <v>2025-06-09</v>
      </c>
      <c r="P1883" s="51">
        <f>ABS(tblWorkPackages[[#This Row],[Actual labor hours]]-tblWorkPackages[[#This Row],[Estimated labor hours]])</f>
        <v>4.2</v>
      </c>
      <c r="Q1883" s="51">
        <f>IF(tblWorkPackages[[#This Row],[Actual labor hours]]&gt;tblWorkPackages[[#This Row],[Estimated labor hours]],1,0)</f>
        <v>1</v>
      </c>
      <c r="R1883" s="51">
        <f>tblWorkPackages[[#This Row],[Actual labor hours]]-tblWorkPackages[[#This Row],[Estimated labor hours]]</f>
        <v>4.2</v>
      </c>
      <c r="S1883" s="51" t="str">
        <f>IF(tblWorkPackages[[#This Row],[Request date serial]]&lt;ValidationStart,"Train 2024",IF(tblWorkPackages[[#This Row],[Request date serial]]&lt;HoldoutStart,"Validation H1","Holdout H2"))</f>
        <v>Validation H1</v>
      </c>
      <c r="T1883" s="51">
        <f>IF(tblWorkPackages[[#This Row],[Time split]]="Train 2024","",tblWorkPackages[[#This Row],[Estimated labor hours]]+VLOOKUP(tblWorkPackages[[#This Row],[Task type]],'Forecast validation'!$A$14:$E$25,IF(tblWorkPackages[[#This Row],[Time split]]="Validation H1",4,5),FALSE()))</f>
        <v>23.8029850746269</v>
      </c>
      <c r="U1883" s="51">
        <f>IF(tblWorkPackages[[#This Row],[Calibrated forecast hours]]="","",ABS(tblWorkPackages[[#This Row],[Actual labor hours]]-tblWorkPackages[[#This Row],[Calibrated forecast hours]]))</f>
        <v>3.09701492537313</v>
      </c>
      <c r="V1883" s="51">
        <f>IF(tblWorkPackages[[#This Row],[Time split]]="Train 2024",tblWorkPackages[[#This Row],[Estimated labor hours]],tblWorkPackages[[#This Row],[Calibrated forecast hours]])</f>
        <v>23.8029850746269</v>
      </c>
      <c r="W1883" s="64">
        <f>DATEVALUE(tblWorkPackages[[#This Row],[Request date]])</f>
        <v>45821.0</v>
      </c>
      <c r="X1883" s="64">
        <f>DATEVALUE(tblWorkPackages[[#This Row],[Due date]])</f>
        <v>45823.0</v>
      </c>
      <c r="Y1883" s="64">
        <f>DATEVALUE(tblWorkPackages[[#This Row],[Completion date]])</f>
        <v>45826.0</v>
      </c>
      <c r="Z1883" s="64">
        <f>_xlfn.MINIFS(tblLaborEntries[Work date serial],tblLaborEntries[Work package ID],tblWorkPackages[[#This Row],[Work package ID]])</f>
        <v>45823.0</v>
      </c>
      <c r="AA1883" s="64">
        <f>_xlfn.MAXIFS(tblLaborEntries[Work date serial],tblLaborEntries[Work package ID],tblWorkPackages[[#This Row],[Work package ID]])</f>
        <v>45825.0</v>
      </c>
      <c r="AB1883" s="65">
        <f>IF(tblWorkPackages[[#This Row],[Completion date serial]]&gt;tblWorkPackages[[#This Row],[Due date serial]],1,0)</f>
        <v>1</v>
      </c>
      <c r="AC1883" s="65">
        <f>MAX(0,tblWorkPackages[[#This Row],[Completion date serial]]-tblWorkPackages[[#This Row],[Due date serial]])</f>
        <v>3</v>
      </c>
      <c r="AD1883" s="65">
        <f>tblWorkPackages[[#This Row],[First labor date]]-tblWorkPackages[[#This Row],[Request date serial]]</f>
        <v>2</v>
      </c>
      <c r="AE1883" s="65">
        <f>tblWorkPackages[[#This Row],[Last labor date]]-tblWorkPackages[[#This Row],[First labor date]]</f>
        <v>2</v>
      </c>
      <c r="AF1883" s="65">
        <f>tblWorkPackages[[#This Row],[Completion date serial]]-tblWorkPackages[[#This Row],[Last labor date]]</f>
        <v>1</v>
      </c>
      <c r="AG1883" s="65">
        <f>tblWorkPackages[[#This Row],[Completion date serial]]-tblWorkPackages[[#This Row],[Request date serial]]</f>
        <v>5</v>
      </c>
      <c r="AH1883" s="65">
        <f>IFERROR(INDEX(tblParts[Delay days],MATCH(tblWorkPackages[[#This Row],[Work package ID]],tblParts[Work package ID],0)),0)</f>
        <v>0</v>
      </c>
      <c r="AI1883" s="51" t="str">
        <f>IFERROR(INDEX(tblDisruptions[Event type],MATCH(tblWorkPackages[[#This Row],[Work package ID]],tblDisruptions[Work package ID],0)),"None")</f>
        <v>None</v>
      </c>
      <c r="AJ1883" s="51" t="str">
        <f>TEXT(tblWorkPackages[[#This Row],[Due date serial]],"yyyy-mm")</f>
        <v>2025-06</v>
      </c>
    </row>
    <row r="1884" spans="1:36" ht="15" x14ac:dyDescent="0.25">
      <c r="A1884" s="53" t="s">
        <v>2795</v>
      </c>
      <c r="B1884" s="53" t="s">
        <v>250</v>
      </c>
      <c r="C1884" s="53" t="s">
        <v>796</v>
      </c>
      <c r="D1884" s="53" t="s">
        <v>743</v>
      </c>
      <c r="E1884" s="53" t="s">
        <v>200</v>
      </c>
      <c r="F1884" s="53" t="s">
        <v>128</v>
      </c>
      <c r="G1884" s="53" t="s">
        <v>129</v>
      </c>
      <c r="H1884" s="53">
        <v>1</v>
      </c>
      <c r="I1884" s="53" t="s">
        <v>176</v>
      </c>
      <c r="J1884" s="53">
        <v>0</v>
      </c>
      <c r="K1884" s="53">
        <v>0</v>
      </c>
      <c r="L1884" s="53">
        <v>2</v>
      </c>
      <c r="M1884" s="53" t="s">
        <v>797</v>
      </c>
      <c r="N1884" s="53">
        <v>2.2999999999999998</v>
      </c>
      <c r="O1884" s="51" t="str">
        <f>TEXT(tblWorkPackages[[#This Row],[Request date serial]]-WEEKDAY(tblWorkPackages[[#This Row],[Request date serial]],3),"yyyy-mm-dd")</f>
        <v>2025-07-07</v>
      </c>
      <c r="P1884" s="51">
        <f>ABS(tblWorkPackages[[#This Row],[Actual labor hours]]-tblWorkPackages[[#This Row],[Estimated labor hours]])</f>
        <v>0.3</v>
      </c>
      <c r="Q1884" s="51">
        <f>IF(tblWorkPackages[[#This Row],[Actual labor hours]]&gt;tblWorkPackages[[#This Row],[Estimated labor hours]],1,0)</f>
        <v>1</v>
      </c>
      <c r="R1884" s="51">
        <f>tblWorkPackages[[#This Row],[Actual labor hours]]-tblWorkPackages[[#This Row],[Estimated labor hours]]</f>
        <v>0.3</v>
      </c>
      <c r="S1884" s="51" t="str">
        <f>IF(tblWorkPackages[[#This Row],[Request date serial]]&lt;ValidationStart,"Train 2024",IF(tblWorkPackages[[#This Row],[Request date serial]]&lt;HoldoutStart,"Validation H1","Holdout H2"))</f>
        <v>Holdout H2</v>
      </c>
      <c r="T1884" s="51">
        <f>IF(tblWorkPackages[[#This Row],[Time split]]="Train 2024","",tblWorkPackages[[#This Row],[Estimated labor hours]]+VLOOKUP(tblWorkPackages[[#This Row],[Task type]],'Forecast validation'!$A$14:$E$25,IF(tblWorkPackages[[#This Row],[Time split]]="Validation H1",4,5),FALSE()))</f>
        <v>2.32893081761006</v>
      </c>
      <c r="U1884" s="51">
        <f>IF(tblWorkPackages[[#This Row],[Calibrated forecast hours]]="","",ABS(tblWorkPackages[[#This Row],[Actual labor hours]]-tblWorkPackages[[#This Row],[Calibrated forecast hours]]))</f>
        <v>0.0289308176100631</v>
      </c>
      <c r="V1884" s="51">
        <f>IF(tblWorkPackages[[#This Row],[Time split]]="Train 2024",tblWorkPackages[[#This Row],[Estimated labor hours]],tblWorkPackages[[#This Row],[Calibrated forecast hours]])</f>
        <v>2.32893081761006</v>
      </c>
      <c r="W1884" s="64">
        <f>DATEVALUE(tblWorkPackages[[#This Row],[Request date]])</f>
        <v>45850.0</v>
      </c>
      <c r="X1884" s="64">
        <f>DATEVALUE(tblWorkPackages[[#This Row],[Due date]])</f>
        <v>45856.0</v>
      </c>
      <c r="Y1884" s="64">
        <f>DATEVALUE(tblWorkPackages[[#This Row],[Completion date]])</f>
        <v>45867.0</v>
      </c>
      <c r="Z1884" s="64">
        <f>_xlfn.MINIFS(tblLaborEntries[Work date serial],tblLaborEntries[Work package ID],tblWorkPackages[[#This Row],[Work package ID]])</f>
        <v>45864.0</v>
      </c>
      <c r="AA1884" s="64">
        <f>_xlfn.MAXIFS(tblLaborEntries[Work date serial],tblLaborEntries[Work package ID],tblWorkPackages[[#This Row],[Work package ID]])</f>
        <v>45865.0</v>
      </c>
      <c r="AB1884" s="65">
        <f>IF(tblWorkPackages[[#This Row],[Completion date serial]]&gt;tblWorkPackages[[#This Row],[Due date serial]],1,0)</f>
        <v>1</v>
      </c>
      <c r="AC1884" s="65">
        <f>MAX(0,tblWorkPackages[[#This Row],[Completion date serial]]-tblWorkPackages[[#This Row],[Due date serial]])</f>
        <v>11</v>
      </c>
      <c r="AD1884" s="65">
        <f>tblWorkPackages[[#This Row],[First labor date]]-tblWorkPackages[[#This Row],[Request date serial]]</f>
        <v>14</v>
      </c>
      <c r="AE1884" s="65">
        <f>tblWorkPackages[[#This Row],[Last labor date]]-tblWorkPackages[[#This Row],[First labor date]]</f>
        <v>1</v>
      </c>
      <c r="AF1884" s="65">
        <f>tblWorkPackages[[#This Row],[Completion date serial]]-tblWorkPackages[[#This Row],[Last labor date]]</f>
        <v>2</v>
      </c>
      <c r="AG1884" s="65">
        <f>tblWorkPackages[[#This Row],[Completion date serial]]-tblWorkPackages[[#This Row],[Request date serial]]</f>
        <v>17</v>
      </c>
      <c r="AH1884" s="65">
        <f>IFERROR(INDEX(tblParts[Delay days],MATCH(tblWorkPackages[[#This Row],[Work package ID]],tblParts[Work package ID],0)),0)</f>
        <v>0</v>
      </c>
      <c r="AI1884" s="51" t="str">
        <f>IFERROR(INDEX(tblDisruptions[Event type],MATCH(tblWorkPackages[[#This Row],[Work package ID]],tblDisruptions[Work package ID],0)),"None")</f>
        <v>None</v>
      </c>
      <c r="AJ1884" s="51" t="str">
        <f>TEXT(tblWorkPackages[[#This Row],[Due date serial]],"yyyy-mm")</f>
        <v>2025-07</v>
      </c>
    </row>
    <row r="1885" spans="1:36" ht="15" x14ac:dyDescent="0.25">
      <c r="A1885" s="53" t="s">
        <v>2796</v>
      </c>
      <c r="B1885" s="53" t="s">
        <v>250</v>
      </c>
      <c r="C1885" s="53" t="s">
        <v>1425</v>
      </c>
      <c r="D1885" s="53" t="s">
        <v>653</v>
      </c>
      <c r="E1885" s="53" t="s">
        <v>181</v>
      </c>
      <c r="F1885" s="53" t="s">
        <v>182</v>
      </c>
      <c r="G1885" s="53" t="s">
        <v>138</v>
      </c>
      <c r="H1885" s="53">
        <v>3</v>
      </c>
      <c r="I1885" s="53" t="s">
        <v>176</v>
      </c>
      <c r="J1885" s="53">
        <v>0</v>
      </c>
      <c r="K1885" s="53">
        <v>0</v>
      </c>
      <c r="L1885" s="53">
        <v>9.6999999999999993</v>
      </c>
      <c r="M1885" s="53" t="s">
        <v>652</v>
      </c>
      <c r="N1885" s="53">
        <v>8.9</v>
      </c>
      <c r="O1885" s="51" t="str">
        <f>TEXT(tblWorkPackages[[#This Row],[Request date serial]]-WEEKDAY(tblWorkPackages[[#This Row],[Request date serial]],3),"yyyy-mm-dd")</f>
        <v>2025-12-01</v>
      </c>
      <c r="P1885" s="51">
        <f>ABS(tblWorkPackages[[#This Row],[Actual labor hours]]-tblWorkPackages[[#This Row],[Estimated labor hours]])</f>
        <v>0.799999999999999</v>
      </c>
      <c r="Q1885" s="51">
        <f>IF(tblWorkPackages[[#This Row],[Actual labor hours]]&gt;tblWorkPackages[[#This Row],[Estimated labor hours]],1,0)</f>
        <v>0</v>
      </c>
      <c r="R1885" s="51">
        <f>tblWorkPackages[[#This Row],[Actual labor hours]]-tblWorkPackages[[#This Row],[Estimated labor hours]]</f>
        <v>-0.799999999999999</v>
      </c>
      <c r="S1885" s="51" t="str">
        <f>IF(tblWorkPackages[[#This Row],[Request date serial]]&lt;ValidationStart,"Train 2024",IF(tblWorkPackages[[#This Row],[Request date serial]]&lt;HoldoutStart,"Validation H1","Holdout H2"))</f>
        <v>Holdout H2</v>
      </c>
      <c r="T1885" s="51">
        <f>IF(tblWorkPackages[[#This Row],[Time split]]="Train 2024","",tblWorkPackages[[#This Row],[Estimated labor hours]]+VLOOKUP(tblWorkPackages[[#This Row],[Task type]],'Forecast validation'!$A$14:$E$25,IF(tblWorkPackages[[#This Row],[Time split]]="Validation H1",4,5),FALSE()))</f>
        <v>10.2916083916084</v>
      </c>
      <c r="U1885" s="51">
        <f>IF(tblWorkPackages[[#This Row],[Calibrated forecast hours]]="","",ABS(tblWorkPackages[[#This Row],[Actual labor hours]]-tblWorkPackages[[#This Row],[Calibrated forecast hours]]))</f>
        <v>1.39160839160839</v>
      </c>
      <c r="V1885" s="51">
        <f>IF(tblWorkPackages[[#This Row],[Time split]]="Train 2024",tblWorkPackages[[#This Row],[Estimated labor hours]],tblWorkPackages[[#This Row],[Calibrated forecast hours]])</f>
        <v>10.2916083916084</v>
      </c>
      <c r="W1885" s="64">
        <f>DATEVALUE(tblWorkPackages[[#This Row],[Request date]])</f>
        <v>45994.0</v>
      </c>
      <c r="X1885" s="64">
        <f>DATEVALUE(tblWorkPackages[[#This Row],[Due date]])</f>
        <v>46000.0</v>
      </c>
      <c r="Y1885" s="64">
        <f>DATEVALUE(tblWorkPackages[[#This Row],[Completion date]])</f>
        <v>46003.0</v>
      </c>
      <c r="Z1885" s="64">
        <f>_xlfn.MINIFS(tblLaborEntries[Work date serial],tblLaborEntries[Work package ID],tblWorkPackages[[#This Row],[Work package ID]])</f>
        <v>45998.0</v>
      </c>
      <c r="AA1885" s="64">
        <f>_xlfn.MAXIFS(tblLaborEntries[Work date serial],tblLaborEntries[Work package ID],tblWorkPackages[[#This Row],[Work package ID]])</f>
        <v>46000.0</v>
      </c>
      <c r="AB1885" s="65">
        <f>IF(tblWorkPackages[[#This Row],[Completion date serial]]&gt;tblWorkPackages[[#This Row],[Due date serial]],1,0)</f>
        <v>1</v>
      </c>
      <c r="AC1885" s="65">
        <f>MAX(0,tblWorkPackages[[#This Row],[Completion date serial]]-tblWorkPackages[[#This Row],[Due date serial]])</f>
        <v>3</v>
      </c>
      <c r="AD1885" s="65">
        <f>tblWorkPackages[[#This Row],[First labor date]]-tblWorkPackages[[#This Row],[Request date serial]]</f>
        <v>4</v>
      </c>
      <c r="AE1885" s="65">
        <f>tblWorkPackages[[#This Row],[Last labor date]]-tblWorkPackages[[#This Row],[First labor date]]</f>
        <v>2</v>
      </c>
      <c r="AF1885" s="65">
        <f>tblWorkPackages[[#This Row],[Completion date serial]]-tblWorkPackages[[#This Row],[Last labor date]]</f>
        <v>3</v>
      </c>
      <c r="AG1885" s="65">
        <f>tblWorkPackages[[#This Row],[Completion date serial]]-tblWorkPackages[[#This Row],[Request date serial]]</f>
        <v>9</v>
      </c>
      <c r="AH1885" s="65">
        <f>IFERROR(INDEX(tblParts[Delay days],MATCH(tblWorkPackages[[#This Row],[Work package ID]],tblParts[Work package ID],0)),0)</f>
        <v>0</v>
      </c>
      <c r="AI1885" s="51" t="str">
        <f>IFERROR(INDEX(tblDisruptions[Event type],MATCH(tblWorkPackages[[#This Row],[Work package ID]],tblDisruptions[Work package ID],0)),"None")</f>
        <v>None</v>
      </c>
      <c r="AJ1885" s="51" t="str">
        <f>TEXT(tblWorkPackages[[#This Row],[Due date serial]],"yyyy-mm")</f>
        <v>2025-12</v>
      </c>
    </row>
    <row r="1886" spans="1:36" ht="15" x14ac:dyDescent="0.25">
      <c r="A1886" s="53" t="s">
        <v>2797</v>
      </c>
      <c r="B1886" s="53" t="s">
        <v>124</v>
      </c>
      <c r="C1886" s="53" t="s">
        <v>939</v>
      </c>
      <c r="D1886" s="53" t="s">
        <v>812</v>
      </c>
      <c r="E1886" s="53" t="s">
        <v>223</v>
      </c>
      <c r="F1886" s="53" t="s">
        <v>182</v>
      </c>
      <c r="G1886" s="53" t="s">
        <v>154</v>
      </c>
      <c r="H1886" s="53">
        <v>4</v>
      </c>
      <c r="I1886" s="53" t="s">
        <v>130</v>
      </c>
      <c r="J1886" s="53">
        <v>0</v>
      </c>
      <c r="K1886" s="53">
        <v>1</v>
      </c>
      <c r="L1886" s="53">
        <v>20.9</v>
      </c>
      <c r="M1886" s="53" t="s">
        <v>835</v>
      </c>
      <c r="N1886" s="53">
        <v>24.8</v>
      </c>
      <c r="O1886" s="51" t="str">
        <f>TEXT(tblWorkPackages[[#This Row],[Request date serial]]-WEEKDAY(tblWorkPackages[[#This Row],[Request date serial]],3),"yyyy-mm-dd")</f>
        <v>2025-11-17</v>
      </c>
      <c r="P1886" s="51">
        <f>ABS(tblWorkPackages[[#This Row],[Actual labor hours]]-tblWorkPackages[[#This Row],[Estimated labor hours]])</f>
        <v>3.9</v>
      </c>
      <c r="Q1886" s="51">
        <f>IF(tblWorkPackages[[#This Row],[Actual labor hours]]&gt;tblWorkPackages[[#This Row],[Estimated labor hours]],1,0)</f>
        <v>1</v>
      </c>
      <c r="R1886" s="51">
        <f>tblWorkPackages[[#This Row],[Actual labor hours]]-tblWorkPackages[[#This Row],[Estimated labor hours]]</f>
        <v>3.9</v>
      </c>
      <c r="S1886" s="51" t="str">
        <f>IF(tblWorkPackages[[#This Row],[Request date serial]]&lt;ValidationStart,"Train 2024",IF(tblWorkPackages[[#This Row],[Request date serial]]&lt;HoldoutStart,"Validation H1","Holdout H2"))</f>
        <v>Holdout H2</v>
      </c>
      <c r="T1886" s="51">
        <f>IF(tblWorkPackages[[#This Row],[Time split]]="Train 2024","",tblWorkPackages[[#This Row],[Estimated labor hours]]+VLOOKUP(tblWorkPackages[[#This Row],[Task type]],'Forecast validation'!$A$14:$E$25,IF(tblWorkPackages[[#This Row],[Time split]]="Validation H1",4,5),FALSE()))</f>
        <v>21.8246575342466</v>
      </c>
      <c r="U1886" s="51">
        <f>IF(tblWorkPackages[[#This Row],[Calibrated forecast hours]]="","",ABS(tblWorkPackages[[#This Row],[Actual labor hours]]-tblWorkPackages[[#This Row],[Calibrated forecast hours]]))</f>
        <v>2.97534246575343</v>
      </c>
      <c r="V1886" s="51">
        <f>IF(tblWorkPackages[[#This Row],[Time split]]="Train 2024",tblWorkPackages[[#This Row],[Estimated labor hours]],tblWorkPackages[[#This Row],[Calibrated forecast hours]])</f>
        <v>21.8246575342466</v>
      </c>
      <c r="W1886" s="64">
        <f>DATEVALUE(tblWorkPackages[[#This Row],[Request date]])</f>
        <v>45980.0</v>
      </c>
      <c r="X1886" s="64">
        <f>DATEVALUE(tblWorkPackages[[#This Row],[Due date]])</f>
        <v>45993.0</v>
      </c>
      <c r="Y1886" s="64">
        <f>DATEVALUE(tblWorkPackages[[#This Row],[Completion date]])</f>
        <v>46041.0</v>
      </c>
      <c r="Z1886" s="64">
        <f>_xlfn.MINIFS(tblLaborEntries[Work date serial],tblLaborEntries[Work package ID],tblWorkPackages[[#This Row],[Work package ID]])</f>
        <v>46039.0</v>
      </c>
      <c r="AA1886" s="64">
        <f>_xlfn.MAXIFS(tblLaborEntries[Work date serial],tblLaborEntries[Work package ID],tblWorkPackages[[#This Row],[Work package ID]])</f>
        <v>46041.0</v>
      </c>
      <c r="AB1886" s="65">
        <f>IF(tblWorkPackages[[#This Row],[Completion date serial]]&gt;tblWorkPackages[[#This Row],[Due date serial]],1,0)</f>
        <v>1</v>
      </c>
      <c r="AC1886" s="65">
        <f>MAX(0,tblWorkPackages[[#This Row],[Completion date serial]]-tblWorkPackages[[#This Row],[Due date serial]])</f>
        <v>48</v>
      </c>
      <c r="AD1886" s="65">
        <f>tblWorkPackages[[#This Row],[First labor date]]-tblWorkPackages[[#This Row],[Request date serial]]</f>
        <v>59</v>
      </c>
      <c r="AE1886" s="65">
        <f>tblWorkPackages[[#This Row],[Last labor date]]-tblWorkPackages[[#This Row],[First labor date]]</f>
        <v>2</v>
      </c>
      <c r="AF1886" s="65">
        <f>tblWorkPackages[[#This Row],[Completion date serial]]-tblWorkPackages[[#This Row],[Last labor date]]</f>
        <v>0</v>
      </c>
      <c r="AG1886" s="65">
        <f>tblWorkPackages[[#This Row],[Completion date serial]]-tblWorkPackages[[#This Row],[Request date serial]]</f>
        <v>61</v>
      </c>
      <c r="AH1886" s="65">
        <f>IFERROR(INDEX(tblParts[Delay days],MATCH(tblWorkPackages[[#This Row],[Work package ID]],tblParts[Work package ID],0)),0)</f>
        <v>0</v>
      </c>
      <c r="AI1886" s="51" t="str">
        <f>IFERROR(INDEX(tblDisruptions[Event type],MATCH(tblWorkPackages[[#This Row],[Work package ID]],tblDisruptions[Work package ID],0)),"None")</f>
        <v>None</v>
      </c>
      <c r="AJ1886" s="51" t="str">
        <f>TEXT(tblWorkPackages[[#This Row],[Due date serial]],"yyyy-mm")</f>
        <v>2025-12</v>
      </c>
    </row>
    <row r="1887" spans="1:36" ht="15" x14ac:dyDescent="0.25">
      <c r="A1887" s="53" t="s">
        <v>2798</v>
      </c>
      <c r="B1887" s="53" t="s">
        <v>141</v>
      </c>
      <c r="C1887" s="53" t="s">
        <v>1678</v>
      </c>
      <c r="D1887" s="53" t="s">
        <v>757</v>
      </c>
      <c r="E1887" s="53" t="s">
        <v>136</v>
      </c>
      <c r="F1887" s="53" t="s">
        <v>137</v>
      </c>
      <c r="G1887" s="53" t="s">
        <v>138</v>
      </c>
      <c r="H1887" s="53">
        <v>1</v>
      </c>
      <c r="I1887" s="53" t="s">
        <v>147</v>
      </c>
      <c r="J1887" s="53">
        <v>0</v>
      </c>
      <c r="K1887" s="53">
        <v>1</v>
      </c>
      <c r="L1887" s="53">
        <v>8.3000000000000007</v>
      </c>
      <c r="M1887" s="53" t="s">
        <v>371</v>
      </c>
      <c r="N1887" s="53">
        <v>14.6</v>
      </c>
      <c r="O1887" s="51" t="str">
        <f>TEXT(tblWorkPackages[[#This Row],[Request date serial]]-WEEKDAY(tblWorkPackages[[#This Row],[Request date serial]],3),"yyyy-mm-dd")</f>
        <v>2024-09-16</v>
      </c>
      <c r="P1887" s="51">
        <f>ABS(tblWorkPackages[[#This Row],[Actual labor hours]]-tblWorkPackages[[#This Row],[Estimated labor hours]])</f>
        <v>6.3</v>
      </c>
      <c r="Q1887" s="51">
        <f>IF(tblWorkPackages[[#This Row],[Actual labor hours]]&gt;tblWorkPackages[[#This Row],[Estimated labor hours]],1,0)</f>
        <v>1</v>
      </c>
      <c r="R1887" s="51">
        <f>tblWorkPackages[[#This Row],[Actual labor hours]]-tblWorkPackages[[#This Row],[Estimated labor hours]]</f>
        <v>6.3</v>
      </c>
      <c r="S1887" s="51" t="str">
        <f>IF(tblWorkPackages[[#This Row],[Request date serial]]&lt;ValidationStart,"Train 2024",IF(tblWorkPackages[[#This Row],[Request date serial]]&lt;HoldoutStart,"Validation H1","Holdout H2"))</f>
        <v>Train 2024</v>
      </c>
      <c r="T1887" s="51" t="str">
        <f>IF(tblWorkPackages[[#This Row],[Time split]]="Train 2024","",tblWorkPackages[[#This Row],[Estimated labor hours]]+VLOOKUP(tblWorkPackages[[#This Row],[Task type]],'Forecast validation'!$A$14:$E$25,IF(tblWorkPackages[[#This Row],[Time split]]="Validation H1",4,5),FALSE()))</f>
        <v/>
      </c>
      <c r="U1887" s="51" t="str">
        <f>IF(tblWorkPackages[[#This Row],[Calibrated forecast hours]]="","",ABS(tblWorkPackages[[#This Row],[Actual labor hours]]-tblWorkPackages[[#This Row],[Calibrated forecast hours]]))</f>
        <v/>
      </c>
      <c r="V1887" s="51">
        <f>IF(tblWorkPackages[[#This Row],[Time split]]="Train 2024",tblWorkPackages[[#This Row],[Estimated labor hours]],tblWorkPackages[[#This Row],[Calibrated forecast hours]])</f>
        <v>8.3</v>
      </c>
      <c r="W1887" s="64">
        <f>DATEVALUE(tblWorkPackages[[#This Row],[Request date]])</f>
        <v>45555.0</v>
      </c>
      <c r="X1887" s="64">
        <f>DATEVALUE(tblWorkPackages[[#This Row],[Due date]])</f>
        <v>45557.0</v>
      </c>
      <c r="Y1887" s="64">
        <f>DATEVALUE(tblWorkPackages[[#This Row],[Completion date]])</f>
        <v>45573.0</v>
      </c>
      <c r="Z1887" s="64">
        <f>_xlfn.MINIFS(tblLaborEntries[Work date serial],tblLaborEntries[Work package ID],tblWorkPackages[[#This Row],[Work package ID]])</f>
        <v>45570.0</v>
      </c>
      <c r="AA1887" s="64">
        <f>_xlfn.MAXIFS(tblLaborEntries[Work date serial],tblLaborEntries[Work package ID],tblWorkPackages[[#This Row],[Work package ID]])</f>
        <v>45572.0</v>
      </c>
      <c r="AB1887" s="65">
        <f>IF(tblWorkPackages[[#This Row],[Completion date serial]]&gt;tblWorkPackages[[#This Row],[Due date serial]],1,0)</f>
        <v>1</v>
      </c>
      <c r="AC1887" s="65">
        <f>MAX(0,tblWorkPackages[[#This Row],[Completion date serial]]-tblWorkPackages[[#This Row],[Due date serial]])</f>
        <v>16</v>
      </c>
      <c r="AD1887" s="65">
        <f>tblWorkPackages[[#This Row],[First labor date]]-tblWorkPackages[[#This Row],[Request date serial]]</f>
        <v>15</v>
      </c>
      <c r="AE1887" s="65">
        <f>tblWorkPackages[[#This Row],[Last labor date]]-tblWorkPackages[[#This Row],[First labor date]]</f>
        <v>2</v>
      </c>
      <c r="AF1887" s="65">
        <f>tblWorkPackages[[#This Row],[Completion date serial]]-tblWorkPackages[[#This Row],[Last labor date]]</f>
        <v>1</v>
      </c>
      <c r="AG1887" s="65">
        <f>tblWorkPackages[[#This Row],[Completion date serial]]-tblWorkPackages[[#This Row],[Request date serial]]</f>
        <v>18</v>
      </c>
      <c r="AH1887" s="65">
        <f>IFERROR(INDEX(tblParts[Delay days],MATCH(tblWorkPackages[[#This Row],[Work package ID]],tblParts[Work package ID],0)),0)</f>
        <v>6</v>
      </c>
      <c r="AI1887" s="51" t="str">
        <f>IFERROR(INDEX(tblDisruptions[Event type],MATCH(tblWorkPackages[[#This Row],[Work package ID]],tblDisruptions[Work package ID],0)),"None")</f>
        <v>Part delay</v>
      </c>
      <c r="AJ1887" s="51" t="str">
        <f>TEXT(tblWorkPackages[[#This Row],[Due date serial]],"yyyy-mm")</f>
        <v>2024-09</v>
      </c>
    </row>
    <row r="1888" spans="1:36" ht="15" x14ac:dyDescent="0.25">
      <c r="A1888" s="53" t="s">
        <v>2799</v>
      </c>
      <c r="B1888" s="53" t="s">
        <v>157</v>
      </c>
      <c r="C1888" s="53" t="s">
        <v>431</v>
      </c>
      <c r="D1888" s="53" t="s">
        <v>531</v>
      </c>
      <c r="E1888" s="53" t="s">
        <v>136</v>
      </c>
      <c r="F1888" s="53" t="s">
        <v>137</v>
      </c>
      <c r="G1888" s="53" t="s">
        <v>138</v>
      </c>
      <c r="H1888" s="53">
        <v>1</v>
      </c>
      <c r="I1888" s="53" t="s">
        <v>147</v>
      </c>
      <c r="J1888" s="53">
        <v>0</v>
      </c>
      <c r="K1888" s="53">
        <v>0</v>
      </c>
      <c r="L1888" s="53">
        <v>8.6999999999999993</v>
      </c>
      <c r="M1888" s="53" t="s">
        <v>226</v>
      </c>
      <c r="N1888" s="53">
        <v>9.8000000000000007</v>
      </c>
      <c r="O1888" s="51" t="str">
        <f>TEXT(tblWorkPackages[[#This Row],[Request date serial]]-WEEKDAY(tblWorkPackages[[#This Row],[Request date serial]],3),"yyyy-mm-dd")</f>
        <v>2025-07-14</v>
      </c>
      <c r="P1888" s="51">
        <f>ABS(tblWorkPackages[[#This Row],[Actual labor hours]]-tblWorkPackages[[#This Row],[Estimated labor hours]])</f>
        <v>1.1</v>
      </c>
      <c r="Q1888" s="51">
        <f>IF(tblWorkPackages[[#This Row],[Actual labor hours]]&gt;tblWorkPackages[[#This Row],[Estimated labor hours]],1,0)</f>
        <v>1</v>
      </c>
      <c r="R1888" s="51">
        <f>tblWorkPackages[[#This Row],[Actual labor hours]]-tblWorkPackages[[#This Row],[Estimated labor hours]]</f>
        <v>1.1</v>
      </c>
      <c r="S1888" s="51" t="str">
        <f>IF(tblWorkPackages[[#This Row],[Request date serial]]&lt;ValidationStart,"Train 2024",IF(tblWorkPackages[[#This Row],[Request date serial]]&lt;HoldoutStart,"Validation H1","Holdout H2"))</f>
        <v>Holdout H2</v>
      </c>
      <c r="T1888" s="51">
        <f>IF(tblWorkPackages[[#This Row],[Time split]]="Train 2024","",tblWorkPackages[[#This Row],[Estimated labor hours]]+VLOOKUP(tblWorkPackages[[#This Row],[Task type]],'Forecast validation'!$A$14:$E$25,IF(tblWorkPackages[[#This Row],[Time split]]="Validation H1",4,5),FALSE()))</f>
        <v>9.62075471698113</v>
      </c>
      <c r="U1888" s="51">
        <f>IF(tblWorkPackages[[#This Row],[Calibrated forecast hours]]="","",ABS(tblWorkPackages[[#This Row],[Actual labor hours]]-tblWorkPackages[[#This Row],[Calibrated forecast hours]]))</f>
        <v>0.17924528301887</v>
      </c>
      <c r="V1888" s="51">
        <f>IF(tblWorkPackages[[#This Row],[Time split]]="Train 2024",tblWorkPackages[[#This Row],[Estimated labor hours]],tblWorkPackages[[#This Row],[Calibrated forecast hours]])</f>
        <v>9.62075471698113</v>
      </c>
      <c r="W1888" s="64">
        <f>DATEVALUE(tblWorkPackages[[#This Row],[Request date]])</f>
        <v>45852.0</v>
      </c>
      <c r="X1888" s="64">
        <f>DATEVALUE(tblWorkPackages[[#This Row],[Due date]])</f>
        <v>45854.0</v>
      </c>
      <c r="Y1888" s="64">
        <f>DATEVALUE(tblWorkPackages[[#This Row],[Completion date]])</f>
        <v>45857.0</v>
      </c>
      <c r="Z1888" s="64">
        <f>_xlfn.MINIFS(tblLaborEntries[Work date serial],tblLaborEntries[Work package ID],tblWorkPackages[[#This Row],[Work package ID]])</f>
        <v>45854.0</v>
      </c>
      <c r="AA1888" s="64">
        <f>_xlfn.MAXIFS(tblLaborEntries[Work date serial],tblLaborEntries[Work package ID],tblWorkPackages[[#This Row],[Work package ID]])</f>
        <v>45855.0</v>
      </c>
      <c r="AB1888" s="65">
        <f>IF(tblWorkPackages[[#This Row],[Completion date serial]]&gt;tblWorkPackages[[#This Row],[Due date serial]],1,0)</f>
        <v>1</v>
      </c>
      <c r="AC1888" s="65">
        <f>MAX(0,tblWorkPackages[[#This Row],[Completion date serial]]-tblWorkPackages[[#This Row],[Due date serial]])</f>
        <v>3</v>
      </c>
      <c r="AD1888" s="65">
        <f>tblWorkPackages[[#This Row],[First labor date]]-tblWorkPackages[[#This Row],[Request date serial]]</f>
        <v>2</v>
      </c>
      <c r="AE1888" s="65">
        <f>tblWorkPackages[[#This Row],[Last labor date]]-tblWorkPackages[[#This Row],[First labor date]]</f>
        <v>1</v>
      </c>
      <c r="AF1888" s="65">
        <f>tblWorkPackages[[#This Row],[Completion date serial]]-tblWorkPackages[[#This Row],[Last labor date]]</f>
        <v>2</v>
      </c>
      <c r="AG1888" s="65">
        <f>tblWorkPackages[[#This Row],[Completion date serial]]-tblWorkPackages[[#This Row],[Request date serial]]</f>
        <v>5</v>
      </c>
      <c r="AH1888" s="65">
        <f>IFERROR(INDEX(tblParts[Delay days],MATCH(tblWorkPackages[[#This Row],[Work package ID]],tblParts[Work package ID],0)),0)</f>
        <v>0</v>
      </c>
      <c r="AI1888" s="51" t="str">
        <f>IFERROR(INDEX(tblDisruptions[Event type],MATCH(tblWorkPackages[[#This Row],[Work package ID]],tblDisruptions[Work package ID],0)),"None")</f>
        <v>None</v>
      </c>
      <c r="AJ1888" s="51" t="str">
        <f>TEXT(tblWorkPackages[[#This Row],[Due date serial]],"yyyy-mm")</f>
        <v>2025-07</v>
      </c>
    </row>
    <row r="1889" spans="1:36" ht="15" x14ac:dyDescent="0.25">
      <c r="A1889" s="53" t="s">
        <v>2800</v>
      </c>
      <c r="B1889" s="53" t="s">
        <v>124</v>
      </c>
      <c r="C1889" s="53" t="s">
        <v>1260</v>
      </c>
      <c r="D1889" s="53" t="s">
        <v>328</v>
      </c>
      <c r="E1889" s="53" t="s">
        <v>136</v>
      </c>
      <c r="F1889" s="53" t="s">
        <v>137</v>
      </c>
      <c r="G1889" s="53" t="s">
        <v>138</v>
      </c>
      <c r="H1889" s="53">
        <v>4</v>
      </c>
      <c r="I1889" s="53" t="s">
        <v>176</v>
      </c>
      <c r="J1889" s="53">
        <v>0</v>
      </c>
      <c r="K1889" s="53">
        <v>0</v>
      </c>
      <c r="L1889" s="53">
        <v>29.6</v>
      </c>
      <c r="M1889" s="53" t="s">
        <v>613</v>
      </c>
      <c r="N1889" s="53">
        <v>33.6</v>
      </c>
      <c r="O1889" s="51" t="str">
        <f>TEXT(tblWorkPackages[[#This Row],[Request date serial]]-WEEKDAY(tblWorkPackages[[#This Row],[Request date serial]],3),"yyyy-mm-dd")</f>
        <v>2024-03-04</v>
      </c>
      <c r="P1889" s="51">
        <f>ABS(tblWorkPackages[[#This Row],[Actual labor hours]]-tblWorkPackages[[#This Row],[Estimated labor hours]])</f>
        <v>4</v>
      </c>
      <c r="Q1889" s="51">
        <f>IF(tblWorkPackages[[#This Row],[Actual labor hours]]&gt;tblWorkPackages[[#This Row],[Estimated labor hours]],1,0)</f>
        <v>1</v>
      </c>
      <c r="R1889" s="51">
        <f>tblWorkPackages[[#This Row],[Actual labor hours]]-tblWorkPackages[[#This Row],[Estimated labor hours]]</f>
        <v>4</v>
      </c>
      <c r="S1889" s="51" t="str">
        <f>IF(tblWorkPackages[[#This Row],[Request date serial]]&lt;ValidationStart,"Train 2024",IF(tblWorkPackages[[#This Row],[Request date serial]]&lt;HoldoutStart,"Validation H1","Holdout H2"))</f>
        <v>Train 2024</v>
      </c>
      <c r="T1889" s="51" t="str">
        <f>IF(tblWorkPackages[[#This Row],[Time split]]="Train 2024","",tblWorkPackages[[#This Row],[Estimated labor hours]]+VLOOKUP(tblWorkPackages[[#This Row],[Task type]],'Forecast validation'!$A$14:$E$25,IF(tblWorkPackages[[#This Row],[Time split]]="Validation H1",4,5),FALSE()))</f>
        <v/>
      </c>
      <c r="U1889" s="51" t="str">
        <f>IF(tblWorkPackages[[#This Row],[Calibrated forecast hours]]="","",ABS(tblWorkPackages[[#This Row],[Actual labor hours]]-tblWorkPackages[[#This Row],[Calibrated forecast hours]]))</f>
        <v/>
      </c>
      <c r="V1889" s="51">
        <f>IF(tblWorkPackages[[#This Row],[Time split]]="Train 2024",tblWorkPackages[[#This Row],[Estimated labor hours]],tblWorkPackages[[#This Row],[Calibrated forecast hours]])</f>
        <v>29.6</v>
      </c>
      <c r="W1889" s="64">
        <f>DATEVALUE(tblWorkPackages[[#This Row],[Request date]])</f>
        <v>45355.0</v>
      </c>
      <c r="X1889" s="64">
        <f>DATEVALUE(tblWorkPackages[[#This Row],[Due date]])</f>
        <v>45361.0</v>
      </c>
      <c r="Y1889" s="64">
        <f>DATEVALUE(tblWorkPackages[[#This Row],[Completion date]])</f>
        <v>45380.0</v>
      </c>
      <c r="Z1889" s="64">
        <f>_xlfn.MINIFS(tblLaborEntries[Work date serial],tblLaborEntries[Work package ID],tblWorkPackages[[#This Row],[Work package ID]])</f>
        <v>45377.0</v>
      </c>
      <c r="AA1889" s="64">
        <f>_xlfn.MAXIFS(tblLaborEntries[Work date serial],tblLaborEntries[Work package ID],tblWorkPackages[[#This Row],[Work package ID]])</f>
        <v>45377.0</v>
      </c>
      <c r="AB1889" s="65">
        <f>IF(tblWorkPackages[[#This Row],[Completion date serial]]&gt;tblWorkPackages[[#This Row],[Due date serial]],1,0)</f>
        <v>1</v>
      </c>
      <c r="AC1889" s="65">
        <f>MAX(0,tblWorkPackages[[#This Row],[Completion date serial]]-tblWorkPackages[[#This Row],[Due date serial]])</f>
        <v>19</v>
      </c>
      <c r="AD1889" s="65">
        <f>tblWorkPackages[[#This Row],[First labor date]]-tblWorkPackages[[#This Row],[Request date serial]]</f>
        <v>22</v>
      </c>
      <c r="AE1889" s="65">
        <f>tblWorkPackages[[#This Row],[Last labor date]]-tblWorkPackages[[#This Row],[First labor date]]</f>
        <v>0</v>
      </c>
      <c r="AF1889" s="65">
        <f>tblWorkPackages[[#This Row],[Completion date serial]]-tblWorkPackages[[#This Row],[Last labor date]]</f>
        <v>3</v>
      </c>
      <c r="AG1889" s="65">
        <f>tblWorkPackages[[#This Row],[Completion date serial]]-tblWorkPackages[[#This Row],[Request date serial]]</f>
        <v>25</v>
      </c>
      <c r="AH1889" s="65">
        <f>IFERROR(INDEX(tblParts[Delay days],MATCH(tblWorkPackages[[#This Row],[Work package ID]],tblParts[Work package ID],0)),0)</f>
        <v>0</v>
      </c>
      <c r="AI1889" s="51" t="str">
        <f>IFERROR(INDEX(tblDisruptions[Event type],MATCH(tblWorkPackages[[#This Row],[Work package ID]],tblDisruptions[Work package ID],0)),"None")</f>
        <v>None</v>
      </c>
      <c r="AJ1889" s="51" t="str">
        <f>TEXT(tblWorkPackages[[#This Row],[Due date serial]],"yyyy-mm")</f>
        <v>2024-03</v>
      </c>
    </row>
    <row r="1890" spans="1:36" ht="15" x14ac:dyDescent="0.25">
      <c r="A1890" s="53" t="s">
        <v>2801</v>
      </c>
      <c r="B1890" s="53" t="s">
        <v>168</v>
      </c>
      <c r="C1890" s="53" t="s">
        <v>187</v>
      </c>
      <c r="D1890" s="53" t="s">
        <v>1318</v>
      </c>
      <c r="E1890" s="53" t="s">
        <v>153</v>
      </c>
      <c r="F1890" s="53" t="s">
        <v>128</v>
      </c>
      <c r="G1890" s="53" t="s">
        <v>154</v>
      </c>
      <c r="H1890" s="53">
        <v>1</v>
      </c>
      <c r="I1890" s="53" t="s">
        <v>130</v>
      </c>
      <c r="J1890" s="53">
        <v>0</v>
      </c>
      <c r="K1890" s="53">
        <v>1</v>
      </c>
      <c r="L1890" s="53">
        <v>6.8</v>
      </c>
      <c r="M1890" s="53" t="s">
        <v>1318</v>
      </c>
      <c r="N1890" s="53">
        <v>7.4</v>
      </c>
      <c r="O1890" s="51" t="str">
        <f>TEXT(tblWorkPackages[[#This Row],[Request date serial]]-WEEKDAY(tblWorkPackages[[#This Row],[Request date serial]],3),"yyyy-mm-dd")</f>
        <v>2025-02-24</v>
      </c>
      <c r="P1890" s="51">
        <f>ABS(tblWorkPackages[[#This Row],[Actual labor hours]]-tblWorkPackages[[#This Row],[Estimated labor hours]])</f>
        <v>0.600000000000001</v>
      </c>
      <c r="Q1890" s="51">
        <f>IF(tblWorkPackages[[#This Row],[Actual labor hours]]&gt;tblWorkPackages[[#This Row],[Estimated labor hours]],1,0)</f>
        <v>1</v>
      </c>
      <c r="R1890" s="51">
        <f>tblWorkPackages[[#This Row],[Actual labor hours]]-tblWorkPackages[[#This Row],[Estimated labor hours]]</f>
        <v>0.600000000000001</v>
      </c>
      <c r="S1890" s="51" t="str">
        <f>IF(tblWorkPackages[[#This Row],[Request date serial]]&lt;ValidationStart,"Train 2024",IF(tblWorkPackages[[#This Row],[Request date serial]]&lt;HoldoutStart,"Validation H1","Holdout H2"))</f>
        <v>Validation H1</v>
      </c>
      <c r="T1890" s="51">
        <f>IF(tblWorkPackages[[#This Row],[Time split]]="Train 2024","",tblWorkPackages[[#This Row],[Estimated labor hours]]+VLOOKUP(tblWorkPackages[[#This Row],[Task type]],'Forecast validation'!$A$14:$E$25,IF(tblWorkPackages[[#This Row],[Time split]]="Validation H1",4,5),FALSE()))</f>
        <v>7.34622641509434</v>
      </c>
      <c r="U1890" s="51">
        <f>IF(tblWorkPackages[[#This Row],[Calibrated forecast hours]]="","",ABS(tblWorkPackages[[#This Row],[Actual labor hours]]-tblWorkPackages[[#This Row],[Calibrated forecast hours]]))</f>
        <v>0.0537735849056613</v>
      </c>
      <c r="V1890" s="51">
        <f>IF(tblWorkPackages[[#This Row],[Time split]]="Train 2024",tblWorkPackages[[#This Row],[Estimated labor hours]],tblWorkPackages[[#This Row],[Calibrated forecast hours]])</f>
        <v>7.34622641509434</v>
      </c>
      <c r="W1890" s="64">
        <f>DATEVALUE(tblWorkPackages[[#This Row],[Request date]])</f>
        <v>45713.0</v>
      </c>
      <c r="X1890" s="64">
        <f>DATEVALUE(tblWorkPackages[[#This Row],[Due date]])</f>
        <v>45726.0</v>
      </c>
      <c r="Y1890" s="64">
        <f>DATEVALUE(tblWorkPackages[[#This Row],[Completion date]])</f>
        <v>45726.0</v>
      </c>
      <c r="Z1890" s="64">
        <f>_xlfn.MINIFS(tblLaborEntries[Work date serial],tblLaborEntries[Work package ID],tblWorkPackages[[#This Row],[Work package ID]])</f>
        <v>45725.0</v>
      </c>
      <c r="AA1890" s="64">
        <f>_xlfn.MAXIFS(tblLaborEntries[Work date serial],tblLaborEntries[Work package ID],tblWorkPackages[[#This Row],[Work package ID]])</f>
        <v>45726.0</v>
      </c>
      <c r="AB1890" s="65">
        <f>IF(tblWorkPackages[[#This Row],[Completion date serial]]&gt;tblWorkPackages[[#This Row],[Due date serial]],1,0)</f>
        <v>0</v>
      </c>
      <c r="AC1890" s="65">
        <f>MAX(0,tblWorkPackages[[#This Row],[Completion date serial]]-tblWorkPackages[[#This Row],[Due date serial]])</f>
        <v>0</v>
      </c>
      <c r="AD1890" s="65">
        <f>tblWorkPackages[[#This Row],[First labor date]]-tblWorkPackages[[#This Row],[Request date serial]]</f>
        <v>12</v>
      </c>
      <c r="AE1890" s="65">
        <f>tblWorkPackages[[#This Row],[Last labor date]]-tblWorkPackages[[#This Row],[First labor date]]</f>
        <v>1</v>
      </c>
      <c r="AF1890" s="65">
        <f>tblWorkPackages[[#This Row],[Completion date serial]]-tblWorkPackages[[#This Row],[Last labor date]]</f>
        <v>0</v>
      </c>
      <c r="AG1890" s="65">
        <f>tblWorkPackages[[#This Row],[Completion date serial]]-tblWorkPackages[[#This Row],[Request date serial]]</f>
        <v>13</v>
      </c>
      <c r="AH1890" s="65">
        <f>IFERROR(INDEX(tblParts[Delay days],MATCH(tblWorkPackages[[#This Row],[Work package ID]],tblParts[Work package ID],0)),0)</f>
        <v>8</v>
      </c>
      <c r="AI1890" s="51" t="str">
        <f>IFERROR(INDEX(tblDisruptions[Event type],MATCH(tblWorkPackages[[#This Row],[Work package ID]],tblDisruptions[Work package ID],0)),"None")</f>
        <v>Part delay</v>
      </c>
      <c r="AJ1890" s="51" t="str">
        <f>TEXT(tblWorkPackages[[#This Row],[Due date serial]],"yyyy-mm")</f>
        <v>2025-03</v>
      </c>
    </row>
    <row r="1891" spans="1:36" ht="15" x14ac:dyDescent="0.25">
      <c r="A1891" s="53" t="s">
        <v>2802</v>
      </c>
      <c r="B1891" s="53" t="s">
        <v>157</v>
      </c>
      <c r="C1891" s="53" t="s">
        <v>971</v>
      </c>
      <c r="D1891" s="53" t="s">
        <v>398</v>
      </c>
      <c r="E1891" s="53" t="s">
        <v>153</v>
      </c>
      <c r="F1891" s="53" t="s">
        <v>128</v>
      </c>
      <c r="G1891" s="53" t="s">
        <v>154</v>
      </c>
      <c r="H1891" s="53">
        <v>4</v>
      </c>
      <c r="I1891" s="53" t="s">
        <v>176</v>
      </c>
      <c r="J1891" s="53">
        <v>0</v>
      </c>
      <c r="K1891" s="53">
        <v>1</v>
      </c>
      <c r="L1891" s="53">
        <v>17.899999999999999</v>
      </c>
      <c r="M1891" s="53" t="s">
        <v>1124</v>
      </c>
      <c r="N1891" s="53">
        <v>17.3</v>
      </c>
      <c r="O1891" s="51" t="str">
        <f>TEXT(tblWorkPackages[[#This Row],[Request date serial]]-WEEKDAY(tblWorkPackages[[#This Row],[Request date serial]],3),"yyyy-mm-dd")</f>
        <v>2024-05-06</v>
      </c>
      <c r="P1891" s="51">
        <f>ABS(tblWorkPackages[[#This Row],[Actual labor hours]]-tblWorkPackages[[#This Row],[Estimated labor hours]])</f>
        <v>0.599999999999998</v>
      </c>
      <c r="Q1891" s="51">
        <f>IF(tblWorkPackages[[#This Row],[Actual labor hours]]&gt;tblWorkPackages[[#This Row],[Estimated labor hours]],1,0)</f>
        <v>0</v>
      </c>
      <c r="R1891" s="51">
        <f>tblWorkPackages[[#This Row],[Actual labor hours]]-tblWorkPackages[[#This Row],[Estimated labor hours]]</f>
        <v>-0.599999999999998</v>
      </c>
      <c r="S1891" s="51" t="str">
        <f>IF(tblWorkPackages[[#This Row],[Request date serial]]&lt;ValidationStart,"Train 2024",IF(tblWorkPackages[[#This Row],[Request date serial]]&lt;HoldoutStart,"Validation H1","Holdout H2"))</f>
        <v>Train 2024</v>
      </c>
      <c r="T1891" s="51" t="str">
        <f>IF(tblWorkPackages[[#This Row],[Time split]]="Train 2024","",tblWorkPackages[[#This Row],[Estimated labor hours]]+VLOOKUP(tblWorkPackages[[#This Row],[Task type]],'Forecast validation'!$A$14:$E$25,IF(tblWorkPackages[[#This Row],[Time split]]="Validation H1",4,5),FALSE()))</f>
        <v/>
      </c>
      <c r="U1891" s="51" t="str">
        <f>IF(tblWorkPackages[[#This Row],[Calibrated forecast hours]]="","",ABS(tblWorkPackages[[#This Row],[Actual labor hours]]-tblWorkPackages[[#This Row],[Calibrated forecast hours]]))</f>
        <v/>
      </c>
      <c r="V1891" s="51">
        <f>IF(tblWorkPackages[[#This Row],[Time split]]="Train 2024",tblWorkPackages[[#This Row],[Estimated labor hours]],tblWorkPackages[[#This Row],[Calibrated forecast hours]])</f>
        <v>17.9</v>
      </c>
      <c r="W1891" s="64">
        <f>DATEVALUE(tblWorkPackages[[#This Row],[Request date]])</f>
        <v>45424.0</v>
      </c>
      <c r="X1891" s="64">
        <f>DATEVALUE(tblWorkPackages[[#This Row],[Due date]])</f>
        <v>45430.0</v>
      </c>
      <c r="Y1891" s="64">
        <f>DATEVALUE(tblWorkPackages[[#This Row],[Completion date]])</f>
        <v>45427.0</v>
      </c>
      <c r="Z1891" s="64">
        <f>_xlfn.MINIFS(tblLaborEntries[Work date serial],tblLaborEntries[Work package ID],tblWorkPackages[[#This Row],[Work package ID]])</f>
        <v>45425.0</v>
      </c>
      <c r="AA1891" s="64">
        <f>_xlfn.MAXIFS(tblLaborEntries[Work date serial],tblLaborEntries[Work package ID],tblWorkPackages[[#This Row],[Work package ID]])</f>
        <v>45426.0</v>
      </c>
      <c r="AB1891" s="65">
        <f>IF(tblWorkPackages[[#This Row],[Completion date serial]]&gt;tblWorkPackages[[#This Row],[Due date serial]],1,0)</f>
        <v>0</v>
      </c>
      <c r="AC1891" s="65">
        <f>MAX(0,tblWorkPackages[[#This Row],[Completion date serial]]-tblWorkPackages[[#This Row],[Due date serial]])</f>
        <v>0</v>
      </c>
      <c r="AD1891" s="65">
        <f>tblWorkPackages[[#This Row],[First labor date]]-tblWorkPackages[[#This Row],[Request date serial]]</f>
        <v>1</v>
      </c>
      <c r="AE1891" s="65">
        <f>tblWorkPackages[[#This Row],[Last labor date]]-tblWorkPackages[[#This Row],[First labor date]]</f>
        <v>1</v>
      </c>
      <c r="AF1891" s="65">
        <f>tblWorkPackages[[#This Row],[Completion date serial]]-tblWorkPackages[[#This Row],[Last labor date]]</f>
        <v>1</v>
      </c>
      <c r="AG1891" s="65">
        <f>tblWorkPackages[[#This Row],[Completion date serial]]-tblWorkPackages[[#This Row],[Request date serial]]</f>
        <v>3</v>
      </c>
      <c r="AH1891" s="65">
        <f>IFERROR(INDEX(tblParts[Delay days],MATCH(tblWorkPackages[[#This Row],[Work package ID]],tblParts[Work package ID],0)),0)</f>
        <v>0</v>
      </c>
      <c r="AI1891" s="51" t="str">
        <f>IFERROR(INDEX(tblDisruptions[Event type],MATCH(tblWorkPackages[[#This Row],[Work package ID]],tblDisruptions[Work package ID],0)),"None")</f>
        <v>None</v>
      </c>
      <c r="AJ1891" s="51" t="str">
        <f>TEXT(tblWorkPackages[[#This Row],[Due date serial]],"yyyy-mm")</f>
        <v>2024-05</v>
      </c>
    </row>
    <row r="1892" spans="1:36" ht="15" x14ac:dyDescent="0.25">
      <c r="A1892" s="53" t="s">
        <v>2803</v>
      </c>
      <c r="B1892" s="53" t="s">
        <v>287</v>
      </c>
      <c r="C1892" s="53" t="s">
        <v>1624</v>
      </c>
      <c r="D1892" s="53" t="s">
        <v>1081</v>
      </c>
      <c r="E1892" s="53" t="s">
        <v>181</v>
      </c>
      <c r="F1892" s="53" t="s">
        <v>182</v>
      </c>
      <c r="G1892" s="53" t="s">
        <v>138</v>
      </c>
      <c r="H1892" s="53">
        <v>4</v>
      </c>
      <c r="I1892" s="53" t="s">
        <v>130</v>
      </c>
      <c r="J1892" s="53">
        <v>0</v>
      </c>
      <c r="K1892" s="53">
        <v>0</v>
      </c>
      <c r="L1892" s="53">
        <v>16</v>
      </c>
      <c r="M1892" s="53" t="s">
        <v>785</v>
      </c>
      <c r="N1892" s="53">
        <v>17.5</v>
      </c>
      <c r="O1892" s="51" t="str">
        <f>TEXT(tblWorkPackages[[#This Row],[Request date serial]]-WEEKDAY(tblWorkPackages[[#This Row],[Request date serial]],3),"yyyy-mm-dd")</f>
        <v>2025-04-07</v>
      </c>
      <c r="P1892" s="51">
        <f>ABS(tblWorkPackages[[#This Row],[Actual labor hours]]-tblWorkPackages[[#This Row],[Estimated labor hours]])</f>
        <v>1.5</v>
      </c>
      <c r="Q1892" s="51">
        <f>IF(tblWorkPackages[[#This Row],[Actual labor hours]]&gt;tblWorkPackages[[#This Row],[Estimated labor hours]],1,0)</f>
        <v>1</v>
      </c>
      <c r="R1892" s="51">
        <f>tblWorkPackages[[#This Row],[Actual labor hours]]-tblWorkPackages[[#This Row],[Estimated labor hours]]</f>
        <v>1.5</v>
      </c>
      <c r="S1892" s="51" t="str">
        <f>IF(tblWorkPackages[[#This Row],[Request date serial]]&lt;ValidationStart,"Train 2024",IF(tblWorkPackages[[#This Row],[Request date serial]]&lt;HoldoutStart,"Validation H1","Holdout H2"))</f>
        <v>Validation H1</v>
      </c>
      <c r="T1892" s="51">
        <f>IF(tblWorkPackages[[#This Row],[Time split]]="Train 2024","",tblWorkPackages[[#This Row],[Estimated labor hours]]+VLOOKUP(tblWorkPackages[[#This Row],[Task type]],'Forecast validation'!$A$14:$E$25,IF(tblWorkPackages[[#This Row],[Time split]]="Validation H1",4,5),FALSE()))</f>
        <v>16.5840909090909</v>
      </c>
      <c r="U1892" s="51">
        <f>IF(tblWorkPackages[[#This Row],[Calibrated forecast hours]]="","",ABS(tblWorkPackages[[#This Row],[Actual labor hours]]-tblWorkPackages[[#This Row],[Calibrated forecast hours]]))</f>
        <v>0.915909090909089</v>
      </c>
      <c r="V1892" s="51">
        <f>IF(tblWorkPackages[[#This Row],[Time split]]="Train 2024",tblWorkPackages[[#This Row],[Estimated labor hours]],tblWorkPackages[[#This Row],[Calibrated forecast hours]])</f>
        <v>16.5840909090909</v>
      </c>
      <c r="W1892" s="64">
        <f>DATEVALUE(tblWorkPackages[[#This Row],[Request date]])</f>
        <v>45756.0</v>
      </c>
      <c r="X1892" s="64">
        <f>DATEVALUE(tblWorkPackages[[#This Row],[Due date]])</f>
        <v>45769.0</v>
      </c>
      <c r="Y1892" s="64">
        <f>DATEVALUE(tblWorkPackages[[#This Row],[Completion date]])</f>
        <v>45771.0</v>
      </c>
      <c r="Z1892" s="64">
        <f>_xlfn.MINIFS(tblLaborEntries[Work date serial],tblLaborEntries[Work package ID],tblWorkPackages[[#This Row],[Work package ID]])</f>
        <v>45768.0</v>
      </c>
      <c r="AA1892" s="64">
        <f>_xlfn.MAXIFS(tblLaborEntries[Work date serial],tblLaborEntries[Work package ID],tblWorkPackages[[#This Row],[Work package ID]])</f>
        <v>45769.0</v>
      </c>
      <c r="AB1892" s="65">
        <f>IF(tblWorkPackages[[#This Row],[Completion date serial]]&gt;tblWorkPackages[[#This Row],[Due date serial]],1,0)</f>
        <v>1</v>
      </c>
      <c r="AC1892" s="65">
        <f>MAX(0,tblWorkPackages[[#This Row],[Completion date serial]]-tblWorkPackages[[#This Row],[Due date serial]])</f>
        <v>2</v>
      </c>
      <c r="AD1892" s="65">
        <f>tblWorkPackages[[#This Row],[First labor date]]-tblWorkPackages[[#This Row],[Request date serial]]</f>
        <v>12</v>
      </c>
      <c r="AE1892" s="65">
        <f>tblWorkPackages[[#This Row],[Last labor date]]-tblWorkPackages[[#This Row],[First labor date]]</f>
        <v>1</v>
      </c>
      <c r="AF1892" s="65">
        <f>tblWorkPackages[[#This Row],[Completion date serial]]-tblWorkPackages[[#This Row],[Last labor date]]</f>
        <v>2</v>
      </c>
      <c r="AG1892" s="65">
        <f>tblWorkPackages[[#This Row],[Completion date serial]]-tblWorkPackages[[#This Row],[Request date serial]]</f>
        <v>15</v>
      </c>
      <c r="AH1892" s="65">
        <f>IFERROR(INDEX(tblParts[Delay days],MATCH(tblWorkPackages[[#This Row],[Work package ID]],tblParts[Work package ID],0)),0)</f>
        <v>0</v>
      </c>
      <c r="AI1892" s="51" t="str">
        <f>IFERROR(INDEX(tblDisruptions[Event type],MATCH(tblWorkPackages[[#This Row],[Work package ID]],tblDisruptions[Work package ID],0)),"None")</f>
        <v>None</v>
      </c>
      <c r="AJ1892" s="51" t="str">
        <f>TEXT(tblWorkPackages[[#This Row],[Due date serial]],"yyyy-mm")</f>
        <v>2025-04</v>
      </c>
    </row>
    <row r="1893" spans="1:36" ht="15" x14ac:dyDescent="0.25">
      <c r="A1893" s="53" t="s">
        <v>2804</v>
      </c>
      <c r="B1893" s="53" t="s">
        <v>250</v>
      </c>
      <c r="C1893" s="53" t="s">
        <v>1685</v>
      </c>
      <c r="D1893" s="53" t="s">
        <v>437</v>
      </c>
      <c r="E1893" s="53" t="s">
        <v>144</v>
      </c>
      <c r="F1893" s="53" t="s">
        <v>145</v>
      </c>
      <c r="G1893" s="53" t="s">
        <v>146</v>
      </c>
      <c r="H1893" s="53">
        <v>4</v>
      </c>
      <c r="I1893" s="53" t="s">
        <v>176</v>
      </c>
      <c r="J1893" s="53">
        <v>0</v>
      </c>
      <c r="K1893" s="53">
        <v>1</v>
      </c>
      <c r="L1893" s="53">
        <v>21.4</v>
      </c>
      <c r="M1893" s="53" t="s">
        <v>299</v>
      </c>
      <c r="N1893" s="53">
        <v>21.1</v>
      </c>
      <c r="O1893" s="51" t="str">
        <f>TEXT(tblWorkPackages[[#This Row],[Request date serial]]-WEEKDAY(tblWorkPackages[[#This Row],[Request date serial]],3),"yyyy-mm-dd")</f>
        <v>2024-04-01</v>
      </c>
      <c r="P1893" s="51">
        <f>ABS(tblWorkPackages[[#This Row],[Actual labor hours]]-tblWorkPackages[[#This Row],[Estimated labor hours]])</f>
        <v>0.299999999999997</v>
      </c>
      <c r="Q1893" s="51">
        <f>IF(tblWorkPackages[[#This Row],[Actual labor hours]]&gt;tblWorkPackages[[#This Row],[Estimated labor hours]],1,0)</f>
        <v>0</v>
      </c>
      <c r="R1893" s="51">
        <f>tblWorkPackages[[#This Row],[Actual labor hours]]-tblWorkPackages[[#This Row],[Estimated labor hours]]</f>
        <v>-0.299999999999997</v>
      </c>
      <c r="S1893" s="51" t="str">
        <f>IF(tblWorkPackages[[#This Row],[Request date serial]]&lt;ValidationStart,"Train 2024",IF(tblWorkPackages[[#This Row],[Request date serial]]&lt;HoldoutStart,"Validation H1","Holdout H2"))</f>
        <v>Train 2024</v>
      </c>
      <c r="T1893" s="51" t="str">
        <f>IF(tblWorkPackages[[#This Row],[Time split]]="Train 2024","",tblWorkPackages[[#This Row],[Estimated labor hours]]+VLOOKUP(tblWorkPackages[[#This Row],[Task type]],'Forecast validation'!$A$14:$E$25,IF(tblWorkPackages[[#This Row],[Time split]]="Validation H1",4,5),FALSE()))</f>
        <v/>
      </c>
      <c r="U1893" s="51" t="str">
        <f>IF(tblWorkPackages[[#This Row],[Calibrated forecast hours]]="","",ABS(tblWorkPackages[[#This Row],[Actual labor hours]]-tblWorkPackages[[#This Row],[Calibrated forecast hours]]))</f>
        <v/>
      </c>
      <c r="V1893" s="51">
        <f>IF(tblWorkPackages[[#This Row],[Time split]]="Train 2024",tblWorkPackages[[#This Row],[Estimated labor hours]],tblWorkPackages[[#This Row],[Calibrated forecast hours]])</f>
        <v>21.4</v>
      </c>
      <c r="W1893" s="64">
        <f>DATEVALUE(tblWorkPackages[[#This Row],[Request date]])</f>
        <v>45387.0</v>
      </c>
      <c r="X1893" s="64">
        <f>DATEVALUE(tblWorkPackages[[#This Row],[Due date]])</f>
        <v>45393.0</v>
      </c>
      <c r="Y1893" s="64">
        <f>DATEVALUE(tblWorkPackages[[#This Row],[Completion date]])</f>
        <v>45395.0</v>
      </c>
      <c r="Z1893" s="64">
        <f>_xlfn.MINIFS(tblLaborEntries[Work date serial],tblLaborEntries[Work package ID],tblWorkPackages[[#This Row],[Work package ID]])</f>
        <v>45390.0</v>
      </c>
      <c r="AA1893" s="64">
        <f>_xlfn.MAXIFS(tblLaborEntries[Work date serial],tblLaborEntries[Work package ID],tblWorkPackages[[#This Row],[Work package ID]])</f>
        <v>45392.0</v>
      </c>
      <c r="AB1893" s="65">
        <f>IF(tblWorkPackages[[#This Row],[Completion date serial]]&gt;tblWorkPackages[[#This Row],[Due date serial]],1,0)</f>
        <v>1</v>
      </c>
      <c r="AC1893" s="65">
        <f>MAX(0,tblWorkPackages[[#This Row],[Completion date serial]]-tblWorkPackages[[#This Row],[Due date serial]])</f>
        <v>2</v>
      </c>
      <c r="AD1893" s="65">
        <f>tblWorkPackages[[#This Row],[First labor date]]-tblWorkPackages[[#This Row],[Request date serial]]</f>
        <v>3</v>
      </c>
      <c r="AE1893" s="65">
        <f>tblWorkPackages[[#This Row],[Last labor date]]-tblWorkPackages[[#This Row],[First labor date]]</f>
        <v>2</v>
      </c>
      <c r="AF1893" s="65">
        <f>tblWorkPackages[[#This Row],[Completion date serial]]-tblWorkPackages[[#This Row],[Last labor date]]</f>
        <v>3</v>
      </c>
      <c r="AG1893" s="65">
        <f>tblWorkPackages[[#This Row],[Completion date serial]]-tblWorkPackages[[#This Row],[Request date serial]]</f>
        <v>8</v>
      </c>
      <c r="AH1893" s="65">
        <f>IFERROR(INDEX(tblParts[Delay days],MATCH(tblWorkPackages[[#This Row],[Work package ID]],tblParts[Work package ID],0)),0)</f>
        <v>0</v>
      </c>
      <c r="AI1893" s="51" t="str">
        <f>IFERROR(INDEX(tblDisruptions[Event type],MATCH(tblWorkPackages[[#This Row],[Work package ID]],tblDisruptions[Work package ID],0)),"None")</f>
        <v>None</v>
      </c>
      <c r="AJ1893" s="51" t="str">
        <f>TEXT(tblWorkPackages[[#This Row],[Due date serial]],"yyyy-mm")</f>
        <v>2024-04</v>
      </c>
    </row>
    <row r="1894" spans="1:36" ht="15" x14ac:dyDescent="0.25">
      <c r="A1894" s="53" t="s">
        <v>2805</v>
      </c>
      <c r="B1894" s="53" t="s">
        <v>124</v>
      </c>
      <c r="C1894" s="53" t="s">
        <v>316</v>
      </c>
      <c r="D1894" s="53" t="s">
        <v>417</v>
      </c>
      <c r="E1894" s="53" t="s">
        <v>200</v>
      </c>
      <c r="F1894" s="53" t="s">
        <v>128</v>
      </c>
      <c r="G1894" s="53" t="s">
        <v>129</v>
      </c>
      <c r="H1894" s="53">
        <v>4</v>
      </c>
      <c r="I1894" s="53" t="s">
        <v>130</v>
      </c>
      <c r="J1894" s="53">
        <v>0</v>
      </c>
      <c r="K1894" s="53">
        <v>0</v>
      </c>
      <c r="L1894" s="53">
        <v>6.4</v>
      </c>
      <c r="M1894" s="53" t="s">
        <v>1125</v>
      </c>
      <c r="N1894" s="53">
        <v>5.4</v>
      </c>
      <c r="O1894" s="51" t="str">
        <f>TEXT(tblWorkPackages[[#This Row],[Request date serial]]-WEEKDAY(tblWorkPackages[[#This Row],[Request date serial]],3),"yyyy-mm-dd")</f>
        <v>2024-04-15</v>
      </c>
      <c r="P1894" s="51">
        <f>ABS(tblWorkPackages[[#This Row],[Actual labor hours]]-tblWorkPackages[[#This Row],[Estimated labor hours]])</f>
        <v>1</v>
      </c>
      <c r="Q1894" s="51">
        <f>IF(tblWorkPackages[[#This Row],[Actual labor hours]]&gt;tblWorkPackages[[#This Row],[Estimated labor hours]],1,0)</f>
        <v>0</v>
      </c>
      <c r="R1894" s="51">
        <f>tblWorkPackages[[#This Row],[Actual labor hours]]-tblWorkPackages[[#This Row],[Estimated labor hours]]</f>
        <v>-1</v>
      </c>
      <c r="S1894" s="51" t="str">
        <f>IF(tblWorkPackages[[#This Row],[Request date serial]]&lt;ValidationStart,"Train 2024",IF(tblWorkPackages[[#This Row],[Request date serial]]&lt;HoldoutStart,"Validation H1","Holdout H2"))</f>
        <v>Train 2024</v>
      </c>
      <c r="T1894" s="51" t="str">
        <f>IF(tblWorkPackages[[#This Row],[Time split]]="Train 2024","",tblWorkPackages[[#This Row],[Estimated labor hours]]+VLOOKUP(tblWorkPackages[[#This Row],[Task type]],'Forecast validation'!$A$14:$E$25,IF(tblWorkPackages[[#This Row],[Time split]]="Validation H1",4,5),FALSE()))</f>
        <v/>
      </c>
      <c r="U1894" s="51" t="str">
        <f>IF(tblWorkPackages[[#This Row],[Calibrated forecast hours]]="","",ABS(tblWorkPackages[[#This Row],[Actual labor hours]]-tblWorkPackages[[#This Row],[Calibrated forecast hours]]))</f>
        <v/>
      </c>
      <c r="V1894" s="51">
        <f>IF(tblWorkPackages[[#This Row],[Time split]]="Train 2024",tblWorkPackages[[#This Row],[Estimated labor hours]],tblWorkPackages[[#This Row],[Calibrated forecast hours]])</f>
        <v>6.4</v>
      </c>
      <c r="W1894" s="64">
        <f>DATEVALUE(tblWorkPackages[[#This Row],[Request date]])</f>
        <v>45403.0</v>
      </c>
      <c r="X1894" s="64">
        <f>DATEVALUE(tblWorkPackages[[#This Row],[Due date]])</f>
        <v>45416.0</v>
      </c>
      <c r="Y1894" s="64">
        <f>DATEVALUE(tblWorkPackages[[#This Row],[Completion date]])</f>
        <v>45440.0</v>
      </c>
      <c r="Z1894" s="64">
        <f>_xlfn.MINIFS(tblLaborEntries[Work date serial],tblLaborEntries[Work package ID],tblWorkPackages[[#This Row],[Work package ID]])</f>
        <v>45438.0</v>
      </c>
      <c r="AA1894" s="64">
        <f>_xlfn.MAXIFS(tblLaborEntries[Work date serial],tblLaborEntries[Work package ID],tblWorkPackages[[#This Row],[Work package ID]])</f>
        <v>45440.0</v>
      </c>
      <c r="AB1894" s="65">
        <f>IF(tblWorkPackages[[#This Row],[Completion date serial]]&gt;tblWorkPackages[[#This Row],[Due date serial]],1,0)</f>
        <v>1</v>
      </c>
      <c r="AC1894" s="65">
        <f>MAX(0,tblWorkPackages[[#This Row],[Completion date serial]]-tblWorkPackages[[#This Row],[Due date serial]])</f>
        <v>24</v>
      </c>
      <c r="AD1894" s="65">
        <f>tblWorkPackages[[#This Row],[First labor date]]-tblWorkPackages[[#This Row],[Request date serial]]</f>
        <v>35</v>
      </c>
      <c r="AE1894" s="65">
        <f>tblWorkPackages[[#This Row],[Last labor date]]-tblWorkPackages[[#This Row],[First labor date]]</f>
        <v>2</v>
      </c>
      <c r="AF1894" s="65">
        <f>tblWorkPackages[[#This Row],[Completion date serial]]-tblWorkPackages[[#This Row],[Last labor date]]</f>
        <v>0</v>
      </c>
      <c r="AG1894" s="65">
        <f>tblWorkPackages[[#This Row],[Completion date serial]]-tblWorkPackages[[#This Row],[Request date serial]]</f>
        <v>37</v>
      </c>
      <c r="AH1894" s="65">
        <f>IFERROR(INDEX(tblParts[Delay days],MATCH(tblWorkPackages[[#This Row],[Work package ID]],tblParts[Work package ID],0)),0)</f>
        <v>0</v>
      </c>
      <c r="AI1894" s="51" t="str">
        <f>IFERROR(INDEX(tblDisruptions[Event type],MATCH(tblWorkPackages[[#This Row],[Work package ID]],tblDisruptions[Work package ID],0)),"None")</f>
        <v>None</v>
      </c>
      <c r="AJ1894" s="51" t="str">
        <f>TEXT(tblWorkPackages[[#This Row],[Due date serial]],"yyyy-mm")</f>
        <v>2024-05</v>
      </c>
    </row>
    <row r="1895" spans="1:36" ht="15" x14ac:dyDescent="0.25">
      <c r="A1895" s="53" t="s">
        <v>2806</v>
      </c>
      <c r="B1895" s="53" t="s">
        <v>287</v>
      </c>
      <c r="C1895" s="53" t="s">
        <v>952</v>
      </c>
      <c r="D1895" s="53" t="s">
        <v>534</v>
      </c>
      <c r="E1895" s="53" t="s">
        <v>160</v>
      </c>
      <c r="F1895" s="53" t="s">
        <v>128</v>
      </c>
      <c r="G1895" s="53" t="s">
        <v>138</v>
      </c>
      <c r="H1895" s="53">
        <v>4</v>
      </c>
      <c r="I1895" s="53" t="s">
        <v>130</v>
      </c>
      <c r="J1895" s="53">
        <v>0</v>
      </c>
      <c r="K1895" s="53">
        <v>0</v>
      </c>
      <c r="L1895" s="53">
        <v>7.6</v>
      </c>
      <c r="M1895" s="53" t="s">
        <v>372</v>
      </c>
      <c r="N1895" s="53">
        <v>9.1999999999999993</v>
      </c>
      <c r="O1895" s="51" t="str">
        <f>TEXT(tblWorkPackages[[#This Row],[Request date serial]]-WEEKDAY(tblWorkPackages[[#This Row],[Request date serial]],3),"yyyy-mm-dd")</f>
        <v>2024-10-07</v>
      </c>
      <c r="P1895" s="51">
        <f>ABS(tblWorkPackages[[#This Row],[Actual labor hours]]-tblWorkPackages[[#This Row],[Estimated labor hours]])</f>
        <v>1.6</v>
      </c>
      <c r="Q1895" s="51">
        <f>IF(tblWorkPackages[[#This Row],[Actual labor hours]]&gt;tblWorkPackages[[#This Row],[Estimated labor hours]],1,0)</f>
        <v>1</v>
      </c>
      <c r="R1895" s="51">
        <f>tblWorkPackages[[#This Row],[Actual labor hours]]-tblWorkPackages[[#This Row],[Estimated labor hours]]</f>
        <v>1.6</v>
      </c>
      <c r="S1895" s="51" t="str">
        <f>IF(tblWorkPackages[[#This Row],[Request date serial]]&lt;ValidationStart,"Train 2024",IF(tblWorkPackages[[#This Row],[Request date serial]]&lt;HoldoutStart,"Validation H1","Holdout H2"))</f>
        <v>Train 2024</v>
      </c>
      <c r="T1895" s="51" t="str">
        <f>IF(tblWorkPackages[[#This Row],[Time split]]="Train 2024","",tblWorkPackages[[#This Row],[Estimated labor hours]]+VLOOKUP(tblWorkPackages[[#This Row],[Task type]],'Forecast validation'!$A$14:$E$25,IF(tblWorkPackages[[#This Row],[Time split]]="Validation H1",4,5),FALSE()))</f>
        <v/>
      </c>
      <c r="U1895" s="51" t="str">
        <f>IF(tblWorkPackages[[#This Row],[Calibrated forecast hours]]="","",ABS(tblWorkPackages[[#This Row],[Actual labor hours]]-tblWorkPackages[[#This Row],[Calibrated forecast hours]]))</f>
        <v/>
      </c>
      <c r="V1895" s="51">
        <f>IF(tblWorkPackages[[#This Row],[Time split]]="Train 2024",tblWorkPackages[[#This Row],[Estimated labor hours]],tblWorkPackages[[#This Row],[Calibrated forecast hours]])</f>
        <v>7.6</v>
      </c>
      <c r="W1895" s="64">
        <f>DATEVALUE(tblWorkPackages[[#This Row],[Request date]])</f>
        <v>45578.0</v>
      </c>
      <c r="X1895" s="64">
        <f>DATEVALUE(tblWorkPackages[[#This Row],[Due date]])</f>
        <v>45591.0</v>
      </c>
      <c r="Y1895" s="64">
        <f>DATEVALUE(tblWorkPackages[[#This Row],[Completion date]])</f>
        <v>45586.0</v>
      </c>
      <c r="Z1895" s="64">
        <f>_xlfn.MINIFS(tblLaborEntries[Work date serial],tblLaborEntries[Work package ID],tblWorkPackages[[#This Row],[Work package ID]])</f>
        <v>45585.0</v>
      </c>
      <c r="AA1895" s="64">
        <f>_xlfn.MAXIFS(tblLaborEntries[Work date serial],tblLaborEntries[Work package ID],tblWorkPackages[[#This Row],[Work package ID]])</f>
        <v>45585.0</v>
      </c>
      <c r="AB1895" s="65">
        <f>IF(tblWorkPackages[[#This Row],[Completion date serial]]&gt;tblWorkPackages[[#This Row],[Due date serial]],1,0)</f>
        <v>0</v>
      </c>
      <c r="AC1895" s="65">
        <f>MAX(0,tblWorkPackages[[#This Row],[Completion date serial]]-tblWorkPackages[[#This Row],[Due date serial]])</f>
        <v>0</v>
      </c>
      <c r="AD1895" s="65">
        <f>tblWorkPackages[[#This Row],[First labor date]]-tblWorkPackages[[#This Row],[Request date serial]]</f>
        <v>7</v>
      </c>
      <c r="AE1895" s="65">
        <f>tblWorkPackages[[#This Row],[Last labor date]]-tblWorkPackages[[#This Row],[First labor date]]</f>
        <v>0</v>
      </c>
      <c r="AF1895" s="65">
        <f>tblWorkPackages[[#This Row],[Completion date serial]]-tblWorkPackages[[#This Row],[Last labor date]]</f>
        <v>1</v>
      </c>
      <c r="AG1895" s="65">
        <f>tblWorkPackages[[#This Row],[Completion date serial]]-tblWorkPackages[[#This Row],[Request date serial]]</f>
        <v>8</v>
      </c>
      <c r="AH1895" s="65">
        <f>IFERROR(INDEX(tblParts[Delay days],MATCH(tblWorkPackages[[#This Row],[Work package ID]],tblParts[Work package ID],0)),0)</f>
        <v>0</v>
      </c>
      <c r="AI1895" s="51" t="str">
        <f>IFERROR(INDEX(tblDisruptions[Event type],MATCH(tblWorkPackages[[#This Row],[Work package ID]],tblDisruptions[Work package ID],0)),"None")</f>
        <v>None</v>
      </c>
      <c r="AJ1895" s="51" t="str">
        <f>TEXT(tblWorkPackages[[#This Row],[Due date serial]],"yyyy-mm")</f>
        <v>2024-10</v>
      </c>
    </row>
    <row r="1896" spans="1:36" ht="15" x14ac:dyDescent="0.25">
      <c r="A1896" s="53" t="s">
        <v>2807</v>
      </c>
      <c r="B1896" s="53" t="s">
        <v>250</v>
      </c>
      <c r="C1896" s="53" t="s">
        <v>1194</v>
      </c>
      <c r="D1896" s="53" t="s">
        <v>1195</v>
      </c>
      <c r="E1896" s="53" t="s">
        <v>153</v>
      </c>
      <c r="F1896" s="53" t="s">
        <v>128</v>
      </c>
      <c r="G1896" s="53" t="s">
        <v>154</v>
      </c>
      <c r="H1896" s="53">
        <v>2</v>
      </c>
      <c r="I1896" s="53" t="s">
        <v>130</v>
      </c>
      <c r="J1896" s="53">
        <v>1</v>
      </c>
      <c r="K1896" s="53">
        <v>0</v>
      </c>
      <c r="L1896" s="53">
        <v>8.3000000000000007</v>
      </c>
      <c r="M1896" s="53" t="s">
        <v>943</v>
      </c>
      <c r="N1896" s="53">
        <v>8.6999999999999993</v>
      </c>
      <c r="O1896" s="51" t="str">
        <f>TEXT(tblWorkPackages[[#This Row],[Request date serial]]-WEEKDAY(tblWorkPackages[[#This Row],[Request date serial]],3),"yyyy-mm-dd")</f>
        <v>2025-10-06</v>
      </c>
      <c r="P1896" s="51">
        <f>ABS(tblWorkPackages[[#This Row],[Actual labor hours]]-tblWorkPackages[[#This Row],[Estimated labor hours]])</f>
        <v>0.399999999999999</v>
      </c>
      <c r="Q1896" s="51">
        <f>IF(tblWorkPackages[[#This Row],[Actual labor hours]]&gt;tblWorkPackages[[#This Row],[Estimated labor hours]],1,0)</f>
        <v>1</v>
      </c>
      <c r="R1896" s="51">
        <f>tblWorkPackages[[#This Row],[Actual labor hours]]-tblWorkPackages[[#This Row],[Estimated labor hours]]</f>
        <v>0.399999999999999</v>
      </c>
      <c r="S1896" s="51" t="str">
        <f>IF(tblWorkPackages[[#This Row],[Request date serial]]&lt;ValidationStart,"Train 2024",IF(tblWorkPackages[[#This Row],[Request date serial]]&lt;HoldoutStart,"Validation H1","Holdout H2"))</f>
        <v>Holdout H2</v>
      </c>
      <c r="T1896" s="51">
        <f>IF(tblWorkPackages[[#This Row],[Time split]]="Train 2024","",tblWorkPackages[[#This Row],[Estimated labor hours]]+VLOOKUP(tblWorkPackages[[#This Row],[Task type]],'Forecast validation'!$A$14:$E$25,IF(tblWorkPackages[[#This Row],[Time split]]="Validation H1",4,5),FALSE()))</f>
        <v>8.90266666666667</v>
      </c>
      <c r="U1896" s="51">
        <f>IF(tblWorkPackages[[#This Row],[Calibrated forecast hours]]="","",ABS(tblWorkPackages[[#This Row],[Actual labor hours]]-tblWorkPackages[[#This Row],[Calibrated forecast hours]]))</f>
        <v>0.202666666666667</v>
      </c>
      <c r="V1896" s="51">
        <f>IF(tblWorkPackages[[#This Row],[Time split]]="Train 2024",tblWorkPackages[[#This Row],[Estimated labor hours]],tblWorkPackages[[#This Row],[Calibrated forecast hours]])</f>
        <v>8.90266666666667</v>
      </c>
      <c r="W1896" s="64">
        <f>DATEVALUE(tblWorkPackages[[#This Row],[Request date]])</f>
        <v>45940.0</v>
      </c>
      <c r="X1896" s="64">
        <f>DATEVALUE(tblWorkPackages[[#This Row],[Due date]])</f>
        <v>45953.0</v>
      </c>
      <c r="Y1896" s="64">
        <f>DATEVALUE(tblWorkPackages[[#This Row],[Completion date]])</f>
        <v>45944.0</v>
      </c>
      <c r="Z1896" s="64">
        <f>_xlfn.MINIFS(tblLaborEntries[Work date serial],tblLaborEntries[Work package ID],tblWorkPackages[[#This Row],[Work package ID]])</f>
        <v>45942.0</v>
      </c>
      <c r="AA1896" s="64">
        <f>_xlfn.MAXIFS(tblLaborEntries[Work date serial],tblLaborEntries[Work package ID],tblWorkPackages[[#This Row],[Work package ID]])</f>
        <v>45942.0</v>
      </c>
      <c r="AB1896" s="65">
        <f>IF(tblWorkPackages[[#This Row],[Completion date serial]]&gt;tblWorkPackages[[#This Row],[Due date serial]],1,0)</f>
        <v>0</v>
      </c>
      <c r="AC1896" s="65">
        <f>MAX(0,tblWorkPackages[[#This Row],[Completion date serial]]-tblWorkPackages[[#This Row],[Due date serial]])</f>
        <v>0</v>
      </c>
      <c r="AD1896" s="65">
        <f>tblWorkPackages[[#This Row],[First labor date]]-tblWorkPackages[[#This Row],[Request date serial]]</f>
        <v>2</v>
      </c>
      <c r="AE1896" s="65">
        <f>tblWorkPackages[[#This Row],[Last labor date]]-tblWorkPackages[[#This Row],[First labor date]]</f>
        <v>0</v>
      </c>
      <c r="AF1896" s="65">
        <f>tblWorkPackages[[#This Row],[Completion date serial]]-tblWorkPackages[[#This Row],[Last labor date]]</f>
        <v>2</v>
      </c>
      <c r="AG1896" s="65">
        <f>tblWorkPackages[[#This Row],[Completion date serial]]-tblWorkPackages[[#This Row],[Request date serial]]</f>
        <v>4</v>
      </c>
      <c r="AH1896" s="65">
        <f>IFERROR(INDEX(tblParts[Delay days],MATCH(tblWorkPackages[[#This Row],[Work package ID]],tblParts[Work package ID],0)),0)</f>
        <v>0</v>
      </c>
      <c r="AI1896" s="51" t="str">
        <f>IFERROR(INDEX(tblDisruptions[Event type],MATCH(tblWorkPackages[[#This Row],[Work package ID]],tblDisruptions[Work package ID],0)),"None")</f>
        <v>None</v>
      </c>
      <c r="AJ1896" s="51" t="str">
        <f>TEXT(tblWorkPackages[[#This Row],[Due date serial]],"yyyy-mm")</f>
        <v>2025-10</v>
      </c>
    </row>
    <row r="1897" spans="1:36" ht="15" x14ac:dyDescent="0.25">
      <c r="A1897" s="53" t="s">
        <v>2808</v>
      </c>
      <c r="B1897" s="53" t="s">
        <v>141</v>
      </c>
      <c r="C1897" s="53" t="s">
        <v>645</v>
      </c>
      <c r="D1897" s="53" t="s">
        <v>646</v>
      </c>
      <c r="E1897" s="53" t="s">
        <v>242</v>
      </c>
      <c r="F1897" s="53" t="s">
        <v>243</v>
      </c>
      <c r="G1897" s="53" t="s">
        <v>129</v>
      </c>
      <c r="H1897" s="53">
        <v>3</v>
      </c>
      <c r="I1897" s="53" t="s">
        <v>130</v>
      </c>
      <c r="J1897" s="53">
        <v>0</v>
      </c>
      <c r="K1897" s="53">
        <v>0</v>
      </c>
      <c r="L1897" s="53">
        <v>10.9</v>
      </c>
      <c r="M1897" s="53" t="s">
        <v>976</v>
      </c>
      <c r="N1897" s="53">
        <v>9.9</v>
      </c>
      <c r="O1897" s="51" t="str">
        <f>TEXT(tblWorkPackages[[#This Row],[Request date serial]]-WEEKDAY(tblWorkPackages[[#This Row],[Request date serial]],3),"yyyy-mm-dd")</f>
        <v>2025-12-08</v>
      </c>
      <c r="P1897" s="51">
        <f>ABS(tblWorkPackages[[#This Row],[Actual labor hours]]-tblWorkPackages[[#This Row],[Estimated labor hours]])</f>
        <v>1</v>
      </c>
      <c r="Q1897" s="51">
        <f>IF(tblWorkPackages[[#This Row],[Actual labor hours]]&gt;tblWorkPackages[[#This Row],[Estimated labor hours]],1,0)</f>
        <v>0</v>
      </c>
      <c r="R1897" s="51">
        <f>tblWorkPackages[[#This Row],[Actual labor hours]]-tblWorkPackages[[#This Row],[Estimated labor hours]]</f>
        <v>-1</v>
      </c>
      <c r="S1897" s="51" t="str">
        <f>IF(tblWorkPackages[[#This Row],[Request date serial]]&lt;ValidationStart,"Train 2024",IF(tblWorkPackages[[#This Row],[Request date serial]]&lt;HoldoutStart,"Validation H1","Holdout H2"))</f>
        <v>Holdout H2</v>
      </c>
      <c r="T1897" s="51">
        <f>IF(tblWorkPackages[[#This Row],[Time split]]="Train 2024","",tblWorkPackages[[#This Row],[Estimated labor hours]]+VLOOKUP(tblWorkPackages[[#This Row],[Task type]],'Forecast validation'!$A$14:$E$25,IF(tblWorkPackages[[#This Row],[Time split]]="Validation H1",4,5),FALSE()))</f>
        <v>11.7254545454545</v>
      </c>
      <c r="U1897" s="51">
        <f>IF(tblWorkPackages[[#This Row],[Calibrated forecast hours]]="","",ABS(tblWorkPackages[[#This Row],[Actual labor hours]]-tblWorkPackages[[#This Row],[Calibrated forecast hours]]))</f>
        <v>1.82545454545455</v>
      </c>
      <c r="V1897" s="51">
        <f>IF(tblWorkPackages[[#This Row],[Time split]]="Train 2024",tblWorkPackages[[#This Row],[Estimated labor hours]],tblWorkPackages[[#This Row],[Calibrated forecast hours]])</f>
        <v>11.7254545454545</v>
      </c>
      <c r="W1897" s="64">
        <f>DATEVALUE(tblWorkPackages[[#This Row],[Request date]])</f>
        <v>46002.0</v>
      </c>
      <c r="X1897" s="64">
        <f>DATEVALUE(tblWorkPackages[[#This Row],[Due date]])</f>
        <v>46015.0</v>
      </c>
      <c r="Y1897" s="64">
        <f>DATEVALUE(tblWorkPackages[[#This Row],[Completion date]])</f>
        <v>46022.0</v>
      </c>
      <c r="Z1897" s="64">
        <f>_xlfn.MINIFS(tblLaborEntries[Work date serial],tblLaborEntries[Work package ID],tblWorkPackages[[#This Row],[Work package ID]])</f>
        <v>46017.0</v>
      </c>
      <c r="AA1897" s="64">
        <f>_xlfn.MAXIFS(tblLaborEntries[Work date serial],tblLaborEntries[Work package ID],tblWorkPackages[[#This Row],[Work package ID]])</f>
        <v>46019.0</v>
      </c>
      <c r="AB1897" s="65">
        <f>IF(tblWorkPackages[[#This Row],[Completion date serial]]&gt;tblWorkPackages[[#This Row],[Due date serial]],1,0)</f>
        <v>1</v>
      </c>
      <c r="AC1897" s="65">
        <f>MAX(0,tblWorkPackages[[#This Row],[Completion date serial]]-tblWorkPackages[[#This Row],[Due date serial]])</f>
        <v>7</v>
      </c>
      <c r="AD1897" s="65">
        <f>tblWorkPackages[[#This Row],[First labor date]]-tblWorkPackages[[#This Row],[Request date serial]]</f>
        <v>15</v>
      </c>
      <c r="AE1897" s="65">
        <f>tblWorkPackages[[#This Row],[Last labor date]]-tblWorkPackages[[#This Row],[First labor date]]</f>
        <v>2</v>
      </c>
      <c r="AF1897" s="65">
        <f>tblWorkPackages[[#This Row],[Completion date serial]]-tblWorkPackages[[#This Row],[Last labor date]]</f>
        <v>3</v>
      </c>
      <c r="AG1897" s="65">
        <f>tblWorkPackages[[#This Row],[Completion date serial]]-tblWorkPackages[[#This Row],[Request date serial]]</f>
        <v>20</v>
      </c>
      <c r="AH1897" s="65">
        <f>IFERROR(INDEX(tblParts[Delay days],MATCH(tblWorkPackages[[#This Row],[Work package ID]],tblParts[Work package ID],0)),0)</f>
        <v>0</v>
      </c>
      <c r="AI1897" s="51" t="str">
        <f>IFERROR(INDEX(tblDisruptions[Event type],MATCH(tblWorkPackages[[#This Row],[Work package ID]],tblDisruptions[Work package ID],0)),"None")</f>
        <v>None</v>
      </c>
      <c r="AJ1897" s="51" t="str">
        <f>TEXT(tblWorkPackages[[#This Row],[Due date serial]],"yyyy-mm")</f>
        <v>2025-12</v>
      </c>
    </row>
    <row r="1898" spans="1:36" ht="15" x14ac:dyDescent="0.25">
      <c r="A1898" s="53" t="s">
        <v>2809</v>
      </c>
      <c r="B1898" s="53" t="s">
        <v>133</v>
      </c>
      <c r="C1898" s="53" t="s">
        <v>217</v>
      </c>
      <c r="D1898" s="53" t="s">
        <v>218</v>
      </c>
      <c r="E1898" s="53" t="s">
        <v>153</v>
      </c>
      <c r="F1898" s="53" t="s">
        <v>128</v>
      </c>
      <c r="G1898" s="53" t="s">
        <v>154</v>
      </c>
      <c r="H1898" s="53">
        <v>2</v>
      </c>
      <c r="I1898" s="53" t="s">
        <v>130</v>
      </c>
      <c r="J1898" s="53">
        <v>0</v>
      </c>
      <c r="K1898" s="53">
        <v>0</v>
      </c>
      <c r="L1898" s="53">
        <v>8.6</v>
      </c>
      <c r="M1898" s="53" t="s">
        <v>780</v>
      </c>
      <c r="N1898" s="53">
        <v>6.9</v>
      </c>
      <c r="O1898" s="51" t="str">
        <f>TEXT(tblWorkPackages[[#This Row],[Request date serial]]-WEEKDAY(tblWorkPackages[[#This Row],[Request date serial]],3),"yyyy-mm-dd")</f>
        <v>2025-12-08</v>
      </c>
      <c r="P1898" s="51">
        <f>ABS(tblWorkPackages[[#This Row],[Actual labor hours]]-tblWorkPackages[[#This Row],[Estimated labor hours]])</f>
        <v>1.7</v>
      </c>
      <c r="Q1898" s="51">
        <f>IF(tblWorkPackages[[#This Row],[Actual labor hours]]&gt;tblWorkPackages[[#This Row],[Estimated labor hours]],1,0)</f>
        <v>0</v>
      </c>
      <c r="R1898" s="51">
        <f>tblWorkPackages[[#This Row],[Actual labor hours]]-tblWorkPackages[[#This Row],[Estimated labor hours]]</f>
        <v>-1.7</v>
      </c>
      <c r="S1898" s="51" t="str">
        <f>IF(tblWorkPackages[[#This Row],[Request date serial]]&lt;ValidationStart,"Train 2024",IF(tblWorkPackages[[#This Row],[Request date serial]]&lt;HoldoutStart,"Validation H1","Holdout H2"))</f>
        <v>Holdout H2</v>
      </c>
      <c r="T1898" s="51">
        <f>IF(tblWorkPackages[[#This Row],[Time split]]="Train 2024","",tblWorkPackages[[#This Row],[Estimated labor hours]]+VLOOKUP(tblWorkPackages[[#This Row],[Task type]],'Forecast validation'!$A$14:$E$25,IF(tblWorkPackages[[#This Row],[Time split]]="Validation H1",4,5),FALSE()))</f>
        <v>9.20266666666667</v>
      </c>
      <c r="U1898" s="51">
        <f>IF(tblWorkPackages[[#This Row],[Calibrated forecast hours]]="","",ABS(tblWorkPackages[[#This Row],[Actual labor hours]]-tblWorkPackages[[#This Row],[Calibrated forecast hours]]))</f>
        <v>2.30266666666667</v>
      </c>
      <c r="V1898" s="51">
        <f>IF(tblWorkPackages[[#This Row],[Time split]]="Train 2024",tblWorkPackages[[#This Row],[Estimated labor hours]],tblWorkPackages[[#This Row],[Calibrated forecast hours]])</f>
        <v>9.20266666666667</v>
      </c>
      <c r="W1898" s="64">
        <f>DATEVALUE(tblWorkPackages[[#This Row],[Request date]])</f>
        <v>46004.0</v>
      </c>
      <c r="X1898" s="64">
        <f>DATEVALUE(tblWorkPackages[[#This Row],[Due date]])</f>
        <v>46017.0</v>
      </c>
      <c r="Y1898" s="64">
        <f>DATEVALUE(tblWorkPackages[[#This Row],[Completion date]])</f>
        <v>46009.0</v>
      </c>
      <c r="Z1898" s="64">
        <f>_xlfn.MINIFS(tblLaborEntries[Work date serial],tblLaborEntries[Work package ID],tblWorkPackages[[#This Row],[Work package ID]])</f>
        <v>46008.0</v>
      </c>
      <c r="AA1898" s="64">
        <f>_xlfn.MAXIFS(tblLaborEntries[Work date serial],tblLaborEntries[Work package ID],tblWorkPackages[[#This Row],[Work package ID]])</f>
        <v>46009.0</v>
      </c>
      <c r="AB1898" s="65">
        <f>IF(tblWorkPackages[[#This Row],[Completion date serial]]&gt;tblWorkPackages[[#This Row],[Due date serial]],1,0)</f>
        <v>0</v>
      </c>
      <c r="AC1898" s="65">
        <f>MAX(0,tblWorkPackages[[#This Row],[Completion date serial]]-tblWorkPackages[[#This Row],[Due date serial]])</f>
        <v>0</v>
      </c>
      <c r="AD1898" s="65">
        <f>tblWorkPackages[[#This Row],[First labor date]]-tblWorkPackages[[#This Row],[Request date serial]]</f>
        <v>4</v>
      </c>
      <c r="AE1898" s="65">
        <f>tblWorkPackages[[#This Row],[Last labor date]]-tblWorkPackages[[#This Row],[First labor date]]</f>
        <v>1</v>
      </c>
      <c r="AF1898" s="65">
        <f>tblWorkPackages[[#This Row],[Completion date serial]]-tblWorkPackages[[#This Row],[Last labor date]]</f>
        <v>0</v>
      </c>
      <c r="AG1898" s="65">
        <f>tblWorkPackages[[#This Row],[Completion date serial]]-tblWorkPackages[[#This Row],[Request date serial]]</f>
        <v>5</v>
      </c>
      <c r="AH1898" s="65">
        <f>IFERROR(INDEX(tblParts[Delay days],MATCH(tblWorkPackages[[#This Row],[Work package ID]],tblParts[Work package ID],0)),0)</f>
        <v>0</v>
      </c>
      <c r="AI1898" s="51" t="str">
        <f>IFERROR(INDEX(tblDisruptions[Event type],MATCH(tblWorkPackages[[#This Row],[Work package ID]],tblDisruptions[Work package ID],0)),"None")</f>
        <v>None</v>
      </c>
      <c r="AJ1898" s="51" t="str">
        <f>TEXT(tblWorkPackages[[#This Row],[Due date serial]],"yyyy-mm")</f>
        <v>2025-12</v>
      </c>
    </row>
    <row r="1899" spans="1:36" ht="15" x14ac:dyDescent="0.25">
      <c r="A1899" s="53" t="s">
        <v>2810</v>
      </c>
      <c r="B1899" s="53" t="s">
        <v>230</v>
      </c>
      <c r="C1899" s="53" t="s">
        <v>649</v>
      </c>
      <c r="D1899" s="53" t="s">
        <v>399</v>
      </c>
      <c r="E1899" s="53" t="s">
        <v>181</v>
      </c>
      <c r="F1899" s="53" t="s">
        <v>182</v>
      </c>
      <c r="G1899" s="53" t="s">
        <v>138</v>
      </c>
      <c r="H1899" s="53">
        <v>3</v>
      </c>
      <c r="I1899" s="53" t="s">
        <v>130</v>
      </c>
      <c r="J1899" s="53">
        <v>0</v>
      </c>
      <c r="K1899" s="53">
        <v>0</v>
      </c>
      <c r="L1899" s="53">
        <v>12.1</v>
      </c>
      <c r="M1899" s="53" t="s">
        <v>822</v>
      </c>
      <c r="N1899" s="53">
        <v>12.2</v>
      </c>
      <c r="O1899" s="51" t="str">
        <f>TEXT(tblWorkPackages[[#This Row],[Request date serial]]-WEEKDAY(tblWorkPackages[[#This Row],[Request date serial]],3),"yyyy-mm-dd")</f>
        <v>2024-05-06</v>
      </c>
      <c r="P1899" s="51">
        <f>ABS(tblWorkPackages[[#This Row],[Actual labor hours]]-tblWorkPackages[[#This Row],[Estimated labor hours]])</f>
        <v>0.0999999999999996</v>
      </c>
      <c r="Q1899" s="51">
        <f>IF(tblWorkPackages[[#This Row],[Actual labor hours]]&gt;tblWorkPackages[[#This Row],[Estimated labor hours]],1,0)</f>
        <v>1</v>
      </c>
      <c r="R1899" s="51">
        <f>tblWorkPackages[[#This Row],[Actual labor hours]]-tblWorkPackages[[#This Row],[Estimated labor hours]]</f>
        <v>0.0999999999999996</v>
      </c>
      <c r="S1899" s="51" t="str">
        <f>IF(tblWorkPackages[[#This Row],[Request date serial]]&lt;ValidationStart,"Train 2024",IF(tblWorkPackages[[#This Row],[Request date serial]]&lt;HoldoutStart,"Validation H1","Holdout H2"))</f>
        <v>Train 2024</v>
      </c>
      <c r="T1899" s="51" t="str">
        <f>IF(tblWorkPackages[[#This Row],[Time split]]="Train 2024","",tblWorkPackages[[#This Row],[Estimated labor hours]]+VLOOKUP(tblWorkPackages[[#This Row],[Task type]],'Forecast validation'!$A$14:$E$25,IF(tblWorkPackages[[#This Row],[Time split]]="Validation H1",4,5),FALSE()))</f>
        <v/>
      </c>
      <c r="U1899" s="51" t="str">
        <f>IF(tblWorkPackages[[#This Row],[Calibrated forecast hours]]="","",ABS(tblWorkPackages[[#This Row],[Actual labor hours]]-tblWorkPackages[[#This Row],[Calibrated forecast hours]]))</f>
        <v/>
      </c>
      <c r="V1899" s="51">
        <f>IF(tblWorkPackages[[#This Row],[Time split]]="Train 2024",tblWorkPackages[[#This Row],[Estimated labor hours]],tblWorkPackages[[#This Row],[Calibrated forecast hours]])</f>
        <v>12.1</v>
      </c>
      <c r="W1899" s="64">
        <f>DATEVALUE(tblWorkPackages[[#This Row],[Request date]])</f>
        <v>45423.0</v>
      </c>
      <c r="X1899" s="64">
        <f>DATEVALUE(tblWorkPackages[[#This Row],[Due date]])</f>
        <v>45436.0</v>
      </c>
      <c r="Y1899" s="64">
        <f>DATEVALUE(tblWorkPackages[[#This Row],[Completion date]])</f>
        <v>45425.0</v>
      </c>
      <c r="Z1899" s="64">
        <f>_xlfn.MINIFS(tblLaborEntries[Work date serial],tblLaborEntries[Work package ID],tblWorkPackages[[#This Row],[Work package ID]])</f>
        <v>45424.0</v>
      </c>
      <c r="AA1899" s="64">
        <f>_xlfn.MAXIFS(tblLaborEntries[Work date serial],tblLaborEntries[Work package ID],tblWorkPackages[[#This Row],[Work package ID]])</f>
        <v>45424.0</v>
      </c>
      <c r="AB1899" s="65">
        <f>IF(tblWorkPackages[[#This Row],[Completion date serial]]&gt;tblWorkPackages[[#This Row],[Due date serial]],1,0)</f>
        <v>0</v>
      </c>
      <c r="AC1899" s="65">
        <f>MAX(0,tblWorkPackages[[#This Row],[Completion date serial]]-tblWorkPackages[[#This Row],[Due date serial]])</f>
        <v>0</v>
      </c>
      <c r="AD1899" s="65">
        <f>tblWorkPackages[[#This Row],[First labor date]]-tblWorkPackages[[#This Row],[Request date serial]]</f>
        <v>1</v>
      </c>
      <c r="AE1899" s="65">
        <f>tblWorkPackages[[#This Row],[Last labor date]]-tblWorkPackages[[#This Row],[First labor date]]</f>
        <v>0</v>
      </c>
      <c r="AF1899" s="65">
        <f>tblWorkPackages[[#This Row],[Completion date serial]]-tblWorkPackages[[#This Row],[Last labor date]]</f>
        <v>1</v>
      </c>
      <c r="AG1899" s="65">
        <f>tblWorkPackages[[#This Row],[Completion date serial]]-tblWorkPackages[[#This Row],[Request date serial]]</f>
        <v>2</v>
      </c>
      <c r="AH1899" s="65">
        <f>IFERROR(INDEX(tblParts[Delay days],MATCH(tblWorkPackages[[#This Row],[Work package ID]],tblParts[Work package ID],0)),0)</f>
        <v>0</v>
      </c>
      <c r="AI1899" s="51" t="str">
        <f>IFERROR(INDEX(tblDisruptions[Event type],MATCH(tblWorkPackages[[#This Row],[Work package ID]],tblDisruptions[Work package ID],0)),"None")</f>
        <v>None</v>
      </c>
      <c r="AJ1899" s="51" t="str">
        <f>TEXT(tblWorkPackages[[#This Row],[Due date serial]],"yyyy-mm")</f>
        <v>2024-05</v>
      </c>
    </row>
    <row r="1900" spans="1:36" ht="15" x14ac:dyDescent="0.25">
      <c r="A1900" s="53" t="s">
        <v>2811</v>
      </c>
      <c r="B1900" s="53" t="s">
        <v>133</v>
      </c>
      <c r="C1900" s="53" t="s">
        <v>1230</v>
      </c>
      <c r="D1900" s="53" t="s">
        <v>515</v>
      </c>
      <c r="E1900" s="53" t="s">
        <v>200</v>
      </c>
      <c r="F1900" s="53" t="s">
        <v>128</v>
      </c>
      <c r="G1900" s="53" t="s">
        <v>129</v>
      </c>
      <c r="H1900" s="53">
        <v>2</v>
      </c>
      <c r="I1900" s="53" t="s">
        <v>176</v>
      </c>
      <c r="J1900" s="53">
        <v>0</v>
      </c>
      <c r="K1900" s="53">
        <v>0</v>
      </c>
      <c r="L1900" s="53">
        <v>2.6</v>
      </c>
      <c r="M1900" s="53" t="s">
        <v>1777</v>
      </c>
      <c r="N1900" s="53">
        <v>3.2</v>
      </c>
      <c r="O1900" s="51" t="str">
        <f>TEXT(tblWorkPackages[[#This Row],[Request date serial]]-WEEKDAY(tblWorkPackages[[#This Row],[Request date serial]],3),"yyyy-mm-dd")</f>
        <v>2024-11-18</v>
      </c>
      <c r="P1900" s="51">
        <f>ABS(tblWorkPackages[[#This Row],[Actual labor hours]]-tblWorkPackages[[#This Row],[Estimated labor hours]])</f>
        <v>0.6</v>
      </c>
      <c r="Q1900" s="51">
        <f>IF(tblWorkPackages[[#This Row],[Actual labor hours]]&gt;tblWorkPackages[[#This Row],[Estimated labor hours]],1,0)</f>
        <v>1</v>
      </c>
      <c r="R1900" s="51">
        <f>tblWorkPackages[[#This Row],[Actual labor hours]]-tblWorkPackages[[#This Row],[Estimated labor hours]]</f>
        <v>0.6</v>
      </c>
      <c r="S1900" s="51" t="str">
        <f>IF(tblWorkPackages[[#This Row],[Request date serial]]&lt;ValidationStart,"Train 2024",IF(tblWorkPackages[[#This Row],[Request date serial]]&lt;HoldoutStart,"Validation H1","Holdout H2"))</f>
        <v>Train 2024</v>
      </c>
      <c r="T1900" s="51" t="str">
        <f>IF(tblWorkPackages[[#This Row],[Time split]]="Train 2024","",tblWorkPackages[[#This Row],[Estimated labor hours]]+VLOOKUP(tblWorkPackages[[#This Row],[Task type]],'Forecast validation'!$A$14:$E$25,IF(tblWorkPackages[[#This Row],[Time split]]="Validation H1",4,5),FALSE()))</f>
        <v/>
      </c>
      <c r="U1900" s="51" t="str">
        <f>IF(tblWorkPackages[[#This Row],[Calibrated forecast hours]]="","",ABS(tblWorkPackages[[#This Row],[Actual labor hours]]-tblWorkPackages[[#This Row],[Calibrated forecast hours]]))</f>
        <v/>
      </c>
      <c r="V1900" s="51">
        <f>IF(tblWorkPackages[[#This Row],[Time split]]="Train 2024",tblWorkPackages[[#This Row],[Estimated labor hours]],tblWorkPackages[[#This Row],[Calibrated forecast hours]])</f>
        <v>2.6</v>
      </c>
      <c r="W1900" s="64">
        <f>DATEVALUE(tblWorkPackages[[#This Row],[Request date]])</f>
        <v>45615.0</v>
      </c>
      <c r="X1900" s="64">
        <f>DATEVALUE(tblWorkPackages[[#This Row],[Due date]])</f>
        <v>45621.0</v>
      </c>
      <c r="Y1900" s="64">
        <f>DATEVALUE(tblWorkPackages[[#This Row],[Completion date]])</f>
        <v>45629.0</v>
      </c>
      <c r="Z1900" s="64">
        <f>_xlfn.MINIFS(tblLaborEntries[Work date serial],tblLaborEntries[Work package ID],tblWorkPackages[[#This Row],[Work package ID]])</f>
        <v>45625.0</v>
      </c>
      <c r="AA1900" s="64">
        <f>_xlfn.MAXIFS(tblLaborEntries[Work date serial],tblLaborEntries[Work package ID],tblWorkPackages[[#This Row],[Work package ID]])</f>
        <v>45627.0</v>
      </c>
      <c r="AB1900" s="65">
        <f>IF(tblWorkPackages[[#This Row],[Completion date serial]]&gt;tblWorkPackages[[#This Row],[Due date serial]],1,0)</f>
        <v>1</v>
      </c>
      <c r="AC1900" s="65">
        <f>MAX(0,tblWorkPackages[[#This Row],[Completion date serial]]-tblWorkPackages[[#This Row],[Due date serial]])</f>
        <v>8</v>
      </c>
      <c r="AD1900" s="65">
        <f>tblWorkPackages[[#This Row],[First labor date]]-tblWorkPackages[[#This Row],[Request date serial]]</f>
        <v>10</v>
      </c>
      <c r="AE1900" s="65">
        <f>tblWorkPackages[[#This Row],[Last labor date]]-tblWorkPackages[[#This Row],[First labor date]]</f>
        <v>2</v>
      </c>
      <c r="AF1900" s="65">
        <f>tblWorkPackages[[#This Row],[Completion date serial]]-tblWorkPackages[[#This Row],[Last labor date]]</f>
        <v>2</v>
      </c>
      <c r="AG1900" s="65">
        <f>tblWorkPackages[[#This Row],[Completion date serial]]-tblWorkPackages[[#This Row],[Request date serial]]</f>
        <v>14</v>
      </c>
      <c r="AH1900" s="65">
        <f>IFERROR(INDEX(tblParts[Delay days],MATCH(tblWorkPackages[[#This Row],[Work package ID]],tblParts[Work package ID],0)),0)</f>
        <v>0</v>
      </c>
      <c r="AI1900" s="51" t="str">
        <f>IFERROR(INDEX(tblDisruptions[Event type],MATCH(tblWorkPackages[[#This Row],[Work package ID]],tblDisruptions[Work package ID],0)),"None")</f>
        <v>None</v>
      </c>
      <c r="AJ1900" s="51" t="str">
        <f>TEXT(tblWorkPackages[[#This Row],[Due date serial]],"yyyy-mm")</f>
        <v>2024-11</v>
      </c>
    </row>
    <row r="1901" spans="1:36" ht="15" x14ac:dyDescent="0.25">
      <c r="A1901" s="53" t="s">
        <v>2812</v>
      </c>
      <c r="B1901" s="53" t="s">
        <v>173</v>
      </c>
      <c r="C1901" s="53" t="s">
        <v>419</v>
      </c>
      <c r="D1901" s="53" t="s">
        <v>577</v>
      </c>
      <c r="E1901" s="53" t="s">
        <v>209</v>
      </c>
      <c r="F1901" s="53" t="s">
        <v>145</v>
      </c>
      <c r="G1901" s="53" t="s">
        <v>210</v>
      </c>
      <c r="H1901" s="53">
        <v>3</v>
      </c>
      <c r="I1901" s="53" t="s">
        <v>176</v>
      </c>
      <c r="J1901" s="53">
        <v>0</v>
      </c>
      <c r="K1901" s="53">
        <v>1</v>
      </c>
      <c r="L1901" s="53">
        <v>29</v>
      </c>
      <c r="M1901" s="53" t="s">
        <v>303</v>
      </c>
      <c r="N1901" s="53">
        <v>31.5</v>
      </c>
      <c r="O1901" s="51" t="str">
        <f>TEXT(tblWorkPackages[[#This Row],[Request date serial]]-WEEKDAY(tblWorkPackages[[#This Row],[Request date serial]],3),"yyyy-mm-dd")</f>
        <v>2024-06-10</v>
      </c>
      <c r="P1901" s="51">
        <f>ABS(tblWorkPackages[[#This Row],[Actual labor hours]]-tblWorkPackages[[#This Row],[Estimated labor hours]])</f>
        <v>2.5</v>
      </c>
      <c r="Q1901" s="51">
        <f>IF(tblWorkPackages[[#This Row],[Actual labor hours]]&gt;tblWorkPackages[[#This Row],[Estimated labor hours]],1,0)</f>
        <v>1</v>
      </c>
      <c r="R1901" s="51">
        <f>tblWorkPackages[[#This Row],[Actual labor hours]]-tblWorkPackages[[#This Row],[Estimated labor hours]]</f>
        <v>2.5</v>
      </c>
      <c r="S1901" s="51" t="str">
        <f>IF(tblWorkPackages[[#This Row],[Request date serial]]&lt;ValidationStart,"Train 2024",IF(tblWorkPackages[[#This Row],[Request date serial]]&lt;HoldoutStart,"Validation H1","Holdout H2"))</f>
        <v>Train 2024</v>
      </c>
      <c r="T1901" s="51" t="str">
        <f>IF(tblWorkPackages[[#This Row],[Time split]]="Train 2024","",tblWorkPackages[[#This Row],[Estimated labor hours]]+VLOOKUP(tblWorkPackages[[#This Row],[Task type]],'Forecast validation'!$A$14:$E$25,IF(tblWorkPackages[[#This Row],[Time split]]="Validation H1",4,5),FALSE()))</f>
        <v/>
      </c>
      <c r="U1901" s="51" t="str">
        <f>IF(tblWorkPackages[[#This Row],[Calibrated forecast hours]]="","",ABS(tblWorkPackages[[#This Row],[Actual labor hours]]-tblWorkPackages[[#This Row],[Calibrated forecast hours]]))</f>
        <v/>
      </c>
      <c r="V1901" s="51">
        <f>IF(tblWorkPackages[[#This Row],[Time split]]="Train 2024",tblWorkPackages[[#This Row],[Estimated labor hours]],tblWorkPackages[[#This Row],[Calibrated forecast hours]])</f>
        <v>29</v>
      </c>
      <c r="W1901" s="64">
        <f>DATEVALUE(tblWorkPackages[[#This Row],[Request date]])</f>
        <v>45457.0</v>
      </c>
      <c r="X1901" s="64">
        <f>DATEVALUE(tblWorkPackages[[#This Row],[Due date]])</f>
        <v>45463.0</v>
      </c>
      <c r="Y1901" s="64">
        <f>DATEVALUE(tblWorkPackages[[#This Row],[Completion date]])</f>
        <v>45468.0</v>
      </c>
      <c r="Z1901" s="64">
        <f>_xlfn.MINIFS(tblLaborEntries[Work date serial],tblLaborEntries[Work package ID],tblWorkPackages[[#This Row],[Work package ID]])</f>
        <v>45463.0</v>
      </c>
      <c r="AA1901" s="64">
        <f>_xlfn.MAXIFS(tblLaborEntries[Work date serial],tblLaborEntries[Work package ID],tblWorkPackages[[#This Row],[Work package ID]])</f>
        <v>45465.0</v>
      </c>
      <c r="AB1901" s="65">
        <f>IF(tblWorkPackages[[#This Row],[Completion date serial]]&gt;tblWorkPackages[[#This Row],[Due date serial]],1,0)</f>
        <v>1</v>
      </c>
      <c r="AC1901" s="65">
        <f>MAX(0,tblWorkPackages[[#This Row],[Completion date serial]]-tblWorkPackages[[#This Row],[Due date serial]])</f>
        <v>5</v>
      </c>
      <c r="AD1901" s="65">
        <f>tblWorkPackages[[#This Row],[First labor date]]-tblWorkPackages[[#This Row],[Request date serial]]</f>
        <v>6</v>
      </c>
      <c r="AE1901" s="65">
        <f>tblWorkPackages[[#This Row],[Last labor date]]-tblWorkPackages[[#This Row],[First labor date]]</f>
        <v>2</v>
      </c>
      <c r="AF1901" s="65">
        <f>tblWorkPackages[[#This Row],[Completion date serial]]-tblWorkPackages[[#This Row],[Last labor date]]</f>
        <v>3</v>
      </c>
      <c r="AG1901" s="65">
        <f>tblWorkPackages[[#This Row],[Completion date serial]]-tblWorkPackages[[#This Row],[Request date serial]]</f>
        <v>11</v>
      </c>
      <c r="AH1901" s="65">
        <f>IFERROR(INDEX(tblParts[Delay days],MATCH(tblWorkPackages[[#This Row],[Work package ID]],tblParts[Work package ID],0)),0)</f>
        <v>3</v>
      </c>
      <c r="AI1901" s="51" t="str">
        <f>IFERROR(INDEX(tblDisruptions[Event type],MATCH(tblWorkPackages[[#This Row],[Work package ID]],tblDisruptions[Work package ID],0)),"None")</f>
        <v>Part delay</v>
      </c>
      <c r="AJ1901" s="51" t="str">
        <f>TEXT(tblWorkPackages[[#This Row],[Due date serial]],"yyyy-mm")</f>
        <v>2024-06</v>
      </c>
    </row>
    <row r="1902" spans="1:36" ht="15" x14ac:dyDescent="0.25">
      <c r="A1902" s="53" t="s">
        <v>2813</v>
      </c>
      <c r="B1902" s="53" t="s">
        <v>150</v>
      </c>
      <c r="C1902" s="53" t="s">
        <v>413</v>
      </c>
      <c r="D1902" s="53" t="s">
        <v>685</v>
      </c>
      <c r="E1902" s="53" t="s">
        <v>242</v>
      </c>
      <c r="F1902" s="53" t="s">
        <v>243</v>
      </c>
      <c r="G1902" s="53" t="s">
        <v>129</v>
      </c>
      <c r="H1902" s="53">
        <v>4</v>
      </c>
      <c r="I1902" s="53" t="s">
        <v>130</v>
      </c>
      <c r="J1902" s="53">
        <v>0</v>
      </c>
      <c r="K1902" s="53">
        <v>0</v>
      </c>
      <c r="L1902" s="53">
        <v>18.3</v>
      </c>
      <c r="M1902" s="53" t="s">
        <v>590</v>
      </c>
      <c r="N1902" s="53">
        <v>17</v>
      </c>
      <c r="O1902" s="51" t="str">
        <f>TEXT(tblWorkPackages[[#This Row],[Request date serial]]-WEEKDAY(tblWorkPackages[[#This Row],[Request date serial]],3),"yyyy-mm-dd")</f>
        <v>2025-02-24</v>
      </c>
      <c r="P1902" s="51">
        <f>ABS(tblWorkPackages[[#This Row],[Actual labor hours]]-tblWorkPackages[[#This Row],[Estimated labor hours]])</f>
        <v>1.3</v>
      </c>
      <c r="Q1902" s="51">
        <f>IF(tblWorkPackages[[#This Row],[Actual labor hours]]&gt;tblWorkPackages[[#This Row],[Estimated labor hours]],1,0)</f>
        <v>0</v>
      </c>
      <c r="R1902" s="51">
        <f>tblWorkPackages[[#This Row],[Actual labor hours]]-tblWorkPackages[[#This Row],[Estimated labor hours]]</f>
        <v>-1.3</v>
      </c>
      <c r="S1902" s="51" t="str">
        <f>IF(tblWorkPackages[[#This Row],[Request date serial]]&lt;ValidationStart,"Train 2024",IF(tblWorkPackages[[#This Row],[Request date serial]]&lt;HoldoutStart,"Validation H1","Holdout H2"))</f>
        <v>Validation H1</v>
      </c>
      <c r="T1902" s="51">
        <f>IF(tblWorkPackages[[#This Row],[Time split]]="Train 2024","",tblWorkPackages[[#This Row],[Estimated labor hours]]+VLOOKUP(tblWorkPackages[[#This Row],[Task type]],'Forecast validation'!$A$14:$E$25,IF(tblWorkPackages[[#This Row],[Time split]]="Validation H1",4,5),FALSE()))</f>
        <v>18.8561224489796</v>
      </c>
      <c r="U1902" s="51">
        <f>IF(tblWorkPackages[[#This Row],[Calibrated forecast hours]]="","",ABS(tblWorkPackages[[#This Row],[Actual labor hours]]-tblWorkPackages[[#This Row],[Calibrated forecast hours]]))</f>
        <v>1.85612244897959</v>
      </c>
      <c r="V1902" s="51">
        <f>IF(tblWorkPackages[[#This Row],[Time split]]="Train 2024",tblWorkPackages[[#This Row],[Estimated labor hours]],tblWorkPackages[[#This Row],[Calibrated forecast hours]])</f>
        <v>18.8561224489796</v>
      </c>
      <c r="W1902" s="64">
        <f>DATEVALUE(tblWorkPackages[[#This Row],[Request date]])</f>
        <v>45717.0</v>
      </c>
      <c r="X1902" s="64">
        <f>DATEVALUE(tblWorkPackages[[#This Row],[Due date]])</f>
        <v>45730.0</v>
      </c>
      <c r="Y1902" s="64">
        <f>DATEVALUE(tblWorkPackages[[#This Row],[Completion date]])</f>
        <v>45745.0</v>
      </c>
      <c r="Z1902" s="64">
        <f>_xlfn.MINIFS(tblLaborEntries[Work date serial],tblLaborEntries[Work package ID],tblWorkPackages[[#This Row],[Work package ID]])</f>
        <v>45744.0</v>
      </c>
      <c r="AA1902" s="64">
        <f>_xlfn.MAXIFS(tblLaborEntries[Work date serial],tblLaborEntries[Work package ID],tblWorkPackages[[#This Row],[Work package ID]])</f>
        <v>45745.0</v>
      </c>
      <c r="AB1902" s="65">
        <f>IF(tblWorkPackages[[#This Row],[Completion date serial]]&gt;tblWorkPackages[[#This Row],[Due date serial]],1,0)</f>
        <v>1</v>
      </c>
      <c r="AC1902" s="65">
        <f>MAX(0,tblWorkPackages[[#This Row],[Completion date serial]]-tblWorkPackages[[#This Row],[Due date serial]])</f>
        <v>15</v>
      </c>
      <c r="AD1902" s="65">
        <f>tblWorkPackages[[#This Row],[First labor date]]-tblWorkPackages[[#This Row],[Request date serial]]</f>
        <v>27</v>
      </c>
      <c r="AE1902" s="65">
        <f>tblWorkPackages[[#This Row],[Last labor date]]-tblWorkPackages[[#This Row],[First labor date]]</f>
        <v>1</v>
      </c>
      <c r="AF1902" s="65">
        <f>tblWorkPackages[[#This Row],[Completion date serial]]-tblWorkPackages[[#This Row],[Last labor date]]</f>
        <v>0</v>
      </c>
      <c r="AG1902" s="65">
        <f>tblWorkPackages[[#This Row],[Completion date serial]]-tblWorkPackages[[#This Row],[Request date serial]]</f>
        <v>28</v>
      </c>
      <c r="AH1902" s="65">
        <f>IFERROR(INDEX(tblParts[Delay days],MATCH(tblWorkPackages[[#This Row],[Work package ID]],tblParts[Work package ID],0)),0)</f>
        <v>0</v>
      </c>
      <c r="AI1902" s="51" t="str">
        <f>IFERROR(INDEX(tblDisruptions[Event type],MATCH(tblWorkPackages[[#This Row],[Work package ID]],tblDisruptions[Work package ID],0)),"None")</f>
        <v>None</v>
      </c>
      <c r="AJ1902" s="51" t="str">
        <f>TEXT(tblWorkPackages[[#This Row],[Due date serial]],"yyyy-mm")</f>
        <v>2025-03</v>
      </c>
    </row>
    <row r="1903" spans="1:36" ht="15" x14ac:dyDescent="0.25">
      <c r="A1903" s="53" t="s">
        <v>2814</v>
      </c>
      <c r="B1903" s="53" t="s">
        <v>203</v>
      </c>
      <c r="C1903" s="53" t="s">
        <v>1578</v>
      </c>
      <c r="D1903" s="53" t="s">
        <v>403</v>
      </c>
      <c r="E1903" s="53" t="s">
        <v>242</v>
      </c>
      <c r="F1903" s="53" t="s">
        <v>243</v>
      </c>
      <c r="G1903" s="53" t="s">
        <v>129</v>
      </c>
      <c r="H1903" s="53">
        <v>3</v>
      </c>
      <c r="I1903" s="53" t="s">
        <v>130</v>
      </c>
      <c r="J1903" s="53">
        <v>0</v>
      </c>
      <c r="K1903" s="53">
        <v>0</v>
      </c>
      <c r="L1903" s="53">
        <v>9.6999999999999993</v>
      </c>
      <c r="M1903" s="53" t="s">
        <v>771</v>
      </c>
      <c r="N1903" s="53">
        <v>10.9</v>
      </c>
      <c r="O1903" s="51" t="str">
        <f>TEXT(tblWorkPackages[[#This Row],[Request date serial]]-WEEKDAY(tblWorkPackages[[#This Row],[Request date serial]],3),"yyyy-mm-dd")</f>
        <v>2024-09-23</v>
      </c>
      <c r="P1903" s="51">
        <f>ABS(tblWorkPackages[[#This Row],[Actual labor hours]]-tblWorkPackages[[#This Row],[Estimated labor hours]])</f>
        <v>1.2</v>
      </c>
      <c r="Q1903" s="51">
        <f>IF(tblWorkPackages[[#This Row],[Actual labor hours]]&gt;tblWorkPackages[[#This Row],[Estimated labor hours]],1,0)</f>
        <v>1</v>
      </c>
      <c r="R1903" s="51">
        <f>tblWorkPackages[[#This Row],[Actual labor hours]]-tblWorkPackages[[#This Row],[Estimated labor hours]]</f>
        <v>1.2</v>
      </c>
      <c r="S1903" s="51" t="str">
        <f>IF(tblWorkPackages[[#This Row],[Request date serial]]&lt;ValidationStart,"Train 2024",IF(tblWorkPackages[[#This Row],[Request date serial]]&lt;HoldoutStart,"Validation H1","Holdout H2"))</f>
        <v>Train 2024</v>
      </c>
      <c r="T1903" s="51" t="str">
        <f>IF(tblWorkPackages[[#This Row],[Time split]]="Train 2024","",tblWorkPackages[[#This Row],[Estimated labor hours]]+VLOOKUP(tblWorkPackages[[#This Row],[Task type]],'Forecast validation'!$A$14:$E$25,IF(tblWorkPackages[[#This Row],[Time split]]="Validation H1",4,5),FALSE()))</f>
        <v/>
      </c>
      <c r="U1903" s="51" t="str">
        <f>IF(tblWorkPackages[[#This Row],[Calibrated forecast hours]]="","",ABS(tblWorkPackages[[#This Row],[Actual labor hours]]-tblWorkPackages[[#This Row],[Calibrated forecast hours]]))</f>
        <v/>
      </c>
      <c r="V1903" s="51">
        <f>IF(tblWorkPackages[[#This Row],[Time split]]="Train 2024",tblWorkPackages[[#This Row],[Estimated labor hours]],tblWorkPackages[[#This Row],[Calibrated forecast hours]])</f>
        <v>9.7</v>
      </c>
      <c r="W1903" s="64">
        <f>DATEVALUE(tblWorkPackages[[#This Row],[Request date]])</f>
        <v>45564.0</v>
      </c>
      <c r="X1903" s="64">
        <f>DATEVALUE(tblWorkPackages[[#This Row],[Due date]])</f>
        <v>45577.0</v>
      </c>
      <c r="Y1903" s="64">
        <f>DATEVALUE(tblWorkPackages[[#This Row],[Completion date]])</f>
        <v>45571.0</v>
      </c>
      <c r="Z1903" s="64">
        <f>_xlfn.MINIFS(tblLaborEntries[Work date serial],tblLaborEntries[Work package ID],tblWorkPackages[[#This Row],[Work package ID]])</f>
        <v>45569.0</v>
      </c>
      <c r="AA1903" s="64">
        <f>_xlfn.MAXIFS(tblLaborEntries[Work date serial],tblLaborEntries[Work package ID],tblWorkPackages[[#This Row],[Work package ID]])</f>
        <v>45570.0</v>
      </c>
      <c r="AB1903" s="65">
        <f>IF(tblWorkPackages[[#This Row],[Completion date serial]]&gt;tblWorkPackages[[#This Row],[Due date serial]],1,0)</f>
        <v>0</v>
      </c>
      <c r="AC1903" s="65">
        <f>MAX(0,tblWorkPackages[[#This Row],[Completion date serial]]-tblWorkPackages[[#This Row],[Due date serial]])</f>
        <v>0</v>
      </c>
      <c r="AD1903" s="65">
        <f>tblWorkPackages[[#This Row],[First labor date]]-tblWorkPackages[[#This Row],[Request date serial]]</f>
        <v>5</v>
      </c>
      <c r="AE1903" s="65">
        <f>tblWorkPackages[[#This Row],[Last labor date]]-tblWorkPackages[[#This Row],[First labor date]]</f>
        <v>1</v>
      </c>
      <c r="AF1903" s="65">
        <f>tblWorkPackages[[#This Row],[Completion date serial]]-tblWorkPackages[[#This Row],[Last labor date]]</f>
        <v>1</v>
      </c>
      <c r="AG1903" s="65">
        <f>tblWorkPackages[[#This Row],[Completion date serial]]-tblWorkPackages[[#This Row],[Request date serial]]</f>
        <v>7</v>
      </c>
      <c r="AH1903" s="65">
        <f>IFERROR(INDEX(tblParts[Delay days],MATCH(tblWorkPackages[[#This Row],[Work package ID]],tblParts[Work package ID],0)),0)</f>
        <v>0</v>
      </c>
      <c r="AI1903" s="51" t="str">
        <f>IFERROR(INDEX(tblDisruptions[Event type],MATCH(tblWorkPackages[[#This Row],[Work package ID]],tblDisruptions[Work package ID],0)),"None")</f>
        <v>None</v>
      </c>
      <c r="AJ1903" s="51" t="str">
        <f>TEXT(tblWorkPackages[[#This Row],[Due date serial]],"yyyy-mm")</f>
        <v>2024-10</v>
      </c>
    </row>
    <row r="1904" spans="1:36" ht="15" x14ac:dyDescent="0.25">
      <c r="A1904" s="53" t="s">
        <v>2815</v>
      </c>
      <c r="B1904" s="53" t="s">
        <v>124</v>
      </c>
      <c r="C1904" s="53" t="s">
        <v>1383</v>
      </c>
      <c r="D1904" s="53" t="s">
        <v>504</v>
      </c>
      <c r="E1904" s="53" t="s">
        <v>127</v>
      </c>
      <c r="F1904" s="53" t="s">
        <v>128</v>
      </c>
      <c r="G1904" s="53" t="s">
        <v>129</v>
      </c>
      <c r="H1904" s="53">
        <v>3</v>
      </c>
      <c r="I1904" s="53" t="s">
        <v>176</v>
      </c>
      <c r="J1904" s="53">
        <v>0</v>
      </c>
      <c r="K1904" s="53">
        <v>0</v>
      </c>
      <c r="L1904" s="53">
        <v>9.9</v>
      </c>
      <c r="M1904" s="53" t="s">
        <v>260</v>
      </c>
      <c r="N1904" s="53">
        <v>8.3000000000000007</v>
      </c>
      <c r="O1904" s="51" t="str">
        <f>TEXT(tblWorkPackages[[#This Row],[Request date serial]]-WEEKDAY(tblWorkPackages[[#This Row],[Request date serial]],3),"yyyy-mm-dd")</f>
        <v>2025-01-20</v>
      </c>
      <c r="P1904" s="51">
        <f>ABS(tblWorkPackages[[#This Row],[Actual labor hours]]-tblWorkPackages[[#This Row],[Estimated labor hours]])</f>
        <v>1.6</v>
      </c>
      <c r="Q1904" s="51">
        <f>IF(tblWorkPackages[[#This Row],[Actual labor hours]]&gt;tblWorkPackages[[#This Row],[Estimated labor hours]],1,0)</f>
        <v>0</v>
      </c>
      <c r="R1904" s="51">
        <f>tblWorkPackages[[#This Row],[Actual labor hours]]-tblWorkPackages[[#This Row],[Estimated labor hours]]</f>
        <v>-1.6</v>
      </c>
      <c r="S1904" s="51" t="str">
        <f>IF(tblWorkPackages[[#This Row],[Request date serial]]&lt;ValidationStart,"Train 2024",IF(tblWorkPackages[[#This Row],[Request date serial]]&lt;HoldoutStart,"Validation H1","Holdout H2"))</f>
        <v>Validation H1</v>
      </c>
      <c r="T1904" s="51">
        <f>IF(tblWorkPackages[[#This Row],[Time split]]="Train 2024","",tblWorkPackages[[#This Row],[Estimated labor hours]]+VLOOKUP(tblWorkPackages[[#This Row],[Task type]],'Forecast validation'!$A$14:$E$25,IF(tblWorkPackages[[#This Row],[Time split]]="Validation H1",4,5),FALSE()))</f>
        <v>10.375641025641</v>
      </c>
      <c r="U1904" s="51">
        <f>IF(tblWorkPackages[[#This Row],[Calibrated forecast hours]]="","",ABS(tblWorkPackages[[#This Row],[Actual labor hours]]-tblWorkPackages[[#This Row],[Calibrated forecast hours]]))</f>
        <v>2.07564102564102</v>
      </c>
      <c r="V1904" s="51">
        <f>IF(tblWorkPackages[[#This Row],[Time split]]="Train 2024",tblWorkPackages[[#This Row],[Estimated labor hours]],tblWorkPackages[[#This Row],[Calibrated forecast hours]])</f>
        <v>10.375641025641</v>
      </c>
      <c r="W1904" s="64">
        <f>DATEVALUE(tblWorkPackages[[#This Row],[Request date]])</f>
        <v>45683.0</v>
      </c>
      <c r="X1904" s="64">
        <f>DATEVALUE(tblWorkPackages[[#This Row],[Due date]])</f>
        <v>45689.0</v>
      </c>
      <c r="Y1904" s="64">
        <f>DATEVALUE(tblWorkPackages[[#This Row],[Completion date]])</f>
        <v>45686.0</v>
      </c>
      <c r="Z1904" s="64">
        <f>_xlfn.MINIFS(tblLaborEntries[Work date serial],tblLaborEntries[Work package ID],tblWorkPackages[[#This Row],[Work package ID]])</f>
        <v>45684.0</v>
      </c>
      <c r="AA1904" s="64">
        <f>_xlfn.MAXIFS(tblLaborEntries[Work date serial],tblLaborEntries[Work package ID],tblWorkPackages[[#This Row],[Work package ID]])</f>
        <v>45684.0</v>
      </c>
      <c r="AB1904" s="65">
        <f>IF(tblWorkPackages[[#This Row],[Completion date serial]]&gt;tblWorkPackages[[#This Row],[Due date serial]],1,0)</f>
        <v>0</v>
      </c>
      <c r="AC1904" s="65">
        <f>MAX(0,tblWorkPackages[[#This Row],[Completion date serial]]-tblWorkPackages[[#This Row],[Due date serial]])</f>
        <v>0</v>
      </c>
      <c r="AD1904" s="65">
        <f>tblWorkPackages[[#This Row],[First labor date]]-tblWorkPackages[[#This Row],[Request date serial]]</f>
        <v>1</v>
      </c>
      <c r="AE1904" s="65">
        <f>tblWorkPackages[[#This Row],[Last labor date]]-tblWorkPackages[[#This Row],[First labor date]]</f>
        <v>0</v>
      </c>
      <c r="AF1904" s="65">
        <f>tblWorkPackages[[#This Row],[Completion date serial]]-tblWorkPackages[[#This Row],[Last labor date]]</f>
        <v>2</v>
      </c>
      <c r="AG1904" s="65">
        <f>tblWorkPackages[[#This Row],[Completion date serial]]-tblWorkPackages[[#This Row],[Request date serial]]</f>
        <v>3</v>
      </c>
      <c r="AH1904" s="65">
        <f>IFERROR(INDEX(tblParts[Delay days],MATCH(tblWorkPackages[[#This Row],[Work package ID]],tblParts[Work package ID],0)),0)</f>
        <v>0</v>
      </c>
      <c r="AI1904" s="51" t="str">
        <f>IFERROR(INDEX(tblDisruptions[Event type],MATCH(tblWorkPackages[[#This Row],[Work package ID]],tblDisruptions[Work package ID],0)),"None")</f>
        <v>None</v>
      </c>
      <c r="AJ1904" s="51" t="str">
        <f>TEXT(tblWorkPackages[[#This Row],[Due date serial]],"yyyy-mm")</f>
        <v>2025-02</v>
      </c>
    </row>
    <row r="1905" spans="1:36" ht="15" x14ac:dyDescent="0.25">
      <c r="A1905" s="53" t="s">
        <v>2816</v>
      </c>
      <c r="B1905" s="53" t="s">
        <v>124</v>
      </c>
      <c r="C1905" s="53" t="s">
        <v>935</v>
      </c>
      <c r="D1905" s="53" t="s">
        <v>188</v>
      </c>
      <c r="E1905" s="53" t="s">
        <v>181</v>
      </c>
      <c r="F1905" s="53" t="s">
        <v>182</v>
      </c>
      <c r="G1905" s="53" t="s">
        <v>138</v>
      </c>
      <c r="H1905" s="53">
        <v>3</v>
      </c>
      <c r="I1905" s="53" t="s">
        <v>130</v>
      </c>
      <c r="J1905" s="53">
        <v>0</v>
      </c>
      <c r="K1905" s="53">
        <v>0</v>
      </c>
      <c r="L1905" s="53">
        <v>11.2</v>
      </c>
      <c r="M1905" s="53" t="s">
        <v>353</v>
      </c>
      <c r="N1905" s="53">
        <v>12</v>
      </c>
      <c r="O1905" s="51" t="str">
        <f>TEXT(tblWorkPackages[[#This Row],[Request date serial]]-WEEKDAY(tblWorkPackages[[#This Row],[Request date serial]],3),"yyyy-mm-dd")</f>
        <v>2025-02-10</v>
      </c>
      <c r="P1905" s="51">
        <f>ABS(tblWorkPackages[[#This Row],[Actual labor hours]]-tblWorkPackages[[#This Row],[Estimated labor hours]])</f>
        <v>0.800000000000001</v>
      </c>
      <c r="Q1905" s="51">
        <f>IF(tblWorkPackages[[#This Row],[Actual labor hours]]&gt;tblWorkPackages[[#This Row],[Estimated labor hours]],1,0)</f>
        <v>1</v>
      </c>
      <c r="R1905" s="51">
        <f>tblWorkPackages[[#This Row],[Actual labor hours]]-tblWorkPackages[[#This Row],[Estimated labor hours]]</f>
        <v>0.800000000000001</v>
      </c>
      <c r="S1905" s="51" t="str">
        <f>IF(tblWorkPackages[[#This Row],[Request date serial]]&lt;ValidationStart,"Train 2024",IF(tblWorkPackages[[#This Row],[Request date serial]]&lt;HoldoutStart,"Validation H1","Holdout H2"))</f>
        <v>Validation H1</v>
      </c>
      <c r="T1905" s="51">
        <f>IF(tblWorkPackages[[#This Row],[Time split]]="Train 2024","",tblWorkPackages[[#This Row],[Estimated labor hours]]+VLOOKUP(tblWorkPackages[[#This Row],[Task type]],'Forecast validation'!$A$14:$E$25,IF(tblWorkPackages[[#This Row],[Time split]]="Validation H1",4,5),FALSE()))</f>
        <v>11.7840909090909</v>
      </c>
      <c r="U1905" s="51">
        <f>IF(tblWorkPackages[[#This Row],[Calibrated forecast hours]]="","",ABS(tblWorkPackages[[#This Row],[Actual labor hours]]-tblWorkPackages[[#This Row],[Calibrated forecast hours]]))</f>
        <v>0.215909090909092</v>
      </c>
      <c r="V1905" s="51">
        <f>IF(tblWorkPackages[[#This Row],[Time split]]="Train 2024",tblWorkPackages[[#This Row],[Estimated labor hours]],tblWorkPackages[[#This Row],[Calibrated forecast hours]])</f>
        <v>11.7840909090909</v>
      </c>
      <c r="W1905" s="64">
        <f>DATEVALUE(tblWorkPackages[[#This Row],[Request date]])</f>
        <v>45698.0</v>
      </c>
      <c r="X1905" s="64">
        <f>DATEVALUE(tblWorkPackages[[#This Row],[Due date]])</f>
        <v>45711.0</v>
      </c>
      <c r="Y1905" s="64">
        <f>DATEVALUE(tblWorkPackages[[#This Row],[Completion date]])</f>
        <v>45715.0</v>
      </c>
      <c r="Z1905" s="64">
        <f>_xlfn.MINIFS(tblLaborEntries[Work date serial],tblLaborEntries[Work package ID],tblWorkPackages[[#This Row],[Work package ID]])</f>
        <v>45711.0</v>
      </c>
      <c r="AA1905" s="64">
        <f>_xlfn.MAXIFS(tblLaborEntries[Work date serial],tblLaborEntries[Work package ID],tblWorkPackages[[#This Row],[Work package ID]])</f>
        <v>45712.0</v>
      </c>
      <c r="AB1905" s="65">
        <f>IF(tblWorkPackages[[#This Row],[Completion date serial]]&gt;tblWorkPackages[[#This Row],[Due date serial]],1,0)</f>
        <v>1</v>
      </c>
      <c r="AC1905" s="65">
        <f>MAX(0,tblWorkPackages[[#This Row],[Completion date serial]]-tblWorkPackages[[#This Row],[Due date serial]])</f>
        <v>4</v>
      </c>
      <c r="AD1905" s="65">
        <f>tblWorkPackages[[#This Row],[First labor date]]-tblWorkPackages[[#This Row],[Request date serial]]</f>
        <v>13</v>
      </c>
      <c r="AE1905" s="65">
        <f>tblWorkPackages[[#This Row],[Last labor date]]-tblWorkPackages[[#This Row],[First labor date]]</f>
        <v>1</v>
      </c>
      <c r="AF1905" s="65">
        <f>tblWorkPackages[[#This Row],[Completion date serial]]-tblWorkPackages[[#This Row],[Last labor date]]</f>
        <v>3</v>
      </c>
      <c r="AG1905" s="65">
        <f>tblWorkPackages[[#This Row],[Completion date serial]]-tblWorkPackages[[#This Row],[Request date serial]]</f>
        <v>17</v>
      </c>
      <c r="AH1905" s="65">
        <f>IFERROR(INDEX(tblParts[Delay days],MATCH(tblWorkPackages[[#This Row],[Work package ID]],tblParts[Work package ID],0)),0)</f>
        <v>0</v>
      </c>
      <c r="AI1905" s="51" t="str">
        <f>IFERROR(INDEX(tblDisruptions[Event type],MATCH(tblWorkPackages[[#This Row],[Work package ID]],tblDisruptions[Work package ID],0)),"None")</f>
        <v>None</v>
      </c>
      <c r="AJ1905" s="51" t="str">
        <f>TEXT(tblWorkPackages[[#This Row],[Due date serial]],"yyyy-mm")</f>
        <v>2025-02</v>
      </c>
    </row>
    <row r="1906" spans="1:36" ht="15" x14ac:dyDescent="0.25">
      <c r="A1906" s="53" t="s">
        <v>2817</v>
      </c>
      <c r="B1906" s="53" t="s">
        <v>173</v>
      </c>
      <c r="C1906" s="53" t="s">
        <v>174</v>
      </c>
      <c r="D1906" s="53" t="s">
        <v>175</v>
      </c>
      <c r="E1906" s="53" t="s">
        <v>127</v>
      </c>
      <c r="F1906" s="53" t="s">
        <v>128</v>
      </c>
      <c r="G1906" s="53" t="s">
        <v>129</v>
      </c>
      <c r="H1906" s="53">
        <v>4</v>
      </c>
      <c r="I1906" s="53" t="s">
        <v>176</v>
      </c>
      <c r="J1906" s="53">
        <v>0</v>
      </c>
      <c r="K1906" s="53">
        <v>0</v>
      </c>
      <c r="L1906" s="53">
        <v>13.3</v>
      </c>
      <c r="M1906" s="53" t="s">
        <v>502</v>
      </c>
      <c r="N1906" s="53">
        <v>13.5</v>
      </c>
      <c r="O1906" s="51" t="str">
        <f>TEXT(tblWorkPackages[[#This Row],[Request date serial]]-WEEKDAY(tblWorkPackages[[#This Row],[Request date serial]],3),"yyyy-mm-dd")</f>
        <v>2025-06-23</v>
      </c>
      <c r="P1906" s="51">
        <f>ABS(tblWorkPackages[[#This Row],[Actual labor hours]]-tblWorkPackages[[#This Row],[Estimated labor hours]])</f>
        <v>0.199999999999999</v>
      </c>
      <c r="Q1906" s="51">
        <f>IF(tblWorkPackages[[#This Row],[Actual labor hours]]&gt;tblWorkPackages[[#This Row],[Estimated labor hours]],1,0)</f>
        <v>1</v>
      </c>
      <c r="R1906" s="51">
        <f>tblWorkPackages[[#This Row],[Actual labor hours]]-tblWorkPackages[[#This Row],[Estimated labor hours]]</f>
        <v>0.199999999999999</v>
      </c>
      <c r="S1906" s="51" t="str">
        <f>IF(tblWorkPackages[[#This Row],[Request date serial]]&lt;ValidationStart,"Train 2024",IF(tblWorkPackages[[#This Row],[Request date serial]]&lt;HoldoutStart,"Validation H1","Holdout H2"))</f>
        <v>Validation H1</v>
      </c>
      <c r="T1906" s="51">
        <f>IF(tblWorkPackages[[#This Row],[Time split]]="Train 2024","",tblWorkPackages[[#This Row],[Estimated labor hours]]+VLOOKUP(tblWorkPackages[[#This Row],[Task type]],'Forecast validation'!$A$14:$E$25,IF(tblWorkPackages[[#This Row],[Time split]]="Validation H1",4,5),FALSE()))</f>
        <v>13.775641025641</v>
      </c>
      <c r="U1906" s="51">
        <f>IF(tblWorkPackages[[#This Row],[Calibrated forecast hours]]="","",ABS(tblWorkPackages[[#This Row],[Actual labor hours]]-tblWorkPackages[[#This Row],[Calibrated forecast hours]]))</f>
        <v>0.275641025641026</v>
      </c>
      <c r="V1906" s="51">
        <f>IF(tblWorkPackages[[#This Row],[Time split]]="Train 2024",tblWorkPackages[[#This Row],[Estimated labor hours]],tblWorkPackages[[#This Row],[Calibrated forecast hours]])</f>
        <v>13.775641025641</v>
      </c>
      <c r="W1906" s="64">
        <f>DATEVALUE(tblWorkPackages[[#This Row],[Request date]])</f>
        <v>45836.0</v>
      </c>
      <c r="X1906" s="64">
        <f>DATEVALUE(tblWorkPackages[[#This Row],[Due date]])</f>
        <v>45842.0</v>
      </c>
      <c r="Y1906" s="64">
        <f>DATEVALUE(tblWorkPackages[[#This Row],[Completion date]])</f>
        <v>45840.0</v>
      </c>
      <c r="Z1906" s="64">
        <f>_xlfn.MINIFS(tblLaborEntries[Work date serial],tblLaborEntries[Work package ID],tblWorkPackages[[#This Row],[Work package ID]])</f>
        <v>45839.0</v>
      </c>
      <c r="AA1906" s="64">
        <f>_xlfn.MAXIFS(tblLaborEntries[Work date serial],tblLaborEntries[Work package ID],tblWorkPackages[[#This Row],[Work package ID]])</f>
        <v>45840.0</v>
      </c>
      <c r="AB1906" s="65">
        <f>IF(tblWorkPackages[[#This Row],[Completion date serial]]&gt;tblWorkPackages[[#This Row],[Due date serial]],1,0)</f>
        <v>0</v>
      </c>
      <c r="AC1906" s="65">
        <f>MAX(0,tblWorkPackages[[#This Row],[Completion date serial]]-tblWorkPackages[[#This Row],[Due date serial]])</f>
        <v>0</v>
      </c>
      <c r="AD1906" s="65">
        <f>tblWorkPackages[[#This Row],[First labor date]]-tblWorkPackages[[#This Row],[Request date serial]]</f>
        <v>3</v>
      </c>
      <c r="AE1906" s="65">
        <f>tblWorkPackages[[#This Row],[Last labor date]]-tblWorkPackages[[#This Row],[First labor date]]</f>
        <v>1</v>
      </c>
      <c r="AF1906" s="65">
        <f>tblWorkPackages[[#This Row],[Completion date serial]]-tblWorkPackages[[#This Row],[Last labor date]]</f>
        <v>0</v>
      </c>
      <c r="AG1906" s="65">
        <f>tblWorkPackages[[#This Row],[Completion date serial]]-tblWorkPackages[[#This Row],[Request date serial]]</f>
        <v>4</v>
      </c>
      <c r="AH1906" s="65">
        <f>IFERROR(INDEX(tblParts[Delay days],MATCH(tblWorkPackages[[#This Row],[Work package ID]],tblParts[Work package ID],0)),0)</f>
        <v>0</v>
      </c>
      <c r="AI1906" s="51" t="str">
        <f>IFERROR(INDEX(tblDisruptions[Event type],MATCH(tblWorkPackages[[#This Row],[Work package ID]],tblDisruptions[Work package ID],0)),"None")</f>
        <v>None</v>
      </c>
      <c r="AJ1906" s="51" t="str">
        <f>TEXT(tblWorkPackages[[#This Row],[Due date serial]],"yyyy-mm")</f>
        <v>2025-07</v>
      </c>
    </row>
    <row r="1907" spans="1:36" ht="15" x14ac:dyDescent="0.25">
      <c r="A1907" s="53" t="s">
        <v>2818</v>
      </c>
      <c r="B1907" s="53" t="s">
        <v>163</v>
      </c>
      <c r="C1907" s="53" t="s">
        <v>1172</v>
      </c>
      <c r="D1907" s="53" t="s">
        <v>916</v>
      </c>
      <c r="E1907" s="53" t="s">
        <v>200</v>
      </c>
      <c r="F1907" s="53" t="s">
        <v>128</v>
      </c>
      <c r="G1907" s="53" t="s">
        <v>129</v>
      </c>
      <c r="H1907" s="53">
        <v>4</v>
      </c>
      <c r="I1907" s="53" t="s">
        <v>130</v>
      </c>
      <c r="J1907" s="53">
        <v>1</v>
      </c>
      <c r="K1907" s="53">
        <v>0</v>
      </c>
      <c r="L1907" s="53">
        <v>6</v>
      </c>
      <c r="M1907" s="53" t="s">
        <v>568</v>
      </c>
      <c r="N1907" s="53">
        <v>6.2</v>
      </c>
      <c r="O1907" s="51" t="str">
        <f>TEXT(tblWorkPackages[[#This Row],[Request date serial]]-WEEKDAY(tblWorkPackages[[#This Row],[Request date serial]],3),"yyyy-mm-dd")</f>
        <v>2025-04-14</v>
      </c>
      <c r="P1907" s="51">
        <f>ABS(tblWorkPackages[[#This Row],[Actual labor hours]]-tblWorkPackages[[#This Row],[Estimated labor hours]])</f>
        <v>0.2</v>
      </c>
      <c r="Q1907" s="51">
        <f>IF(tblWorkPackages[[#This Row],[Actual labor hours]]&gt;tblWorkPackages[[#This Row],[Estimated labor hours]],1,0)</f>
        <v>1</v>
      </c>
      <c r="R1907" s="51">
        <f>tblWorkPackages[[#This Row],[Actual labor hours]]-tblWorkPackages[[#This Row],[Estimated labor hours]]</f>
        <v>0.2</v>
      </c>
      <c r="S1907" s="51" t="str">
        <f>IF(tblWorkPackages[[#This Row],[Request date serial]]&lt;ValidationStart,"Train 2024",IF(tblWorkPackages[[#This Row],[Request date serial]]&lt;HoldoutStart,"Validation H1","Holdout H2"))</f>
        <v>Validation H1</v>
      </c>
      <c r="T1907" s="51">
        <f>IF(tblWorkPackages[[#This Row],[Time split]]="Train 2024","",tblWorkPackages[[#This Row],[Estimated labor hours]]+VLOOKUP(tblWorkPackages[[#This Row],[Task type]],'Forecast validation'!$A$14:$E$25,IF(tblWorkPackages[[#This Row],[Time split]]="Validation H1",4,5),FALSE()))</f>
        <v>6.33069306930693</v>
      </c>
      <c r="U1907" s="51">
        <f>IF(tblWorkPackages[[#This Row],[Calibrated forecast hours]]="","",ABS(tblWorkPackages[[#This Row],[Actual labor hours]]-tblWorkPackages[[#This Row],[Calibrated forecast hours]]))</f>
        <v>0.130693069306931</v>
      </c>
      <c r="V1907" s="51">
        <f>IF(tblWorkPackages[[#This Row],[Time split]]="Train 2024",tblWorkPackages[[#This Row],[Estimated labor hours]],tblWorkPackages[[#This Row],[Calibrated forecast hours]])</f>
        <v>6.33069306930693</v>
      </c>
      <c r="W1907" s="64">
        <f>DATEVALUE(tblWorkPackages[[#This Row],[Request date]])</f>
        <v>45764.0</v>
      </c>
      <c r="X1907" s="64">
        <f>DATEVALUE(tblWorkPackages[[#This Row],[Due date]])</f>
        <v>45777.0</v>
      </c>
      <c r="Y1907" s="64">
        <f>DATEVALUE(tblWorkPackages[[#This Row],[Completion date]])</f>
        <v>45813.0</v>
      </c>
      <c r="Z1907" s="64">
        <f>_xlfn.MINIFS(tblLaborEntries[Work date serial],tblLaborEntries[Work package ID],tblWorkPackages[[#This Row],[Work package ID]])</f>
        <v>45812.0</v>
      </c>
      <c r="AA1907" s="64">
        <f>_xlfn.MAXIFS(tblLaborEntries[Work date serial],tblLaborEntries[Work package ID],tblWorkPackages[[#This Row],[Work package ID]])</f>
        <v>45812.0</v>
      </c>
      <c r="AB1907" s="65">
        <f>IF(tblWorkPackages[[#This Row],[Completion date serial]]&gt;tblWorkPackages[[#This Row],[Due date serial]],1,0)</f>
        <v>1</v>
      </c>
      <c r="AC1907" s="65">
        <f>MAX(0,tblWorkPackages[[#This Row],[Completion date serial]]-tblWorkPackages[[#This Row],[Due date serial]])</f>
        <v>36</v>
      </c>
      <c r="AD1907" s="65">
        <f>tblWorkPackages[[#This Row],[First labor date]]-tblWorkPackages[[#This Row],[Request date serial]]</f>
        <v>48</v>
      </c>
      <c r="AE1907" s="65">
        <f>tblWorkPackages[[#This Row],[Last labor date]]-tblWorkPackages[[#This Row],[First labor date]]</f>
        <v>0</v>
      </c>
      <c r="AF1907" s="65">
        <f>tblWorkPackages[[#This Row],[Completion date serial]]-tblWorkPackages[[#This Row],[Last labor date]]</f>
        <v>1</v>
      </c>
      <c r="AG1907" s="65">
        <f>tblWorkPackages[[#This Row],[Completion date serial]]-tblWorkPackages[[#This Row],[Request date serial]]</f>
        <v>49</v>
      </c>
      <c r="AH1907" s="65">
        <f>IFERROR(INDEX(tblParts[Delay days],MATCH(tblWorkPackages[[#This Row],[Work package ID]],tblParts[Work package ID],0)),0)</f>
        <v>0</v>
      </c>
      <c r="AI1907" s="51" t="str">
        <f>IFERROR(INDEX(tblDisruptions[Event type],MATCH(tblWorkPackages[[#This Row],[Work package ID]],tblDisruptions[Work package ID],0)),"None")</f>
        <v>None</v>
      </c>
      <c r="AJ1907" s="51" t="str">
        <f>TEXT(tblWorkPackages[[#This Row],[Due date serial]],"yyyy-mm")</f>
        <v>2025-04</v>
      </c>
    </row>
    <row r="1908" spans="1:36" ht="15" x14ac:dyDescent="0.25">
      <c r="A1908" s="53" t="s">
        <v>2819</v>
      </c>
      <c r="B1908" s="53" t="s">
        <v>157</v>
      </c>
      <c r="C1908" s="53" t="s">
        <v>386</v>
      </c>
      <c r="D1908" s="53" t="s">
        <v>433</v>
      </c>
      <c r="E1908" s="53" t="s">
        <v>144</v>
      </c>
      <c r="F1908" s="53" t="s">
        <v>145</v>
      </c>
      <c r="G1908" s="53" t="s">
        <v>146</v>
      </c>
      <c r="H1908" s="53">
        <v>3</v>
      </c>
      <c r="I1908" s="53" t="s">
        <v>176</v>
      </c>
      <c r="J1908" s="53">
        <v>0</v>
      </c>
      <c r="K1908" s="53">
        <v>1</v>
      </c>
      <c r="L1908" s="53">
        <v>12.4</v>
      </c>
      <c r="M1908" s="53" t="s">
        <v>1546</v>
      </c>
      <c r="N1908" s="53">
        <v>15.8</v>
      </c>
      <c r="O1908" s="51" t="str">
        <f>TEXT(tblWorkPackages[[#This Row],[Request date serial]]-WEEKDAY(tblWorkPackages[[#This Row],[Request date serial]],3),"yyyy-mm-dd")</f>
        <v>2024-08-26</v>
      </c>
      <c r="P1908" s="51">
        <f>ABS(tblWorkPackages[[#This Row],[Actual labor hours]]-tblWorkPackages[[#This Row],[Estimated labor hours]])</f>
        <v>3.4</v>
      </c>
      <c r="Q1908" s="51">
        <f>IF(tblWorkPackages[[#This Row],[Actual labor hours]]&gt;tblWorkPackages[[#This Row],[Estimated labor hours]],1,0)</f>
        <v>1</v>
      </c>
      <c r="R1908" s="51">
        <f>tblWorkPackages[[#This Row],[Actual labor hours]]-tblWorkPackages[[#This Row],[Estimated labor hours]]</f>
        <v>3.4</v>
      </c>
      <c r="S1908" s="51" t="str">
        <f>IF(tblWorkPackages[[#This Row],[Request date serial]]&lt;ValidationStart,"Train 2024",IF(tblWorkPackages[[#This Row],[Request date serial]]&lt;HoldoutStart,"Validation H1","Holdout H2"))</f>
        <v>Train 2024</v>
      </c>
      <c r="T1908" s="51" t="str">
        <f>IF(tblWorkPackages[[#This Row],[Time split]]="Train 2024","",tblWorkPackages[[#This Row],[Estimated labor hours]]+VLOOKUP(tblWorkPackages[[#This Row],[Task type]],'Forecast validation'!$A$14:$E$25,IF(tblWorkPackages[[#This Row],[Time split]]="Validation H1",4,5),FALSE()))</f>
        <v/>
      </c>
      <c r="U1908" s="51" t="str">
        <f>IF(tblWorkPackages[[#This Row],[Calibrated forecast hours]]="","",ABS(tblWorkPackages[[#This Row],[Actual labor hours]]-tblWorkPackages[[#This Row],[Calibrated forecast hours]]))</f>
        <v/>
      </c>
      <c r="V1908" s="51">
        <f>IF(tblWorkPackages[[#This Row],[Time split]]="Train 2024",tblWorkPackages[[#This Row],[Estimated labor hours]],tblWorkPackages[[#This Row],[Calibrated forecast hours]])</f>
        <v>12.4</v>
      </c>
      <c r="W1908" s="64">
        <f>DATEVALUE(tblWorkPackages[[#This Row],[Request date]])</f>
        <v>45533.0</v>
      </c>
      <c r="X1908" s="64">
        <f>DATEVALUE(tblWorkPackages[[#This Row],[Due date]])</f>
        <v>45539.0</v>
      </c>
      <c r="Y1908" s="64">
        <f>DATEVALUE(tblWorkPackages[[#This Row],[Completion date]])</f>
        <v>45551.0</v>
      </c>
      <c r="Z1908" s="64">
        <f>_xlfn.MINIFS(tblLaborEntries[Work date serial],tblLaborEntries[Work package ID],tblWorkPackages[[#This Row],[Work package ID]])</f>
        <v>45548.0</v>
      </c>
      <c r="AA1908" s="64">
        <f>_xlfn.MAXIFS(tblLaborEntries[Work date serial],tblLaborEntries[Work package ID],tblWorkPackages[[#This Row],[Work package ID]])</f>
        <v>45549.0</v>
      </c>
      <c r="AB1908" s="65">
        <f>IF(tblWorkPackages[[#This Row],[Completion date serial]]&gt;tblWorkPackages[[#This Row],[Due date serial]],1,0)</f>
        <v>1</v>
      </c>
      <c r="AC1908" s="65">
        <f>MAX(0,tblWorkPackages[[#This Row],[Completion date serial]]-tblWorkPackages[[#This Row],[Due date serial]])</f>
        <v>12</v>
      </c>
      <c r="AD1908" s="65">
        <f>tblWorkPackages[[#This Row],[First labor date]]-tblWorkPackages[[#This Row],[Request date serial]]</f>
        <v>15</v>
      </c>
      <c r="AE1908" s="65">
        <f>tblWorkPackages[[#This Row],[Last labor date]]-tblWorkPackages[[#This Row],[First labor date]]</f>
        <v>1</v>
      </c>
      <c r="AF1908" s="65">
        <f>tblWorkPackages[[#This Row],[Completion date serial]]-tblWorkPackages[[#This Row],[Last labor date]]</f>
        <v>2</v>
      </c>
      <c r="AG1908" s="65">
        <f>tblWorkPackages[[#This Row],[Completion date serial]]-tblWorkPackages[[#This Row],[Request date serial]]</f>
        <v>18</v>
      </c>
      <c r="AH1908" s="65">
        <f>IFERROR(INDEX(tblParts[Delay days],MATCH(tblWorkPackages[[#This Row],[Work package ID]],tblParts[Work package ID],0)),0)</f>
        <v>7</v>
      </c>
      <c r="AI1908" s="51" t="str">
        <f>IFERROR(INDEX(tblDisruptions[Event type],MATCH(tblWorkPackages[[#This Row],[Work package ID]],tblDisruptions[Work package ID],0)),"None")</f>
        <v>Part delay</v>
      </c>
      <c r="AJ1908" s="51" t="str">
        <f>TEXT(tblWorkPackages[[#This Row],[Due date serial]],"yyyy-mm")</f>
        <v>2024-09</v>
      </c>
    </row>
    <row r="1909" spans="1:36" ht="15" x14ac:dyDescent="0.25">
      <c r="A1909" s="53" t="s">
        <v>2820</v>
      </c>
      <c r="B1909" s="53" t="s">
        <v>141</v>
      </c>
      <c r="C1909" s="53" t="s">
        <v>1178</v>
      </c>
      <c r="D1909" s="53" t="s">
        <v>683</v>
      </c>
      <c r="E1909" s="53" t="s">
        <v>272</v>
      </c>
      <c r="F1909" s="53" t="s">
        <v>145</v>
      </c>
      <c r="G1909" s="53" t="s">
        <v>273</v>
      </c>
      <c r="H1909" s="53">
        <v>3</v>
      </c>
      <c r="I1909" s="53" t="s">
        <v>130</v>
      </c>
      <c r="J1909" s="53">
        <v>0</v>
      </c>
      <c r="K1909" s="53">
        <v>0</v>
      </c>
      <c r="L1909" s="53">
        <v>13.8</v>
      </c>
      <c r="M1909" s="53" t="s">
        <v>625</v>
      </c>
      <c r="N1909" s="53">
        <v>12.9</v>
      </c>
      <c r="O1909" s="51" t="str">
        <f>TEXT(tblWorkPackages[[#This Row],[Request date serial]]-WEEKDAY(tblWorkPackages[[#This Row],[Request date serial]],3),"yyyy-mm-dd")</f>
        <v>2025-09-15</v>
      </c>
      <c r="P1909" s="51">
        <f>ABS(tblWorkPackages[[#This Row],[Actual labor hours]]-tblWorkPackages[[#This Row],[Estimated labor hours]])</f>
        <v>0.9</v>
      </c>
      <c r="Q1909" s="51">
        <f>IF(tblWorkPackages[[#This Row],[Actual labor hours]]&gt;tblWorkPackages[[#This Row],[Estimated labor hours]],1,0)</f>
        <v>0</v>
      </c>
      <c r="R1909" s="51">
        <f>tblWorkPackages[[#This Row],[Actual labor hours]]-tblWorkPackages[[#This Row],[Estimated labor hours]]</f>
        <v>-0.9</v>
      </c>
      <c r="S1909" s="51" t="str">
        <f>IF(tblWorkPackages[[#This Row],[Request date serial]]&lt;ValidationStart,"Train 2024",IF(tblWorkPackages[[#This Row],[Request date serial]]&lt;HoldoutStart,"Validation H1","Holdout H2"))</f>
        <v>Holdout H2</v>
      </c>
      <c r="T1909" s="51">
        <f>IF(tblWorkPackages[[#This Row],[Time split]]="Train 2024","",tblWorkPackages[[#This Row],[Estimated labor hours]]+VLOOKUP(tblWorkPackages[[#This Row],[Task type]],'Forecast validation'!$A$14:$E$25,IF(tblWorkPackages[[#This Row],[Time split]]="Validation H1",4,5),FALSE()))</f>
        <v>14.78515625</v>
      </c>
      <c r="U1909" s="51">
        <f>IF(tblWorkPackages[[#This Row],[Calibrated forecast hours]]="","",ABS(tblWorkPackages[[#This Row],[Actual labor hours]]-tblWorkPackages[[#This Row],[Calibrated forecast hours]]))</f>
        <v>1.88515625</v>
      </c>
      <c r="V1909" s="51">
        <f>IF(tblWorkPackages[[#This Row],[Time split]]="Train 2024",tblWorkPackages[[#This Row],[Estimated labor hours]],tblWorkPackages[[#This Row],[Calibrated forecast hours]])</f>
        <v>14.78515625</v>
      </c>
      <c r="W1909" s="64">
        <f>DATEVALUE(tblWorkPackages[[#This Row],[Request date]])</f>
        <v>45919.0</v>
      </c>
      <c r="X1909" s="64">
        <f>DATEVALUE(tblWorkPackages[[#This Row],[Due date]])</f>
        <v>45932.0</v>
      </c>
      <c r="Y1909" s="64">
        <f>DATEVALUE(tblWorkPackages[[#This Row],[Completion date]])</f>
        <v>45924.0</v>
      </c>
      <c r="Z1909" s="64">
        <f>_xlfn.MINIFS(tblLaborEntries[Work date serial],tblLaborEntries[Work package ID],tblWorkPackages[[#This Row],[Work package ID]])</f>
        <v>45921.0</v>
      </c>
      <c r="AA1909" s="64">
        <f>_xlfn.MAXIFS(tblLaborEntries[Work date serial],tblLaborEntries[Work package ID],tblWorkPackages[[#This Row],[Work package ID]])</f>
        <v>45921.0</v>
      </c>
      <c r="AB1909" s="65">
        <f>IF(tblWorkPackages[[#This Row],[Completion date serial]]&gt;tblWorkPackages[[#This Row],[Due date serial]],1,0)</f>
        <v>0</v>
      </c>
      <c r="AC1909" s="65">
        <f>MAX(0,tblWorkPackages[[#This Row],[Completion date serial]]-tblWorkPackages[[#This Row],[Due date serial]])</f>
        <v>0</v>
      </c>
      <c r="AD1909" s="65">
        <f>tblWorkPackages[[#This Row],[First labor date]]-tblWorkPackages[[#This Row],[Request date serial]]</f>
        <v>2</v>
      </c>
      <c r="AE1909" s="65">
        <f>tblWorkPackages[[#This Row],[Last labor date]]-tblWorkPackages[[#This Row],[First labor date]]</f>
        <v>0</v>
      </c>
      <c r="AF1909" s="65">
        <f>tblWorkPackages[[#This Row],[Completion date serial]]-tblWorkPackages[[#This Row],[Last labor date]]</f>
        <v>3</v>
      </c>
      <c r="AG1909" s="65">
        <f>tblWorkPackages[[#This Row],[Completion date serial]]-tblWorkPackages[[#This Row],[Request date serial]]</f>
        <v>5</v>
      </c>
      <c r="AH1909" s="65">
        <f>IFERROR(INDEX(tblParts[Delay days],MATCH(tblWorkPackages[[#This Row],[Work package ID]],tblParts[Work package ID],0)),0)</f>
        <v>0</v>
      </c>
      <c r="AI1909" s="51" t="str">
        <f>IFERROR(INDEX(tblDisruptions[Event type],MATCH(tblWorkPackages[[#This Row],[Work package ID]],tblDisruptions[Work package ID],0)),"None")</f>
        <v>None</v>
      </c>
      <c r="AJ1909" s="51" t="str">
        <f>TEXT(tblWorkPackages[[#This Row],[Due date serial]],"yyyy-mm")</f>
        <v>2025-10</v>
      </c>
    </row>
    <row r="1910" spans="1:36" ht="15" x14ac:dyDescent="0.25">
      <c r="A1910" s="53" t="s">
        <v>2821</v>
      </c>
      <c r="B1910" s="53" t="s">
        <v>168</v>
      </c>
      <c r="C1910" s="53" t="s">
        <v>1172</v>
      </c>
      <c r="D1910" s="53" t="s">
        <v>807</v>
      </c>
      <c r="E1910" s="53" t="s">
        <v>127</v>
      </c>
      <c r="F1910" s="53" t="s">
        <v>128</v>
      </c>
      <c r="G1910" s="53" t="s">
        <v>129</v>
      </c>
      <c r="H1910" s="53">
        <v>1</v>
      </c>
      <c r="I1910" s="53" t="s">
        <v>147</v>
      </c>
      <c r="J1910" s="53">
        <v>1</v>
      </c>
      <c r="K1910" s="53">
        <v>1</v>
      </c>
      <c r="L1910" s="53">
        <v>5.4</v>
      </c>
      <c r="M1910" s="53" t="s">
        <v>1004</v>
      </c>
      <c r="N1910" s="53">
        <v>5.0999999999999996</v>
      </c>
      <c r="O1910" s="51" t="str">
        <f>TEXT(tblWorkPackages[[#This Row],[Request date serial]]-WEEKDAY(tblWorkPackages[[#This Row],[Request date serial]],3),"yyyy-mm-dd")</f>
        <v>2025-04-14</v>
      </c>
      <c r="P1910" s="51">
        <f>ABS(tblWorkPackages[[#This Row],[Actual labor hours]]-tblWorkPackages[[#This Row],[Estimated labor hours]])</f>
        <v>0.300000000000001</v>
      </c>
      <c r="Q1910" s="51">
        <f>IF(tblWorkPackages[[#This Row],[Actual labor hours]]&gt;tblWorkPackages[[#This Row],[Estimated labor hours]],1,0)</f>
        <v>0</v>
      </c>
      <c r="R1910" s="51">
        <f>tblWorkPackages[[#This Row],[Actual labor hours]]-tblWorkPackages[[#This Row],[Estimated labor hours]]</f>
        <v>-0.300000000000001</v>
      </c>
      <c r="S1910" s="51" t="str">
        <f>IF(tblWorkPackages[[#This Row],[Request date serial]]&lt;ValidationStart,"Train 2024",IF(tblWorkPackages[[#This Row],[Request date serial]]&lt;HoldoutStart,"Validation H1","Holdout H2"))</f>
        <v>Validation H1</v>
      </c>
      <c r="T1910" s="51">
        <f>IF(tblWorkPackages[[#This Row],[Time split]]="Train 2024","",tblWorkPackages[[#This Row],[Estimated labor hours]]+VLOOKUP(tblWorkPackages[[#This Row],[Task type]],'Forecast validation'!$A$14:$E$25,IF(tblWorkPackages[[#This Row],[Time split]]="Validation H1",4,5),FALSE()))</f>
        <v>5.87564102564103</v>
      </c>
      <c r="U1910" s="51">
        <f>IF(tblWorkPackages[[#This Row],[Calibrated forecast hours]]="","",ABS(tblWorkPackages[[#This Row],[Actual labor hours]]-tblWorkPackages[[#This Row],[Calibrated forecast hours]]))</f>
        <v>0.775641025641026</v>
      </c>
      <c r="V1910" s="51">
        <f>IF(tblWorkPackages[[#This Row],[Time split]]="Train 2024",tblWorkPackages[[#This Row],[Estimated labor hours]],tblWorkPackages[[#This Row],[Calibrated forecast hours]])</f>
        <v>5.87564102564103</v>
      </c>
      <c r="W1910" s="64">
        <f>DATEVALUE(tblWorkPackages[[#This Row],[Request date]])</f>
        <v>45764.0</v>
      </c>
      <c r="X1910" s="64">
        <f>DATEVALUE(tblWorkPackages[[#This Row],[Due date]])</f>
        <v>45766.0</v>
      </c>
      <c r="Y1910" s="64">
        <f>DATEVALUE(tblWorkPackages[[#This Row],[Completion date]])</f>
        <v>45785.0</v>
      </c>
      <c r="Z1910" s="64">
        <f>_xlfn.MINIFS(tblLaborEntries[Work date serial],tblLaborEntries[Work package ID],tblWorkPackages[[#This Row],[Work package ID]])</f>
        <v>45783.0</v>
      </c>
      <c r="AA1910" s="64">
        <f>_xlfn.MAXIFS(tblLaborEntries[Work date serial],tblLaborEntries[Work package ID],tblWorkPackages[[#This Row],[Work package ID]])</f>
        <v>45785.0</v>
      </c>
      <c r="AB1910" s="65">
        <f>IF(tblWorkPackages[[#This Row],[Completion date serial]]&gt;tblWorkPackages[[#This Row],[Due date serial]],1,0)</f>
        <v>1</v>
      </c>
      <c r="AC1910" s="65">
        <f>MAX(0,tblWorkPackages[[#This Row],[Completion date serial]]-tblWorkPackages[[#This Row],[Due date serial]])</f>
        <v>19</v>
      </c>
      <c r="AD1910" s="65">
        <f>tblWorkPackages[[#This Row],[First labor date]]-tblWorkPackages[[#This Row],[Request date serial]]</f>
        <v>19</v>
      </c>
      <c r="AE1910" s="65">
        <f>tblWorkPackages[[#This Row],[Last labor date]]-tblWorkPackages[[#This Row],[First labor date]]</f>
        <v>2</v>
      </c>
      <c r="AF1910" s="65">
        <f>tblWorkPackages[[#This Row],[Completion date serial]]-tblWorkPackages[[#This Row],[Last labor date]]</f>
        <v>0</v>
      </c>
      <c r="AG1910" s="65">
        <f>tblWorkPackages[[#This Row],[Completion date serial]]-tblWorkPackages[[#This Row],[Request date serial]]</f>
        <v>21</v>
      </c>
      <c r="AH1910" s="65">
        <f>IFERROR(INDEX(tblParts[Delay days],MATCH(tblWorkPackages[[#This Row],[Work package ID]],tblParts[Work package ID],0)),0)</f>
        <v>0</v>
      </c>
      <c r="AI1910" s="51" t="str">
        <f>IFERROR(INDEX(tblDisruptions[Event type],MATCH(tblWorkPackages[[#This Row],[Work package ID]],tblDisruptions[Work package ID],0)),"None")</f>
        <v>None</v>
      </c>
      <c r="AJ1910" s="51" t="str">
        <f>TEXT(tblWorkPackages[[#This Row],[Due date serial]],"yyyy-mm")</f>
        <v>2025-04</v>
      </c>
    </row>
    <row r="1911" spans="1:36" ht="15" x14ac:dyDescent="0.25">
      <c r="A1911" s="53" t="s">
        <v>2822</v>
      </c>
      <c r="B1911" s="53" t="s">
        <v>141</v>
      </c>
      <c r="C1911" s="53" t="s">
        <v>480</v>
      </c>
      <c r="D1911" s="53" t="s">
        <v>1133</v>
      </c>
      <c r="E1911" s="53" t="s">
        <v>209</v>
      </c>
      <c r="F1911" s="53" t="s">
        <v>145</v>
      </c>
      <c r="G1911" s="53" t="s">
        <v>210</v>
      </c>
      <c r="H1911" s="53">
        <v>1</v>
      </c>
      <c r="I1911" s="53" t="s">
        <v>147</v>
      </c>
      <c r="J1911" s="53">
        <v>0</v>
      </c>
      <c r="K1911" s="53">
        <v>0</v>
      </c>
      <c r="L1911" s="53">
        <v>12</v>
      </c>
      <c r="M1911" s="53" t="s">
        <v>421</v>
      </c>
      <c r="N1911" s="53">
        <v>15.2</v>
      </c>
      <c r="O1911" s="51" t="str">
        <f>TEXT(tblWorkPackages[[#This Row],[Request date serial]]-WEEKDAY(tblWorkPackages[[#This Row],[Request date serial]],3),"yyyy-mm-dd")</f>
        <v>2025-10-20</v>
      </c>
      <c r="P1911" s="51">
        <f>ABS(tblWorkPackages[[#This Row],[Actual labor hours]]-tblWorkPackages[[#This Row],[Estimated labor hours]])</f>
        <v>3.2</v>
      </c>
      <c r="Q1911" s="51">
        <f>IF(tblWorkPackages[[#This Row],[Actual labor hours]]&gt;tblWorkPackages[[#This Row],[Estimated labor hours]],1,0)</f>
        <v>1</v>
      </c>
      <c r="R1911" s="51">
        <f>tblWorkPackages[[#This Row],[Actual labor hours]]-tblWorkPackages[[#This Row],[Estimated labor hours]]</f>
        <v>3.2</v>
      </c>
      <c r="S1911" s="51" t="str">
        <f>IF(tblWorkPackages[[#This Row],[Request date serial]]&lt;ValidationStart,"Train 2024",IF(tblWorkPackages[[#This Row],[Request date serial]]&lt;HoldoutStart,"Validation H1","Holdout H2"))</f>
        <v>Holdout H2</v>
      </c>
      <c r="T1911" s="51">
        <f>IF(tblWorkPackages[[#This Row],[Time split]]="Train 2024","",tblWorkPackages[[#This Row],[Estimated labor hours]]+VLOOKUP(tblWorkPackages[[#This Row],[Task type]],'Forecast validation'!$A$14:$E$25,IF(tblWorkPackages[[#This Row],[Time split]]="Validation H1",4,5),FALSE()))</f>
        <v>13.795652173913</v>
      </c>
      <c r="U1911" s="51">
        <f>IF(tblWorkPackages[[#This Row],[Calibrated forecast hours]]="","",ABS(tblWorkPackages[[#This Row],[Actual labor hours]]-tblWorkPackages[[#This Row],[Calibrated forecast hours]]))</f>
        <v>1.40434782608696</v>
      </c>
      <c r="V1911" s="51">
        <f>IF(tblWorkPackages[[#This Row],[Time split]]="Train 2024",tblWorkPackages[[#This Row],[Estimated labor hours]],tblWorkPackages[[#This Row],[Calibrated forecast hours]])</f>
        <v>13.795652173913</v>
      </c>
      <c r="W1911" s="64">
        <f>DATEVALUE(tblWorkPackages[[#This Row],[Request date]])</f>
        <v>45955.0</v>
      </c>
      <c r="X1911" s="64">
        <f>DATEVALUE(tblWorkPackages[[#This Row],[Due date]])</f>
        <v>45957.0</v>
      </c>
      <c r="Y1911" s="64">
        <f>DATEVALUE(tblWorkPackages[[#This Row],[Completion date]])</f>
        <v>45960.0</v>
      </c>
      <c r="Z1911" s="64">
        <f>_xlfn.MINIFS(tblLaborEntries[Work date serial],tblLaborEntries[Work package ID],tblWorkPackages[[#This Row],[Work package ID]])</f>
        <v>45959.0</v>
      </c>
      <c r="AA1911" s="64">
        <f>_xlfn.MAXIFS(tblLaborEntries[Work date serial],tblLaborEntries[Work package ID],tblWorkPackages[[#This Row],[Work package ID]])</f>
        <v>45959.0</v>
      </c>
      <c r="AB1911" s="65">
        <f>IF(tblWorkPackages[[#This Row],[Completion date serial]]&gt;tblWorkPackages[[#This Row],[Due date serial]],1,0)</f>
        <v>1</v>
      </c>
      <c r="AC1911" s="65">
        <f>MAX(0,tblWorkPackages[[#This Row],[Completion date serial]]-tblWorkPackages[[#This Row],[Due date serial]])</f>
        <v>3</v>
      </c>
      <c r="AD1911" s="65">
        <f>tblWorkPackages[[#This Row],[First labor date]]-tblWorkPackages[[#This Row],[Request date serial]]</f>
        <v>4</v>
      </c>
      <c r="AE1911" s="65">
        <f>tblWorkPackages[[#This Row],[Last labor date]]-tblWorkPackages[[#This Row],[First labor date]]</f>
        <v>0</v>
      </c>
      <c r="AF1911" s="65">
        <f>tblWorkPackages[[#This Row],[Completion date serial]]-tblWorkPackages[[#This Row],[Last labor date]]</f>
        <v>1</v>
      </c>
      <c r="AG1911" s="65">
        <f>tblWorkPackages[[#This Row],[Completion date serial]]-tblWorkPackages[[#This Row],[Request date serial]]</f>
        <v>5</v>
      </c>
      <c r="AH1911" s="65">
        <f>IFERROR(INDEX(tblParts[Delay days],MATCH(tblWorkPackages[[#This Row],[Work package ID]],tblParts[Work package ID],0)),0)</f>
        <v>0</v>
      </c>
      <c r="AI1911" s="51" t="str">
        <f>IFERROR(INDEX(tblDisruptions[Event type],MATCH(tblWorkPackages[[#This Row],[Work package ID]],tblDisruptions[Work package ID],0)),"None")</f>
        <v>None</v>
      </c>
      <c r="AJ1911" s="51" t="str">
        <f>TEXT(tblWorkPackages[[#This Row],[Due date serial]],"yyyy-mm")</f>
        <v>2025-10</v>
      </c>
    </row>
    <row r="1912" spans="1:36" ht="15" x14ac:dyDescent="0.25">
      <c r="A1912" s="53" t="s">
        <v>2823</v>
      </c>
      <c r="B1912" s="53" t="s">
        <v>250</v>
      </c>
      <c r="C1912" s="53" t="s">
        <v>412</v>
      </c>
      <c r="D1912" s="53" t="s">
        <v>1246</v>
      </c>
      <c r="E1912" s="53" t="s">
        <v>223</v>
      </c>
      <c r="F1912" s="53" t="s">
        <v>182</v>
      </c>
      <c r="G1912" s="53" t="s">
        <v>154</v>
      </c>
      <c r="H1912" s="53">
        <v>4</v>
      </c>
      <c r="I1912" s="53" t="s">
        <v>130</v>
      </c>
      <c r="J1912" s="53">
        <v>0</v>
      </c>
      <c r="K1912" s="53">
        <v>0</v>
      </c>
      <c r="L1912" s="53">
        <v>23.9</v>
      </c>
      <c r="M1912" s="53" t="s">
        <v>413</v>
      </c>
      <c r="N1912" s="53">
        <v>30.1</v>
      </c>
      <c r="O1912" s="51" t="str">
        <f>TEXT(tblWorkPackages[[#This Row],[Request date serial]]-WEEKDAY(tblWorkPackages[[#This Row],[Request date serial]],3),"yyyy-mm-dd")</f>
        <v>2025-02-24</v>
      </c>
      <c r="P1912" s="51">
        <f>ABS(tblWorkPackages[[#This Row],[Actual labor hours]]-tblWorkPackages[[#This Row],[Estimated labor hours]])</f>
        <v>6.2</v>
      </c>
      <c r="Q1912" s="51">
        <f>IF(tblWorkPackages[[#This Row],[Actual labor hours]]&gt;tblWorkPackages[[#This Row],[Estimated labor hours]],1,0)</f>
        <v>1</v>
      </c>
      <c r="R1912" s="51">
        <f>tblWorkPackages[[#This Row],[Actual labor hours]]-tblWorkPackages[[#This Row],[Estimated labor hours]]</f>
        <v>6.2</v>
      </c>
      <c r="S1912" s="51" t="str">
        <f>IF(tblWorkPackages[[#This Row],[Request date serial]]&lt;ValidationStart,"Train 2024",IF(tblWorkPackages[[#This Row],[Request date serial]]&lt;HoldoutStart,"Validation H1","Holdout H2"))</f>
        <v>Validation H1</v>
      </c>
      <c r="T1912" s="51">
        <f>IF(tblWorkPackages[[#This Row],[Time split]]="Train 2024","",tblWorkPackages[[#This Row],[Estimated labor hours]]+VLOOKUP(tblWorkPackages[[#This Row],[Task type]],'Forecast validation'!$A$14:$E$25,IF(tblWorkPackages[[#This Row],[Time split]]="Validation H1",4,5),FALSE()))</f>
        <v>24.7824175824176</v>
      </c>
      <c r="U1912" s="51">
        <f>IF(tblWorkPackages[[#This Row],[Calibrated forecast hours]]="","",ABS(tblWorkPackages[[#This Row],[Actual labor hours]]-tblWorkPackages[[#This Row],[Calibrated forecast hours]]))</f>
        <v>5.31758241758242</v>
      </c>
      <c r="V1912" s="51">
        <f>IF(tblWorkPackages[[#This Row],[Time split]]="Train 2024",tblWorkPackages[[#This Row],[Estimated labor hours]],tblWorkPackages[[#This Row],[Calibrated forecast hours]])</f>
        <v>24.7824175824176</v>
      </c>
      <c r="W1912" s="64">
        <f>DATEVALUE(tblWorkPackages[[#This Row],[Request date]])</f>
        <v>45712.0</v>
      </c>
      <c r="X1912" s="64">
        <f>DATEVALUE(tblWorkPackages[[#This Row],[Due date]])</f>
        <v>45725.0</v>
      </c>
      <c r="Y1912" s="64">
        <f>DATEVALUE(tblWorkPackages[[#This Row],[Completion date]])</f>
        <v>45717.0</v>
      </c>
      <c r="Z1912" s="64">
        <f>_xlfn.MINIFS(tblLaborEntries[Work date serial],tblLaborEntries[Work package ID],tblWorkPackages[[#This Row],[Work package ID]])</f>
        <v>45713.0</v>
      </c>
      <c r="AA1912" s="64">
        <f>_xlfn.MAXIFS(tblLaborEntries[Work date serial],tblLaborEntries[Work package ID],tblWorkPackages[[#This Row],[Work package ID]])</f>
        <v>45715.0</v>
      </c>
      <c r="AB1912" s="65">
        <f>IF(tblWorkPackages[[#This Row],[Completion date serial]]&gt;tblWorkPackages[[#This Row],[Due date serial]],1,0)</f>
        <v>0</v>
      </c>
      <c r="AC1912" s="65">
        <f>MAX(0,tblWorkPackages[[#This Row],[Completion date serial]]-tblWorkPackages[[#This Row],[Due date serial]])</f>
        <v>0</v>
      </c>
      <c r="AD1912" s="65">
        <f>tblWorkPackages[[#This Row],[First labor date]]-tblWorkPackages[[#This Row],[Request date serial]]</f>
        <v>1</v>
      </c>
      <c r="AE1912" s="65">
        <f>tblWorkPackages[[#This Row],[Last labor date]]-tblWorkPackages[[#This Row],[First labor date]]</f>
        <v>2</v>
      </c>
      <c r="AF1912" s="65">
        <f>tblWorkPackages[[#This Row],[Completion date serial]]-tblWorkPackages[[#This Row],[Last labor date]]</f>
        <v>2</v>
      </c>
      <c r="AG1912" s="65">
        <f>tblWorkPackages[[#This Row],[Completion date serial]]-tblWorkPackages[[#This Row],[Request date serial]]</f>
        <v>5</v>
      </c>
      <c r="AH1912" s="65">
        <f>IFERROR(INDEX(tblParts[Delay days],MATCH(tblWorkPackages[[#This Row],[Work package ID]],tblParts[Work package ID],0)),0)</f>
        <v>0</v>
      </c>
      <c r="AI1912" s="51" t="str">
        <f>IFERROR(INDEX(tblDisruptions[Event type],MATCH(tblWorkPackages[[#This Row],[Work package ID]],tblDisruptions[Work package ID],0)),"None")</f>
        <v>None</v>
      </c>
      <c r="AJ1912" s="51" t="str">
        <f>TEXT(tblWorkPackages[[#This Row],[Due date serial]],"yyyy-mm")</f>
        <v>2025-03</v>
      </c>
    </row>
    <row r="1913" spans="1:36" ht="15" x14ac:dyDescent="0.25">
      <c r="A1913" s="53" t="s">
        <v>2824</v>
      </c>
      <c r="B1913" s="53" t="s">
        <v>173</v>
      </c>
      <c r="C1913" s="53" t="s">
        <v>732</v>
      </c>
      <c r="D1913" s="53" t="s">
        <v>1383</v>
      </c>
      <c r="E1913" s="53" t="s">
        <v>223</v>
      </c>
      <c r="F1913" s="53" t="s">
        <v>182</v>
      </c>
      <c r="G1913" s="53" t="s">
        <v>154</v>
      </c>
      <c r="H1913" s="53">
        <v>2</v>
      </c>
      <c r="I1913" s="53" t="s">
        <v>130</v>
      </c>
      <c r="J1913" s="53">
        <v>0</v>
      </c>
      <c r="K1913" s="53">
        <v>0</v>
      </c>
      <c r="L1913" s="53">
        <v>11.8</v>
      </c>
      <c r="M1913" s="53" t="s">
        <v>281</v>
      </c>
      <c r="N1913" s="53">
        <v>13.5</v>
      </c>
      <c r="O1913" s="51" t="str">
        <f>TEXT(tblWorkPackages[[#This Row],[Request date serial]]-WEEKDAY(tblWorkPackages[[#This Row],[Request date serial]],3),"yyyy-mm-dd")</f>
        <v>2025-01-13</v>
      </c>
      <c r="P1913" s="51">
        <f>ABS(tblWorkPackages[[#This Row],[Actual labor hours]]-tblWorkPackages[[#This Row],[Estimated labor hours]])</f>
        <v>1.7</v>
      </c>
      <c r="Q1913" s="51">
        <f>IF(tblWorkPackages[[#This Row],[Actual labor hours]]&gt;tblWorkPackages[[#This Row],[Estimated labor hours]],1,0)</f>
        <v>1</v>
      </c>
      <c r="R1913" s="51">
        <f>tblWorkPackages[[#This Row],[Actual labor hours]]-tblWorkPackages[[#This Row],[Estimated labor hours]]</f>
        <v>1.7</v>
      </c>
      <c r="S1913" s="51" t="str">
        <f>IF(tblWorkPackages[[#This Row],[Request date serial]]&lt;ValidationStart,"Train 2024",IF(tblWorkPackages[[#This Row],[Request date serial]]&lt;HoldoutStart,"Validation H1","Holdout H2"))</f>
        <v>Validation H1</v>
      </c>
      <c r="T1913" s="51">
        <f>IF(tblWorkPackages[[#This Row],[Time split]]="Train 2024","",tblWorkPackages[[#This Row],[Estimated labor hours]]+VLOOKUP(tblWorkPackages[[#This Row],[Task type]],'Forecast validation'!$A$14:$E$25,IF(tblWorkPackages[[#This Row],[Time split]]="Validation H1",4,5),FALSE()))</f>
        <v>12.6824175824176</v>
      </c>
      <c r="U1913" s="51">
        <f>IF(tblWorkPackages[[#This Row],[Calibrated forecast hours]]="","",ABS(tblWorkPackages[[#This Row],[Actual labor hours]]-tblWorkPackages[[#This Row],[Calibrated forecast hours]]))</f>
        <v>0.817582417582417</v>
      </c>
      <c r="V1913" s="51">
        <f>IF(tblWorkPackages[[#This Row],[Time split]]="Train 2024",tblWorkPackages[[#This Row],[Estimated labor hours]],tblWorkPackages[[#This Row],[Calibrated forecast hours]])</f>
        <v>12.6824175824176</v>
      </c>
      <c r="W1913" s="64">
        <f>DATEVALUE(tblWorkPackages[[#This Row],[Request date]])</f>
        <v>45670.0</v>
      </c>
      <c r="X1913" s="64">
        <f>DATEVALUE(tblWorkPackages[[#This Row],[Due date]])</f>
        <v>45683.0</v>
      </c>
      <c r="Y1913" s="64">
        <f>DATEVALUE(tblWorkPackages[[#This Row],[Completion date]])</f>
        <v>45684.0</v>
      </c>
      <c r="Z1913" s="64">
        <f>_xlfn.MINIFS(tblLaborEntries[Work date serial],tblLaborEntries[Work package ID],tblWorkPackages[[#This Row],[Work package ID]])</f>
        <v>45681.0</v>
      </c>
      <c r="AA1913" s="64">
        <f>_xlfn.MAXIFS(tblLaborEntries[Work date serial],tblLaborEntries[Work package ID],tblWorkPackages[[#This Row],[Work package ID]])</f>
        <v>45681.0</v>
      </c>
      <c r="AB1913" s="65">
        <f>IF(tblWorkPackages[[#This Row],[Completion date serial]]&gt;tblWorkPackages[[#This Row],[Due date serial]],1,0)</f>
        <v>1</v>
      </c>
      <c r="AC1913" s="65">
        <f>MAX(0,tblWorkPackages[[#This Row],[Completion date serial]]-tblWorkPackages[[#This Row],[Due date serial]])</f>
        <v>1</v>
      </c>
      <c r="AD1913" s="65">
        <f>tblWorkPackages[[#This Row],[First labor date]]-tblWorkPackages[[#This Row],[Request date serial]]</f>
        <v>11</v>
      </c>
      <c r="AE1913" s="65">
        <f>tblWorkPackages[[#This Row],[Last labor date]]-tblWorkPackages[[#This Row],[First labor date]]</f>
        <v>0</v>
      </c>
      <c r="AF1913" s="65">
        <f>tblWorkPackages[[#This Row],[Completion date serial]]-tblWorkPackages[[#This Row],[Last labor date]]</f>
        <v>3</v>
      </c>
      <c r="AG1913" s="65">
        <f>tblWorkPackages[[#This Row],[Completion date serial]]-tblWorkPackages[[#This Row],[Request date serial]]</f>
        <v>14</v>
      </c>
      <c r="AH1913" s="65">
        <f>IFERROR(INDEX(tblParts[Delay days],MATCH(tblWorkPackages[[#This Row],[Work package ID]],tblParts[Work package ID],0)),0)</f>
        <v>0</v>
      </c>
      <c r="AI1913" s="51" t="str">
        <f>IFERROR(INDEX(tblDisruptions[Event type],MATCH(tblWorkPackages[[#This Row],[Work package ID]],tblDisruptions[Work package ID],0)),"None")</f>
        <v>None</v>
      </c>
      <c r="AJ1913" s="51" t="str">
        <f>TEXT(tblWorkPackages[[#This Row],[Due date serial]],"yyyy-mm")</f>
        <v>2025-01</v>
      </c>
    </row>
    <row r="1914" spans="1:36" ht="15" x14ac:dyDescent="0.25">
      <c r="A1914" s="53" t="s">
        <v>2825</v>
      </c>
      <c r="B1914" s="53" t="s">
        <v>157</v>
      </c>
      <c r="C1914" s="53" t="s">
        <v>1682</v>
      </c>
      <c r="D1914" s="53" t="s">
        <v>259</v>
      </c>
      <c r="E1914" s="53" t="s">
        <v>181</v>
      </c>
      <c r="F1914" s="53" t="s">
        <v>182</v>
      </c>
      <c r="G1914" s="53" t="s">
        <v>138</v>
      </c>
      <c r="H1914" s="53">
        <v>2</v>
      </c>
      <c r="I1914" s="53" t="s">
        <v>130</v>
      </c>
      <c r="J1914" s="53">
        <v>0</v>
      </c>
      <c r="K1914" s="53">
        <v>0</v>
      </c>
      <c r="L1914" s="53">
        <v>7</v>
      </c>
      <c r="M1914" s="53" t="s">
        <v>679</v>
      </c>
      <c r="N1914" s="53">
        <v>7.2</v>
      </c>
      <c r="O1914" s="51" t="str">
        <f>TEXT(tblWorkPackages[[#This Row],[Request date serial]]-WEEKDAY(tblWorkPackages[[#This Row],[Request date serial]],3),"yyyy-mm-dd")</f>
        <v>2024-12-30</v>
      </c>
      <c r="P1914" s="51">
        <f>ABS(tblWorkPackages[[#This Row],[Actual labor hours]]-tblWorkPackages[[#This Row],[Estimated labor hours]])</f>
        <v>0.2</v>
      </c>
      <c r="Q1914" s="51">
        <f>IF(tblWorkPackages[[#This Row],[Actual labor hours]]&gt;tblWorkPackages[[#This Row],[Estimated labor hours]],1,0)</f>
        <v>1</v>
      </c>
      <c r="R1914" s="51">
        <f>tblWorkPackages[[#This Row],[Actual labor hours]]-tblWorkPackages[[#This Row],[Estimated labor hours]]</f>
        <v>0.2</v>
      </c>
      <c r="S1914" s="51" t="str">
        <f>IF(tblWorkPackages[[#This Row],[Request date serial]]&lt;ValidationStart,"Train 2024",IF(tblWorkPackages[[#This Row],[Request date serial]]&lt;HoldoutStart,"Validation H1","Holdout H2"))</f>
        <v>Validation H1</v>
      </c>
      <c r="T1914" s="51">
        <f>IF(tblWorkPackages[[#This Row],[Time split]]="Train 2024","",tblWorkPackages[[#This Row],[Estimated labor hours]]+VLOOKUP(tblWorkPackages[[#This Row],[Task type]],'Forecast validation'!$A$14:$E$25,IF(tblWorkPackages[[#This Row],[Time split]]="Validation H1",4,5),FALSE()))</f>
        <v>7.58409090909091</v>
      </c>
      <c r="U1914" s="51">
        <f>IF(tblWorkPackages[[#This Row],[Calibrated forecast hours]]="","",ABS(tblWorkPackages[[#This Row],[Actual labor hours]]-tblWorkPackages[[#This Row],[Calibrated forecast hours]]))</f>
        <v>0.384090909090909</v>
      </c>
      <c r="V1914" s="51">
        <f>IF(tblWorkPackages[[#This Row],[Time split]]="Train 2024",tblWorkPackages[[#This Row],[Estimated labor hours]],tblWorkPackages[[#This Row],[Calibrated forecast hours]])</f>
        <v>7.58409090909091</v>
      </c>
      <c r="W1914" s="64">
        <f>DATEVALUE(tblWorkPackages[[#This Row],[Request date]])</f>
        <v>45660.0</v>
      </c>
      <c r="X1914" s="64">
        <f>DATEVALUE(tblWorkPackages[[#This Row],[Due date]])</f>
        <v>45673.0</v>
      </c>
      <c r="Y1914" s="64">
        <f>DATEVALUE(tblWorkPackages[[#This Row],[Completion date]])</f>
        <v>45663.0</v>
      </c>
      <c r="Z1914" s="64">
        <f>_xlfn.MINIFS(tblLaborEntries[Work date serial],tblLaborEntries[Work package ID],tblWorkPackages[[#This Row],[Work package ID]])</f>
        <v>45663.0</v>
      </c>
      <c r="AA1914" s="64">
        <f>_xlfn.MAXIFS(tblLaborEntries[Work date serial],tblLaborEntries[Work package ID],tblWorkPackages[[#This Row],[Work package ID]])</f>
        <v>45663.0</v>
      </c>
      <c r="AB1914" s="65">
        <f>IF(tblWorkPackages[[#This Row],[Completion date serial]]&gt;tblWorkPackages[[#This Row],[Due date serial]],1,0)</f>
        <v>0</v>
      </c>
      <c r="AC1914" s="65">
        <f>MAX(0,tblWorkPackages[[#This Row],[Completion date serial]]-tblWorkPackages[[#This Row],[Due date serial]])</f>
        <v>0</v>
      </c>
      <c r="AD1914" s="65">
        <f>tblWorkPackages[[#This Row],[First labor date]]-tblWorkPackages[[#This Row],[Request date serial]]</f>
        <v>3</v>
      </c>
      <c r="AE1914" s="65">
        <f>tblWorkPackages[[#This Row],[Last labor date]]-tblWorkPackages[[#This Row],[First labor date]]</f>
        <v>0</v>
      </c>
      <c r="AF1914" s="65">
        <f>tblWorkPackages[[#This Row],[Completion date serial]]-tblWorkPackages[[#This Row],[Last labor date]]</f>
        <v>0</v>
      </c>
      <c r="AG1914" s="65">
        <f>tblWorkPackages[[#This Row],[Completion date serial]]-tblWorkPackages[[#This Row],[Request date serial]]</f>
        <v>3</v>
      </c>
      <c r="AH1914" s="65">
        <f>IFERROR(INDEX(tblParts[Delay days],MATCH(tblWorkPackages[[#This Row],[Work package ID]],tblParts[Work package ID],0)),0)</f>
        <v>0</v>
      </c>
      <c r="AI1914" s="51" t="str">
        <f>IFERROR(INDEX(tblDisruptions[Event type],MATCH(tblWorkPackages[[#This Row],[Work package ID]],tblDisruptions[Work package ID],0)),"None")</f>
        <v>None</v>
      </c>
      <c r="AJ1914" s="51" t="str">
        <f>TEXT(tblWorkPackages[[#This Row],[Due date serial]],"yyyy-mm")</f>
        <v>2025-01</v>
      </c>
    </row>
    <row r="1915" spans="1:36" ht="15" x14ac:dyDescent="0.25">
      <c r="A1915" s="53" t="s">
        <v>2826</v>
      </c>
      <c r="B1915" s="53" t="s">
        <v>157</v>
      </c>
      <c r="C1915" s="53" t="s">
        <v>603</v>
      </c>
      <c r="D1915" s="53" t="s">
        <v>502</v>
      </c>
      <c r="E1915" s="53" t="s">
        <v>209</v>
      </c>
      <c r="F1915" s="53" t="s">
        <v>145</v>
      </c>
      <c r="G1915" s="53" t="s">
        <v>210</v>
      </c>
      <c r="H1915" s="53">
        <v>2</v>
      </c>
      <c r="I1915" s="53" t="s">
        <v>176</v>
      </c>
      <c r="J1915" s="53">
        <v>0</v>
      </c>
      <c r="K1915" s="53">
        <v>0</v>
      </c>
      <c r="L1915" s="53">
        <v>20.5</v>
      </c>
      <c r="M1915" s="53" t="s">
        <v>1473</v>
      </c>
      <c r="N1915" s="53">
        <v>22.5</v>
      </c>
      <c r="O1915" s="51" t="str">
        <f>TEXT(tblWorkPackages[[#This Row],[Request date serial]]-WEEKDAY(tblWorkPackages[[#This Row],[Request date serial]],3),"yyyy-mm-dd")</f>
        <v>2025-06-23</v>
      </c>
      <c r="P1915" s="51">
        <f>ABS(tblWorkPackages[[#This Row],[Actual labor hours]]-tblWorkPackages[[#This Row],[Estimated labor hours]])</f>
        <v>2</v>
      </c>
      <c r="Q1915" s="51">
        <f>IF(tblWorkPackages[[#This Row],[Actual labor hours]]&gt;tblWorkPackages[[#This Row],[Estimated labor hours]],1,0)</f>
        <v>1</v>
      </c>
      <c r="R1915" s="51">
        <f>tblWorkPackages[[#This Row],[Actual labor hours]]-tblWorkPackages[[#This Row],[Estimated labor hours]]</f>
        <v>2</v>
      </c>
      <c r="S1915" s="51" t="str">
        <f>IF(tblWorkPackages[[#This Row],[Request date serial]]&lt;ValidationStart,"Train 2024",IF(tblWorkPackages[[#This Row],[Request date serial]]&lt;HoldoutStart,"Validation H1","Holdout H2"))</f>
        <v>Validation H1</v>
      </c>
      <c r="T1915" s="51">
        <f>IF(tblWorkPackages[[#This Row],[Time split]]="Train 2024","",tblWorkPackages[[#This Row],[Estimated labor hours]]+VLOOKUP(tblWorkPackages[[#This Row],[Task type]],'Forecast validation'!$A$14:$E$25,IF(tblWorkPackages[[#This Row],[Time split]]="Validation H1",4,5),FALSE()))</f>
        <v>21.6029850746269</v>
      </c>
      <c r="U1915" s="51">
        <f>IF(tblWorkPackages[[#This Row],[Calibrated forecast hours]]="","",ABS(tblWorkPackages[[#This Row],[Actual labor hours]]-tblWorkPackages[[#This Row],[Calibrated forecast hours]]))</f>
        <v>0.897014925373135</v>
      </c>
      <c r="V1915" s="51">
        <f>IF(tblWorkPackages[[#This Row],[Time split]]="Train 2024",tblWorkPackages[[#This Row],[Estimated labor hours]],tblWorkPackages[[#This Row],[Calibrated forecast hours]])</f>
        <v>21.6029850746269</v>
      </c>
      <c r="W1915" s="64">
        <f>DATEVALUE(tblWorkPackages[[#This Row],[Request date]])</f>
        <v>45834.0</v>
      </c>
      <c r="X1915" s="64">
        <f>DATEVALUE(tblWorkPackages[[#This Row],[Due date]])</f>
        <v>45840.0</v>
      </c>
      <c r="Y1915" s="64">
        <f>DATEVALUE(tblWorkPackages[[#This Row],[Completion date]])</f>
        <v>45869.0</v>
      </c>
      <c r="Z1915" s="64">
        <f>_xlfn.MINIFS(tblLaborEntries[Work date serial],tblLaborEntries[Work package ID],tblWorkPackages[[#This Row],[Work package ID]])</f>
        <v>45866.0</v>
      </c>
      <c r="AA1915" s="64">
        <f>_xlfn.MAXIFS(tblLaborEntries[Work date serial],tblLaborEntries[Work package ID],tblWorkPackages[[#This Row],[Work package ID]])</f>
        <v>45868.0</v>
      </c>
      <c r="AB1915" s="65">
        <f>IF(tblWorkPackages[[#This Row],[Completion date serial]]&gt;tblWorkPackages[[#This Row],[Due date serial]],1,0)</f>
        <v>1</v>
      </c>
      <c r="AC1915" s="65">
        <f>MAX(0,tblWorkPackages[[#This Row],[Completion date serial]]-tblWorkPackages[[#This Row],[Due date serial]])</f>
        <v>29</v>
      </c>
      <c r="AD1915" s="65">
        <f>tblWorkPackages[[#This Row],[First labor date]]-tblWorkPackages[[#This Row],[Request date serial]]</f>
        <v>32</v>
      </c>
      <c r="AE1915" s="65">
        <f>tblWorkPackages[[#This Row],[Last labor date]]-tblWorkPackages[[#This Row],[First labor date]]</f>
        <v>2</v>
      </c>
      <c r="AF1915" s="65">
        <f>tblWorkPackages[[#This Row],[Completion date serial]]-tblWorkPackages[[#This Row],[Last labor date]]</f>
        <v>1</v>
      </c>
      <c r="AG1915" s="65">
        <f>tblWorkPackages[[#This Row],[Completion date serial]]-tblWorkPackages[[#This Row],[Request date serial]]</f>
        <v>35</v>
      </c>
      <c r="AH1915" s="65">
        <f>IFERROR(INDEX(tblParts[Delay days],MATCH(tblWorkPackages[[#This Row],[Work package ID]],tblParts[Work package ID],0)),0)</f>
        <v>0</v>
      </c>
      <c r="AI1915" s="51" t="str">
        <f>IFERROR(INDEX(tblDisruptions[Event type],MATCH(tblWorkPackages[[#This Row],[Work package ID]],tblDisruptions[Work package ID],0)),"None")</f>
        <v>None</v>
      </c>
      <c r="AJ1915" s="51" t="str">
        <f>TEXT(tblWorkPackages[[#This Row],[Due date serial]],"yyyy-mm")</f>
        <v>2025-07</v>
      </c>
    </row>
    <row r="1916" spans="1:36" ht="15" x14ac:dyDescent="0.25">
      <c r="A1916" s="53" t="s">
        <v>2827</v>
      </c>
      <c r="B1916" s="53" t="s">
        <v>150</v>
      </c>
      <c r="C1916" s="53" t="s">
        <v>291</v>
      </c>
      <c r="D1916" s="53" t="s">
        <v>1289</v>
      </c>
      <c r="E1916" s="53" t="s">
        <v>242</v>
      </c>
      <c r="F1916" s="53" t="s">
        <v>243</v>
      </c>
      <c r="G1916" s="53" t="s">
        <v>129</v>
      </c>
      <c r="H1916" s="53">
        <v>2</v>
      </c>
      <c r="I1916" s="53" t="s">
        <v>130</v>
      </c>
      <c r="J1916" s="53">
        <v>0</v>
      </c>
      <c r="K1916" s="53">
        <v>0</v>
      </c>
      <c r="L1916" s="53">
        <v>9.6</v>
      </c>
      <c r="M1916" s="53" t="s">
        <v>827</v>
      </c>
      <c r="N1916" s="53">
        <v>14.2</v>
      </c>
      <c r="O1916" s="51" t="str">
        <f>TEXT(tblWorkPackages[[#This Row],[Request date serial]]-WEEKDAY(tblWorkPackages[[#This Row],[Request date serial]],3),"yyyy-mm-dd")</f>
        <v>2025-02-17</v>
      </c>
      <c r="P1916" s="51">
        <f>ABS(tblWorkPackages[[#This Row],[Actual labor hours]]-tblWorkPackages[[#This Row],[Estimated labor hours]])</f>
        <v>4.6</v>
      </c>
      <c r="Q1916" s="51">
        <f>IF(tblWorkPackages[[#This Row],[Actual labor hours]]&gt;tblWorkPackages[[#This Row],[Estimated labor hours]],1,0)</f>
        <v>1</v>
      </c>
      <c r="R1916" s="51">
        <f>tblWorkPackages[[#This Row],[Actual labor hours]]-tblWorkPackages[[#This Row],[Estimated labor hours]]</f>
        <v>4.6</v>
      </c>
      <c r="S1916" s="51" t="str">
        <f>IF(tblWorkPackages[[#This Row],[Request date serial]]&lt;ValidationStart,"Train 2024",IF(tblWorkPackages[[#This Row],[Request date serial]]&lt;HoldoutStart,"Validation H1","Holdout H2"))</f>
        <v>Validation H1</v>
      </c>
      <c r="T1916" s="51">
        <f>IF(tblWorkPackages[[#This Row],[Time split]]="Train 2024","",tblWorkPackages[[#This Row],[Estimated labor hours]]+VLOOKUP(tblWorkPackages[[#This Row],[Task type]],'Forecast validation'!$A$14:$E$25,IF(tblWorkPackages[[#This Row],[Time split]]="Validation H1",4,5),FALSE()))</f>
        <v>10.1561224489796</v>
      </c>
      <c r="U1916" s="51">
        <f>IF(tblWorkPackages[[#This Row],[Calibrated forecast hours]]="","",ABS(tblWorkPackages[[#This Row],[Actual labor hours]]-tblWorkPackages[[#This Row],[Calibrated forecast hours]]))</f>
        <v>4.04387755102041</v>
      </c>
      <c r="V1916" s="51">
        <f>IF(tblWorkPackages[[#This Row],[Time split]]="Train 2024",tblWorkPackages[[#This Row],[Estimated labor hours]],tblWorkPackages[[#This Row],[Calibrated forecast hours]])</f>
        <v>10.1561224489796</v>
      </c>
      <c r="W1916" s="64">
        <f>DATEVALUE(tblWorkPackages[[#This Row],[Request date]])</f>
        <v>45709.0</v>
      </c>
      <c r="X1916" s="64">
        <f>DATEVALUE(tblWorkPackages[[#This Row],[Due date]])</f>
        <v>45722.0</v>
      </c>
      <c r="Y1916" s="64">
        <f>DATEVALUE(tblWorkPackages[[#This Row],[Completion date]])</f>
        <v>45718.0</v>
      </c>
      <c r="Z1916" s="64">
        <f>_xlfn.MINIFS(tblLaborEntries[Work date serial],tblLaborEntries[Work package ID],tblWorkPackages[[#This Row],[Work package ID]])</f>
        <v>45715.0</v>
      </c>
      <c r="AA1916" s="64">
        <f>_xlfn.MAXIFS(tblLaborEntries[Work date serial],tblLaborEntries[Work package ID],tblWorkPackages[[#This Row],[Work package ID]])</f>
        <v>45716.0</v>
      </c>
      <c r="AB1916" s="65">
        <f>IF(tblWorkPackages[[#This Row],[Completion date serial]]&gt;tblWorkPackages[[#This Row],[Due date serial]],1,0)</f>
        <v>0</v>
      </c>
      <c r="AC1916" s="65">
        <f>MAX(0,tblWorkPackages[[#This Row],[Completion date serial]]-tblWorkPackages[[#This Row],[Due date serial]])</f>
        <v>0</v>
      </c>
      <c r="AD1916" s="65">
        <f>tblWorkPackages[[#This Row],[First labor date]]-tblWorkPackages[[#This Row],[Request date serial]]</f>
        <v>6</v>
      </c>
      <c r="AE1916" s="65">
        <f>tblWorkPackages[[#This Row],[Last labor date]]-tblWorkPackages[[#This Row],[First labor date]]</f>
        <v>1</v>
      </c>
      <c r="AF1916" s="65">
        <f>tblWorkPackages[[#This Row],[Completion date serial]]-tblWorkPackages[[#This Row],[Last labor date]]</f>
        <v>2</v>
      </c>
      <c r="AG1916" s="65">
        <f>tblWorkPackages[[#This Row],[Completion date serial]]-tblWorkPackages[[#This Row],[Request date serial]]</f>
        <v>9</v>
      </c>
      <c r="AH1916" s="65">
        <f>IFERROR(INDEX(tblParts[Delay days],MATCH(tblWorkPackages[[#This Row],[Work package ID]],tblParts[Work package ID],0)),0)</f>
        <v>0</v>
      </c>
      <c r="AI1916" s="51" t="str">
        <f>IFERROR(INDEX(tblDisruptions[Event type],MATCH(tblWorkPackages[[#This Row],[Work package ID]],tblDisruptions[Work package ID],0)),"None")</f>
        <v>Repeat inspection</v>
      </c>
      <c r="AJ1916" s="51" t="str">
        <f>TEXT(tblWorkPackages[[#This Row],[Due date serial]],"yyyy-mm")</f>
        <v>2025-03</v>
      </c>
    </row>
    <row r="1917" spans="1:36" ht="15" x14ac:dyDescent="0.25">
      <c r="A1917" s="53" t="s">
        <v>2828</v>
      </c>
      <c r="B1917" s="53" t="s">
        <v>168</v>
      </c>
      <c r="C1917" s="53" t="s">
        <v>600</v>
      </c>
      <c r="D1917" s="53" t="s">
        <v>877</v>
      </c>
      <c r="E1917" s="53" t="s">
        <v>144</v>
      </c>
      <c r="F1917" s="53" t="s">
        <v>145</v>
      </c>
      <c r="G1917" s="53" t="s">
        <v>146</v>
      </c>
      <c r="H1917" s="53">
        <v>1</v>
      </c>
      <c r="I1917" s="53" t="s">
        <v>176</v>
      </c>
      <c r="J1917" s="53">
        <v>0</v>
      </c>
      <c r="K1917" s="53">
        <v>0</v>
      </c>
      <c r="L1917" s="53">
        <v>6.3</v>
      </c>
      <c r="M1917" s="53" t="s">
        <v>877</v>
      </c>
      <c r="N1917" s="53">
        <v>4.9000000000000004</v>
      </c>
      <c r="O1917" s="51" t="str">
        <f>TEXT(tblWorkPackages[[#This Row],[Request date serial]]-WEEKDAY(tblWorkPackages[[#This Row],[Request date serial]],3),"yyyy-mm-dd")</f>
        <v>2024-11-18</v>
      </c>
      <c r="P1917" s="51">
        <f>ABS(tblWorkPackages[[#This Row],[Actual labor hours]]-tblWorkPackages[[#This Row],[Estimated labor hours]])</f>
        <v>1.4</v>
      </c>
      <c r="Q1917" s="51">
        <f>IF(tblWorkPackages[[#This Row],[Actual labor hours]]&gt;tblWorkPackages[[#This Row],[Estimated labor hours]],1,0)</f>
        <v>0</v>
      </c>
      <c r="R1917" s="51">
        <f>tblWorkPackages[[#This Row],[Actual labor hours]]-tblWorkPackages[[#This Row],[Estimated labor hours]]</f>
        <v>-1.4</v>
      </c>
      <c r="S1917" s="51" t="str">
        <f>IF(tblWorkPackages[[#This Row],[Request date serial]]&lt;ValidationStart,"Train 2024",IF(tblWorkPackages[[#This Row],[Request date serial]]&lt;HoldoutStart,"Validation H1","Holdout H2"))</f>
        <v>Train 2024</v>
      </c>
      <c r="T1917" s="51" t="str">
        <f>IF(tblWorkPackages[[#This Row],[Time split]]="Train 2024","",tblWorkPackages[[#This Row],[Estimated labor hours]]+VLOOKUP(tblWorkPackages[[#This Row],[Task type]],'Forecast validation'!$A$14:$E$25,IF(tblWorkPackages[[#This Row],[Time split]]="Validation H1",4,5),FALSE()))</f>
        <v/>
      </c>
      <c r="U1917" s="51" t="str">
        <f>IF(tblWorkPackages[[#This Row],[Calibrated forecast hours]]="","",ABS(tblWorkPackages[[#This Row],[Actual labor hours]]-tblWorkPackages[[#This Row],[Calibrated forecast hours]]))</f>
        <v/>
      </c>
      <c r="V1917" s="51">
        <f>IF(tblWorkPackages[[#This Row],[Time split]]="Train 2024",tblWorkPackages[[#This Row],[Estimated labor hours]],tblWorkPackages[[#This Row],[Calibrated forecast hours]])</f>
        <v>6.3</v>
      </c>
      <c r="W1917" s="64">
        <f>DATEVALUE(tblWorkPackages[[#This Row],[Request date]])</f>
        <v>45618.0</v>
      </c>
      <c r="X1917" s="64">
        <f>DATEVALUE(tblWorkPackages[[#This Row],[Due date]])</f>
        <v>45624.0</v>
      </c>
      <c r="Y1917" s="64">
        <f>DATEVALUE(tblWorkPackages[[#This Row],[Completion date]])</f>
        <v>45624.0</v>
      </c>
      <c r="Z1917" s="64">
        <f>_xlfn.MINIFS(tblLaborEntries[Work date serial],tblLaborEntries[Work package ID],tblWorkPackages[[#This Row],[Work package ID]])</f>
        <v>45620.0</v>
      </c>
      <c r="AA1917" s="64">
        <f>_xlfn.MAXIFS(tblLaborEntries[Work date serial],tblLaborEntries[Work package ID],tblWorkPackages[[#This Row],[Work package ID]])</f>
        <v>45621.0</v>
      </c>
      <c r="AB1917" s="65">
        <f>IF(tblWorkPackages[[#This Row],[Completion date serial]]&gt;tblWorkPackages[[#This Row],[Due date serial]],1,0)</f>
        <v>0</v>
      </c>
      <c r="AC1917" s="65">
        <f>MAX(0,tblWorkPackages[[#This Row],[Completion date serial]]-tblWorkPackages[[#This Row],[Due date serial]])</f>
        <v>0</v>
      </c>
      <c r="AD1917" s="65">
        <f>tblWorkPackages[[#This Row],[First labor date]]-tblWorkPackages[[#This Row],[Request date serial]]</f>
        <v>2</v>
      </c>
      <c r="AE1917" s="65">
        <f>tblWorkPackages[[#This Row],[Last labor date]]-tblWorkPackages[[#This Row],[First labor date]]</f>
        <v>1</v>
      </c>
      <c r="AF1917" s="65">
        <f>tblWorkPackages[[#This Row],[Completion date serial]]-tblWorkPackages[[#This Row],[Last labor date]]</f>
        <v>3</v>
      </c>
      <c r="AG1917" s="65">
        <f>tblWorkPackages[[#This Row],[Completion date serial]]-tblWorkPackages[[#This Row],[Request date serial]]</f>
        <v>6</v>
      </c>
      <c r="AH1917" s="65">
        <f>IFERROR(INDEX(tblParts[Delay days],MATCH(tblWorkPackages[[#This Row],[Work package ID]],tblParts[Work package ID],0)),0)</f>
        <v>0</v>
      </c>
      <c r="AI1917" s="51" t="str">
        <f>IFERROR(INDEX(tblDisruptions[Event type],MATCH(tblWorkPackages[[#This Row],[Work package ID]],tblDisruptions[Work package ID],0)),"None")</f>
        <v>None</v>
      </c>
      <c r="AJ1917" s="51" t="str">
        <f>TEXT(tblWorkPackages[[#This Row],[Due date serial]],"yyyy-mm")</f>
        <v>2024-11</v>
      </c>
    </row>
    <row r="1918" spans="1:36" ht="15" x14ac:dyDescent="0.25">
      <c r="A1918" s="53" t="s">
        <v>2829</v>
      </c>
      <c r="B1918" s="53" t="s">
        <v>203</v>
      </c>
      <c r="C1918" s="53" t="s">
        <v>326</v>
      </c>
      <c r="D1918" s="53" t="s">
        <v>1614</v>
      </c>
      <c r="E1918" s="53" t="s">
        <v>181</v>
      </c>
      <c r="F1918" s="53" t="s">
        <v>182</v>
      </c>
      <c r="G1918" s="53" t="s">
        <v>138</v>
      </c>
      <c r="H1918" s="53">
        <v>2</v>
      </c>
      <c r="I1918" s="53" t="s">
        <v>130</v>
      </c>
      <c r="J1918" s="53">
        <v>0</v>
      </c>
      <c r="K1918" s="53">
        <v>0</v>
      </c>
      <c r="L1918" s="53">
        <v>6.3</v>
      </c>
      <c r="M1918" s="53" t="s">
        <v>1281</v>
      </c>
      <c r="N1918" s="53">
        <v>5.9</v>
      </c>
      <c r="O1918" s="51" t="str">
        <f>TEXT(tblWorkPackages[[#This Row],[Request date serial]]-WEEKDAY(tblWorkPackages[[#This Row],[Request date serial]],3),"yyyy-mm-dd")</f>
        <v>2025-11-10</v>
      </c>
      <c r="P1918" s="51">
        <f>ABS(tblWorkPackages[[#This Row],[Actual labor hours]]-tblWorkPackages[[#This Row],[Estimated labor hours]])</f>
        <v>0.399999999999999</v>
      </c>
      <c r="Q1918" s="51">
        <f>IF(tblWorkPackages[[#This Row],[Actual labor hours]]&gt;tblWorkPackages[[#This Row],[Estimated labor hours]],1,0)</f>
        <v>0</v>
      </c>
      <c r="R1918" s="51">
        <f>tblWorkPackages[[#This Row],[Actual labor hours]]-tblWorkPackages[[#This Row],[Estimated labor hours]]</f>
        <v>-0.399999999999999</v>
      </c>
      <c r="S1918" s="51" t="str">
        <f>IF(tblWorkPackages[[#This Row],[Request date serial]]&lt;ValidationStart,"Train 2024",IF(tblWorkPackages[[#This Row],[Request date serial]]&lt;HoldoutStart,"Validation H1","Holdout H2"))</f>
        <v>Holdout H2</v>
      </c>
      <c r="T1918" s="51">
        <f>IF(tblWorkPackages[[#This Row],[Time split]]="Train 2024","",tblWorkPackages[[#This Row],[Estimated labor hours]]+VLOOKUP(tblWorkPackages[[#This Row],[Task type]],'Forecast validation'!$A$14:$E$25,IF(tblWorkPackages[[#This Row],[Time split]]="Validation H1",4,5),FALSE()))</f>
        <v>6.89160839160839</v>
      </c>
      <c r="U1918" s="51">
        <f>IF(tblWorkPackages[[#This Row],[Calibrated forecast hours]]="","",ABS(tblWorkPackages[[#This Row],[Actual labor hours]]-tblWorkPackages[[#This Row],[Calibrated forecast hours]]))</f>
        <v>0.991608391608391</v>
      </c>
      <c r="V1918" s="51">
        <f>IF(tblWorkPackages[[#This Row],[Time split]]="Train 2024",tblWorkPackages[[#This Row],[Estimated labor hours]],tblWorkPackages[[#This Row],[Calibrated forecast hours]])</f>
        <v>6.89160839160839</v>
      </c>
      <c r="W1918" s="64">
        <f>DATEVALUE(tblWorkPackages[[#This Row],[Request date]])</f>
        <v>45975.0</v>
      </c>
      <c r="X1918" s="64">
        <f>DATEVALUE(tblWorkPackages[[#This Row],[Due date]])</f>
        <v>45988.0</v>
      </c>
      <c r="Y1918" s="64">
        <f>DATEVALUE(tblWorkPackages[[#This Row],[Completion date]])</f>
        <v>45991.0</v>
      </c>
      <c r="Z1918" s="64">
        <f>_xlfn.MINIFS(tblLaborEntries[Work date serial],tblLaborEntries[Work package ID],tblWorkPackages[[#This Row],[Work package ID]])</f>
        <v>45989.0</v>
      </c>
      <c r="AA1918" s="64">
        <f>_xlfn.MAXIFS(tblLaborEntries[Work date serial],tblLaborEntries[Work package ID],tblWorkPackages[[#This Row],[Work package ID]])</f>
        <v>45991.0</v>
      </c>
      <c r="AB1918" s="65">
        <f>IF(tblWorkPackages[[#This Row],[Completion date serial]]&gt;tblWorkPackages[[#This Row],[Due date serial]],1,0)</f>
        <v>1</v>
      </c>
      <c r="AC1918" s="65">
        <f>MAX(0,tblWorkPackages[[#This Row],[Completion date serial]]-tblWorkPackages[[#This Row],[Due date serial]])</f>
        <v>3</v>
      </c>
      <c r="AD1918" s="65">
        <f>tblWorkPackages[[#This Row],[First labor date]]-tblWorkPackages[[#This Row],[Request date serial]]</f>
        <v>14</v>
      </c>
      <c r="AE1918" s="65">
        <f>tblWorkPackages[[#This Row],[Last labor date]]-tblWorkPackages[[#This Row],[First labor date]]</f>
        <v>2</v>
      </c>
      <c r="AF1918" s="65">
        <f>tblWorkPackages[[#This Row],[Completion date serial]]-tblWorkPackages[[#This Row],[Last labor date]]</f>
        <v>0</v>
      </c>
      <c r="AG1918" s="65">
        <f>tblWorkPackages[[#This Row],[Completion date serial]]-tblWorkPackages[[#This Row],[Request date serial]]</f>
        <v>16</v>
      </c>
      <c r="AH1918" s="65">
        <f>IFERROR(INDEX(tblParts[Delay days],MATCH(tblWorkPackages[[#This Row],[Work package ID]],tblParts[Work package ID],0)),0)</f>
        <v>0</v>
      </c>
      <c r="AI1918" s="51" t="str">
        <f>IFERROR(INDEX(tblDisruptions[Event type],MATCH(tblWorkPackages[[#This Row],[Work package ID]],tblDisruptions[Work package ID],0)),"None")</f>
        <v>None</v>
      </c>
      <c r="AJ1918" s="51" t="str">
        <f>TEXT(tblWorkPackages[[#This Row],[Due date serial]],"yyyy-mm")</f>
        <v>2025-11</v>
      </c>
    </row>
    <row r="1919" spans="1:36" ht="15" x14ac:dyDescent="0.25">
      <c r="A1919" s="53" t="s">
        <v>2830</v>
      </c>
      <c r="B1919" s="53" t="s">
        <v>141</v>
      </c>
      <c r="C1919" s="53" t="s">
        <v>1200</v>
      </c>
      <c r="D1919" s="53" t="s">
        <v>933</v>
      </c>
      <c r="E1919" s="53" t="s">
        <v>242</v>
      </c>
      <c r="F1919" s="53" t="s">
        <v>243</v>
      </c>
      <c r="G1919" s="53" t="s">
        <v>129</v>
      </c>
      <c r="H1919" s="53">
        <v>1</v>
      </c>
      <c r="I1919" s="53" t="s">
        <v>176</v>
      </c>
      <c r="J1919" s="53">
        <v>0</v>
      </c>
      <c r="K1919" s="53">
        <v>1</v>
      </c>
      <c r="L1919" s="53">
        <v>5</v>
      </c>
      <c r="M1919" s="53" t="s">
        <v>933</v>
      </c>
      <c r="N1919" s="53">
        <v>5.2</v>
      </c>
      <c r="O1919" s="51" t="str">
        <f>TEXT(tblWorkPackages[[#This Row],[Request date serial]]-WEEKDAY(tblWorkPackages[[#This Row],[Request date serial]],3),"yyyy-mm-dd")</f>
        <v>2024-11-18</v>
      </c>
      <c r="P1919" s="51">
        <f>ABS(tblWorkPackages[[#This Row],[Actual labor hours]]-tblWorkPackages[[#This Row],[Estimated labor hours]])</f>
        <v>0.2</v>
      </c>
      <c r="Q1919" s="51">
        <f>IF(tblWorkPackages[[#This Row],[Actual labor hours]]&gt;tblWorkPackages[[#This Row],[Estimated labor hours]],1,0)</f>
        <v>1</v>
      </c>
      <c r="R1919" s="51">
        <f>tblWorkPackages[[#This Row],[Actual labor hours]]-tblWorkPackages[[#This Row],[Estimated labor hours]]</f>
        <v>0.2</v>
      </c>
      <c r="S1919" s="51" t="str">
        <f>IF(tblWorkPackages[[#This Row],[Request date serial]]&lt;ValidationStart,"Train 2024",IF(tblWorkPackages[[#This Row],[Request date serial]]&lt;HoldoutStart,"Validation H1","Holdout H2"))</f>
        <v>Train 2024</v>
      </c>
      <c r="T1919" s="51" t="str">
        <f>IF(tblWorkPackages[[#This Row],[Time split]]="Train 2024","",tblWorkPackages[[#This Row],[Estimated labor hours]]+VLOOKUP(tblWorkPackages[[#This Row],[Task type]],'Forecast validation'!$A$14:$E$25,IF(tblWorkPackages[[#This Row],[Time split]]="Validation H1",4,5),FALSE()))</f>
        <v/>
      </c>
      <c r="U1919" s="51" t="str">
        <f>IF(tblWorkPackages[[#This Row],[Calibrated forecast hours]]="","",ABS(tblWorkPackages[[#This Row],[Actual labor hours]]-tblWorkPackages[[#This Row],[Calibrated forecast hours]]))</f>
        <v/>
      </c>
      <c r="V1919" s="51">
        <f>IF(tblWorkPackages[[#This Row],[Time split]]="Train 2024",tblWorkPackages[[#This Row],[Estimated labor hours]],tblWorkPackages[[#This Row],[Calibrated forecast hours]])</f>
        <v>5</v>
      </c>
      <c r="W1919" s="64">
        <f>DATEVALUE(tblWorkPackages[[#This Row],[Request date]])</f>
        <v>45619.0</v>
      </c>
      <c r="X1919" s="64">
        <f>DATEVALUE(tblWorkPackages[[#This Row],[Due date]])</f>
        <v>45625.0</v>
      </c>
      <c r="Y1919" s="64">
        <f>DATEVALUE(tblWorkPackages[[#This Row],[Completion date]])</f>
        <v>45625.0</v>
      </c>
      <c r="Z1919" s="64">
        <f>_xlfn.MINIFS(tblLaborEntries[Work date serial],tblLaborEntries[Work package ID],tblWorkPackages[[#This Row],[Work package ID]])</f>
        <v>45623.0</v>
      </c>
      <c r="AA1919" s="64">
        <f>_xlfn.MAXIFS(tblLaborEntries[Work date serial],tblLaborEntries[Work package ID],tblWorkPackages[[#This Row],[Work package ID]])</f>
        <v>45624.0</v>
      </c>
      <c r="AB1919" s="65">
        <f>IF(tblWorkPackages[[#This Row],[Completion date serial]]&gt;tblWorkPackages[[#This Row],[Due date serial]],1,0)</f>
        <v>0</v>
      </c>
      <c r="AC1919" s="65">
        <f>MAX(0,tblWorkPackages[[#This Row],[Completion date serial]]-tblWorkPackages[[#This Row],[Due date serial]])</f>
        <v>0</v>
      </c>
      <c r="AD1919" s="65">
        <f>tblWorkPackages[[#This Row],[First labor date]]-tblWorkPackages[[#This Row],[Request date serial]]</f>
        <v>4</v>
      </c>
      <c r="AE1919" s="65">
        <f>tblWorkPackages[[#This Row],[Last labor date]]-tblWorkPackages[[#This Row],[First labor date]]</f>
        <v>1</v>
      </c>
      <c r="AF1919" s="65">
        <f>tblWorkPackages[[#This Row],[Completion date serial]]-tblWorkPackages[[#This Row],[Last labor date]]</f>
        <v>1</v>
      </c>
      <c r="AG1919" s="65">
        <f>tblWorkPackages[[#This Row],[Completion date serial]]-tblWorkPackages[[#This Row],[Request date serial]]</f>
        <v>6</v>
      </c>
      <c r="AH1919" s="65">
        <f>IFERROR(INDEX(tblParts[Delay days],MATCH(tblWorkPackages[[#This Row],[Work package ID]],tblParts[Work package ID],0)),0)</f>
        <v>0</v>
      </c>
      <c r="AI1919" s="51" t="str">
        <f>IFERROR(INDEX(tblDisruptions[Event type],MATCH(tblWorkPackages[[#This Row],[Work package ID]],tblDisruptions[Work package ID],0)),"None")</f>
        <v>None</v>
      </c>
      <c r="AJ1919" s="51" t="str">
        <f>TEXT(tblWorkPackages[[#This Row],[Due date serial]],"yyyy-mm")</f>
        <v>2024-11</v>
      </c>
    </row>
    <row r="1920" spans="1:36" ht="15" x14ac:dyDescent="0.25">
      <c r="A1920" s="53" t="s">
        <v>2831</v>
      </c>
      <c r="B1920" s="53" t="s">
        <v>150</v>
      </c>
      <c r="C1920" s="53" t="s">
        <v>547</v>
      </c>
      <c r="D1920" s="53" t="s">
        <v>1314</v>
      </c>
      <c r="E1920" s="53" t="s">
        <v>136</v>
      </c>
      <c r="F1920" s="53" t="s">
        <v>137</v>
      </c>
      <c r="G1920" s="53" t="s">
        <v>138</v>
      </c>
      <c r="H1920" s="53">
        <v>3</v>
      </c>
      <c r="I1920" s="53" t="s">
        <v>130</v>
      </c>
      <c r="J1920" s="53">
        <v>0</v>
      </c>
      <c r="K1920" s="53">
        <v>0</v>
      </c>
      <c r="L1920" s="53">
        <v>20.5</v>
      </c>
      <c r="M1920" s="53" t="s">
        <v>1966</v>
      </c>
      <c r="N1920" s="53">
        <v>23.3</v>
      </c>
      <c r="O1920" s="51" t="str">
        <f>TEXT(tblWorkPackages[[#This Row],[Request date serial]]-WEEKDAY(tblWorkPackages[[#This Row],[Request date serial]],3),"yyyy-mm-dd")</f>
        <v>2024-01-01</v>
      </c>
      <c r="P1920" s="51">
        <f>ABS(tblWorkPackages[[#This Row],[Actual labor hours]]-tblWorkPackages[[#This Row],[Estimated labor hours]])</f>
        <v>2.8</v>
      </c>
      <c r="Q1920" s="51">
        <f>IF(tblWorkPackages[[#This Row],[Actual labor hours]]&gt;tblWorkPackages[[#This Row],[Estimated labor hours]],1,0)</f>
        <v>1</v>
      </c>
      <c r="R1920" s="51">
        <f>tblWorkPackages[[#This Row],[Actual labor hours]]-tblWorkPackages[[#This Row],[Estimated labor hours]]</f>
        <v>2.8</v>
      </c>
      <c r="S1920" s="51" t="str">
        <f>IF(tblWorkPackages[[#This Row],[Request date serial]]&lt;ValidationStart,"Train 2024",IF(tblWorkPackages[[#This Row],[Request date serial]]&lt;HoldoutStart,"Validation H1","Holdout H2"))</f>
        <v>Train 2024</v>
      </c>
      <c r="T1920" s="51" t="str">
        <f>IF(tblWorkPackages[[#This Row],[Time split]]="Train 2024","",tblWorkPackages[[#This Row],[Estimated labor hours]]+VLOOKUP(tblWorkPackages[[#This Row],[Task type]],'Forecast validation'!$A$14:$E$25,IF(tblWorkPackages[[#This Row],[Time split]]="Validation H1",4,5),FALSE()))</f>
        <v/>
      </c>
      <c r="U1920" s="51" t="str">
        <f>IF(tblWorkPackages[[#This Row],[Calibrated forecast hours]]="","",ABS(tblWorkPackages[[#This Row],[Actual labor hours]]-tblWorkPackages[[#This Row],[Calibrated forecast hours]]))</f>
        <v/>
      </c>
      <c r="V1920" s="51">
        <f>IF(tblWorkPackages[[#This Row],[Time split]]="Train 2024",tblWorkPackages[[#This Row],[Estimated labor hours]],tblWorkPackages[[#This Row],[Calibrated forecast hours]])</f>
        <v>20.5</v>
      </c>
      <c r="W1920" s="64">
        <f>DATEVALUE(tblWorkPackages[[#This Row],[Request date]])</f>
        <v>45296.0</v>
      </c>
      <c r="X1920" s="64">
        <f>DATEVALUE(tblWorkPackages[[#This Row],[Due date]])</f>
        <v>45309.0</v>
      </c>
      <c r="Y1920" s="64">
        <f>DATEVALUE(tblWorkPackages[[#This Row],[Completion date]])</f>
        <v>45300.0</v>
      </c>
      <c r="Z1920" s="64">
        <f>_xlfn.MINIFS(tblLaborEntries[Work date serial],tblLaborEntries[Work package ID],tblWorkPackages[[#This Row],[Work package ID]])</f>
        <v>45297.0</v>
      </c>
      <c r="AA1920" s="64">
        <f>_xlfn.MAXIFS(tblLaborEntries[Work date serial],tblLaborEntries[Work package ID],tblWorkPackages[[#This Row],[Work package ID]])</f>
        <v>45298.0</v>
      </c>
      <c r="AB1920" s="65">
        <f>IF(tblWorkPackages[[#This Row],[Completion date serial]]&gt;tblWorkPackages[[#This Row],[Due date serial]],1,0)</f>
        <v>0</v>
      </c>
      <c r="AC1920" s="65">
        <f>MAX(0,tblWorkPackages[[#This Row],[Completion date serial]]-tblWorkPackages[[#This Row],[Due date serial]])</f>
        <v>0</v>
      </c>
      <c r="AD1920" s="65">
        <f>tblWorkPackages[[#This Row],[First labor date]]-tblWorkPackages[[#This Row],[Request date serial]]</f>
        <v>1</v>
      </c>
      <c r="AE1920" s="65">
        <f>tblWorkPackages[[#This Row],[Last labor date]]-tblWorkPackages[[#This Row],[First labor date]]</f>
        <v>1</v>
      </c>
      <c r="AF1920" s="65">
        <f>tblWorkPackages[[#This Row],[Completion date serial]]-tblWorkPackages[[#This Row],[Last labor date]]</f>
        <v>2</v>
      </c>
      <c r="AG1920" s="65">
        <f>tblWorkPackages[[#This Row],[Completion date serial]]-tblWorkPackages[[#This Row],[Request date serial]]</f>
        <v>4</v>
      </c>
      <c r="AH1920" s="65">
        <f>IFERROR(INDEX(tblParts[Delay days],MATCH(tblWorkPackages[[#This Row],[Work package ID]],tblParts[Work package ID],0)),0)</f>
        <v>0</v>
      </c>
      <c r="AI1920" s="51" t="str">
        <f>IFERROR(INDEX(tblDisruptions[Event type],MATCH(tblWorkPackages[[#This Row],[Work package ID]],tblDisruptions[Work package ID],0)),"None")</f>
        <v>None</v>
      </c>
      <c r="AJ1920" s="51" t="str">
        <f>TEXT(tblWorkPackages[[#This Row],[Due date serial]],"yyyy-mm")</f>
        <v>2024-01</v>
      </c>
    </row>
    <row r="1921" spans="1:36" ht="15" x14ac:dyDescent="0.25">
      <c r="A1921" s="53" t="s">
        <v>2832</v>
      </c>
      <c r="B1921" s="53" t="s">
        <v>133</v>
      </c>
      <c r="C1921" s="53" t="s">
        <v>717</v>
      </c>
      <c r="D1921" s="53" t="s">
        <v>1445</v>
      </c>
      <c r="E1921" s="53" t="s">
        <v>136</v>
      </c>
      <c r="F1921" s="53" t="s">
        <v>137</v>
      </c>
      <c r="G1921" s="53" t="s">
        <v>138</v>
      </c>
      <c r="H1921" s="53">
        <v>1</v>
      </c>
      <c r="I1921" s="53" t="s">
        <v>130</v>
      </c>
      <c r="J1921" s="53">
        <v>0</v>
      </c>
      <c r="K1921" s="53">
        <v>1</v>
      </c>
      <c r="L1921" s="53">
        <v>9.9</v>
      </c>
      <c r="M1921" s="53" t="s">
        <v>1445</v>
      </c>
      <c r="N1921" s="53">
        <v>8.1999999999999993</v>
      </c>
      <c r="O1921" s="51" t="str">
        <f>TEXT(tblWorkPackages[[#This Row],[Request date serial]]-WEEKDAY(tblWorkPackages[[#This Row],[Request date serial]],3),"yyyy-mm-dd")</f>
        <v>2025-03-03</v>
      </c>
      <c r="P1921" s="51">
        <f>ABS(tblWorkPackages[[#This Row],[Actual labor hours]]-tblWorkPackages[[#This Row],[Estimated labor hours]])</f>
        <v>1.7</v>
      </c>
      <c r="Q1921" s="51">
        <f>IF(tblWorkPackages[[#This Row],[Actual labor hours]]&gt;tblWorkPackages[[#This Row],[Estimated labor hours]],1,0)</f>
        <v>0</v>
      </c>
      <c r="R1921" s="51">
        <f>tblWorkPackages[[#This Row],[Actual labor hours]]-tblWorkPackages[[#This Row],[Estimated labor hours]]</f>
        <v>-1.7</v>
      </c>
      <c r="S1921" s="51" t="str">
        <f>IF(tblWorkPackages[[#This Row],[Request date serial]]&lt;ValidationStart,"Train 2024",IF(tblWorkPackages[[#This Row],[Request date serial]]&lt;HoldoutStart,"Validation H1","Holdout H2"))</f>
        <v>Validation H1</v>
      </c>
      <c r="T1921" s="51">
        <f>IF(tblWorkPackages[[#This Row],[Time split]]="Train 2024","",tblWorkPackages[[#This Row],[Estimated labor hours]]+VLOOKUP(tblWorkPackages[[#This Row],[Task type]],'Forecast validation'!$A$14:$E$25,IF(tblWorkPackages[[#This Row],[Time split]]="Validation H1",4,5),FALSE()))</f>
        <v>10.7765306122449</v>
      </c>
      <c r="U1921" s="51">
        <f>IF(tblWorkPackages[[#This Row],[Calibrated forecast hours]]="","",ABS(tblWorkPackages[[#This Row],[Actual labor hours]]-tblWorkPackages[[#This Row],[Calibrated forecast hours]]))</f>
        <v>2.5765306122449</v>
      </c>
      <c r="V1921" s="51">
        <f>IF(tblWorkPackages[[#This Row],[Time split]]="Train 2024",tblWorkPackages[[#This Row],[Estimated labor hours]],tblWorkPackages[[#This Row],[Calibrated forecast hours]])</f>
        <v>10.7765306122449</v>
      </c>
      <c r="W1921" s="64">
        <f>DATEVALUE(tblWorkPackages[[#This Row],[Request date]])</f>
        <v>45723.0</v>
      </c>
      <c r="X1921" s="64">
        <f>DATEVALUE(tblWorkPackages[[#This Row],[Due date]])</f>
        <v>45736.0</v>
      </c>
      <c r="Y1921" s="64">
        <f>DATEVALUE(tblWorkPackages[[#This Row],[Completion date]])</f>
        <v>45736.0</v>
      </c>
      <c r="Z1921" s="64">
        <f>_xlfn.MINIFS(tblLaborEntries[Work date serial],tblLaborEntries[Work package ID],tblWorkPackages[[#This Row],[Work package ID]])</f>
        <v>45732.0</v>
      </c>
      <c r="AA1921" s="64">
        <f>_xlfn.MAXIFS(tblLaborEntries[Work date serial],tblLaborEntries[Work package ID],tblWorkPackages[[#This Row],[Work package ID]])</f>
        <v>45733.0</v>
      </c>
      <c r="AB1921" s="65">
        <f>IF(tblWorkPackages[[#This Row],[Completion date serial]]&gt;tblWorkPackages[[#This Row],[Due date serial]],1,0)</f>
        <v>0</v>
      </c>
      <c r="AC1921" s="65">
        <f>MAX(0,tblWorkPackages[[#This Row],[Completion date serial]]-tblWorkPackages[[#This Row],[Due date serial]])</f>
        <v>0</v>
      </c>
      <c r="AD1921" s="65">
        <f>tblWorkPackages[[#This Row],[First labor date]]-tblWorkPackages[[#This Row],[Request date serial]]</f>
        <v>9</v>
      </c>
      <c r="AE1921" s="65">
        <f>tblWorkPackages[[#This Row],[Last labor date]]-tblWorkPackages[[#This Row],[First labor date]]</f>
        <v>1</v>
      </c>
      <c r="AF1921" s="65">
        <f>tblWorkPackages[[#This Row],[Completion date serial]]-tblWorkPackages[[#This Row],[Last labor date]]</f>
        <v>3</v>
      </c>
      <c r="AG1921" s="65">
        <f>tblWorkPackages[[#This Row],[Completion date serial]]-tblWorkPackages[[#This Row],[Request date serial]]</f>
        <v>13</v>
      </c>
      <c r="AH1921" s="65">
        <f>IFERROR(INDEX(tblParts[Delay days],MATCH(tblWorkPackages[[#This Row],[Work package ID]],tblParts[Work package ID],0)),0)</f>
        <v>0</v>
      </c>
      <c r="AI1921" s="51" t="str">
        <f>IFERROR(INDEX(tblDisruptions[Event type],MATCH(tblWorkPackages[[#This Row],[Work package ID]],tblDisruptions[Work package ID],0)),"None")</f>
        <v>None</v>
      </c>
      <c r="AJ1921" s="51" t="str">
        <f>TEXT(tblWorkPackages[[#This Row],[Due date serial]],"yyyy-mm")</f>
        <v>2025-03</v>
      </c>
    </row>
    <row r="1922" spans="1:36" ht="15" x14ac:dyDescent="0.25">
      <c r="A1922" s="53" t="s">
        <v>2833</v>
      </c>
      <c r="B1922" s="53" t="s">
        <v>168</v>
      </c>
      <c r="C1922" s="53" t="s">
        <v>1439</v>
      </c>
      <c r="D1922" s="53" t="s">
        <v>895</v>
      </c>
      <c r="E1922" s="53" t="s">
        <v>144</v>
      </c>
      <c r="F1922" s="53" t="s">
        <v>145</v>
      </c>
      <c r="G1922" s="53" t="s">
        <v>146</v>
      </c>
      <c r="H1922" s="53">
        <v>1</v>
      </c>
      <c r="I1922" s="53" t="s">
        <v>130</v>
      </c>
      <c r="J1922" s="53">
        <v>0</v>
      </c>
      <c r="K1922" s="53">
        <v>1</v>
      </c>
      <c r="L1922" s="53">
        <v>6.3</v>
      </c>
      <c r="M1922" s="53" t="s">
        <v>294</v>
      </c>
      <c r="N1922" s="53">
        <v>8.9</v>
      </c>
      <c r="O1922" s="51" t="str">
        <f>TEXT(tblWorkPackages[[#This Row],[Request date serial]]-WEEKDAY(tblWorkPackages[[#This Row],[Request date serial]],3),"yyyy-mm-dd")</f>
        <v>2024-09-02</v>
      </c>
      <c r="P1922" s="51">
        <f>ABS(tblWorkPackages[[#This Row],[Actual labor hours]]-tblWorkPackages[[#This Row],[Estimated labor hours]])</f>
        <v>2.6</v>
      </c>
      <c r="Q1922" s="51">
        <f>IF(tblWorkPackages[[#This Row],[Actual labor hours]]&gt;tblWorkPackages[[#This Row],[Estimated labor hours]],1,0)</f>
        <v>1</v>
      </c>
      <c r="R1922" s="51">
        <f>tblWorkPackages[[#This Row],[Actual labor hours]]-tblWorkPackages[[#This Row],[Estimated labor hours]]</f>
        <v>2.6</v>
      </c>
      <c r="S1922" s="51" t="str">
        <f>IF(tblWorkPackages[[#This Row],[Request date serial]]&lt;ValidationStart,"Train 2024",IF(tblWorkPackages[[#This Row],[Request date serial]]&lt;HoldoutStart,"Validation H1","Holdout H2"))</f>
        <v>Train 2024</v>
      </c>
      <c r="T1922" s="51" t="str">
        <f>IF(tblWorkPackages[[#This Row],[Time split]]="Train 2024","",tblWorkPackages[[#This Row],[Estimated labor hours]]+VLOOKUP(tblWorkPackages[[#This Row],[Task type]],'Forecast validation'!$A$14:$E$25,IF(tblWorkPackages[[#This Row],[Time split]]="Validation H1",4,5),FALSE()))</f>
        <v/>
      </c>
      <c r="U1922" s="51" t="str">
        <f>IF(tblWorkPackages[[#This Row],[Calibrated forecast hours]]="","",ABS(tblWorkPackages[[#This Row],[Actual labor hours]]-tblWorkPackages[[#This Row],[Calibrated forecast hours]]))</f>
        <v/>
      </c>
      <c r="V1922" s="51">
        <f>IF(tblWorkPackages[[#This Row],[Time split]]="Train 2024",tblWorkPackages[[#This Row],[Estimated labor hours]],tblWorkPackages[[#This Row],[Calibrated forecast hours]])</f>
        <v>6.3</v>
      </c>
      <c r="W1922" s="64">
        <f>DATEVALUE(tblWorkPackages[[#This Row],[Request date]])</f>
        <v>45540.0</v>
      </c>
      <c r="X1922" s="64">
        <f>DATEVALUE(tblWorkPackages[[#This Row],[Due date]])</f>
        <v>45553.0</v>
      </c>
      <c r="Y1922" s="64">
        <f>DATEVALUE(tblWorkPackages[[#This Row],[Completion date]])</f>
        <v>45543.0</v>
      </c>
      <c r="Z1922" s="64">
        <f>_xlfn.MINIFS(tblLaborEntries[Work date serial],tblLaborEntries[Work package ID],tblWorkPackages[[#This Row],[Work package ID]])</f>
        <v>45542.0</v>
      </c>
      <c r="AA1922" s="64">
        <f>_xlfn.MAXIFS(tblLaborEntries[Work date serial],tblLaborEntries[Work package ID],tblWorkPackages[[#This Row],[Work package ID]])</f>
        <v>45543.0</v>
      </c>
      <c r="AB1922" s="65">
        <f>IF(tblWorkPackages[[#This Row],[Completion date serial]]&gt;tblWorkPackages[[#This Row],[Due date serial]],1,0)</f>
        <v>0</v>
      </c>
      <c r="AC1922" s="65">
        <f>MAX(0,tblWorkPackages[[#This Row],[Completion date serial]]-tblWorkPackages[[#This Row],[Due date serial]])</f>
        <v>0</v>
      </c>
      <c r="AD1922" s="65">
        <f>tblWorkPackages[[#This Row],[First labor date]]-tblWorkPackages[[#This Row],[Request date serial]]</f>
        <v>2</v>
      </c>
      <c r="AE1922" s="65">
        <f>tblWorkPackages[[#This Row],[Last labor date]]-tblWorkPackages[[#This Row],[First labor date]]</f>
        <v>1</v>
      </c>
      <c r="AF1922" s="65">
        <f>tblWorkPackages[[#This Row],[Completion date serial]]-tblWorkPackages[[#This Row],[Last labor date]]</f>
        <v>0</v>
      </c>
      <c r="AG1922" s="65">
        <f>tblWorkPackages[[#This Row],[Completion date serial]]-tblWorkPackages[[#This Row],[Request date serial]]</f>
        <v>3</v>
      </c>
      <c r="AH1922" s="65">
        <f>IFERROR(INDEX(tblParts[Delay days],MATCH(tblWorkPackages[[#This Row],[Work package ID]],tblParts[Work package ID],0)),0)</f>
        <v>0</v>
      </c>
      <c r="AI1922" s="51" t="str">
        <f>IFERROR(INDEX(tblDisruptions[Event type],MATCH(tblWorkPackages[[#This Row],[Work package ID]],tblDisruptions[Work package ID],0)),"None")</f>
        <v>Equipment unavailable</v>
      </c>
      <c r="AJ1922" s="51" t="str">
        <f>TEXT(tblWorkPackages[[#This Row],[Due date serial]],"yyyy-mm")</f>
        <v>2024-09</v>
      </c>
    </row>
    <row r="1923" spans="1:36" ht="15" x14ac:dyDescent="0.25">
      <c r="A1923" s="53" t="s">
        <v>2834</v>
      </c>
      <c r="B1923" s="53" t="s">
        <v>141</v>
      </c>
      <c r="C1923" s="53" t="s">
        <v>755</v>
      </c>
      <c r="D1923" s="53" t="s">
        <v>660</v>
      </c>
      <c r="E1923" s="53" t="s">
        <v>223</v>
      </c>
      <c r="F1923" s="53" t="s">
        <v>182</v>
      </c>
      <c r="G1923" s="53" t="s">
        <v>154</v>
      </c>
      <c r="H1923" s="53">
        <v>3</v>
      </c>
      <c r="I1923" s="53" t="s">
        <v>176</v>
      </c>
      <c r="J1923" s="53">
        <v>0</v>
      </c>
      <c r="K1923" s="53">
        <v>1</v>
      </c>
      <c r="L1923" s="53">
        <v>15</v>
      </c>
      <c r="M1923" s="53" t="s">
        <v>722</v>
      </c>
      <c r="N1923" s="53">
        <v>14.8</v>
      </c>
      <c r="O1923" s="51" t="str">
        <f>TEXT(tblWorkPackages[[#This Row],[Request date serial]]-WEEKDAY(tblWorkPackages[[#This Row],[Request date serial]],3),"yyyy-mm-dd")</f>
        <v>2024-09-09</v>
      </c>
      <c r="P1923" s="51">
        <f>ABS(tblWorkPackages[[#This Row],[Actual labor hours]]-tblWorkPackages[[#This Row],[Estimated labor hours]])</f>
        <v>0.199999999999999</v>
      </c>
      <c r="Q1923" s="51">
        <f>IF(tblWorkPackages[[#This Row],[Actual labor hours]]&gt;tblWorkPackages[[#This Row],[Estimated labor hours]],1,0)</f>
        <v>0</v>
      </c>
      <c r="R1923" s="51">
        <f>tblWorkPackages[[#This Row],[Actual labor hours]]-tblWorkPackages[[#This Row],[Estimated labor hours]]</f>
        <v>-0.199999999999999</v>
      </c>
      <c r="S1923" s="51" t="str">
        <f>IF(tblWorkPackages[[#This Row],[Request date serial]]&lt;ValidationStart,"Train 2024",IF(tblWorkPackages[[#This Row],[Request date serial]]&lt;HoldoutStart,"Validation H1","Holdout H2"))</f>
        <v>Train 2024</v>
      </c>
      <c r="T1923" s="51" t="str">
        <f>IF(tblWorkPackages[[#This Row],[Time split]]="Train 2024","",tblWorkPackages[[#This Row],[Estimated labor hours]]+VLOOKUP(tblWorkPackages[[#This Row],[Task type]],'Forecast validation'!$A$14:$E$25,IF(tblWorkPackages[[#This Row],[Time split]]="Validation H1",4,5),FALSE()))</f>
        <v/>
      </c>
      <c r="U1923" s="51" t="str">
        <f>IF(tblWorkPackages[[#This Row],[Calibrated forecast hours]]="","",ABS(tblWorkPackages[[#This Row],[Actual labor hours]]-tblWorkPackages[[#This Row],[Calibrated forecast hours]]))</f>
        <v/>
      </c>
      <c r="V1923" s="51">
        <f>IF(tblWorkPackages[[#This Row],[Time split]]="Train 2024",tblWorkPackages[[#This Row],[Estimated labor hours]],tblWorkPackages[[#This Row],[Calibrated forecast hours]])</f>
        <v>15</v>
      </c>
      <c r="W1923" s="64">
        <f>DATEVALUE(tblWorkPackages[[#This Row],[Request date]])</f>
        <v>45550.0</v>
      </c>
      <c r="X1923" s="64">
        <f>DATEVALUE(tblWorkPackages[[#This Row],[Due date]])</f>
        <v>45556.0</v>
      </c>
      <c r="Y1923" s="64">
        <f>DATEVALUE(tblWorkPackages[[#This Row],[Completion date]])</f>
        <v>45576.0</v>
      </c>
      <c r="Z1923" s="64">
        <f>_xlfn.MINIFS(tblLaborEntries[Work date serial],tblLaborEntries[Work package ID],tblWorkPackages[[#This Row],[Work package ID]])</f>
        <v>45574.0</v>
      </c>
      <c r="AA1923" s="64">
        <f>_xlfn.MAXIFS(tblLaborEntries[Work date serial],tblLaborEntries[Work package ID],tblWorkPackages[[#This Row],[Work package ID]])</f>
        <v>45575.0</v>
      </c>
      <c r="AB1923" s="65">
        <f>IF(tblWorkPackages[[#This Row],[Completion date serial]]&gt;tblWorkPackages[[#This Row],[Due date serial]],1,0)</f>
        <v>1</v>
      </c>
      <c r="AC1923" s="65">
        <f>MAX(0,tblWorkPackages[[#This Row],[Completion date serial]]-tblWorkPackages[[#This Row],[Due date serial]])</f>
        <v>20</v>
      </c>
      <c r="AD1923" s="65">
        <f>tblWorkPackages[[#This Row],[First labor date]]-tblWorkPackages[[#This Row],[Request date serial]]</f>
        <v>24</v>
      </c>
      <c r="AE1923" s="65">
        <f>tblWorkPackages[[#This Row],[Last labor date]]-tblWorkPackages[[#This Row],[First labor date]]</f>
        <v>1</v>
      </c>
      <c r="AF1923" s="65">
        <f>tblWorkPackages[[#This Row],[Completion date serial]]-tblWorkPackages[[#This Row],[Last labor date]]</f>
        <v>1</v>
      </c>
      <c r="AG1923" s="65">
        <f>tblWorkPackages[[#This Row],[Completion date serial]]-tblWorkPackages[[#This Row],[Request date serial]]</f>
        <v>26</v>
      </c>
      <c r="AH1923" s="65">
        <f>IFERROR(INDEX(tblParts[Delay days],MATCH(tblWorkPackages[[#This Row],[Work package ID]],tblParts[Work package ID],0)),0)</f>
        <v>0</v>
      </c>
      <c r="AI1923" s="51" t="str">
        <f>IFERROR(INDEX(tblDisruptions[Event type],MATCH(tblWorkPackages[[#This Row],[Work package ID]],tblDisruptions[Work package ID],0)),"None")</f>
        <v>None</v>
      </c>
      <c r="AJ1923" s="51" t="str">
        <f>TEXT(tblWorkPackages[[#This Row],[Due date serial]],"yyyy-mm")</f>
        <v>2024-09</v>
      </c>
    </row>
    <row r="1924" spans="1:36" ht="15" x14ac:dyDescent="0.25">
      <c r="A1924" s="53" t="s">
        <v>2835</v>
      </c>
      <c r="B1924" s="53" t="s">
        <v>163</v>
      </c>
      <c r="C1924" s="53" t="s">
        <v>325</v>
      </c>
      <c r="D1924" s="53" t="s">
        <v>481</v>
      </c>
      <c r="E1924" s="53" t="s">
        <v>160</v>
      </c>
      <c r="F1924" s="53" t="s">
        <v>128</v>
      </c>
      <c r="G1924" s="53" t="s">
        <v>138</v>
      </c>
      <c r="H1924" s="53">
        <v>3</v>
      </c>
      <c r="I1924" s="53" t="s">
        <v>176</v>
      </c>
      <c r="J1924" s="53">
        <v>0</v>
      </c>
      <c r="K1924" s="53">
        <v>1</v>
      </c>
      <c r="L1924" s="53">
        <v>5.3</v>
      </c>
      <c r="M1924" s="53" t="s">
        <v>481</v>
      </c>
      <c r="N1924" s="53">
        <v>6.3</v>
      </c>
      <c r="O1924" s="51" t="str">
        <f>TEXT(tblWorkPackages[[#This Row],[Request date serial]]-WEEKDAY(tblWorkPackages[[#This Row],[Request date serial]],3),"yyyy-mm-dd")</f>
        <v>2025-10-27</v>
      </c>
      <c r="P1924" s="51">
        <f>ABS(tblWorkPackages[[#This Row],[Actual labor hours]]-tblWorkPackages[[#This Row],[Estimated labor hours]])</f>
        <v>1</v>
      </c>
      <c r="Q1924" s="51">
        <f>IF(tblWorkPackages[[#This Row],[Actual labor hours]]&gt;tblWorkPackages[[#This Row],[Estimated labor hours]],1,0)</f>
        <v>1</v>
      </c>
      <c r="R1924" s="51">
        <f>tblWorkPackages[[#This Row],[Actual labor hours]]-tblWorkPackages[[#This Row],[Estimated labor hours]]</f>
        <v>1</v>
      </c>
      <c r="S1924" s="51" t="str">
        <f>IF(tblWorkPackages[[#This Row],[Request date serial]]&lt;ValidationStart,"Train 2024",IF(tblWorkPackages[[#This Row],[Request date serial]]&lt;HoldoutStart,"Validation H1","Holdout H2"))</f>
        <v>Holdout H2</v>
      </c>
      <c r="T1924" s="51">
        <f>IF(tblWorkPackages[[#This Row],[Time split]]="Train 2024","",tblWorkPackages[[#This Row],[Estimated labor hours]]+VLOOKUP(tblWorkPackages[[#This Row],[Task type]],'Forecast validation'!$A$14:$E$25,IF(tblWorkPackages[[#This Row],[Time split]]="Validation H1",4,5),FALSE()))</f>
        <v>5.73739837398374</v>
      </c>
      <c r="U1924" s="51">
        <f>IF(tblWorkPackages[[#This Row],[Calibrated forecast hours]]="","",ABS(tblWorkPackages[[#This Row],[Actual labor hours]]-tblWorkPackages[[#This Row],[Calibrated forecast hours]]))</f>
        <v>0.56260162601626</v>
      </c>
      <c r="V1924" s="51">
        <f>IF(tblWorkPackages[[#This Row],[Time split]]="Train 2024",tblWorkPackages[[#This Row],[Estimated labor hours]],tblWorkPackages[[#This Row],[Calibrated forecast hours]])</f>
        <v>5.73739837398374</v>
      </c>
      <c r="W1924" s="64">
        <f>DATEVALUE(tblWorkPackages[[#This Row],[Request date]])</f>
        <v>45962.0</v>
      </c>
      <c r="X1924" s="64">
        <f>DATEVALUE(tblWorkPackages[[#This Row],[Due date]])</f>
        <v>45968.0</v>
      </c>
      <c r="Y1924" s="64">
        <f>DATEVALUE(tblWorkPackages[[#This Row],[Completion date]])</f>
        <v>45968.0</v>
      </c>
      <c r="Z1924" s="64">
        <f>_xlfn.MINIFS(tblLaborEntries[Work date serial],tblLaborEntries[Work package ID],tblWorkPackages[[#This Row],[Work package ID]])</f>
        <v>45966.0</v>
      </c>
      <c r="AA1924" s="64">
        <f>_xlfn.MAXIFS(tblLaborEntries[Work date serial],tblLaborEntries[Work package ID],tblWorkPackages[[#This Row],[Work package ID]])</f>
        <v>45966.0</v>
      </c>
      <c r="AB1924" s="65">
        <f>IF(tblWorkPackages[[#This Row],[Completion date serial]]&gt;tblWorkPackages[[#This Row],[Due date serial]],1,0)</f>
        <v>0</v>
      </c>
      <c r="AC1924" s="65">
        <f>MAX(0,tblWorkPackages[[#This Row],[Completion date serial]]-tblWorkPackages[[#This Row],[Due date serial]])</f>
        <v>0</v>
      </c>
      <c r="AD1924" s="65">
        <f>tblWorkPackages[[#This Row],[First labor date]]-tblWorkPackages[[#This Row],[Request date serial]]</f>
        <v>4</v>
      </c>
      <c r="AE1924" s="65">
        <f>tblWorkPackages[[#This Row],[Last labor date]]-tblWorkPackages[[#This Row],[First labor date]]</f>
        <v>0</v>
      </c>
      <c r="AF1924" s="65">
        <f>tblWorkPackages[[#This Row],[Completion date serial]]-tblWorkPackages[[#This Row],[Last labor date]]</f>
        <v>2</v>
      </c>
      <c r="AG1924" s="65">
        <f>tblWorkPackages[[#This Row],[Completion date serial]]-tblWorkPackages[[#This Row],[Request date serial]]</f>
        <v>6</v>
      </c>
      <c r="AH1924" s="65">
        <f>IFERROR(INDEX(tblParts[Delay days],MATCH(tblWorkPackages[[#This Row],[Work package ID]],tblParts[Work package ID],0)),0)</f>
        <v>0</v>
      </c>
      <c r="AI1924" s="51" t="str">
        <f>IFERROR(INDEX(tblDisruptions[Event type],MATCH(tblWorkPackages[[#This Row],[Work package ID]],tblDisruptions[Work package ID],0)),"None")</f>
        <v>None</v>
      </c>
      <c r="AJ1924" s="51" t="str">
        <f>TEXT(tblWorkPackages[[#This Row],[Due date serial]],"yyyy-mm")</f>
        <v>2025-11</v>
      </c>
    </row>
    <row r="1925" spans="1:36" ht="15" x14ac:dyDescent="0.25">
      <c r="A1925" s="53" t="s">
        <v>2836</v>
      </c>
      <c r="B1925" s="53" t="s">
        <v>287</v>
      </c>
      <c r="C1925" s="53" t="s">
        <v>732</v>
      </c>
      <c r="D1925" s="53" t="s">
        <v>261</v>
      </c>
      <c r="E1925" s="53" t="s">
        <v>242</v>
      </c>
      <c r="F1925" s="53" t="s">
        <v>243</v>
      </c>
      <c r="G1925" s="53" t="s">
        <v>129</v>
      </c>
      <c r="H1925" s="53">
        <v>4</v>
      </c>
      <c r="I1925" s="53" t="s">
        <v>176</v>
      </c>
      <c r="J1925" s="53">
        <v>0</v>
      </c>
      <c r="K1925" s="53">
        <v>0</v>
      </c>
      <c r="L1925" s="53">
        <v>16.100000000000001</v>
      </c>
      <c r="M1925" s="53" t="s">
        <v>485</v>
      </c>
      <c r="N1925" s="53">
        <v>19.899999999999999</v>
      </c>
      <c r="O1925" s="51" t="str">
        <f>TEXT(tblWorkPackages[[#This Row],[Request date serial]]-WEEKDAY(tblWorkPackages[[#This Row],[Request date serial]],3),"yyyy-mm-dd")</f>
        <v>2025-01-13</v>
      </c>
      <c r="P1925" s="51">
        <f>ABS(tblWorkPackages[[#This Row],[Actual labor hours]]-tblWorkPackages[[#This Row],[Estimated labor hours]])</f>
        <v>3.8</v>
      </c>
      <c r="Q1925" s="51">
        <f>IF(tblWorkPackages[[#This Row],[Actual labor hours]]&gt;tblWorkPackages[[#This Row],[Estimated labor hours]],1,0)</f>
        <v>1</v>
      </c>
      <c r="R1925" s="51">
        <f>tblWorkPackages[[#This Row],[Actual labor hours]]-tblWorkPackages[[#This Row],[Estimated labor hours]]</f>
        <v>3.8</v>
      </c>
      <c r="S1925" s="51" t="str">
        <f>IF(tblWorkPackages[[#This Row],[Request date serial]]&lt;ValidationStart,"Train 2024",IF(tblWorkPackages[[#This Row],[Request date serial]]&lt;HoldoutStart,"Validation H1","Holdout H2"))</f>
        <v>Validation H1</v>
      </c>
      <c r="T1925" s="51">
        <f>IF(tblWorkPackages[[#This Row],[Time split]]="Train 2024","",tblWorkPackages[[#This Row],[Estimated labor hours]]+VLOOKUP(tblWorkPackages[[#This Row],[Task type]],'Forecast validation'!$A$14:$E$25,IF(tblWorkPackages[[#This Row],[Time split]]="Validation H1",4,5),FALSE()))</f>
        <v>16.6561224489796</v>
      </c>
      <c r="U1925" s="51">
        <f>IF(tblWorkPackages[[#This Row],[Calibrated forecast hours]]="","",ABS(tblWorkPackages[[#This Row],[Actual labor hours]]-tblWorkPackages[[#This Row],[Calibrated forecast hours]]))</f>
        <v>3.2438775510204</v>
      </c>
      <c r="V1925" s="51">
        <f>IF(tblWorkPackages[[#This Row],[Time split]]="Train 2024",tblWorkPackages[[#This Row],[Estimated labor hours]],tblWorkPackages[[#This Row],[Calibrated forecast hours]])</f>
        <v>16.6561224489796</v>
      </c>
      <c r="W1925" s="64">
        <f>DATEVALUE(tblWorkPackages[[#This Row],[Request date]])</f>
        <v>45670.0</v>
      </c>
      <c r="X1925" s="64">
        <f>DATEVALUE(tblWorkPackages[[#This Row],[Due date]])</f>
        <v>45676.0</v>
      </c>
      <c r="Y1925" s="64">
        <f>DATEVALUE(tblWorkPackages[[#This Row],[Completion date]])</f>
        <v>45675.0</v>
      </c>
      <c r="Z1925" s="64">
        <f>_xlfn.MINIFS(tblLaborEntries[Work date serial],tblLaborEntries[Work package ID],tblWorkPackages[[#This Row],[Work package ID]])</f>
        <v>45671.0</v>
      </c>
      <c r="AA1925" s="64">
        <f>_xlfn.MAXIFS(tblLaborEntries[Work date serial],tblLaborEntries[Work package ID],tblWorkPackages[[#This Row],[Work package ID]])</f>
        <v>45672.0</v>
      </c>
      <c r="AB1925" s="65">
        <f>IF(tblWorkPackages[[#This Row],[Completion date serial]]&gt;tblWorkPackages[[#This Row],[Due date serial]],1,0)</f>
        <v>0</v>
      </c>
      <c r="AC1925" s="65">
        <f>MAX(0,tblWorkPackages[[#This Row],[Completion date serial]]-tblWorkPackages[[#This Row],[Due date serial]])</f>
        <v>0</v>
      </c>
      <c r="AD1925" s="65">
        <f>tblWorkPackages[[#This Row],[First labor date]]-tblWorkPackages[[#This Row],[Request date serial]]</f>
        <v>1</v>
      </c>
      <c r="AE1925" s="65">
        <f>tblWorkPackages[[#This Row],[Last labor date]]-tblWorkPackages[[#This Row],[First labor date]]</f>
        <v>1</v>
      </c>
      <c r="AF1925" s="65">
        <f>tblWorkPackages[[#This Row],[Completion date serial]]-tblWorkPackages[[#This Row],[Last labor date]]</f>
        <v>3</v>
      </c>
      <c r="AG1925" s="65">
        <f>tblWorkPackages[[#This Row],[Completion date serial]]-tblWorkPackages[[#This Row],[Request date serial]]</f>
        <v>5</v>
      </c>
      <c r="AH1925" s="65">
        <f>IFERROR(INDEX(tblParts[Delay days],MATCH(tblWorkPackages[[#This Row],[Work package ID]],tblParts[Work package ID],0)),0)</f>
        <v>0</v>
      </c>
      <c r="AI1925" s="51" t="str">
        <f>IFERROR(INDEX(tblDisruptions[Event type],MATCH(tblWorkPackages[[#This Row],[Work package ID]],tblDisruptions[Work package ID],0)),"None")</f>
        <v>None</v>
      </c>
      <c r="AJ1925" s="51" t="str">
        <f>TEXT(tblWorkPackages[[#This Row],[Due date serial]],"yyyy-mm")</f>
        <v>2025-01</v>
      </c>
    </row>
    <row r="1926" spans="1:36" ht="15" x14ac:dyDescent="0.25">
      <c r="A1926" s="53" t="s">
        <v>2837</v>
      </c>
      <c r="B1926" s="53" t="s">
        <v>163</v>
      </c>
      <c r="C1926" s="53" t="s">
        <v>2092</v>
      </c>
      <c r="D1926" s="53" t="s">
        <v>351</v>
      </c>
      <c r="E1926" s="53" t="s">
        <v>153</v>
      </c>
      <c r="F1926" s="53" t="s">
        <v>128</v>
      </c>
      <c r="G1926" s="53" t="s">
        <v>154</v>
      </c>
      <c r="H1926" s="53">
        <v>2</v>
      </c>
      <c r="I1926" s="53" t="s">
        <v>176</v>
      </c>
      <c r="J1926" s="53">
        <v>0</v>
      </c>
      <c r="K1926" s="53">
        <v>1</v>
      </c>
      <c r="L1926" s="53">
        <v>9.1</v>
      </c>
      <c r="M1926" s="53" t="s">
        <v>1180</v>
      </c>
      <c r="N1926" s="53">
        <v>7.7</v>
      </c>
      <c r="O1926" s="51" t="str">
        <f>TEXT(tblWorkPackages[[#This Row],[Request date serial]]-WEEKDAY(tblWorkPackages[[#This Row],[Request date serial]],3),"yyyy-mm-dd")</f>
        <v>2024-01-22</v>
      </c>
      <c r="P1926" s="51">
        <f>ABS(tblWorkPackages[[#This Row],[Actual labor hours]]-tblWorkPackages[[#This Row],[Estimated labor hours]])</f>
        <v>1.4</v>
      </c>
      <c r="Q1926" s="51">
        <f>IF(tblWorkPackages[[#This Row],[Actual labor hours]]&gt;tblWorkPackages[[#This Row],[Estimated labor hours]],1,0)</f>
        <v>0</v>
      </c>
      <c r="R1926" s="51">
        <f>tblWorkPackages[[#This Row],[Actual labor hours]]-tblWorkPackages[[#This Row],[Estimated labor hours]]</f>
        <v>-1.4</v>
      </c>
      <c r="S1926" s="51" t="str">
        <f>IF(tblWorkPackages[[#This Row],[Request date serial]]&lt;ValidationStart,"Train 2024",IF(tblWorkPackages[[#This Row],[Request date serial]]&lt;HoldoutStart,"Validation H1","Holdout H2"))</f>
        <v>Train 2024</v>
      </c>
      <c r="T1926" s="51" t="str">
        <f>IF(tblWorkPackages[[#This Row],[Time split]]="Train 2024","",tblWorkPackages[[#This Row],[Estimated labor hours]]+VLOOKUP(tblWorkPackages[[#This Row],[Task type]],'Forecast validation'!$A$14:$E$25,IF(tblWorkPackages[[#This Row],[Time split]]="Validation H1",4,5),FALSE()))</f>
        <v/>
      </c>
      <c r="U1926" s="51" t="str">
        <f>IF(tblWorkPackages[[#This Row],[Calibrated forecast hours]]="","",ABS(tblWorkPackages[[#This Row],[Actual labor hours]]-tblWorkPackages[[#This Row],[Calibrated forecast hours]]))</f>
        <v/>
      </c>
      <c r="V1926" s="51">
        <f>IF(tblWorkPackages[[#This Row],[Time split]]="Train 2024",tblWorkPackages[[#This Row],[Estimated labor hours]],tblWorkPackages[[#This Row],[Calibrated forecast hours]])</f>
        <v>9.1</v>
      </c>
      <c r="W1926" s="64">
        <f>DATEVALUE(tblWorkPackages[[#This Row],[Request date]])</f>
        <v>45313.0</v>
      </c>
      <c r="X1926" s="64">
        <f>DATEVALUE(tblWorkPackages[[#This Row],[Due date]])</f>
        <v>45319.0</v>
      </c>
      <c r="Y1926" s="64">
        <f>DATEVALUE(tblWorkPackages[[#This Row],[Completion date]])</f>
        <v>45327.0</v>
      </c>
      <c r="Z1926" s="64">
        <f>_xlfn.MINIFS(tblLaborEntries[Work date serial],tblLaborEntries[Work package ID],tblWorkPackages[[#This Row],[Work package ID]])</f>
        <v>45325.0</v>
      </c>
      <c r="AA1926" s="64">
        <f>_xlfn.MAXIFS(tblLaborEntries[Work date serial],tblLaborEntries[Work package ID],tblWorkPackages[[#This Row],[Work package ID]])</f>
        <v>45327.0</v>
      </c>
      <c r="AB1926" s="65">
        <f>IF(tblWorkPackages[[#This Row],[Completion date serial]]&gt;tblWorkPackages[[#This Row],[Due date serial]],1,0)</f>
        <v>1</v>
      </c>
      <c r="AC1926" s="65">
        <f>MAX(0,tblWorkPackages[[#This Row],[Completion date serial]]-tblWorkPackages[[#This Row],[Due date serial]])</f>
        <v>8</v>
      </c>
      <c r="AD1926" s="65">
        <f>tblWorkPackages[[#This Row],[First labor date]]-tblWorkPackages[[#This Row],[Request date serial]]</f>
        <v>12</v>
      </c>
      <c r="AE1926" s="65">
        <f>tblWorkPackages[[#This Row],[Last labor date]]-tblWorkPackages[[#This Row],[First labor date]]</f>
        <v>2</v>
      </c>
      <c r="AF1926" s="65">
        <f>tblWorkPackages[[#This Row],[Completion date serial]]-tblWorkPackages[[#This Row],[Last labor date]]</f>
        <v>0</v>
      </c>
      <c r="AG1926" s="65">
        <f>tblWorkPackages[[#This Row],[Completion date serial]]-tblWorkPackages[[#This Row],[Request date serial]]</f>
        <v>14</v>
      </c>
      <c r="AH1926" s="65">
        <f>IFERROR(INDEX(tblParts[Delay days],MATCH(tblWorkPackages[[#This Row],[Work package ID]],tblParts[Work package ID],0)),0)</f>
        <v>0</v>
      </c>
      <c r="AI1926" s="51" t="str">
        <f>IFERROR(INDEX(tblDisruptions[Event type],MATCH(tblWorkPackages[[#This Row],[Work package ID]],tblDisruptions[Work package ID],0)),"None")</f>
        <v>None</v>
      </c>
      <c r="AJ1926" s="51" t="str">
        <f>TEXT(tblWorkPackages[[#This Row],[Due date serial]],"yyyy-mm")</f>
        <v>2024-01</v>
      </c>
    </row>
    <row r="1927" spans="1:36" ht="15" x14ac:dyDescent="0.25">
      <c r="A1927" s="53" t="s">
        <v>2838</v>
      </c>
      <c r="B1927" s="53" t="s">
        <v>150</v>
      </c>
      <c r="C1927" s="53" t="s">
        <v>726</v>
      </c>
      <c r="D1927" s="53" t="s">
        <v>400</v>
      </c>
      <c r="E1927" s="53" t="s">
        <v>242</v>
      </c>
      <c r="F1927" s="53" t="s">
        <v>243</v>
      </c>
      <c r="G1927" s="53" t="s">
        <v>129</v>
      </c>
      <c r="H1927" s="53">
        <v>3</v>
      </c>
      <c r="I1927" s="53" t="s">
        <v>147</v>
      </c>
      <c r="J1927" s="53">
        <v>0</v>
      </c>
      <c r="K1927" s="53">
        <v>0</v>
      </c>
      <c r="L1927" s="53">
        <v>13.6</v>
      </c>
      <c r="M1927" s="53" t="s">
        <v>1108</v>
      </c>
      <c r="N1927" s="53">
        <v>14.3</v>
      </c>
      <c r="O1927" s="51" t="str">
        <f>TEXT(tblWorkPackages[[#This Row],[Request date serial]]-WEEKDAY(tblWorkPackages[[#This Row],[Request date serial]],3),"yyyy-mm-dd")</f>
        <v>2024-05-20</v>
      </c>
      <c r="P1927" s="51">
        <f>ABS(tblWorkPackages[[#This Row],[Actual labor hours]]-tblWorkPackages[[#This Row],[Estimated labor hours]])</f>
        <v>0.700000000000001</v>
      </c>
      <c r="Q1927" s="51">
        <f>IF(tblWorkPackages[[#This Row],[Actual labor hours]]&gt;tblWorkPackages[[#This Row],[Estimated labor hours]],1,0)</f>
        <v>1</v>
      </c>
      <c r="R1927" s="51">
        <f>tblWorkPackages[[#This Row],[Actual labor hours]]-tblWorkPackages[[#This Row],[Estimated labor hours]]</f>
        <v>0.700000000000001</v>
      </c>
      <c r="S1927" s="51" t="str">
        <f>IF(tblWorkPackages[[#This Row],[Request date serial]]&lt;ValidationStart,"Train 2024",IF(tblWorkPackages[[#This Row],[Request date serial]]&lt;HoldoutStart,"Validation H1","Holdout H2"))</f>
        <v>Train 2024</v>
      </c>
      <c r="T1927" s="51" t="str">
        <f>IF(tblWorkPackages[[#This Row],[Time split]]="Train 2024","",tblWorkPackages[[#This Row],[Estimated labor hours]]+VLOOKUP(tblWorkPackages[[#This Row],[Task type]],'Forecast validation'!$A$14:$E$25,IF(tblWorkPackages[[#This Row],[Time split]]="Validation H1",4,5),FALSE()))</f>
        <v/>
      </c>
      <c r="U1927" s="51" t="str">
        <f>IF(tblWorkPackages[[#This Row],[Calibrated forecast hours]]="","",ABS(tblWorkPackages[[#This Row],[Actual labor hours]]-tblWorkPackages[[#This Row],[Calibrated forecast hours]]))</f>
        <v/>
      </c>
      <c r="V1927" s="51">
        <f>IF(tblWorkPackages[[#This Row],[Time split]]="Train 2024",tblWorkPackages[[#This Row],[Estimated labor hours]],tblWorkPackages[[#This Row],[Calibrated forecast hours]])</f>
        <v>13.6</v>
      </c>
      <c r="W1927" s="64">
        <f>DATEVALUE(tblWorkPackages[[#This Row],[Request date]])</f>
        <v>45432.0</v>
      </c>
      <c r="X1927" s="64">
        <f>DATEVALUE(tblWorkPackages[[#This Row],[Due date]])</f>
        <v>45434.0</v>
      </c>
      <c r="Y1927" s="64">
        <f>DATEVALUE(tblWorkPackages[[#This Row],[Completion date]])</f>
        <v>45437.0</v>
      </c>
      <c r="Z1927" s="64">
        <f>_xlfn.MINIFS(tblLaborEntries[Work date serial],tblLaborEntries[Work package ID],tblWorkPackages[[#This Row],[Work package ID]])</f>
        <v>45435.0</v>
      </c>
      <c r="AA1927" s="64">
        <f>_xlfn.MAXIFS(tblLaborEntries[Work date serial],tblLaborEntries[Work package ID],tblWorkPackages[[#This Row],[Work package ID]])</f>
        <v>45436.0</v>
      </c>
      <c r="AB1927" s="65">
        <f>IF(tblWorkPackages[[#This Row],[Completion date serial]]&gt;tblWorkPackages[[#This Row],[Due date serial]],1,0)</f>
        <v>1</v>
      </c>
      <c r="AC1927" s="65">
        <f>MAX(0,tblWorkPackages[[#This Row],[Completion date serial]]-tblWorkPackages[[#This Row],[Due date serial]])</f>
        <v>3</v>
      </c>
      <c r="AD1927" s="65">
        <f>tblWorkPackages[[#This Row],[First labor date]]-tblWorkPackages[[#This Row],[Request date serial]]</f>
        <v>3</v>
      </c>
      <c r="AE1927" s="65">
        <f>tblWorkPackages[[#This Row],[Last labor date]]-tblWorkPackages[[#This Row],[First labor date]]</f>
        <v>1</v>
      </c>
      <c r="AF1927" s="65">
        <f>tblWorkPackages[[#This Row],[Completion date serial]]-tblWorkPackages[[#This Row],[Last labor date]]</f>
        <v>1</v>
      </c>
      <c r="AG1927" s="65">
        <f>tblWorkPackages[[#This Row],[Completion date serial]]-tblWorkPackages[[#This Row],[Request date serial]]</f>
        <v>5</v>
      </c>
      <c r="AH1927" s="65">
        <f>IFERROR(INDEX(tblParts[Delay days],MATCH(tblWorkPackages[[#This Row],[Work package ID]],tblParts[Work package ID],0)),0)</f>
        <v>0</v>
      </c>
      <c r="AI1927" s="51" t="str">
        <f>IFERROR(INDEX(tblDisruptions[Event type],MATCH(tblWorkPackages[[#This Row],[Work package ID]],tblDisruptions[Work package ID],0)),"None")</f>
        <v>None</v>
      </c>
      <c r="AJ1927" s="51" t="str">
        <f>TEXT(tblWorkPackages[[#This Row],[Due date serial]],"yyyy-mm")</f>
        <v>2024-05</v>
      </c>
    </row>
    <row r="1928" spans="1:36" ht="15" x14ac:dyDescent="0.25">
      <c r="A1928" s="53" t="s">
        <v>2839</v>
      </c>
      <c r="B1928" s="53" t="s">
        <v>157</v>
      </c>
      <c r="C1928" s="53" t="s">
        <v>877</v>
      </c>
      <c r="D1928" s="53" t="s">
        <v>1072</v>
      </c>
      <c r="E1928" s="53" t="s">
        <v>127</v>
      </c>
      <c r="F1928" s="53" t="s">
        <v>128</v>
      </c>
      <c r="G1928" s="53" t="s">
        <v>129</v>
      </c>
      <c r="H1928" s="53">
        <v>3</v>
      </c>
      <c r="I1928" s="53" t="s">
        <v>176</v>
      </c>
      <c r="J1928" s="53">
        <v>1</v>
      </c>
      <c r="K1928" s="53">
        <v>0</v>
      </c>
      <c r="L1928" s="53">
        <v>8.1</v>
      </c>
      <c r="M1928" s="53" t="s">
        <v>456</v>
      </c>
      <c r="N1928" s="53">
        <v>11.8</v>
      </c>
      <c r="O1928" s="51" t="str">
        <f>TEXT(tblWorkPackages[[#This Row],[Request date serial]]-WEEKDAY(tblWorkPackages[[#This Row],[Request date serial]],3),"yyyy-mm-dd")</f>
        <v>2024-11-25</v>
      </c>
      <c r="P1928" s="51">
        <f>ABS(tblWorkPackages[[#This Row],[Actual labor hours]]-tblWorkPackages[[#This Row],[Estimated labor hours]])</f>
        <v>3.7</v>
      </c>
      <c r="Q1928" s="51">
        <f>IF(tblWorkPackages[[#This Row],[Actual labor hours]]&gt;tblWorkPackages[[#This Row],[Estimated labor hours]],1,0)</f>
        <v>1</v>
      </c>
      <c r="R1928" s="51">
        <f>tblWorkPackages[[#This Row],[Actual labor hours]]-tblWorkPackages[[#This Row],[Estimated labor hours]]</f>
        <v>3.7</v>
      </c>
      <c r="S1928" s="51" t="str">
        <f>IF(tblWorkPackages[[#This Row],[Request date serial]]&lt;ValidationStart,"Train 2024",IF(tblWorkPackages[[#This Row],[Request date serial]]&lt;HoldoutStart,"Validation H1","Holdout H2"))</f>
        <v>Train 2024</v>
      </c>
      <c r="T1928" s="51" t="str">
        <f>IF(tblWorkPackages[[#This Row],[Time split]]="Train 2024","",tblWorkPackages[[#This Row],[Estimated labor hours]]+VLOOKUP(tblWorkPackages[[#This Row],[Task type]],'Forecast validation'!$A$14:$E$25,IF(tblWorkPackages[[#This Row],[Time split]]="Validation H1",4,5),FALSE()))</f>
        <v/>
      </c>
      <c r="U1928" s="51" t="str">
        <f>IF(tblWorkPackages[[#This Row],[Calibrated forecast hours]]="","",ABS(tblWorkPackages[[#This Row],[Actual labor hours]]-tblWorkPackages[[#This Row],[Calibrated forecast hours]]))</f>
        <v/>
      </c>
      <c r="V1928" s="51">
        <f>IF(tblWorkPackages[[#This Row],[Time split]]="Train 2024",tblWorkPackages[[#This Row],[Estimated labor hours]],tblWorkPackages[[#This Row],[Calibrated forecast hours]])</f>
        <v>8.1</v>
      </c>
      <c r="W1928" s="64">
        <f>DATEVALUE(tblWorkPackages[[#This Row],[Request date]])</f>
        <v>45624.0</v>
      </c>
      <c r="X1928" s="64">
        <f>DATEVALUE(tblWorkPackages[[#This Row],[Due date]])</f>
        <v>45630.0</v>
      </c>
      <c r="Y1928" s="64">
        <f>DATEVALUE(tblWorkPackages[[#This Row],[Completion date]])</f>
        <v>45664.0</v>
      </c>
      <c r="Z1928" s="64">
        <f>_xlfn.MINIFS(tblLaborEntries[Work date serial],tblLaborEntries[Work package ID],tblWorkPackages[[#This Row],[Work package ID]])</f>
        <v>45661.0</v>
      </c>
      <c r="AA1928" s="64">
        <f>_xlfn.MAXIFS(tblLaborEntries[Work date serial],tblLaborEntries[Work package ID],tblWorkPackages[[#This Row],[Work package ID]])</f>
        <v>45662.0</v>
      </c>
      <c r="AB1928" s="65">
        <f>IF(tblWorkPackages[[#This Row],[Completion date serial]]&gt;tblWorkPackages[[#This Row],[Due date serial]],1,0)</f>
        <v>1</v>
      </c>
      <c r="AC1928" s="65">
        <f>MAX(0,tblWorkPackages[[#This Row],[Completion date serial]]-tblWorkPackages[[#This Row],[Due date serial]])</f>
        <v>34</v>
      </c>
      <c r="AD1928" s="65">
        <f>tblWorkPackages[[#This Row],[First labor date]]-tblWorkPackages[[#This Row],[Request date serial]]</f>
        <v>37</v>
      </c>
      <c r="AE1928" s="65">
        <f>tblWorkPackages[[#This Row],[Last labor date]]-tblWorkPackages[[#This Row],[First labor date]]</f>
        <v>1</v>
      </c>
      <c r="AF1928" s="65">
        <f>tblWorkPackages[[#This Row],[Completion date serial]]-tblWorkPackages[[#This Row],[Last labor date]]</f>
        <v>2</v>
      </c>
      <c r="AG1928" s="65">
        <f>tblWorkPackages[[#This Row],[Completion date serial]]-tblWorkPackages[[#This Row],[Request date serial]]</f>
        <v>40</v>
      </c>
      <c r="AH1928" s="65">
        <f>IFERROR(INDEX(tblParts[Delay days],MATCH(tblWorkPackages[[#This Row],[Work package ID]],tblParts[Work package ID],0)),0)</f>
        <v>0</v>
      </c>
      <c r="AI1928" s="51" t="str">
        <f>IFERROR(INDEX(tblDisruptions[Event type],MATCH(tblWorkPackages[[#This Row],[Work package ID]],tblDisruptions[Work package ID],0)),"None")</f>
        <v>None</v>
      </c>
      <c r="AJ1928" s="51" t="str">
        <f>TEXT(tblWorkPackages[[#This Row],[Due date serial]],"yyyy-mm")</f>
        <v>2024-12</v>
      </c>
    </row>
    <row r="1929" spans="1:36" ht="15" x14ac:dyDescent="0.25">
      <c r="A1929" s="53" t="s">
        <v>2840</v>
      </c>
      <c r="B1929" s="53" t="s">
        <v>250</v>
      </c>
      <c r="C1929" s="53" t="s">
        <v>590</v>
      </c>
      <c r="D1929" s="53" t="s">
        <v>967</v>
      </c>
      <c r="E1929" s="53" t="s">
        <v>160</v>
      </c>
      <c r="F1929" s="53" t="s">
        <v>128</v>
      </c>
      <c r="G1929" s="53" t="s">
        <v>138</v>
      </c>
      <c r="H1929" s="53">
        <v>4</v>
      </c>
      <c r="I1929" s="53" t="s">
        <v>130</v>
      </c>
      <c r="J1929" s="53">
        <v>0</v>
      </c>
      <c r="K1929" s="53">
        <v>0</v>
      </c>
      <c r="L1929" s="53">
        <v>9.1999999999999993</v>
      </c>
      <c r="M1929" s="53" t="s">
        <v>1895</v>
      </c>
      <c r="N1929" s="53">
        <v>10.4</v>
      </c>
      <c r="O1929" s="51" t="str">
        <f>TEXT(tblWorkPackages[[#This Row],[Request date serial]]-WEEKDAY(tblWorkPackages[[#This Row],[Request date serial]],3),"yyyy-mm-dd")</f>
        <v>2025-03-24</v>
      </c>
      <c r="P1929" s="51">
        <f>ABS(tblWorkPackages[[#This Row],[Actual labor hours]]-tblWorkPackages[[#This Row],[Estimated labor hours]])</f>
        <v>1.2</v>
      </c>
      <c r="Q1929" s="51">
        <f>IF(tblWorkPackages[[#This Row],[Actual labor hours]]&gt;tblWorkPackages[[#This Row],[Estimated labor hours]],1,0)</f>
        <v>1</v>
      </c>
      <c r="R1929" s="51">
        <f>tblWorkPackages[[#This Row],[Actual labor hours]]-tblWorkPackages[[#This Row],[Estimated labor hours]]</f>
        <v>1.2</v>
      </c>
      <c r="S1929" s="51" t="str">
        <f>IF(tblWorkPackages[[#This Row],[Request date serial]]&lt;ValidationStart,"Train 2024",IF(tblWorkPackages[[#This Row],[Request date serial]]&lt;HoldoutStart,"Validation H1","Holdout H2"))</f>
        <v>Validation H1</v>
      </c>
      <c r="T1929" s="51">
        <f>IF(tblWorkPackages[[#This Row],[Time split]]="Train 2024","",tblWorkPackages[[#This Row],[Estimated labor hours]]+VLOOKUP(tblWorkPackages[[#This Row],[Task type]],'Forecast validation'!$A$14:$E$25,IF(tblWorkPackages[[#This Row],[Time split]]="Validation H1",4,5),FALSE()))</f>
        <v>9.64146341463415</v>
      </c>
      <c r="U1929" s="51">
        <f>IF(tblWorkPackages[[#This Row],[Calibrated forecast hours]]="","",ABS(tblWorkPackages[[#This Row],[Actual labor hours]]-tblWorkPackages[[#This Row],[Calibrated forecast hours]]))</f>
        <v>0.758536585365855</v>
      </c>
      <c r="V1929" s="51">
        <f>IF(tblWorkPackages[[#This Row],[Time split]]="Train 2024",tblWorkPackages[[#This Row],[Estimated labor hours]],tblWorkPackages[[#This Row],[Calibrated forecast hours]])</f>
        <v>9.64146341463415</v>
      </c>
      <c r="W1929" s="64">
        <f>DATEVALUE(tblWorkPackages[[#This Row],[Request date]])</f>
        <v>45745.0</v>
      </c>
      <c r="X1929" s="64">
        <f>DATEVALUE(tblWorkPackages[[#This Row],[Due date]])</f>
        <v>45758.0</v>
      </c>
      <c r="Y1929" s="64">
        <f>DATEVALUE(tblWorkPackages[[#This Row],[Completion date]])</f>
        <v>45755.0</v>
      </c>
      <c r="Z1929" s="64">
        <f>_xlfn.MINIFS(tblLaborEntries[Work date serial],tblLaborEntries[Work package ID],tblWorkPackages[[#This Row],[Work package ID]])</f>
        <v>45752.0</v>
      </c>
      <c r="AA1929" s="64">
        <f>_xlfn.MAXIFS(tblLaborEntries[Work date serial],tblLaborEntries[Work package ID],tblWorkPackages[[#This Row],[Work package ID]])</f>
        <v>45752.0</v>
      </c>
      <c r="AB1929" s="65">
        <f>IF(tblWorkPackages[[#This Row],[Completion date serial]]&gt;tblWorkPackages[[#This Row],[Due date serial]],1,0)</f>
        <v>0</v>
      </c>
      <c r="AC1929" s="65">
        <f>MAX(0,tblWorkPackages[[#This Row],[Completion date serial]]-tblWorkPackages[[#This Row],[Due date serial]])</f>
        <v>0</v>
      </c>
      <c r="AD1929" s="65">
        <f>tblWorkPackages[[#This Row],[First labor date]]-tblWorkPackages[[#This Row],[Request date serial]]</f>
        <v>7</v>
      </c>
      <c r="AE1929" s="65">
        <f>tblWorkPackages[[#This Row],[Last labor date]]-tblWorkPackages[[#This Row],[First labor date]]</f>
        <v>0</v>
      </c>
      <c r="AF1929" s="65">
        <f>tblWorkPackages[[#This Row],[Completion date serial]]-tblWorkPackages[[#This Row],[Last labor date]]</f>
        <v>3</v>
      </c>
      <c r="AG1929" s="65">
        <f>tblWorkPackages[[#This Row],[Completion date serial]]-tblWorkPackages[[#This Row],[Request date serial]]</f>
        <v>10</v>
      </c>
      <c r="AH1929" s="65">
        <f>IFERROR(INDEX(tblParts[Delay days],MATCH(tblWorkPackages[[#This Row],[Work package ID]],tblParts[Work package ID],0)),0)</f>
        <v>0</v>
      </c>
      <c r="AI1929" s="51" t="str">
        <f>IFERROR(INDEX(tblDisruptions[Event type],MATCH(tblWorkPackages[[#This Row],[Work package ID]],tblDisruptions[Work package ID],0)),"None")</f>
        <v>None</v>
      </c>
      <c r="AJ1929" s="51" t="str">
        <f>TEXT(tblWorkPackages[[#This Row],[Due date serial]],"yyyy-mm")</f>
        <v>2025-04</v>
      </c>
    </row>
    <row r="1930" spans="1:36" ht="15" x14ac:dyDescent="0.25">
      <c r="A1930" s="53" t="s">
        <v>2841</v>
      </c>
      <c r="B1930" s="53" t="s">
        <v>203</v>
      </c>
      <c r="C1930" s="53" t="s">
        <v>858</v>
      </c>
      <c r="D1930" s="53" t="s">
        <v>445</v>
      </c>
      <c r="E1930" s="53" t="s">
        <v>136</v>
      </c>
      <c r="F1930" s="53" t="s">
        <v>137</v>
      </c>
      <c r="G1930" s="53" t="s">
        <v>138</v>
      </c>
      <c r="H1930" s="53">
        <v>3</v>
      </c>
      <c r="I1930" s="53" t="s">
        <v>176</v>
      </c>
      <c r="J1930" s="53">
        <v>0</v>
      </c>
      <c r="K1930" s="53">
        <v>0</v>
      </c>
      <c r="L1930" s="53">
        <v>19.899999999999999</v>
      </c>
      <c r="M1930" s="53" t="s">
        <v>966</v>
      </c>
      <c r="N1930" s="53">
        <v>16.100000000000001</v>
      </c>
      <c r="O1930" s="51" t="str">
        <f>TEXT(tblWorkPackages[[#This Row],[Request date serial]]-WEEKDAY(tblWorkPackages[[#This Row],[Request date serial]],3),"yyyy-mm-dd")</f>
        <v>2025-03-10</v>
      </c>
      <c r="P1930" s="51">
        <f>ABS(tblWorkPackages[[#This Row],[Actual labor hours]]-tblWorkPackages[[#This Row],[Estimated labor hours]])</f>
        <v>3.8</v>
      </c>
      <c r="Q1930" s="51">
        <f>IF(tblWorkPackages[[#This Row],[Actual labor hours]]&gt;tblWorkPackages[[#This Row],[Estimated labor hours]],1,0)</f>
        <v>0</v>
      </c>
      <c r="R1930" s="51">
        <f>tblWorkPackages[[#This Row],[Actual labor hours]]-tblWorkPackages[[#This Row],[Estimated labor hours]]</f>
        <v>-3.8</v>
      </c>
      <c r="S1930" s="51" t="str">
        <f>IF(tblWorkPackages[[#This Row],[Request date serial]]&lt;ValidationStart,"Train 2024",IF(tblWorkPackages[[#This Row],[Request date serial]]&lt;HoldoutStart,"Validation H1","Holdout H2"))</f>
        <v>Validation H1</v>
      </c>
      <c r="T1930" s="51">
        <f>IF(tblWorkPackages[[#This Row],[Time split]]="Train 2024","",tblWorkPackages[[#This Row],[Estimated labor hours]]+VLOOKUP(tblWorkPackages[[#This Row],[Task type]],'Forecast validation'!$A$14:$E$25,IF(tblWorkPackages[[#This Row],[Time split]]="Validation H1",4,5),FALSE()))</f>
        <v>20.7765306122449</v>
      </c>
      <c r="U1930" s="51">
        <f>IF(tblWorkPackages[[#This Row],[Calibrated forecast hours]]="","",ABS(tblWorkPackages[[#This Row],[Actual labor hours]]-tblWorkPackages[[#This Row],[Calibrated forecast hours]]))</f>
        <v>4.6765306122449</v>
      </c>
      <c r="V1930" s="51">
        <f>IF(tblWorkPackages[[#This Row],[Time split]]="Train 2024",tblWorkPackages[[#This Row],[Estimated labor hours]],tblWorkPackages[[#This Row],[Calibrated forecast hours]])</f>
        <v>20.7765306122449</v>
      </c>
      <c r="W1930" s="64">
        <f>DATEVALUE(tblWorkPackages[[#This Row],[Request date]])</f>
        <v>45729.0</v>
      </c>
      <c r="X1930" s="64">
        <f>DATEVALUE(tblWorkPackages[[#This Row],[Due date]])</f>
        <v>45735.0</v>
      </c>
      <c r="Y1930" s="64">
        <f>DATEVALUE(tblWorkPackages[[#This Row],[Completion date]])</f>
        <v>45733.0</v>
      </c>
      <c r="Z1930" s="64">
        <f>_xlfn.MINIFS(tblLaborEntries[Work date serial],tblLaborEntries[Work package ID],tblWorkPackages[[#This Row],[Work package ID]])</f>
        <v>45731.0</v>
      </c>
      <c r="AA1930" s="64">
        <f>_xlfn.MAXIFS(tblLaborEntries[Work date serial],tblLaborEntries[Work package ID],tblWorkPackages[[#This Row],[Work package ID]])</f>
        <v>45733.0</v>
      </c>
      <c r="AB1930" s="65">
        <f>IF(tblWorkPackages[[#This Row],[Completion date serial]]&gt;tblWorkPackages[[#This Row],[Due date serial]],1,0)</f>
        <v>0</v>
      </c>
      <c r="AC1930" s="65">
        <f>MAX(0,tblWorkPackages[[#This Row],[Completion date serial]]-tblWorkPackages[[#This Row],[Due date serial]])</f>
        <v>0</v>
      </c>
      <c r="AD1930" s="65">
        <f>tblWorkPackages[[#This Row],[First labor date]]-tblWorkPackages[[#This Row],[Request date serial]]</f>
        <v>2</v>
      </c>
      <c r="AE1930" s="65">
        <f>tblWorkPackages[[#This Row],[Last labor date]]-tblWorkPackages[[#This Row],[First labor date]]</f>
        <v>2</v>
      </c>
      <c r="AF1930" s="65">
        <f>tblWorkPackages[[#This Row],[Completion date serial]]-tblWorkPackages[[#This Row],[Last labor date]]</f>
        <v>0</v>
      </c>
      <c r="AG1930" s="65">
        <f>tblWorkPackages[[#This Row],[Completion date serial]]-tblWorkPackages[[#This Row],[Request date serial]]</f>
        <v>4</v>
      </c>
      <c r="AH1930" s="65">
        <f>IFERROR(INDEX(tblParts[Delay days],MATCH(tblWorkPackages[[#This Row],[Work package ID]],tblParts[Work package ID],0)),0)</f>
        <v>0</v>
      </c>
      <c r="AI1930" s="51" t="str">
        <f>IFERROR(INDEX(tblDisruptions[Event type],MATCH(tblWorkPackages[[#This Row],[Work package ID]],tblDisruptions[Work package ID],0)),"None")</f>
        <v>None</v>
      </c>
      <c r="AJ1930" s="51" t="str">
        <f>TEXT(tblWorkPackages[[#This Row],[Due date serial]],"yyyy-mm")</f>
        <v>2025-03</v>
      </c>
    </row>
    <row r="1931" spans="1:36" ht="15" x14ac:dyDescent="0.25">
      <c r="A1931" s="53" t="s">
        <v>2842</v>
      </c>
      <c r="B1931" s="53" t="s">
        <v>163</v>
      </c>
      <c r="C1931" s="53" t="s">
        <v>571</v>
      </c>
      <c r="D1931" s="53" t="s">
        <v>1058</v>
      </c>
      <c r="E1931" s="53" t="s">
        <v>242</v>
      </c>
      <c r="F1931" s="53" t="s">
        <v>243</v>
      </c>
      <c r="G1931" s="53" t="s">
        <v>129</v>
      </c>
      <c r="H1931" s="53">
        <v>2</v>
      </c>
      <c r="I1931" s="53" t="s">
        <v>176</v>
      </c>
      <c r="J1931" s="53">
        <v>0</v>
      </c>
      <c r="K1931" s="53">
        <v>0</v>
      </c>
      <c r="L1931" s="53">
        <v>8.1999999999999993</v>
      </c>
      <c r="M1931" s="53" t="s">
        <v>1166</v>
      </c>
      <c r="N1931" s="53">
        <v>9.4</v>
      </c>
      <c r="O1931" s="51" t="str">
        <f>TEXT(tblWorkPackages[[#This Row],[Request date serial]]-WEEKDAY(tblWorkPackages[[#This Row],[Request date serial]],3),"yyyy-mm-dd")</f>
        <v>2025-01-13</v>
      </c>
      <c r="P1931" s="51">
        <f>ABS(tblWorkPackages[[#This Row],[Actual labor hours]]-tblWorkPackages[[#This Row],[Estimated labor hours]])</f>
        <v>1.2</v>
      </c>
      <c r="Q1931" s="51">
        <f>IF(tblWorkPackages[[#This Row],[Actual labor hours]]&gt;tblWorkPackages[[#This Row],[Estimated labor hours]],1,0)</f>
        <v>1</v>
      </c>
      <c r="R1931" s="51">
        <f>tblWorkPackages[[#This Row],[Actual labor hours]]-tblWorkPackages[[#This Row],[Estimated labor hours]]</f>
        <v>1.2</v>
      </c>
      <c r="S1931" s="51" t="str">
        <f>IF(tblWorkPackages[[#This Row],[Request date serial]]&lt;ValidationStart,"Train 2024",IF(tblWorkPackages[[#This Row],[Request date serial]]&lt;HoldoutStart,"Validation H1","Holdout H2"))</f>
        <v>Validation H1</v>
      </c>
      <c r="T1931" s="51">
        <f>IF(tblWorkPackages[[#This Row],[Time split]]="Train 2024","",tblWorkPackages[[#This Row],[Estimated labor hours]]+VLOOKUP(tblWorkPackages[[#This Row],[Task type]],'Forecast validation'!$A$14:$E$25,IF(tblWorkPackages[[#This Row],[Time split]]="Validation H1",4,5),FALSE()))</f>
        <v>8.75612244897959</v>
      </c>
      <c r="U1931" s="51">
        <f>IF(tblWorkPackages[[#This Row],[Calibrated forecast hours]]="","",ABS(tblWorkPackages[[#This Row],[Actual labor hours]]-tblWorkPackages[[#This Row],[Calibrated forecast hours]]))</f>
        <v>0.64387755102041</v>
      </c>
      <c r="V1931" s="51">
        <f>IF(tblWorkPackages[[#This Row],[Time split]]="Train 2024",tblWorkPackages[[#This Row],[Estimated labor hours]],tblWorkPackages[[#This Row],[Calibrated forecast hours]])</f>
        <v>8.75612244897959</v>
      </c>
      <c r="W1931" s="64">
        <f>DATEVALUE(tblWorkPackages[[#This Row],[Request date]])</f>
        <v>45674.0</v>
      </c>
      <c r="X1931" s="64">
        <f>DATEVALUE(tblWorkPackages[[#This Row],[Due date]])</f>
        <v>45680.0</v>
      </c>
      <c r="Y1931" s="64">
        <f>DATEVALUE(tblWorkPackages[[#This Row],[Completion date]])</f>
        <v>45691.0</v>
      </c>
      <c r="Z1931" s="64">
        <f>_xlfn.MINIFS(tblLaborEntries[Work date serial],tblLaborEntries[Work package ID],tblWorkPackages[[#This Row],[Work package ID]])</f>
        <v>45690.0</v>
      </c>
      <c r="AA1931" s="64">
        <f>_xlfn.MAXIFS(tblLaborEntries[Work date serial],tblLaborEntries[Work package ID],tblWorkPackages[[#This Row],[Work package ID]])</f>
        <v>45690.0</v>
      </c>
      <c r="AB1931" s="65">
        <f>IF(tblWorkPackages[[#This Row],[Completion date serial]]&gt;tblWorkPackages[[#This Row],[Due date serial]],1,0)</f>
        <v>1</v>
      </c>
      <c r="AC1931" s="65">
        <f>MAX(0,tblWorkPackages[[#This Row],[Completion date serial]]-tblWorkPackages[[#This Row],[Due date serial]])</f>
        <v>11</v>
      </c>
      <c r="AD1931" s="65">
        <f>tblWorkPackages[[#This Row],[First labor date]]-tblWorkPackages[[#This Row],[Request date serial]]</f>
        <v>16</v>
      </c>
      <c r="AE1931" s="65">
        <f>tblWorkPackages[[#This Row],[Last labor date]]-tblWorkPackages[[#This Row],[First labor date]]</f>
        <v>0</v>
      </c>
      <c r="AF1931" s="65">
        <f>tblWorkPackages[[#This Row],[Completion date serial]]-tblWorkPackages[[#This Row],[Last labor date]]</f>
        <v>1</v>
      </c>
      <c r="AG1931" s="65">
        <f>tblWorkPackages[[#This Row],[Completion date serial]]-tblWorkPackages[[#This Row],[Request date serial]]</f>
        <v>17</v>
      </c>
      <c r="AH1931" s="65">
        <f>IFERROR(INDEX(tblParts[Delay days],MATCH(tblWorkPackages[[#This Row],[Work package ID]],tblParts[Work package ID],0)),0)</f>
        <v>0</v>
      </c>
      <c r="AI1931" s="51" t="str">
        <f>IFERROR(INDEX(tblDisruptions[Event type],MATCH(tblWorkPackages[[#This Row],[Work package ID]],tblDisruptions[Work package ID],0)),"None")</f>
        <v>None</v>
      </c>
      <c r="AJ1931" s="51" t="str">
        <f>TEXT(tblWorkPackages[[#This Row],[Due date serial]],"yyyy-mm")</f>
        <v>2025-01</v>
      </c>
    </row>
    <row r="1932" spans="1:36" ht="15" x14ac:dyDescent="0.25">
      <c r="A1932" s="53" t="s">
        <v>2843</v>
      </c>
      <c r="B1932" s="53" t="s">
        <v>235</v>
      </c>
      <c r="C1932" s="53" t="s">
        <v>413</v>
      </c>
      <c r="D1932" s="53" t="s">
        <v>685</v>
      </c>
      <c r="E1932" s="53" t="s">
        <v>223</v>
      </c>
      <c r="F1932" s="53" t="s">
        <v>182</v>
      </c>
      <c r="G1932" s="53" t="s">
        <v>154</v>
      </c>
      <c r="H1932" s="53">
        <v>4</v>
      </c>
      <c r="I1932" s="53" t="s">
        <v>130</v>
      </c>
      <c r="J1932" s="53">
        <v>0</v>
      </c>
      <c r="K1932" s="53">
        <v>0</v>
      </c>
      <c r="L1932" s="53">
        <v>24.9</v>
      </c>
      <c r="M1932" s="53" t="s">
        <v>826</v>
      </c>
      <c r="N1932" s="53">
        <v>21.2</v>
      </c>
      <c r="O1932" s="51" t="str">
        <f>TEXT(tblWorkPackages[[#This Row],[Request date serial]]-WEEKDAY(tblWorkPackages[[#This Row],[Request date serial]],3),"yyyy-mm-dd")</f>
        <v>2025-02-24</v>
      </c>
      <c r="P1932" s="51">
        <f>ABS(tblWorkPackages[[#This Row],[Actual labor hours]]-tblWorkPackages[[#This Row],[Estimated labor hours]])</f>
        <v>3.7</v>
      </c>
      <c r="Q1932" s="51">
        <f>IF(tblWorkPackages[[#This Row],[Actual labor hours]]&gt;tblWorkPackages[[#This Row],[Estimated labor hours]],1,0)</f>
        <v>0</v>
      </c>
      <c r="R1932" s="51">
        <f>tblWorkPackages[[#This Row],[Actual labor hours]]-tblWorkPackages[[#This Row],[Estimated labor hours]]</f>
        <v>-3.7</v>
      </c>
      <c r="S1932" s="51" t="str">
        <f>IF(tblWorkPackages[[#This Row],[Request date serial]]&lt;ValidationStart,"Train 2024",IF(tblWorkPackages[[#This Row],[Request date serial]]&lt;HoldoutStart,"Validation H1","Holdout H2"))</f>
        <v>Validation H1</v>
      </c>
      <c r="T1932" s="51">
        <f>IF(tblWorkPackages[[#This Row],[Time split]]="Train 2024","",tblWorkPackages[[#This Row],[Estimated labor hours]]+VLOOKUP(tblWorkPackages[[#This Row],[Task type]],'Forecast validation'!$A$14:$E$25,IF(tblWorkPackages[[#This Row],[Time split]]="Validation H1",4,5),FALSE()))</f>
        <v>25.7824175824176</v>
      </c>
      <c r="U1932" s="51">
        <f>IF(tblWorkPackages[[#This Row],[Calibrated forecast hours]]="","",ABS(tblWorkPackages[[#This Row],[Actual labor hours]]-tblWorkPackages[[#This Row],[Calibrated forecast hours]]))</f>
        <v>4.58241758241758</v>
      </c>
      <c r="V1932" s="51">
        <f>IF(tblWorkPackages[[#This Row],[Time split]]="Train 2024",tblWorkPackages[[#This Row],[Estimated labor hours]],tblWorkPackages[[#This Row],[Calibrated forecast hours]])</f>
        <v>25.7824175824176</v>
      </c>
      <c r="W1932" s="64">
        <f>DATEVALUE(tblWorkPackages[[#This Row],[Request date]])</f>
        <v>45717.0</v>
      </c>
      <c r="X1932" s="64">
        <f>DATEVALUE(tblWorkPackages[[#This Row],[Due date]])</f>
        <v>45730.0</v>
      </c>
      <c r="Y1932" s="64">
        <f>DATEVALUE(tblWorkPackages[[#This Row],[Completion date]])</f>
        <v>45724.0</v>
      </c>
      <c r="Z1932" s="64">
        <f>_xlfn.MINIFS(tblLaborEntries[Work date serial],tblLaborEntries[Work package ID],tblWorkPackages[[#This Row],[Work package ID]])</f>
        <v>45721.0</v>
      </c>
      <c r="AA1932" s="64">
        <f>_xlfn.MAXIFS(tblLaborEntries[Work date serial],tblLaborEntries[Work package ID],tblWorkPackages[[#This Row],[Work package ID]])</f>
        <v>45722.0</v>
      </c>
      <c r="AB1932" s="65">
        <f>IF(tblWorkPackages[[#This Row],[Completion date serial]]&gt;tblWorkPackages[[#This Row],[Due date serial]],1,0)</f>
        <v>0</v>
      </c>
      <c r="AC1932" s="65">
        <f>MAX(0,tblWorkPackages[[#This Row],[Completion date serial]]-tblWorkPackages[[#This Row],[Due date serial]])</f>
        <v>0</v>
      </c>
      <c r="AD1932" s="65">
        <f>tblWorkPackages[[#This Row],[First labor date]]-tblWorkPackages[[#This Row],[Request date serial]]</f>
        <v>4</v>
      </c>
      <c r="AE1932" s="65">
        <f>tblWorkPackages[[#This Row],[Last labor date]]-tblWorkPackages[[#This Row],[First labor date]]</f>
        <v>1</v>
      </c>
      <c r="AF1932" s="65">
        <f>tblWorkPackages[[#This Row],[Completion date serial]]-tblWorkPackages[[#This Row],[Last labor date]]</f>
        <v>2</v>
      </c>
      <c r="AG1932" s="65">
        <f>tblWorkPackages[[#This Row],[Completion date serial]]-tblWorkPackages[[#This Row],[Request date serial]]</f>
        <v>7</v>
      </c>
      <c r="AH1932" s="65">
        <f>IFERROR(INDEX(tblParts[Delay days],MATCH(tblWorkPackages[[#This Row],[Work package ID]],tblParts[Work package ID],0)),0)</f>
        <v>0</v>
      </c>
      <c r="AI1932" s="51" t="str">
        <f>IFERROR(INDEX(tblDisruptions[Event type],MATCH(tblWorkPackages[[#This Row],[Work package ID]],tblDisruptions[Work package ID],0)),"None")</f>
        <v>None</v>
      </c>
      <c r="AJ1932" s="51" t="str">
        <f>TEXT(tblWorkPackages[[#This Row],[Due date serial]],"yyyy-mm")</f>
        <v>2025-03</v>
      </c>
    </row>
    <row r="1933" spans="1:36" ht="15" x14ac:dyDescent="0.25">
      <c r="A1933" s="53" t="s">
        <v>2844</v>
      </c>
      <c r="B1933" s="53" t="s">
        <v>185</v>
      </c>
      <c r="C1933" s="53" t="s">
        <v>1030</v>
      </c>
      <c r="D1933" s="53" t="s">
        <v>226</v>
      </c>
      <c r="E1933" s="53" t="s">
        <v>237</v>
      </c>
      <c r="F1933" s="53" t="s">
        <v>182</v>
      </c>
      <c r="G1933" s="53" t="s">
        <v>138</v>
      </c>
      <c r="H1933" s="53">
        <v>1</v>
      </c>
      <c r="I1933" s="53" t="s">
        <v>130</v>
      </c>
      <c r="J1933" s="53">
        <v>0</v>
      </c>
      <c r="K1933" s="53">
        <v>0</v>
      </c>
      <c r="L1933" s="53">
        <v>3.6</v>
      </c>
      <c r="M1933" s="53" t="s">
        <v>628</v>
      </c>
      <c r="N1933" s="53">
        <v>3.8</v>
      </c>
      <c r="O1933" s="51" t="str">
        <f>TEXT(tblWorkPackages[[#This Row],[Request date serial]]-WEEKDAY(tblWorkPackages[[#This Row],[Request date serial]],3),"yyyy-mm-dd")</f>
        <v>2025-06-30</v>
      </c>
      <c r="P1933" s="51">
        <f>ABS(tblWorkPackages[[#This Row],[Actual labor hours]]-tblWorkPackages[[#This Row],[Estimated labor hours]])</f>
        <v>0.2</v>
      </c>
      <c r="Q1933" s="51">
        <f>IF(tblWorkPackages[[#This Row],[Actual labor hours]]&gt;tblWorkPackages[[#This Row],[Estimated labor hours]],1,0)</f>
        <v>1</v>
      </c>
      <c r="R1933" s="51">
        <f>tblWorkPackages[[#This Row],[Actual labor hours]]-tblWorkPackages[[#This Row],[Estimated labor hours]]</f>
        <v>0.2</v>
      </c>
      <c r="S1933" s="51" t="str">
        <f>IF(tblWorkPackages[[#This Row],[Request date serial]]&lt;ValidationStart,"Train 2024",IF(tblWorkPackages[[#This Row],[Request date serial]]&lt;HoldoutStart,"Validation H1","Holdout H2"))</f>
        <v>Holdout H2</v>
      </c>
      <c r="T1933" s="51">
        <f>IF(tblWorkPackages[[#This Row],[Time split]]="Train 2024","",tblWorkPackages[[#This Row],[Estimated labor hours]]+VLOOKUP(tblWorkPackages[[#This Row],[Task type]],'Forecast validation'!$A$14:$E$25,IF(tblWorkPackages[[#This Row],[Time split]]="Validation H1",4,5),FALSE()))</f>
        <v>4.053125</v>
      </c>
      <c r="U1933" s="51">
        <f>IF(tblWorkPackages[[#This Row],[Calibrated forecast hours]]="","",ABS(tblWorkPackages[[#This Row],[Actual labor hours]]-tblWorkPackages[[#This Row],[Calibrated forecast hours]]))</f>
        <v>0.253125</v>
      </c>
      <c r="V1933" s="51">
        <f>IF(tblWorkPackages[[#This Row],[Time split]]="Train 2024",tblWorkPackages[[#This Row],[Estimated labor hours]],tblWorkPackages[[#This Row],[Calibrated forecast hours]])</f>
        <v>4.053125</v>
      </c>
      <c r="W1933" s="64">
        <f>DATEVALUE(tblWorkPackages[[#This Row],[Request date]])</f>
        <v>45844.0</v>
      </c>
      <c r="X1933" s="64">
        <f>DATEVALUE(tblWorkPackages[[#This Row],[Due date]])</f>
        <v>45857.0</v>
      </c>
      <c r="Y1933" s="64">
        <f>DATEVALUE(tblWorkPackages[[#This Row],[Completion date]])</f>
        <v>45849.0</v>
      </c>
      <c r="Z1933" s="64">
        <f>_xlfn.MINIFS(tblLaborEntries[Work date serial],tblLaborEntries[Work package ID],tblWorkPackages[[#This Row],[Work package ID]])</f>
        <v>45845.0</v>
      </c>
      <c r="AA1933" s="64">
        <f>_xlfn.MAXIFS(tblLaborEntries[Work date serial],tblLaborEntries[Work package ID],tblWorkPackages[[#This Row],[Work package ID]])</f>
        <v>45846.0</v>
      </c>
      <c r="AB1933" s="65">
        <f>IF(tblWorkPackages[[#This Row],[Completion date serial]]&gt;tblWorkPackages[[#This Row],[Due date serial]],1,0)</f>
        <v>0</v>
      </c>
      <c r="AC1933" s="65">
        <f>MAX(0,tblWorkPackages[[#This Row],[Completion date serial]]-tblWorkPackages[[#This Row],[Due date serial]])</f>
        <v>0</v>
      </c>
      <c r="AD1933" s="65">
        <f>tblWorkPackages[[#This Row],[First labor date]]-tblWorkPackages[[#This Row],[Request date serial]]</f>
        <v>1</v>
      </c>
      <c r="AE1933" s="65">
        <f>tblWorkPackages[[#This Row],[Last labor date]]-tblWorkPackages[[#This Row],[First labor date]]</f>
        <v>1</v>
      </c>
      <c r="AF1933" s="65">
        <f>tblWorkPackages[[#This Row],[Completion date serial]]-tblWorkPackages[[#This Row],[Last labor date]]</f>
        <v>3</v>
      </c>
      <c r="AG1933" s="65">
        <f>tblWorkPackages[[#This Row],[Completion date serial]]-tblWorkPackages[[#This Row],[Request date serial]]</f>
        <v>5</v>
      </c>
      <c r="AH1933" s="65">
        <f>IFERROR(INDEX(tblParts[Delay days],MATCH(tblWorkPackages[[#This Row],[Work package ID]],tblParts[Work package ID],0)),0)</f>
        <v>0</v>
      </c>
      <c r="AI1933" s="51" t="str">
        <f>IFERROR(INDEX(tblDisruptions[Event type],MATCH(tblWorkPackages[[#This Row],[Work package ID]],tblDisruptions[Work package ID],0)),"None")</f>
        <v>None</v>
      </c>
      <c r="AJ1933" s="51" t="str">
        <f>TEXT(tblWorkPackages[[#This Row],[Due date serial]],"yyyy-mm")</f>
        <v>2025-07</v>
      </c>
    </row>
    <row r="1934" spans="1:36" ht="15" x14ac:dyDescent="0.25">
      <c r="A1934" s="53" t="s">
        <v>2845</v>
      </c>
      <c r="B1934" s="53" t="s">
        <v>157</v>
      </c>
      <c r="C1934" s="53" t="s">
        <v>1051</v>
      </c>
      <c r="D1934" s="53" t="s">
        <v>748</v>
      </c>
      <c r="E1934" s="53" t="s">
        <v>237</v>
      </c>
      <c r="F1934" s="53" t="s">
        <v>182</v>
      </c>
      <c r="G1934" s="53" t="s">
        <v>138</v>
      </c>
      <c r="H1934" s="53">
        <v>4</v>
      </c>
      <c r="I1934" s="53" t="s">
        <v>130</v>
      </c>
      <c r="J1934" s="53">
        <v>0</v>
      </c>
      <c r="K1934" s="53">
        <v>1</v>
      </c>
      <c r="L1934" s="53">
        <v>9.4</v>
      </c>
      <c r="M1934" s="53" t="s">
        <v>1262</v>
      </c>
      <c r="N1934" s="53">
        <v>9.6</v>
      </c>
      <c r="O1934" s="51" t="str">
        <f>TEXT(tblWorkPackages[[#This Row],[Request date serial]]-WEEKDAY(tblWorkPackages[[#This Row],[Request date serial]],3),"yyyy-mm-dd")</f>
        <v>2024-01-29</v>
      </c>
      <c r="P1934" s="51">
        <f>ABS(tblWorkPackages[[#This Row],[Actual labor hours]]-tblWorkPackages[[#This Row],[Estimated labor hours]])</f>
        <v>0.199999999999999</v>
      </c>
      <c r="Q1934" s="51">
        <f>IF(tblWorkPackages[[#This Row],[Actual labor hours]]&gt;tblWorkPackages[[#This Row],[Estimated labor hours]],1,0)</f>
        <v>1</v>
      </c>
      <c r="R1934" s="51">
        <f>tblWorkPackages[[#This Row],[Actual labor hours]]-tblWorkPackages[[#This Row],[Estimated labor hours]]</f>
        <v>0.199999999999999</v>
      </c>
      <c r="S1934" s="51" t="str">
        <f>IF(tblWorkPackages[[#This Row],[Request date serial]]&lt;ValidationStart,"Train 2024",IF(tblWorkPackages[[#This Row],[Request date serial]]&lt;HoldoutStart,"Validation H1","Holdout H2"))</f>
        <v>Train 2024</v>
      </c>
      <c r="T1934" s="51" t="str">
        <f>IF(tblWorkPackages[[#This Row],[Time split]]="Train 2024","",tblWorkPackages[[#This Row],[Estimated labor hours]]+VLOOKUP(tblWorkPackages[[#This Row],[Task type]],'Forecast validation'!$A$14:$E$25,IF(tblWorkPackages[[#This Row],[Time split]]="Validation H1",4,5),FALSE()))</f>
        <v/>
      </c>
      <c r="U1934" s="51" t="str">
        <f>IF(tblWorkPackages[[#This Row],[Calibrated forecast hours]]="","",ABS(tblWorkPackages[[#This Row],[Actual labor hours]]-tblWorkPackages[[#This Row],[Calibrated forecast hours]]))</f>
        <v/>
      </c>
      <c r="V1934" s="51">
        <f>IF(tblWorkPackages[[#This Row],[Time split]]="Train 2024",tblWorkPackages[[#This Row],[Estimated labor hours]],tblWorkPackages[[#This Row],[Calibrated forecast hours]])</f>
        <v>9.4</v>
      </c>
      <c r="W1934" s="64">
        <f>DATEVALUE(tblWorkPackages[[#This Row],[Request date]])</f>
        <v>45326.0</v>
      </c>
      <c r="X1934" s="64">
        <f>DATEVALUE(tblWorkPackages[[#This Row],[Due date]])</f>
        <v>45339.0</v>
      </c>
      <c r="Y1934" s="64">
        <f>DATEVALUE(tblWorkPackages[[#This Row],[Completion date]])</f>
        <v>45337.0</v>
      </c>
      <c r="Z1934" s="64">
        <f>_xlfn.MINIFS(tblLaborEntries[Work date serial],tblLaborEntries[Work package ID],tblWorkPackages[[#This Row],[Work package ID]])</f>
        <v>45336.0</v>
      </c>
      <c r="AA1934" s="64">
        <f>_xlfn.MAXIFS(tblLaborEntries[Work date serial],tblLaborEntries[Work package ID],tblWorkPackages[[#This Row],[Work package ID]])</f>
        <v>45337.0</v>
      </c>
      <c r="AB1934" s="65">
        <f>IF(tblWorkPackages[[#This Row],[Completion date serial]]&gt;tblWorkPackages[[#This Row],[Due date serial]],1,0)</f>
        <v>0</v>
      </c>
      <c r="AC1934" s="65">
        <f>MAX(0,tblWorkPackages[[#This Row],[Completion date serial]]-tblWorkPackages[[#This Row],[Due date serial]])</f>
        <v>0</v>
      </c>
      <c r="AD1934" s="65">
        <f>tblWorkPackages[[#This Row],[First labor date]]-tblWorkPackages[[#This Row],[Request date serial]]</f>
        <v>10</v>
      </c>
      <c r="AE1934" s="65">
        <f>tblWorkPackages[[#This Row],[Last labor date]]-tblWorkPackages[[#This Row],[First labor date]]</f>
        <v>1</v>
      </c>
      <c r="AF1934" s="65">
        <f>tblWorkPackages[[#This Row],[Completion date serial]]-tblWorkPackages[[#This Row],[Last labor date]]</f>
        <v>0</v>
      </c>
      <c r="AG1934" s="65">
        <f>tblWorkPackages[[#This Row],[Completion date serial]]-tblWorkPackages[[#This Row],[Request date serial]]</f>
        <v>11</v>
      </c>
      <c r="AH1934" s="65">
        <f>IFERROR(INDEX(tblParts[Delay days],MATCH(tblWorkPackages[[#This Row],[Work package ID]],tblParts[Work package ID],0)),0)</f>
        <v>0</v>
      </c>
      <c r="AI1934" s="51" t="str">
        <f>IFERROR(INDEX(tblDisruptions[Event type],MATCH(tblWorkPackages[[#This Row],[Work package ID]],tblDisruptions[Work package ID],0)),"None")</f>
        <v>None</v>
      </c>
      <c r="AJ1934" s="51" t="str">
        <f>TEXT(tblWorkPackages[[#This Row],[Due date serial]],"yyyy-mm")</f>
        <v>2024-02</v>
      </c>
    </row>
    <row r="1935" spans="1:36" ht="15" x14ac:dyDescent="0.25">
      <c r="A1935" s="53" t="s">
        <v>2846</v>
      </c>
      <c r="B1935" s="53" t="s">
        <v>235</v>
      </c>
      <c r="C1935" s="53" t="s">
        <v>192</v>
      </c>
      <c r="D1935" s="53" t="s">
        <v>1056</v>
      </c>
      <c r="E1935" s="53" t="s">
        <v>144</v>
      </c>
      <c r="F1935" s="53" t="s">
        <v>145</v>
      </c>
      <c r="G1935" s="53" t="s">
        <v>146</v>
      </c>
      <c r="H1935" s="53">
        <v>2</v>
      </c>
      <c r="I1935" s="53" t="s">
        <v>130</v>
      </c>
      <c r="J1935" s="53">
        <v>0</v>
      </c>
      <c r="K1935" s="53">
        <v>1</v>
      </c>
      <c r="L1935" s="53">
        <v>9.6999999999999993</v>
      </c>
      <c r="M1935" s="53" t="s">
        <v>532</v>
      </c>
      <c r="N1935" s="53">
        <v>12.4</v>
      </c>
      <c r="O1935" s="51" t="str">
        <f>TEXT(tblWorkPackages[[#This Row],[Request date serial]]-WEEKDAY(tblWorkPackages[[#This Row],[Request date serial]],3),"yyyy-mm-dd")</f>
        <v>2025-08-25</v>
      </c>
      <c r="P1935" s="51">
        <f>ABS(tblWorkPackages[[#This Row],[Actual labor hours]]-tblWorkPackages[[#This Row],[Estimated labor hours]])</f>
        <v>2.7</v>
      </c>
      <c r="Q1935" s="51">
        <f>IF(tblWorkPackages[[#This Row],[Actual labor hours]]&gt;tblWorkPackages[[#This Row],[Estimated labor hours]],1,0)</f>
        <v>1</v>
      </c>
      <c r="R1935" s="51">
        <f>tblWorkPackages[[#This Row],[Actual labor hours]]-tblWorkPackages[[#This Row],[Estimated labor hours]]</f>
        <v>2.7</v>
      </c>
      <c r="S1935" s="51" t="str">
        <f>IF(tblWorkPackages[[#This Row],[Request date serial]]&lt;ValidationStart,"Train 2024",IF(tblWorkPackages[[#This Row],[Request date serial]]&lt;HoldoutStart,"Validation H1","Holdout H2"))</f>
        <v>Holdout H2</v>
      </c>
      <c r="T1935" s="51">
        <f>IF(tblWorkPackages[[#This Row],[Time split]]="Train 2024","",tblWorkPackages[[#This Row],[Estimated labor hours]]+VLOOKUP(tblWorkPackages[[#This Row],[Task type]],'Forecast validation'!$A$14:$E$25,IF(tblWorkPackages[[#This Row],[Time split]]="Validation H1",4,5),FALSE()))</f>
        <v>10.6735483870968</v>
      </c>
      <c r="U1935" s="51">
        <f>IF(tblWorkPackages[[#This Row],[Calibrated forecast hours]]="","",ABS(tblWorkPackages[[#This Row],[Actual labor hours]]-tblWorkPackages[[#This Row],[Calibrated forecast hours]]))</f>
        <v>1.72645161290323</v>
      </c>
      <c r="V1935" s="51">
        <f>IF(tblWorkPackages[[#This Row],[Time split]]="Train 2024",tblWorkPackages[[#This Row],[Estimated labor hours]],tblWorkPackages[[#This Row],[Calibrated forecast hours]])</f>
        <v>10.6735483870968</v>
      </c>
      <c r="W1935" s="64">
        <f>DATEVALUE(tblWorkPackages[[#This Row],[Request date]])</f>
        <v>45900.0</v>
      </c>
      <c r="X1935" s="64">
        <f>DATEVALUE(tblWorkPackages[[#This Row],[Due date]])</f>
        <v>45913.0</v>
      </c>
      <c r="Y1935" s="64">
        <f>DATEVALUE(tblWorkPackages[[#This Row],[Completion date]])</f>
        <v>45904.0</v>
      </c>
      <c r="Z1935" s="64">
        <f>_xlfn.MINIFS(tblLaborEntries[Work date serial],tblLaborEntries[Work package ID],tblWorkPackages[[#This Row],[Work package ID]])</f>
        <v>45903.0</v>
      </c>
      <c r="AA1935" s="64">
        <f>_xlfn.MAXIFS(tblLaborEntries[Work date serial],tblLaborEntries[Work package ID],tblWorkPackages[[#This Row],[Work package ID]])</f>
        <v>45903.0</v>
      </c>
      <c r="AB1935" s="65">
        <f>IF(tblWorkPackages[[#This Row],[Completion date serial]]&gt;tblWorkPackages[[#This Row],[Due date serial]],1,0)</f>
        <v>0</v>
      </c>
      <c r="AC1935" s="65">
        <f>MAX(0,tblWorkPackages[[#This Row],[Completion date serial]]-tblWorkPackages[[#This Row],[Due date serial]])</f>
        <v>0</v>
      </c>
      <c r="AD1935" s="65">
        <f>tblWorkPackages[[#This Row],[First labor date]]-tblWorkPackages[[#This Row],[Request date serial]]</f>
        <v>3</v>
      </c>
      <c r="AE1935" s="65">
        <f>tblWorkPackages[[#This Row],[Last labor date]]-tblWorkPackages[[#This Row],[First labor date]]</f>
        <v>0</v>
      </c>
      <c r="AF1935" s="65">
        <f>tblWorkPackages[[#This Row],[Completion date serial]]-tblWorkPackages[[#This Row],[Last labor date]]</f>
        <v>1</v>
      </c>
      <c r="AG1935" s="65">
        <f>tblWorkPackages[[#This Row],[Completion date serial]]-tblWorkPackages[[#This Row],[Request date serial]]</f>
        <v>4</v>
      </c>
      <c r="AH1935" s="65">
        <f>IFERROR(INDEX(tblParts[Delay days],MATCH(tblWorkPackages[[#This Row],[Work package ID]],tblParts[Work package ID],0)),0)</f>
        <v>0</v>
      </c>
      <c r="AI1935" s="51" t="str">
        <f>IFERROR(INDEX(tblDisruptions[Event type],MATCH(tblWorkPackages[[#This Row],[Work package ID]],tblDisruptions[Work package ID],0)),"None")</f>
        <v>None</v>
      </c>
      <c r="AJ1935" s="51" t="str">
        <f>TEXT(tblWorkPackages[[#This Row],[Due date serial]],"yyyy-mm")</f>
        <v>2025-09</v>
      </c>
    </row>
    <row r="1936" spans="1:36" ht="15" x14ac:dyDescent="0.25">
      <c r="A1936" s="53" t="s">
        <v>2847</v>
      </c>
      <c r="B1936" s="53" t="s">
        <v>133</v>
      </c>
      <c r="C1936" s="53" t="s">
        <v>586</v>
      </c>
      <c r="D1936" s="53" t="s">
        <v>456</v>
      </c>
      <c r="E1936" s="53" t="s">
        <v>181</v>
      </c>
      <c r="F1936" s="53" t="s">
        <v>182</v>
      </c>
      <c r="G1936" s="53" t="s">
        <v>138</v>
      </c>
      <c r="H1936" s="53">
        <v>4</v>
      </c>
      <c r="I1936" s="53" t="s">
        <v>176</v>
      </c>
      <c r="J1936" s="53">
        <v>0</v>
      </c>
      <c r="K1936" s="53">
        <v>1</v>
      </c>
      <c r="L1936" s="53">
        <v>13.4</v>
      </c>
      <c r="M1936" s="53" t="s">
        <v>505</v>
      </c>
      <c r="N1936" s="53">
        <v>22.5</v>
      </c>
      <c r="O1936" s="51" t="str">
        <f>TEXT(tblWorkPackages[[#This Row],[Request date serial]]-WEEKDAY(tblWorkPackages[[#This Row],[Request date serial]],3),"yyyy-mm-dd")</f>
        <v>2024-12-30</v>
      </c>
      <c r="P1936" s="51">
        <f>ABS(tblWorkPackages[[#This Row],[Actual labor hours]]-tblWorkPackages[[#This Row],[Estimated labor hours]])</f>
        <v>9.1</v>
      </c>
      <c r="Q1936" s="51">
        <f>IF(tblWorkPackages[[#This Row],[Actual labor hours]]&gt;tblWorkPackages[[#This Row],[Estimated labor hours]],1,0)</f>
        <v>1</v>
      </c>
      <c r="R1936" s="51">
        <f>tblWorkPackages[[#This Row],[Actual labor hours]]-tblWorkPackages[[#This Row],[Estimated labor hours]]</f>
        <v>9.1</v>
      </c>
      <c r="S1936" s="51" t="str">
        <f>IF(tblWorkPackages[[#This Row],[Request date serial]]&lt;ValidationStart,"Train 2024",IF(tblWorkPackages[[#This Row],[Request date serial]]&lt;HoldoutStart,"Validation H1","Holdout H2"))</f>
        <v>Validation H1</v>
      </c>
      <c r="T1936" s="51">
        <f>IF(tblWorkPackages[[#This Row],[Time split]]="Train 2024","",tblWorkPackages[[#This Row],[Estimated labor hours]]+VLOOKUP(tblWorkPackages[[#This Row],[Task type]],'Forecast validation'!$A$14:$E$25,IF(tblWorkPackages[[#This Row],[Time split]]="Validation H1",4,5),FALSE()))</f>
        <v>13.9840909090909</v>
      </c>
      <c r="U1936" s="51">
        <f>IF(tblWorkPackages[[#This Row],[Calibrated forecast hours]]="","",ABS(tblWorkPackages[[#This Row],[Actual labor hours]]-tblWorkPackages[[#This Row],[Calibrated forecast hours]]))</f>
        <v>8.51590909090909</v>
      </c>
      <c r="V1936" s="51">
        <f>IF(tblWorkPackages[[#This Row],[Time split]]="Train 2024",tblWorkPackages[[#This Row],[Estimated labor hours]],tblWorkPackages[[#This Row],[Calibrated forecast hours]])</f>
        <v>13.9840909090909</v>
      </c>
      <c r="W1936" s="64">
        <f>DATEVALUE(tblWorkPackages[[#This Row],[Request date]])</f>
        <v>45658.0</v>
      </c>
      <c r="X1936" s="64">
        <f>DATEVALUE(tblWorkPackages[[#This Row],[Due date]])</f>
        <v>45664.0</v>
      </c>
      <c r="Y1936" s="64">
        <f>DATEVALUE(tblWorkPackages[[#This Row],[Completion date]])</f>
        <v>45702.0</v>
      </c>
      <c r="Z1936" s="64">
        <f>_xlfn.MINIFS(tblLaborEntries[Work date serial],tblLaborEntries[Work package ID],tblWorkPackages[[#This Row],[Work package ID]])</f>
        <v>45700.0</v>
      </c>
      <c r="AA1936" s="64">
        <f>_xlfn.MAXIFS(tblLaborEntries[Work date serial],tblLaborEntries[Work package ID],tblWorkPackages[[#This Row],[Work package ID]])</f>
        <v>45700.0</v>
      </c>
      <c r="AB1936" s="65">
        <f>IF(tblWorkPackages[[#This Row],[Completion date serial]]&gt;tblWorkPackages[[#This Row],[Due date serial]],1,0)</f>
        <v>1</v>
      </c>
      <c r="AC1936" s="65">
        <f>MAX(0,tblWorkPackages[[#This Row],[Completion date serial]]-tblWorkPackages[[#This Row],[Due date serial]])</f>
        <v>38</v>
      </c>
      <c r="AD1936" s="65">
        <f>tblWorkPackages[[#This Row],[First labor date]]-tblWorkPackages[[#This Row],[Request date serial]]</f>
        <v>42</v>
      </c>
      <c r="AE1936" s="65">
        <f>tblWorkPackages[[#This Row],[Last labor date]]-tblWorkPackages[[#This Row],[First labor date]]</f>
        <v>0</v>
      </c>
      <c r="AF1936" s="65">
        <f>tblWorkPackages[[#This Row],[Completion date serial]]-tblWorkPackages[[#This Row],[Last labor date]]</f>
        <v>2</v>
      </c>
      <c r="AG1936" s="65">
        <f>tblWorkPackages[[#This Row],[Completion date serial]]-tblWorkPackages[[#This Row],[Request date serial]]</f>
        <v>44</v>
      </c>
      <c r="AH1936" s="65">
        <f>IFERROR(INDEX(tblParts[Delay days],MATCH(tblWorkPackages[[#This Row],[Work package ID]],tblParts[Work package ID],0)),0)</f>
        <v>13</v>
      </c>
      <c r="AI1936" s="51" t="str">
        <f>IFERROR(INDEX(tblDisruptions[Event type],MATCH(tblWorkPackages[[#This Row],[Work package ID]],tblDisruptions[Work package ID],0)),"None")</f>
        <v>Part delay</v>
      </c>
      <c r="AJ1936" s="51" t="str">
        <f>TEXT(tblWorkPackages[[#This Row],[Due date serial]],"yyyy-mm")</f>
        <v>2025-01</v>
      </c>
    </row>
    <row r="1937" spans="1:36" ht="15" x14ac:dyDescent="0.25">
      <c r="A1937" s="53" t="s">
        <v>2848</v>
      </c>
      <c r="B1937" s="53" t="s">
        <v>163</v>
      </c>
      <c r="C1937" s="53" t="s">
        <v>300</v>
      </c>
      <c r="D1937" s="53" t="s">
        <v>316</v>
      </c>
      <c r="E1937" s="53" t="s">
        <v>237</v>
      </c>
      <c r="F1937" s="53" t="s">
        <v>182</v>
      </c>
      <c r="G1937" s="53" t="s">
        <v>138</v>
      </c>
      <c r="H1937" s="53">
        <v>4</v>
      </c>
      <c r="I1937" s="53" t="s">
        <v>176</v>
      </c>
      <c r="J1937" s="53">
        <v>1</v>
      </c>
      <c r="K1937" s="53">
        <v>0</v>
      </c>
      <c r="L1937" s="53">
        <v>10.3</v>
      </c>
      <c r="M1937" s="53" t="s">
        <v>677</v>
      </c>
      <c r="N1937" s="53">
        <v>10.4</v>
      </c>
      <c r="O1937" s="51" t="str">
        <f>TEXT(tblWorkPackages[[#This Row],[Request date serial]]-WEEKDAY(tblWorkPackages[[#This Row],[Request date serial]],3),"yyyy-mm-dd")</f>
        <v>2024-04-15</v>
      </c>
      <c r="P1937" s="51">
        <f>ABS(tblWorkPackages[[#This Row],[Actual labor hours]]-tblWorkPackages[[#This Row],[Estimated labor hours]])</f>
        <v>0.0999999999999996</v>
      </c>
      <c r="Q1937" s="51">
        <f>IF(tblWorkPackages[[#This Row],[Actual labor hours]]&gt;tblWorkPackages[[#This Row],[Estimated labor hours]],1,0)</f>
        <v>1</v>
      </c>
      <c r="R1937" s="51">
        <f>tblWorkPackages[[#This Row],[Actual labor hours]]-tblWorkPackages[[#This Row],[Estimated labor hours]]</f>
        <v>0.0999999999999996</v>
      </c>
      <c r="S1937" s="51" t="str">
        <f>IF(tblWorkPackages[[#This Row],[Request date serial]]&lt;ValidationStart,"Train 2024",IF(tblWorkPackages[[#This Row],[Request date serial]]&lt;HoldoutStart,"Validation H1","Holdout H2"))</f>
        <v>Train 2024</v>
      </c>
      <c r="T1937" s="51" t="str">
        <f>IF(tblWorkPackages[[#This Row],[Time split]]="Train 2024","",tblWorkPackages[[#This Row],[Estimated labor hours]]+VLOOKUP(tblWorkPackages[[#This Row],[Task type]],'Forecast validation'!$A$14:$E$25,IF(tblWorkPackages[[#This Row],[Time split]]="Validation H1",4,5),FALSE()))</f>
        <v/>
      </c>
      <c r="U1937" s="51" t="str">
        <f>IF(tblWorkPackages[[#This Row],[Calibrated forecast hours]]="","",ABS(tblWorkPackages[[#This Row],[Actual labor hours]]-tblWorkPackages[[#This Row],[Calibrated forecast hours]]))</f>
        <v/>
      </c>
      <c r="V1937" s="51">
        <f>IF(tblWorkPackages[[#This Row],[Time split]]="Train 2024",tblWorkPackages[[#This Row],[Estimated labor hours]],tblWorkPackages[[#This Row],[Calibrated forecast hours]])</f>
        <v>10.3</v>
      </c>
      <c r="W1937" s="64">
        <f>DATEVALUE(tblWorkPackages[[#This Row],[Request date]])</f>
        <v>45397.0</v>
      </c>
      <c r="X1937" s="64">
        <f>DATEVALUE(tblWorkPackages[[#This Row],[Due date]])</f>
        <v>45403.0</v>
      </c>
      <c r="Y1937" s="64">
        <f>DATEVALUE(tblWorkPackages[[#This Row],[Completion date]])</f>
        <v>45406.0</v>
      </c>
      <c r="Z1937" s="64">
        <f>_xlfn.MINIFS(tblLaborEntries[Work date serial],tblLaborEntries[Work package ID],tblWorkPackages[[#This Row],[Work package ID]])</f>
        <v>45402.0</v>
      </c>
      <c r="AA1937" s="64">
        <f>_xlfn.MAXIFS(tblLaborEntries[Work date serial],tblLaborEntries[Work package ID],tblWorkPackages[[#This Row],[Work package ID]])</f>
        <v>45403.0</v>
      </c>
      <c r="AB1937" s="65">
        <f>IF(tblWorkPackages[[#This Row],[Completion date serial]]&gt;tblWorkPackages[[#This Row],[Due date serial]],1,0)</f>
        <v>1</v>
      </c>
      <c r="AC1937" s="65">
        <f>MAX(0,tblWorkPackages[[#This Row],[Completion date serial]]-tblWorkPackages[[#This Row],[Due date serial]])</f>
        <v>3</v>
      </c>
      <c r="AD1937" s="65">
        <f>tblWorkPackages[[#This Row],[First labor date]]-tblWorkPackages[[#This Row],[Request date serial]]</f>
        <v>5</v>
      </c>
      <c r="AE1937" s="65">
        <f>tblWorkPackages[[#This Row],[Last labor date]]-tblWorkPackages[[#This Row],[First labor date]]</f>
        <v>1</v>
      </c>
      <c r="AF1937" s="65">
        <f>tblWorkPackages[[#This Row],[Completion date serial]]-tblWorkPackages[[#This Row],[Last labor date]]</f>
        <v>3</v>
      </c>
      <c r="AG1937" s="65">
        <f>tblWorkPackages[[#This Row],[Completion date serial]]-tblWorkPackages[[#This Row],[Request date serial]]</f>
        <v>9</v>
      </c>
      <c r="AH1937" s="65">
        <f>IFERROR(INDEX(tblParts[Delay days],MATCH(tblWorkPackages[[#This Row],[Work package ID]],tblParts[Work package ID],0)),0)</f>
        <v>0</v>
      </c>
      <c r="AI1937" s="51" t="str">
        <f>IFERROR(INDEX(tblDisruptions[Event type],MATCH(tblWorkPackages[[#This Row],[Work package ID]],tblDisruptions[Work package ID],0)),"None")</f>
        <v>None</v>
      </c>
      <c r="AJ1937" s="51" t="str">
        <f>TEXT(tblWorkPackages[[#This Row],[Due date serial]],"yyyy-mm")</f>
        <v>2024-04</v>
      </c>
    </row>
    <row r="1938" spans="1:36" ht="15" x14ac:dyDescent="0.25">
      <c r="A1938" s="53" t="s">
        <v>2849</v>
      </c>
      <c r="B1938" s="53" t="s">
        <v>235</v>
      </c>
      <c r="C1938" s="53" t="s">
        <v>640</v>
      </c>
      <c r="D1938" s="53" t="s">
        <v>603</v>
      </c>
      <c r="E1938" s="53" t="s">
        <v>160</v>
      </c>
      <c r="F1938" s="53" t="s">
        <v>128</v>
      </c>
      <c r="G1938" s="53" t="s">
        <v>138</v>
      </c>
      <c r="H1938" s="53">
        <v>3</v>
      </c>
      <c r="I1938" s="53" t="s">
        <v>176</v>
      </c>
      <c r="J1938" s="53">
        <v>0</v>
      </c>
      <c r="K1938" s="53">
        <v>0</v>
      </c>
      <c r="L1938" s="53">
        <v>6.5</v>
      </c>
      <c r="M1938" s="53" t="s">
        <v>198</v>
      </c>
      <c r="N1938" s="53">
        <v>5.0999999999999996</v>
      </c>
      <c r="O1938" s="51" t="str">
        <f>TEXT(tblWorkPackages[[#This Row],[Request date serial]]-WEEKDAY(tblWorkPackages[[#This Row],[Request date serial]],3),"yyyy-mm-dd")</f>
        <v>2025-06-16</v>
      </c>
      <c r="P1938" s="51">
        <f>ABS(tblWorkPackages[[#This Row],[Actual labor hours]]-tblWorkPackages[[#This Row],[Estimated labor hours]])</f>
        <v>1.4</v>
      </c>
      <c r="Q1938" s="51">
        <f>IF(tblWorkPackages[[#This Row],[Actual labor hours]]&gt;tblWorkPackages[[#This Row],[Estimated labor hours]],1,0)</f>
        <v>0</v>
      </c>
      <c r="R1938" s="51">
        <f>tblWorkPackages[[#This Row],[Actual labor hours]]-tblWorkPackages[[#This Row],[Estimated labor hours]]</f>
        <v>-1.4</v>
      </c>
      <c r="S1938" s="51" t="str">
        <f>IF(tblWorkPackages[[#This Row],[Request date serial]]&lt;ValidationStart,"Train 2024",IF(tblWorkPackages[[#This Row],[Request date serial]]&lt;HoldoutStart,"Validation H1","Holdout H2"))</f>
        <v>Validation H1</v>
      </c>
      <c r="T1938" s="51">
        <f>IF(tblWorkPackages[[#This Row],[Time split]]="Train 2024","",tblWorkPackages[[#This Row],[Estimated labor hours]]+VLOOKUP(tblWorkPackages[[#This Row],[Task type]],'Forecast validation'!$A$14:$E$25,IF(tblWorkPackages[[#This Row],[Time split]]="Validation H1",4,5),FALSE()))</f>
        <v>6.94146341463415</v>
      </c>
      <c r="U1938" s="51">
        <f>IF(tblWorkPackages[[#This Row],[Calibrated forecast hours]]="","",ABS(tblWorkPackages[[#This Row],[Actual labor hours]]-tblWorkPackages[[#This Row],[Calibrated forecast hours]]))</f>
        <v>1.84146341463415</v>
      </c>
      <c r="V1938" s="51">
        <f>IF(tblWorkPackages[[#This Row],[Time split]]="Train 2024",tblWorkPackages[[#This Row],[Estimated labor hours]],tblWorkPackages[[#This Row],[Calibrated forecast hours]])</f>
        <v>6.94146341463415</v>
      </c>
      <c r="W1938" s="64">
        <f>DATEVALUE(tblWorkPackages[[#This Row],[Request date]])</f>
        <v>45828.0</v>
      </c>
      <c r="X1938" s="64">
        <f>DATEVALUE(tblWorkPackages[[#This Row],[Due date]])</f>
        <v>45834.0</v>
      </c>
      <c r="Y1938" s="64">
        <f>DATEVALUE(tblWorkPackages[[#This Row],[Completion date]])</f>
        <v>45832.0</v>
      </c>
      <c r="Z1938" s="64">
        <f>_xlfn.MINIFS(tblLaborEntries[Work date serial],tblLaborEntries[Work package ID],tblWorkPackages[[#This Row],[Work package ID]])</f>
        <v>45830.0</v>
      </c>
      <c r="AA1938" s="64">
        <f>_xlfn.MAXIFS(tblLaborEntries[Work date serial],tblLaborEntries[Work package ID],tblWorkPackages[[#This Row],[Work package ID]])</f>
        <v>45832.0</v>
      </c>
      <c r="AB1938" s="65">
        <f>IF(tblWorkPackages[[#This Row],[Completion date serial]]&gt;tblWorkPackages[[#This Row],[Due date serial]],1,0)</f>
        <v>0</v>
      </c>
      <c r="AC1938" s="65">
        <f>MAX(0,tblWorkPackages[[#This Row],[Completion date serial]]-tblWorkPackages[[#This Row],[Due date serial]])</f>
        <v>0</v>
      </c>
      <c r="AD1938" s="65">
        <f>tblWorkPackages[[#This Row],[First labor date]]-tblWorkPackages[[#This Row],[Request date serial]]</f>
        <v>2</v>
      </c>
      <c r="AE1938" s="65">
        <f>tblWorkPackages[[#This Row],[Last labor date]]-tblWorkPackages[[#This Row],[First labor date]]</f>
        <v>2</v>
      </c>
      <c r="AF1938" s="65">
        <f>tblWorkPackages[[#This Row],[Completion date serial]]-tblWorkPackages[[#This Row],[Last labor date]]</f>
        <v>0</v>
      </c>
      <c r="AG1938" s="65">
        <f>tblWorkPackages[[#This Row],[Completion date serial]]-tblWorkPackages[[#This Row],[Request date serial]]</f>
        <v>4</v>
      </c>
      <c r="AH1938" s="65">
        <f>IFERROR(INDEX(tblParts[Delay days],MATCH(tblWorkPackages[[#This Row],[Work package ID]],tblParts[Work package ID],0)),0)</f>
        <v>0</v>
      </c>
      <c r="AI1938" s="51" t="str">
        <f>IFERROR(INDEX(tblDisruptions[Event type],MATCH(tblWorkPackages[[#This Row],[Work package ID]],tblDisruptions[Work package ID],0)),"None")</f>
        <v>None</v>
      </c>
      <c r="AJ1938" s="51" t="str">
        <f>TEXT(tblWorkPackages[[#This Row],[Due date serial]],"yyyy-mm")</f>
        <v>2025-06</v>
      </c>
    </row>
    <row r="1939" spans="1:36" ht="15" x14ac:dyDescent="0.25">
      <c r="A1939" s="53" t="s">
        <v>2850</v>
      </c>
      <c r="B1939" s="53" t="s">
        <v>235</v>
      </c>
      <c r="C1939" s="53" t="s">
        <v>386</v>
      </c>
      <c r="D1939" s="53" t="s">
        <v>387</v>
      </c>
      <c r="E1939" s="53" t="s">
        <v>223</v>
      </c>
      <c r="F1939" s="53" t="s">
        <v>182</v>
      </c>
      <c r="G1939" s="53" t="s">
        <v>154</v>
      </c>
      <c r="H1939" s="53">
        <v>3</v>
      </c>
      <c r="I1939" s="53" t="s">
        <v>130</v>
      </c>
      <c r="J1939" s="53">
        <v>0</v>
      </c>
      <c r="K1939" s="53">
        <v>0</v>
      </c>
      <c r="L1939" s="53">
        <v>15.7</v>
      </c>
      <c r="M1939" s="53" t="s">
        <v>874</v>
      </c>
      <c r="N1939" s="53">
        <v>16.399999999999999</v>
      </c>
      <c r="O1939" s="51" t="str">
        <f>TEXT(tblWorkPackages[[#This Row],[Request date serial]]-WEEKDAY(tblWorkPackages[[#This Row],[Request date serial]],3),"yyyy-mm-dd")</f>
        <v>2024-08-26</v>
      </c>
      <c r="P1939" s="51">
        <f>ABS(tblWorkPackages[[#This Row],[Actual labor hours]]-tblWorkPackages[[#This Row],[Estimated labor hours]])</f>
        <v>0.699999999999999</v>
      </c>
      <c r="Q1939" s="51">
        <f>IF(tblWorkPackages[[#This Row],[Actual labor hours]]&gt;tblWorkPackages[[#This Row],[Estimated labor hours]],1,0)</f>
        <v>1</v>
      </c>
      <c r="R1939" s="51">
        <f>tblWorkPackages[[#This Row],[Actual labor hours]]-tblWorkPackages[[#This Row],[Estimated labor hours]]</f>
        <v>0.699999999999999</v>
      </c>
      <c r="S1939" s="51" t="str">
        <f>IF(tblWorkPackages[[#This Row],[Request date serial]]&lt;ValidationStart,"Train 2024",IF(tblWorkPackages[[#This Row],[Request date serial]]&lt;HoldoutStart,"Validation H1","Holdout H2"))</f>
        <v>Train 2024</v>
      </c>
      <c r="T1939" s="51" t="str">
        <f>IF(tblWorkPackages[[#This Row],[Time split]]="Train 2024","",tblWorkPackages[[#This Row],[Estimated labor hours]]+VLOOKUP(tblWorkPackages[[#This Row],[Task type]],'Forecast validation'!$A$14:$E$25,IF(tblWorkPackages[[#This Row],[Time split]]="Validation H1",4,5),FALSE()))</f>
        <v/>
      </c>
      <c r="U1939" s="51" t="str">
        <f>IF(tblWorkPackages[[#This Row],[Calibrated forecast hours]]="","",ABS(tblWorkPackages[[#This Row],[Actual labor hours]]-tblWorkPackages[[#This Row],[Calibrated forecast hours]]))</f>
        <v/>
      </c>
      <c r="V1939" s="51">
        <f>IF(tblWorkPackages[[#This Row],[Time split]]="Train 2024",tblWorkPackages[[#This Row],[Estimated labor hours]],tblWorkPackages[[#This Row],[Calibrated forecast hours]])</f>
        <v>15.7</v>
      </c>
      <c r="W1939" s="64">
        <f>DATEVALUE(tblWorkPackages[[#This Row],[Request date]])</f>
        <v>45533.0</v>
      </c>
      <c r="X1939" s="64">
        <f>DATEVALUE(tblWorkPackages[[#This Row],[Due date]])</f>
        <v>45546.0</v>
      </c>
      <c r="Y1939" s="64">
        <f>DATEVALUE(tblWorkPackages[[#This Row],[Completion date]])</f>
        <v>45548.0</v>
      </c>
      <c r="Z1939" s="64">
        <f>_xlfn.MINIFS(tblLaborEntries[Work date serial],tblLaborEntries[Work package ID],tblWorkPackages[[#This Row],[Work package ID]])</f>
        <v>45547.0</v>
      </c>
      <c r="AA1939" s="64">
        <f>_xlfn.MAXIFS(tblLaborEntries[Work date serial],tblLaborEntries[Work package ID],tblWorkPackages[[#This Row],[Work package ID]])</f>
        <v>45547.0</v>
      </c>
      <c r="AB1939" s="65">
        <f>IF(tblWorkPackages[[#This Row],[Completion date serial]]&gt;tblWorkPackages[[#This Row],[Due date serial]],1,0)</f>
        <v>1</v>
      </c>
      <c r="AC1939" s="65">
        <f>MAX(0,tblWorkPackages[[#This Row],[Completion date serial]]-tblWorkPackages[[#This Row],[Due date serial]])</f>
        <v>2</v>
      </c>
      <c r="AD1939" s="65">
        <f>tblWorkPackages[[#This Row],[First labor date]]-tblWorkPackages[[#This Row],[Request date serial]]</f>
        <v>14</v>
      </c>
      <c r="AE1939" s="65">
        <f>tblWorkPackages[[#This Row],[Last labor date]]-tblWorkPackages[[#This Row],[First labor date]]</f>
        <v>0</v>
      </c>
      <c r="AF1939" s="65">
        <f>tblWorkPackages[[#This Row],[Completion date serial]]-tblWorkPackages[[#This Row],[Last labor date]]</f>
        <v>1</v>
      </c>
      <c r="AG1939" s="65">
        <f>tblWorkPackages[[#This Row],[Completion date serial]]-tblWorkPackages[[#This Row],[Request date serial]]</f>
        <v>15</v>
      </c>
      <c r="AH1939" s="65">
        <f>IFERROR(INDEX(tblParts[Delay days],MATCH(tblWorkPackages[[#This Row],[Work package ID]],tblParts[Work package ID],0)),0)</f>
        <v>0</v>
      </c>
      <c r="AI1939" s="51" t="str">
        <f>IFERROR(INDEX(tblDisruptions[Event type],MATCH(tblWorkPackages[[#This Row],[Work package ID]],tblDisruptions[Work package ID],0)),"None")</f>
        <v>None</v>
      </c>
      <c r="AJ1939" s="51" t="str">
        <f>TEXT(tblWorkPackages[[#This Row],[Due date serial]],"yyyy-mm")</f>
        <v>2024-09</v>
      </c>
    </row>
    <row r="1940" spans="1:36" ht="15" x14ac:dyDescent="0.25">
      <c r="A1940" s="53" t="s">
        <v>2851</v>
      </c>
      <c r="B1940" s="53" t="s">
        <v>287</v>
      </c>
      <c r="C1940" s="53" t="s">
        <v>346</v>
      </c>
      <c r="D1940" s="53" t="s">
        <v>1095</v>
      </c>
      <c r="E1940" s="53" t="s">
        <v>144</v>
      </c>
      <c r="F1940" s="53" t="s">
        <v>145</v>
      </c>
      <c r="G1940" s="53" t="s">
        <v>146</v>
      </c>
      <c r="H1940" s="53">
        <v>4</v>
      </c>
      <c r="I1940" s="53" t="s">
        <v>176</v>
      </c>
      <c r="J1940" s="53">
        <v>0</v>
      </c>
      <c r="K1940" s="53">
        <v>0</v>
      </c>
      <c r="L1940" s="53">
        <v>20.9</v>
      </c>
      <c r="M1940" s="53" t="s">
        <v>1095</v>
      </c>
      <c r="N1940" s="53">
        <v>19.2</v>
      </c>
      <c r="O1940" s="51" t="str">
        <f>TEXT(tblWorkPackages[[#This Row],[Request date serial]]-WEEKDAY(tblWorkPackages[[#This Row],[Request date serial]],3),"yyyy-mm-dd")</f>
        <v>2024-02-12</v>
      </c>
      <c r="P1940" s="51">
        <f>ABS(tblWorkPackages[[#This Row],[Actual labor hours]]-tblWorkPackages[[#This Row],[Estimated labor hours]])</f>
        <v>1.7</v>
      </c>
      <c r="Q1940" s="51">
        <f>IF(tblWorkPackages[[#This Row],[Actual labor hours]]&gt;tblWorkPackages[[#This Row],[Estimated labor hours]],1,0)</f>
        <v>0</v>
      </c>
      <c r="R1940" s="51">
        <f>tblWorkPackages[[#This Row],[Actual labor hours]]-tblWorkPackages[[#This Row],[Estimated labor hours]]</f>
        <v>-1.7</v>
      </c>
      <c r="S1940" s="51" t="str">
        <f>IF(tblWorkPackages[[#This Row],[Request date serial]]&lt;ValidationStart,"Train 2024",IF(tblWorkPackages[[#This Row],[Request date serial]]&lt;HoldoutStart,"Validation H1","Holdout H2"))</f>
        <v>Train 2024</v>
      </c>
      <c r="T1940" s="51" t="str">
        <f>IF(tblWorkPackages[[#This Row],[Time split]]="Train 2024","",tblWorkPackages[[#This Row],[Estimated labor hours]]+VLOOKUP(tblWorkPackages[[#This Row],[Task type]],'Forecast validation'!$A$14:$E$25,IF(tblWorkPackages[[#This Row],[Time split]]="Validation H1",4,5),FALSE()))</f>
        <v/>
      </c>
      <c r="U1940" s="51" t="str">
        <f>IF(tblWorkPackages[[#This Row],[Calibrated forecast hours]]="","",ABS(tblWorkPackages[[#This Row],[Actual labor hours]]-tblWorkPackages[[#This Row],[Calibrated forecast hours]]))</f>
        <v/>
      </c>
      <c r="V1940" s="51">
        <f>IF(tblWorkPackages[[#This Row],[Time split]]="Train 2024",tblWorkPackages[[#This Row],[Estimated labor hours]],tblWorkPackages[[#This Row],[Calibrated forecast hours]])</f>
        <v>20.9</v>
      </c>
      <c r="W1940" s="64">
        <f>DATEVALUE(tblWorkPackages[[#This Row],[Request date]])</f>
        <v>45338.0</v>
      </c>
      <c r="X1940" s="64">
        <f>DATEVALUE(tblWorkPackages[[#This Row],[Due date]])</f>
        <v>45344.0</v>
      </c>
      <c r="Y1940" s="64">
        <f>DATEVALUE(tblWorkPackages[[#This Row],[Completion date]])</f>
        <v>45344.0</v>
      </c>
      <c r="Z1940" s="64">
        <f>_xlfn.MINIFS(tblLaborEntries[Work date serial],tblLaborEntries[Work package ID],tblWorkPackages[[#This Row],[Work package ID]])</f>
        <v>45341.0</v>
      </c>
      <c r="AA1940" s="64">
        <f>_xlfn.MAXIFS(tblLaborEntries[Work date serial],tblLaborEntries[Work package ID],tblWorkPackages[[#This Row],[Work package ID]])</f>
        <v>45342.0</v>
      </c>
      <c r="AB1940" s="65">
        <f>IF(tblWorkPackages[[#This Row],[Completion date serial]]&gt;tblWorkPackages[[#This Row],[Due date serial]],1,0)</f>
        <v>0</v>
      </c>
      <c r="AC1940" s="65">
        <f>MAX(0,tblWorkPackages[[#This Row],[Completion date serial]]-tblWorkPackages[[#This Row],[Due date serial]])</f>
        <v>0</v>
      </c>
      <c r="AD1940" s="65">
        <f>tblWorkPackages[[#This Row],[First labor date]]-tblWorkPackages[[#This Row],[Request date serial]]</f>
        <v>3</v>
      </c>
      <c r="AE1940" s="65">
        <f>tblWorkPackages[[#This Row],[Last labor date]]-tblWorkPackages[[#This Row],[First labor date]]</f>
        <v>1</v>
      </c>
      <c r="AF1940" s="65">
        <f>tblWorkPackages[[#This Row],[Completion date serial]]-tblWorkPackages[[#This Row],[Last labor date]]</f>
        <v>2</v>
      </c>
      <c r="AG1940" s="65">
        <f>tblWorkPackages[[#This Row],[Completion date serial]]-tblWorkPackages[[#This Row],[Request date serial]]</f>
        <v>6</v>
      </c>
      <c r="AH1940" s="65">
        <f>IFERROR(INDEX(tblParts[Delay days],MATCH(tblWorkPackages[[#This Row],[Work package ID]],tblParts[Work package ID],0)),0)</f>
        <v>0</v>
      </c>
      <c r="AI1940" s="51" t="str">
        <f>IFERROR(INDEX(tblDisruptions[Event type],MATCH(tblWorkPackages[[#This Row],[Work package ID]],tblDisruptions[Work package ID],0)),"None")</f>
        <v>None</v>
      </c>
      <c r="AJ1940" s="51" t="str">
        <f>TEXT(tblWorkPackages[[#This Row],[Due date serial]],"yyyy-mm")</f>
        <v>2024-02</v>
      </c>
    </row>
    <row r="1941" spans="1:36" ht="15" x14ac:dyDescent="0.25">
      <c r="A1941" s="53" t="s">
        <v>2852</v>
      </c>
      <c r="B1941" s="53" t="s">
        <v>150</v>
      </c>
      <c r="C1941" s="53" t="s">
        <v>1685</v>
      </c>
      <c r="D1941" s="53" t="s">
        <v>470</v>
      </c>
      <c r="E1941" s="53" t="s">
        <v>160</v>
      </c>
      <c r="F1941" s="53" t="s">
        <v>128</v>
      </c>
      <c r="G1941" s="53" t="s">
        <v>138</v>
      </c>
      <c r="H1941" s="53">
        <v>3</v>
      </c>
      <c r="I1941" s="53" t="s">
        <v>130</v>
      </c>
      <c r="J1941" s="53">
        <v>0</v>
      </c>
      <c r="K1941" s="53">
        <v>0</v>
      </c>
      <c r="L1941" s="53">
        <v>7.4</v>
      </c>
      <c r="M1941" s="53" t="s">
        <v>1033</v>
      </c>
      <c r="N1941" s="53">
        <v>7.3</v>
      </c>
      <c r="O1941" s="51" t="str">
        <f>TEXT(tblWorkPackages[[#This Row],[Request date serial]]-WEEKDAY(tblWorkPackages[[#This Row],[Request date serial]],3),"yyyy-mm-dd")</f>
        <v>2024-04-01</v>
      </c>
      <c r="P1941" s="51">
        <f>ABS(tblWorkPackages[[#This Row],[Actual labor hours]]-tblWorkPackages[[#This Row],[Estimated labor hours]])</f>
        <v>0.100000000000001</v>
      </c>
      <c r="Q1941" s="51">
        <f>IF(tblWorkPackages[[#This Row],[Actual labor hours]]&gt;tblWorkPackages[[#This Row],[Estimated labor hours]],1,0)</f>
        <v>0</v>
      </c>
      <c r="R1941" s="51">
        <f>tblWorkPackages[[#This Row],[Actual labor hours]]-tblWorkPackages[[#This Row],[Estimated labor hours]]</f>
        <v>-0.100000000000001</v>
      </c>
      <c r="S1941" s="51" t="str">
        <f>IF(tblWorkPackages[[#This Row],[Request date serial]]&lt;ValidationStart,"Train 2024",IF(tblWorkPackages[[#This Row],[Request date serial]]&lt;HoldoutStart,"Validation H1","Holdout H2"))</f>
        <v>Train 2024</v>
      </c>
      <c r="T1941" s="51" t="str">
        <f>IF(tblWorkPackages[[#This Row],[Time split]]="Train 2024","",tblWorkPackages[[#This Row],[Estimated labor hours]]+VLOOKUP(tblWorkPackages[[#This Row],[Task type]],'Forecast validation'!$A$14:$E$25,IF(tblWorkPackages[[#This Row],[Time split]]="Validation H1",4,5),FALSE()))</f>
        <v/>
      </c>
      <c r="U1941" s="51" t="str">
        <f>IF(tblWorkPackages[[#This Row],[Calibrated forecast hours]]="","",ABS(tblWorkPackages[[#This Row],[Actual labor hours]]-tblWorkPackages[[#This Row],[Calibrated forecast hours]]))</f>
        <v/>
      </c>
      <c r="V1941" s="51">
        <f>IF(tblWorkPackages[[#This Row],[Time split]]="Train 2024",tblWorkPackages[[#This Row],[Estimated labor hours]],tblWorkPackages[[#This Row],[Calibrated forecast hours]])</f>
        <v>7.4</v>
      </c>
      <c r="W1941" s="64">
        <f>DATEVALUE(tblWorkPackages[[#This Row],[Request date]])</f>
        <v>45387.0</v>
      </c>
      <c r="X1941" s="64">
        <f>DATEVALUE(tblWorkPackages[[#This Row],[Due date]])</f>
        <v>45400.0</v>
      </c>
      <c r="Y1941" s="64">
        <f>DATEVALUE(tblWorkPackages[[#This Row],[Completion date]])</f>
        <v>45445.0</v>
      </c>
      <c r="Z1941" s="64">
        <f>_xlfn.MINIFS(tblLaborEntries[Work date serial],tblLaborEntries[Work package ID],tblWorkPackages[[#This Row],[Work package ID]])</f>
        <v>45441.0</v>
      </c>
      <c r="AA1941" s="64">
        <f>_xlfn.MAXIFS(tblLaborEntries[Work date serial],tblLaborEntries[Work package ID],tblWorkPackages[[#This Row],[Work package ID]])</f>
        <v>45442.0</v>
      </c>
      <c r="AB1941" s="65">
        <f>IF(tblWorkPackages[[#This Row],[Completion date serial]]&gt;tblWorkPackages[[#This Row],[Due date serial]],1,0)</f>
        <v>1</v>
      </c>
      <c r="AC1941" s="65">
        <f>MAX(0,tblWorkPackages[[#This Row],[Completion date serial]]-tblWorkPackages[[#This Row],[Due date serial]])</f>
        <v>45</v>
      </c>
      <c r="AD1941" s="65">
        <f>tblWorkPackages[[#This Row],[First labor date]]-tblWorkPackages[[#This Row],[Request date serial]]</f>
        <v>54</v>
      </c>
      <c r="AE1941" s="65">
        <f>tblWorkPackages[[#This Row],[Last labor date]]-tblWorkPackages[[#This Row],[First labor date]]</f>
        <v>1</v>
      </c>
      <c r="AF1941" s="65">
        <f>tblWorkPackages[[#This Row],[Completion date serial]]-tblWorkPackages[[#This Row],[Last labor date]]</f>
        <v>3</v>
      </c>
      <c r="AG1941" s="65">
        <f>tblWorkPackages[[#This Row],[Completion date serial]]-tblWorkPackages[[#This Row],[Request date serial]]</f>
        <v>58</v>
      </c>
      <c r="AH1941" s="65">
        <f>IFERROR(INDEX(tblParts[Delay days],MATCH(tblWorkPackages[[#This Row],[Work package ID]],tblParts[Work package ID],0)),0)</f>
        <v>0</v>
      </c>
      <c r="AI1941" s="51" t="str">
        <f>IFERROR(INDEX(tblDisruptions[Event type],MATCH(tblWorkPackages[[#This Row],[Work package ID]],tblDisruptions[Work package ID],0)),"None")</f>
        <v>None</v>
      </c>
      <c r="AJ1941" s="51" t="str">
        <f>TEXT(tblWorkPackages[[#This Row],[Due date serial]],"yyyy-mm")</f>
        <v>2024-04</v>
      </c>
    </row>
    <row r="1942" spans="1:36" ht="15" x14ac:dyDescent="0.25">
      <c r="A1942" s="53" t="s">
        <v>2853</v>
      </c>
      <c r="B1942" s="53" t="s">
        <v>185</v>
      </c>
      <c r="C1942" s="53" t="s">
        <v>470</v>
      </c>
      <c r="D1942" s="53" t="s">
        <v>471</v>
      </c>
      <c r="E1942" s="53" t="s">
        <v>237</v>
      </c>
      <c r="F1942" s="53" t="s">
        <v>182</v>
      </c>
      <c r="G1942" s="53" t="s">
        <v>138</v>
      </c>
      <c r="H1942" s="53">
        <v>2</v>
      </c>
      <c r="I1942" s="53" t="s">
        <v>130</v>
      </c>
      <c r="J1942" s="53">
        <v>0</v>
      </c>
      <c r="K1942" s="53">
        <v>1</v>
      </c>
      <c r="L1942" s="53">
        <v>6.2</v>
      </c>
      <c r="M1942" s="53" t="s">
        <v>931</v>
      </c>
      <c r="N1942" s="53">
        <v>7.1</v>
      </c>
      <c r="O1942" s="51" t="str">
        <f>TEXT(tblWorkPackages[[#This Row],[Request date serial]]-WEEKDAY(tblWorkPackages[[#This Row],[Request date serial]],3),"yyyy-mm-dd")</f>
        <v>2024-04-15</v>
      </c>
      <c r="P1942" s="51">
        <f>ABS(tblWorkPackages[[#This Row],[Actual labor hours]]-tblWorkPackages[[#This Row],[Estimated labor hours]])</f>
        <v>0.9</v>
      </c>
      <c r="Q1942" s="51">
        <f>IF(tblWorkPackages[[#This Row],[Actual labor hours]]&gt;tblWorkPackages[[#This Row],[Estimated labor hours]],1,0)</f>
        <v>1</v>
      </c>
      <c r="R1942" s="51">
        <f>tblWorkPackages[[#This Row],[Actual labor hours]]-tblWorkPackages[[#This Row],[Estimated labor hours]]</f>
        <v>0.9</v>
      </c>
      <c r="S1942" s="51" t="str">
        <f>IF(tblWorkPackages[[#This Row],[Request date serial]]&lt;ValidationStart,"Train 2024",IF(tblWorkPackages[[#This Row],[Request date serial]]&lt;HoldoutStart,"Validation H1","Holdout H2"))</f>
        <v>Train 2024</v>
      </c>
      <c r="T1942" s="51" t="str">
        <f>IF(tblWorkPackages[[#This Row],[Time split]]="Train 2024","",tblWorkPackages[[#This Row],[Estimated labor hours]]+VLOOKUP(tblWorkPackages[[#This Row],[Task type]],'Forecast validation'!$A$14:$E$25,IF(tblWorkPackages[[#This Row],[Time split]]="Validation H1",4,5),FALSE()))</f>
        <v/>
      </c>
      <c r="U1942" s="51" t="str">
        <f>IF(tblWorkPackages[[#This Row],[Calibrated forecast hours]]="","",ABS(tblWorkPackages[[#This Row],[Actual labor hours]]-tblWorkPackages[[#This Row],[Calibrated forecast hours]]))</f>
        <v/>
      </c>
      <c r="V1942" s="51">
        <f>IF(tblWorkPackages[[#This Row],[Time split]]="Train 2024",tblWorkPackages[[#This Row],[Estimated labor hours]],tblWorkPackages[[#This Row],[Calibrated forecast hours]])</f>
        <v>6.2</v>
      </c>
      <c r="W1942" s="64">
        <f>DATEVALUE(tblWorkPackages[[#This Row],[Request date]])</f>
        <v>45400.0</v>
      </c>
      <c r="X1942" s="64">
        <f>DATEVALUE(tblWorkPackages[[#This Row],[Due date]])</f>
        <v>45413.0</v>
      </c>
      <c r="Y1942" s="64">
        <f>DATEVALUE(tblWorkPackages[[#This Row],[Completion date]])</f>
        <v>45410.0</v>
      </c>
      <c r="Z1942" s="64">
        <f>_xlfn.MINIFS(tblLaborEntries[Work date serial],tblLaborEntries[Work package ID],tblWorkPackages[[#This Row],[Work package ID]])</f>
        <v>45408.0</v>
      </c>
      <c r="AA1942" s="64">
        <f>_xlfn.MAXIFS(tblLaborEntries[Work date serial],tblLaborEntries[Work package ID],tblWorkPackages[[#This Row],[Work package ID]])</f>
        <v>45410.0</v>
      </c>
      <c r="AB1942" s="65">
        <f>IF(tblWorkPackages[[#This Row],[Completion date serial]]&gt;tblWorkPackages[[#This Row],[Due date serial]],1,0)</f>
        <v>0</v>
      </c>
      <c r="AC1942" s="65">
        <f>MAX(0,tblWorkPackages[[#This Row],[Completion date serial]]-tblWorkPackages[[#This Row],[Due date serial]])</f>
        <v>0</v>
      </c>
      <c r="AD1942" s="65">
        <f>tblWorkPackages[[#This Row],[First labor date]]-tblWorkPackages[[#This Row],[Request date serial]]</f>
        <v>8</v>
      </c>
      <c r="AE1942" s="65">
        <f>tblWorkPackages[[#This Row],[Last labor date]]-tblWorkPackages[[#This Row],[First labor date]]</f>
        <v>2</v>
      </c>
      <c r="AF1942" s="65">
        <f>tblWorkPackages[[#This Row],[Completion date serial]]-tblWorkPackages[[#This Row],[Last labor date]]</f>
        <v>0</v>
      </c>
      <c r="AG1942" s="65">
        <f>tblWorkPackages[[#This Row],[Completion date serial]]-tblWorkPackages[[#This Row],[Request date serial]]</f>
        <v>10</v>
      </c>
      <c r="AH1942" s="65">
        <f>IFERROR(INDEX(tblParts[Delay days],MATCH(tblWorkPackages[[#This Row],[Work package ID]],tblParts[Work package ID],0)),0)</f>
        <v>0</v>
      </c>
      <c r="AI1942" s="51" t="str">
        <f>IFERROR(INDEX(tblDisruptions[Event type],MATCH(tblWorkPackages[[#This Row],[Work package ID]],tblDisruptions[Work package ID],0)),"None")</f>
        <v>None</v>
      </c>
      <c r="AJ1942" s="51" t="str">
        <f>TEXT(tblWorkPackages[[#This Row],[Due date serial]],"yyyy-mm")</f>
        <v>2024-05</v>
      </c>
    </row>
    <row r="1943" spans="1:36" ht="15" x14ac:dyDescent="0.25">
      <c r="A1943" s="53" t="s">
        <v>2854</v>
      </c>
      <c r="B1943" s="53" t="s">
        <v>230</v>
      </c>
      <c r="C1943" s="53" t="s">
        <v>1321</v>
      </c>
      <c r="D1943" s="53" t="s">
        <v>263</v>
      </c>
      <c r="E1943" s="53" t="s">
        <v>160</v>
      </c>
      <c r="F1943" s="53" t="s">
        <v>128</v>
      </c>
      <c r="G1943" s="53" t="s">
        <v>138</v>
      </c>
      <c r="H1943" s="53">
        <v>2</v>
      </c>
      <c r="I1943" s="53" t="s">
        <v>176</v>
      </c>
      <c r="J1943" s="53">
        <v>0</v>
      </c>
      <c r="K1943" s="53">
        <v>0</v>
      </c>
      <c r="L1943" s="53">
        <v>4.5</v>
      </c>
      <c r="M1943" s="53" t="s">
        <v>945</v>
      </c>
      <c r="N1943" s="53">
        <v>4</v>
      </c>
      <c r="O1943" s="51" t="str">
        <f>TEXT(tblWorkPackages[[#This Row],[Request date serial]]-WEEKDAY(tblWorkPackages[[#This Row],[Request date serial]],3),"yyyy-mm-dd")</f>
        <v>2024-08-12</v>
      </c>
      <c r="P1943" s="51">
        <f>ABS(tblWorkPackages[[#This Row],[Actual labor hours]]-tblWorkPackages[[#This Row],[Estimated labor hours]])</f>
        <v>0.5</v>
      </c>
      <c r="Q1943" s="51">
        <f>IF(tblWorkPackages[[#This Row],[Actual labor hours]]&gt;tblWorkPackages[[#This Row],[Estimated labor hours]],1,0)</f>
        <v>0</v>
      </c>
      <c r="R1943" s="51">
        <f>tblWorkPackages[[#This Row],[Actual labor hours]]-tblWorkPackages[[#This Row],[Estimated labor hours]]</f>
        <v>-0.5</v>
      </c>
      <c r="S1943" s="51" t="str">
        <f>IF(tblWorkPackages[[#This Row],[Request date serial]]&lt;ValidationStart,"Train 2024",IF(tblWorkPackages[[#This Row],[Request date serial]]&lt;HoldoutStart,"Validation H1","Holdout H2"))</f>
        <v>Train 2024</v>
      </c>
      <c r="T1943" s="51" t="str">
        <f>IF(tblWorkPackages[[#This Row],[Time split]]="Train 2024","",tblWorkPackages[[#This Row],[Estimated labor hours]]+VLOOKUP(tblWorkPackages[[#This Row],[Task type]],'Forecast validation'!$A$14:$E$25,IF(tblWorkPackages[[#This Row],[Time split]]="Validation H1",4,5),FALSE()))</f>
        <v/>
      </c>
      <c r="U1943" s="51" t="str">
        <f>IF(tblWorkPackages[[#This Row],[Calibrated forecast hours]]="","",ABS(tblWorkPackages[[#This Row],[Actual labor hours]]-tblWorkPackages[[#This Row],[Calibrated forecast hours]]))</f>
        <v/>
      </c>
      <c r="V1943" s="51">
        <f>IF(tblWorkPackages[[#This Row],[Time split]]="Train 2024",tblWorkPackages[[#This Row],[Estimated labor hours]],tblWorkPackages[[#This Row],[Calibrated forecast hours]])</f>
        <v>4.5</v>
      </c>
      <c r="W1943" s="64">
        <f>DATEVALUE(tblWorkPackages[[#This Row],[Request date]])</f>
        <v>45516.0</v>
      </c>
      <c r="X1943" s="64">
        <f>DATEVALUE(tblWorkPackages[[#This Row],[Due date]])</f>
        <v>45522.0</v>
      </c>
      <c r="Y1943" s="64">
        <f>DATEVALUE(tblWorkPackages[[#This Row],[Completion date]])</f>
        <v>45521.0</v>
      </c>
      <c r="Z1943" s="64">
        <f>_xlfn.MINIFS(tblLaborEntries[Work date serial],tblLaborEntries[Work package ID],tblWorkPackages[[#This Row],[Work package ID]])</f>
        <v>45518.0</v>
      </c>
      <c r="AA1943" s="64">
        <f>_xlfn.MAXIFS(tblLaborEntries[Work date serial],tblLaborEntries[Work package ID],tblWorkPackages[[#This Row],[Work package ID]])</f>
        <v>45520.0</v>
      </c>
      <c r="AB1943" s="65">
        <f>IF(tblWorkPackages[[#This Row],[Completion date serial]]&gt;tblWorkPackages[[#This Row],[Due date serial]],1,0)</f>
        <v>0</v>
      </c>
      <c r="AC1943" s="65">
        <f>MAX(0,tblWorkPackages[[#This Row],[Completion date serial]]-tblWorkPackages[[#This Row],[Due date serial]])</f>
        <v>0</v>
      </c>
      <c r="AD1943" s="65">
        <f>tblWorkPackages[[#This Row],[First labor date]]-tblWorkPackages[[#This Row],[Request date serial]]</f>
        <v>2</v>
      </c>
      <c r="AE1943" s="65">
        <f>tblWorkPackages[[#This Row],[Last labor date]]-tblWorkPackages[[#This Row],[First labor date]]</f>
        <v>2</v>
      </c>
      <c r="AF1943" s="65">
        <f>tblWorkPackages[[#This Row],[Completion date serial]]-tblWorkPackages[[#This Row],[Last labor date]]</f>
        <v>1</v>
      </c>
      <c r="AG1943" s="65">
        <f>tblWorkPackages[[#This Row],[Completion date serial]]-tblWorkPackages[[#This Row],[Request date serial]]</f>
        <v>5</v>
      </c>
      <c r="AH1943" s="65">
        <f>IFERROR(INDEX(tblParts[Delay days],MATCH(tblWorkPackages[[#This Row],[Work package ID]],tblParts[Work package ID],0)),0)</f>
        <v>0</v>
      </c>
      <c r="AI1943" s="51" t="str">
        <f>IFERROR(INDEX(tblDisruptions[Event type],MATCH(tblWorkPackages[[#This Row],[Work package ID]],tblDisruptions[Work package ID],0)),"None")</f>
        <v>None</v>
      </c>
      <c r="AJ1943" s="51" t="str">
        <f>TEXT(tblWorkPackages[[#This Row],[Due date serial]],"yyyy-mm")</f>
        <v>2024-08</v>
      </c>
    </row>
    <row r="1944" spans="1:36" ht="15" x14ac:dyDescent="0.25">
      <c r="A1944" s="53" t="s">
        <v>2855</v>
      </c>
      <c r="B1944" s="53" t="s">
        <v>185</v>
      </c>
      <c r="C1944" s="53" t="s">
        <v>658</v>
      </c>
      <c r="D1944" s="53" t="s">
        <v>177</v>
      </c>
      <c r="E1944" s="53" t="s">
        <v>209</v>
      </c>
      <c r="F1944" s="53" t="s">
        <v>145</v>
      </c>
      <c r="G1944" s="53" t="s">
        <v>210</v>
      </c>
      <c r="H1944" s="53">
        <v>1</v>
      </c>
      <c r="I1944" s="53" t="s">
        <v>130</v>
      </c>
      <c r="J1944" s="53">
        <v>0</v>
      </c>
      <c r="K1944" s="53">
        <v>1</v>
      </c>
      <c r="L1944" s="53">
        <v>13.7</v>
      </c>
      <c r="M1944" s="53" t="s">
        <v>191</v>
      </c>
      <c r="N1944" s="53">
        <v>17.2</v>
      </c>
      <c r="O1944" s="51" t="str">
        <f>TEXT(tblWorkPackages[[#This Row],[Request date serial]]-WEEKDAY(tblWorkPackages[[#This Row],[Request date serial]],3),"yyyy-mm-dd")</f>
        <v>2025-08-04</v>
      </c>
      <c r="P1944" s="51">
        <f>ABS(tblWorkPackages[[#This Row],[Actual labor hours]]-tblWorkPackages[[#This Row],[Estimated labor hours]])</f>
        <v>3.5</v>
      </c>
      <c r="Q1944" s="51">
        <f>IF(tblWorkPackages[[#This Row],[Actual labor hours]]&gt;tblWorkPackages[[#This Row],[Estimated labor hours]],1,0)</f>
        <v>1</v>
      </c>
      <c r="R1944" s="51">
        <f>tblWorkPackages[[#This Row],[Actual labor hours]]-tblWorkPackages[[#This Row],[Estimated labor hours]]</f>
        <v>3.5</v>
      </c>
      <c r="S1944" s="51" t="str">
        <f>IF(tblWorkPackages[[#This Row],[Request date serial]]&lt;ValidationStart,"Train 2024",IF(tblWorkPackages[[#This Row],[Request date serial]]&lt;HoldoutStart,"Validation H1","Holdout H2"))</f>
        <v>Holdout H2</v>
      </c>
      <c r="T1944" s="51">
        <f>IF(tblWorkPackages[[#This Row],[Time split]]="Train 2024","",tblWorkPackages[[#This Row],[Estimated labor hours]]+VLOOKUP(tblWorkPackages[[#This Row],[Task type]],'Forecast validation'!$A$14:$E$25,IF(tblWorkPackages[[#This Row],[Time split]]="Validation H1",4,5),FALSE()))</f>
        <v>15.495652173913</v>
      </c>
      <c r="U1944" s="51">
        <f>IF(tblWorkPackages[[#This Row],[Calibrated forecast hours]]="","",ABS(tblWorkPackages[[#This Row],[Actual labor hours]]-tblWorkPackages[[#This Row],[Calibrated forecast hours]]))</f>
        <v>1.70434782608696</v>
      </c>
      <c r="V1944" s="51">
        <f>IF(tblWorkPackages[[#This Row],[Time split]]="Train 2024",tblWorkPackages[[#This Row],[Estimated labor hours]],tblWorkPackages[[#This Row],[Calibrated forecast hours]])</f>
        <v>15.495652173913</v>
      </c>
      <c r="W1944" s="64">
        <f>DATEVALUE(tblWorkPackages[[#This Row],[Request date]])</f>
        <v>45873.0</v>
      </c>
      <c r="X1944" s="64">
        <f>DATEVALUE(tblWorkPackages[[#This Row],[Due date]])</f>
        <v>45886.0</v>
      </c>
      <c r="Y1944" s="64">
        <f>DATEVALUE(tblWorkPackages[[#This Row],[Completion date]])</f>
        <v>45896.0</v>
      </c>
      <c r="Z1944" s="64">
        <f>_xlfn.MINIFS(tblLaborEntries[Work date serial],tblLaborEntries[Work package ID],tblWorkPackages[[#This Row],[Work package ID]])</f>
        <v>45894.0</v>
      </c>
      <c r="AA1944" s="64">
        <f>_xlfn.MAXIFS(tblLaborEntries[Work date serial],tblLaborEntries[Work package ID],tblWorkPackages[[#This Row],[Work package ID]])</f>
        <v>45894.0</v>
      </c>
      <c r="AB1944" s="65">
        <f>IF(tblWorkPackages[[#This Row],[Completion date serial]]&gt;tblWorkPackages[[#This Row],[Due date serial]],1,0)</f>
        <v>1</v>
      </c>
      <c r="AC1944" s="65">
        <f>MAX(0,tblWorkPackages[[#This Row],[Completion date serial]]-tblWorkPackages[[#This Row],[Due date serial]])</f>
        <v>10</v>
      </c>
      <c r="AD1944" s="65">
        <f>tblWorkPackages[[#This Row],[First labor date]]-tblWorkPackages[[#This Row],[Request date serial]]</f>
        <v>21</v>
      </c>
      <c r="AE1944" s="65">
        <f>tblWorkPackages[[#This Row],[Last labor date]]-tblWorkPackages[[#This Row],[First labor date]]</f>
        <v>0</v>
      </c>
      <c r="AF1944" s="65">
        <f>tblWorkPackages[[#This Row],[Completion date serial]]-tblWorkPackages[[#This Row],[Last labor date]]</f>
        <v>2</v>
      </c>
      <c r="AG1944" s="65">
        <f>tblWorkPackages[[#This Row],[Completion date serial]]-tblWorkPackages[[#This Row],[Request date serial]]</f>
        <v>23</v>
      </c>
      <c r="AH1944" s="65">
        <f>IFERROR(INDEX(tblParts[Delay days],MATCH(tblWorkPackages[[#This Row],[Work package ID]],tblParts[Work package ID],0)),0)</f>
        <v>0</v>
      </c>
      <c r="AI1944" s="51" t="str">
        <f>IFERROR(INDEX(tblDisruptions[Event type],MATCH(tblWorkPackages[[#This Row],[Work package ID]],tblDisruptions[Work package ID],0)),"None")</f>
        <v>None</v>
      </c>
      <c r="AJ1944" s="51" t="str">
        <f>TEXT(tblWorkPackages[[#This Row],[Due date serial]],"yyyy-mm")</f>
        <v>2025-08</v>
      </c>
    </row>
    <row r="1945" spans="1:36" ht="15" x14ac:dyDescent="0.25">
      <c r="A1945" s="53" t="s">
        <v>2856</v>
      </c>
      <c r="B1945" s="53" t="s">
        <v>150</v>
      </c>
      <c r="C1945" s="53" t="s">
        <v>527</v>
      </c>
      <c r="D1945" s="53" t="s">
        <v>1178</v>
      </c>
      <c r="E1945" s="53" t="s">
        <v>181</v>
      </c>
      <c r="F1945" s="53" t="s">
        <v>182</v>
      </c>
      <c r="G1945" s="53" t="s">
        <v>138</v>
      </c>
      <c r="H1945" s="53">
        <v>4</v>
      </c>
      <c r="I1945" s="53" t="s">
        <v>130</v>
      </c>
      <c r="J1945" s="53">
        <v>0</v>
      </c>
      <c r="K1945" s="53">
        <v>0</v>
      </c>
      <c r="L1945" s="53">
        <v>13.2</v>
      </c>
      <c r="M1945" s="53" t="s">
        <v>285</v>
      </c>
      <c r="N1945" s="53">
        <v>12.5</v>
      </c>
      <c r="O1945" s="51" t="str">
        <f>TEXT(tblWorkPackages[[#This Row],[Request date serial]]-WEEKDAY(tblWorkPackages[[#This Row],[Request date serial]],3),"yyyy-mm-dd")</f>
        <v>2025-09-01</v>
      </c>
      <c r="P1945" s="51">
        <f>ABS(tblWorkPackages[[#This Row],[Actual labor hours]]-tblWorkPackages[[#This Row],[Estimated labor hours]])</f>
        <v>0.699999999999999</v>
      </c>
      <c r="Q1945" s="51">
        <f>IF(tblWorkPackages[[#This Row],[Actual labor hours]]&gt;tblWorkPackages[[#This Row],[Estimated labor hours]],1,0)</f>
        <v>0</v>
      </c>
      <c r="R1945" s="51">
        <f>tblWorkPackages[[#This Row],[Actual labor hours]]-tblWorkPackages[[#This Row],[Estimated labor hours]]</f>
        <v>-0.699999999999999</v>
      </c>
      <c r="S1945" s="51" t="str">
        <f>IF(tblWorkPackages[[#This Row],[Request date serial]]&lt;ValidationStart,"Train 2024",IF(tblWorkPackages[[#This Row],[Request date serial]]&lt;HoldoutStart,"Validation H1","Holdout H2"))</f>
        <v>Holdout H2</v>
      </c>
      <c r="T1945" s="51">
        <f>IF(tblWorkPackages[[#This Row],[Time split]]="Train 2024","",tblWorkPackages[[#This Row],[Estimated labor hours]]+VLOOKUP(tblWorkPackages[[#This Row],[Task type]],'Forecast validation'!$A$14:$E$25,IF(tblWorkPackages[[#This Row],[Time split]]="Validation H1",4,5),FALSE()))</f>
        <v>13.7916083916084</v>
      </c>
      <c r="U1945" s="51">
        <f>IF(tblWorkPackages[[#This Row],[Calibrated forecast hours]]="","",ABS(tblWorkPackages[[#This Row],[Actual labor hours]]-tblWorkPackages[[#This Row],[Calibrated forecast hours]]))</f>
        <v>1.29160839160839</v>
      </c>
      <c r="V1945" s="51">
        <f>IF(tblWorkPackages[[#This Row],[Time split]]="Train 2024",tblWorkPackages[[#This Row],[Estimated labor hours]],tblWorkPackages[[#This Row],[Calibrated forecast hours]])</f>
        <v>13.7916083916084</v>
      </c>
      <c r="W1945" s="64">
        <f>DATEVALUE(tblWorkPackages[[#This Row],[Request date]])</f>
        <v>45906.0</v>
      </c>
      <c r="X1945" s="64">
        <f>DATEVALUE(tblWorkPackages[[#This Row],[Due date]])</f>
        <v>45919.0</v>
      </c>
      <c r="Y1945" s="64">
        <f>DATEVALUE(tblWorkPackages[[#This Row],[Completion date]])</f>
        <v>45915.0</v>
      </c>
      <c r="Z1945" s="64">
        <f>_xlfn.MINIFS(tblLaborEntries[Work date serial],tblLaborEntries[Work package ID],tblWorkPackages[[#This Row],[Work package ID]])</f>
        <v>45910.0</v>
      </c>
      <c r="AA1945" s="64">
        <f>_xlfn.MAXIFS(tblLaborEntries[Work date serial],tblLaborEntries[Work package ID],tblWorkPackages[[#This Row],[Work package ID]])</f>
        <v>45912.0</v>
      </c>
      <c r="AB1945" s="65">
        <f>IF(tblWorkPackages[[#This Row],[Completion date serial]]&gt;tblWorkPackages[[#This Row],[Due date serial]],1,0)</f>
        <v>0</v>
      </c>
      <c r="AC1945" s="65">
        <f>MAX(0,tblWorkPackages[[#This Row],[Completion date serial]]-tblWorkPackages[[#This Row],[Due date serial]])</f>
        <v>0</v>
      </c>
      <c r="AD1945" s="65">
        <f>tblWorkPackages[[#This Row],[First labor date]]-tblWorkPackages[[#This Row],[Request date serial]]</f>
        <v>4</v>
      </c>
      <c r="AE1945" s="65">
        <f>tblWorkPackages[[#This Row],[Last labor date]]-tblWorkPackages[[#This Row],[First labor date]]</f>
        <v>2</v>
      </c>
      <c r="AF1945" s="65">
        <f>tblWorkPackages[[#This Row],[Completion date serial]]-tblWorkPackages[[#This Row],[Last labor date]]</f>
        <v>3</v>
      </c>
      <c r="AG1945" s="65">
        <f>tblWorkPackages[[#This Row],[Completion date serial]]-tblWorkPackages[[#This Row],[Request date serial]]</f>
        <v>9</v>
      </c>
      <c r="AH1945" s="65">
        <f>IFERROR(INDEX(tblParts[Delay days],MATCH(tblWorkPackages[[#This Row],[Work package ID]],tblParts[Work package ID],0)),0)</f>
        <v>0</v>
      </c>
      <c r="AI1945" s="51" t="str">
        <f>IFERROR(INDEX(tblDisruptions[Event type],MATCH(tblWorkPackages[[#This Row],[Work package ID]],tblDisruptions[Work package ID],0)),"None")</f>
        <v>None</v>
      </c>
      <c r="AJ1945" s="51" t="str">
        <f>TEXT(tblWorkPackages[[#This Row],[Due date serial]],"yyyy-mm")</f>
        <v>2025-09</v>
      </c>
    </row>
    <row r="1946" spans="1:36" ht="15" x14ac:dyDescent="0.25">
      <c r="A1946" s="53" t="s">
        <v>2857</v>
      </c>
      <c r="B1946" s="53" t="s">
        <v>173</v>
      </c>
      <c r="C1946" s="53" t="s">
        <v>757</v>
      </c>
      <c r="D1946" s="53" t="s">
        <v>947</v>
      </c>
      <c r="E1946" s="53" t="s">
        <v>237</v>
      </c>
      <c r="F1946" s="53" t="s">
        <v>182</v>
      </c>
      <c r="G1946" s="53" t="s">
        <v>138</v>
      </c>
      <c r="H1946" s="53">
        <v>2</v>
      </c>
      <c r="I1946" s="53" t="s">
        <v>130</v>
      </c>
      <c r="J1946" s="53">
        <v>0</v>
      </c>
      <c r="K1946" s="53">
        <v>0</v>
      </c>
      <c r="L1946" s="53">
        <v>4.5</v>
      </c>
      <c r="M1946" s="53" t="s">
        <v>770</v>
      </c>
      <c r="N1946" s="53">
        <v>3.9</v>
      </c>
      <c r="O1946" s="51" t="str">
        <f>TEXT(tblWorkPackages[[#This Row],[Request date serial]]-WEEKDAY(tblWorkPackages[[#This Row],[Request date serial]],3),"yyyy-mm-dd")</f>
        <v>2024-09-16</v>
      </c>
      <c r="P1946" s="51">
        <f>ABS(tblWorkPackages[[#This Row],[Actual labor hours]]-tblWorkPackages[[#This Row],[Estimated labor hours]])</f>
        <v>0.6</v>
      </c>
      <c r="Q1946" s="51">
        <f>IF(tblWorkPackages[[#This Row],[Actual labor hours]]&gt;tblWorkPackages[[#This Row],[Estimated labor hours]],1,0)</f>
        <v>0</v>
      </c>
      <c r="R1946" s="51">
        <f>tblWorkPackages[[#This Row],[Actual labor hours]]-tblWorkPackages[[#This Row],[Estimated labor hours]]</f>
        <v>-0.6</v>
      </c>
      <c r="S1946" s="51" t="str">
        <f>IF(tblWorkPackages[[#This Row],[Request date serial]]&lt;ValidationStart,"Train 2024",IF(tblWorkPackages[[#This Row],[Request date serial]]&lt;HoldoutStart,"Validation H1","Holdout H2"))</f>
        <v>Train 2024</v>
      </c>
      <c r="T1946" s="51" t="str">
        <f>IF(tblWorkPackages[[#This Row],[Time split]]="Train 2024","",tblWorkPackages[[#This Row],[Estimated labor hours]]+VLOOKUP(tblWorkPackages[[#This Row],[Task type]],'Forecast validation'!$A$14:$E$25,IF(tblWorkPackages[[#This Row],[Time split]]="Validation H1",4,5),FALSE()))</f>
        <v/>
      </c>
      <c r="U1946" s="51" t="str">
        <f>IF(tblWorkPackages[[#This Row],[Calibrated forecast hours]]="","",ABS(tblWorkPackages[[#This Row],[Actual labor hours]]-tblWorkPackages[[#This Row],[Calibrated forecast hours]]))</f>
        <v/>
      </c>
      <c r="V1946" s="51">
        <f>IF(tblWorkPackages[[#This Row],[Time split]]="Train 2024",tblWorkPackages[[#This Row],[Estimated labor hours]],tblWorkPackages[[#This Row],[Calibrated forecast hours]])</f>
        <v>4.5</v>
      </c>
      <c r="W1946" s="64">
        <f>DATEVALUE(tblWorkPackages[[#This Row],[Request date]])</f>
        <v>45557.0</v>
      </c>
      <c r="X1946" s="64">
        <f>DATEVALUE(tblWorkPackages[[#This Row],[Due date]])</f>
        <v>45570.0</v>
      </c>
      <c r="Y1946" s="64">
        <f>DATEVALUE(tblWorkPackages[[#This Row],[Completion date]])</f>
        <v>45558.0</v>
      </c>
      <c r="Z1946" s="64">
        <f>_xlfn.MINIFS(tblLaborEntries[Work date serial],tblLaborEntries[Work package ID],tblWorkPackages[[#This Row],[Work package ID]])</f>
        <v>45558.0</v>
      </c>
      <c r="AA1946" s="64">
        <f>_xlfn.MAXIFS(tblLaborEntries[Work date serial],tblLaborEntries[Work package ID],tblWorkPackages[[#This Row],[Work package ID]])</f>
        <v>45558.0</v>
      </c>
      <c r="AB1946" s="65">
        <f>IF(tblWorkPackages[[#This Row],[Completion date serial]]&gt;tblWorkPackages[[#This Row],[Due date serial]],1,0)</f>
        <v>0</v>
      </c>
      <c r="AC1946" s="65">
        <f>MAX(0,tblWorkPackages[[#This Row],[Completion date serial]]-tblWorkPackages[[#This Row],[Due date serial]])</f>
        <v>0</v>
      </c>
      <c r="AD1946" s="65">
        <f>tblWorkPackages[[#This Row],[First labor date]]-tblWorkPackages[[#This Row],[Request date serial]]</f>
        <v>1</v>
      </c>
      <c r="AE1946" s="65">
        <f>tblWorkPackages[[#This Row],[Last labor date]]-tblWorkPackages[[#This Row],[First labor date]]</f>
        <v>0</v>
      </c>
      <c r="AF1946" s="65">
        <f>tblWorkPackages[[#This Row],[Completion date serial]]-tblWorkPackages[[#This Row],[Last labor date]]</f>
        <v>0</v>
      </c>
      <c r="AG1946" s="65">
        <f>tblWorkPackages[[#This Row],[Completion date serial]]-tblWorkPackages[[#This Row],[Request date serial]]</f>
        <v>1</v>
      </c>
      <c r="AH1946" s="65">
        <f>IFERROR(INDEX(tblParts[Delay days],MATCH(tblWorkPackages[[#This Row],[Work package ID]],tblParts[Work package ID],0)),0)</f>
        <v>0</v>
      </c>
      <c r="AI1946" s="51" t="str">
        <f>IFERROR(INDEX(tblDisruptions[Event type],MATCH(tblWorkPackages[[#This Row],[Work package ID]],tblDisruptions[Work package ID],0)),"None")</f>
        <v>None</v>
      </c>
      <c r="AJ1946" s="51" t="str">
        <f>TEXT(tblWorkPackages[[#This Row],[Due date serial]],"yyyy-mm")</f>
        <v>2024-10</v>
      </c>
    </row>
    <row r="1947" spans="1:36" ht="15" x14ac:dyDescent="0.25">
      <c r="A1947" s="53" t="s">
        <v>2858</v>
      </c>
      <c r="B1947" s="53" t="s">
        <v>157</v>
      </c>
      <c r="C1947" s="53" t="s">
        <v>264</v>
      </c>
      <c r="D1947" s="53" t="s">
        <v>787</v>
      </c>
      <c r="E1947" s="53" t="s">
        <v>144</v>
      </c>
      <c r="F1947" s="53" t="s">
        <v>145</v>
      </c>
      <c r="G1947" s="53" t="s">
        <v>146</v>
      </c>
      <c r="H1947" s="53">
        <v>3</v>
      </c>
      <c r="I1947" s="53" t="s">
        <v>130</v>
      </c>
      <c r="J1947" s="53">
        <v>0</v>
      </c>
      <c r="K1947" s="53">
        <v>0</v>
      </c>
      <c r="L1947" s="53">
        <v>12.4</v>
      </c>
      <c r="M1947" s="53" t="s">
        <v>294</v>
      </c>
      <c r="N1947" s="53">
        <v>12.6</v>
      </c>
      <c r="O1947" s="51" t="str">
        <f>TEXT(tblWorkPackages[[#This Row],[Request date serial]]-WEEKDAY(tblWorkPackages[[#This Row],[Request date serial]],3),"yyyy-mm-dd")</f>
        <v>2024-08-19</v>
      </c>
      <c r="P1947" s="51">
        <f>ABS(tblWorkPackages[[#This Row],[Actual labor hours]]-tblWorkPackages[[#This Row],[Estimated labor hours]])</f>
        <v>0.199999999999999</v>
      </c>
      <c r="Q1947" s="51">
        <f>IF(tblWorkPackages[[#This Row],[Actual labor hours]]&gt;tblWorkPackages[[#This Row],[Estimated labor hours]],1,0)</f>
        <v>1</v>
      </c>
      <c r="R1947" s="51">
        <f>tblWorkPackages[[#This Row],[Actual labor hours]]-tblWorkPackages[[#This Row],[Estimated labor hours]]</f>
        <v>0.199999999999999</v>
      </c>
      <c r="S1947" s="51" t="str">
        <f>IF(tblWorkPackages[[#This Row],[Request date serial]]&lt;ValidationStart,"Train 2024",IF(tblWorkPackages[[#This Row],[Request date serial]]&lt;HoldoutStart,"Validation H1","Holdout H2"))</f>
        <v>Train 2024</v>
      </c>
      <c r="T1947" s="51" t="str">
        <f>IF(tblWorkPackages[[#This Row],[Time split]]="Train 2024","",tblWorkPackages[[#This Row],[Estimated labor hours]]+VLOOKUP(tblWorkPackages[[#This Row],[Task type]],'Forecast validation'!$A$14:$E$25,IF(tblWorkPackages[[#This Row],[Time split]]="Validation H1",4,5),FALSE()))</f>
        <v/>
      </c>
      <c r="U1947" s="51" t="str">
        <f>IF(tblWorkPackages[[#This Row],[Calibrated forecast hours]]="","",ABS(tblWorkPackages[[#This Row],[Actual labor hours]]-tblWorkPackages[[#This Row],[Calibrated forecast hours]]))</f>
        <v/>
      </c>
      <c r="V1947" s="51">
        <f>IF(tblWorkPackages[[#This Row],[Time split]]="Train 2024",tblWorkPackages[[#This Row],[Estimated labor hours]],tblWorkPackages[[#This Row],[Calibrated forecast hours]])</f>
        <v>12.4</v>
      </c>
      <c r="W1947" s="64">
        <f>DATEVALUE(tblWorkPackages[[#This Row],[Request date]])</f>
        <v>45528.0</v>
      </c>
      <c r="X1947" s="64">
        <f>DATEVALUE(tblWorkPackages[[#This Row],[Due date]])</f>
        <v>45541.0</v>
      </c>
      <c r="Y1947" s="64">
        <f>DATEVALUE(tblWorkPackages[[#This Row],[Completion date]])</f>
        <v>45543.0</v>
      </c>
      <c r="Z1947" s="64">
        <f>_xlfn.MINIFS(tblLaborEntries[Work date serial],tblLaborEntries[Work package ID],tblWorkPackages[[#This Row],[Work package ID]])</f>
        <v>45540.0</v>
      </c>
      <c r="AA1947" s="64">
        <f>_xlfn.MAXIFS(tblLaborEntries[Work date serial],tblLaborEntries[Work package ID],tblWorkPackages[[#This Row],[Work package ID]])</f>
        <v>45542.0</v>
      </c>
      <c r="AB1947" s="65">
        <f>IF(tblWorkPackages[[#This Row],[Completion date serial]]&gt;tblWorkPackages[[#This Row],[Due date serial]],1,0)</f>
        <v>1</v>
      </c>
      <c r="AC1947" s="65">
        <f>MAX(0,tblWorkPackages[[#This Row],[Completion date serial]]-tblWorkPackages[[#This Row],[Due date serial]])</f>
        <v>2</v>
      </c>
      <c r="AD1947" s="65">
        <f>tblWorkPackages[[#This Row],[First labor date]]-tblWorkPackages[[#This Row],[Request date serial]]</f>
        <v>12</v>
      </c>
      <c r="AE1947" s="65">
        <f>tblWorkPackages[[#This Row],[Last labor date]]-tblWorkPackages[[#This Row],[First labor date]]</f>
        <v>2</v>
      </c>
      <c r="AF1947" s="65">
        <f>tblWorkPackages[[#This Row],[Completion date serial]]-tblWorkPackages[[#This Row],[Last labor date]]</f>
        <v>1</v>
      </c>
      <c r="AG1947" s="65">
        <f>tblWorkPackages[[#This Row],[Completion date serial]]-tblWorkPackages[[#This Row],[Request date serial]]</f>
        <v>15</v>
      </c>
      <c r="AH1947" s="65">
        <f>IFERROR(INDEX(tblParts[Delay days],MATCH(tblWorkPackages[[#This Row],[Work package ID]],tblParts[Work package ID],0)),0)</f>
        <v>0</v>
      </c>
      <c r="AI1947" s="51" t="str">
        <f>IFERROR(INDEX(tblDisruptions[Event type],MATCH(tblWorkPackages[[#This Row],[Work package ID]],tblDisruptions[Work package ID],0)),"None")</f>
        <v>None</v>
      </c>
      <c r="AJ1947" s="51" t="str">
        <f>TEXT(tblWorkPackages[[#This Row],[Due date serial]],"yyyy-mm")</f>
        <v>2024-09</v>
      </c>
    </row>
    <row r="1948" spans="1:36" ht="15" x14ac:dyDescent="0.25">
      <c r="A1948" s="53" t="s">
        <v>2859</v>
      </c>
      <c r="B1948" s="53" t="s">
        <v>141</v>
      </c>
      <c r="C1948" s="53" t="s">
        <v>463</v>
      </c>
      <c r="D1948" s="53" t="s">
        <v>943</v>
      </c>
      <c r="E1948" s="53" t="s">
        <v>223</v>
      </c>
      <c r="F1948" s="53" t="s">
        <v>182</v>
      </c>
      <c r="G1948" s="53" t="s">
        <v>154</v>
      </c>
      <c r="H1948" s="53">
        <v>4</v>
      </c>
      <c r="I1948" s="53" t="s">
        <v>130</v>
      </c>
      <c r="J1948" s="53">
        <v>0</v>
      </c>
      <c r="K1948" s="53">
        <v>0</v>
      </c>
      <c r="L1948" s="53">
        <v>19.8</v>
      </c>
      <c r="M1948" s="53" t="s">
        <v>1272</v>
      </c>
      <c r="N1948" s="53">
        <v>24</v>
      </c>
      <c r="O1948" s="51" t="str">
        <f>TEXT(tblWorkPackages[[#This Row],[Request date serial]]-WEEKDAY(tblWorkPackages[[#This Row],[Request date serial]],3),"yyyy-mm-dd")</f>
        <v>2025-09-29</v>
      </c>
      <c r="P1948" s="51">
        <f>ABS(tblWorkPackages[[#This Row],[Actual labor hours]]-tblWorkPackages[[#This Row],[Estimated labor hours]])</f>
        <v>4.2</v>
      </c>
      <c r="Q1948" s="51">
        <f>IF(tblWorkPackages[[#This Row],[Actual labor hours]]&gt;tblWorkPackages[[#This Row],[Estimated labor hours]],1,0)</f>
        <v>1</v>
      </c>
      <c r="R1948" s="51">
        <f>tblWorkPackages[[#This Row],[Actual labor hours]]-tblWorkPackages[[#This Row],[Estimated labor hours]]</f>
        <v>4.2</v>
      </c>
      <c r="S1948" s="51" t="str">
        <f>IF(tblWorkPackages[[#This Row],[Request date serial]]&lt;ValidationStart,"Train 2024",IF(tblWorkPackages[[#This Row],[Request date serial]]&lt;HoldoutStart,"Validation H1","Holdout H2"))</f>
        <v>Holdout H2</v>
      </c>
      <c r="T1948" s="51">
        <f>IF(tblWorkPackages[[#This Row],[Time split]]="Train 2024","",tblWorkPackages[[#This Row],[Estimated labor hours]]+VLOOKUP(tblWorkPackages[[#This Row],[Task type]],'Forecast validation'!$A$14:$E$25,IF(tblWorkPackages[[#This Row],[Time split]]="Validation H1",4,5),FALSE()))</f>
        <v>20.7246575342466</v>
      </c>
      <c r="U1948" s="51">
        <f>IF(tblWorkPackages[[#This Row],[Calibrated forecast hours]]="","",ABS(tblWorkPackages[[#This Row],[Actual labor hours]]-tblWorkPackages[[#This Row],[Calibrated forecast hours]]))</f>
        <v>3.27534246575343</v>
      </c>
      <c r="V1948" s="51">
        <f>IF(tblWorkPackages[[#This Row],[Time split]]="Train 2024",tblWorkPackages[[#This Row],[Estimated labor hours]],tblWorkPackages[[#This Row],[Calibrated forecast hours]])</f>
        <v>20.7246575342466</v>
      </c>
      <c r="W1948" s="64">
        <f>DATEVALUE(tblWorkPackages[[#This Row],[Request date]])</f>
        <v>45931.0</v>
      </c>
      <c r="X1948" s="64">
        <f>DATEVALUE(tblWorkPackages[[#This Row],[Due date]])</f>
        <v>45944.0</v>
      </c>
      <c r="Y1948" s="64">
        <f>DATEVALUE(tblWorkPackages[[#This Row],[Completion date]])</f>
        <v>45936.0</v>
      </c>
      <c r="Z1948" s="64">
        <f>_xlfn.MINIFS(tblLaborEntries[Work date serial],tblLaborEntries[Work package ID],tblWorkPackages[[#This Row],[Work package ID]])</f>
        <v>45934.0</v>
      </c>
      <c r="AA1948" s="64">
        <f>_xlfn.MAXIFS(tblLaborEntries[Work date serial],tblLaborEntries[Work package ID],tblWorkPackages[[#This Row],[Work package ID]])</f>
        <v>45934.0</v>
      </c>
      <c r="AB1948" s="65">
        <f>IF(tblWorkPackages[[#This Row],[Completion date serial]]&gt;tblWorkPackages[[#This Row],[Due date serial]],1,0)</f>
        <v>0</v>
      </c>
      <c r="AC1948" s="65">
        <f>MAX(0,tblWorkPackages[[#This Row],[Completion date serial]]-tblWorkPackages[[#This Row],[Due date serial]])</f>
        <v>0</v>
      </c>
      <c r="AD1948" s="65">
        <f>tblWorkPackages[[#This Row],[First labor date]]-tblWorkPackages[[#This Row],[Request date serial]]</f>
        <v>3</v>
      </c>
      <c r="AE1948" s="65">
        <f>tblWorkPackages[[#This Row],[Last labor date]]-tblWorkPackages[[#This Row],[First labor date]]</f>
        <v>0</v>
      </c>
      <c r="AF1948" s="65">
        <f>tblWorkPackages[[#This Row],[Completion date serial]]-tblWorkPackages[[#This Row],[Last labor date]]</f>
        <v>2</v>
      </c>
      <c r="AG1948" s="65">
        <f>tblWorkPackages[[#This Row],[Completion date serial]]-tblWorkPackages[[#This Row],[Request date serial]]</f>
        <v>5</v>
      </c>
      <c r="AH1948" s="65">
        <f>IFERROR(INDEX(tblParts[Delay days],MATCH(tblWorkPackages[[#This Row],[Work package ID]],tblParts[Work package ID],0)),0)</f>
        <v>0</v>
      </c>
      <c r="AI1948" s="51" t="str">
        <f>IFERROR(INDEX(tblDisruptions[Event type],MATCH(tblWorkPackages[[#This Row],[Work package ID]],tblDisruptions[Work package ID],0)),"None")</f>
        <v>None</v>
      </c>
      <c r="AJ1948" s="51" t="str">
        <f>TEXT(tblWorkPackages[[#This Row],[Due date serial]],"yyyy-mm")</f>
        <v>2025-10</v>
      </c>
    </row>
    <row r="1949" spans="1:36" ht="15" x14ac:dyDescent="0.25">
      <c r="A1949" s="53" t="s">
        <v>2860</v>
      </c>
      <c r="B1949" s="53" t="s">
        <v>150</v>
      </c>
      <c r="C1949" s="53" t="s">
        <v>916</v>
      </c>
      <c r="D1949" s="53" t="s">
        <v>364</v>
      </c>
      <c r="E1949" s="53" t="s">
        <v>200</v>
      </c>
      <c r="F1949" s="53" t="s">
        <v>128</v>
      </c>
      <c r="G1949" s="53" t="s">
        <v>129</v>
      </c>
      <c r="H1949" s="53">
        <v>3</v>
      </c>
      <c r="I1949" s="53" t="s">
        <v>130</v>
      </c>
      <c r="J1949" s="53">
        <v>0</v>
      </c>
      <c r="K1949" s="53">
        <v>1</v>
      </c>
      <c r="L1949" s="53">
        <v>4.9000000000000004</v>
      </c>
      <c r="M1949" s="53" t="s">
        <v>741</v>
      </c>
      <c r="N1949" s="53">
        <v>4.7</v>
      </c>
      <c r="O1949" s="51" t="str">
        <f>TEXT(tblWorkPackages[[#This Row],[Request date serial]]-WEEKDAY(tblWorkPackages[[#This Row],[Request date serial]],3),"yyyy-mm-dd")</f>
        <v>2025-04-28</v>
      </c>
      <c r="P1949" s="51">
        <f>ABS(tblWorkPackages[[#This Row],[Actual labor hours]]-tblWorkPackages[[#This Row],[Estimated labor hours]])</f>
        <v>0.2</v>
      </c>
      <c r="Q1949" s="51">
        <f>IF(tblWorkPackages[[#This Row],[Actual labor hours]]&gt;tblWorkPackages[[#This Row],[Estimated labor hours]],1,0)</f>
        <v>0</v>
      </c>
      <c r="R1949" s="51">
        <f>tblWorkPackages[[#This Row],[Actual labor hours]]-tblWorkPackages[[#This Row],[Estimated labor hours]]</f>
        <v>-0.2</v>
      </c>
      <c r="S1949" s="51" t="str">
        <f>IF(tblWorkPackages[[#This Row],[Request date serial]]&lt;ValidationStart,"Train 2024",IF(tblWorkPackages[[#This Row],[Request date serial]]&lt;HoldoutStart,"Validation H1","Holdout H2"))</f>
        <v>Validation H1</v>
      </c>
      <c r="T1949" s="51">
        <f>IF(tblWorkPackages[[#This Row],[Time split]]="Train 2024","",tblWorkPackages[[#This Row],[Estimated labor hours]]+VLOOKUP(tblWorkPackages[[#This Row],[Task type]],'Forecast validation'!$A$14:$E$25,IF(tblWorkPackages[[#This Row],[Time split]]="Validation H1",4,5),FALSE()))</f>
        <v>5.23069306930693</v>
      </c>
      <c r="U1949" s="51">
        <f>IF(tblWorkPackages[[#This Row],[Calibrated forecast hours]]="","",ABS(tblWorkPackages[[#This Row],[Actual labor hours]]-tblWorkPackages[[#This Row],[Calibrated forecast hours]]))</f>
        <v>0.530693069306931</v>
      </c>
      <c r="V1949" s="51">
        <f>IF(tblWorkPackages[[#This Row],[Time split]]="Train 2024",tblWorkPackages[[#This Row],[Estimated labor hours]],tblWorkPackages[[#This Row],[Calibrated forecast hours]])</f>
        <v>5.23069306930693</v>
      </c>
      <c r="W1949" s="64">
        <f>DATEVALUE(tblWorkPackages[[#This Row],[Request date]])</f>
        <v>45777.0</v>
      </c>
      <c r="X1949" s="64">
        <f>DATEVALUE(tblWorkPackages[[#This Row],[Due date]])</f>
        <v>45790.0</v>
      </c>
      <c r="Y1949" s="64">
        <f>DATEVALUE(tblWorkPackages[[#This Row],[Completion date]])</f>
        <v>45814.0</v>
      </c>
      <c r="Z1949" s="64">
        <f>_xlfn.MINIFS(tblLaborEntries[Work date serial],tblLaborEntries[Work package ID],tblWorkPackages[[#This Row],[Work package ID]])</f>
        <v>45811.0</v>
      </c>
      <c r="AA1949" s="64">
        <f>_xlfn.MAXIFS(tblLaborEntries[Work date serial],tblLaborEntries[Work package ID],tblWorkPackages[[#This Row],[Work package ID]])</f>
        <v>45811.0</v>
      </c>
      <c r="AB1949" s="65">
        <f>IF(tblWorkPackages[[#This Row],[Completion date serial]]&gt;tblWorkPackages[[#This Row],[Due date serial]],1,0)</f>
        <v>1</v>
      </c>
      <c r="AC1949" s="65">
        <f>MAX(0,tblWorkPackages[[#This Row],[Completion date serial]]-tblWorkPackages[[#This Row],[Due date serial]])</f>
        <v>24</v>
      </c>
      <c r="AD1949" s="65">
        <f>tblWorkPackages[[#This Row],[First labor date]]-tblWorkPackages[[#This Row],[Request date serial]]</f>
        <v>34</v>
      </c>
      <c r="AE1949" s="65">
        <f>tblWorkPackages[[#This Row],[Last labor date]]-tblWorkPackages[[#This Row],[First labor date]]</f>
        <v>0</v>
      </c>
      <c r="AF1949" s="65">
        <f>tblWorkPackages[[#This Row],[Completion date serial]]-tblWorkPackages[[#This Row],[Last labor date]]</f>
        <v>3</v>
      </c>
      <c r="AG1949" s="65">
        <f>tblWorkPackages[[#This Row],[Completion date serial]]-tblWorkPackages[[#This Row],[Request date serial]]</f>
        <v>37</v>
      </c>
      <c r="AH1949" s="65">
        <f>IFERROR(INDEX(tblParts[Delay days],MATCH(tblWorkPackages[[#This Row],[Work package ID]],tblParts[Work package ID],0)),0)</f>
        <v>0</v>
      </c>
      <c r="AI1949" s="51" t="str">
        <f>IFERROR(INDEX(tblDisruptions[Event type],MATCH(tblWorkPackages[[#This Row],[Work package ID]],tblDisruptions[Work package ID],0)),"None")</f>
        <v>None</v>
      </c>
      <c r="AJ1949" s="51" t="str">
        <f>TEXT(tblWorkPackages[[#This Row],[Due date serial]],"yyyy-mm")</f>
        <v>2025-05</v>
      </c>
    </row>
    <row r="1950" spans="1:36" ht="15" x14ac:dyDescent="0.25">
      <c r="A1950" s="53" t="s">
        <v>2861</v>
      </c>
      <c r="B1950" s="53" t="s">
        <v>168</v>
      </c>
      <c r="C1950" s="53" t="s">
        <v>867</v>
      </c>
      <c r="D1950" s="53" t="s">
        <v>1023</v>
      </c>
      <c r="E1950" s="53" t="s">
        <v>144</v>
      </c>
      <c r="F1950" s="53" t="s">
        <v>145</v>
      </c>
      <c r="G1950" s="53" t="s">
        <v>146</v>
      </c>
      <c r="H1950" s="53">
        <v>2</v>
      </c>
      <c r="I1950" s="53" t="s">
        <v>130</v>
      </c>
      <c r="J1950" s="53">
        <v>0</v>
      </c>
      <c r="K1950" s="53">
        <v>1</v>
      </c>
      <c r="L1950" s="53">
        <v>11.3</v>
      </c>
      <c r="M1950" s="53" t="s">
        <v>576</v>
      </c>
      <c r="N1950" s="53">
        <v>10</v>
      </c>
      <c r="O1950" s="51" t="str">
        <f>TEXT(tblWorkPackages[[#This Row],[Request date serial]]-WEEKDAY(tblWorkPackages[[#This Row],[Request date serial]],3),"yyyy-mm-dd")</f>
        <v>2024-06-17</v>
      </c>
      <c r="P1950" s="51">
        <f>ABS(tblWorkPackages[[#This Row],[Actual labor hours]]-tblWorkPackages[[#This Row],[Estimated labor hours]])</f>
        <v>1.3</v>
      </c>
      <c r="Q1950" s="51">
        <f>IF(tblWorkPackages[[#This Row],[Actual labor hours]]&gt;tblWorkPackages[[#This Row],[Estimated labor hours]],1,0)</f>
        <v>0</v>
      </c>
      <c r="R1950" s="51">
        <f>tblWorkPackages[[#This Row],[Actual labor hours]]-tblWorkPackages[[#This Row],[Estimated labor hours]]</f>
        <v>-1.3</v>
      </c>
      <c r="S1950" s="51" t="str">
        <f>IF(tblWorkPackages[[#This Row],[Request date serial]]&lt;ValidationStart,"Train 2024",IF(tblWorkPackages[[#This Row],[Request date serial]]&lt;HoldoutStart,"Validation H1","Holdout H2"))</f>
        <v>Train 2024</v>
      </c>
      <c r="T1950" s="51" t="str">
        <f>IF(tblWorkPackages[[#This Row],[Time split]]="Train 2024","",tblWorkPackages[[#This Row],[Estimated labor hours]]+VLOOKUP(tblWorkPackages[[#This Row],[Task type]],'Forecast validation'!$A$14:$E$25,IF(tblWorkPackages[[#This Row],[Time split]]="Validation H1",4,5),FALSE()))</f>
        <v/>
      </c>
      <c r="U1950" s="51" t="str">
        <f>IF(tblWorkPackages[[#This Row],[Calibrated forecast hours]]="","",ABS(tblWorkPackages[[#This Row],[Actual labor hours]]-tblWorkPackages[[#This Row],[Calibrated forecast hours]]))</f>
        <v/>
      </c>
      <c r="V1950" s="51">
        <f>IF(tblWorkPackages[[#This Row],[Time split]]="Train 2024",tblWorkPackages[[#This Row],[Estimated labor hours]],tblWorkPackages[[#This Row],[Calibrated forecast hours]])</f>
        <v>11.3</v>
      </c>
      <c r="W1950" s="64">
        <f>DATEVALUE(tblWorkPackages[[#This Row],[Request date]])</f>
        <v>45465.0</v>
      </c>
      <c r="X1950" s="64">
        <f>DATEVALUE(tblWorkPackages[[#This Row],[Due date]])</f>
        <v>45478.0</v>
      </c>
      <c r="Y1950" s="64">
        <f>DATEVALUE(tblWorkPackages[[#This Row],[Completion date]])</f>
        <v>45471.0</v>
      </c>
      <c r="Z1950" s="64">
        <f>_xlfn.MINIFS(tblLaborEntries[Work date serial],tblLaborEntries[Work package ID],tblWorkPackages[[#This Row],[Work package ID]])</f>
        <v>45471.0</v>
      </c>
      <c r="AA1950" s="64">
        <f>_xlfn.MAXIFS(tblLaborEntries[Work date serial],tblLaborEntries[Work package ID],tblWorkPackages[[#This Row],[Work package ID]])</f>
        <v>45471.0</v>
      </c>
      <c r="AB1950" s="65">
        <f>IF(tblWorkPackages[[#This Row],[Completion date serial]]&gt;tblWorkPackages[[#This Row],[Due date serial]],1,0)</f>
        <v>0</v>
      </c>
      <c r="AC1950" s="65">
        <f>MAX(0,tblWorkPackages[[#This Row],[Completion date serial]]-tblWorkPackages[[#This Row],[Due date serial]])</f>
        <v>0</v>
      </c>
      <c r="AD1950" s="65">
        <f>tblWorkPackages[[#This Row],[First labor date]]-tblWorkPackages[[#This Row],[Request date serial]]</f>
        <v>6</v>
      </c>
      <c r="AE1950" s="65">
        <f>tblWorkPackages[[#This Row],[Last labor date]]-tblWorkPackages[[#This Row],[First labor date]]</f>
        <v>0</v>
      </c>
      <c r="AF1950" s="65">
        <f>tblWorkPackages[[#This Row],[Completion date serial]]-tblWorkPackages[[#This Row],[Last labor date]]</f>
        <v>0</v>
      </c>
      <c r="AG1950" s="65">
        <f>tblWorkPackages[[#This Row],[Completion date serial]]-tblWorkPackages[[#This Row],[Request date serial]]</f>
        <v>6</v>
      </c>
      <c r="AH1950" s="65">
        <f>IFERROR(INDEX(tblParts[Delay days],MATCH(tblWorkPackages[[#This Row],[Work package ID]],tblParts[Work package ID],0)),0)</f>
        <v>0</v>
      </c>
      <c r="AI1950" s="51" t="str">
        <f>IFERROR(INDEX(tblDisruptions[Event type],MATCH(tblWorkPackages[[#This Row],[Work package ID]],tblDisruptions[Work package ID],0)),"None")</f>
        <v>None</v>
      </c>
      <c r="AJ1950" s="51" t="str">
        <f>TEXT(tblWorkPackages[[#This Row],[Due date serial]],"yyyy-mm")</f>
        <v>2024-07</v>
      </c>
    </row>
    <row r="1951" spans="1:36" ht="15" x14ac:dyDescent="0.25">
      <c r="A1951" s="53" t="s">
        <v>2862</v>
      </c>
      <c r="B1951" s="53" t="s">
        <v>168</v>
      </c>
      <c r="C1951" s="53" t="s">
        <v>247</v>
      </c>
      <c r="D1951" s="53" t="s">
        <v>315</v>
      </c>
      <c r="E1951" s="53" t="s">
        <v>144</v>
      </c>
      <c r="F1951" s="53" t="s">
        <v>145</v>
      </c>
      <c r="G1951" s="53" t="s">
        <v>146</v>
      </c>
      <c r="H1951" s="53">
        <v>3</v>
      </c>
      <c r="I1951" s="53" t="s">
        <v>130</v>
      </c>
      <c r="J1951" s="53">
        <v>1</v>
      </c>
      <c r="K1951" s="53">
        <v>1</v>
      </c>
      <c r="L1951" s="53">
        <v>16.100000000000001</v>
      </c>
      <c r="M1951" s="53" t="s">
        <v>774</v>
      </c>
      <c r="N1951" s="53">
        <v>15.4</v>
      </c>
      <c r="O1951" s="51" t="str">
        <f>TEXT(tblWorkPackages[[#This Row],[Request date serial]]-WEEKDAY(tblWorkPackages[[#This Row],[Request date serial]],3),"yyyy-mm-dd")</f>
        <v>2024-03-25</v>
      </c>
      <c r="P1951" s="51">
        <f>ABS(tblWorkPackages[[#This Row],[Actual labor hours]]-tblWorkPackages[[#This Row],[Estimated labor hours]])</f>
        <v>0.700000000000001</v>
      </c>
      <c r="Q1951" s="51">
        <f>IF(tblWorkPackages[[#This Row],[Actual labor hours]]&gt;tblWorkPackages[[#This Row],[Estimated labor hours]],1,0)</f>
        <v>0</v>
      </c>
      <c r="R1951" s="51">
        <f>tblWorkPackages[[#This Row],[Actual labor hours]]-tblWorkPackages[[#This Row],[Estimated labor hours]]</f>
        <v>-0.700000000000001</v>
      </c>
      <c r="S1951" s="51" t="str">
        <f>IF(tblWorkPackages[[#This Row],[Request date serial]]&lt;ValidationStart,"Train 2024",IF(tblWorkPackages[[#This Row],[Request date serial]]&lt;HoldoutStart,"Validation H1","Holdout H2"))</f>
        <v>Train 2024</v>
      </c>
      <c r="T1951" s="51" t="str">
        <f>IF(tblWorkPackages[[#This Row],[Time split]]="Train 2024","",tblWorkPackages[[#This Row],[Estimated labor hours]]+VLOOKUP(tblWorkPackages[[#This Row],[Task type]],'Forecast validation'!$A$14:$E$25,IF(tblWorkPackages[[#This Row],[Time split]]="Validation H1",4,5),FALSE()))</f>
        <v/>
      </c>
      <c r="U1951" s="51" t="str">
        <f>IF(tblWorkPackages[[#This Row],[Calibrated forecast hours]]="","",ABS(tblWorkPackages[[#This Row],[Actual labor hours]]-tblWorkPackages[[#This Row],[Calibrated forecast hours]]))</f>
        <v/>
      </c>
      <c r="V1951" s="51">
        <f>IF(tblWorkPackages[[#This Row],[Time split]]="Train 2024",tblWorkPackages[[#This Row],[Estimated labor hours]],tblWorkPackages[[#This Row],[Calibrated forecast hours]])</f>
        <v>16.1</v>
      </c>
      <c r="W1951" s="64">
        <f>DATEVALUE(tblWorkPackages[[#This Row],[Request date]])</f>
        <v>45377.0</v>
      </c>
      <c r="X1951" s="64">
        <f>DATEVALUE(tblWorkPackages[[#This Row],[Due date]])</f>
        <v>45390.0</v>
      </c>
      <c r="Y1951" s="64">
        <f>DATEVALUE(tblWorkPackages[[#This Row],[Completion date]])</f>
        <v>45381.0</v>
      </c>
      <c r="Z1951" s="64">
        <f>_xlfn.MINIFS(tblLaborEntries[Work date serial],tblLaborEntries[Work package ID],tblWorkPackages[[#This Row],[Work package ID]])</f>
        <v>45379.0</v>
      </c>
      <c r="AA1951" s="64">
        <f>_xlfn.MAXIFS(tblLaborEntries[Work date serial],tblLaborEntries[Work package ID],tblWorkPackages[[#This Row],[Work package ID]])</f>
        <v>45380.0</v>
      </c>
      <c r="AB1951" s="65">
        <f>IF(tblWorkPackages[[#This Row],[Completion date serial]]&gt;tblWorkPackages[[#This Row],[Due date serial]],1,0)</f>
        <v>0</v>
      </c>
      <c r="AC1951" s="65">
        <f>MAX(0,tblWorkPackages[[#This Row],[Completion date serial]]-tblWorkPackages[[#This Row],[Due date serial]])</f>
        <v>0</v>
      </c>
      <c r="AD1951" s="65">
        <f>tblWorkPackages[[#This Row],[First labor date]]-tblWorkPackages[[#This Row],[Request date serial]]</f>
        <v>2</v>
      </c>
      <c r="AE1951" s="65">
        <f>tblWorkPackages[[#This Row],[Last labor date]]-tblWorkPackages[[#This Row],[First labor date]]</f>
        <v>1</v>
      </c>
      <c r="AF1951" s="65">
        <f>tblWorkPackages[[#This Row],[Completion date serial]]-tblWorkPackages[[#This Row],[Last labor date]]</f>
        <v>1</v>
      </c>
      <c r="AG1951" s="65">
        <f>tblWorkPackages[[#This Row],[Completion date serial]]-tblWorkPackages[[#This Row],[Request date serial]]</f>
        <v>4</v>
      </c>
      <c r="AH1951" s="65">
        <f>IFERROR(INDEX(tblParts[Delay days],MATCH(tblWorkPackages[[#This Row],[Work package ID]],tblParts[Work package ID],0)),0)</f>
        <v>0</v>
      </c>
      <c r="AI1951" s="51" t="str">
        <f>IFERROR(INDEX(tblDisruptions[Event type],MATCH(tblWorkPackages[[#This Row],[Work package ID]],tblDisruptions[Work package ID],0)),"None")</f>
        <v>None</v>
      </c>
      <c r="AJ1951" s="51" t="str">
        <f>TEXT(tblWorkPackages[[#This Row],[Due date serial]],"yyyy-mm")</f>
        <v>2024-04</v>
      </c>
    </row>
    <row r="1952" spans="1:36" ht="15" x14ac:dyDescent="0.25">
      <c r="A1952" s="53" t="s">
        <v>2863</v>
      </c>
      <c r="B1952" s="53" t="s">
        <v>168</v>
      </c>
      <c r="C1952" s="53" t="s">
        <v>962</v>
      </c>
      <c r="D1952" s="53" t="s">
        <v>698</v>
      </c>
      <c r="E1952" s="53" t="s">
        <v>223</v>
      </c>
      <c r="F1952" s="53" t="s">
        <v>182</v>
      </c>
      <c r="G1952" s="53" t="s">
        <v>154</v>
      </c>
      <c r="H1952" s="53">
        <v>2</v>
      </c>
      <c r="I1952" s="53" t="s">
        <v>147</v>
      </c>
      <c r="J1952" s="53">
        <v>0</v>
      </c>
      <c r="K1952" s="53">
        <v>0</v>
      </c>
      <c r="L1952" s="53">
        <v>13.4</v>
      </c>
      <c r="M1952" s="53" t="s">
        <v>188</v>
      </c>
      <c r="N1952" s="53">
        <v>10.4</v>
      </c>
      <c r="O1952" s="51" t="str">
        <f>TEXT(tblWorkPackages[[#This Row],[Request date serial]]-WEEKDAY(tblWorkPackages[[#This Row],[Request date serial]],3),"yyyy-mm-dd")</f>
        <v>2025-02-03</v>
      </c>
      <c r="P1952" s="51">
        <f>ABS(tblWorkPackages[[#This Row],[Actual labor hours]]-tblWorkPackages[[#This Row],[Estimated labor hours]])</f>
        <v>3</v>
      </c>
      <c r="Q1952" s="51">
        <f>IF(tblWorkPackages[[#This Row],[Actual labor hours]]&gt;tblWorkPackages[[#This Row],[Estimated labor hours]],1,0)</f>
        <v>0</v>
      </c>
      <c r="R1952" s="51">
        <f>tblWorkPackages[[#This Row],[Actual labor hours]]-tblWorkPackages[[#This Row],[Estimated labor hours]]</f>
        <v>-3</v>
      </c>
      <c r="S1952" s="51" t="str">
        <f>IF(tblWorkPackages[[#This Row],[Request date serial]]&lt;ValidationStart,"Train 2024",IF(tblWorkPackages[[#This Row],[Request date serial]]&lt;HoldoutStart,"Validation H1","Holdout H2"))</f>
        <v>Validation H1</v>
      </c>
      <c r="T1952" s="51">
        <f>IF(tblWorkPackages[[#This Row],[Time split]]="Train 2024","",tblWorkPackages[[#This Row],[Estimated labor hours]]+VLOOKUP(tblWorkPackages[[#This Row],[Task type]],'Forecast validation'!$A$14:$E$25,IF(tblWorkPackages[[#This Row],[Time split]]="Validation H1",4,5),FALSE()))</f>
        <v>14.2824175824176</v>
      </c>
      <c r="U1952" s="51">
        <f>IF(tblWorkPackages[[#This Row],[Calibrated forecast hours]]="","",ABS(tblWorkPackages[[#This Row],[Actual labor hours]]-tblWorkPackages[[#This Row],[Calibrated forecast hours]]))</f>
        <v>3.88241758241758</v>
      </c>
      <c r="V1952" s="51">
        <f>IF(tblWorkPackages[[#This Row],[Time split]]="Train 2024",tblWorkPackages[[#This Row],[Estimated labor hours]],tblWorkPackages[[#This Row],[Calibrated forecast hours]])</f>
        <v>14.2824175824176</v>
      </c>
      <c r="W1952" s="64">
        <f>DATEVALUE(tblWorkPackages[[#This Row],[Request date]])</f>
        <v>45694.0</v>
      </c>
      <c r="X1952" s="64">
        <f>DATEVALUE(tblWorkPackages[[#This Row],[Due date]])</f>
        <v>45696.0</v>
      </c>
      <c r="Y1952" s="64">
        <f>DATEVALUE(tblWorkPackages[[#This Row],[Completion date]])</f>
        <v>45711.0</v>
      </c>
      <c r="Z1952" s="64">
        <f>_xlfn.MINIFS(tblLaborEntries[Work date serial],tblLaborEntries[Work package ID],tblWorkPackages[[#This Row],[Work package ID]])</f>
        <v>45709.0</v>
      </c>
      <c r="AA1952" s="64">
        <f>_xlfn.MAXIFS(tblLaborEntries[Work date serial],tblLaborEntries[Work package ID],tblWorkPackages[[#This Row],[Work package ID]])</f>
        <v>45709.0</v>
      </c>
      <c r="AB1952" s="65">
        <f>IF(tblWorkPackages[[#This Row],[Completion date serial]]&gt;tblWorkPackages[[#This Row],[Due date serial]],1,0)</f>
        <v>1</v>
      </c>
      <c r="AC1952" s="65">
        <f>MAX(0,tblWorkPackages[[#This Row],[Completion date serial]]-tblWorkPackages[[#This Row],[Due date serial]])</f>
        <v>15</v>
      </c>
      <c r="AD1952" s="65">
        <f>tblWorkPackages[[#This Row],[First labor date]]-tblWorkPackages[[#This Row],[Request date serial]]</f>
        <v>15</v>
      </c>
      <c r="AE1952" s="65">
        <f>tblWorkPackages[[#This Row],[Last labor date]]-tblWorkPackages[[#This Row],[First labor date]]</f>
        <v>0</v>
      </c>
      <c r="AF1952" s="65">
        <f>tblWorkPackages[[#This Row],[Completion date serial]]-tblWorkPackages[[#This Row],[Last labor date]]</f>
        <v>2</v>
      </c>
      <c r="AG1952" s="65">
        <f>tblWorkPackages[[#This Row],[Completion date serial]]-tblWorkPackages[[#This Row],[Request date serial]]</f>
        <v>17</v>
      </c>
      <c r="AH1952" s="65">
        <f>IFERROR(INDEX(tblParts[Delay days],MATCH(tblWorkPackages[[#This Row],[Work package ID]],tblParts[Work package ID],0)),0)</f>
        <v>0</v>
      </c>
      <c r="AI1952" s="51" t="str">
        <f>IFERROR(INDEX(tblDisruptions[Event type],MATCH(tblWorkPackages[[#This Row],[Work package ID]],tblDisruptions[Work package ID],0)),"None")</f>
        <v>None</v>
      </c>
      <c r="AJ1952" s="51" t="str">
        <f>TEXT(tblWorkPackages[[#This Row],[Due date serial]],"yyyy-mm")</f>
        <v>2025-02</v>
      </c>
    </row>
    <row r="1953" spans="1:36" ht="15" x14ac:dyDescent="0.25">
      <c r="A1953" s="53" t="s">
        <v>2864</v>
      </c>
      <c r="B1953" s="53" t="s">
        <v>203</v>
      </c>
      <c r="C1953" s="53" t="s">
        <v>552</v>
      </c>
      <c r="D1953" s="53" t="s">
        <v>553</v>
      </c>
      <c r="E1953" s="53" t="s">
        <v>242</v>
      </c>
      <c r="F1953" s="53" t="s">
        <v>243</v>
      </c>
      <c r="G1953" s="53" t="s">
        <v>129</v>
      </c>
      <c r="H1953" s="53">
        <v>1</v>
      </c>
      <c r="I1953" s="53" t="s">
        <v>130</v>
      </c>
      <c r="J1953" s="53">
        <v>0</v>
      </c>
      <c r="K1953" s="53">
        <v>1</v>
      </c>
      <c r="L1953" s="53">
        <v>5.2</v>
      </c>
      <c r="M1953" s="53" t="s">
        <v>1370</v>
      </c>
      <c r="N1953" s="53">
        <v>6.7</v>
      </c>
      <c r="O1953" s="51" t="str">
        <f>TEXT(tblWorkPackages[[#This Row],[Request date serial]]-WEEKDAY(tblWorkPackages[[#This Row],[Request date serial]],3),"yyyy-mm-dd")</f>
        <v>2024-07-22</v>
      </c>
      <c r="P1953" s="51">
        <f>ABS(tblWorkPackages[[#This Row],[Actual labor hours]]-tblWorkPackages[[#This Row],[Estimated labor hours]])</f>
        <v>1.5</v>
      </c>
      <c r="Q1953" s="51">
        <f>IF(tblWorkPackages[[#This Row],[Actual labor hours]]&gt;tblWorkPackages[[#This Row],[Estimated labor hours]],1,0)</f>
        <v>1</v>
      </c>
      <c r="R1953" s="51">
        <f>tblWorkPackages[[#This Row],[Actual labor hours]]-tblWorkPackages[[#This Row],[Estimated labor hours]]</f>
        <v>1.5</v>
      </c>
      <c r="S1953" s="51" t="str">
        <f>IF(tblWorkPackages[[#This Row],[Request date serial]]&lt;ValidationStart,"Train 2024",IF(tblWorkPackages[[#This Row],[Request date serial]]&lt;HoldoutStart,"Validation H1","Holdout H2"))</f>
        <v>Train 2024</v>
      </c>
      <c r="T1953" s="51" t="str">
        <f>IF(tblWorkPackages[[#This Row],[Time split]]="Train 2024","",tblWorkPackages[[#This Row],[Estimated labor hours]]+VLOOKUP(tblWorkPackages[[#This Row],[Task type]],'Forecast validation'!$A$14:$E$25,IF(tblWorkPackages[[#This Row],[Time split]]="Validation H1",4,5),FALSE()))</f>
        <v/>
      </c>
      <c r="U1953" s="51" t="str">
        <f>IF(tblWorkPackages[[#This Row],[Calibrated forecast hours]]="","",ABS(tblWorkPackages[[#This Row],[Actual labor hours]]-tblWorkPackages[[#This Row],[Calibrated forecast hours]]))</f>
        <v/>
      </c>
      <c r="V1953" s="51">
        <f>IF(tblWorkPackages[[#This Row],[Time split]]="Train 2024",tblWorkPackages[[#This Row],[Estimated labor hours]],tblWorkPackages[[#This Row],[Calibrated forecast hours]])</f>
        <v>5.2</v>
      </c>
      <c r="W1953" s="64">
        <f>DATEVALUE(tblWorkPackages[[#This Row],[Request date]])</f>
        <v>45498.0</v>
      </c>
      <c r="X1953" s="64">
        <f>DATEVALUE(tblWorkPackages[[#This Row],[Due date]])</f>
        <v>45511.0</v>
      </c>
      <c r="Y1953" s="64">
        <f>DATEVALUE(tblWorkPackages[[#This Row],[Completion date]])</f>
        <v>45507.0</v>
      </c>
      <c r="Z1953" s="64">
        <f>_xlfn.MINIFS(tblLaborEntries[Work date serial],tblLaborEntries[Work package ID],tblWorkPackages[[#This Row],[Work package ID]])</f>
        <v>45502.0</v>
      </c>
      <c r="AA1953" s="64">
        <f>_xlfn.MAXIFS(tblLaborEntries[Work date serial],tblLaborEntries[Work package ID],tblWorkPackages[[#This Row],[Work package ID]])</f>
        <v>45504.0</v>
      </c>
      <c r="AB1953" s="65">
        <f>IF(tblWorkPackages[[#This Row],[Completion date serial]]&gt;tblWorkPackages[[#This Row],[Due date serial]],1,0)</f>
        <v>0</v>
      </c>
      <c r="AC1953" s="65">
        <f>MAX(0,tblWorkPackages[[#This Row],[Completion date serial]]-tblWorkPackages[[#This Row],[Due date serial]])</f>
        <v>0</v>
      </c>
      <c r="AD1953" s="65">
        <f>tblWorkPackages[[#This Row],[First labor date]]-tblWorkPackages[[#This Row],[Request date serial]]</f>
        <v>4</v>
      </c>
      <c r="AE1953" s="65">
        <f>tblWorkPackages[[#This Row],[Last labor date]]-tblWorkPackages[[#This Row],[First labor date]]</f>
        <v>2</v>
      </c>
      <c r="AF1953" s="65">
        <f>tblWorkPackages[[#This Row],[Completion date serial]]-tblWorkPackages[[#This Row],[Last labor date]]</f>
        <v>3</v>
      </c>
      <c r="AG1953" s="65">
        <f>tblWorkPackages[[#This Row],[Completion date serial]]-tblWorkPackages[[#This Row],[Request date serial]]</f>
        <v>9</v>
      </c>
      <c r="AH1953" s="65">
        <f>IFERROR(INDEX(tblParts[Delay days],MATCH(tblWorkPackages[[#This Row],[Work package ID]],tblParts[Work package ID],0)),0)</f>
        <v>0</v>
      </c>
      <c r="AI1953" s="51" t="str">
        <f>IFERROR(INDEX(tblDisruptions[Event type],MATCH(tblWorkPackages[[#This Row],[Work package ID]],tblDisruptions[Work package ID],0)),"None")</f>
        <v>None</v>
      </c>
      <c r="AJ1953" s="51" t="str">
        <f>TEXT(tblWorkPackages[[#This Row],[Due date serial]],"yyyy-mm")</f>
        <v>2024-08</v>
      </c>
    </row>
    <row r="1954" spans="1:36" ht="15" x14ac:dyDescent="0.25">
      <c r="A1954" s="53" t="s">
        <v>2865</v>
      </c>
      <c r="B1954" s="53" t="s">
        <v>133</v>
      </c>
      <c r="C1954" s="53" t="s">
        <v>1058</v>
      </c>
      <c r="D1954" s="53" t="s">
        <v>260</v>
      </c>
      <c r="E1954" s="53" t="s">
        <v>136</v>
      </c>
      <c r="F1954" s="53" t="s">
        <v>137</v>
      </c>
      <c r="G1954" s="53" t="s">
        <v>138</v>
      </c>
      <c r="H1954" s="53">
        <v>2</v>
      </c>
      <c r="I1954" s="53" t="s">
        <v>176</v>
      </c>
      <c r="J1954" s="53">
        <v>0</v>
      </c>
      <c r="K1954" s="53">
        <v>0</v>
      </c>
      <c r="L1954" s="53">
        <v>13.7</v>
      </c>
      <c r="M1954" s="53" t="s">
        <v>1383</v>
      </c>
      <c r="N1954" s="53">
        <v>15.2</v>
      </c>
      <c r="O1954" s="51" t="str">
        <f>TEXT(tblWorkPackages[[#This Row],[Request date serial]]-WEEKDAY(tblWorkPackages[[#This Row],[Request date serial]],3),"yyyy-mm-dd")</f>
        <v>2025-01-20</v>
      </c>
      <c r="P1954" s="51">
        <f>ABS(tblWorkPackages[[#This Row],[Actual labor hours]]-tblWorkPackages[[#This Row],[Estimated labor hours]])</f>
        <v>1.5</v>
      </c>
      <c r="Q1954" s="51">
        <f>IF(tblWorkPackages[[#This Row],[Actual labor hours]]&gt;tblWorkPackages[[#This Row],[Estimated labor hours]],1,0)</f>
        <v>1</v>
      </c>
      <c r="R1954" s="51">
        <f>tblWorkPackages[[#This Row],[Actual labor hours]]-tblWorkPackages[[#This Row],[Estimated labor hours]]</f>
        <v>1.5</v>
      </c>
      <c r="S1954" s="51" t="str">
        <f>IF(tblWorkPackages[[#This Row],[Request date serial]]&lt;ValidationStart,"Train 2024",IF(tblWorkPackages[[#This Row],[Request date serial]]&lt;HoldoutStart,"Validation H1","Holdout H2"))</f>
        <v>Validation H1</v>
      </c>
      <c r="T1954" s="51">
        <f>IF(tblWorkPackages[[#This Row],[Time split]]="Train 2024","",tblWorkPackages[[#This Row],[Estimated labor hours]]+VLOOKUP(tblWorkPackages[[#This Row],[Task type]],'Forecast validation'!$A$14:$E$25,IF(tblWorkPackages[[#This Row],[Time split]]="Validation H1",4,5),FALSE()))</f>
        <v>14.5765306122449</v>
      </c>
      <c r="U1954" s="51">
        <f>IF(tblWorkPackages[[#This Row],[Calibrated forecast hours]]="","",ABS(tblWorkPackages[[#This Row],[Actual labor hours]]-tblWorkPackages[[#This Row],[Calibrated forecast hours]]))</f>
        <v>0.623469387755103</v>
      </c>
      <c r="V1954" s="51">
        <f>IF(tblWorkPackages[[#This Row],[Time split]]="Train 2024",tblWorkPackages[[#This Row],[Estimated labor hours]],tblWorkPackages[[#This Row],[Calibrated forecast hours]])</f>
        <v>14.5765306122449</v>
      </c>
      <c r="W1954" s="64">
        <f>DATEVALUE(tblWorkPackages[[#This Row],[Request date]])</f>
        <v>45680.0</v>
      </c>
      <c r="X1954" s="64">
        <f>DATEVALUE(tblWorkPackages[[#This Row],[Due date]])</f>
        <v>45686.0</v>
      </c>
      <c r="Y1954" s="64">
        <f>DATEVALUE(tblWorkPackages[[#This Row],[Completion date]])</f>
        <v>45683.0</v>
      </c>
      <c r="Z1954" s="64">
        <f>_xlfn.MINIFS(tblLaborEntries[Work date serial],tblLaborEntries[Work package ID],tblWorkPackages[[#This Row],[Work package ID]])</f>
        <v>45681.0</v>
      </c>
      <c r="AA1954" s="64">
        <f>_xlfn.MAXIFS(tblLaborEntries[Work date serial],tblLaborEntries[Work package ID],tblWorkPackages[[#This Row],[Work package ID]])</f>
        <v>45683.0</v>
      </c>
      <c r="AB1954" s="65">
        <f>IF(tblWorkPackages[[#This Row],[Completion date serial]]&gt;tblWorkPackages[[#This Row],[Due date serial]],1,0)</f>
        <v>0</v>
      </c>
      <c r="AC1954" s="65">
        <f>MAX(0,tblWorkPackages[[#This Row],[Completion date serial]]-tblWorkPackages[[#This Row],[Due date serial]])</f>
        <v>0</v>
      </c>
      <c r="AD1954" s="65">
        <f>tblWorkPackages[[#This Row],[First labor date]]-tblWorkPackages[[#This Row],[Request date serial]]</f>
        <v>1</v>
      </c>
      <c r="AE1954" s="65">
        <f>tblWorkPackages[[#This Row],[Last labor date]]-tblWorkPackages[[#This Row],[First labor date]]</f>
        <v>2</v>
      </c>
      <c r="AF1954" s="65">
        <f>tblWorkPackages[[#This Row],[Completion date serial]]-tblWorkPackages[[#This Row],[Last labor date]]</f>
        <v>0</v>
      </c>
      <c r="AG1954" s="65">
        <f>tblWorkPackages[[#This Row],[Completion date serial]]-tblWorkPackages[[#This Row],[Request date serial]]</f>
        <v>3</v>
      </c>
      <c r="AH1954" s="65">
        <f>IFERROR(INDEX(tblParts[Delay days],MATCH(tblWorkPackages[[#This Row],[Work package ID]],tblParts[Work package ID],0)),0)</f>
        <v>0</v>
      </c>
      <c r="AI1954" s="51" t="str">
        <f>IFERROR(INDEX(tblDisruptions[Event type],MATCH(tblWorkPackages[[#This Row],[Work package ID]],tblDisruptions[Work package ID],0)),"None")</f>
        <v>None</v>
      </c>
      <c r="AJ1954" s="51" t="str">
        <f>TEXT(tblWorkPackages[[#This Row],[Due date serial]],"yyyy-mm")</f>
        <v>2025-01</v>
      </c>
    </row>
    <row r="1955" spans="1:36" ht="15" x14ac:dyDescent="0.25">
      <c r="A1955" s="53" t="s">
        <v>2866</v>
      </c>
      <c r="B1955" s="53" t="s">
        <v>287</v>
      </c>
      <c r="C1955" s="53" t="s">
        <v>636</v>
      </c>
      <c r="D1955" s="53" t="s">
        <v>543</v>
      </c>
      <c r="E1955" s="53" t="s">
        <v>200</v>
      </c>
      <c r="F1955" s="53" t="s">
        <v>128</v>
      </c>
      <c r="G1955" s="53" t="s">
        <v>129</v>
      </c>
      <c r="H1955" s="53">
        <v>1</v>
      </c>
      <c r="I1955" s="53" t="s">
        <v>130</v>
      </c>
      <c r="J1955" s="53">
        <v>0</v>
      </c>
      <c r="K1955" s="53">
        <v>0</v>
      </c>
      <c r="L1955" s="53">
        <v>1.8</v>
      </c>
      <c r="M1955" s="53" t="s">
        <v>331</v>
      </c>
      <c r="N1955" s="53">
        <v>1.8</v>
      </c>
      <c r="O1955" s="51" t="str">
        <f>TEXT(tblWorkPackages[[#This Row],[Request date serial]]-WEEKDAY(tblWorkPackages[[#This Row],[Request date serial]],3),"yyyy-mm-dd")</f>
        <v>2025-10-06</v>
      </c>
      <c r="P1955" s="51">
        <f>ABS(tblWorkPackages[[#This Row],[Actual labor hours]]-tblWorkPackages[[#This Row],[Estimated labor hours]])</f>
        <v>0</v>
      </c>
      <c r="Q1955" s="51">
        <f>IF(tblWorkPackages[[#This Row],[Actual labor hours]]&gt;tblWorkPackages[[#This Row],[Estimated labor hours]],1,0)</f>
        <v>0</v>
      </c>
      <c r="R1955" s="51">
        <f>tblWorkPackages[[#This Row],[Actual labor hours]]-tblWorkPackages[[#This Row],[Estimated labor hours]]</f>
        <v>0</v>
      </c>
      <c r="S1955" s="51" t="str">
        <f>IF(tblWorkPackages[[#This Row],[Request date serial]]&lt;ValidationStart,"Train 2024",IF(tblWorkPackages[[#This Row],[Request date serial]]&lt;HoldoutStart,"Validation H1","Holdout H2"))</f>
        <v>Holdout H2</v>
      </c>
      <c r="T1955" s="51">
        <f>IF(tblWorkPackages[[#This Row],[Time split]]="Train 2024","",tblWorkPackages[[#This Row],[Estimated labor hours]]+VLOOKUP(tblWorkPackages[[#This Row],[Task type]],'Forecast validation'!$A$14:$E$25,IF(tblWorkPackages[[#This Row],[Time split]]="Validation H1",4,5),FALSE()))</f>
        <v>2.12893081761006</v>
      </c>
      <c r="U1955" s="51">
        <f>IF(tblWorkPackages[[#This Row],[Calibrated forecast hours]]="","",ABS(tblWorkPackages[[#This Row],[Actual labor hours]]-tblWorkPackages[[#This Row],[Calibrated forecast hours]]))</f>
        <v>0.328930817610063</v>
      </c>
      <c r="V1955" s="51">
        <f>IF(tblWorkPackages[[#This Row],[Time split]]="Train 2024",tblWorkPackages[[#This Row],[Estimated labor hours]],tblWorkPackages[[#This Row],[Calibrated forecast hours]])</f>
        <v>2.12893081761006</v>
      </c>
      <c r="W1955" s="64">
        <f>DATEVALUE(tblWorkPackages[[#This Row],[Request date]])</f>
        <v>45937.0</v>
      </c>
      <c r="X1955" s="64">
        <f>DATEVALUE(tblWorkPackages[[#This Row],[Due date]])</f>
        <v>45950.0</v>
      </c>
      <c r="Y1955" s="64">
        <f>DATEVALUE(tblWorkPackages[[#This Row],[Completion date]])</f>
        <v>45949.0</v>
      </c>
      <c r="Z1955" s="64">
        <f>_xlfn.MINIFS(tblLaborEntries[Work date serial],tblLaborEntries[Work package ID],tblWorkPackages[[#This Row],[Work package ID]])</f>
        <v>45947.0</v>
      </c>
      <c r="AA1955" s="64">
        <f>_xlfn.MAXIFS(tblLaborEntries[Work date serial],tblLaborEntries[Work package ID],tblWorkPackages[[#This Row],[Work package ID]])</f>
        <v>45948.0</v>
      </c>
      <c r="AB1955" s="65">
        <f>IF(tblWorkPackages[[#This Row],[Completion date serial]]&gt;tblWorkPackages[[#This Row],[Due date serial]],1,0)</f>
        <v>0</v>
      </c>
      <c r="AC1955" s="65">
        <f>MAX(0,tblWorkPackages[[#This Row],[Completion date serial]]-tblWorkPackages[[#This Row],[Due date serial]])</f>
        <v>0</v>
      </c>
      <c r="AD1955" s="65">
        <f>tblWorkPackages[[#This Row],[First labor date]]-tblWorkPackages[[#This Row],[Request date serial]]</f>
        <v>10</v>
      </c>
      <c r="AE1955" s="65">
        <f>tblWorkPackages[[#This Row],[Last labor date]]-tblWorkPackages[[#This Row],[First labor date]]</f>
        <v>1</v>
      </c>
      <c r="AF1955" s="65">
        <f>tblWorkPackages[[#This Row],[Completion date serial]]-tblWorkPackages[[#This Row],[Last labor date]]</f>
        <v>1</v>
      </c>
      <c r="AG1955" s="65">
        <f>tblWorkPackages[[#This Row],[Completion date serial]]-tblWorkPackages[[#This Row],[Request date serial]]</f>
        <v>12</v>
      </c>
      <c r="AH1955" s="65">
        <f>IFERROR(INDEX(tblParts[Delay days],MATCH(tblWorkPackages[[#This Row],[Work package ID]],tblParts[Work package ID],0)),0)</f>
        <v>0</v>
      </c>
      <c r="AI1955" s="51" t="str">
        <f>IFERROR(INDEX(tblDisruptions[Event type],MATCH(tblWorkPackages[[#This Row],[Work package ID]],tblDisruptions[Work package ID],0)),"None")</f>
        <v>None</v>
      </c>
      <c r="AJ1955" s="51" t="str">
        <f>TEXT(tblWorkPackages[[#This Row],[Due date serial]],"yyyy-mm")</f>
        <v>2025-10</v>
      </c>
    </row>
    <row r="1956" spans="1:36" ht="15" x14ac:dyDescent="0.25">
      <c r="A1956" s="53" t="s">
        <v>2867</v>
      </c>
      <c r="B1956" s="53" t="s">
        <v>287</v>
      </c>
      <c r="C1956" s="53" t="s">
        <v>1668</v>
      </c>
      <c r="D1956" s="53" t="s">
        <v>1180</v>
      </c>
      <c r="E1956" s="53" t="s">
        <v>237</v>
      </c>
      <c r="F1956" s="53" t="s">
        <v>182</v>
      </c>
      <c r="G1956" s="53" t="s">
        <v>138</v>
      </c>
      <c r="H1956" s="53">
        <v>3</v>
      </c>
      <c r="I1956" s="53" t="s">
        <v>130</v>
      </c>
      <c r="J1956" s="53">
        <v>1</v>
      </c>
      <c r="K1956" s="53">
        <v>0</v>
      </c>
      <c r="L1956" s="53">
        <v>7.3</v>
      </c>
      <c r="M1956" s="53" t="s">
        <v>351</v>
      </c>
      <c r="N1956" s="53">
        <v>10.1</v>
      </c>
      <c r="O1956" s="51" t="str">
        <f>TEXT(tblWorkPackages[[#This Row],[Request date serial]]-WEEKDAY(tblWorkPackages[[#This Row],[Request date serial]],3),"yyyy-mm-dd")</f>
        <v>2024-01-22</v>
      </c>
      <c r="P1956" s="51">
        <f>ABS(tblWorkPackages[[#This Row],[Actual labor hours]]-tblWorkPackages[[#This Row],[Estimated labor hours]])</f>
        <v>2.8</v>
      </c>
      <c r="Q1956" s="51">
        <f>IF(tblWorkPackages[[#This Row],[Actual labor hours]]&gt;tblWorkPackages[[#This Row],[Estimated labor hours]],1,0)</f>
        <v>1</v>
      </c>
      <c r="R1956" s="51">
        <f>tblWorkPackages[[#This Row],[Actual labor hours]]-tblWorkPackages[[#This Row],[Estimated labor hours]]</f>
        <v>2.8</v>
      </c>
      <c r="S1956" s="51" t="str">
        <f>IF(tblWorkPackages[[#This Row],[Request date serial]]&lt;ValidationStart,"Train 2024",IF(tblWorkPackages[[#This Row],[Request date serial]]&lt;HoldoutStart,"Validation H1","Holdout H2"))</f>
        <v>Train 2024</v>
      </c>
      <c r="T1956" s="51" t="str">
        <f>IF(tblWorkPackages[[#This Row],[Time split]]="Train 2024","",tblWorkPackages[[#This Row],[Estimated labor hours]]+VLOOKUP(tblWorkPackages[[#This Row],[Task type]],'Forecast validation'!$A$14:$E$25,IF(tblWorkPackages[[#This Row],[Time split]]="Validation H1",4,5),FALSE()))</f>
        <v/>
      </c>
      <c r="U1956" s="51" t="str">
        <f>IF(tblWorkPackages[[#This Row],[Calibrated forecast hours]]="","",ABS(tblWorkPackages[[#This Row],[Actual labor hours]]-tblWorkPackages[[#This Row],[Calibrated forecast hours]]))</f>
        <v/>
      </c>
      <c r="V1956" s="51">
        <f>IF(tblWorkPackages[[#This Row],[Time split]]="Train 2024",tblWorkPackages[[#This Row],[Estimated labor hours]],tblWorkPackages[[#This Row],[Calibrated forecast hours]])</f>
        <v>7.3</v>
      </c>
      <c r="W1956" s="64">
        <f>DATEVALUE(tblWorkPackages[[#This Row],[Request date]])</f>
        <v>45314.0</v>
      </c>
      <c r="X1956" s="64">
        <f>DATEVALUE(tblWorkPackages[[#This Row],[Due date]])</f>
        <v>45327.0</v>
      </c>
      <c r="Y1956" s="64">
        <f>DATEVALUE(tblWorkPackages[[#This Row],[Completion date]])</f>
        <v>45319.0</v>
      </c>
      <c r="Z1956" s="64">
        <f>_xlfn.MINIFS(tblLaborEntries[Work date serial],tblLaborEntries[Work package ID],tblWorkPackages[[#This Row],[Work package ID]])</f>
        <v>45317.0</v>
      </c>
      <c r="AA1956" s="64">
        <f>_xlfn.MAXIFS(tblLaborEntries[Work date serial],tblLaborEntries[Work package ID],tblWorkPackages[[#This Row],[Work package ID]])</f>
        <v>45317.0</v>
      </c>
      <c r="AB1956" s="65">
        <f>IF(tblWorkPackages[[#This Row],[Completion date serial]]&gt;tblWorkPackages[[#This Row],[Due date serial]],1,0)</f>
        <v>0</v>
      </c>
      <c r="AC1956" s="65">
        <f>MAX(0,tblWorkPackages[[#This Row],[Completion date serial]]-tblWorkPackages[[#This Row],[Due date serial]])</f>
        <v>0</v>
      </c>
      <c r="AD1956" s="65">
        <f>tblWorkPackages[[#This Row],[First labor date]]-tblWorkPackages[[#This Row],[Request date serial]]</f>
        <v>3</v>
      </c>
      <c r="AE1956" s="65">
        <f>tblWorkPackages[[#This Row],[Last labor date]]-tblWorkPackages[[#This Row],[First labor date]]</f>
        <v>0</v>
      </c>
      <c r="AF1956" s="65">
        <f>tblWorkPackages[[#This Row],[Completion date serial]]-tblWorkPackages[[#This Row],[Last labor date]]</f>
        <v>2</v>
      </c>
      <c r="AG1956" s="65">
        <f>tblWorkPackages[[#This Row],[Completion date serial]]-tblWorkPackages[[#This Row],[Request date serial]]</f>
        <v>5</v>
      </c>
      <c r="AH1956" s="65">
        <f>IFERROR(INDEX(tblParts[Delay days],MATCH(tblWorkPackages[[#This Row],[Work package ID]],tblParts[Work package ID],0)),0)</f>
        <v>0</v>
      </c>
      <c r="AI1956" s="51" t="str">
        <f>IFERROR(INDEX(tblDisruptions[Event type],MATCH(tblWorkPackages[[#This Row],[Work package ID]],tblDisruptions[Work package ID],0)),"None")</f>
        <v>None</v>
      </c>
      <c r="AJ1956" s="51" t="str">
        <f>TEXT(tblWorkPackages[[#This Row],[Due date serial]],"yyyy-mm")</f>
        <v>2024-02</v>
      </c>
    </row>
    <row r="1957" spans="1:36" ht="15" x14ac:dyDescent="0.25">
      <c r="A1957" s="53" t="s">
        <v>2868</v>
      </c>
      <c r="B1957" s="53" t="s">
        <v>250</v>
      </c>
      <c r="C1957" s="53" t="s">
        <v>350</v>
      </c>
      <c r="D1957" s="53" t="s">
        <v>215</v>
      </c>
      <c r="E1957" s="53" t="s">
        <v>153</v>
      </c>
      <c r="F1957" s="53" t="s">
        <v>128</v>
      </c>
      <c r="G1957" s="53" t="s">
        <v>154</v>
      </c>
      <c r="H1957" s="53">
        <v>3</v>
      </c>
      <c r="I1957" s="53" t="s">
        <v>130</v>
      </c>
      <c r="J1957" s="53">
        <v>0</v>
      </c>
      <c r="K1957" s="53">
        <v>0</v>
      </c>
      <c r="L1957" s="53">
        <v>13.6</v>
      </c>
      <c r="M1957" s="53" t="s">
        <v>475</v>
      </c>
      <c r="N1957" s="53">
        <v>12.1</v>
      </c>
      <c r="O1957" s="51" t="str">
        <f>TEXT(tblWorkPackages[[#This Row],[Request date serial]]-WEEKDAY(tblWorkPackages[[#This Row],[Request date serial]],3),"yyyy-mm-dd")</f>
        <v>2024-01-29</v>
      </c>
      <c r="P1957" s="51">
        <f>ABS(tblWorkPackages[[#This Row],[Actual labor hours]]-tblWorkPackages[[#This Row],[Estimated labor hours]])</f>
        <v>1.5</v>
      </c>
      <c r="Q1957" s="51">
        <f>IF(tblWorkPackages[[#This Row],[Actual labor hours]]&gt;tblWorkPackages[[#This Row],[Estimated labor hours]],1,0)</f>
        <v>0</v>
      </c>
      <c r="R1957" s="51">
        <f>tblWorkPackages[[#This Row],[Actual labor hours]]-tblWorkPackages[[#This Row],[Estimated labor hours]]</f>
        <v>-1.5</v>
      </c>
      <c r="S1957" s="51" t="str">
        <f>IF(tblWorkPackages[[#This Row],[Request date serial]]&lt;ValidationStart,"Train 2024",IF(tblWorkPackages[[#This Row],[Request date serial]]&lt;HoldoutStart,"Validation H1","Holdout H2"))</f>
        <v>Train 2024</v>
      </c>
      <c r="T1957" s="51" t="str">
        <f>IF(tblWorkPackages[[#This Row],[Time split]]="Train 2024","",tblWorkPackages[[#This Row],[Estimated labor hours]]+VLOOKUP(tblWorkPackages[[#This Row],[Task type]],'Forecast validation'!$A$14:$E$25,IF(tblWorkPackages[[#This Row],[Time split]]="Validation H1",4,5),FALSE()))</f>
        <v/>
      </c>
      <c r="U1957" s="51" t="str">
        <f>IF(tblWorkPackages[[#This Row],[Calibrated forecast hours]]="","",ABS(tblWorkPackages[[#This Row],[Actual labor hours]]-tblWorkPackages[[#This Row],[Calibrated forecast hours]]))</f>
        <v/>
      </c>
      <c r="V1957" s="51">
        <f>IF(tblWorkPackages[[#This Row],[Time split]]="Train 2024",tblWorkPackages[[#This Row],[Estimated labor hours]],tblWorkPackages[[#This Row],[Calibrated forecast hours]])</f>
        <v>13.6</v>
      </c>
      <c r="W1957" s="64">
        <f>DATEVALUE(tblWorkPackages[[#This Row],[Request date]])</f>
        <v>45323.0</v>
      </c>
      <c r="X1957" s="64">
        <f>DATEVALUE(tblWorkPackages[[#This Row],[Due date]])</f>
        <v>45336.0</v>
      </c>
      <c r="Y1957" s="64">
        <f>DATEVALUE(tblWorkPackages[[#This Row],[Completion date]])</f>
        <v>45353.0</v>
      </c>
      <c r="Z1957" s="64">
        <f>_xlfn.MINIFS(tblLaborEntries[Work date serial],tblLaborEntries[Work package ID],tblWorkPackages[[#This Row],[Work package ID]])</f>
        <v>45349.0</v>
      </c>
      <c r="AA1957" s="64">
        <f>_xlfn.MAXIFS(tblLaborEntries[Work date serial],tblLaborEntries[Work package ID],tblWorkPackages[[#This Row],[Work package ID]])</f>
        <v>45350.0</v>
      </c>
      <c r="AB1957" s="65">
        <f>IF(tblWorkPackages[[#This Row],[Completion date serial]]&gt;tblWorkPackages[[#This Row],[Due date serial]],1,0)</f>
        <v>1</v>
      </c>
      <c r="AC1957" s="65">
        <f>MAX(0,tblWorkPackages[[#This Row],[Completion date serial]]-tblWorkPackages[[#This Row],[Due date serial]])</f>
        <v>17</v>
      </c>
      <c r="AD1957" s="65">
        <f>tblWorkPackages[[#This Row],[First labor date]]-tblWorkPackages[[#This Row],[Request date serial]]</f>
        <v>26</v>
      </c>
      <c r="AE1957" s="65">
        <f>tblWorkPackages[[#This Row],[Last labor date]]-tblWorkPackages[[#This Row],[First labor date]]</f>
        <v>1</v>
      </c>
      <c r="AF1957" s="65">
        <f>tblWorkPackages[[#This Row],[Completion date serial]]-tblWorkPackages[[#This Row],[Last labor date]]</f>
        <v>3</v>
      </c>
      <c r="AG1957" s="65">
        <f>tblWorkPackages[[#This Row],[Completion date serial]]-tblWorkPackages[[#This Row],[Request date serial]]</f>
        <v>30</v>
      </c>
      <c r="AH1957" s="65">
        <f>IFERROR(INDEX(tblParts[Delay days],MATCH(tblWorkPackages[[#This Row],[Work package ID]],tblParts[Work package ID],0)),0)</f>
        <v>0</v>
      </c>
      <c r="AI1957" s="51" t="str">
        <f>IFERROR(INDEX(tblDisruptions[Event type],MATCH(tblWorkPackages[[#This Row],[Work package ID]],tblDisruptions[Work package ID],0)),"None")</f>
        <v>None</v>
      </c>
      <c r="AJ1957" s="51" t="str">
        <f>TEXT(tblWorkPackages[[#This Row],[Due date serial]],"yyyy-mm")</f>
        <v>2024-02</v>
      </c>
    </row>
    <row r="1958" spans="1:36" ht="15" x14ac:dyDescent="0.25">
      <c r="A1958" s="53" t="s">
        <v>2869</v>
      </c>
      <c r="B1958" s="53" t="s">
        <v>168</v>
      </c>
      <c r="C1958" s="53" t="s">
        <v>929</v>
      </c>
      <c r="D1958" s="53" t="s">
        <v>1453</v>
      </c>
      <c r="E1958" s="53" t="s">
        <v>237</v>
      </c>
      <c r="F1958" s="53" t="s">
        <v>182</v>
      </c>
      <c r="G1958" s="53" t="s">
        <v>138</v>
      </c>
      <c r="H1958" s="53">
        <v>3</v>
      </c>
      <c r="I1958" s="53" t="s">
        <v>176</v>
      </c>
      <c r="J1958" s="53">
        <v>0</v>
      </c>
      <c r="K1958" s="53">
        <v>1</v>
      </c>
      <c r="L1958" s="53">
        <v>7.7</v>
      </c>
      <c r="M1958" s="53" t="s">
        <v>1023</v>
      </c>
      <c r="N1958" s="53">
        <v>7.5</v>
      </c>
      <c r="O1958" s="51" t="str">
        <f>TEXT(tblWorkPackages[[#This Row],[Request date serial]]-WEEKDAY(tblWorkPackages[[#This Row],[Request date serial]],3),"yyyy-mm-dd")</f>
        <v>2024-06-24</v>
      </c>
      <c r="P1958" s="51">
        <f>ABS(tblWorkPackages[[#This Row],[Actual labor hours]]-tblWorkPackages[[#This Row],[Estimated labor hours]])</f>
        <v>0.2</v>
      </c>
      <c r="Q1958" s="51">
        <f>IF(tblWorkPackages[[#This Row],[Actual labor hours]]&gt;tblWorkPackages[[#This Row],[Estimated labor hours]],1,0)</f>
        <v>0</v>
      </c>
      <c r="R1958" s="51">
        <f>tblWorkPackages[[#This Row],[Actual labor hours]]-tblWorkPackages[[#This Row],[Estimated labor hours]]</f>
        <v>-0.2</v>
      </c>
      <c r="S1958" s="51" t="str">
        <f>IF(tblWorkPackages[[#This Row],[Request date serial]]&lt;ValidationStart,"Train 2024",IF(tblWorkPackages[[#This Row],[Request date serial]]&lt;HoldoutStart,"Validation H1","Holdout H2"))</f>
        <v>Train 2024</v>
      </c>
      <c r="T1958" s="51" t="str">
        <f>IF(tblWorkPackages[[#This Row],[Time split]]="Train 2024","",tblWorkPackages[[#This Row],[Estimated labor hours]]+VLOOKUP(tblWorkPackages[[#This Row],[Task type]],'Forecast validation'!$A$14:$E$25,IF(tblWorkPackages[[#This Row],[Time split]]="Validation H1",4,5),FALSE()))</f>
        <v/>
      </c>
      <c r="U1958" s="51" t="str">
        <f>IF(tblWorkPackages[[#This Row],[Calibrated forecast hours]]="","",ABS(tblWorkPackages[[#This Row],[Actual labor hours]]-tblWorkPackages[[#This Row],[Calibrated forecast hours]]))</f>
        <v/>
      </c>
      <c r="V1958" s="51">
        <f>IF(tblWorkPackages[[#This Row],[Time split]]="Train 2024",tblWorkPackages[[#This Row],[Estimated labor hours]],tblWorkPackages[[#This Row],[Calibrated forecast hours]])</f>
        <v>7.7</v>
      </c>
      <c r="W1958" s="64">
        <f>DATEVALUE(tblWorkPackages[[#This Row],[Request date]])</f>
        <v>45473.0</v>
      </c>
      <c r="X1958" s="64">
        <f>DATEVALUE(tblWorkPackages[[#This Row],[Due date]])</f>
        <v>45479.0</v>
      </c>
      <c r="Y1958" s="64">
        <f>DATEVALUE(tblWorkPackages[[#This Row],[Completion date]])</f>
        <v>45478.0</v>
      </c>
      <c r="Z1958" s="64">
        <f>_xlfn.MINIFS(tblLaborEntries[Work date serial],tblLaborEntries[Work package ID],tblWorkPackages[[#This Row],[Work package ID]])</f>
        <v>45477.0</v>
      </c>
      <c r="AA1958" s="64">
        <f>_xlfn.MAXIFS(tblLaborEntries[Work date serial],tblLaborEntries[Work package ID],tblWorkPackages[[#This Row],[Work package ID]])</f>
        <v>45478.0</v>
      </c>
      <c r="AB1958" s="65">
        <f>IF(tblWorkPackages[[#This Row],[Completion date serial]]&gt;tblWorkPackages[[#This Row],[Due date serial]],1,0)</f>
        <v>0</v>
      </c>
      <c r="AC1958" s="65">
        <f>MAX(0,tblWorkPackages[[#This Row],[Completion date serial]]-tblWorkPackages[[#This Row],[Due date serial]])</f>
        <v>0</v>
      </c>
      <c r="AD1958" s="65">
        <f>tblWorkPackages[[#This Row],[First labor date]]-tblWorkPackages[[#This Row],[Request date serial]]</f>
        <v>4</v>
      </c>
      <c r="AE1958" s="65">
        <f>tblWorkPackages[[#This Row],[Last labor date]]-tblWorkPackages[[#This Row],[First labor date]]</f>
        <v>1</v>
      </c>
      <c r="AF1958" s="65">
        <f>tblWorkPackages[[#This Row],[Completion date serial]]-tblWorkPackages[[#This Row],[Last labor date]]</f>
        <v>0</v>
      </c>
      <c r="AG1958" s="65">
        <f>tblWorkPackages[[#This Row],[Completion date serial]]-tblWorkPackages[[#This Row],[Request date serial]]</f>
        <v>5</v>
      </c>
      <c r="AH1958" s="65">
        <f>IFERROR(INDEX(tblParts[Delay days],MATCH(tblWorkPackages[[#This Row],[Work package ID]],tblParts[Work package ID],0)),0)</f>
        <v>0</v>
      </c>
      <c r="AI1958" s="51" t="str">
        <f>IFERROR(INDEX(tblDisruptions[Event type],MATCH(tblWorkPackages[[#This Row],[Work package ID]],tblDisruptions[Work package ID],0)),"None")</f>
        <v>None</v>
      </c>
      <c r="AJ1958" s="51" t="str">
        <f>TEXT(tblWorkPackages[[#This Row],[Due date serial]],"yyyy-mm")</f>
        <v>2024-07</v>
      </c>
    </row>
    <row r="1959" spans="1:36" ht="15" x14ac:dyDescent="0.25">
      <c r="A1959" s="53" t="s">
        <v>2870</v>
      </c>
      <c r="B1959" s="53" t="s">
        <v>141</v>
      </c>
      <c r="C1959" s="53" t="s">
        <v>179</v>
      </c>
      <c r="D1959" s="53" t="s">
        <v>518</v>
      </c>
      <c r="E1959" s="53" t="s">
        <v>242</v>
      </c>
      <c r="F1959" s="53" t="s">
        <v>243</v>
      </c>
      <c r="G1959" s="53" t="s">
        <v>129</v>
      </c>
      <c r="H1959" s="53">
        <v>3</v>
      </c>
      <c r="I1959" s="53" t="s">
        <v>147</v>
      </c>
      <c r="J1959" s="53">
        <v>0</v>
      </c>
      <c r="K1959" s="53">
        <v>0</v>
      </c>
      <c r="L1959" s="53">
        <v>12.8</v>
      </c>
      <c r="M1959" s="53" t="s">
        <v>518</v>
      </c>
      <c r="N1959" s="53">
        <v>10</v>
      </c>
      <c r="O1959" s="51" t="str">
        <f>TEXT(tblWorkPackages[[#This Row],[Request date serial]]-WEEKDAY(tblWorkPackages[[#This Row],[Request date serial]],3),"yyyy-mm-dd")</f>
        <v>2025-05-12</v>
      </c>
      <c r="P1959" s="51">
        <f>ABS(tblWorkPackages[[#This Row],[Actual labor hours]]-tblWorkPackages[[#This Row],[Estimated labor hours]])</f>
        <v>2.8</v>
      </c>
      <c r="Q1959" s="51">
        <f>IF(tblWorkPackages[[#This Row],[Actual labor hours]]&gt;tblWorkPackages[[#This Row],[Estimated labor hours]],1,0)</f>
        <v>0</v>
      </c>
      <c r="R1959" s="51">
        <f>tblWorkPackages[[#This Row],[Actual labor hours]]-tblWorkPackages[[#This Row],[Estimated labor hours]]</f>
        <v>-2.8</v>
      </c>
      <c r="S1959" s="51" t="str">
        <f>IF(tblWorkPackages[[#This Row],[Request date serial]]&lt;ValidationStart,"Train 2024",IF(tblWorkPackages[[#This Row],[Request date serial]]&lt;HoldoutStart,"Validation H1","Holdout H2"))</f>
        <v>Validation H1</v>
      </c>
      <c r="T1959" s="51">
        <f>IF(tblWorkPackages[[#This Row],[Time split]]="Train 2024","",tblWorkPackages[[#This Row],[Estimated labor hours]]+VLOOKUP(tblWorkPackages[[#This Row],[Task type]],'Forecast validation'!$A$14:$E$25,IF(tblWorkPackages[[#This Row],[Time split]]="Validation H1",4,5),FALSE()))</f>
        <v>13.3561224489796</v>
      </c>
      <c r="U1959" s="51">
        <f>IF(tblWorkPackages[[#This Row],[Calibrated forecast hours]]="","",ABS(tblWorkPackages[[#This Row],[Actual labor hours]]-tblWorkPackages[[#This Row],[Calibrated forecast hours]]))</f>
        <v>3.35612244897959</v>
      </c>
      <c r="V1959" s="51">
        <f>IF(tblWorkPackages[[#This Row],[Time split]]="Train 2024",tblWorkPackages[[#This Row],[Estimated labor hours]],tblWorkPackages[[#This Row],[Calibrated forecast hours]])</f>
        <v>13.3561224489796</v>
      </c>
      <c r="W1959" s="64">
        <f>DATEVALUE(tblWorkPackages[[#This Row],[Request date]])</f>
        <v>45792.0</v>
      </c>
      <c r="X1959" s="64">
        <f>DATEVALUE(tblWorkPackages[[#This Row],[Due date]])</f>
        <v>45794.0</v>
      </c>
      <c r="Y1959" s="64">
        <f>DATEVALUE(tblWorkPackages[[#This Row],[Completion date]])</f>
        <v>45794.0</v>
      </c>
      <c r="Z1959" s="64">
        <f>_xlfn.MINIFS(tblLaborEntries[Work date serial],tblLaborEntries[Work package ID],tblWorkPackages[[#This Row],[Work package ID]])</f>
        <v>45793.0</v>
      </c>
      <c r="AA1959" s="64">
        <f>_xlfn.MAXIFS(tblLaborEntries[Work date serial],tblLaborEntries[Work package ID],tblWorkPackages[[#This Row],[Work package ID]])</f>
        <v>45793.0</v>
      </c>
      <c r="AB1959" s="65">
        <f>IF(tblWorkPackages[[#This Row],[Completion date serial]]&gt;tblWorkPackages[[#This Row],[Due date serial]],1,0)</f>
        <v>0</v>
      </c>
      <c r="AC1959" s="65">
        <f>MAX(0,tblWorkPackages[[#This Row],[Completion date serial]]-tblWorkPackages[[#This Row],[Due date serial]])</f>
        <v>0</v>
      </c>
      <c r="AD1959" s="65">
        <f>tblWorkPackages[[#This Row],[First labor date]]-tblWorkPackages[[#This Row],[Request date serial]]</f>
        <v>1</v>
      </c>
      <c r="AE1959" s="65">
        <f>tblWorkPackages[[#This Row],[Last labor date]]-tblWorkPackages[[#This Row],[First labor date]]</f>
        <v>0</v>
      </c>
      <c r="AF1959" s="65">
        <f>tblWorkPackages[[#This Row],[Completion date serial]]-tblWorkPackages[[#This Row],[Last labor date]]</f>
        <v>1</v>
      </c>
      <c r="AG1959" s="65">
        <f>tblWorkPackages[[#This Row],[Completion date serial]]-tblWorkPackages[[#This Row],[Request date serial]]</f>
        <v>2</v>
      </c>
      <c r="AH1959" s="65">
        <f>IFERROR(INDEX(tblParts[Delay days],MATCH(tblWorkPackages[[#This Row],[Work package ID]],tblParts[Work package ID],0)),0)</f>
        <v>0</v>
      </c>
      <c r="AI1959" s="51" t="str">
        <f>IFERROR(INDEX(tblDisruptions[Event type],MATCH(tblWorkPackages[[#This Row],[Work package ID]],tblDisruptions[Work package ID],0)),"None")</f>
        <v>None</v>
      </c>
      <c r="AJ1959" s="51" t="str">
        <f>TEXT(tblWorkPackages[[#This Row],[Due date serial]],"yyyy-mm")</f>
        <v>2025-05</v>
      </c>
    </row>
    <row r="1960" spans="1:36" ht="15" x14ac:dyDescent="0.25">
      <c r="A1960" s="53" t="s">
        <v>2871</v>
      </c>
      <c r="B1960" s="53" t="s">
        <v>287</v>
      </c>
      <c r="C1960" s="53" t="s">
        <v>1965</v>
      </c>
      <c r="D1960" s="53" t="s">
        <v>441</v>
      </c>
      <c r="E1960" s="53" t="s">
        <v>136</v>
      </c>
      <c r="F1960" s="53" t="s">
        <v>137</v>
      </c>
      <c r="G1960" s="53" t="s">
        <v>138</v>
      </c>
      <c r="H1960" s="53">
        <v>1</v>
      </c>
      <c r="I1960" s="53" t="s">
        <v>130</v>
      </c>
      <c r="J1960" s="53">
        <v>0</v>
      </c>
      <c r="K1960" s="53">
        <v>0</v>
      </c>
      <c r="L1960" s="53">
        <v>9.6</v>
      </c>
      <c r="M1960" s="53" t="s">
        <v>1831</v>
      </c>
      <c r="N1960" s="53">
        <v>12.1</v>
      </c>
      <c r="O1960" s="51" t="str">
        <f>TEXT(tblWorkPackages[[#This Row],[Request date serial]]-WEEKDAY(tblWorkPackages[[#This Row],[Request date serial]],3),"yyyy-mm-dd")</f>
        <v>2024-01-08</v>
      </c>
      <c r="P1960" s="51">
        <f>ABS(tblWorkPackages[[#This Row],[Actual labor hours]]-tblWorkPackages[[#This Row],[Estimated labor hours]])</f>
        <v>2.5</v>
      </c>
      <c r="Q1960" s="51">
        <f>IF(tblWorkPackages[[#This Row],[Actual labor hours]]&gt;tblWorkPackages[[#This Row],[Estimated labor hours]],1,0)</f>
        <v>1</v>
      </c>
      <c r="R1960" s="51">
        <f>tblWorkPackages[[#This Row],[Actual labor hours]]-tblWorkPackages[[#This Row],[Estimated labor hours]]</f>
        <v>2.5</v>
      </c>
      <c r="S1960" s="51" t="str">
        <f>IF(tblWorkPackages[[#This Row],[Request date serial]]&lt;ValidationStart,"Train 2024",IF(tblWorkPackages[[#This Row],[Request date serial]]&lt;HoldoutStart,"Validation H1","Holdout H2"))</f>
        <v>Train 2024</v>
      </c>
      <c r="T1960" s="51" t="str">
        <f>IF(tblWorkPackages[[#This Row],[Time split]]="Train 2024","",tblWorkPackages[[#This Row],[Estimated labor hours]]+VLOOKUP(tblWorkPackages[[#This Row],[Task type]],'Forecast validation'!$A$14:$E$25,IF(tblWorkPackages[[#This Row],[Time split]]="Validation H1",4,5),FALSE()))</f>
        <v/>
      </c>
      <c r="U1960" s="51" t="str">
        <f>IF(tblWorkPackages[[#This Row],[Calibrated forecast hours]]="","",ABS(tblWorkPackages[[#This Row],[Actual labor hours]]-tblWorkPackages[[#This Row],[Calibrated forecast hours]]))</f>
        <v/>
      </c>
      <c r="V1960" s="51">
        <f>IF(tblWorkPackages[[#This Row],[Time split]]="Train 2024",tblWorkPackages[[#This Row],[Estimated labor hours]],tblWorkPackages[[#This Row],[Calibrated forecast hours]])</f>
        <v>9.6</v>
      </c>
      <c r="W1960" s="64">
        <f>DATEVALUE(tblWorkPackages[[#This Row],[Request date]])</f>
        <v>45304.0</v>
      </c>
      <c r="X1960" s="64">
        <f>DATEVALUE(tblWorkPackages[[#This Row],[Due date]])</f>
        <v>45317.0</v>
      </c>
      <c r="Y1960" s="64">
        <f>DATEVALUE(tblWorkPackages[[#This Row],[Completion date]])</f>
        <v>45321.0</v>
      </c>
      <c r="Z1960" s="64">
        <f>_xlfn.MINIFS(tblLaborEntries[Work date serial],tblLaborEntries[Work package ID],tblWorkPackages[[#This Row],[Work package ID]])</f>
        <v>45317.0</v>
      </c>
      <c r="AA1960" s="64">
        <f>_xlfn.MAXIFS(tblLaborEntries[Work date serial],tblLaborEntries[Work package ID],tblWorkPackages[[#This Row],[Work package ID]])</f>
        <v>45319.0</v>
      </c>
      <c r="AB1960" s="65">
        <f>IF(tblWorkPackages[[#This Row],[Completion date serial]]&gt;tblWorkPackages[[#This Row],[Due date serial]],1,0)</f>
        <v>1</v>
      </c>
      <c r="AC1960" s="65">
        <f>MAX(0,tblWorkPackages[[#This Row],[Completion date serial]]-tblWorkPackages[[#This Row],[Due date serial]])</f>
        <v>4</v>
      </c>
      <c r="AD1960" s="65">
        <f>tblWorkPackages[[#This Row],[First labor date]]-tblWorkPackages[[#This Row],[Request date serial]]</f>
        <v>13</v>
      </c>
      <c r="AE1960" s="65">
        <f>tblWorkPackages[[#This Row],[Last labor date]]-tblWorkPackages[[#This Row],[First labor date]]</f>
        <v>2</v>
      </c>
      <c r="AF1960" s="65">
        <f>tblWorkPackages[[#This Row],[Completion date serial]]-tblWorkPackages[[#This Row],[Last labor date]]</f>
        <v>2</v>
      </c>
      <c r="AG1960" s="65">
        <f>tblWorkPackages[[#This Row],[Completion date serial]]-tblWorkPackages[[#This Row],[Request date serial]]</f>
        <v>17</v>
      </c>
      <c r="AH1960" s="65">
        <f>IFERROR(INDEX(tblParts[Delay days],MATCH(tblWorkPackages[[#This Row],[Work package ID]],tblParts[Work package ID],0)),0)</f>
        <v>0</v>
      </c>
      <c r="AI1960" s="51" t="str">
        <f>IFERROR(INDEX(tblDisruptions[Event type],MATCH(tblWorkPackages[[#This Row],[Work package ID]],tblDisruptions[Work package ID],0)),"None")</f>
        <v>None</v>
      </c>
      <c r="AJ1960" s="51" t="str">
        <f>TEXT(tblWorkPackages[[#This Row],[Due date serial]],"yyyy-mm")</f>
        <v>2024-01</v>
      </c>
    </row>
    <row r="1961" spans="1:36" ht="15" x14ac:dyDescent="0.25">
      <c r="A1961" s="53" t="s">
        <v>2872</v>
      </c>
      <c r="B1961" s="53" t="s">
        <v>141</v>
      </c>
      <c r="C1961" s="53" t="s">
        <v>1238</v>
      </c>
      <c r="D1961" s="53" t="s">
        <v>213</v>
      </c>
      <c r="E1961" s="53" t="s">
        <v>223</v>
      </c>
      <c r="F1961" s="53" t="s">
        <v>182</v>
      </c>
      <c r="G1961" s="53" t="s">
        <v>154</v>
      </c>
      <c r="H1961" s="53">
        <v>4</v>
      </c>
      <c r="I1961" s="53" t="s">
        <v>147</v>
      </c>
      <c r="J1961" s="53">
        <v>0</v>
      </c>
      <c r="K1961" s="53">
        <v>0</v>
      </c>
      <c r="L1961" s="53">
        <v>22.5</v>
      </c>
      <c r="M1961" s="53" t="s">
        <v>214</v>
      </c>
      <c r="N1961" s="53">
        <v>25.1</v>
      </c>
      <c r="O1961" s="51" t="str">
        <f>TEXT(tblWorkPackages[[#This Row],[Request date serial]]-WEEKDAY(tblWorkPackages[[#This Row],[Request date serial]],3),"yyyy-mm-dd")</f>
        <v>2024-01-08</v>
      </c>
      <c r="P1961" s="51">
        <f>ABS(tblWorkPackages[[#This Row],[Actual labor hours]]-tblWorkPackages[[#This Row],[Estimated labor hours]])</f>
        <v>2.6</v>
      </c>
      <c r="Q1961" s="51">
        <f>IF(tblWorkPackages[[#This Row],[Actual labor hours]]&gt;tblWorkPackages[[#This Row],[Estimated labor hours]],1,0)</f>
        <v>1</v>
      </c>
      <c r="R1961" s="51">
        <f>tblWorkPackages[[#This Row],[Actual labor hours]]-tblWorkPackages[[#This Row],[Estimated labor hours]]</f>
        <v>2.6</v>
      </c>
      <c r="S1961" s="51" t="str">
        <f>IF(tblWorkPackages[[#This Row],[Request date serial]]&lt;ValidationStart,"Train 2024",IF(tblWorkPackages[[#This Row],[Request date serial]]&lt;HoldoutStart,"Validation H1","Holdout H2"))</f>
        <v>Train 2024</v>
      </c>
      <c r="T1961" s="51" t="str">
        <f>IF(tblWorkPackages[[#This Row],[Time split]]="Train 2024","",tblWorkPackages[[#This Row],[Estimated labor hours]]+VLOOKUP(tblWorkPackages[[#This Row],[Task type]],'Forecast validation'!$A$14:$E$25,IF(tblWorkPackages[[#This Row],[Time split]]="Validation H1",4,5),FALSE()))</f>
        <v/>
      </c>
      <c r="U1961" s="51" t="str">
        <f>IF(tblWorkPackages[[#This Row],[Calibrated forecast hours]]="","",ABS(tblWorkPackages[[#This Row],[Actual labor hours]]-tblWorkPackages[[#This Row],[Calibrated forecast hours]]))</f>
        <v/>
      </c>
      <c r="V1961" s="51">
        <f>IF(tblWorkPackages[[#This Row],[Time split]]="Train 2024",tblWorkPackages[[#This Row],[Estimated labor hours]],tblWorkPackages[[#This Row],[Calibrated forecast hours]])</f>
        <v>22.5</v>
      </c>
      <c r="W1961" s="64">
        <f>DATEVALUE(tblWorkPackages[[#This Row],[Request date]])</f>
        <v>45303.0</v>
      </c>
      <c r="X1961" s="64">
        <f>DATEVALUE(tblWorkPackages[[#This Row],[Due date]])</f>
        <v>45305.0</v>
      </c>
      <c r="Y1961" s="64">
        <f>DATEVALUE(tblWorkPackages[[#This Row],[Completion date]])</f>
        <v>45311.0</v>
      </c>
      <c r="Z1961" s="64">
        <f>_xlfn.MINIFS(tblLaborEntries[Work date serial],tblLaborEntries[Work package ID],tblWorkPackages[[#This Row],[Work package ID]])</f>
        <v>45306.0</v>
      </c>
      <c r="AA1961" s="64">
        <f>_xlfn.MAXIFS(tblLaborEntries[Work date serial],tblLaborEntries[Work package ID],tblWorkPackages[[#This Row],[Work package ID]])</f>
        <v>45308.0</v>
      </c>
      <c r="AB1961" s="65">
        <f>IF(tblWorkPackages[[#This Row],[Completion date serial]]&gt;tblWorkPackages[[#This Row],[Due date serial]],1,0)</f>
        <v>1</v>
      </c>
      <c r="AC1961" s="65">
        <f>MAX(0,tblWorkPackages[[#This Row],[Completion date serial]]-tblWorkPackages[[#This Row],[Due date serial]])</f>
        <v>6</v>
      </c>
      <c r="AD1961" s="65">
        <f>tblWorkPackages[[#This Row],[First labor date]]-tblWorkPackages[[#This Row],[Request date serial]]</f>
        <v>3</v>
      </c>
      <c r="AE1961" s="65">
        <f>tblWorkPackages[[#This Row],[Last labor date]]-tblWorkPackages[[#This Row],[First labor date]]</f>
        <v>2</v>
      </c>
      <c r="AF1961" s="65">
        <f>tblWorkPackages[[#This Row],[Completion date serial]]-tblWorkPackages[[#This Row],[Last labor date]]</f>
        <v>3</v>
      </c>
      <c r="AG1961" s="65">
        <f>tblWorkPackages[[#This Row],[Completion date serial]]-tblWorkPackages[[#This Row],[Request date serial]]</f>
        <v>8</v>
      </c>
      <c r="AH1961" s="65">
        <f>IFERROR(INDEX(tblParts[Delay days],MATCH(tblWorkPackages[[#This Row],[Work package ID]],tblParts[Work package ID],0)),0)</f>
        <v>0</v>
      </c>
      <c r="AI1961" s="51" t="str">
        <f>IFERROR(INDEX(tblDisruptions[Event type],MATCH(tblWorkPackages[[#This Row],[Work package ID]],tblDisruptions[Work package ID],0)),"None")</f>
        <v>None</v>
      </c>
      <c r="AJ1961" s="51" t="str">
        <f>TEXT(tblWorkPackages[[#This Row],[Due date serial]],"yyyy-mm")</f>
        <v>2024-01</v>
      </c>
    </row>
    <row r="1962" spans="1:36" ht="15" x14ac:dyDescent="0.25">
      <c r="A1962" s="53" t="s">
        <v>2873</v>
      </c>
      <c r="B1962" s="53" t="s">
        <v>250</v>
      </c>
      <c r="C1962" s="53" t="s">
        <v>2092</v>
      </c>
      <c r="D1962" s="53" t="s">
        <v>351</v>
      </c>
      <c r="E1962" s="53" t="s">
        <v>242</v>
      </c>
      <c r="F1962" s="53" t="s">
        <v>243</v>
      </c>
      <c r="G1962" s="53" t="s">
        <v>129</v>
      </c>
      <c r="H1962" s="53">
        <v>4</v>
      </c>
      <c r="I1962" s="53" t="s">
        <v>176</v>
      </c>
      <c r="J1962" s="53">
        <v>0</v>
      </c>
      <c r="K1962" s="53">
        <v>1</v>
      </c>
      <c r="L1962" s="53">
        <v>15.6</v>
      </c>
      <c r="M1962" s="53" t="s">
        <v>655</v>
      </c>
      <c r="N1962" s="53">
        <v>22.4</v>
      </c>
      <c r="O1962" s="51" t="str">
        <f>TEXT(tblWorkPackages[[#This Row],[Request date serial]]-WEEKDAY(tblWorkPackages[[#This Row],[Request date serial]],3),"yyyy-mm-dd")</f>
        <v>2024-01-22</v>
      </c>
      <c r="P1962" s="51">
        <f>ABS(tblWorkPackages[[#This Row],[Actual labor hours]]-tblWorkPackages[[#This Row],[Estimated labor hours]])</f>
        <v>6.8</v>
      </c>
      <c r="Q1962" s="51">
        <f>IF(tblWorkPackages[[#This Row],[Actual labor hours]]&gt;tblWorkPackages[[#This Row],[Estimated labor hours]],1,0)</f>
        <v>1</v>
      </c>
      <c r="R1962" s="51">
        <f>tblWorkPackages[[#This Row],[Actual labor hours]]-tblWorkPackages[[#This Row],[Estimated labor hours]]</f>
        <v>6.8</v>
      </c>
      <c r="S1962" s="51" t="str">
        <f>IF(tblWorkPackages[[#This Row],[Request date serial]]&lt;ValidationStart,"Train 2024",IF(tblWorkPackages[[#This Row],[Request date serial]]&lt;HoldoutStart,"Validation H1","Holdout H2"))</f>
        <v>Train 2024</v>
      </c>
      <c r="T1962" s="51" t="str">
        <f>IF(tblWorkPackages[[#This Row],[Time split]]="Train 2024","",tblWorkPackages[[#This Row],[Estimated labor hours]]+VLOOKUP(tblWorkPackages[[#This Row],[Task type]],'Forecast validation'!$A$14:$E$25,IF(tblWorkPackages[[#This Row],[Time split]]="Validation H1",4,5),FALSE()))</f>
        <v/>
      </c>
      <c r="U1962" s="51" t="str">
        <f>IF(tblWorkPackages[[#This Row],[Calibrated forecast hours]]="","",ABS(tblWorkPackages[[#This Row],[Actual labor hours]]-tblWorkPackages[[#This Row],[Calibrated forecast hours]]))</f>
        <v/>
      </c>
      <c r="V1962" s="51">
        <f>IF(tblWorkPackages[[#This Row],[Time split]]="Train 2024",tblWorkPackages[[#This Row],[Estimated labor hours]],tblWorkPackages[[#This Row],[Calibrated forecast hours]])</f>
        <v>15.6</v>
      </c>
      <c r="W1962" s="64">
        <f>DATEVALUE(tblWorkPackages[[#This Row],[Request date]])</f>
        <v>45313.0</v>
      </c>
      <c r="X1962" s="64">
        <f>DATEVALUE(tblWorkPackages[[#This Row],[Due date]])</f>
        <v>45319.0</v>
      </c>
      <c r="Y1962" s="64">
        <f>DATEVALUE(tblWorkPackages[[#This Row],[Completion date]])</f>
        <v>45369.0</v>
      </c>
      <c r="Z1962" s="64">
        <f>_xlfn.MINIFS(tblLaborEntries[Work date serial],tblLaborEntries[Work package ID],tblWorkPackages[[#This Row],[Work package ID]])</f>
        <v>45369.0</v>
      </c>
      <c r="AA1962" s="64">
        <f>_xlfn.MAXIFS(tblLaborEntries[Work date serial],tblLaborEntries[Work package ID],tblWorkPackages[[#This Row],[Work package ID]])</f>
        <v>45369.0</v>
      </c>
      <c r="AB1962" s="65">
        <f>IF(tblWorkPackages[[#This Row],[Completion date serial]]&gt;tblWorkPackages[[#This Row],[Due date serial]],1,0)</f>
        <v>1</v>
      </c>
      <c r="AC1962" s="65">
        <f>MAX(0,tblWorkPackages[[#This Row],[Completion date serial]]-tblWorkPackages[[#This Row],[Due date serial]])</f>
        <v>50</v>
      </c>
      <c r="AD1962" s="65">
        <f>tblWorkPackages[[#This Row],[First labor date]]-tblWorkPackages[[#This Row],[Request date serial]]</f>
        <v>56</v>
      </c>
      <c r="AE1962" s="65">
        <f>tblWorkPackages[[#This Row],[Last labor date]]-tblWorkPackages[[#This Row],[First labor date]]</f>
        <v>0</v>
      </c>
      <c r="AF1962" s="65">
        <f>tblWorkPackages[[#This Row],[Completion date serial]]-tblWorkPackages[[#This Row],[Last labor date]]</f>
        <v>0</v>
      </c>
      <c r="AG1962" s="65">
        <f>tblWorkPackages[[#This Row],[Completion date serial]]-tblWorkPackages[[#This Row],[Request date serial]]</f>
        <v>56</v>
      </c>
      <c r="AH1962" s="65">
        <f>IFERROR(INDEX(tblParts[Delay days],MATCH(tblWorkPackages[[#This Row],[Work package ID]],tblParts[Work package ID],0)),0)</f>
        <v>12</v>
      </c>
      <c r="AI1962" s="51" t="str">
        <f>IFERROR(INDEX(tblDisruptions[Event type],MATCH(tblWorkPackages[[#This Row],[Work package ID]],tblDisruptions[Work package ID],0)),"None")</f>
        <v>Part delay</v>
      </c>
      <c r="AJ1962" s="51" t="str">
        <f>TEXT(tblWorkPackages[[#This Row],[Due date serial]],"yyyy-mm")</f>
        <v>2024-01</v>
      </c>
    </row>
    <row r="1963" spans="1:36" ht="15" x14ac:dyDescent="0.25">
      <c r="A1963" s="53" t="s">
        <v>2874</v>
      </c>
      <c r="B1963" s="53" t="s">
        <v>185</v>
      </c>
      <c r="C1963" s="53" t="s">
        <v>818</v>
      </c>
      <c r="D1963" s="53" t="s">
        <v>1417</v>
      </c>
      <c r="E1963" s="53" t="s">
        <v>181</v>
      </c>
      <c r="F1963" s="53" t="s">
        <v>182</v>
      </c>
      <c r="G1963" s="53" t="s">
        <v>138</v>
      </c>
      <c r="H1963" s="53">
        <v>4</v>
      </c>
      <c r="I1963" s="53" t="s">
        <v>130</v>
      </c>
      <c r="J1963" s="53">
        <v>0</v>
      </c>
      <c r="K1963" s="53">
        <v>0</v>
      </c>
      <c r="L1963" s="53">
        <v>13.9</v>
      </c>
      <c r="M1963" s="53" t="s">
        <v>252</v>
      </c>
      <c r="N1963" s="53">
        <v>13.2</v>
      </c>
      <c r="O1963" s="51" t="str">
        <f>TEXT(tblWorkPackages[[#This Row],[Request date serial]]-WEEKDAY(tblWorkPackages[[#This Row],[Request date serial]],3),"yyyy-mm-dd")</f>
        <v>2024-12-16</v>
      </c>
      <c r="P1963" s="51">
        <f>ABS(tblWorkPackages[[#This Row],[Actual labor hours]]-tblWorkPackages[[#This Row],[Estimated labor hours]])</f>
        <v>0.700000000000001</v>
      </c>
      <c r="Q1963" s="51">
        <f>IF(tblWorkPackages[[#This Row],[Actual labor hours]]&gt;tblWorkPackages[[#This Row],[Estimated labor hours]],1,0)</f>
        <v>0</v>
      </c>
      <c r="R1963" s="51">
        <f>tblWorkPackages[[#This Row],[Actual labor hours]]-tblWorkPackages[[#This Row],[Estimated labor hours]]</f>
        <v>-0.700000000000001</v>
      </c>
      <c r="S1963" s="51" t="str">
        <f>IF(tblWorkPackages[[#This Row],[Request date serial]]&lt;ValidationStart,"Train 2024",IF(tblWorkPackages[[#This Row],[Request date serial]]&lt;HoldoutStart,"Validation H1","Holdout H2"))</f>
        <v>Train 2024</v>
      </c>
      <c r="T1963" s="51" t="str">
        <f>IF(tblWorkPackages[[#This Row],[Time split]]="Train 2024","",tblWorkPackages[[#This Row],[Estimated labor hours]]+VLOOKUP(tblWorkPackages[[#This Row],[Task type]],'Forecast validation'!$A$14:$E$25,IF(tblWorkPackages[[#This Row],[Time split]]="Validation H1",4,5),FALSE()))</f>
        <v/>
      </c>
      <c r="U1963" s="51" t="str">
        <f>IF(tblWorkPackages[[#This Row],[Calibrated forecast hours]]="","",ABS(tblWorkPackages[[#This Row],[Actual labor hours]]-tblWorkPackages[[#This Row],[Calibrated forecast hours]]))</f>
        <v/>
      </c>
      <c r="V1963" s="51">
        <f>IF(tblWorkPackages[[#This Row],[Time split]]="Train 2024",tblWorkPackages[[#This Row],[Estimated labor hours]],tblWorkPackages[[#This Row],[Calibrated forecast hours]])</f>
        <v>13.9</v>
      </c>
      <c r="W1963" s="64">
        <f>DATEVALUE(tblWorkPackages[[#This Row],[Request date]])</f>
        <v>45643.0</v>
      </c>
      <c r="X1963" s="64">
        <f>DATEVALUE(tblWorkPackages[[#This Row],[Due date]])</f>
        <v>45656.0</v>
      </c>
      <c r="Y1963" s="64">
        <f>DATEVALUE(tblWorkPackages[[#This Row],[Completion date]])</f>
        <v>45654.0</v>
      </c>
      <c r="Z1963" s="64">
        <f>_xlfn.MINIFS(tblLaborEntries[Work date serial],tblLaborEntries[Work package ID],tblWorkPackages[[#This Row],[Work package ID]])</f>
        <v>45651.0</v>
      </c>
      <c r="AA1963" s="64">
        <f>_xlfn.MAXIFS(tblLaborEntries[Work date serial],tblLaborEntries[Work package ID],tblWorkPackages[[#This Row],[Work package ID]])</f>
        <v>45653.0</v>
      </c>
      <c r="AB1963" s="65">
        <f>IF(tblWorkPackages[[#This Row],[Completion date serial]]&gt;tblWorkPackages[[#This Row],[Due date serial]],1,0)</f>
        <v>0</v>
      </c>
      <c r="AC1963" s="65">
        <f>MAX(0,tblWorkPackages[[#This Row],[Completion date serial]]-tblWorkPackages[[#This Row],[Due date serial]])</f>
        <v>0</v>
      </c>
      <c r="AD1963" s="65">
        <f>tblWorkPackages[[#This Row],[First labor date]]-tblWorkPackages[[#This Row],[Request date serial]]</f>
        <v>8</v>
      </c>
      <c r="AE1963" s="65">
        <f>tblWorkPackages[[#This Row],[Last labor date]]-tblWorkPackages[[#This Row],[First labor date]]</f>
        <v>2</v>
      </c>
      <c r="AF1963" s="65">
        <f>tblWorkPackages[[#This Row],[Completion date serial]]-tblWorkPackages[[#This Row],[Last labor date]]</f>
        <v>1</v>
      </c>
      <c r="AG1963" s="65">
        <f>tblWorkPackages[[#This Row],[Completion date serial]]-tblWorkPackages[[#This Row],[Request date serial]]</f>
        <v>11</v>
      </c>
      <c r="AH1963" s="65">
        <f>IFERROR(INDEX(tblParts[Delay days],MATCH(tblWorkPackages[[#This Row],[Work package ID]],tblParts[Work package ID],0)),0)</f>
        <v>0</v>
      </c>
      <c r="AI1963" s="51" t="str">
        <f>IFERROR(INDEX(tblDisruptions[Event type],MATCH(tblWorkPackages[[#This Row],[Work package ID]],tblDisruptions[Work package ID],0)),"None")</f>
        <v>None</v>
      </c>
      <c r="AJ1963" s="51" t="str">
        <f>TEXT(tblWorkPackages[[#This Row],[Due date serial]],"yyyy-mm")</f>
        <v>2024-12</v>
      </c>
    </row>
    <row r="1964" spans="1:36" ht="15" x14ac:dyDescent="0.25">
      <c r="A1964" s="53" t="s">
        <v>2875</v>
      </c>
      <c r="B1964" s="53" t="s">
        <v>168</v>
      </c>
      <c r="C1964" s="53" t="s">
        <v>466</v>
      </c>
      <c r="D1964" s="53" t="s">
        <v>1218</v>
      </c>
      <c r="E1964" s="53" t="s">
        <v>223</v>
      </c>
      <c r="F1964" s="53" t="s">
        <v>182</v>
      </c>
      <c r="G1964" s="53" t="s">
        <v>154</v>
      </c>
      <c r="H1964" s="53">
        <v>1</v>
      </c>
      <c r="I1964" s="53" t="s">
        <v>130</v>
      </c>
      <c r="J1964" s="53">
        <v>0</v>
      </c>
      <c r="K1964" s="53">
        <v>0</v>
      </c>
      <c r="L1964" s="53">
        <v>9.1999999999999993</v>
      </c>
      <c r="M1964" s="53" t="s">
        <v>1446</v>
      </c>
      <c r="N1964" s="53">
        <v>9</v>
      </c>
      <c r="O1964" s="51" t="str">
        <f>TEXT(tblWorkPackages[[#This Row],[Request date serial]]-WEEKDAY(tblWorkPackages[[#This Row],[Request date serial]],3),"yyyy-mm-dd")</f>
        <v>2025-03-24</v>
      </c>
      <c r="P1964" s="51">
        <f>ABS(tblWorkPackages[[#This Row],[Actual labor hours]]-tblWorkPackages[[#This Row],[Estimated labor hours]])</f>
        <v>0.199999999999999</v>
      </c>
      <c r="Q1964" s="51">
        <f>IF(tblWorkPackages[[#This Row],[Actual labor hours]]&gt;tblWorkPackages[[#This Row],[Estimated labor hours]],1,0)</f>
        <v>0</v>
      </c>
      <c r="R1964" s="51">
        <f>tblWorkPackages[[#This Row],[Actual labor hours]]-tblWorkPackages[[#This Row],[Estimated labor hours]]</f>
        <v>-0.199999999999999</v>
      </c>
      <c r="S1964" s="51" t="str">
        <f>IF(tblWorkPackages[[#This Row],[Request date serial]]&lt;ValidationStart,"Train 2024",IF(tblWorkPackages[[#This Row],[Request date serial]]&lt;HoldoutStart,"Validation H1","Holdout H2"))</f>
        <v>Validation H1</v>
      </c>
      <c r="T1964" s="51">
        <f>IF(tblWorkPackages[[#This Row],[Time split]]="Train 2024","",tblWorkPackages[[#This Row],[Estimated labor hours]]+VLOOKUP(tblWorkPackages[[#This Row],[Task type]],'Forecast validation'!$A$14:$E$25,IF(tblWorkPackages[[#This Row],[Time split]]="Validation H1",4,5),FALSE()))</f>
        <v>10.0824175824176</v>
      </c>
      <c r="U1964" s="51">
        <f>IF(tblWorkPackages[[#This Row],[Calibrated forecast hours]]="","",ABS(tblWorkPackages[[#This Row],[Actual labor hours]]-tblWorkPackages[[#This Row],[Calibrated forecast hours]]))</f>
        <v>1.08241758241758</v>
      </c>
      <c r="V1964" s="51">
        <f>IF(tblWorkPackages[[#This Row],[Time split]]="Train 2024",tblWorkPackages[[#This Row],[Estimated labor hours]],tblWorkPackages[[#This Row],[Calibrated forecast hours]])</f>
        <v>10.0824175824176</v>
      </c>
      <c r="W1964" s="64">
        <f>DATEVALUE(tblWorkPackages[[#This Row],[Request date]])</f>
        <v>45746.0</v>
      </c>
      <c r="X1964" s="64">
        <f>DATEVALUE(tblWorkPackages[[#This Row],[Due date]])</f>
        <v>45759.0</v>
      </c>
      <c r="Y1964" s="64">
        <f>DATEVALUE(tblWorkPackages[[#This Row],[Completion date]])</f>
        <v>45751.0</v>
      </c>
      <c r="Z1964" s="64">
        <f>_xlfn.MINIFS(tblLaborEntries[Work date serial],tblLaborEntries[Work package ID],tblWorkPackages[[#This Row],[Work package ID]])</f>
        <v>45748.0</v>
      </c>
      <c r="AA1964" s="64">
        <f>_xlfn.MAXIFS(tblLaborEntries[Work date serial],tblLaborEntries[Work package ID],tblWorkPackages[[#This Row],[Work package ID]])</f>
        <v>45749.0</v>
      </c>
      <c r="AB1964" s="65">
        <f>IF(tblWorkPackages[[#This Row],[Completion date serial]]&gt;tblWorkPackages[[#This Row],[Due date serial]],1,0)</f>
        <v>0</v>
      </c>
      <c r="AC1964" s="65">
        <f>MAX(0,tblWorkPackages[[#This Row],[Completion date serial]]-tblWorkPackages[[#This Row],[Due date serial]])</f>
        <v>0</v>
      </c>
      <c r="AD1964" s="65">
        <f>tblWorkPackages[[#This Row],[First labor date]]-tblWorkPackages[[#This Row],[Request date serial]]</f>
        <v>2</v>
      </c>
      <c r="AE1964" s="65">
        <f>tblWorkPackages[[#This Row],[Last labor date]]-tblWorkPackages[[#This Row],[First labor date]]</f>
        <v>1</v>
      </c>
      <c r="AF1964" s="65">
        <f>tblWorkPackages[[#This Row],[Completion date serial]]-tblWorkPackages[[#This Row],[Last labor date]]</f>
        <v>2</v>
      </c>
      <c r="AG1964" s="65">
        <f>tblWorkPackages[[#This Row],[Completion date serial]]-tblWorkPackages[[#This Row],[Request date serial]]</f>
        <v>5</v>
      </c>
      <c r="AH1964" s="65">
        <f>IFERROR(INDEX(tblParts[Delay days],MATCH(tblWorkPackages[[#This Row],[Work package ID]],tblParts[Work package ID],0)),0)</f>
        <v>0</v>
      </c>
      <c r="AI1964" s="51" t="str">
        <f>IFERROR(INDEX(tblDisruptions[Event type],MATCH(tblWorkPackages[[#This Row],[Work package ID]],tblDisruptions[Work package ID],0)),"None")</f>
        <v>Repeat inspection</v>
      </c>
      <c r="AJ1964" s="51" t="str">
        <f>TEXT(tblWorkPackages[[#This Row],[Due date serial]],"yyyy-mm")</f>
        <v>2025-04</v>
      </c>
    </row>
    <row r="1965" spans="1:36" ht="15" x14ac:dyDescent="0.25">
      <c r="A1965" s="53" t="s">
        <v>2876</v>
      </c>
      <c r="B1965" s="53" t="s">
        <v>133</v>
      </c>
      <c r="C1965" s="53" t="s">
        <v>719</v>
      </c>
      <c r="D1965" s="53" t="s">
        <v>329</v>
      </c>
      <c r="E1965" s="53" t="s">
        <v>181</v>
      </c>
      <c r="F1965" s="53" t="s">
        <v>182</v>
      </c>
      <c r="G1965" s="53" t="s">
        <v>138</v>
      </c>
      <c r="H1965" s="53">
        <v>3</v>
      </c>
      <c r="I1965" s="53" t="s">
        <v>130</v>
      </c>
      <c r="J1965" s="53">
        <v>0</v>
      </c>
      <c r="K1965" s="53">
        <v>1</v>
      </c>
      <c r="L1965" s="53">
        <v>11</v>
      </c>
      <c r="M1965" s="53" t="s">
        <v>630</v>
      </c>
      <c r="N1965" s="53">
        <v>10.9</v>
      </c>
      <c r="O1965" s="51" t="str">
        <f>TEXT(tblWorkPackages[[#This Row],[Request date serial]]-WEEKDAY(tblWorkPackages[[#This Row],[Request date serial]],3),"yyyy-mm-dd")</f>
        <v>2024-02-26</v>
      </c>
      <c r="P1965" s="51">
        <f>ABS(tblWorkPackages[[#This Row],[Actual labor hours]]-tblWorkPackages[[#This Row],[Estimated labor hours]])</f>
        <v>0.0999999999999996</v>
      </c>
      <c r="Q1965" s="51">
        <f>IF(tblWorkPackages[[#This Row],[Actual labor hours]]&gt;tblWorkPackages[[#This Row],[Estimated labor hours]],1,0)</f>
        <v>0</v>
      </c>
      <c r="R1965" s="51">
        <f>tblWorkPackages[[#This Row],[Actual labor hours]]-tblWorkPackages[[#This Row],[Estimated labor hours]]</f>
        <v>-0.0999999999999996</v>
      </c>
      <c r="S1965" s="51" t="str">
        <f>IF(tblWorkPackages[[#This Row],[Request date serial]]&lt;ValidationStart,"Train 2024",IF(tblWorkPackages[[#This Row],[Request date serial]]&lt;HoldoutStart,"Validation H1","Holdout H2"))</f>
        <v>Train 2024</v>
      </c>
      <c r="T1965" s="51" t="str">
        <f>IF(tblWorkPackages[[#This Row],[Time split]]="Train 2024","",tblWorkPackages[[#This Row],[Estimated labor hours]]+VLOOKUP(tblWorkPackages[[#This Row],[Task type]],'Forecast validation'!$A$14:$E$25,IF(tblWorkPackages[[#This Row],[Time split]]="Validation H1",4,5),FALSE()))</f>
        <v/>
      </c>
      <c r="U1965" s="51" t="str">
        <f>IF(tblWorkPackages[[#This Row],[Calibrated forecast hours]]="","",ABS(tblWorkPackages[[#This Row],[Actual labor hours]]-tblWorkPackages[[#This Row],[Calibrated forecast hours]]))</f>
        <v/>
      </c>
      <c r="V1965" s="51">
        <f>IF(tblWorkPackages[[#This Row],[Time split]]="Train 2024",tblWorkPackages[[#This Row],[Estimated labor hours]],tblWorkPackages[[#This Row],[Calibrated forecast hours]])</f>
        <v>11</v>
      </c>
      <c r="W1965" s="64">
        <f>DATEVALUE(tblWorkPackages[[#This Row],[Request date]])</f>
        <v>45354.0</v>
      </c>
      <c r="X1965" s="64">
        <f>DATEVALUE(tblWorkPackages[[#This Row],[Due date]])</f>
        <v>45367.0</v>
      </c>
      <c r="Y1965" s="64">
        <f>DATEVALUE(tblWorkPackages[[#This Row],[Completion date]])</f>
        <v>45376.0</v>
      </c>
      <c r="Z1965" s="64">
        <f>_xlfn.MINIFS(tblLaborEntries[Work date serial],tblLaborEntries[Work package ID],tblWorkPackages[[#This Row],[Work package ID]])</f>
        <v>45372.0</v>
      </c>
      <c r="AA1965" s="64">
        <f>_xlfn.MAXIFS(tblLaborEntries[Work date serial],tblLaborEntries[Work package ID],tblWorkPackages[[#This Row],[Work package ID]])</f>
        <v>45373.0</v>
      </c>
      <c r="AB1965" s="65">
        <f>IF(tblWorkPackages[[#This Row],[Completion date serial]]&gt;tblWorkPackages[[#This Row],[Due date serial]],1,0)</f>
        <v>1</v>
      </c>
      <c r="AC1965" s="65">
        <f>MAX(0,tblWorkPackages[[#This Row],[Completion date serial]]-tblWorkPackages[[#This Row],[Due date serial]])</f>
        <v>9</v>
      </c>
      <c r="AD1965" s="65">
        <f>tblWorkPackages[[#This Row],[First labor date]]-tblWorkPackages[[#This Row],[Request date serial]]</f>
        <v>18</v>
      </c>
      <c r="AE1965" s="65">
        <f>tblWorkPackages[[#This Row],[Last labor date]]-tblWorkPackages[[#This Row],[First labor date]]</f>
        <v>1</v>
      </c>
      <c r="AF1965" s="65">
        <f>tblWorkPackages[[#This Row],[Completion date serial]]-tblWorkPackages[[#This Row],[Last labor date]]</f>
        <v>3</v>
      </c>
      <c r="AG1965" s="65">
        <f>tblWorkPackages[[#This Row],[Completion date serial]]-tblWorkPackages[[#This Row],[Request date serial]]</f>
        <v>22</v>
      </c>
      <c r="AH1965" s="65">
        <f>IFERROR(INDEX(tblParts[Delay days],MATCH(tblWorkPackages[[#This Row],[Work package ID]],tblParts[Work package ID],0)),0)</f>
        <v>0</v>
      </c>
      <c r="AI1965" s="51" t="str">
        <f>IFERROR(INDEX(tblDisruptions[Event type],MATCH(tblWorkPackages[[#This Row],[Work package ID]],tblDisruptions[Work package ID],0)),"None")</f>
        <v>None</v>
      </c>
      <c r="AJ1965" s="51" t="str">
        <f>TEXT(tblWorkPackages[[#This Row],[Due date serial]],"yyyy-mm")</f>
        <v>2024-03</v>
      </c>
    </row>
    <row r="1966" spans="1:36" ht="15" x14ac:dyDescent="0.25">
      <c r="A1966" s="53" t="s">
        <v>2877</v>
      </c>
      <c r="B1966" s="53" t="s">
        <v>173</v>
      </c>
      <c r="C1966" s="53" t="s">
        <v>603</v>
      </c>
      <c r="D1966" s="53" t="s">
        <v>174</v>
      </c>
      <c r="E1966" s="53" t="s">
        <v>136</v>
      </c>
      <c r="F1966" s="53" t="s">
        <v>137</v>
      </c>
      <c r="G1966" s="53" t="s">
        <v>138</v>
      </c>
      <c r="H1966" s="53">
        <v>3</v>
      </c>
      <c r="I1966" s="53" t="s">
        <v>147</v>
      </c>
      <c r="J1966" s="53">
        <v>0</v>
      </c>
      <c r="K1966" s="53">
        <v>0</v>
      </c>
      <c r="L1966" s="53">
        <v>19.7</v>
      </c>
      <c r="M1966" s="53" t="s">
        <v>502</v>
      </c>
      <c r="N1966" s="53">
        <v>20.6</v>
      </c>
      <c r="O1966" s="51" t="str">
        <f>TEXT(tblWorkPackages[[#This Row],[Request date serial]]-WEEKDAY(tblWorkPackages[[#This Row],[Request date serial]],3),"yyyy-mm-dd")</f>
        <v>2025-06-23</v>
      </c>
      <c r="P1966" s="51">
        <f>ABS(tblWorkPackages[[#This Row],[Actual labor hours]]-tblWorkPackages[[#This Row],[Estimated labor hours]])</f>
        <v>0.900000000000002</v>
      </c>
      <c r="Q1966" s="51">
        <f>IF(tblWorkPackages[[#This Row],[Actual labor hours]]&gt;tblWorkPackages[[#This Row],[Estimated labor hours]],1,0)</f>
        <v>1</v>
      </c>
      <c r="R1966" s="51">
        <f>tblWorkPackages[[#This Row],[Actual labor hours]]-tblWorkPackages[[#This Row],[Estimated labor hours]]</f>
        <v>0.900000000000002</v>
      </c>
      <c r="S1966" s="51" t="str">
        <f>IF(tblWorkPackages[[#This Row],[Request date serial]]&lt;ValidationStart,"Train 2024",IF(tblWorkPackages[[#This Row],[Request date serial]]&lt;HoldoutStart,"Validation H1","Holdout H2"))</f>
        <v>Validation H1</v>
      </c>
      <c r="T1966" s="51">
        <f>IF(tblWorkPackages[[#This Row],[Time split]]="Train 2024","",tblWorkPackages[[#This Row],[Estimated labor hours]]+VLOOKUP(tblWorkPackages[[#This Row],[Task type]],'Forecast validation'!$A$14:$E$25,IF(tblWorkPackages[[#This Row],[Time split]]="Validation H1",4,5),FALSE()))</f>
        <v>20.5765306122449</v>
      </c>
      <c r="U1966" s="51">
        <f>IF(tblWorkPackages[[#This Row],[Calibrated forecast hours]]="","",ABS(tblWorkPackages[[#This Row],[Actual labor hours]]-tblWorkPackages[[#This Row],[Calibrated forecast hours]]))</f>
        <v>0.0234693877551031</v>
      </c>
      <c r="V1966" s="51">
        <f>IF(tblWorkPackages[[#This Row],[Time split]]="Train 2024",tblWorkPackages[[#This Row],[Estimated labor hours]],tblWorkPackages[[#This Row],[Calibrated forecast hours]])</f>
        <v>20.5765306122449</v>
      </c>
      <c r="W1966" s="64">
        <f>DATEVALUE(tblWorkPackages[[#This Row],[Request date]])</f>
        <v>45834.0</v>
      </c>
      <c r="X1966" s="64">
        <f>DATEVALUE(tblWorkPackages[[#This Row],[Due date]])</f>
        <v>45836.0</v>
      </c>
      <c r="Y1966" s="64">
        <f>DATEVALUE(tblWorkPackages[[#This Row],[Completion date]])</f>
        <v>45840.0</v>
      </c>
      <c r="Z1966" s="64">
        <f>_xlfn.MINIFS(tblLaborEntries[Work date serial],tblLaborEntries[Work package ID],tblWorkPackages[[#This Row],[Work package ID]])</f>
        <v>45838.0</v>
      </c>
      <c r="AA1966" s="64">
        <f>_xlfn.MAXIFS(tblLaborEntries[Work date serial],tblLaborEntries[Work package ID],tblWorkPackages[[#This Row],[Work package ID]])</f>
        <v>45840.0</v>
      </c>
      <c r="AB1966" s="65">
        <f>IF(tblWorkPackages[[#This Row],[Completion date serial]]&gt;tblWorkPackages[[#This Row],[Due date serial]],1,0)</f>
        <v>1</v>
      </c>
      <c r="AC1966" s="65">
        <f>MAX(0,tblWorkPackages[[#This Row],[Completion date serial]]-tblWorkPackages[[#This Row],[Due date serial]])</f>
        <v>4</v>
      </c>
      <c r="AD1966" s="65">
        <f>tblWorkPackages[[#This Row],[First labor date]]-tblWorkPackages[[#This Row],[Request date serial]]</f>
        <v>4</v>
      </c>
      <c r="AE1966" s="65">
        <f>tblWorkPackages[[#This Row],[Last labor date]]-tblWorkPackages[[#This Row],[First labor date]]</f>
        <v>2</v>
      </c>
      <c r="AF1966" s="65">
        <f>tblWorkPackages[[#This Row],[Completion date serial]]-tblWorkPackages[[#This Row],[Last labor date]]</f>
        <v>0</v>
      </c>
      <c r="AG1966" s="65">
        <f>tblWorkPackages[[#This Row],[Completion date serial]]-tblWorkPackages[[#This Row],[Request date serial]]</f>
        <v>6</v>
      </c>
      <c r="AH1966" s="65">
        <f>IFERROR(INDEX(tblParts[Delay days],MATCH(tblWorkPackages[[#This Row],[Work package ID]],tblParts[Work package ID],0)),0)</f>
        <v>0</v>
      </c>
      <c r="AI1966" s="51" t="str">
        <f>IFERROR(INDEX(tblDisruptions[Event type],MATCH(tblWorkPackages[[#This Row],[Work package ID]],tblDisruptions[Work package ID],0)),"None")</f>
        <v>None</v>
      </c>
      <c r="AJ1966" s="51" t="str">
        <f>TEXT(tblWorkPackages[[#This Row],[Due date serial]],"yyyy-mm")</f>
        <v>2025-06</v>
      </c>
    </row>
    <row r="1967" spans="1:36" ht="15" x14ac:dyDescent="0.25">
      <c r="A1967" s="53" t="s">
        <v>2878</v>
      </c>
      <c r="B1967" s="53" t="s">
        <v>150</v>
      </c>
      <c r="C1967" s="53" t="s">
        <v>152</v>
      </c>
      <c r="D1967" s="53" t="s">
        <v>1640</v>
      </c>
      <c r="E1967" s="53" t="s">
        <v>127</v>
      </c>
      <c r="F1967" s="53" t="s">
        <v>128</v>
      </c>
      <c r="G1967" s="53" t="s">
        <v>129</v>
      </c>
      <c r="H1967" s="53">
        <v>1</v>
      </c>
      <c r="I1967" s="53" t="s">
        <v>147</v>
      </c>
      <c r="J1967" s="53">
        <v>0</v>
      </c>
      <c r="K1967" s="53">
        <v>0</v>
      </c>
      <c r="L1967" s="53">
        <v>4.7</v>
      </c>
      <c r="M1967" s="53" t="s">
        <v>386</v>
      </c>
      <c r="N1967" s="53">
        <v>5.8</v>
      </c>
      <c r="O1967" s="51" t="str">
        <f>TEXT(tblWorkPackages[[#This Row],[Request date serial]]-WEEKDAY(tblWorkPackages[[#This Row],[Request date serial]],3),"yyyy-mm-dd")</f>
        <v>2024-08-19</v>
      </c>
      <c r="P1967" s="51">
        <f>ABS(tblWorkPackages[[#This Row],[Actual labor hours]]-tblWorkPackages[[#This Row],[Estimated labor hours]])</f>
        <v>1.1</v>
      </c>
      <c r="Q1967" s="51">
        <f>IF(tblWorkPackages[[#This Row],[Actual labor hours]]&gt;tblWorkPackages[[#This Row],[Estimated labor hours]],1,0)</f>
        <v>1</v>
      </c>
      <c r="R1967" s="51">
        <f>tblWorkPackages[[#This Row],[Actual labor hours]]-tblWorkPackages[[#This Row],[Estimated labor hours]]</f>
        <v>1.1</v>
      </c>
      <c r="S1967" s="51" t="str">
        <f>IF(tblWorkPackages[[#This Row],[Request date serial]]&lt;ValidationStart,"Train 2024",IF(tblWorkPackages[[#This Row],[Request date serial]]&lt;HoldoutStart,"Validation H1","Holdout H2"))</f>
        <v>Train 2024</v>
      </c>
      <c r="T1967" s="51" t="str">
        <f>IF(tblWorkPackages[[#This Row],[Time split]]="Train 2024","",tblWorkPackages[[#This Row],[Estimated labor hours]]+VLOOKUP(tblWorkPackages[[#This Row],[Task type]],'Forecast validation'!$A$14:$E$25,IF(tblWorkPackages[[#This Row],[Time split]]="Validation H1",4,5),FALSE()))</f>
        <v/>
      </c>
      <c r="U1967" s="51" t="str">
        <f>IF(tblWorkPackages[[#This Row],[Calibrated forecast hours]]="","",ABS(tblWorkPackages[[#This Row],[Actual labor hours]]-tblWorkPackages[[#This Row],[Calibrated forecast hours]]))</f>
        <v/>
      </c>
      <c r="V1967" s="51">
        <f>IF(tblWorkPackages[[#This Row],[Time split]]="Train 2024",tblWorkPackages[[#This Row],[Estimated labor hours]],tblWorkPackages[[#This Row],[Calibrated forecast hours]])</f>
        <v>4.7</v>
      </c>
      <c r="W1967" s="64">
        <f>DATEVALUE(tblWorkPackages[[#This Row],[Request date]])</f>
        <v>45529.0</v>
      </c>
      <c r="X1967" s="64">
        <f>DATEVALUE(tblWorkPackages[[#This Row],[Due date]])</f>
        <v>45531.0</v>
      </c>
      <c r="Y1967" s="64">
        <f>DATEVALUE(tblWorkPackages[[#This Row],[Completion date]])</f>
        <v>45533.0</v>
      </c>
      <c r="Z1967" s="64">
        <f>_xlfn.MINIFS(tblLaborEntries[Work date serial],tblLaborEntries[Work package ID],tblWorkPackages[[#This Row],[Work package ID]])</f>
        <v>45530.0</v>
      </c>
      <c r="AA1967" s="64">
        <f>_xlfn.MAXIFS(tblLaborEntries[Work date serial],tblLaborEntries[Work package ID],tblWorkPackages[[#This Row],[Work package ID]])</f>
        <v>45532.0</v>
      </c>
      <c r="AB1967" s="65">
        <f>IF(tblWorkPackages[[#This Row],[Completion date serial]]&gt;tblWorkPackages[[#This Row],[Due date serial]],1,0)</f>
        <v>1</v>
      </c>
      <c r="AC1967" s="65">
        <f>MAX(0,tblWorkPackages[[#This Row],[Completion date serial]]-tblWorkPackages[[#This Row],[Due date serial]])</f>
        <v>2</v>
      </c>
      <c r="AD1967" s="65">
        <f>tblWorkPackages[[#This Row],[First labor date]]-tblWorkPackages[[#This Row],[Request date serial]]</f>
        <v>1</v>
      </c>
      <c r="AE1967" s="65">
        <f>tblWorkPackages[[#This Row],[Last labor date]]-tblWorkPackages[[#This Row],[First labor date]]</f>
        <v>2</v>
      </c>
      <c r="AF1967" s="65">
        <f>tblWorkPackages[[#This Row],[Completion date serial]]-tblWorkPackages[[#This Row],[Last labor date]]</f>
        <v>1</v>
      </c>
      <c r="AG1967" s="65">
        <f>tblWorkPackages[[#This Row],[Completion date serial]]-tblWorkPackages[[#This Row],[Request date serial]]</f>
        <v>4</v>
      </c>
      <c r="AH1967" s="65">
        <f>IFERROR(INDEX(tblParts[Delay days],MATCH(tblWorkPackages[[#This Row],[Work package ID]],tblParts[Work package ID],0)),0)</f>
        <v>0</v>
      </c>
      <c r="AI1967" s="51" t="str">
        <f>IFERROR(INDEX(tblDisruptions[Event type],MATCH(tblWorkPackages[[#This Row],[Work package ID]],tblDisruptions[Work package ID],0)),"None")</f>
        <v>None</v>
      </c>
      <c r="AJ1967" s="51" t="str">
        <f>TEXT(tblWorkPackages[[#This Row],[Due date serial]],"yyyy-mm")</f>
        <v>2024-08</v>
      </c>
    </row>
    <row r="1968" spans="1:36" ht="15" x14ac:dyDescent="0.25">
      <c r="A1968" s="53" t="s">
        <v>2879</v>
      </c>
      <c r="B1968" s="53" t="s">
        <v>141</v>
      </c>
      <c r="C1968" s="53" t="s">
        <v>222</v>
      </c>
      <c r="D1968" s="53" t="s">
        <v>1437</v>
      </c>
      <c r="E1968" s="53" t="s">
        <v>153</v>
      </c>
      <c r="F1968" s="53" t="s">
        <v>128</v>
      </c>
      <c r="G1968" s="53" t="s">
        <v>154</v>
      </c>
      <c r="H1968" s="53">
        <v>1</v>
      </c>
      <c r="I1968" s="53" t="s">
        <v>176</v>
      </c>
      <c r="J1968" s="53">
        <v>0</v>
      </c>
      <c r="K1968" s="53">
        <v>0</v>
      </c>
      <c r="L1968" s="53">
        <v>5.8</v>
      </c>
      <c r="M1968" s="53" t="s">
        <v>1682</v>
      </c>
      <c r="N1968" s="53">
        <v>5.5</v>
      </c>
      <c r="O1968" s="51" t="str">
        <f>TEXT(tblWorkPackages[[#This Row],[Request date serial]]-WEEKDAY(tblWorkPackages[[#This Row],[Request date serial]],3),"yyyy-mm-dd")</f>
        <v>2024-12-16</v>
      </c>
      <c r="P1968" s="51">
        <f>ABS(tblWorkPackages[[#This Row],[Actual labor hours]]-tblWorkPackages[[#This Row],[Estimated labor hours]])</f>
        <v>0.3</v>
      </c>
      <c r="Q1968" s="51">
        <f>IF(tblWorkPackages[[#This Row],[Actual labor hours]]&gt;tblWorkPackages[[#This Row],[Estimated labor hours]],1,0)</f>
        <v>0</v>
      </c>
      <c r="R1968" s="51">
        <f>tblWorkPackages[[#This Row],[Actual labor hours]]-tblWorkPackages[[#This Row],[Estimated labor hours]]</f>
        <v>-0.3</v>
      </c>
      <c r="S1968" s="51" t="str">
        <f>IF(tblWorkPackages[[#This Row],[Request date serial]]&lt;ValidationStart,"Train 2024",IF(tblWorkPackages[[#This Row],[Request date serial]]&lt;HoldoutStart,"Validation H1","Holdout H2"))</f>
        <v>Train 2024</v>
      </c>
      <c r="T1968" s="51" t="str">
        <f>IF(tblWorkPackages[[#This Row],[Time split]]="Train 2024","",tblWorkPackages[[#This Row],[Estimated labor hours]]+VLOOKUP(tblWorkPackages[[#This Row],[Task type]],'Forecast validation'!$A$14:$E$25,IF(tblWorkPackages[[#This Row],[Time split]]="Validation H1",4,5),FALSE()))</f>
        <v/>
      </c>
      <c r="U1968" s="51" t="str">
        <f>IF(tblWorkPackages[[#This Row],[Calibrated forecast hours]]="","",ABS(tblWorkPackages[[#This Row],[Actual labor hours]]-tblWorkPackages[[#This Row],[Calibrated forecast hours]]))</f>
        <v/>
      </c>
      <c r="V1968" s="51">
        <f>IF(tblWorkPackages[[#This Row],[Time split]]="Train 2024",tblWorkPackages[[#This Row],[Estimated labor hours]],tblWorkPackages[[#This Row],[Calibrated forecast hours]])</f>
        <v>5.8</v>
      </c>
      <c r="W1968" s="64">
        <f>DATEVALUE(tblWorkPackages[[#This Row],[Request date]])</f>
        <v>45647.0</v>
      </c>
      <c r="X1968" s="64">
        <f>DATEVALUE(tblWorkPackages[[#This Row],[Due date]])</f>
        <v>45653.0</v>
      </c>
      <c r="Y1968" s="64">
        <f>DATEVALUE(tblWorkPackages[[#This Row],[Completion date]])</f>
        <v>45660.0</v>
      </c>
      <c r="Z1968" s="64">
        <f>_xlfn.MINIFS(tblLaborEntries[Work date serial],tblLaborEntries[Work package ID],tblWorkPackages[[#This Row],[Work package ID]])</f>
        <v>45658.0</v>
      </c>
      <c r="AA1968" s="64">
        <f>_xlfn.MAXIFS(tblLaborEntries[Work date serial],tblLaborEntries[Work package ID],tblWorkPackages[[#This Row],[Work package ID]])</f>
        <v>45658.0</v>
      </c>
      <c r="AB1968" s="65">
        <f>IF(tblWorkPackages[[#This Row],[Completion date serial]]&gt;tblWorkPackages[[#This Row],[Due date serial]],1,0)</f>
        <v>1</v>
      </c>
      <c r="AC1968" s="65">
        <f>MAX(0,tblWorkPackages[[#This Row],[Completion date serial]]-tblWorkPackages[[#This Row],[Due date serial]])</f>
        <v>7</v>
      </c>
      <c r="AD1968" s="65">
        <f>tblWorkPackages[[#This Row],[First labor date]]-tblWorkPackages[[#This Row],[Request date serial]]</f>
        <v>11</v>
      </c>
      <c r="AE1968" s="65">
        <f>tblWorkPackages[[#This Row],[Last labor date]]-tblWorkPackages[[#This Row],[First labor date]]</f>
        <v>0</v>
      </c>
      <c r="AF1968" s="65">
        <f>tblWorkPackages[[#This Row],[Completion date serial]]-tblWorkPackages[[#This Row],[Last labor date]]</f>
        <v>2</v>
      </c>
      <c r="AG1968" s="65">
        <f>tblWorkPackages[[#This Row],[Completion date serial]]-tblWorkPackages[[#This Row],[Request date serial]]</f>
        <v>13</v>
      </c>
      <c r="AH1968" s="65">
        <f>IFERROR(INDEX(tblParts[Delay days],MATCH(tblWorkPackages[[#This Row],[Work package ID]],tblParts[Work package ID],0)),0)</f>
        <v>0</v>
      </c>
      <c r="AI1968" s="51" t="str">
        <f>IFERROR(INDEX(tblDisruptions[Event type],MATCH(tblWorkPackages[[#This Row],[Work package ID]],tblDisruptions[Work package ID],0)),"None")</f>
        <v>None</v>
      </c>
      <c r="AJ1968" s="51" t="str">
        <f>TEXT(tblWorkPackages[[#This Row],[Due date serial]],"yyyy-mm")</f>
        <v>2024-12</v>
      </c>
    </row>
    <row r="1969" spans="1:36" ht="15" x14ac:dyDescent="0.25">
      <c r="A1969" s="53" t="s">
        <v>2880</v>
      </c>
      <c r="B1969" s="53" t="s">
        <v>203</v>
      </c>
      <c r="C1969" s="53" t="s">
        <v>564</v>
      </c>
      <c r="D1969" s="53" t="s">
        <v>1092</v>
      </c>
      <c r="E1969" s="53" t="s">
        <v>160</v>
      </c>
      <c r="F1969" s="53" t="s">
        <v>128</v>
      </c>
      <c r="G1969" s="53" t="s">
        <v>138</v>
      </c>
      <c r="H1969" s="53">
        <v>3</v>
      </c>
      <c r="I1969" s="53" t="s">
        <v>176</v>
      </c>
      <c r="J1969" s="53">
        <v>0</v>
      </c>
      <c r="K1969" s="53">
        <v>0</v>
      </c>
      <c r="L1969" s="53">
        <v>6.1</v>
      </c>
      <c r="M1969" s="53" t="s">
        <v>1092</v>
      </c>
      <c r="N1969" s="53">
        <v>7</v>
      </c>
      <c r="O1969" s="51" t="str">
        <f>TEXT(tblWorkPackages[[#This Row],[Request date serial]]-WEEKDAY(tblWorkPackages[[#This Row],[Request date serial]],3),"yyyy-mm-dd")</f>
        <v>2024-06-10</v>
      </c>
      <c r="P1969" s="51">
        <f>ABS(tblWorkPackages[[#This Row],[Actual labor hours]]-tblWorkPackages[[#This Row],[Estimated labor hours]])</f>
        <v>0.9</v>
      </c>
      <c r="Q1969" s="51">
        <f>IF(tblWorkPackages[[#This Row],[Actual labor hours]]&gt;tblWorkPackages[[#This Row],[Estimated labor hours]],1,0)</f>
        <v>1</v>
      </c>
      <c r="R1969" s="51">
        <f>tblWorkPackages[[#This Row],[Actual labor hours]]-tblWorkPackages[[#This Row],[Estimated labor hours]]</f>
        <v>0.9</v>
      </c>
      <c r="S1969" s="51" t="str">
        <f>IF(tblWorkPackages[[#This Row],[Request date serial]]&lt;ValidationStart,"Train 2024",IF(tblWorkPackages[[#This Row],[Request date serial]]&lt;HoldoutStart,"Validation H1","Holdout H2"))</f>
        <v>Train 2024</v>
      </c>
      <c r="T1969" s="51" t="str">
        <f>IF(tblWorkPackages[[#This Row],[Time split]]="Train 2024","",tblWorkPackages[[#This Row],[Estimated labor hours]]+VLOOKUP(tblWorkPackages[[#This Row],[Task type]],'Forecast validation'!$A$14:$E$25,IF(tblWorkPackages[[#This Row],[Time split]]="Validation H1",4,5),FALSE()))</f>
        <v/>
      </c>
      <c r="U1969" s="51" t="str">
        <f>IF(tblWorkPackages[[#This Row],[Calibrated forecast hours]]="","",ABS(tblWorkPackages[[#This Row],[Actual labor hours]]-tblWorkPackages[[#This Row],[Calibrated forecast hours]]))</f>
        <v/>
      </c>
      <c r="V1969" s="51">
        <f>IF(tblWorkPackages[[#This Row],[Time split]]="Train 2024",tblWorkPackages[[#This Row],[Estimated labor hours]],tblWorkPackages[[#This Row],[Calibrated forecast hours]])</f>
        <v>6.1</v>
      </c>
      <c r="W1969" s="64">
        <f>DATEVALUE(tblWorkPackages[[#This Row],[Request date]])</f>
        <v>45453.0</v>
      </c>
      <c r="X1969" s="64">
        <f>DATEVALUE(tblWorkPackages[[#This Row],[Due date]])</f>
        <v>45459.0</v>
      </c>
      <c r="Y1969" s="64">
        <f>DATEVALUE(tblWorkPackages[[#This Row],[Completion date]])</f>
        <v>45459.0</v>
      </c>
      <c r="Z1969" s="64">
        <f>_xlfn.MINIFS(tblLaborEntries[Work date serial],tblLaborEntries[Work package ID],tblWorkPackages[[#This Row],[Work package ID]])</f>
        <v>45456.0</v>
      </c>
      <c r="AA1969" s="64">
        <f>_xlfn.MAXIFS(tblLaborEntries[Work date serial],tblLaborEntries[Work package ID],tblWorkPackages[[#This Row],[Work package ID]])</f>
        <v>45456.0</v>
      </c>
      <c r="AB1969" s="65">
        <f>IF(tblWorkPackages[[#This Row],[Completion date serial]]&gt;tblWorkPackages[[#This Row],[Due date serial]],1,0)</f>
        <v>0</v>
      </c>
      <c r="AC1969" s="65">
        <f>MAX(0,tblWorkPackages[[#This Row],[Completion date serial]]-tblWorkPackages[[#This Row],[Due date serial]])</f>
        <v>0</v>
      </c>
      <c r="AD1969" s="65">
        <f>tblWorkPackages[[#This Row],[First labor date]]-tblWorkPackages[[#This Row],[Request date serial]]</f>
        <v>3</v>
      </c>
      <c r="AE1969" s="65">
        <f>tblWorkPackages[[#This Row],[Last labor date]]-tblWorkPackages[[#This Row],[First labor date]]</f>
        <v>0</v>
      </c>
      <c r="AF1969" s="65">
        <f>tblWorkPackages[[#This Row],[Completion date serial]]-tblWorkPackages[[#This Row],[Last labor date]]</f>
        <v>3</v>
      </c>
      <c r="AG1969" s="65">
        <f>tblWorkPackages[[#This Row],[Completion date serial]]-tblWorkPackages[[#This Row],[Request date serial]]</f>
        <v>6</v>
      </c>
      <c r="AH1969" s="65">
        <f>IFERROR(INDEX(tblParts[Delay days],MATCH(tblWorkPackages[[#This Row],[Work package ID]],tblParts[Work package ID],0)),0)</f>
        <v>0</v>
      </c>
      <c r="AI1969" s="51" t="str">
        <f>IFERROR(INDEX(tblDisruptions[Event type],MATCH(tblWorkPackages[[#This Row],[Work package ID]],tblDisruptions[Work package ID],0)),"None")</f>
        <v>None</v>
      </c>
      <c r="AJ1969" s="51" t="str">
        <f>TEXT(tblWorkPackages[[#This Row],[Due date serial]],"yyyy-mm")</f>
        <v>2024-06</v>
      </c>
    </row>
    <row r="1970" spans="1:36" ht="15" x14ac:dyDescent="0.25">
      <c r="A1970" s="53" t="s">
        <v>2881</v>
      </c>
      <c r="B1970" s="53" t="s">
        <v>173</v>
      </c>
      <c r="C1970" s="53" t="s">
        <v>341</v>
      </c>
      <c r="D1970" s="53" t="s">
        <v>342</v>
      </c>
      <c r="E1970" s="53" t="s">
        <v>242</v>
      </c>
      <c r="F1970" s="53" t="s">
        <v>243</v>
      </c>
      <c r="G1970" s="53" t="s">
        <v>129</v>
      </c>
      <c r="H1970" s="53">
        <v>1</v>
      </c>
      <c r="I1970" s="53" t="s">
        <v>130</v>
      </c>
      <c r="J1970" s="53">
        <v>0</v>
      </c>
      <c r="K1970" s="53">
        <v>0</v>
      </c>
      <c r="L1970" s="53">
        <v>5.4</v>
      </c>
      <c r="M1970" s="53" t="s">
        <v>520</v>
      </c>
      <c r="N1970" s="53">
        <v>6.1</v>
      </c>
      <c r="O1970" s="51" t="str">
        <f>TEXT(tblWorkPackages[[#This Row],[Request date serial]]-WEEKDAY(tblWorkPackages[[#This Row],[Request date serial]],3),"yyyy-mm-dd")</f>
        <v>2025-07-14</v>
      </c>
      <c r="P1970" s="51">
        <f>ABS(tblWorkPackages[[#This Row],[Actual labor hours]]-tblWorkPackages[[#This Row],[Estimated labor hours]])</f>
        <v>0.699999999999999</v>
      </c>
      <c r="Q1970" s="51">
        <f>IF(tblWorkPackages[[#This Row],[Actual labor hours]]&gt;tblWorkPackages[[#This Row],[Estimated labor hours]],1,0)</f>
        <v>1</v>
      </c>
      <c r="R1970" s="51">
        <f>tblWorkPackages[[#This Row],[Actual labor hours]]-tblWorkPackages[[#This Row],[Estimated labor hours]]</f>
        <v>0.699999999999999</v>
      </c>
      <c r="S1970" s="51" t="str">
        <f>IF(tblWorkPackages[[#This Row],[Request date serial]]&lt;ValidationStart,"Train 2024",IF(tblWorkPackages[[#This Row],[Request date serial]]&lt;HoldoutStart,"Validation H1","Holdout H2"))</f>
        <v>Holdout H2</v>
      </c>
      <c r="T1970" s="51">
        <f>IF(tblWorkPackages[[#This Row],[Time split]]="Train 2024","",tblWorkPackages[[#This Row],[Estimated labor hours]]+VLOOKUP(tblWorkPackages[[#This Row],[Task type]],'Forecast validation'!$A$14:$E$25,IF(tblWorkPackages[[#This Row],[Time split]]="Validation H1",4,5),FALSE()))</f>
        <v>6.22545454545455</v>
      </c>
      <c r="U1970" s="51">
        <f>IF(tblWorkPackages[[#This Row],[Calibrated forecast hours]]="","",ABS(tblWorkPackages[[#This Row],[Actual labor hours]]-tblWorkPackages[[#This Row],[Calibrated forecast hours]]))</f>
        <v>0.125454545454546</v>
      </c>
      <c r="V1970" s="51">
        <f>IF(tblWorkPackages[[#This Row],[Time split]]="Train 2024",tblWorkPackages[[#This Row],[Estimated labor hours]],tblWorkPackages[[#This Row],[Calibrated forecast hours]])</f>
        <v>6.22545454545455</v>
      </c>
      <c r="W1970" s="64">
        <f>DATEVALUE(tblWorkPackages[[#This Row],[Request date]])</f>
        <v>45858.0</v>
      </c>
      <c r="X1970" s="64">
        <f>DATEVALUE(tblWorkPackages[[#This Row],[Due date]])</f>
        <v>45871.0</v>
      </c>
      <c r="Y1970" s="64">
        <f>DATEVALUE(tblWorkPackages[[#This Row],[Completion date]])</f>
        <v>45890.0</v>
      </c>
      <c r="Z1970" s="64">
        <f>_xlfn.MINIFS(tblLaborEntries[Work date serial],tblLaborEntries[Work package ID],tblWorkPackages[[#This Row],[Work package ID]])</f>
        <v>45889.0</v>
      </c>
      <c r="AA1970" s="64">
        <f>_xlfn.MAXIFS(tblLaborEntries[Work date serial],tblLaborEntries[Work package ID],tblWorkPackages[[#This Row],[Work package ID]])</f>
        <v>45890.0</v>
      </c>
      <c r="AB1970" s="65">
        <f>IF(tblWorkPackages[[#This Row],[Completion date serial]]&gt;tblWorkPackages[[#This Row],[Due date serial]],1,0)</f>
        <v>1</v>
      </c>
      <c r="AC1970" s="65">
        <f>MAX(0,tblWorkPackages[[#This Row],[Completion date serial]]-tblWorkPackages[[#This Row],[Due date serial]])</f>
        <v>19</v>
      </c>
      <c r="AD1970" s="65">
        <f>tblWorkPackages[[#This Row],[First labor date]]-tblWorkPackages[[#This Row],[Request date serial]]</f>
        <v>31</v>
      </c>
      <c r="AE1970" s="65">
        <f>tblWorkPackages[[#This Row],[Last labor date]]-tblWorkPackages[[#This Row],[First labor date]]</f>
        <v>1</v>
      </c>
      <c r="AF1970" s="65">
        <f>tblWorkPackages[[#This Row],[Completion date serial]]-tblWorkPackages[[#This Row],[Last labor date]]</f>
        <v>0</v>
      </c>
      <c r="AG1970" s="65">
        <f>tblWorkPackages[[#This Row],[Completion date serial]]-tblWorkPackages[[#This Row],[Request date serial]]</f>
        <v>32</v>
      </c>
      <c r="AH1970" s="65">
        <f>IFERROR(INDEX(tblParts[Delay days],MATCH(tblWorkPackages[[#This Row],[Work package ID]],tblParts[Work package ID],0)),0)</f>
        <v>0</v>
      </c>
      <c r="AI1970" s="51" t="str">
        <f>IFERROR(INDEX(tblDisruptions[Event type],MATCH(tblWorkPackages[[#This Row],[Work package ID]],tblDisruptions[Work package ID],0)),"None")</f>
        <v>Technician absence</v>
      </c>
      <c r="AJ1970" s="51" t="str">
        <f>TEXT(tblWorkPackages[[#This Row],[Due date serial]],"yyyy-mm")</f>
        <v>2025-08</v>
      </c>
    </row>
    <row r="1971" spans="1:36" ht="15" x14ac:dyDescent="0.25">
      <c r="A1971" s="53" t="s">
        <v>2882</v>
      </c>
      <c r="B1971" s="53" t="s">
        <v>185</v>
      </c>
      <c r="C1971" s="53" t="s">
        <v>2006</v>
      </c>
      <c r="D1971" s="53" t="s">
        <v>774</v>
      </c>
      <c r="E1971" s="53" t="s">
        <v>153</v>
      </c>
      <c r="F1971" s="53" t="s">
        <v>128</v>
      </c>
      <c r="G1971" s="53" t="s">
        <v>154</v>
      </c>
      <c r="H1971" s="53">
        <v>2</v>
      </c>
      <c r="I1971" s="53" t="s">
        <v>176</v>
      </c>
      <c r="J1971" s="53">
        <v>0</v>
      </c>
      <c r="K1971" s="53">
        <v>0</v>
      </c>
      <c r="L1971" s="53">
        <v>11.1</v>
      </c>
      <c r="M1971" s="53" t="s">
        <v>436</v>
      </c>
      <c r="N1971" s="53">
        <v>10.1</v>
      </c>
      <c r="O1971" s="51" t="str">
        <f>TEXT(tblWorkPackages[[#This Row],[Request date serial]]-WEEKDAY(tblWorkPackages[[#This Row],[Request date serial]],3),"yyyy-mm-dd")</f>
        <v>2024-03-18</v>
      </c>
      <c r="P1971" s="51">
        <f>ABS(tblWorkPackages[[#This Row],[Actual labor hours]]-tblWorkPackages[[#This Row],[Estimated labor hours]])</f>
        <v>1</v>
      </c>
      <c r="Q1971" s="51">
        <f>IF(tblWorkPackages[[#This Row],[Actual labor hours]]&gt;tblWorkPackages[[#This Row],[Estimated labor hours]],1,0)</f>
        <v>0</v>
      </c>
      <c r="R1971" s="51">
        <f>tblWorkPackages[[#This Row],[Actual labor hours]]-tblWorkPackages[[#This Row],[Estimated labor hours]]</f>
        <v>-1</v>
      </c>
      <c r="S1971" s="51" t="str">
        <f>IF(tblWorkPackages[[#This Row],[Request date serial]]&lt;ValidationStart,"Train 2024",IF(tblWorkPackages[[#This Row],[Request date serial]]&lt;HoldoutStart,"Validation H1","Holdout H2"))</f>
        <v>Train 2024</v>
      </c>
      <c r="T1971" s="51" t="str">
        <f>IF(tblWorkPackages[[#This Row],[Time split]]="Train 2024","",tblWorkPackages[[#This Row],[Estimated labor hours]]+VLOOKUP(tblWorkPackages[[#This Row],[Task type]],'Forecast validation'!$A$14:$E$25,IF(tblWorkPackages[[#This Row],[Time split]]="Validation H1",4,5),FALSE()))</f>
        <v/>
      </c>
      <c r="U1971" s="51" t="str">
        <f>IF(tblWorkPackages[[#This Row],[Calibrated forecast hours]]="","",ABS(tblWorkPackages[[#This Row],[Actual labor hours]]-tblWorkPackages[[#This Row],[Calibrated forecast hours]]))</f>
        <v/>
      </c>
      <c r="V1971" s="51">
        <f>IF(tblWorkPackages[[#This Row],[Time split]]="Train 2024",tblWorkPackages[[#This Row],[Estimated labor hours]],tblWorkPackages[[#This Row],[Calibrated forecast hours]])</f>
        <v>11.1</v>
      </c>
      <c r="W1971" s="64">
        <f>DATEVALUE(tblWorkPackages[[#This Row],[Request date]])</f>
        <v>45375.0</v>
      </c>
      <c r="X1971" s="64">
        <f>DATEVALUE(tblWorkPackages[[#This Row],[Due date]])</f>
        <v>45381.0</v>
      </c>
      <c r="Y1971" s="64">
        <f>DATEVALUE(tblWorkPackages[[#This Row],[Completion date]])</f>
        <v>45383.0</v>
      </c>
      <c r="Z1971" s="64">
        <f>_xlfn.MINIFS(tblLaborEntries[Work date serial],tblLaborEntries[Work package ID],tblWorkPackages[[#This Row],[Work package ID]])</f>
        <v>45380.0</v>
      </c>
      <c r="AA1971" s="64">
        <f>_xlfn.MAXIFS(tblLaborEntries[Work date serial],tblLaborEntries[Work package ID],tblWorkPackages[[#This Row],[Work package ID]])</f>
        <v>45382.0</v>
      </c>
      <c r="AB1971" s="65">
        <f>IF(tblWorkPackages[[#This Row],[Completion date serial]]&gt;tblWorkPackages[[#This Row],[Due date serial]],1,0)</f>
        <v>1</v>
      </c>
      <c r="AC1971" s="65">
        <f>MAX(0,tblWorkPackages[[#This Row],[Completion date serial]]-tblWorkPackages[[#This Row],[Due date serial]])</f>
        <v>2</v>
      </c>
      <c r="AD1971" s="65">
        <f>tblWorkPackages[[#This Row],[First labor date]]-tblWorkPackages[[#This Row],[Request date serial]]</f>
        <v>5</v>
      </c>
      <c r="AE1971" s="65">
        <f>tblWorkPackages[[#This Row],[Last labor date]]-tblWorkPackages[[#This Row],[First labor date]]</f>
        <v>2</v>
      </c>
      <c r="AF1971" s="65">
        <f>tblWorkPackages[[#This Row],[Completion date serial]]-tblWorkPackages[[#This Row],[Last labor date]]</f>
        <v>1</v>
      </c>
      <c r="AG1971" s="65">
        <f>tblWorkPackages[[#This Row],[Completion date serial]]-tblWorkPackages[[#This Row],[Request date serial]]</f>
        <v>8</v>
      </c>
      <c r="AH1971" s="65">
        <f>IFERROR(INDEX(tblParts[Delay days],MATCH(tblWorkPackages[[#This Row],[Work package ID]],tblParts[Work package ID],0)),0)</f>
        <v>0</v>
      </c>
      <c r="AI1971" s="51" t="str">
        <f>IFERROR(INDEX(tblDisruptions[Event type],MATCH(tblWorkPackages[[#This Row],[Work package ID]],tblDisruptions[Work package ID],0)),"None")</f>
        <v>None</v>
      </c>
      <c r="AJ1971" s="51" t="str">
        <f>TEXT(tblWorkPackages[[#This Row],[Due date serial]],"yyyy-mm")</f>
        <v>2024-03</v>
      </c>
    </row>
    <row r="1972" spans="1:36" ht="15" x14ac:dyDescent="0.25">
      <c r="A1972" s="53" t="s">
        <v>2883</v>
      </c>
      <c r="B1972" s="53" t="s">
        <v>150</v>
      </c>
      <c r="C1972" s="53" t="s">
        <v>1125</v>
      </c>
      <c r="D1972" s="53" t="s">
        <v>406</v>
      </c>
      <c r="E1972" s="53" t="s">
        <v>237</v>
      </c>
      <c r="F1972" s="53" t="s">
        <v>182</v>
      </c>
      <c r="G1972" s="53" t="s">
        <v>138</v>
      </c>
      <c r="H1972" s="53">
        <v>4</v>
      </c>
      <c r="I1972" s="53" t="s">
        <v>176</v>
      </c>
      <c r="J1972" s="53">
        <v>1</v>
      </c>
      <c r="K1972" s="53">
        <v>0</v>
      </c>
      <c r="L1972" s="53">
        <v>11.2</v>
      </c>
      <c r="M1972" s="53" t="s">
        <v>1107</v>
      </c>
      <c r="N1972" s="53">
        <v>14</v>
      </c>
      <c r="O1972" s="51" t="str">
        <f>TEXT(tblWorkPackages[[#This Row],[Request date serial]]-WEEKDAY(tblWorkPackages[[#This Row],[Request date serial]],3),"yyyy-mm-dd")</f>
        <v>2024-05-27</v>
      </c>
      <c r="P1972" s="51">
        <f>ABS(tblWorkPackages[[#This Row],[Actual labor hours]]-tblWorkPackages[[#This Row],[Estimated labor hours]])</f>
        <v>2.8</v>
      </c>
      <c r="Q1972" s="51">
        <f>IF(tblWorkPackages[[#This Row],[Actual labor hours]]&gt;tblWorkPackages[[#This Row],[Estimated labor hours]],1,0)</f>
        <v>1</v>
      </c>
      <c r="R1972" s="51">
        <f>tblWorkPackages[[#This Row],[Actual labor hours]]-tblWorkPackages[[#This Row],[Estimated labor hours]]</f>
        <v>2.8</v>
      </c>
      <c r="S1972" s="51" t="str">
        <f>IF(tblWorkPackages[[#This Row],[Request date serial]]&lt;ValidationStart,"Train 2024",IF(tblWorkPackages[[#This Row],[Request date serial]]&lt;HoldoutStart,"Validation H1","Holdout H2"))</f>
        <v>Train 2024</v>
      </c>
      <c r="T1972" s="51" t="str">
        <f>IF(tblWorkPackages[[#This Row],[Time split]]="Train 2024","",tblWorkPackages[[#This Row],[Estimated labor hours]]+VLOOKUP(tblWorkPackages[[#This Row],[Task type]],'Forecast validation'!$A$14:$E$25,IF(tblWorkPackages[[#This Row],[Time split]]="Validation H1",4,5),FALSE()))</f>
        <v/>
      </c>
      <c r="U1972" s="51" t="str">
        <f>IF(tblWorkPackages[[#This Row],[Calibrated forecast hours]]="","",ABS(tblWorkPackages[[#This Row],[Actual labor hours]]-tblWorkPackages[[#This Row],[Calibrated forecast hours]]))</f>
        <v/>
      </c>
      <c r="V1972" s="51">
        <f>IF(tblWorkPackages[[#This Row],[Time split]]="Train 2024",tblWorkPackages[[#This Row],[Estimated labor hours]],tblWorkPackages[[#This Row],[Calibrated forecast hours]])</f>
        <v>11.2</v>
      </c>
      <c r="W1972" s="64">
        <f>DATEVALUE(tblWorkPackages[[#This Row],[Request date]])</f>
        <v>45440.0</v>
      </c>
      <c r="X1972" s="64">
        <f>DATEVALUE(tblWorkPackages[[#This Row],[Due date]])</f>
        <v>45446.0</v>
      </c>
      <c r="Y1972" s="64">
        <f>DATEVALUE(tblWorkPackages[[#This Row],[Completion date]])</f>
        <v>45444.0</v>
      </c>
      <c r="Z1972" s="64">
        <f>_xlfn.MINIFS(tblLaborEntries[Work date serial],tblLaborEntries[Work package ID],tblWorkPackages[[#This Row],[Work package ID]])</f>
        <v>45442.0</v>
      </c>
      <c r="AA1972" s="64">
        <f>_xlfn.MAXIFS(tblLaborEntries[Work date serial],tblLaborEntries[Work package ID],tblWorkPackages[[#This Row],[Work package ID]])</f>
        <v>45442.0</v>
      </c>
      <c r="AB1972" s="65">
        <f>IF(tblWorkPackages[[#This Row],[Completion date serial]]&gt;tblWorkPackages[[#This Row],[Due date serial]],1,0)</f>
        <v>0</v>
      </c>
      <c r="AC1972" s="65">
        <f>MAX(0,tblWorkPackages[[#This Row],[Completion date serial]]-tblWorkPackages[[#This Row],[Due date serial]])</f>
        <v>0</v>
      </c>
      <c r="AD1972" s="65">
        <f>tblWorkPackages[[#This Row],[First labor date]]-tblWorkPackages[[#This Row],[Request date serial]]</f>
        <v>2</v>
      </c>
      <c r="AE1972" s="65">
        <f>tblWorkPackages[[#This Row],[Last labor date]]-tblWorkPackages[[#This Row],[First labor date]]</f>
        <v>0</v>
      </c>
      <c r="AF1972" s="65">
        <f>tblWorkPackages[[#This Row],[Completion date serial]]-tblWorkPackages[[#This Row],[Last labor date]]</f>
        <v>2</v>
      </c>
      <c r="AG1972" s="65">
        <f>tblWorkPackages[[#This Row],[Completion date serial]]-tblWorkPackages[[#This Row],[Request date serial]]</f>
        <v>4</v>
      </c>
      <c r="AH1972" s="65">
        <f>IFERROR(INDEX(tblParts[Delay days],MATCH(tblWorkPackages[[#This Row],[Work package ID]],tblParts[Work package ID],0)),0)</f>
        <v>0</v>
      </c>
      <c r="AI1972" s="51" t="str">
        <f>IFERROR(INDEX(tblDisruptions[Event type],MATCH(tblWorkPackages[[#This Row],[Work package ID]],tblDisruptions[Work package ID],0)),"None")</f>
        <v>None</v>
      </c>
      <c r="AJ1972" s="51" t="str">
        <f>TEXT(tblWorkPackages[[#This Row],[Due date serial]],"yyyy-mm")</f>
        <v>2024-06</v>
      </c>
    </row>
    <row r="1973" spans="1:36" ht="15" x14ac:dyDescent="0.25">
      <c r="A1973" s="53" t="s">
        <v>2884</v>
      </c>
      <c r="B1973" s="53" t="s">
        <v>124</v>
      </c>
      <c r="C1973" s="53" t="s">
        <v>320</v>
      </c>
      <c r="D1973" s="53" t="s">
        <v>663</v>
      </c>
      <c r="E1973" s="53" t="s">
        <v>153</v>
      </c>
      <c r="F1973" s="53" t="s">
        <v>128</v>
      </c>
      <c r="G1973" s="53" t="s">
        <v>154</v>
      </c>
      <c r="H1973" s="53">
        <v>3</v>
      </c>
      <c r="I1973" s="53" t="s">
        <v>176</v>
      </c>
      <c r="J1973" s="53">
        <v>0</v>
      </c>
      <c r="K1973" s="53">
        <v>0</v>
      </c>
      <c r="L1973" s="53">
        <v>14.6</v>
      </c>
      <c r="M1973" s="53" t="s">
        <v>247</v>
      </c>
      <c r="N1973" s="53">
        <v>11.5</v>
      </c>
      <c r="O1973" s="51" t="str">
        <f>TEXT(tblWorkPackages[[#This Row],[Request date serial]]-WEEKDAY(tblWorkPackages[[#This Row],[Request date serial]],3),"yyyy-mm-dd")</f>
        <v>2024-03-04</v>
      </c>
      <c r="P1973" s="51">
        <f>ABS(tblWorkPackages[[#This Row],[Actual labor hours]]-tblWorkPackages[[#This Row],[Estimated labor hours]])</f>
        <v>3.1</v>
      </c>
      <c r="Q1973" s="51">
        <f>IF(tblWorkPackages[[#This Row],[Actual labor hours]]&gt;tblWorkPackages[[#This Row],[Estimated labor hours]],1,0)</f>
        <v>0</v>
      </c>
      <c r="R1973" s="51">
        <f>tblWorkPackages[[#This Row],[Actual labor hours]]-tblWorkPackages[[#This Row],[Estimated labor hours]]</f>
        <v>-3.1</v>
      </c>
      <c r="S1973" s="51" t="str">
        <f>IF(tblWorkPackages[[#This Row],[Request date serial]]&lt;ValidationStart,"Train 2024",IF(tblWorkPackages[[#This Row],[Request date serial]]&lt;HoldoutStart,"Validation H1","Holdout H2"))</f>
        <v>Train 2024</v>
      </c>
      <c r="T1973" s="51" t="str">
        <f>IF(tblWorkPackages[[#This Row],[Time split]]="Train 2024","",tblWorkPackages[[#This Row],[Estimated labor hours]]+VLOOKUP(tblWorkPackages[[#This Row],[Task type]],'Forecast validation'!$A$14:$E$25,IF(tblWorkPackages[[#This Row],[Time split]]="Validation H1",4,5),FALSE()))</f>
        <v/>
      </c>
      <c r="U1973" s="51" t="str">
        <f>IF(tblWorkPackages[[#This Row],[Calibrated forecast hours]]="","",ABS(tblWorkPackages[[#This Row],[Actual labor hours]]-tblWorkPackages[[#This Row],[Calibrated forecast hours]]))</f>
        <v/>
      </c>
      <c r="V1973" s="51">
        <f>IF(tblWorkPackages[[#This Row],[Time split]]="Train 2024",tblWorkPackages[[#This Row],[Estimated labor hours]],tblWorkPackages[[#This Row],[Calibrated forecast hours]])</f>
        <v>14.6</v>
      </c>
      <c r="W1973" s="64">
        <f>DATEVALUE(tblWorkPackages[[#This Row],[Request date]])</f>
        <v>45360.0</v>
      </c>
      <c r="X1973" s="64">
        <f>DATEVALUE(tblWorkPackages[[#This Row],[Due date]])</f>
        <v>45366.0</v>
      </c>
      <c r="Y1973" s="64">
        <f>DATEVALUE(tblWorkPackages[[#This Row],[Completion date]])</f>
        <v>45377.0</v>
      </c>
      <c r="Z1973" s="64">
        <f>_xlfn.MINIFS(tblLaborEntries[Work date serial],tblLaborEntries[Work package ID],tblWorkPackages[[#This Row],[Work package ID]])</f>
        <v>45374.0</v>
      </c>
      <c r="AA1973" s="64">
        <f>_xlfn.MAXIFS(tblLaborEntries[Work date serial],tblLaborEntries[Work package ID],tblWorkPackages[[#This Row],[Work package ID]])</f>
        <v>45374.0</v>
      </c>
      <c r="AB1973" s="65">
        <f>IF(tblWorkPackages[[#This Row],[Completion date serial]]&gt;tblWorkPackages[[#This Row],[Due date serial]],1,0)</f>
        <v>1</v>
      </c>
      <c r="AC1973" s="65">
        <f>MAX(0,tblWorkPackages[[#This Row],[Completion date serial]]-tblWorkPackages[[#This Row],[Due date serial]])</f>
        <v>11</v>
      </c>
      <c r="AD1973" s="65">
        <f>tblWorkPackages[[#This Row],[First labor date]]-tblWorkPackages[[#This Row],[Request date serial]]</f>
        <v>14</v>
      </c>
      <c r="AE1973" s="65">
        <f>tblWorkPackages[[#This Row],[Last labor date]]-tblWorkPackages[[#This Row],[First labor date]]</f>
        <v>0</v>
      </c>
      <c r="AF1973" s="65">
        <f>tblWorkPackages[[#This Row],[Completion date serial]]-tblWorkPackages[[#This Row],[Last labor date]]</f>
        <v>3</v>
      </c>
      <c r="AG1973" s="65">
        <f>tblWorkPackages[[#This Row],[Completion date serial]]-tblWorkPackages[[#This Row],[Request date serial]]</f>
        <v>17</v>
      </c>
      <c r="AH1973" s="65">
        <f>IFERROR(INDEX(tblParts[Delay days],MATCH(tblWorkPackages[[#This Row],[Work package ID]],tblParts[Work package ID],0)),0)</f>
        <v>0</v>
      </c>
      <c r="AI1973" s="51" t="str">
        <f>IFERROR(INDEX(tblDisruptions[Event type],MATCH(tblWorkPackages[[#This Row],[Work package ID]],tblDisruptions[Work package ID],0)),"None")</f>
        <v>None</v>
      </c>
      <c r="AJ1973" s="51" t="str">
        <f>TEXT(tblWorkPackages[[#This Row],[Due date serial]],"yyyy-mm")</f>
        <v>2024-03</v>
      </c>
    </row>
    <row r="1974" spans="1:36" ht="15" x14ac:dyDescent="0.25">
      <c r="A1974" s="53" t="s">
        <v>2885</v>
      </c>
      <c r="B1974" s="53" t="s">
        <v>185</v>
      </c>
      <c r="C1974" s="53" t="s">
        <v>413</v>
      </c>
      <c r="D1974" s="53" t="s">
        <v>859</v>
      </c>
      <c r="E1974" s="53" t="s">
        <v>237</v>
      </c>
      <c r="F1974" s="53" t="s">
        <v>182</v>
      </c>
      <c r="G1974" s="53" t="s">
        <v>138</v>
      </c>
      <c r="H1974" s="53">
        <v>2</v>
      </c>
      <c r="I1974" s="53" t="s">
        <v>147</v>
      </c>
      <c r="J1974" s="53">
        <v>0</v>
      </c>
      <c r="K1974" s="53">
        <v>0</v>
      </c>
      <c r="L1974" s="53">
        <v>6.1</v>
      </c>
      <c r="M1974" s="53" t="s">
        <v>606</v>
      </c>
      <c r="N1974" s="53">
        <v>5.4</v>
      </c>
      <c r="O1974" s="51" t="str">
        <f>TEXT(tblWorkPackages[[#This Row],[Request date serial]]-WEEKDAY(tblWorkPackages[[#This Row],[Request date serial]],3),"yyyy-mm-dd")</f>
        <v>2025-02-24</v>
      </c>
      <c r="P1974" s="51">
        <f>ABS(tblWorkPackages[[#This Row],[Actual labor hours]]-tblWorkPackages[[#This Row],[Estimated labor hours]])</f>
        <v>0.699999999999999</v>
      </c>
      <c r="Q1974" s="51">
        <f>IF(tblWorkPackages[[#This Row],[Actual labor hours]]&gt;tblWorkPackages[[#This Row],[Estimated labor hours]],1,0)</f>
        <v>0</v>
      </c>
      <c r="R1974" s="51">
        <f>tblWorkPackages[[#This Row],[Actual labor hours]]-tblWorkPackages[[#This Row],[Estimated labor hours]]</f>
        <v>-0.699999999999999</v>
      </c>
      <c r="S1974" s="51" t="str">
        <f>IF(tblWorkPackages[[#This Row],[Request date serial]]&lt;ValidationStart,"Train 2024",IF(tblWorkPackages[[#This Row],[Request date serial]]&lt;HoldoutStart,"Validation H1","Holdout H2"))</f>
        <v>Validation H1</v>
      </c>
      <c r="T1974" s="51">
        <f>IF(tblWorkPackages[[#This Row],[Time split]]="Train 2024","",tblWorkPackages[[#This Row],[Estimated labor hours]]+VLOOKUP(tblWorkPackages[[#This Row],[Task type]],'Forecast validation'!$A$14:$E$25,IF(tblWorkPackages[[#This Row],[Time split]]="Validation H1",4,5),FALSE()))</f>
        <v>6.6037037037037</v>
      </c>
      <c r="U1974" s="51">
        <f>IF(tblWorkPackages[[#This Row],[Calibrated forecast hours]]="","",ABS(tblWorkPackages[[#This Row],[Actual labor hours]]-tblWorkPackages[[#This Row],[Calibrated forecast hours]]))</f>
        <v>1.2037037037037</v>
      </c>
      <c r="V1974" s="51">
        <f>IF(tblWorkPackages[[#This Row],[Time split]]="Train 2024",tblWorkPackages[[#This Row],[Estimated labor hours]],tblWorkPackages[[#This Row],[Calibrated forecast hours]])</f>
        <v>6.6037037037037</v>
      </c>
      <c r="W1974" s="64">
        <f>DATEVALUE(tblWorkPackages[[#This Row],[Request date]])</f>
        <v>45717.0</v>
      </c>
      <c r="X1974" s="64">
        <f>DATEVALUE(tblWorkPackages[[#This Row],[Due date]])</f>
        <v>45719.0</v>
      </c>
      <c r="Y1974" s="64">
        <f>DATEVALUE(tblWorkPackages[[#This Row],[Completion date]])</f>
        <v>45721.0</v>
      </c>
      <c r="Z1974" s="64">
        <f>_xlfn.MINIFS(tblLaborEntries[Work date serial],tblLaborEntries[Work package ID],tblWorkPackages[[#This Row],[Work package ID]])</f>
        <v>45721.0</v>
      </c>
      <c r="AA1974" s="64">
        <f>_xlfn.MAXIFS(tblLaborEntries[Work date serial],tblLaborEntries[Work package ID],tblWorkPackages[[#This Row],[Work package ID]])</f>
        <v>45721.0</v>
      </c>
      <c r="AB1974" s="65">
        <f>IF(tblWorkPackages[[#This Row],[Completion date serial]]&gt;tblWorkPackages[[#This Row],[Due date serial]],1,0)</f>
        <v>1</v>
      </c>
      <c r="AC1974" s="65">
        <f>MAX(0,tblWorkPackages[[#This Row],[Completion date serial]]-tblWorkPackages[[#This Row],[Due date serial]])</f>
        <v>2</v>
      </c>
      <c r="AD1974" s="65">
        <f>tblWorkPackages[[#This Row],[First labor date]]-tblWorkPackages[[#This Row],[Request date serial]]</f>
        <v>4</v>
      </c>
      <c r="AE1974" s="65">
        <f>tblWorkPackages[[#This Row],[Last labor date]]-tblWorkPackages[[#This Row],[First labor date]]</f>
        <v>0</v>
      </c>
      <c r="AF1974" s="65">
        <f>tblWorkPackages[[#This Row],[Completion date serial]]-tblWorkPackages[[#This Row],[Last labor date]]</f>
        <v>0</v>
      </c>
      <c r="AG1974" s="65">
        <f>tblWorkPackages[[#This Row],[Completion date serial]]-tblWorkPackages[[#This Row],[Request date serial]]</f>
        <v>4</v>
      </c>
      <c r="AH1974" s="65">
        <f>IFERROR(INDEX(tblParts[Delay days],MATCH(tblWorkPackages[[#This Row],[Work package ID]],tblParts[Work package ID],0)),0)</f>
        <v>0</v>
      </c>
      <c r="AI1974" s="51" t="str">
        <f>IFERROR(INDEX(tblDisruptions[Event type],MATCH(tblWorkPackages[[#This Row],[Work package ID]],tblDisruptions[Work package ID],0)),"None")</f>
        <v>None</v>
      </c>
      <c r="AJ1974" s="51" t="str">
        <f>TEXT(tblWorkPackages[[#This Row],[Due date serial]],"yyyy-mm")</f>
        <v>2025-03</v>
      </c>
    </row>
    <row r="1975" spans="1:36" ht="15" x14ac:dyDescent="0.25">
      <c r="A1975" s="53" t="s">
        <v>2886</v>
      </c>
      <c r="B1975" s="53" t="s">
        <v>150</v>
      </c>
      <c r="C1975" s="53" t="s">
        <v>1154</v>
      </c>
      <c r="D1975" s="53" t="s">
        <v>208</v>
      </c>
      <c r="E1975" s="53" t="s">
        <v>136</v>
      </c>
      <c r="F1975" s="53" t="s">
        <v>137</v>
      </c>
      <c r="G1975" s="53" t="s">
        <v>138</v>
      </c>
      <c r="H1975" s="53">
        <v>2</v>
      </c>
      <c r="I1975" s="53" t="s">
        <v>130</v>
      </c>
      <c r="J1975" s="53">
        <v>0</v>
      </c>
      <c r="K1975" s="53">
        <v>0</v>
      </c>
      <c r="L1975" s="53">
        <v>15</v>
      </c>
      <c r="M1975" s="53" t="s">
        <v>1158</v>
      </c>
      <c r="N1975" s="53">
        <v>17</v>
      </c>
      <c r="O1975" s="51" t="str">
        <f>TEXT(tblWorkPackages[[#This Row],[Request date serial]]-WEEKDAY(tblWorkPackages[[#This Row],[Request date serial]],3),"yyyy-mm-dd")</f>
        <v>2025-07-21</v>
      </c>
      <c r="P1975" s="51">
        <f>ABS(tblWorkPackages[[#This Row],[Actual labor hours]]-tblWorkPackages[[#This Row],[Estimated labor hours]])</f>
        <v>2</v>
      </c>
      <c r="Q1975" s="51">
        <f>IF(tblWorkPackages[[#This Row],[Actual labor hours]]&gt;tblWorkPackages[[#This Row],[Estimated labor hours]],1,0)</f>
        <v>1</v>
      </c>
      <c r="R1975" s="51">
        <f>tblWorkPackages[[#This Row],[Actual labor hours]]-tblWorkPackages[[#This Row],[Estimated labor hours]]</f>
        <v>2</v>
      </c>
      <c r="S1975" s="51" t="str">
        <f>IF(tblWorkPackages[[#This Row],[Request date serial]]&lt;ValidationStart,"Train 2024",IF(tblWorkPackages[[#This Row],[Request date serial]]&lt;HoldoutStart,"Validation H1","Holdout H2"))</f>
        <v>Holdout H2</v>
      </c>
      <c r="T1975" s="51">
        <f>IF(tblWorkPackages[[#This Row],[Time split]]="Train 2024","",tblWorkPackages[[#This Row],[Estimated labor hours]]+VLOOKUP(tblWorkPackages[[#This Row],[Task type]],'Forecast validation'!$A$14:$E$25,IF(tblWorkPackages[[#This Row],[Time split]]="Validation H1",4,5),FALSE()))</f>
        <v>15.9207547169811</v>
      </c>
      <c r="U1975" s="51">
        <f>IF(tblWorkPackages[[#This Row],[Calibrated forecast hours]]="","",ABS(tblWorkPackages[[#This Row],[Actual labor hours]]-tblWorkPackages[[#This Row],[Calibrated forecast hours]]))</f>
        <v>1.07924528301887</v>
      </c>
      <c r="V1975" s="51">
        <f>IF(tblWorkPackages[[#This Row],[Time split]]="Train 2024",tblWorkPackages[[#This Row],[Estimated labor hours]],tblWorkPackages[[#This Row],[Calibrated forecast hours]])</f>
        <v>15.9207547169811</v>
      </c>
      <c r="W1975" s="64">
        <f>DATEVALUE(tblWorkPackages[[#This Row],[Request date]])</f>
        <v>45864.0</v>
      </c>
      <c r="X1975" s="64">
        <f>DATEVALUE(tblWorkPackages[[#This Row],[Due date]])</f>
        <v>45877.0</v>
      </c>
      <c r="Y1975" s="64">
        <f>DATEVALUE(tblWorkPackages[[#This Row],[Completion date]])</f>
        <v>45927.0</v>
      </c>
      <c r="Z1975" s="64">
        <f>_xlfn.MINIFS(tblLaborEntries[Work date serial],tblLaborEntries[Work package ID],tblWorkPackages[[#This Row],[Work package ID]])</f>
        <v>45925.0</v>
      </c>
      <c r="AA1975" s="64">
        <f>_xlfn.MAXIFS(tblLaborEntries[Work date serial],tblLaborEntries[Work package ID],tblWorkPackages[[#This Row],[Work package ID]])</f>
        <v>45926.0</v>
      </c>
      <c r="AB1975" s="65">
        <f>IF(tblWorkPackages[[#This Row],[Completion date serial]]&gt;tblWorkPackages[[#This Row],[Due date serial]],1,0)</f>
        <v>1</v>
      </c>
      <c r="AC1975" s="65">
        <f>MAX(0,tblWorkPackages[[#This Row],[Completion date serial]]-tblWorkPackages[[#This Row],[Due date serial]])</f>
        <v>50</v>
      </c>
      <c r="AD1975" s="65">
        <f>tblWorkPackages[[#This Row],[First labor date]]-tblWorkPackages[[#This Row],[Request date serial]]</f>
        <v>61</v>
      </c>
      <c r="AE1975" s="65">
        <f>tblWorkPackages[[#This Row],[Last labor date]]-tblWorkPackages[[#This Row],[First labor date]]</f>
        <v>1</v>
      </c>
      <c r="AF1975" s="65">
        <f>tblWorkPackages[[#This Row],[Completion date serial]]-tblWorkPackages[[#This Row],[Last labor date]]</f>
        <v>1</v>
      </c>
      <c r="AG1975" s="65">
        <f>tblWorkPackages[[#This Row],[Completion date serial]]-tblWorkPackages[[#This Row],[Request date serial]]</f>
        <v>63</v>
      </c>
      <c r="AH1975" s="65">
        <f>IFERROR(INDEX(tblParts[Delay days],MATCH(tblWorkPackages[[#This Row],[Work package ID]],tblParts[Work package ID],0)),0)</f>
        <v>0</v>
      </c>
      <c r="AI1975" s="51" t="str">
        <f>IFERROR(INDEX(tblDisruptions[Event type],MATCH(tblWorkPackages[[#This Row],[Work package ID]],tblDisruptions[Work package ID],0)),"None")</f>
        <v>None</v>
      </c>
      <c r="AJ1975" s="51" t="str">
        <f>TEXT(tblWorkPackages[[#This Row],[Due date serial]],"yyyy-mm")</f>
        <v>2025-08</v>
      </c>
    </row>
    <row r="1976" spans="1:36" ht="15" x14ac:dyDescent="0.25">
      <c r="A1976" s="53" t="s">
        <v>2887</v>
      </c>
      <c r="B1976" s="53" t="s">
        <v>185</v>
      </c>
      <c r="C1976" s="53" t="s">
        <v>1682</v>
      </c>
      <c r="D1976" s="53" t="s">
        <v>892</v>
      </c>
      <c r="E1976" s="53" t="s">
        <v>181</v>
      </c>
      <c r="F1976" s="53" t="s">
        <v>182</v>
      </c>
      <c r="G1976" s="53" t="s">
        <v>138</v>
      </c>
      <c r="H1976" s="53">
        <v>3</v>
      </c>
      <c r="I1976" s="53" t="s">
        <v>176</v>
      </c>
      <c r="J1976" s="53">
        <v>0</v>
      </c>
      <c r="K1976" s="53">
        <v>0</v>
      </c>
      <c r="L1976" s="53">
        <v>10.9</v>
      </c>
      <c r="M1976" s="53" t="s">
        <v>259</v>
      </c>
      <c r="N1976" s="53">
        <v>9</v>
      </c>
      <c r="O1976" s="51" t="str">
        <f>TEXT(tblWorkPackages[[#This Row],[Request date serial]]-WEEKDAY(tblWorkPackages[[#This Row],[Request date serial]],3),"yyyy-mm-dd")</f>
        <v>2024-12-30</v>
      </c>
      <c r="P1976" s="51">
        <f>ABS(tblWorkPackages[[#This Row],[Actual labor hours]]-tblWorkPackages[[#This Row],[Estimated labor hours]])</f>
        <v>1.9</v>
      </c>
      <c r="Q1976" s="51">
        <f>IF(tblWorkPackages[[#This Row],[Actual labor hours]]&gt;tblWorkPackages[[#This Row],[Estimated labor hours]],1,0)</f>
        <v>0</v>
      </c>
      <c r="R1976" s="51">
        <f>tblWorkPackages[[#This Row],[Actual labor hours]]-tblWorkPackages[[#This Row],[Estimated labor hours]]</f>
        <v>-1.9</v>
      </c>
      <c r="S1976" s="51" t="str">
        <f>IF(tblWorkPackages[[#This Row],[Request date serial]]&lt;ValidationStart,"Train 2024",IF(tblWorkPackages[[#This Row],[Request date serial]]&lt;HoldoutStart,"Validation H1","Holdout H2"))</f>
        <v>Validation H1</v>
      </c>
      <c r="T1976" s="51">
        <f>IF(tblWorkPackages[[#This Row],[Time split]]="Train 2024","",tblWorkPackages[[#This Row],[Estimated labor hours]]+VLOOKUP(tblWorkPackages[[#This Row],[Task type]],'Forecast validation'!$A$14:$E$25,IF(tblWorkPackages[[#This Row],[Time split]]="Validation H1",4,5),FALSE()))</f>
        <v>11.4840909090909</v>
      </c>
      <c r="U1976" s="51">
        <f>IF(tblWorkPackages[[#This Row],[Calibrated forecast hours]]="","",ABS(tblWorkPackages[[#This Row],[Actual labor hours]]-tblWorkPackages[[#This Row],[Calibrated forecast hours]]))</f>
        <v>2.48409090909091</v>
      </c>
      <c r="V1976" s="51">
        <f>IF(tblWorkPackages[[#This Row],[Time split]]="Train 2024",tblWorkPackages[[#This Row],[Estimated labor hours]],tblWorkPackages[[#This Row],[Calibrated forecast hours]])</f>
        <v>11.4840909090909</v>
      </c>
      <c r="W1976" s="64">
        <f>DATEVALUE(tblWorkPackages[[#This Row],[Request date]])</f>
        <v>45660.0</v>
      </c>
      <c r="X1976" s="64">
        <f>DATEVALUE(tblWorkPackages[[#This Row],[Due date]])</f>
        <v>45666.0</v>
      </c>
      <c r="Y1976" s="64">
        <f>DATEVALUE(tblWorkPackages[[#This Row],[Completion date]])</f>
        <v>45673.0</v>
      </c>
      <c r="Z1976" s="64">
        <f>_xlfn.MINIFS(tblLaborEntries[Work date serial],tblLaborEntries[Work package ID],tblWorkPackages[[#This Row],[Work package ID]])</f>
        <v>45669.0</v>
      </c>
      <c r="AA1976" s="64">
        <f>_xlfn.MAXIFS(tblLaborEntries[Work date serial],tblLaborEntries[Work package ID],tblWorkPackages[[#This Row],[Work package ID]])</f>
        <v>45671.0</v>
      </c>
      <c r="AB1976" s="65">
        <f>IF(tblWorkPackages[[#This Row],[Completion date serial]]&gt;tblWorkPackages[[#This Row],[Due date serial]],1,0)</f>
        <v>1</v>
      </c>
      <c r="AC1976" s="65">
        <f>MAX(0,tblWorkPackages[[#This Row],[Completion date serial]]-tblWorkPackages[[#This Row],[Due date serial]])</f>
        <v>7</v>
      </c>
      <c r="AD1976" s="65">
        <f>tblWorkPackages[[#This Row],[First labor date]]-tblWorkPackages[[#This Row],[Request date serial]]</f>
        <v>9</v>
      </c>
      <c r="AE1976" s="65">
        <f>tblWorkPackages[[#This Row],[Last labor date]]-tblWorkPackages[[#This Row],[First labor date]]</f>
        <v>2</v>
      </c>
      <c r="AF1976" s="65">
        <f>tblWorkPackages[[#This Row],[Completion date serial]]-tblWorkPackages[[#This Row],[Last labor date]]</f>
        <v>2</v>
      </c>
      <c r="AG1976" s="65">
        <f>tblWorkPackages[[#This Row],[Completion date serial]]-tblWorkPackages[[#This Row],[Request date serial]]</f>
        <v>13</v>
      </c>
      <c r="AH1976" s="65">
        <f>IFERROR(INDEX(tblParts[Delay days],MATCH(tblWorkPackages[[#This Row],[Work package ID]],tblParts[Work package ID],0)),0)</f>
        <v>0</v>
      </c>
      <c r="AI1976" s="51" t="str">
        <f>IFERROR(INDEX(tblDisruptions[Event type],MATCH(tblWorkPackages[[#This Row],[Work package ID]],tblDisruptions[Work package ID],0)),"None")</f>
        <v>None</v>
      </c>
      <c r="AJ1976" s="51" t="str">
        <f>TEXT(tblWorkPackages[[#This Row],[Due date serial]],"yyyy-mm")</f>
        <v>2025-01</v>
      </c>
    </row>
    <row r="1977" spans="1:36" ht="15" x14ac:dyDescent="0.25">
      <c r="A1977" s="53" t="s">
        <v>2888</v>
      </c>
      <c r="B1977" s="53" t="s">
        <v>287</v>
      </c>
      <c r="C1977" s="53" t="s">
        <v>450</v>
      </c>
      <c r="D1977" s="53" t="s">
        <v>1205</v>
      </c>
      <c r="E1977" s="53" t="s">
        <v>160</v>
      </c>
      <c r="F1977" s="53" t="s">
        <v>128</v>
      </c>
      <c r="G1977" s="53" t="s">
        <v>138</v>
      </c>
      <c r="H1977" s="53">
        <v>4</v>
      </c>
      <c r="I1977" s="53" t="s">
        <v>130</v>
      </c>
      <c r="J1977" s="53">
        <v>1</v>
      </c>
      <c r="K1977" s="53">
        <v>0</v>
      </c>
      <c r="L1977" s="53">
        <v>8.6</v>
      </c>
      <c r="M1977" s="53" t="s">
        <v>362</v>
      </c>
      <c r="N1977" s="53">
        <v>11.3</v>
      </c>
      <c r="O1977" s="51" t="str">
        <f>TEXT(tblWorkPackages[[#This Row],[Request date serial]]-WEEKDAY(tblWorkPackages[[#This Row],[Request date serial]],3),"yyyy-mm-dd")</f>
        <v>2024-07-08</v>
      </c>
      <c r="P1977" s="51">
        <f>ABS(tblWorkPackages[[#This Row],[Actual labor hours]]-tblWorkPackages[[#This Row],[Estimated labor hours]])</f>
        <v>2.7</v>
      </c>
      <c r="Q1977" s="51">
        <f>IF(tblWorkPackages[[#This Row],[Actual labor hours]]&gt;tblWorkPackages[[#This Row],[Estimated labor hours]],1,0)</f>
        <v>1</v>
      </c>
      <c r="R1977" s="51">
        <f>tblWorkPackages[[#This Row],[Actual labor hours]]-tblWorkPackages[[#This Row],[Estimated labor hours]]</f>
        <v>2.7</v>
      </c>
      <c r="S1977" s="51" t="str">
        <f>IF(tblWorkPackages[[#This Row],[Request date serial]]&lt;ValidationStart,"Train 2024",IF(tblWorkPackages[[#This Row],[Request date serial]]&lt;HoldoutStart,"Validation H1","Holdout H2"))</f>
        <v>Train 2024</v>
      </c>
      <c r="T1977" s="51" t="str">
        <f>IF(tblWorkPackages[[#This Row],[Time split]]="Train 2024","",tblWorkPackages[[#This Row],[Estimated labor hours]]+VLOOKUP(tblWorkPackages[[#This Row],[Task type]],'Forecast validation'!$A$14:$E$25,IF(tblWorkPackages[[#This Row],[Time split]]="Validation H1",4,5),FALSE()))</f>
        <v/>
      </c>
      <c r="U1977" s="51" t="str">
        <f>IF(tblWorkPackages[[#This Row],[Calibrated forecast hours]]="","",ABS(tblWorkPackages[[#This Row],[Actual labor hours]]-tblWorkPackages[[#This Row],[Calibrated forecast hours]]))</f>
        <v/>
      </c>
      <c r="V1977" s="51">
        <f>IF(tblWorkPackages[[#This Row],[Time split]]="Train 2024",tblWorkPackages[[#This Row],[Estimated labor hours]],tblWorkPackages[[#This Row],[Calibrated forecast hours]])</f>
        <v>8.6</v>
      </c>
      <c r="W1977" s="64">
        <f>DATEVALUE(tblWorkPackages[[#This Row],[Request date]])</f>
        <v>45487.0</v>
      </c>
      <c r="X1977" s="64">
        <f>DATEVALUE(tblWorkPackages[[#This Row],[Due date]])</f>
        <v>45500.0</v>
      </c>
      <c r="Y1977" s="64">
        <f>DATEVALUE(tblWorkPackages[[#This Row],[Completion date]])</f>
        <v>45494.0</v>
      </c>
      <c r="Z1977" s="64">
        <f>_xlfn.MINIFS(tblLaborEntries[Work date serial],tblLaborEntries[Work package ID],tblWorkPackages[[#This Row],[Work package ID]])</f>
        <v>45489.0</v>
      </c>
      <c r="AA1977" s="64">
        <f>_xlfn.MAXIFS(tblLaborEntries[Work date serial],tblLaborEntries[Work package ID],tblWorkPackages[[#This Row],[Work package ID]])</f>
        <v>45491.0</v>
      </c>
      <c r="AB1977" s="65">
        <f>IF(tblWorkPackages[[#This Row],[Completion date serial]]&gt;tblWorkPackages[[#This Row],[Due date serial]],1,0)</f>
        <v>0</v>
      </c>
      <c r="AC1977" s="65">
        <f>MAX(0,tblWorkPackages[[#This Row],[Completion date serial]]-tblWorkPackages[[#This Row],[Due date serial]])</f>
        <v>0</v>
      </c>
      <c r="AD1977" s="65">
        <f>tblWorkPackages[[#This Row],[First labor date]]-tblWorkPackages[[#This Row],[Request date serial]]</f>
        <v>2</v>
      </c>
      <c r="AE1977" s="65">
        <f>tblWorkPackages[[#This Row],[Last labor date]]-tblWorkPackages[[#This Row],[First labor date]]</f>
        <v>2</v>
      </c>
      <c r="AF1977" s="65">
        <f>tblWorkPackages[[#This Row],[Completion date serial]]-tblWorkPackages[[#This Row],[Last labor date]]</f>
        <v>3</v>
      </c>
      <c r="AG1977" s="65">
        <f>tblWorkPackages[[#This Row],[Completion date serial]]-tblWorkPackages[[#This Row],[Request date serial]]</f>
        <v>7</v>
      </c>
      <c r="AH1977" s="65">
        <f>IFERROR(INDEX(tblParts[Delay days],MATCH(tblWorkPackages[[#This Row],[Work package ID]],tblParts[Work package ID],0)),0)</f>
        <v>0</v>
      </c>
      <c r="AI1977" s="51" t="str">
        <f>IFERROR(INDEX(tblDisruptions[Event type],MATCH(tblWorkPackages[[#This Row],[Work package ID]],tblDisruptions[Work package ID],0)),"None")</f>
        <v>None</v>
      </c>
      <c r="AJ1977" s="51" t="str">
        <f>TEXT(tblWorkPackages[[#This Row],[Due date serial]],"yyyy-mm")</f>
        <v>2024-07</v>
      </c>
    </row>
    <row r="1978" spans="1:36" ht="15" x14ac:dyDescent="0.25">
      <c r="A1978" s="53" t="s">
        <v>2889</v>
      </c>
      <c r="B1978" s="53" t="s">
        <v>168</v>
      </c>
      <c r="C1978" s="53" t="s">
        <v>1197</v>
      </c>
      <c r="D1978" s="53" t="s">
        <v>1063</v>
      </c>
      <c r="E1978" s="53" t="s">
        <v>237</v>
      </c>
      <c r="F1978" s="53" t="s">
        <v>182</v>
      </c>
      <c r="G1978" s="53" t="s">
        <v>138</v>
      </c>
      <c r="H1978" s="53">
        <v>4</v>
      </c>
      <c r="I1978" s="53" t="s">
        <v>130</v>
      </c>
      <c r="J1978" s="53">
        <v>0</v>
      </c>
      <c r="K1978" s="53">
        <v>0</v>
      </c>
      <c r="L1978" s="53">
        <v>10.4</v>
      </c>
      <c r="M1978" s="53" t="s">
        <v>446</v>
      </c>
      <c r="N1978" s="53">
        <v>12.3</v>
      </c>
      <c r="O1978" s="51" t="str">
        <f>TEXT(tblWorkPackages[[#This Row],[Request date serial]]-WEEKDAY(tblWorkPackages[[#This Row],[Request date serial]],3),"yyyy-mm-dd")</f>
        <v>2025-02-24</v>
      </c>
      <c r="P1978" s="51">
        <f>ABS(tblWorkPackages[[#This Row],[Actual labor hours]]-tblWorkPackages[[#This Row],[Estimated labor hours]])</f>
        <v>1.9</v>
      </c>
      <c r="Q1978" s="51">
        <f>IF(tblWorkPackages[[#This Row],[Actual labor hours]]&gt;tblWorkPackages[[#This Row],[Estimated labor hours]],1,0)</f>
        <v>1</v>
      </c>
      <c r="R1978" s="51">
        <f>tblWorkPackages[[#This Row],[Actual labor hours]]-tblWorkPackages[[#This Row],[Estimated labor hours]]</f>
        <v>1.9</v>
      </c>
      <c r="S1978" s="51" t="str">
        <f>IF(tblWorkPackages[[#This Row],[Request date serial]]&lt;ValidationStart,"Train 2024",IF(tblWorkPackages[[#This Row],[Request date serial]]&lt;HoldoutStart,"Validation H1","Holdout H2"))</f>
        <v>Validation H1</v>
      </c>
      <c r="T1978" s="51">
        <f>IF(tblWorkPackages[[#This Row],[Time split]]="Train 2024","",tblWorkPackages[[#This Row],[Estimated labor hours]]+VLOOKUP(tblWorkPackages[[#This Row],[Task type]],'Forecast validation'!$A$14:$E$25,IF(tblWorkPackages[[#This Row],[Time split]]="Validation H1",4,5),FALSE()))</f>
        <v>10.9037037037037</v>
      </c>
      <c r="U1978" s="51">
        <f>IF(tblWorkPackages[[#This Row],[Calibrated forecast hours]]="","",ABS(tblWorkPackages[[#This Row],[Actual labor hours]]-tblWorkPackages[[#This Row],[Calibrated forecast hours]]))</f>
        <v>1.3962962962963</v>
      </c>
      <c r="V1978" s="51">
        <f>IF(tblWorkPackages[[#This Row],[Time split]]="Train 2024",tblWorkPackages[[#This Row],[Estimated labor hours]],tblWorkPackages[[#This Row],[Calibrated forecast hours]])</f>
        <v>10.9037037037037</v>
      </c>
      <c r="W1978" s="64">
        <f>DATEVALUE(tblWorkPackages[[#This Row],[Request date]])</f>
        <v>45714.0</v>
      </c>
      <c r="X1978" s="64">
        <f>DATEVALUE(tblWorkPackages[[#This Row],[Due date]])</f>
        <v>45727.0</v>
      </c>
      <c r="Y1978" s="64">
        <f>DATEVALUE(tblWorkPackages[[#This Row],[Completion date]])</f>
        <v>45737.0</v>
      </c>
      <c r="Z1978" s="64">
        <f>_xlfn.MINIFS(tblLaborEntries[Work date serial],tblLaborEntries[Work package ID],tblWorkPackages[[#This Row],[Work package ID]])</f>
        <v>45737.0</v>
      </c>
      <c r="AA1978" s="64">
        <f>_xlfn.MAXIFS(tblLaborEntries[Work date serial],tblLaborEntries[Work package ID],tblWorkPackages[[#This Row],[Work package ID]])</f>
        <v>45737.0</v>
      </c>
      <c r="AB1978" s="65">
        <f>IF(tblWorkPackages[[#This Row],[Completion date serial]]&gt;tblWorkPackages[[#This Row],[Due date serial]],1,0)</f>
        <v>1</v>
      </c>
      <c r="AC1978" s="65">
        <f>MAX(0,tblWorkPackages[[#This Row],[Completion date serial]]-tblWorkPackages[[#This Row],[Due date serial]])</f>
        <v>10</v>
      </c>
      <c r="AD1978" s="65">
        <f>tblWorkPackages[[#This Row],[First labor date]]-tblWorkPackages[[#This Row],[Request date serial]]</f>
        <v>23</v>
      </c>
      <c r="AE1978" s="65">
        <f>tblWorkPackages[[#This Row],[Last labor date]]-tblWorkPackages[[#This Row],[First labor date]]</f>
        <v>0</v>
      </c>
      <c r="AF1978" s="65">
        <f>tblWorkPackages[[#This Row],[Completion date serial]]-tblWorkPackages[[#This Row],[Last labor date]]</f>
        <v>0</v>
      </c>
      <c r="AG1978" s="65">
        <f>tblWorkPackages[[#This Row],[Completion date serial]]-tblWorkPackages[[#This Row],[Request date serial]]</f>
        <v>23</v>
      </c>
      <c r="AH1978" s="65">
        <f>IFERROR(INDEX(tblParts[Delay days],MATCH(tblWorkPackages[[#This Row],[Work package ID]],tblParts[Work package ID],0)),0)</f>
        <v>0</v>
      </c>
      <c r="AI1978" s="51" t="str">
        <f>IFERROR(INDEX(tblDisruptions[Event type],MATCH(tblWorkPackages[[#This Row],[Work package ID]],tblDisruptions[Work package ID],0)),"None")</f>
        <v>None</v>
      </c>
      <c r="AJ1978" s="51" t="str">
        <f>TEXT(tblWorkPackages[[#This Row],[Due date serial]],"yyyy-mm")</f>
        <v>2025-03</v>
      </c>
    </row>
    <row r="1979" spans="1:36" ht="15" x14ac:dyDescent="0.25">
      <c r="A1979" s="53" t="s">
        <v>2890</v>
      </c>
      <c r="B1979" s="53" t="s">
        <v>133</v>
      </c>
      <c r="C1979" s="53" t="s">
        <v>431</v>
      </c>
      <c r="D1979" s="53" t="s">
        <v>341</v>
      </c>
      <c r="E1979" s="53" t="s">
        <v>153</v>
      </c>
      <c r="F1979" s="53" t="s">
        <v>128</v>
      </c>
      <c r="G1979" s="53" t="s">
        <v>154</v>
      </c>
      <c r="H1979" s="53">
        <v>3</v>
      </c>
      <c r="I1979" s="53" t="s">
        <v>176</v>
      </c>
      <c r="J1979" s="53">
        <v>1</v>
      </c>
      <c r="K1979" s="53">
        <v>0</v>
      </c>
      <c r="L1979" s="53">
        <v>12.4</v>
      </c>
      <c r="M1979" s="53" t="s">
        <v>341</v>
      </c>
      <c r="N1979" s="53">
        <v>16.399999999999999</v>
      </c>
      <c r="O1979" s="51" t="str">
        <f>TEXT(tblWorkPackages[[#This Row],[Request date serial]]-WEEKDAY(tblWorkPackages[[#This Row],[Request date serial]],3),"yyyy-mm-dd")</f>
        <v>2025-07-14</v>
      </c>
      <c r="P1979" s="51">
        <f>ABS(tblWorkPackages[[#This Row],[Actual labor hours]]-tblWorkPackages[[#This Row],[Estimated labor hours]])</f>
        <v>4</v>
      </c>
      <c r="Q1979" s="51">
        <f>IF(tblWorkPackages[[#This Row],[Actual labor hours]]&gt;tblWorkPackages[[#This Row],[Estimated labor hours]],1,0)</f>
        <v>1</v>
      </c>
      <c r="R1979" s="51">
        <f>tblWorkPackages[[#This Row],[Actual labor hours]]-tblWorkPackages[[#This Row],[Estimated labor hours]]</f>
        <v>4</v>
      </c>
      <c r="S1979" s="51" t="str">
        <f>IF(tblWorkPackages[[#This Row],[Request date serial]]&lt;ValidationStart,"Train 2024",IF(tblWorkPackages[[#This Row],[Request date serial]]&lt;HoldoutStart,"Validation H1","Holdout H2"))</f>
        <v>Holdout H2</v>
      </c>
      <c r="T1979" s="51">
        <f>IF(tblWorkPackages[[#This Row],[Time split]]="Train 2024","",tblWorkPackages[[#This Row],[Estimated labor hours]]+VLOOKUP(tblWorkPackages[[#This Row],[Task type]],'Forecast validation'!$A$14:$E$25,IF(tblWorkPackages[[#This Row],[Time split]]="Validation H1",4,5),FALSE()))</f>
        <v>13.0026666666667</v>
      </c>
      <c r="U1979" s="51">
        <f>IF(tblWorkPackages[[#This Row],[Calibrated forecast hours]]="","",ABS(tblWorkPackages[[#This Row],[Actual labor hours]]-tblWorkPackages[[#This Row],[Calibrated forecast hours]]))</f>
        <v>3.39733333333333</v>
      </c>
      <c r="V1979" s="51">
        <f>IF(tblWorkPackages[[#This Row],[Time split]]="Train 2024",tblWorkPackages[[#This Row],[Estimated labor hours]],tblWorkPackages[[#This Row],[Calibrated forecast hours]])</f>
        <v>13.0026666666667</v>
      </c>
      <c r="W1979" s="64">
        <f>DATEVALUE(tblWorkPackages[[#This Row],[Request date]])</f>
        <v>45852.0</v>
      </c>
      <c r="X1979" s="64">
        <f>DATEVALUE(tblWorkPackages[[#This Row],[Due date]])</f>
        <v>45858.0</v>
      </c>
      <c r="Y1979" s="64">
        <f>DATEVALUE(tblWorkPackages[[#This Row],[Completion date]])</f>
        <v>45858.0</v>
      </c>
      <c r="Z1979" s="64">
        <f>_xlfn.MINIFS(tblLaborEntries[Work date serial],tblLaborEntries[Work package ID],tblWorkPackages[[#This Row],[Work package ID]])</f>
        <v>45856.0</v>
      </c>
      <c r="AA1979" s="64">
        <f>_xlfn.MAXIFS(tblLaborEntries[Work date serial],tblLaborEntries[Work package ID],tblWorkPackages[[#This Row],[Work package ID]])</f>
        <v>45857.0</v>
      </c>
      <c r="AB1979" s="65">
        <f>IF(tblWorkPackages[[#This Row],[Completion date serial]]&gt;tblWorkPackages[[#This Row],[Due date serial]],1,0)</f>
        <v>0</v>
      </c>
      <c r="AC1979" s="65">
        <f>MAX(0,tblWorkPackages[[#This Row],[Completion date serial]]-tblWorkPackages[[#This Row],[Due date serial]])</f>
        <v>0</v>
      </c>
      <c r="AD1979" s="65">
        <f>tblWorkPackages[[#This Row],[First labor date]]-tblWorkPackages[[#This Row],[Request date serial]]</f>
        <v>4</v>
      </c>
      <c r="AE1979" s="65">
        <f>tblWorkPackages[[#This Row],[Last labor date]]-tblWorkPackages[[#This Row],[First labor date]]</f>
        <v>1</v>
      </c>
      <c r="AF1979" s="65">
        <f>tblWorkPackages[[#This Row],[Completion date serial]]-tblWorkPackages[[#This Row],[Last labor date]]</f>
        <v>1</v>
      </c>
      <c r="AG1979" s="65">
        <f>tblWorkPackages[[#This Row],[Completion date serial]]-tblWorkPackages[[#This Row],[Request date serial]]</f>
        <v>6</v>
      </c>
      <c r="AH1979" s="65">
        <f>IFERROR(INDEX(tblParts[Delay days],MATCH(tblWorkPackages[[#This Row],[Work package ID]],tblParts[Work package ID],0)),0)</f>
        <v>0</v>
      </c>
      <c r="AI1979" s="51" t="str">
        <f>IFERROR(INDEX(tblDisruptions[Event type],MATCH(tblWorkPackages[[#This Row],[Work package ID]],tblDisruptions[Work package ID],0)),"None")</f>
        <v>None</v>
      </c>
      <c r="AJ1979" s="51" t="str">
        <f>TEXT(tblWorkPackages[[#This Row],[Due date serial]],"yyyy-mm")</f>
        <v>2025-07</v>
      </c>
    </row>
    <row r="1980" spans="1:36" ht="15" x14ac:dyDescent="0.25">
      <c r="A1980" s="53" t="s">
        <v>2891</v>
      </c>
      <c r="B1980" s="53" t="s">
        <v>141</v>
      </c>
      <c r="C1980" s="53" t="s">
        <v>776</v>
      </c>
      <c r="D1980" s="53" t="s">
        <v>513</v>
      </c>
      <c r="E1980" s="53" t="s">
        <v>237</v>
      </c>
      <c r="F1980" s="53" t="s">
        <v>182</v>
      </c>
      <c r="G1980" s="53" t="s">
        <v>138</v>
      </c>
      <c r="H1980" s="53">
        <v>3</v>
      </c>
      <c r="I1980" s="53" t="s">
        <v>130</v>
      </c>
      <c r="J1980" s="53">
        <v>0</v>
      </c>
      <c r="K1980" s="53">
        <v>1</v>
      </c>
      <c r="L1980" s="53">
        <v>6.6</v>
      </c>
      <c r="M1980" s="53" t="s">
        <v>1128</v>
      </c>
      <c r="N1980" s="53">
        <v>6</v>
      </c>
      <c r="O1980" s="51" t="str">
        <f>TEXT(tblWorkPackages[[#This Row],[Request date serial]]-WEEKDAY(tblWorkPackages[[#This Row],[Request date serial]],3),"yyyy-mm-dd")</f>
        <v>2024-12-09</v>
      </c>
      <c r="P1980" s="51">
        <f>ABS(tblWorkPackages[[#This Row],[Actual labor hours]]-tblWorkPackages[[#This Row],[Estimated labor hours]])</f>
        <v>0.6</v>
      </c>
      <c r="Q1980" s="51">
        <f>IF(tblWorkPackages[[#This Row],[Actual labor hours]]&gt;tblWorkPackages[[#This Row],[Estimated labor hours]],1,0)</f>
        <v>0</v>
      </c>
      <c r="R1980" s="51">
        <f>tblWorkPackages[[#This Row],[Actual labor hours]]-tblWorkPackages[[#This Row],[Estimated labor hours]]</f>
        <v>-0.6</v>
      </c>
      <c r="S1980" s="51" t="str">
        <f>IF(tblWorkPackages[[#This Row],[Request date serial]]&lt;ValidationStart,"Train 2024",IF(tblWorkPackages[[#This Row],[Request date serial]]&lt;HoldoutStart,"Validation H1","Holdout H2"))</f>
        <v>Train 2024</v>
      </c>
      <c r="T1980" s="51" t="str">
        <f>IF(tblWorkPackages[[#This Row],[Time split]]="Train 2024","",tblWorkPackages[[#This Row],[Estimated labor hours]]+VLOOKUP(tblWorkPackages[[#This Row],[Task type]],'Forecast validation'!$A$14:$E$25,IF(tblWorkPackages[[#This Row],[Time split]]="Validation H1",4,5),FALSE()))</f>
        <v/>
      </c>
      <c r="U1980" s="51" t="str">
        <f>IF(tblWorkPackages[[#This Row],[Calibrated forecast hours]]="","",ABS(tblWorkPackages[[#This Row],[Actual labor hours]]-tblWorkPackages[[#This Row],[Calibrated forecast hours]]))</f>
        <v/>
      </c>
      <c r="V1980" s="51">
        <f>IF(tblWorkPackages[[#This Row],[Time split]]="Train 2024",tblWorkPackages[[#This Row],[Estimated labor hours]],tblWorkPackages[[#This Row],[Calibrated forecast hours]])</f>
        <v>6.6</v>
      </c>
      <c r="W1980" s="64">
        <f>DATEVALUE(tblWorkPackages[[#This Row],[Request date]])</f>
        <v>45636.0</v>
      </c>
      <c r="X1980" s="64">
        <f>DATEVALUE(tblWorkPackages[[#This Row],[Due date]])</f>
        <v>45649.0</v>
      </c>
      <c r="Y1980" s="64">
        <f>DATEVALUE(tblWorkPackages[[#This Row],[Completion date]])</f>
        <v>45639.0</v>
      </c>
      <c r="Z1980" s="64">
        <f>_xlfn.MINIFS(tblLaborEntries[Work date serial],tblLaborEntries[Work package ID],tblWorkPackages[[#This Row],[Work package ID]])</f>
        <v>45637.0</v>
      </c>
      <c r="AA1980" s="64">
        <f>_xlfn.MAXIFS(tblLaborEntries[Work date serial],tblLaborEntries[Work package ID],tblWorkPackages[[#This Row],[Work package ID]])</f>
        <v>45637.0</v>
      </c>
      <c r="AB1980" s="65">
        <f>IF(tblWorkPackages[[#This Row],[Completion date serial]]&gt;tblWorkPackages[[#This Row],[Due date serial]],1,0)</f>
        <v>0</v>
      </c>
      <c r="AC1980" s="65">
        <f>MAX(0,tblWorkPackages[[#This Row],[Completion date serial]]-tblWorkPackages[[#This Row],[Due date serial]])</f>
        <v>0</v>
      </c>
      <c r="AD1980" s="65">
        <f>tblWorkPackages[[#This Row],[First labor date]]-tblWorkPackages[[#This Row],[Request date serial]]</f>
        <v>1</v>
      </c>
      <c r="AE1980" s="65">
        <f>tblWorkPackages[[#This Row],[Last labor date]]-tblWorkPackages[[#This Row],[First labor date]]</f>
        <v>0</v>
      </c>
      <c r="AF1980" s="65">
        <f>tblWorkPackages[[#This Row],[Completion date serial]]-tblWorkPackages[[#This Row],[Last labor date]]</f>
        <v>2</v>
      </c>
      <c r="AG1980" s="65">
        <f>tblWorkPackages[[#This Row],[Completion date serial]]-tblWorkPackages[[#This Row],[Request date serial]]</f>
        <v>3</v>
      </c>
      <c r="AH1980" s="65">
        <f>IFERROR(INDEX(tblParts[Delay days],MATCH(tblWorkPackages[[#This Row],[Work package ID]],tblParts[Work package ID],0)),0)</f>
        <v>0</v>
      </c>
      <c r="AI1980" s="51" t="str">
        <f>IFERROR(INDEX(tblDisruptions[Event type],MATCH(tblWorkPackages[[#This Row],[Work package ID]],tblDisruptions[Work package ID],0)),"None")</f>
        <v>None</v>
      </c>
      <c r="AJ1980" s="51" t="str">
        <f>TEXT(tblWorkPackages[[#This Row],[Due date serial]],"yyyy-mm")</f>
        <v>2024-12</v>
      </c>
    </row>
    <row r="1981" spans="1:36" ht="15" x14ac:dyDescent="0.25">
      <c r="A1981" s="53" t="s">
        <v>2892</v>
      </c>
      <c r="B1981" s="53" t="s">
        <v>173</v>
      </c>
      <c r="C1981" s="53" t="s">
        <v>148</v>
      </c>
      <c r="D1981" s="53" t="s">
        <v>328</v>
      </c>
      <c r="E1981" s="53" t="s">
        <v>209</v>
      </c>
      <c r="F1981" s="53" t="s">
        <v>145</v>
      </c>
      <c r="G1981" s="53" t="s">
        <v>210</v>
      </c>
      <c r="H1981" s="53">
        <v>1</v>
      </c>
      <c r="I1981" s="53" t="s">
        <v>130</v>
      </c>
      <c r="J1981" s="53">
        <v>0</v>
      </c>
      <c r="K1981" s="53">
        <v>0</v>
      </c>
      <c r="L1981" s="53">
        <v>14</v>
      </c>
      <c r="M1981" s="53" t="s">
        <v>246</v>
      </c>
      <c r="N1981" s="53">
        <v>11</v>
      </c>
      <c r="O1981" s="51" t="str">
        <f>TEXT(tblWorkPackages[[#This Row],[Request date serial]]-WEEKDAY(tblWorkPackages[[#This Row],[Request date serial]],3),"yyyy-mm-dd")</f>
        <v>2024-02-26</v>
      </c>
      <c r="P1981" s="51">
        <f>ABS(tblWorkPackages[[#This Row],[Actual labor hours]]-tblWorkPackages[[#This Row],[Estimated labor hours]])</f>
        <v>3</v>
      </c>
      <c r="Q1981" s="51">
        <f>IF(tblWorkPackages[[#This Row],[Actual labor hours]]&gt;tblWorkPackages[[#This Row],[Estimated labor hours]],1,0)</f>
        <v>0</v>
      </c>
      <c r="R1981" s="51">
        <f>tblWorkPackages[[#This Row],[Actual labor hours]]-tblWorkPackages[[#This Row],[Estimated labor hours]]</f>
        <v>-3</v>
      </c>
      <c r="S1981" s="51" t="str">
        <f>IF(tblWorkPackages[[#This Row],[Request date serial]]&lt;ValidationStart,"Train 2024",IF(tblWorkPackages[[#This Row],[Request date serial]]&lt;HoldoutStart,"Validation H1","Holdout H2"))</f>
        <v>Train 2024</v>
      </c>
      <c r="T1981" s="51" t="str">
        <f>IF(tblWorkPackages[[#This Row],[Time split]]="Train 2024","",tblWorkPackages[[#This Row],[Estimated labor hours]]+VLOOKUP(tblWorkPackages[[#This Row],[Task type]],'Forecast validation'!$A$14:$E$25,IF(tblWorkPackages[[#This Row],[Time split]]="Validation H1",4,5),FALSE()))</f>
        <v/>
      </c>
      <c r="U1981" s="51" t="str">
        <f>IF(tblWorkPackages[[#This Row],[Calibrated forecast hours]]="","",ABS(tblWorkPackages[[#This Row],[Actual labor hours]]-tblWorkPackages[[#This Row],[Calibrated forecast hours]]))</f>
        <v/>
      </c>
      <c r="V1981" s="51">
        <f>IF(tblWorkPackages[[#This Row],[Time split]]="Train 2024",tblWorkPackages[[#This Row],[Estimated labor hours]],tblWorkPackages[[#This Row],[Calibrated forecast hours]])</f>
        <v>14</v>
      </c>
      <c r="W1981" s="64">
        <f>DATEVALUE(tblWorkPackages[[#This Row],[Request date]])</f>
        <v>45348.0</v>
      </c>
      <c r="X1981" s="64">
        <f>DATEVALUE(tblWorkPackages[[#This Row],[Due date]])</f>
        <v>45361.0</v>
      </c>
      <c r="Y1981" s="64">
        <f>DATEVALUE(tblWorkPackages[[#This Row],[Completion date]])</f>
        <v>45364.0</v>
      </c>
      <c r="Z1981" s="64">
        <f>_xlfn.MINIFS(tblLaborEntries[Work date serial],tblLaborEntries[Work package ID],tblWorkPackages[[#This Row],[Work package ID]])</f>
        <v>45360.0</v>
      </c>
      <c r="AA1981" s="64">
        <f>_xlfn.MAXIFS(tblLaborEntries[Work date serial],tblLaborEntries[Work package ID],tblWorkPackages[[#This Row],[Work package ID]])</f>
        <v>45361.0</v>
      </c>
      <c r="AB1981" s="65">
        <f>IF(tblWorkPackages[[#This Row],[Completion date serial]]&gt;tblWorkPackages[[#This Row],[Due date serial]],1,0)</f>
        <v>1</v>
      </c>
      <c r="AC1981" s="65">
        <f>MAX(0,tblWorkPackages[[#This Row],[Completion date serial]]-tblWorkPackages[[#This Row],[Due date serial]])</f>
        <v>3</v>
      </c>
      <c r="AD1981" s="65">
        <f>tblWorkPackages[[#This Row],[First labor date]]-tblWorkPackages[[#This Row],[Request date serial]]</f>
        <v>12</v>
      </c>
      <c r="AE1981" s="65">
        <f>tblWorkPackages[[#This Row],[Last labor date]]-tblWorkPackages[[#This Row],[First labor date]]</f>
        <v>1</v>
      </c>
      <c r="AF1981" s="65">
        <f>tblWorkPackages[[#This Row],[Completion date serial]]-tblWorkPackages[[#This Row],[Last labor date]]</f>
        <v>3</v>
      </c>
      <c r="AG1981" s="65">
        <f>tblWorkPackages[[#This Row],[Completion date serial]]-tblWorkPackages[[#This Row],[Request date serial]]</f>
        <v>16</v>
      </c>
      <c r="AH1981" s="65">
        <f>IFERROR(INDEX(tblParts[Delay days],MATCH(tblWorkPackages[[#This Row],[Work package ID]],tblParts[Work package ID],0)),0)</f>
        <v>0</v>
      </c>
      <c r="AI1981" s="51" t="str">
        <f>IFERROR(INDEX(tblDisruptions[Event type],MATCH(tblWorkPackages[[#This Row],[Work package ID]],tblDisruptions[Work package ID],0)),"None")</f>
        <v>None</v>
      </c>
      <c r="AJ1981" s="51" t="str">
        <f>TEXT(tblWorkPackages[[#This Row],[Due date serial]],"yyyy-mm")</f>
        <v>2024-03</v>
      </c>
    </row>
    <row r="1982" spans="1:36" ht="15" x14ac:dyDescent="0.25">
      <c r="A1982" s="53" t="s">
        <v>2893</v>
      </c>
      <c r="B1982" s="53" t="s">
        <v>133</v>
      </c>
      <c r="C1982" s="53" t="s">
        <v>942</v>
      </c>
      <c r="D1982" s="53" t="s">
        <v>978</v>
      </c>
      <c r="E1982" s="53" t="s">
        <v>144</v>
      </c>
      <c r="F1982" s="53" t="s">
        <v>145</v>
      </c>
      <c r="G1982" s="53" t="s">
        <v>146</v>
      </c>
      <c r="H1982" s="53">
        <v>2</v>
      </c>
      <c r="I1982" s="53" t="s">
        <v>130</v>
      </c>
      <c r="J1982" s="53">
        <v>0</v>
      </c>
      <c r="K1982" s="53">
        <v>1</v>
      </c>
      <c r="L1982" s="53">
        <v>8.8000000000000007</v>
      </c>
      <c r="M1982" s="53" t="s">
        <v>325</v>
      </c>
      <c r="N1982" s="53">
        <v>13.8</v>
      </c>
      <c r="O1982" s="51" t="str">
        <f>TEXT(tblWorkPackages[[#This Row],[Request date serial]]-WEEKDAY(tblWorkPackages[[#This Row],[Request date serial]],3),"yyyy-mm-dd")</f>
        <v>2025-10-13</v>
      </c>
      <c r="P1982" s="51">
        <f>ABS(tblWorkPackages[[#This Row],[Actual labor hours]]-tblWorkPackages[[#This Row],[Estimated labor hours]])</f>
        <v>5</v>
      </c>
      <c r="Q1982" s="51">
        <f>IF(tblWorkPackages[[#This Row],[Actual labor hours]]&gt;tblWorkPackages[[#This Row],[Estimated labor hours]],1,0)</f>
        <v>1</v>
      </c>
      <c r="R1982" s="51">
        <f>tblWorkPackages[[#This Row],[Actual labor hours]]-tblWorkPackages[[#This Row],[Estimated labor hours]]</f>
        <v>5</v>
      </c>
      <c r="S1982" s="51" t="str">
        <f>IF(tblWorkPackages[[#This Row],[Request date serial]]&lt;ValidationStart,"Train 2024",IF(tblWorkPackages[[#This Row],[Request date serial]]&lt;HoldoutStart,"Validation H1","Holdout H2"))</f>
        <v>Holdout H2</v>
      </c>
      <c r="T1982" s="51">
        <f>IF(tblWorkPackages[[#This Row],[Time split]]="Train 2024","",tblWorkPackages[[#This Row],[Estimated labor hours]]+VLOOKUP(tblWorkPackages[[#This Row],[Task type]],'Forecast validation'!$A$14:$E$25,IF(tblWorkPackages[[#This Row],[Time split]]="Validation H1",4,5),FALSE()))</f>
        <v>9.77354838709677</v>
      </c>
      <c r="U1982" s="51">
        <f>IF(tblWorkPackages[[#This Row],[Calibrated forecast hours]]="","",ABS(tblWorkPackages[[#This Row],[Actual labor hours]]-tblWorkPackages[[#This Row],[Calibrated forecast hours]]))</f>
        <v>4.02645161290323</v>
      </c>
      <c r="V1982" s="51">
        <f>IF(tblWorkPackages[[#This Row],[Time split]]="Train 2024",tblWorkPackages[[#This Row],[Estimated labor hours]],tblWorkPackages[[#This Row],[Calibrated forecast hours]])</f>
        <v>9.77354838709677</v>
      </c>
      <c r="W1982" s="64">
        <f>DATEVALUE(tblWorkPackages[[#This Row],[Request date]])</f>
        <v>45946.0</v>
      </c>
      <c r="X1982" s="64">
        <f>DATEVALUE(tblWorkPackages[[#This Row],[Due date]])</f>
        <v>45959.0</v>
      </c>
      <c r="Y1982" s="64">
        <f>DATEVALUE(tblWorkPackages[[#This Row],[Completion date]])</f>
        <v>45962.0</v>
      </c>
      <c r="Z1982" s="64">
        <f>_xlfn.MINIFS(tblLaborEntries[Work date serial],tblLaborEntries[Work package ID],tblWorkPackages[[#This Row],[Work package ID]])</f>
        <v>45961.0</v>
      </c>
      <c r="AA1982" s="64">
        <f>_xlfn.MAXIFS(tblLaborEntries[Work date serial],tblLaborEntries[Work package ID],tblWorkPackages[[#This Row],[Work package ID]])</f>
        <v>45962.0</v>
      </c>
      <c r="AB1982" s="65">
        <f>IF(tblWorkPackages[[#This Row],[Completion date serial]]&gt;tblWorkPackages[[#This Row],[Due date serial]],1,0)</f>
        <v>1</v>
      </c>
      <c r="AC1982" s="65">
        <f>MAX(0,tblWorkPackages[[#This Row],[Completion date serial]]-tblWorkPackages[[#This Row],[Due date serial]])</f>
        <v>3</v>
      </c>
      <c r="AD1982" s="65">
        <f>tblWorkPackages[[#This Row],[First labor date]]-tblWorkPackages[[#This Row],[Request date serial]]</f>
        <v>15</v>
      </c>
      <c r="AE1982" s="65">
        <f>tblWorkPackages[[#This Row],[Last labor date]]-tblWorkPackages[[#This Row],[First labor date]]</f>
        <v>1</v>
      </c>
      <c r="AF1982" s="65">
        <f>tblWorkPackages[[#This Row],[Completion date serial]]-tblWorkPackages[[#This Row],[Last labor date]]</f>
        <v>0</v>
      </c>
      <c r="AG1982" s="65">
        <f>tblWorkPackages[[#This Row],[Completion date serial]]-tblWorkPackages[[#This Row],[Request date serial]]</f>
        <v>16</v>
      </c>
      <c r="AH1982" s="65">
        <f>IFERROR(INDEX(tblParts[Delay days],MATCH(tblWorkPackages[[#This Row],[Work package ID]],tblParts[Work package ID],0)),0)</f>
        <v>12</v>
      </c>
      <c r="AI1982" s="51" t="str">
        <f>IFERROR(INDEX(tblDisruptions[Event type],MATCH(tblWorkPackages[[#This Row],[Work package ID]],tblDisruptions[Work package ID],0)),"None")</f>
        <v>Part delay</v>
      </c>
      <c r="AJ1982" s="51" t="str">
        <f>TEXT(tblWorkPackages[[#This Row],[Due date serial]],"yyyy-mm")</f>
        <v>2025-10</v>
      </c>
    </row>
    <row r="1983" spans="1:36" ht="15" x14ac:dyDescent="0.25">
      <c r="A1983" s="53" t="s">
        <v>2894</v>
      </c>
      <c r="B1983" s="53" t="s">
        <v>124</v>
      </c>
      <c r="C1983" s="53" t="s">
        <v>1244</v>
      </c>
      <c r="D1983" s="53" t="s">
        <v>468</v>
      </c>
      <c r="E1983" s="53" t="s">
        <v>127</v>
      </c>
      <c r="F1983" s="53" t="s">
        <v>128</v>
      </c>
      <c r="G1983" s="53" t="s">
        <v>129</v>
      </c>
      <c r="H1983" s="53">
        <v>3</v>
      </c>
      <c r="I1983" s="53" t="s">
        <v>147</v>
      </c>
      <c r="J1983" s="53">
        <v>0</v>
      </c>
      <c r="K1983" s="53">
        <v>1</v>
      </c>
      <c r="L1983" s="53">
        <v>11.1</v>
      </c>
      <c r="M1983" s="53" t="s">
        <v>1035</v>
      </c>
      <c r="N1983" s="53">
        <v>11.2</v>
      </c>
      <c r="O1983" s="51" t="str">
        <f>TEXT(tblWorkPackages[[#This Row],[Request date serial]]-WEEKDAY(tblWorkPackages[[#This Row],[Request date serial]],3),"yyyy-mm-dd")</f>
        <v>2025-04-21</v>
      </c>
      <c r="P1983" s="51">
        <f>ABS(tblWorkPackages[[#This Row],[Actual labor hours]]-tblWorkPackages[[#This Row],[Estimated labor hours]])</f>
        <v>0.0999999999999996</v>
      </c>
      <c r="Q1983" s="51">
        <f>IF(tblWorkPackages[[#This Row],[Actual labor hours]]&gt;tblWorkPackages[[#This Row],[Estimated labor hours]],1,0)</f>
        <v>1</v>
      </c>
      <c r="R1983" s="51">
        <f>tblWorkPackages[[#This Row],[Actual labor hours]]-tblWorkPackages[[#This Row],[Estimated labor hours]]</f>
        <v>0.0999999999999996</v>
      </c>
      <c r="S1983" s="51" t="str">
        <f>IF(tblWorkPackages[[#This Row],[Request date serial]]&lt;ValidationStart,"Train 2024",IF(tblWorkPackages[[#This Row],[Request date serial]]&lt;HoldoutStart,"Validation H1","Holdout H2"))</f>
        <v>Validation H1</v>
      </c>
      <c r="T1983" s="51">
        <f>IF(tblWorkPackages[[#This Row],[Time split]]="Train 2024","",tblWorkPackages[[#This Row],[Estimated labor hours]]+VLOOKUP(tblWorkPackages[[#This Row],[Task type]],'Forecast validation'!$A$14:$E$25,IF(tblWorkPackages[[#This Row],[Time split]]="Validation H1",4,5),FALSE()))</f>
        <v>11.575641025641</v>
      </c>
      <c r="U1983" s="51">
        <f>IF(tblWorkPackages[[#This Row],[Calibrated forecast hours]]="","",ABS(tblWorkPackages[[#This Row],[Actual labor hours]]-tblWorkPackages[[#This Row],[Calibrated forecast hours]]))</f>
        <v>0.375641025641025</v>
      </c>
      <c r="V1983" s="51">
        <f>IF(tblWorkPackages[[#This Row],[Time split]]="Train 2024",tblWorkPackages[[#This Row],[Estimated labor hours]],tblWorkPackages[[#This Row],[Calibrated forecast hours]])</f>
        <v>11.575641025641</v>
      </c>
      <c r="W1983" s="64">
        <f>DATEVALUE(tblWorkPackages[[#This Row],[Request date]])</f>
        <v>45773.0</v>
      </c>
      <c r="X1983" s="64">
        <f>DATEVALUE(tblWorkPackages[[#This Row],[Due date]])</f>
        <v>45775.0</v>
      </c>
      <c r="Y1983" s="64">
        <f>DATEVALUE(tblWorkPackages[[#This Row],[Completion date]])</f>
        <v>45811.0</v>
      </c>
      <c r="Z1983" s="64">
        <f>_xlfn.MINIFS(tblLaborEntries[Work date serial],tblLaborEntries[Work package ID],tblWorkPackages[[#This Row],[Work package ID]])</f>
        <v>45809.0</v>
      </c>
      <c r="AA1983" s="64">
        <f>_xlfn.MAXIFS(tblLaborEntries[Work date serial],tblLaborEntries[Work package ID],tblWorkPackages[[#This Row],[Work package ID]])</f>
        <v>45810.0</v>
      </c>
      <c r="AB1983" s="65">
        <f>IF(tblWorkPackages[[#This Row],[Completion date serial]]&gt;tblWorkPackages[[#This Row],[Due date serial]],1,0)</f>
        <v>1</v>
      </c>
      <c r="AC1983" s="65">
        <f>MAX(0,tblWorkPackages[[#This Row],[Completion date serial]]-tblWorkPackages[[#This Row],[Due date serial]])</f>
        <v>36</v>
      </c>
      <c r="AD1983" s="65">
        <f>tblWorkPackages[[#This Row],[First labor date]]-tblWorkPackages[[#This Row],[Request date serial]]</f>
        <v>36</v>
      </c>
      <c r="AE1983" s="65">
        <f>tblWorkPackages[[#This Row],[Last labor date]]-tblWorkPackages[[#This Row],[First labor date]]</f>
        <v>1</v>
      </c>
      <c r="AF1983" s="65">
        <f>tblWorkPackages[[#This Row],[Completion date serial]]-tblWorkPackages[[#This Row],[Last labor date]]</f>
        <v>1</v>
      </c>
      <c r="AG1983" s="65">
        <f>tblWorkPackages[[#This Row],[Completion date serial]]-tblWorkPackages[[#This Row],[Request date serial]]</f>
        <v>38</v>
      </c>
      <c r="AH1983" s="65">
        <f>IFERROR(INDEX(tblParts[Delay days],MATCH(tblWorkPackages[[#This Row],[Work package ID]],tblParts[Work package ID],0)),0)</f>
        <v>0</v>
      </c>
      <c r="AI1983" s="51" t="str">
        <f>IFERROR(INDEX(tblDisruptions[Event type],MATCH(tblWorkPackages[[#This Row],[Work package ID]],tblDisruptions[Work package ID],0)),"None")</f>
        <v>None</v>
      </c>
      <c r="AJ1983" s="51" t="str">
        <f>TEXT(tblWorkPackages[[#This Row],[Due date serial]],"yyyy-mm")</f>
        <v>2025-04</v>
      </c>
    </row>
    <row r="1984" spans="1:36" ht="15" x14ac:dyDescent="0.25">
      <c r="A1984" s="53" t="s">
        <v>2895</v>
      </c>
      <c r="B1984" s="53" t="s">
        <v>185</v>
      </c>
      <c r="C1984" s="53" t="s">
        <v>625</v>
      </c>
      <c r="D1984" s="53" t="s">
        <v>636</v>
      </c>
      <c r="E1984" s="53" t="s">
        <v>272</v>
      </c>
      <c r="F1984" s="53" t="s">
        <v>145</v>
      </c>
      <c r="G1984" s="53" t="s">
        <v>273</v>
      </c>
      <c r="H1984" s="53">
        <v>4</v>
      </c>
      <c r="I1984" s="53" t="s">
        <v>130</v>
      </c>
      <c r="J1984" s="53">
        <v>0</v>
      </c>
      <c r="K1984" s="53">
        <v>1</v>
      </c>
      <c r="L1984" s="53">
        <v>19.899999999999999</v>
      </c>
      <c r="M1984" s="53" t="s">
        <v>988</v>
      </c>
      <c r="N1984" s="53">
        <v>23.7</v>
      </c>
      <c r="O1984" s="51" t="str">
        <f>TEXT(tblWorkPackages[[#This Row],[Request date serial]]-WEEKDAY(tblWorkPackages[[#This Row],[Request date serial]],3),"yyyy-mm-dd")</f>
        <v>2025-09-22</v>
      </c>
      <c r="P1984" s="51">
        <f>ABS(tblWorkPackages[[#This Row],[Actual labor hours]]-tblWorkPackages[[#This Row],[Estimated labor hours]])</f>
        <v>3.8</v>
      </c>
      <c r="Q1984" s="51">
        <f>IF(tblWorkPackages[[#This Row],[Actual labor hours]]&gt;tblWorkPackages[[#This Row],[Estimated labor hours]],1,0)</f>
        <v>1</v>
      </c>
      <c r="R1984" s="51">
        <f>tblWorkPackages[[#This Row],[Actual labor hours]]-tblWorkPackages[[#This Row],[Estimated labor hours]]</f>
        <v>3.8</v>
      </c>
      <c r="S1984" s="51" t="str">
        <f>IF(tblWorkPackages[[#This Row],[Request date serial]]&lt;ValidationStart,"Train 2024",IF(tblWorkPackages[[#This Row],[Request date serial]]&lt;HoldoutStart,"Validation H1","Holdout H2"))</f>
        <v>Holdout H2</v>
      </c>
      <c r="T1984" s="51">
        <f>IF(tblWorkPackages[[#This Row],[Time split]]="Train 2024","",tblWorkPackages[[#This Row],[Estimated labor hours]]+VLOOKUP(tblWorkPackages[[#This Row],[Task type]],'Forecast validation'!$A$14:$E$25,IF(tblWorkPackages[[#This Row],[Time split]]="Validation H1",4,5),FALSE()))</f>
        <v>20.88515625</v>
      </c>
      <c r="U1984" s="51">
        <f>IF(tblWorkPackages[[#This Row],[Calibrated forecast hours]]="","",ABS(tblWorkPackages[[#This Row],[Actual labor hours]]-tblWorkPackages[[#This Row],[Calibrated forecast hours]]))</f>
        <v>2.81484375</v>
      </c>
      <c r="V1984" s="51">
        <f>IF(tblWorkPackages[[#This Row],[Time split]]="Train 2024",tblWorkPackages[[#This Row],[Estimated labor hours]],tblWorkPackages[[#This Row],[Calibrated forecast hours]])</f>
        <v>20.88515625</v>
      </c>
      <c r="W1984" s="64">
        <f>DATEVALUE(tblWorkPackages[[#This Row],[Request date]])</f>
        <v>45924.0</v>
      </c>
      <c r="X1984" s="64">
        <f>DATEVALUE(tblWorkPackages[[#This Row],[Due date]])</f>
        <v>45937.0</v>
      </c>
      <c r="Y1984" s="64">
        <f>DATEVALUE(tblWorkPackages[[#This Row],[Completion date]])</f>
        <v>45934.0</v>
      </c>
      <c r="Z1984" s="64">
        <f>_xlfn.MINIFS(tblLaborEntries[Work date serial],tblLaborEntries[Work package ID],tblWorkPackages[[#This Row],[Work package ID]])</f>
        <v>45931.0</v>
      </c>
      <c r="AA1984" s="64">
        <f>_xlfn.MAXIFS(tblLaborEntries[Work date serial],tblLaborEntries[Work package ID],tblWorkPackages[[#This Row],[Work package ID]])</f>
        <v>45932.0</v>
      </c>
      <c r="AB1984" s="65">
        <f>IF(tblWorkPackages[[#This Row],[Completion date serial]]&gt;tblWorkPackages[[#This Row],[Due date serial]],1,0)</f>
        <v>0</v>
      </c>
      <c r="AC1984" s="65">
        <f>MAX(0,tblWorkPackages[[#This Row],[Completion date serial]]-tblWorkPackages[[#This Row],[Due date serial]])</f>
        <v>0</v>
      </c>
      <c r="AD1984" s="65">
        <f>tblWorkPackages[[#This Row],[First labor date]]-tblWorkPackages[[#This Row],[Request date serial]]</f>
        <v>7</v>
      </c>
      <c r="AE1984" s="65">
        <f>tblWorkPackages[[#This Row],[Last labor date]]-tblWorkPackages[[#This Row],[First labor date]]</f>
        <v>1</v>
      </c>
      <c r="AF1984" s="65">
        <f>tblWorkPackages[[#This Row],[Completion date serial]]-tblWorkPackages[[#This Row],[Last labor date]]</f>
        <v>2</v>
      </c>
      <c r="AG1984" s="65">
        <f>tblWorkPackages[[#This Row],[Completion date serial]]-tblWorkPackages[[#This Row],[Request date serial]]</f>
        <v>10</v>
      </c>
      <c r="AH1984" s="65">
        <f>IFERROR(INDEX(tblParts[Delay days],MATCH(tblWorkPackages[[#This Row],[Work package ID]],tblParts[Work package ID],0)),0)</f>
        <v>0</v>
      </c>
      <c r="AI1984" s="51" t="str">
        <f>IFERROR(INDEX(tblDisruptions[Event type],MATCH(tblWorkPackages[[#This Row],[Work package ID]],tblDisruptions[Work package ID],0)),"None")</f>
        <v>None</v>
      </c>
      <c r="AJ1984" s="51" t="str">
        <f>TEXT(tblWorkPackages[[#This Row],[Due date serial]],"yyyy-mm")</f>
        <v>2025-10</v>
      </c>
    </row>
    <row r="1985" spans="1:36" ht="15" x14ac:dyDescent="0.25">
      <c r="A1985" s="53" t="s">
        <v>2896</v>
      </c>
      <c r="B1985" s="53" t="s">
        <v>168</v>
      </c>
      <c r="C1985" s="53" t="s">
        <v>1730</v>
      </c>
      <c r="D1985" s="53" t="s">
        <v>277</v>
      </c>
      <c r="E1985" s="53" t="s">
        <v>136</v>
      </c>
      <c r="F1985" s="53" t="s">
        <v>137</v>
      </c>
      <c r="G1985" s="53" t="s">
        <v>138</v>
      </c>
      <c r="H1985" s="53">
        <v>4</v>
      </c>
      <c r="I1985" s="53" t="s">
        <v>130</v>
      </c>
      <c r="J1985" s="53">
        <v>1</v>
      </c>
      <c r="K1985" s="53">
        <v>0</v>
      </c>
      <c r="L1985" s="53">
        <v>23.6</v>
      </c>
      <c r="M1985" s="53" t="s">
        <v>372</v>
      </c>
      <c r="N1985" s="53">
        <v>22.4</v>
      </c>
      <c r="O1985" s="51" t="str">
        <f>TEXT(tblWorkPackages[[#This Row],[Request date serial]]-WEEKDAY(tblWorkPackages[[#This Row],[Request date serial]],3),"yyyy-mm-dd")</f>
        <v>2024-10-14</v>
      </c>
      <c r="P1985" s="51">
        <f>ABS(tblWorkPackages[[#This Row],[Actual labor hours]]-tblWorkPackages[[#This Row],[Estimated labor hours]])</f>
        <v>1.2</v>
      </c>
      <c r="Q1985" s="51">
        <f>IF(tblWorkPackages[[#This Row],[Actual labor hours]]&gt;tblWorkPackages[[#This Row],[Estimated labor hours]],1,0)</f>
        <v>0</v>
      </c>
      <c r="R1985" s="51">
        <f>tblWorkPackages[[#This Row],[Actual labor hours]]-tblWorkPackages[[#This Row],[Estimated labor hours]]</f>
        <v>-1.2</v>
      </c>
      <c r="S1985" s="51" t="str">
        <f>IF(tblWorkPackages[[#This Row],[Request date serial]]&lt;ValidationStart,"Train 2024",IF(tblWorkPackages[[#This Row],[Request date serial]]&lt;HoldoutStart,"Validation H1","Holdout H2"))</f>
        <v>Train 2024</v>
      </c>
      <c r="T1985" s="51" t="str">
        <f>IF(tblWorkPackages[[#This Row],[Time split]]="Train 2024","",tblWorkPackages[[#This Row],[Estimated labor hours]]+VLOOKUP(tblWorkPackages[[#This Row],[Task type]],'Forecast validation'!$A$14:$E$25,IF(tblWorkPackages[[#This Row],[Time split]]="Validation H1",4,5),FALSE()))</f>
        <v/>
      </c>
      <c r="U1985" s="51" t="str">
        <f>IF(tblWorkPackages[[#This Row],[Calibrated forecast hours]]="","",ABS(tblWorkPackages[[#This Row],[Actual labor hours]]-tblWorkPackages[[#This Row],[Calibrated forecast hours]]))</f>
        <v/>
      </c>
      <c r="V1985" s="51">
        <f>IF(tblWorkPackages[[#This Row],[Time split]]="Train 2024",tblWorkPackages[[#This Row],[Estimated labor hours]],tblWorkPackages[[#This Row],[Calibrated forecast hours]])</f>
        <v>23.6</v>
      </c>
      <c r="W1985" s="64">
        <f>DATEVALUE(tblWorkPackages[[#This Row],[Request date]])</f>
        <v>45579.0</v>
      </c>
      <c r="X1985" s="64">
        <f>DATEVALUE(tblWorkPackages[[#This Row],[Due date]])</f>
        <v>45592.0</v>
      </c>
      <c r="Y1985" s="64">
        <f>DATEVALUE(tblWorkPackages[[#This Row],[Completion date]])</f>
        <v>45586.0</v>
      </c>
      <c r="Z1985" s="64">
        <f>_xlfn.MINIFS(tblLaborEntries[Work date serial],tblLaborEntries[Work package ID],tblWorkPackages[[#This Row],[Work package ID]])</f>
        <v>45581.0</v>
      </c>
      <c r="AA1985" s="64">
        <f>_xlfn.MAXIFS(tblLaborEntries[Work date serial],tblLaborEntries[Work package ID],tblWorkPackages[[#This Row],[Work package ID]])</f>
        <v>45583.0</v>
      </c>
      <c r="AB1985" s="65">
        <f>IF(tblWorkPackages[[#This Row],[Completion date serial]]&gt;tblWorkPackages[[#This Row],[Due date serial]],1,0)</f>
        <v>0</v>
      </c>
      <c r="AC1985" s="65">
        <f>MAX(0,tblWorkPackages[[#This Row],[Completion date serial]]-tblWorkPackages[[#This Row],[Due date serial]])</f>
        <v>0</v>
      </c>
      <c r="AD1985" s="65">
        <f>tblWorkPackages[[#This Row],[First labor date]]-tblWorkPackages[[#This Row],[Request date serial]]</f>
        <v>2</v>
      </c>
      <c r="AE1985" s="65">
        <f>tblWorkPackages[[#This Row],[Last labor date]]-tblWorkPackages[[#This Row],[First labor date]]</f>
        <v>2</v>
      </c>
      <c r="AF1985" s="65">
        <f>tblWorkPackages[[#This Row],[Completion date serial]]-tblWorkPackages[[#This Row],[Last labor date]]</f>
        <v>3</v>
      </c>
      <c r="AG1985" s="65">
        <f>tblWorkPackages[[#This Row],[Completion date serial]]-tblWorkPackages[[#This Row],[Request date serial]]</f>
        <v>7</v>
      </c>
      <c r="AH1985" s="65">
        <f>IFERROR(INDEX(tblParts[Delay days],MATCH(tblWorkPackages[[#This Row],[Work package ID]],tblParts[Work package ID],0)),0)</f>
        <v>0</v>
      </c>
      <c r="AI1985" s="51" t="str">
        <f>IFERROR(INDEX(tblDisruptions[Event type],MATCH(tblWorkPackages[[#This Row],[Work package ID]],tblDisruptions[Work package ID],0)),"None")</f>
        <v>None</v>
      </c>
      <c r="AJ1985" s="51" t="str">
        <f>TEXT(tblWorkPackages[[#This Row],[Due date serial]],"yyyy-mm")</f>
        <v>2024-10</v>
      </c>
    </row>
    <row r="1986" spans="1:36" ht="15" x14ac:dyDescent="0.25">
      <c r="A1986" s="53" t="s">
        <v>2897</v>
      </c>
      <c r="B1986" s="53" t="s">
        <v>235</v>
      </c>
      <c r="C1986" s="53" t="s">
        <v>288</v>
      </c>
      <c r="D1986" s="53" t="s">
        <v>988</v>
      </c>
      <c r="E1986" s="53" t="s">
        <v>144</v>
      </c>
      <c r="F1986" s="53" t="s">
        <v>145</v>
      </c>
      <c r="G1986" s="53" t="s">
        <v>146</v>
      </c>
      <c r="H1986" s="53">
        <v>3</v>
      </c>
      <c r="I1986" s="53" t="s">
        <v>176</v>
      </c>
      <c r="J1986" s="53">
        <v>0</v>
      </c>
      <c r="K1986" s="53">
        <v>0</v>
      </c>
      <c r="L1986" s="53">
        <v>12.7</v>
      </c>
      <c r="M1986" s="53" t="s">
        <v>378</v>
      </c>
      <c r="N1986" s="53">
        <v>15.3</v>
      </c>
      <c r="O1986" s="51" t="str">
        <f>TEXT(tblWorkPackages[[#This Row],[Request date serial]]-WEEKDAY(tblWorkPackages[[#This Row],[Request date serial]],3),"yyyy-mm-dd")</f>
        <v>2025-09-22</v>
      </c>
      <c r="P1986" s="51">
        <f>ABS(tblWorkPackages[[#This Row],[Actual labor hours]]-tblWorkPackages[[#This Row],[Estimated labor hours]])</f>
        <v>2.6</v>
      </c>
      <c r="Q1986" s="51">
        <f>IF(tblWorkPackages[[#This Row],[Actual labor hours]]&gt;tblWorkPackages[[#This Row],[Estimated labor hours]],1,0)</f>
        <v>1</v>
      </c>
      <c r="R1986" s="51">
        <f>tblWorkPackages[[#This Row],[Actual labor hours]]-tblWorkPackages[[#This Row],[Estimated labor hours]]</f>
        <v>2.6</v>
      </c>
      <c r="S1986" s="51" t="str">
        <f>IF(tblWorkPackages[[#This Row],[Request date serial]]&lt;ValidationStart,"Train 2024",IF(tblWorkPackages[[#This Row],[Request date serial]]&lt;HoldoutStart,"Validation H1","Holdout H2"))</f>
        <v>Holdout H2</v>
      </c>
      <c r="T1986" s="51">
        <f>IF(tblWorkPackages[[#This Row],[Time split]]="Train 2024","",tblWorkPackages[[#This Row],[Estimated labor hours]]+VLOOKUP(tblWorkPackages[[#This Row],[Task type]],'Forecast validation'!$A$14:$E$25,IF(tblWorkPackages[[#This Row],[Time split]]="Validation H1",4,5),FALSE()))</f>
        <v>13.6735483870968</v>
      </c>
      <c r="U1986" s="51">
        <f>IF(tblWorkPackages[[#This Row],[Calibrated forecast hours]]="","",ABS(tblWorkPackages[[#This Row],[Actual labor hours]]-tblWorkPackages[[#This Row],[Calibrated forecast hours]]))</f>
        <v>1.62645161290323</v>
      </c>
      <c r="V1986" s="51">
        <f>IF(tblWorkPackages[[#This Row],[Time split]]="Train 2024",tblWorkPackages[[#This Row],[Estimated labor hours]],tblWorkPackages[[#This Row],[Calibrated forecast hours]])</f>
        <v>13.6735483870968</v>
      </c>
      <c r="W1986" s="64">
        <f>DATEVALUE(tblWorkPackages[[#This Row],[Request date]])</f>
        <v>45928.0</v>
      </c>
      <c r="X1986" s="64">
        <f>DATEVALUE(tblWorkPackages[[#This Row],[Due date]])</f>
        <v>45934.0</v>
      </c>
      <c r="Y1986" s="64">
        <f>DATEVALUE(tblWorkPackages[[#This Row],[Completion date]])</f>
        <v>45943.0</v>
      </c>
      <c r="Z1986" s="64">
        <f>_xlfn.MINIFS(tblLaborEntries[Work date serial],tblLaborEntries[Work package ID],tblWorkPackages[[#This Row],[Work package ID]])</f>
        <v>45943.0</v>
      </c>
      <c r="AA1986" s="64">
        <f>_xlfn.MAXIFS(tblLaborEntries[Work date serial],tblLaborEntries[Work package ID],tblWorkPackages[[#This Row],[Work package ID]])</f>
        <v>45943.0</v>
      </c>
      <c r="AB1986" s="65">
        <f>IF(tblWorkPackages[[#This Row],[Completion date serial]]&gt;tblWorkPackages[[#This Row],[Due date serial]],1,0)</f>
        <v>1</v>
      </c>
      <c r="AC1986" s="65">
        <f>MAX(0,tblWorkPackages[[#This Row],[Completion date serial]]-tblWorkPackages[[#This Row],[Due date serial]])</f>
        <v>9</v>
      </c>
      <c r="AD1986" s="65">
        <f>tblWorkPackages[[#This Row],[First labor date]]-tblWorkPackages[[#This Row],[Request date serial]]</f>
        <v>15</v>
      </c>
      <c r="AE1986" s="65">
        <f>tblWorkPackages[[#This Row],[Last labor date]]-tblWorkPackages[[#This Row],[First labor date]]</f>
        <v>0</v>
      </c>
      <c r="AF1986" s="65">
        <f>tblWorkPackages[[#This Row],[Completion date serial]]-tblWorkPackages[[#This Row],[Last labor date]]</f>
        <v>0</v>
      </c>
      <c r="AG1986" s="65">
        <f>tblWorkPackages[[#This Row],[Completion date serial]]-tblWorkPackages[[#This Row],[Request date serial]]</f>
        <v>15</v>
      </c>
      <c r="AH1986" s="65">
        <f>IFERROR(INDEX(tblParts[Delay days],MATCH(tblWorkPackages[[#This Row],[Work package ID]],tblParts[Work package ID],0)),0)</f>
        <v>0</v>
      </c>
      <c r="AI1986" s="51" t="str">
        <f>IFERROR(INDEX(tblDisruptions[Event type],MATCH(tblWorkPackages[[#This Row],[Work package ID]],tblDisruptions[Work package ID],0)),"None")</f>
        <v>None</v>
      </c>
      <c r="AJ1986" s="51" t="str">
        <f>TEXT(tblWorkPackages[[#This Row],[Due date serial]],"yyyy-mm")</f>
        <v>2025-10</v>
      </c>
    </row>
    <row r="1987" spans="1:36" ht="15" x14ac:dyDescent="0.25">
      <c r="A1987" s="53" t="s">
        <v>2898</v>
      </c>
      <c r="B1987" s="53" t="s">
        <v>235</v>
      </c>
      <c r="C1987" s="53" t="s">
        <v>449</v>
      </c>
      <c r="D1987" s="53" t="s">
        <v>362</v>
      </c>
      <c r="E1987" s="53" t="s">
        <v>272</v>
      </c>
      <c r="F1987" s="53" t="s">
        <v>145</v>
      </c>
      <c r="G1987" s="53" t="s">
        <v>273</v>
      </c>
      <c r="H1987" s="53">
        <v>2</v>
      </c>
      <c r="I1987" s="53" t="s">
        <v>130</v>
      </c>
      <c r="J1987" s="53">
        <v>1</v>
      </c>
      <c r="K1987" s="53">
        <v>1</v>
      </c>
      <c r="L1987" s="53">
        <v>11.3</v>
      </c>
      <c r="M1987" s="53" t="s">
        <v>642</v>
      </c>
      <c r="N1987" s="53">
        <v>12.9</v>
      </c>
      <c r="O1987" s="51" t="str">
        <f>TEXT(tblWorkPackages[[#This Row],[Request date serial]]-WEEKDAY(tblWorkPackages[[#This Row],[Request date serial]],3),"yyyy-mm-dd")</f>
        <v>2024-07-08</v>
      </c>
      <c r="P1987" s="51">
        <f>ABS(tblWorkPackages[[#This Row],[Actual labor hours]]-tblWorkPackages[[#This Row],[Estimated labor hours]])</f>
        <v>1.6</v>
      </c>
      <c r="Q1987" s="51">
        <f>IF(tblWorkPackages[[#This Row],[Actual labor hours]]&gt;tblWorkPackages[[#This Row],[Estimated labor hours]],1,0)</f>
        <v>1</v>
      </c>
      <c r="R1987" s="51">
        <f>tblWorkPackages[[#This Row],[Actual labor hours]]-tblWorkPackages[[#This Row],[Estimated labor hours]]</f>
        <v>1.6</v>
      </c>
      <c r="S1987" s="51" t="str">
        <f>IF(tblWorkPackages[[#This Row],[Request date serial]]&lt;ValidationStart,"Train 2024",IF(tblWorkPackages[[#This Row],[Request date serial]]&lt;HoldoutStart,"Validation H1","Holdout H2"))</f>
        <v>Train 2024</v>
      </c>
      <c r="T1987" s="51" t="str">
        <f>IF(tblWorkPackages[[#This Row],[Time split]]="Train 2024","",tblWorkPackages[[#This Row],[Estimated labor hours]]+VLOOKUP(tblWorkPackages[[#This Row],[Task type]],'Forecast validation'!$A$14:$E$25,IF(tblWorkPackages[[#This Row],[Time split]]="Validation H1",4,5),FALSE()))</f>
        <v/>
      </c>
      <c r="U1987" s="51" t="str">
        <f>IF(tblWorkPackages[[#This Row],[Calibrated forecast hours]]="","",ABS(tblWorkPackages[[#This Row],[Actual labor hours]]-tblWorkPackages[[#This Row],[Calibrated forecast hours]]))</f>
        <v/>
      </c>
      <c r="V1987" s="51">
        <f>IF(tblWorkPackages[[#This Row],[Time split]]="Train 2024",tblWorkPackages[[#This Row],[Estimated labor hours]],tblWorkPackages[[#This Row],[Calibrated forecast hours]])</f>
        <v>11.3</v>
      </c>
      <c r="W1987" s="64">
        <f>DATEVALUE(tblWorkPackages[[#This Row],[Request date]])</f>
        <v>45481.0</v>
      </c>
      <c r="X1987" s="64">
        <f>DATEVALUE(tblWorkPackages[[#This Row],[Due date]])</f>
        <v>45494.0</v>
      </c>
      <c r="Y1987" s="64">
        <f>DATEVALUE(tblWorkPackages[[#This Row],[Completion date]])</f>
        <v>45488.0</v>
      </c>
      <c r="Z1987" s="64">
        <f>_xlfn.MINIFS(tblLaborEntries[Work date serial],tblLaborEntries[Work package ID],tblWorkPackages[[#This Row],[Work package ID]])</f>
        <v>45487.0</v>
      </c>
      <c r="AA1987" s="64">
        <f>_xlfn.MAXIFS(tblLaborEntries[Work date serial],tblLaborEntries[Work package ID],tblWorkPackages[[#This Row],[Work package ID]])</f>
        <v>45487.0</v>
      </c>
      <c r="AB1987" s="65">
        <f>IF(tblWorkPackages[[#This Row],[Completion date serial]]&gt;tblWorkPackages[[#This Row],[Due date serial]],1,0)</f>
        <v>0</v>
      </c>
      <c r="AC1987" s="65">
        <f>MAX(0,tblWorkPackages[[#This Row],[Completion date serial]]-tblWorkPackages[[#This Row],[Due date serial]])</f>
        <v>0</v>
      </c>
      <c r="AD1987" s="65">
        <f>tblWorkPackages[[#This Row],[First labor date]]-tblWorkPackages[[#This Row],[Request date serial]]</f>
        <v>6</v>
      </c>
      <c r="AE1987" s="65">
        <f>tblWorkPackages[[#This Row],[Last labor date]]-tblWorkPackages[[#This Row],[First labor date]]</f>
        <v>0</v>
      </c>
      <c r="AF1987" s="65">
        <f>tblWorkPackages[[#This Row],[Completion date serial]]-tblWorkPackages[[#This Row],[Last labor date]]</f>
        <v>1</v>
      </c>
      <c r="AG1987" s="65">
        <f>tblWorkPackages[[#This Row],[Completion date serial]]-tblWorkPackages[[#This Row],[Request date serial]]</f>
        <v>7</v>
      </c>
      <c r="AH1987" s="65">
        <f>IFERROR(INDEX(tblParts[Delay days],MATCH(tblWorkPackages[[#This Row],[Work package ID]],tblParts[Work package ID],0)),0)</f>
        <v>2</v>
      </c>
      <c r="AI1987" s="51" t="str">
        <f>IFERROR(INDEX(tblDisruptions[Event type],MATCH(tblWorkPackages[[#This Row],[Work package ID]],tblDisruptions[Work package ID],0)),"None")</f>
        <v>Part delay</v>
      </c>
      <c r="AJ1987" s="51" t="str">
        <f>TEXT(tblWorkPackages[[#This Row],[Due date serial]],"yyyy-mm")</f>
        <v>2024-07</v>
      </c>
    </row>
    <row r="1988" spans="1:36" ht="15" x14ac:dyDescent="0.25">
      <c r="A1988" s="53" t="s">
        <v>2899</v>
      </c>
      <c r="B1988" s="53" t="s">
        <v>150</v>
      </c>
      <c r="C1988" s="53" t="s">
        <v>885</v>
      </c>
      <c r="D1988" s="53" t="s">
        <v>903</v>
      </c>
      <c r="E1988" s="53" t="s">
        <v>160</v>
      </c>
      <c r="F1988" s="53" t="s">
        <v>128</v>
      </c>
      <c r="G1988" s="53" t="s">
        <v>138</v>
      </c>
      <c r="H1988" s="53">
        <v>4</v>
      </c>
      <c r="I1988" s="53" t="s">
        <v>130</v>
      </c>
      <c r="J1988" s="53">
        <v>0</v>
      </c>
      <c r="K1988" s="53">
        <v>0</v>
      </c>
      <c r="L1988" s="53">
        <v>7.9</v>
      </c>
      <c r="M1988" s="53" t="s">
        <v>134</v>
      </c>
      <c r="N1988" s="53">
        <v>7.9</v>
      </c>
      <c r="O1988" s="51" t="str">
        <f>TEXT(tblWorkPackages[[#This Row],[Request date serial]]-WEEKDAY(tblWorkPackages[[#This Row],[Request date serial]],3),"yyyy-mm-dd")</f>
        <v>2025-09-01</v>
      </c>
      <c r="P1988" s="51">
        <f>ABS(tblWorkPackages[[#This Row],[Actual labor hours]]-tblWorkPackages[[#This Row],[Estimated labor hours]])</f>
        <v>0</v>
      </c>
      <c r="Q1988" s="51">
        <f>IF(tblWorkPackages[[#This Row],[Actual labor hours]]&gt;tblWorkPackages[[#This Row],[Estimated labor hours]],1,0)</f>
        <v>0</v>
      </c>
      <c r="R1988" s="51">
        <f>tblWorkPackages[[#This Row],[Actual labor hours]]-tblWorkPackages[[#This Row],[Estimated labor hours]]</f>
        <v>0</v>
      </c>
      <c r="S1988" s="51" t="str">
        <f>IF(tblWorkPackages[[#This Row],[Request date serial]]&lt;ValidationStart,"Train 2024",IF(tblWorkPackages[[#This Row],[Request date serial]]&lt;HoldoutStart,"Validation H1","Holdout H2"))</f>
        <v>Holdout H2</v>
      </c>
      <c r="T1988" s="51">
        <f>IF(tblWorkPackages[[#This Row],[Time split]]="Train 2024","",tblWorkPackages[[#This Row],[Estimated labor hours]]+VLOOKUP(tblWorkPackages[[#This Row],[Task type]],'Forecast validation'!$A$14:$E$25,IF(tblWorkPackages[[#This Row],[Time split]]="Validation H1",4,5),FALSE()))</f>
        <v>8.33739837398374</v>
      </c>
      <c r="U1988" s="51">
        <f>IF(tblWorkPackages[[#This Row],[Calibrated forecast hours]]="","",ABS(tblWorkPackages[[#This Row],[Actual labor hours]]-tblWorkPackages[[#This Row],[Calibrated forecast hours]]))</f>
        <v>0.43739837398374</v>
      </c>
      <c r="V1988" s="51">
        <f>IF(tblWorkPackages[[#This Row],[Time split]]="Train 2024",tblWorkPackages[[#This Row],[Estimated labor hours]],tblWorkPackages[[#This Row],[Calibrated forecast hours]])</f>
        <v>8.33739837398374</v>
      </c>
      <c r="W1988" s="64">
        <f>DATEVALUE(tblWorkPackages[[#This Row],[Request date]])</f>
        <v>45901.0</v>
      </c>
      <c r="X1988" s="64">
        <f>DATEVALUE(tblWorkPackages[[#This Row],[Due date]])</f>
        <v>45914.0</v>
      </c>
      <c r="Y1988" s="64">
        <f>DATEVALUE(tblWorkPackages[[#This Row],[Completion date]])</f>
        <v>45905.0</v>
      </c>
      <c r="Z1988" s="64">
        <f>_xlfn.MINIFS(tblLaborEntries[Work date serial],tblLaborEntries[Work package ID],tblWorkPackages[[#This Row],[Work package ID]])</f>
        <v>45902.0</v>
      </c>
      <c r="AA1988" s="64">
        <f>_xlfn.MAXIFS(tblLaborEntries[Work date serial],tblLaborEntries[Work package ID],tblWorkPackages[[#This Row],[Work package ID]])</f>
        <v>45903.0</v>
      </c>
      <c r="AB1988" s="65">
        <f>IF(tblWorkPackages[[#This Row],[Completion date serial]]&gt;tblWorkPackages[[#This Row],[Due date serial]],1,0)</f>
        <v>0</v>
      </c>
      <c r="AC1988" s="65">
        <f>MAX(0,tblWorkPackages[[#This Row],[Completion date serial]]-tblWorkPackages[[#This Row],[Due date serial]])</f>
        <v>0</v>
      </c>
      <c r="AD1988" s="65">
        <f>tblWorkPackages[[#This Row],[First labor date]]-tblWorkPackages[[#This Row],[Request date serial]]</f>
        <v>1</v>
      </c>
      <c r="AE1988" s="65">
        <f>tblWorkPackages[[#This Row],[Last labor date]]-tblWorkPackages[[#This Row],[First labor date]]</f>
        <v>1</v>
      </c>
      <c r="AF1988" s="65">
        <f>tblWorkPackages[[#This Row],[Completion date serial]]-tblWorkPackages[[#This Row],[Last labor date]]</f>
        <v>2</v>
      </c>
      <c r="AG1988" s="65">
        <f>tblWorkPackages[[#This Row],[Completion date serial]]-tblWorkPackages[[#This Row],[Request date serial]]</f>
        <v>4</v>
      </c>
      <c r="AH1988" s="65">
        <f>IFERROR(INDEX(tblParts[Delay days],MATCH(tblWorkPackages[[#This Row],[Work package ID]],tblParts[Work package ID],0)),0)</f>
        <v>0</v>
      </c>
      <c r="AI1988" s="51" t="str">
        <f>IFERROR(INDEX(tblDisruptions[Event type],MATCH(tblWorkPackages[[#This Row],[Work package ID]],tblDisruptions[Work package ID],0)),"None")</f>
        <v>None</v>
      </c>
      <c r="AJ1988" s="51" t="str">
        <f>TEXT(tblWorkPackages[[#This Row],[Due date serial]],"yyyy-mm")</f>
        <v>2025-09</v>
      </c>
    </row>
    <row r="1989" spans="1:36" ht="15" x14ac:dyDescent="0.25">
      <c r="A1989" s="53" t="s">
        <v>2900</v>
      </c>
      <c r="B1989" s="53" t="s">
        <v>287</v>
      </c>
      <c r="C1989" s="53" t="s">
        <v>1685</v>
      </c>
      <c r="D1989" s="53" t="s">
        <v>470</v>
      </c>
      <c r="E1989" s="53" t="s">
        <v>237</v>
      </c>
      <c r="F1989" s="53" t="s">
        <v>182</v>
      </c>
      <c r="G1989" s="53" t="s">
        <v>138</v>
      </c>
      <c r="H1989" s="53">
        <v>1</v>
      </c>
      <c r="I1989" s="53" t="s">
        <v>130</v>
      </c>
      <c r="J1989" s="53">
        <v>0</v>
      </c>
      <c r="K1989" s="53">
        <v>0</v>
      </c>
      <c r="L1989" s="53">
        <v>3.9</v>
      </c>
      <c r="M1989" s="53" t="s">
        <v>428</v>
      </c>
      <c r="N1989" s="53">
        <v>4.8</v>
      </c>
      <c r="O1989" s="51" t="str">
        <f>TEXT(tblWorkPackages[[#This Row],[Request date serial]]-WEEKDAY(tblWorkPackages[[#This Row],[Request date serial]],3),"yyyy-mm-dd")</f>
        <v>2024-04-01</v>
      </c>
      <c r="P1989" s="51">
        <f>ABS(tblWorkPackages[[#This Row],[Actual labor hours]]-tblWorkPackages[[#This Row],[Estimated labor hours]])</f>
        <v>0.9</v>
      </c>
      <c r="Q1989" s="51">
        <f>IF(tblWorkPackages[[#This Row],[Actual labor hours]]&gt;tblWorkPackages[[#This Row],[Estimated labor hours]],1,0)</f>
        <v>1</v>
      </c>
      <c r="R1989" s="51">
        <f>tblWorkPackages[[#This Row],[Actual labor hours]]-tblWorkPackages[[#This Row],[Estimated labor hours]]</f>
        <v>0.9</v>
      </c>
      <c r="S1989" s="51" t="str">
        <f>IF(tblWorkPackages[[#This Row],[Request date serial]]&lt;ValidationStart,"Train 2024",IF(tblWorkPackages[[#This Row],[Request date serial]]&lt;HoldoutStart,"Validation H1","Holdout H2"))</f>
        <v>Train 2024</v>
      </c>
      <c r="T1989" s="51" t="str">
        <f>IF(tblWorkPackages[[#This Row],[Time split]]="Train 2024","",tblWorkPackages[[#This Row],[Estimated labor hours]]+VLOOKUP(tblWorkPackages[[#This Row],[Task type]],'Forecast validation'!$A$14:$E$25,IF(tblWorkPackages[[#This Row],[Time split]]="Validation H1",4,5),FALSE()))</f>
        <v/>
      </c>
      <c r="U1989" s="51" t="str">
        <f>IF(tblWorkPackages[[#This Row],[Calibrated forecast hours]]="","",ABS(tblWorkPackages[[#This Row],[Actual labor hours]]-tblWorkPackages[[#This Row],[Calibrated forecast hours]]))</f>
        <v/>
      </c>
      <c r="V1989" s="51">
        <f>IF(tblWorkPackages[[#This Row],[Time split]]="Train 2024",tblWorkPackages[[#This Row],[Estimated labor hours]],tblWorkPackages[[#This Row],[Calibrated forecast hours]])</f>
        <v>3.9</v>
      </c>
      <c r="W1989" s="64">
        <f>DATEVALUE(tblWorkPackages[[#This Row],[Request date]])</f>
        <v>45387.0</v>
      </c>
      <c r="X1989" s="64">
        <f>DATEVALUE(tblWorkPackages[[#This Row],[Due date]])</f>
        <v>45400.0</v>
      </c>
      <c r="Y1989" s="64">
        <f>DATEVALUE(tblWorkPackages[[#This Row],[Completion date]])</f>
        <v>45402.0</v>
      </c>
      <c r="Z1989" s="64">
        <f>_xlfn.MINIFS(tblLaborEntries[Work date serial],tblLaborEntries[Work package ID],tblWorkPackages[[#This Row],[Work package ID]])</f>
        <v>45397.0</v>
      </c>
      <c r="AA1989" s="64">
        <f>_xlfn.MAXIFS(tblLaborEntries[Work date serial],tblLaborEntries[Work package ID],tblWorkPackages[[#This Row],[Work package ID]])</f>
        <v>45399.0</v>
      </c>
      <c r="AB1989" s="65">
        <f>IF(tblWorkPackages[[#This Row],[Completion date serial]]&gt;tblWorkPackages[[#This Row],[Due date serial]],1,0)</f>
        <v>1</v>
      </c>
      <c r="AC1989" s="65">
        <f>MAX(0,tblWorkPackages[[#This Row],[Completion date serial]]-tblWorkPackages[[#This Row],[Due date serial]])</f>
        <v>2</v>
      </c>
      <c r="AD1989" s="65">
        <f>tblWorkPackages[[#This Row],[First labor date]]-tblWorkPackages[[#This Row],[Request date serial]]</f>
        <v>10</v>
      </c>
      <c r="AE1989" s="65">
        <f>tblWorkPackages[[#This Row],[Last labor date]]-tblWorkPackages[[#This Row],[First labor date]]</f>
        <v>2</v>
      </c>
      <c r="AF1989" s="65">
        <f>tblWorkPackages[[#This Row],[Completion date serial]]-tblWorkPackages[[#This Row],[Last labor date]]</f>
        <v>3</v>
      </c>
      <c r="AG1989" s="65">
        <f>tblWorkPackages[[#This Row],[Completion date serial]]-tblWorkPackages[[#This Row],[Request date serial]]</f>
        <v>15</v>
      </c>
      <c r="AH1989" s="65">
        <f>IFERROR(INDEX(tblParts[Delay days],MATCH(tblWorkPackages[[#This Row],[Work package ID]],tblParts[Work package ID],0)),0)</f>
        <v>0</v>
      </c>
      <c r="AI1989" s="51" t="str">
        <f>IFERROR(INDEX(tblDisruptions[Event type],MATCH(tblWorkPackages[[#This Row],[Work package ID]],tblDisruptions[Work package ID],0)),"None")</f>
        <v>Repeat inspection</v>
      </c>
      <c r="AJ1989" s="51" t="str">
        <f>TEXT(tblWorkPackages[[#This Row],[Due date serial]],"yyyy-mm")</f>
        <v>2024-04</v>
      </c>
    </row>
    <row r="1990" spans="1:36" ht="15" x14ac:dyDescent="0.25">
      <c r="A1990" s="53" t="s">
        <v>2901</v>
      </c>
      <c r="B1990" s="53" t="s">
        <v>250</v>
      </c>
      <c r="C1990" s="53" t="s">
        <v>390</v>
      </c>
      <c r="D1990" s="53" t="s">
        <v>391</v>
      </c>
      <c r="E1990" s="53" t="s">
        <v>223</v>
      </c>
      <c r="F1990" s="53" t="s">
        <v>182</v>
      </c>
      <c r="G1990" s="53" t="s">
        <v>154</v>
      </c>
      <c r="H1990" s="53">
        <v>2</v>
      </c>
      <c r="I1990" s="53" t="s">
        <v>130</v>
      </c>
      <c r="J1990" s="53">
        <v>0</v>
      </c>
      <c r="K1990" s="53">
        <v>0</v>
      </c>
      <c r="L1990" s="53">
        <v>12.2</v>
      </c>
      <c r="M1990" s="53" t="s">
        <v>361</v>
      </c>
      <c r="N1990" s="53">
        <v>11.4</v>
      </c>
      <c r="O1990" s="51" t="str">
        <f>TEXT(tblWorkPackages[[#This Row],[Request date serial]]-WEEKDAY(tblWorkPackages[[#This Row],[Request date serial]],3),"yyyy-mm-dd")</f>
        <v>2024-07-22</v>
      </c>
      <c r="P1990" s="51">
        <f>ABS(tblWorkPackages[[#This Row],[Actual labor hours]]-tblWorkPackages[[#This Row],[Estimated labor hours]])</f>
        <v>0.799999999999999</v>
      </c>
      <c r="Q1990" s="51">
        <f>IF(tblWorkPackages[[#This Row],[Actual labor hours]]&gt;tblWorkPackages[[#This Row],[Estimated labor hours]],1,0)</f>
        <v>0</v>
      </c>
      <c r="R1990" s="51">
        <f>tblWorkPackages[[#This Row],[Actual labor hours]]-tblWorkPackages[[#This Row],[Estimated labor hours]]</f>
        <v>-0.799999999999999</v>
      </c>
      <c r="S1990" s="51" t="str">
        <f>IF(tblWorkPackages[[#This Row],[Request date serial]]&lt;ValidationStart,"Train 2024",IF(tblWorkPackages[[#This Row],[Request date serial]]&lt;HoldoutStart,"Validation H1","Holdout H2"))</f>
        <v>Train 2024</v>
      </c>
      <c r="T1990" s="51" t="str">
        <f>IF(tblWorkPackages[[#This Row],[Time split]]="Train 2024","",tblWorkPackages[[#This Row],[Estimated labor hours]]+VLOOKUP(tblWorkPackages[[#This Row],[Task type]],'Forecast validation'!$A$14:$E$25,IF(tblWorkPackages[[#This Row],[Time split]]="Validation H1",4,5),FALSE()))</f>
        <v/>
      </c>
      <c r="U1990" s="51" t="str">
        <f>IF(tblWorkPackages[[#This Row],[Calibrated forecast hours]]="","",ABS(tblWorkPackages[[#This Row],[Actual labor hours]]-tblWorkPackages[[#This Row],[Calibrated forecast hours]]))</f>
        <v/>
      </c>
      <c r="V1990" s="51">
        <f>IF(tblWorkPackages[[#This Row],[Time split]]="Train 2024",tblWorkPackages[[#This Row],[Estimated labor hours]],tblWorkPackages[[#This Row],[Calibrated forecast hours]])</f>
        <v>12.2</v>
      </c>
      <c r="W1990" s="64">
        <f>DATEVALUE(tblWorkPackages[[#This Row],[Request date]])</f>
        <v>45497.0</v>
      </c>
      <c r="X1990" s="64">
        <f>DATEVALUE(tblWorkPackages[[#This Row],[Due date]])</f>
        <v>45510.0</v>
      </c>
      <c r="Y1990" s="64">
        <f>DATEVALUE(tblWorkPackages[[#This Row],[Completion date]])</f>
        <v>45502.0</v>
      </c>
      <c r="Z1990" s="64">
        <f>_xlfn.MINIFS(tblLaborEntries[Work date serial],tblLaborEntries[Work package ID],tblWorkPackages[[#This Row],[Work package ID]])</f>
        <v>45500.0</v>
      </c>
      <c r="AA1990" s="64">
        <f>_xlfn.MAXIFS(tblLaborEntries[Work date serial],tblLaborEntries[Work package ID],tblWorkPackages[[#This Row],[Work package ID]])</f>
        <v>45502.0</v>
      </c>
      <c r="AB1990" s="65">
        <f>IF(tblWorkPackages[[#This Row],[Completion date serial]]&gt;tblWorkPackages[[#This Row],[Due date serial]],1,0)</f>
        <v>0</v>
      </c>
      <c r="AC1990" s="65">
        <f>MAX(0,tblWorkPackages[[#This Row],[Completion date serial]]-tblWorkPackages[[#This Row],[Due date serial]])</f>
        <v>0</v>
      </c>
      <c r="AD1990" s="65">
        <f>tblWorkPackages[[#This Row],[First labor date]]-tblWorkPackages[[#This Row],[Request date serial]]</f>
        <v>3</v>
      </c>
      <c r="AE1990" s="65">
        <f>tblWorkPackages[[#This Row],[Last labor date]]-tblWorkPackages[[#This Row],[First labor date]]</f>
        <v>2</v>
      </c>
      <c r="AF1990" s="65">
        <f>tblWorkPackages[[#This Row],[Completion date serial]]-tblWorkPackages[[#This Row],[Last labor date]]</f>
        <v>0</v>
      </c>
      <c r="AG1990" s="65">
        <f>tblWorkPackages[[#This Row],[Completion date serial]]-tblWorkPackages[[#This Row],[Request date serial]]</f>
        <v>5</v>
      </c>
      <c r="AH1990" s="65">
        <f>IFERROR(INDEX(tblParts[Delay days],MATCH(tblWorkPackages[[#This Row],[Work package ID]],tblParts[Work package ID],0)),0)</f>
        <v>0</v>
      </c>
      <c r="AI1990" s="51" t="str">
        <f>IFERROR(INDEX(tblDisruptions[Event type],MATCH(tblWorkPackages[[#This Row],[Work package ID]],tblDisruptions[Work package ID],0)),"None")</f>
        <v>None</v>
      </c>
      <c r="AJ1990" s="51" t="str">
        <f>TEXT(tblWorkPackages[[#This Row],[Due date serial]],"yyyy-mm")</f>
        <v>2024-08</v>
      </c>
    </row>
    <row r="1991" spans="1:36" ht="15" x14ac:dyDescent="0.25">
      <c r="A1991" s="53" t="s">
        <v>2902</v>
      </c>
      <c r="B1991" s="53" t="s">
        <v>133</v>
      </c>
      <c r="C1991" s="53" t="s">
        <v>169</v>
      </c>
      <c r="D1991" s="53" t="s">
        <v>170</v>
      </c>
      <c r="E1991" s="53" t="s">
        <v>144</v>
      </c>
      <c r="F1991" s="53" t="s">
        <v>145</v>
      </c>
      <c r="G1991" s="53" t="s">
        <v>146</v>
      </c>
      <c r="H1991" s="53">
        <v>1</v>
      </c>
      <c r="I1991" s="53" t="s">
        <v>147</v>
      </c>
      <c r="J1991" s="53">
        <v>0</v>
      </c>
      <c r="K1991" s="53">
        <v>1</v>
      </c>
      <c r="L1991" s="53">
        <v>5.8</v>
      </c>
      <c r="M1991" s="53" t="s">
        <v>244</v>
      </c>
      <c r="N1991" s="53">
        <v>6.7</v>
      </c>
      <c r="O1991" s="51" t="str">
        <f>TEXT(tblWorkPackages[[#This Row],[Request date serial]]-WEEKDAY(tblWorkPackages[[#This Row],[Request date serial]],3),"yyyy-mm-dd")</f>
        <v>2024-10-14</v>
      </c>
      <c r="P1991" s="51">
        <f>ABS(tblWorkPackages[[#This Row],[Actual labor hours]]-tblWorkPackages[[#This Row],[Estimated labor hours]])</f>
        <v>0.9</v>
      </c>
      <c r="Q1991" s="51">
        <f>IF(tblWorkPackages[[#This Row],[Actual labor hours]]&gt;tblWorkPackages[[#This Row],[Estimated labor hours]],1,0)</f>
        <v>1</v>
      </c>
      <c r="R1991" s="51">
        <f>tblWorkPackages[[#This Row],[Actual labor hours]]-tblWorkPackages[[#This Row],[Estimated labor hours]]</f>
        <v>0.9</v>
      </c>
      <c r="S1991" s="51" t="str">
        <f>IF(tblWorkPackages[[#This Row],[Request date serial]]&lt;ValidationStart,"Train 2024",IF(tblWorkPackages[[#This Row],[Request date serial]]&lt;HoldoutStart,"Validation H1","Holdout H2"))</f>
        <v>Train 2024</v>
      </c>
      <c r="T1991" s="51" t="str">
        <f>IF(tblWorkPackages[[#This Row],[Time split]]="Train 2024","",tblWorkPackages[[#This Row],[Estimated labor hours]]+VLOOKUP(tblWorkPackages[[#This Row],[Task type]],'Forecast validation'!$A$14:$E$25,IF(tblWorkPackages[[#This Row],[Time split]]="Validation H1",4,5),FALSE()))</f>
        <v/>
      </c>
      <c r="U1991" s="51" t="str">
        <f>IF(tblWorkPackages[[#This Row],[Calibrated forecast hours]]="","",ABS(tblWorkPackages[[#This Row],[Actual labor hours]]-tblWorkPackages[[#This Row],[Calibrated forecast hours]]))</f>
        <v/>
      </c>
      <c r="V1991" s="51">
        <f>IF(tblWorkPackages[[#This Row],[Time split]]="Train 2024",tblWorkPackages[[#This Row],[Estimated labor hours]],tblWorkPackages[[#This Row],[Calibrated forecast hours]])</f>
        <v>5.8</v>
      </c>
      <c r="W1991" s="64">
        <f>DATEVALUE(tblWorkPackages[[#This Row],[Request date]])</f>
        <v>45585.0</v>
      </c>
      <c r="X1991" s="64">
        <f>DATEVALUE(tblWorkPackages[[#This Row],[Due date]])</f>
        <v>45587.0</v>
      </c>
      <c r="Y1991" s="64">
        <f>DATEVALUE(tblWorkPackages[[#This Row],[Completion date]])</f>
        <v>45614.0</v>
      </c>
      <c r="Z1991" s="64">
        <f>_xlfn.MINIFS(tblLaborEntries[Work date serial],tblLaborEntries[Work package ID],tblWorkPackages[[#This Row],[Work package ID]])</f>
        <v>45613.0</v>
      </c>
      <c r="AA1991" s="64">
        <f>_xlfn.MAXIFS(tblLaborEntries[Work date serial],tblLaborEntries[Work package ID],tblWorkPackages[[#This Row],[Work package ID]])</f>
        <v>45613.0</v>
      </c>
      <c r="AB1991" s="65">
        <f>IF(tblWorkPackages[[#This Row],[Completion date serial]]&gt;tblWorkPackages[[#This Row],[Due date serial]],1,0)</f>
        <v>1</v>
      </c>
      <c r="AC1991" s="65">
        <f>MAX(0,tblWorkPackages[[#This Row],[Completion date serial]]-tblWorkPackages[[#This Row],[Due date serial]])</f>
        <v>27</v>
      </c>
      <c r="AD1991" s="65">
        <f>tblWorkPackages[[#This Row],[First labor date]]-tblWorkPackages[[#This Row],[Request date serial]]</f>
        <v>28</v>
      </c>
      <c r="AE1991" s="65">
        <f>tblWorkPackages[[#This Row],[Last labor date]]-tblWorkPackages[[#This Row],[First labor date]]</f>
        <v>0</v>
      </c>
      <c r="AF1991" s="65">
        <f>tblWorkPackages[[#This Row],[Completion date serial]]-tblWorkPackages[[#This Row],[Last labor date]]</f>
        <v>1</v>
      </c>
      <c r="AG1991" s="65">
        <f>tblWorkPackages[[#This Row],[Completion date serial]]-tblWorkPackages[[#This Row],[Request date serial]]</f>
        <v>29</v>
      </c>
      <c r="AH1991" s="65">
        <f>IFERROR(INDEX(tblParts[Delay days],MATCH(tblWorkPackages[[#This Row],[Work package ID]],tblParts[Work package ID],0)),0)</f>
        <v>0</v>
      </c>
      <c r="AI1991" s="51" t="str">
        <f>IFERROR(INDEX(tblDisruptions[Event type],MATCH(tblWorkPackages[[#This Row],[Work package ID]],tblDisruptions[Work package ID],0)),"None")</f>
        <v>None</v>
      </c>
      <c r="AJ1991" s="51" t="str">
        <f>TEXT(tblWorkPackages[[#This Row],[Due date serial]],"yyyy-mm")</f>
        <v>2024-10</v>
      </c>
    </row>
    <row r="1992" spans="1:36" ht="15" x14ac:dyDescent="0.25">
      <c r="A1992" s="53" t="s">
        <v>2903</v>
      </c>
      <c r="B1992" s="53" t="s">
        <v>230</v>
      </c>
      <c r="C1992" s="53" t="s">
        <v>1318</v>
      </c>
      <c r="D1992" s="53" t="s">
        <v>589</v>
      </c>
      <c r="E1992" s="53" t="s">
        <v>242</v>
      </c>
      <c r="F1992" s="53" t="s">
        <v>243</v>
      </c>
      <c r="G1992" s="53" t="s">
        <v>129</v>
      </c>
      <c r="H1992" s="53">
        <v>3</v>
      </c>
      <c r="I1992" s="53" t="s">
        <v>130</v>
      </c>
      <c r="J1992" s="53">
        <v>0</v>
      </c>
      <c r="K1992" s="53">
        <v>0</v>
      </c>
      <c r="L1992" s="53">
        <v>13.6</v>
      </c>
      <c r="M1992" s="53" t="s">
        <v>607</v>
      </c>
      <c r="N1992" s="53">
        <v>12.9</v>
      </c>
      <c r="O1992" s="51" t="str">
        <f>TEXT(tblWorkPackages[[#This Row],[Request date serial]]-WEEKDAY(tblWorkPackages[[#This Row],[Request date serial]],3),"yyyy-mm-dd")</f>
        <v>2025-03-10</v>
      </c>
      <c r="P1992" s="51">
        <f>ABS(tblWorkPackages[[#This Row],[Actual labor hours]]-tblWorkPackages[[#This Row],[Estimated labor hours]])</f>
        <v>0.699999999999999</v>
      </c>
      <c r="Q1992" s="51">
        <f>IF(tblWorkPackages[[#This Row],[Actual labor hours]]&gt;tblWorkPackages[[#This Row],[Estimated labor hours]],1,0)</f>
        <v>0</v>
      </c>
      <c r="R1992" s="51">
        <f>tblWorkPackages[[#This Row],[Actual labor hours]]-tblWorkPackages[[#This Row],[Estimated labor hours]]</f>
        <v>-0.699999999999999</v>
      </c>
      <c r="S1992" s="51" t="str">
        <f>IF(tblWorkPackages[[#This Row],[Request date serial]]&lt;ValidationStart,"Train 2024",IF(tblWorkPackages[[#This Row],[Request date serial]]&lt;HoldoutStart,"Validation H1","Holdout H2"))</f>
        <v>Validation H1</v>
      </c>
      <c r="T1992" s="51">
        <f>IF(tblWorkPackages[[#This Row],[Time split]]="Train 2024","",tblWorkPackages[[#This Row],[Estimated labor hours]]+VLOOKUP(tblWorkPackages[[#This Row],[Task type]],'Forecast validation'!$A$14:$E$25,IF(tblWorkPackages[[#This Row],[Time split]]="Validation H1",4,5),FALSE()))</f>
        <v>14.1561224489796</v>
      </c>
      <c r="U1992" s="51">
        <f>IF(tblWorkPackages[[#This Row],[Calibrated forecast hours]]="","",ABS(tblWorkPackages[[#This Row],[Actual labor hours]]-tblWorkPackages[[#This Row],[Calibrated forecast hours]]))</f>
        <v>1.25612244897959</v>
      </c>
      <c r="V1992" s="51">
        <f>IF(tblWorkPackages[[#This Row],[Time split]]="Train 2024",tblWorkPackages[[#This Row],[Estimated labor hours]],tblWorkPackages[[#This Row],[Calibrated forecast hours]])</f>
        <v>14.1561224489796</v>
      </c>
      <c r="W1992" s="64">
        <f>DATEVALUE(tblWorkPackages[[#This Row],[Request date]])</f>
        <v>45726.0</v>
      </c>
      <c r="X1992" s="64">
        <f>DATEVALUE(tblWorkPackages[[#This Row],[Due date]])</f>
        <v>45739.0</v>
      </c>
      <c r="Y1992" s="64">
        <f>DATEVALUE(tblWorkPackages[[#This Row],[Completion date]])</f>
        <v>45734.0</v>
      </c>
      <c r="Z1992" s="64">
        <f>_xlfn.MINIFS(tblLaborEntries[Work date serial],tblLaborEntries[Work package ID],tblWorkPackages[[#This Row],[Work package ID]])</f>
        <v>45731.0</v>
      </c>
      <c r="AA1992" s="64">
        <f>_xlfn.MAXIFS(tblLaborEntries[Work date serial],tblLaborEntries[Work package ID],tblWorkPackages[[#This Row],[Work package ID]])</f>
        <v>45732.0</v>
      </c>
      <c r="AB1992" s="65">
        <f>IF(tblWorkPackages[[#This Row],[Completion date serial]]&gt;tblWorkPackages[[#This Row],[Due date serial]],1,0)</f>
        <v>0</v>
      </c>
      <c r="AC1992" s="65">
        <f>MAX(0,tblWorkPackages[[#This Row],[Completion date serial]]-tblWorkPackages[[#This Row],[Due date serial]])</f>
        <v>0</v>
      </c>
      <c r="AD1992" s="65">
        <f>tblWorkPackages[[#This Row],[First labor date]]-tblWorkPackages[[#This Row],[Request date serial]]</f>
        <v>5</v>
      </c>
      <c r="AE1992" s="65">
        <f>tblWorkPackages[[#This Row],[Last labor date]]-tblWorkPackages[[#This Row],[First labor date]]</f>
        <v>1</v>
      </c>
      <c r="AF1992" s="65">
        <f>tblWorkPackages[[#This Row],[Completion date serial]]-tblWorkPackages[[#This Row],[Last labor date]]</f>
        <v>2</v>
      </c>
      <c r="AG1992" s="65">
        <f>tblWorkPackages[[#This Row],[Completion date serial]]-tblWorkPackages[[#This Row],[Request date serial]]</f>
        <v>8</v>
      </c>
      <c r="AH1992" s="65">
        <f>IFERROR(INDEX(tblParts[Delay days],MATCH(tblWorkPackages[[#This Row],[Work package ID]],tblParts[Work package ID],0)),0)</f>
        <v>0</v>
      </c>
      <c r="AI1992" s="51" t="str">
        <f>IFERROR(INDEX(tblDisruptions[Event type],MATCH(tblWorkPackages[[#This Row],[Work package ID]],tblDisruptions[Work package ID],0)),"None")</f>
        <v>None</v>
      </c>
      <c r="AJ1992" s="51" t="str">
        <f>TEXT(tblWorkPackages[[#This Row],[Due date serial]],"yyyy-mm")</f>
        <v>2025-03</v>
      </c>
    </row>
    <row r="1993" spans="1:36" ht="15" x14ac:dyDescent="0.25">
      <c r="A1993" s="53" t="s">
        <v>2904</v>
      </c>
      <c r="B1993" s="53" t="s">
        <v>185</v>
      </c>
      <c r="C1993" s="53" t="s">
        <v>179</v>
      </c>
      <c r="D1993" s="53" t="s">
        <v>1183</v>
      </c>
      <c r="E1993" s="53" t="s">
        <v>136</v>
      </c>
      <c r="F1993" s="53" t="s">
        <v>137</v>
      </c>
      <c r="G1993" s="53" t="s">
        <v>138</v>
      </c>
      <c r="H1993" s="53">
        <v>1</v>
      </c>
      <c r="I1993" s="53" t="s">
        <v>176</v>
      </c>
      <c r="J1993" s="53">
        <v>0</v>
      </c>
      <c r="K1993" s="53">
        <v>1</v>
      </c>
      <c r="L1993" s="53">
        <v>10.9</v>
      </c>
      <c r="M1993" s="53" t="s">
        <v>365</v>
      </c>
      <c r="N1993" s="53">
        <v>11.6</v>
      </c>
      <c r="O1993" s="51" t="str">
        <f>TEXT(tblWorkPackages[[#This Row],[Request date serial]]-WEEKDAY(tblWorkPackages[[#This Row],[Request date serial]],3),"yyyy-mm-dd")</f>
        <v>2025-05-12</v>
      </c>
      <c r="P1993" s="51">
        <f>ABS(tblWorkPackages[[#This Row],[Actual labor hours]]-tblWorkPackages[[#This Row],[Estimated labor hours]])</f>
        <v>0.699999999999999</v>
      </c>
      <c r="Q1993" s="51">
        <f>IF(tblWorkPackages[[#This Row],[Actual labor hours]]&gt;tblWorkPackages[[#This Row],[Estimated labor hours]],1,0)</f>
        <v>1</v>
      </c>
      <c r="R1993" s="51">
        <f>tblWorkPackages[[#This Row],[Actual labor hours]]-tblWorkPackages[[#This Row],[Estimated labor hours]]</f>
        <v>0.699999999999999</v>
      </c>
      <c r="S1993" s="51" t="str">
        <f>IF(tblWorkPackages[[#This Row],[Request date serial]]&lt;ValidationStart,"Train 2024",IF(tblWorkPackages[[#This Row],[Request date serial]]&lt;HoldoutStart,"Validation H1","Holdout H2"))</f>
        <v>Validation H1</v>
      </c>
      <c r="T1993" s="51">
        <f>IF(tblWorkPackages[[#This Row],[Time split]]="Train 2024","",tblWorkPackages[[#This Row],[Estimated labor hours]]+VLOOKUP(tblWorkPackages[[#This Row],[Task type]],'Forecast validation'!$A$14:$E$25,IF(tblWorkPackages[[#This Row],[Time split]]="Validation H1",4,5),FALSE()))</f>
        <v>11.7765306122449</v>
      </c>
      <c r="U1993" s="51">
        <f>IF(tblWorkPackages[[#This Row],[Calibrated forecast hours]]="","",ABS(tblWorkPackages[[#This Row],[Actual labor hours]]-tblWorkPackages[[#This Row],[Calibrated forecast hours]]))</f>
        <v>0.176530612244898</v>
      </c>
      <c r="V1993" s="51">
        <f>IF(tblWorkPackages[[#This Row],[Time split]]="Train 2024",tblWorkPackages[[#This Row],[Estimated labor hours]],tblWorkPackages[[#This Row],[Calibrated forecast hours]])</f>
        <v>11.7765306122449</v>
      </c>
      <c r="W1993" s="64">
        <f>DATEVALUE(tblWorkPackages[[#This Row],[Request date]])</f>
        <v>45792.0</v>
      </c>
      <c r="X1993" s="64">
        <f>DATEVALUE(tblWorkPackages[[#This Row],[Due date]])</f>
        <v>45798.0</v>
      </c>
      <c r="Y1993" s="64">
        <f>DATEVALUE(tblWorkPackages[[#This Row],[Completion date]])</f>
        <v>45796.0</v>
      </c>
      <c r="Z1993" s="64">
        <f>_xlfn.MINIFS(tblLaborEntries[Work date serial],tblLaborEntries[Work package ID],tblWorkPackages[[#This Row],[Work package ID]])</f>
        <v>45793.0</v>
      </c>
      <c r="AA1993" s="64">
        <f>_xlfn.MAXIFS(tblLaborEntries[Work date serial],tblLaborEntries[Work package ID],tblWorkPackages[[#This Row],[Work package ID]])</f>
        <v>45793.0</v>
      </c>
      <c r="AB1993" s="65">
        <f>IF(tblWorkPackages[[#This Row],[Completion date serial]]&gt;tblWorkPackages[[#This Row],[Due date serial]],1,0)</f>
        <v>0</v>
      </c>
      <c r="AC1993" s="65">
        <f>MAX(0,tblWorkPackages[[#This Row],[Completion date serial]]-tblWorkPackages[[#This Row],[Due date serial]])</f>
        <v>0</v>
      </c>
      <c r="AD1993" s="65">
        <f>tblWorkPackages[[#This Row],[First labor date]]-tblWorkPackages[[#This Row],[Request date serial]]</f>
        <v>1</v>
      </c>
      <c r="AE1993" s="65">
        <f>tblWorkPackages[[#This Row],[Last labor date]]-tblWorkPackages[[#This Row],[First labor date]]</f>
        <v>0</v>
      </c>
      <c r="AF1993" s="65">
        <f>tblWorkPackages[[#This Row],[Completion date serial]]-tblWorkPackages[[#This Row],[Last labor date]]</f>
        <v>3</v>
      </c>
      <c r="AG1993" s="65">
        <f>tblWorkPackages[[#This Row],[Completion date serial]]-tblWorkPackages[[#This Row],[Request date serial]]</f>
        <v>4</v>
      </c>
      <c r="AH1993" s="65">
        <f>IFERROR(INDEX(tblParts[Delay days],MATCH(tblWorkPackages[[#This Row],[Work package ID]],tblParts[Work package ID],0)),0)</f>
        <v>0</v>
      </c>
      <c r="AI1993" s="51" t="str">
        <f>IFERROR(INDEX(tblDisruptions[Event type],MATCH(tblWorkPackages[[#This Row],[Work package ID]],tblDisruptions[Work package ID],0)),"None")</f>
        <v>Scope change</v>
      </c>
      <c r="AJ1993" s="51" t="str">
        <f>TEXT(tblWorkPackages[[#This Row],[Due date serial]],"yyyy-mm")</f>
        <v>2025-05</v>
      </c>
    </row>
    <row r="1994" spans="1:36" ht="15" x14ac:dyDescent="0.25">
      <c r="A1994" s="53" t="s">
        <v>2905</v>
      </c>
      <c r="B1994" s="53" t="s">
        <v>185</v>
      </c>
      <c r="C1994" s="53" t="s">
        <v>372</v>
      </c>
      <c r="D1994" s="53" t="s">
        <v>277</v>
      </c>
      <c r="E1994" s="53" t="s">
        <v>272</v>
      </c>
      <c r="F1994" s="53" t="s">
        <v>145</v>
      </c>
      <c r="G1994" s="53" t="s">
        <v>273</v>
      </c>
      <c r="H1994" s="53">
        <v>4</v>
      </c>
      <c r="I1994" s="53" t="s">
        <v>176</v>
      </c>
      <c r="J1994" s="53">
        <v>0</v>
      </c>
      <c r="K1994" s="53">
        <v>1</v>
      </c>
      <c r="L1994" s="53">
        <v>19.5</v>
      </c>
      <c r="M1994" s="53" t="s">
        <v>981</v>
      </c>
      <c r="N1994" s="53">
        <v>23.6</v>
      </c>
      <c r="O1994" s="51" t="str">
        <f>TEXT(tblWorkPackages[[#This Row],[Request date serial]]-WEEKDAY(tblWorkPackages[[#This Row],[Request date serial]],3),"yyyy-mm-dd")</f>
        <v>2024-10-21</v>
      </c>
      <c r="P1994" s="51">
        <f>ABS(tblWorkPackages[[#This Row],[Actual labor hours]]-tblWorkPackages[[#This Row],[Estimated labor hours]])</f>
        <v>4.1</v>
      </c>
      <c r="Q1994" s="51">
        <f>IF(tblWorkPackages[[#This Row],[Actual labor hours]]&gt;tblWorkPackages[[#This Row],[Estimated labor hours]],1,0)</f>
        <v>1</v>
      </c>
      <c r="R1994" s="51">
        <f>tblWorkPackages[[#This Row],[Actual labor hours]]-tblWorkPackages[[#This Row],[Estimated labor hours]]</f>
        <v>4.1</v>
      </c>
      <c r="S1994" s="51" t="str">
        <f>IF(tblWorkPackages[[#This Row],[Request date serial]]&lt;ValidationStart,"Train 2024",IF(tblWorkPackages[[#This Row],[Request date serial]]&lt;HoldoutStart,"Validation H1","Holdout H2"))</f>
        <v>Train 2024</v>
      </c>
      <c r="T1994" s="51" t="str">
        <f>IF(tblWorkPackages[[#This Row],[Time split]]="Train 2024","",tblWorkPackages[[#This Row],[Estimated labor hours]]+VLOOKUP(tblWorkPackages[[#This Row],[Task type]],'Forecast validation'!$A$14:$E$25,IF(tblWorkPackages[[#This Row],[Time split]]="Validation H1",4,5),FALSE()))</f>
        <v/>
      </c>
      <c r="U1994" s="51" t="str">
        <f>IF(tblWorkPackages[[#This Row],[Calibrated forecast hours]]="","",ABS(tblWorkPackages[[#This Row],[Actual labor hours]]-tblWorkPackages[[#This Row],[Calibrated forecast hours]]))</f>
        <v/>
      </c>
      <c r="V1994" s="51">
        <f>IF(tblWorkPackages[[#This Row],[Time split]]="Train 2024",tblWorkPackages[[#This Row],[Estimated labor hours]],tblWorkPackages[[#This Row],[Calibrated forecast hours]])</f>
        <v>19.5</v>
      </c>
      <c r="W1994" s="64">
        <f>DATEVALUE(tblWorkPackages[[#This Row],[Request date]])</f>
        <v>45586.0</v>
      </c>
      <c r="X1994" s="64">
        <f>DATEVALUE(tblWorkPackages[[#This Row],[Due date]])</f>
        <v>45592.0</v>
      </c>
      <c r="Y1994" s="64">
        <f>DATEVALUE(tblWorkPackages[[#This Row],[Completion date]])</f>
        <v>45601.0</v>
      </c>
      <c r="Z1994" s="64">
        <f>_xlfn.MINIFS(tblLaborEntries[Work date serial],tblLaborEntries[Work package ID],tblWorkPackages[[#This Row],[Work package ID]])</f>
        <v>45599.0</v>
      </c>
      <c r="AA1994" s="64">
        <f>_xlfn.MAXIFS(tblLaborEntries[Work date serial],tblLaborEntries[Work package ID],tblWorkPackages[[#This Row],[Work package ID]])</f>
        <v>45601.0</v>
      </c>
      <c r="AB1994" s="65">
        <f>IF(tblWorkPackages[[#This Row],[Completion date serial]]&gt;tblWorkPackages[[#This Row],[Due date serial]],1,0)</f>
        <v>1</v>
      </c>
      <c r="AC1994" s="65">
        <f>MAX(0,tblWorkPackages[[#This Row],[Completion date serial]]-tblWorkPackages[[#This Row],[Due date serial]])</f>
        <v>9</v>
      </c>
      <c r="AD1994" s="65">
        <f>tblWorkPackages[[#This Row],[First labor date]]-tblWorkPackages[[#This Row],[Request date serial]]</f>
        <v>13</v>
      </c>
      <c r="AE1994" s="65">
        <f>tblWorkPackages[[#This Row],[Last labor date]]-tblWorkPackages[[#This Row],[First labor date]]</f>
        <v>2</v>
      </c>
      <c r="AF1994" s="65">
        <f>tblWorkPackages[[#This Row],[Completion date serial]]-tblWorkPackages[[#This Row],[Last labor date]]</f>
        <v>0</v>
      </c>
      <c r="AG1994" s="65">
        <f>tblWorkPackages[[#This Row],[Completion date serial]]-tblWorkPackages[[#This Row],[Request date serial]]</f>
        <v>15</v>
      </c>
      <c r="AH1994" s="65">
        <f>IFERROR(INDEX(tblParts[Delay days],MATCH(tblWorkPackages[[#This Row],[Work package ID]],tblParts[Work package ID],0)),0)</f>
        <v>0</v>
      </c>
      <c r="AI1994" s="51" t="str">
        <f>IFERROR(INDEX(tblDisruptions[Event type],MATCH(tblWorkPackages[[#This Row],[Work package ID]],tblDisruptions[Work package ID],0)),"None")</f>
        <v>None</v>
      </c>
      <c r="AJ1994" s="51" t="str">
        <f>TEXT(tblWorkPackages[[#This Row],[Due date serial]],"yyyy-mm")</f>
        <v>2024-10</v>
      </c>
    </row>
    <row r="1995" spans="1:36" ht="15" x14ac:dyDescent="0.25">
      <c r="A1995" s="53" t="s">
        <v>2906</v>
      </c>
      <c r="B1995" s="53" t="s">
        <v>287</v>
      </c>
      <c r="C1995" s="53" t="s">
        <v>1321</v>
      </c>
      <c r="D1995" s="53" t="s">
        <v>263</v>
      </c>
      <c r="E1995" s="53" t="s">
        <v>181</v>
      </c>
      <c r="F1995" s="53" t="s">
        <v>182</v>
      </c>
      <c r="G1995" s="53" t="s">
        <v>138</v>
      </c>
      <c r="H1995" s="53">
        <v>2</v>
      </c>
      <c r="I1995" s="53" t="s">
        <v>176</v>
      </c>
      <c r="J1995" s="53">
        <v>0</v>
      </c>
      <c r="K1995" s="53">
        <v>1</v>
      </c>
      <c r="L1995" s="53">
        <v>7.3</v>
      </c>
      <c r="M1995" s="53" t="s">
        <v>1346</v>
      </c>
      <c r="N1995" s="53">
        <v>9.9</v>
      </c>
      <c r="O1995" s="51" t="str">
        <f>TEXT(tblWorkPackages[[#This Row],[Request date serial]]-WEEKDAY(tblWorkPackages[[#This Row],[Request date serial]],3),"yyyy-mm-dd")</f>
        <v>2024-08-12</v>
      </c>
      <c r="P1995" s="51">
        <f>ABS(tblWorkPackages[[#This Row],[Actual labor hours]]-tblWorkPackages[[#This Row],[Estimated labor hours]])</f>
        <v>2.6</v>
      </c>
      <c r="Q1995" s="51">
        <f>IF(tblWorkPackages[[#This Row],[Actual labor hours]]&gt;tblWorkPackages[[#This Row],[Estimated labor hours]],1,0)</f>
        <v>1</v>
      </c>
      <c r="R1995" s="51">
        <f>tblWorkPackages[[#This Row],[Actual labor hours]]-tblWorkPackages[[#This Row],[Estimated labor hours]]</f>
        <v>2.6</v>
      </c>
      <c r="S1995" s="51" t="str">
        <f>IF(tblWorkPackages[[#This Row],[Request date serial]]&lt;ValidationStart,"Train 2024",IF(tblWorkPackages[[#This Row],[Request date serial]]&lt;HoldoutStart,"Validation H1","Holdout H2"))</f>
        <v>Train 2024</v>
      </c>
      <c r="T1995" s="51" t="str">
        <f>IF(tblWorkPackages[[#This Row],[Time split]]="Train 2024","",tblWorkPackages[[#This Row],[Estimated labor hours]]+VLOOKUP(tblWorkPackages[[#This Row],[Task type]],'Forecast validation'!$A$14:$E$25,IF(tblWorkPackages[[#This Row],[Time split]]="Validation H1",4,5),FALSE()))</f>
        <v/>
      </c>
      <c r="U1995" s="51" t="str">
        <f>IF(tblWorkPackages[[#This Row],[Calibrated forecast hours]]="","",ABS(tblWorkPackages[[#This Row],[Actual labor hours]]-tblWorkPackages[[#This Row],[Calibrated forecast hours]]))</f>
        <v/>
      </c>
      <c r="V1995" s="51">
        <f>IF(tblWorkPackages[[#This Row],[Time split]]="Train 2024",tblWorkPackages[[#This Row],[Estimated labor hours]],tblWorkPackages[[#This Row],[Calibrated forecast hours]])</f>
        <v>7.3</v>
      </c>
      <c r="W1995" s="64">
        <f>DATEVALUE(tblWorkPackages[[#This Row],[Request date]])</f>
        <v>45516.0</v>
      </c>
      <c r="X1995" s="64">
        <f>DATEVALUE(tblWorkPackages[[#This Row],[Due date]])</f>
        <v>45522.0</v>
      </c>
      <c r="Y1995" s="64">
        <f>DATEVALUE(tblWorkPackages[[#This Row],[Completion date]])</f>
        <v>45532.0</v>
      </c>
      <c r="Z1995" s="64">
        <f>_xlfn.MINIFS(tblLaborEntries[Work date serial],tblLaborEntries[Work package ID],tblWorkPackages[[#This Row],[Work package ID]])</f>
        <v>45530.0</v>
      </c>
      <c r="AA1995" s="64">
        <f>_xlfn.MAXIFS(tblLaborEntries[Work date serial],tblLaborEntries[Work package ID],tblWorkPackages[[#This Row],[Work package ID]])</f>
        <v>45531.0</v>
      </c>
      <c r="AB1995" s="65">
        <f>IF(tblWorkPackages[[#This Row],[Completion date serial]]&gt;tblWorkPackages[[#This Row],[Due date serial]],1,0)</f>
        <v>1</v>
      </c>
      <c r="AC1995" s="65">
        <f>MAX(0,tblWorkPackages[[#This Row],[Completion date serial]]-tblWorkPackages[[#This Row],[Due date serial]])</f>
        <v>10</v>
      </c>
      <c r="AD1995" s="65">
        <f>tblWorkPackages[[#This Row],[First labor date]]-tblWorkPackages[[#This Row],[Request date serial]]</f>
        <v>14</v>
      </c>
      <c r="AE1995" s="65">
        <f>tblWorkPackages[[#This Row],[Last labor date]]-tblWorkPackages[[#This Row],[First labor date]]</f>
        <v>1</v>
      </c>
      <c r="AF1995" s="65">
        <f>tblWorkPackages[[#This Row],[Completion date serial]]-tblWorkPackages[[#This Row],[Last labor date]]</f>
        <v>1</v>
      </c>
      <c r="AG1995" s="65">
        <f>tblWorkPackages[[#This Row],[Completion date serial]]-tblWorkPackages[[#This Row],[Request date serial]]</f>
        <v>16</v>
      </c>
      <c r="AH1995" s="65">
        <f>IFERROR(INDEX(tblParts[Delay days],MATCH(tblWorkPackages[[#This Row],[Work package ID]],tblParts[Work package ID],0)),0)</f>
        <v>11</v>
      </c>
      <c r="AI1995" s="51" t="str">
        <f>IFERROR(INDEX(tblDisruptions[Event type],MATCH(tblWorkPackages[[#This Row],[Work package ID]],tblDisruptions[Work package ID],0)),"None")</f>
        <v>Part delay</v>
      </c>
      <c r="AJ1995" s="51" t="str">
        <f>TEXT(tblWorkPackages[[#This Row],[Due date serial]],"yyyy-mm")</f>
        <v>2024-08</v>
      </c>
    </row>
    <row r="1996" spans="1:36" ht="15" x14ac:dyDescent="0.25">
      <c r="A1996" s="53" t="s">
        <v>2907</v>
      </c>
      <c r="B1996" s="53" t="s">
        <v>250</v>
      </c>
      <c r="C1996" s="53" t="s">
        <v>1223</v>
      </c>
      <c r="D1996" s="53" t="s">
        <v>1095</v>
      </c>
      <c r="E1996" s="53" t="s">
        <v>144</v>
      </c>
      <c r="F1996" s="53" t="s">
        <v>145</v>
      </c>
      <c r="G1996" s="53" t="s">
        <v>146</v>
      </c>
      <c r="H1996" s="53">
        <v>1</v>
      </c>
      <c r="I1996" s="53" t="s">
        <v>130</v>
      </c>
      <c r="J1996" s="53">
        <v>0</v>
      </c>
      <c r="K1996" s="53">
        <v>1</v>
      </c>
      <c r="L1996" s="53">
        <v>7.2</v>
      </c>
      <c r="M1996" s="53" t="s">
        <v>436</v>
      </c>
      <c r="N1996" s="53">
        <v>6.9</v>
      </c>
      <c r="O1996" s="51" t="str">
        <f>TEXT(tblWorkPackages[[#This Row],[Request date serial]]-WEEKDAY(tblWorkPackages[[#This Row],[Request date serial]],3),"yyyy-mm-dd")</f>
        <v>2024-02-05</v>
      </c>
      <c r="P1996" s="51">
        <f>ABS(tblWorkPackages[[#This Row],[Actual labor hours]]-tblWorkPackages[[#This Row],[Estimated labor hours]])</f>
        <v>0.3</v>
      </c>
      <c r="Q1996" s="51">
        <f>IF(tblWorkPackages[[#This Row],[Actual labor hours]]&gt;tblWorkPackages[[#This Row],[Estimated labor hours]],1,0)</f>
        <v>0</v>
      </c>
      <c r="R1996" s="51">
        <f>tblWorkPackages[[#This Row],[Actual labor hours]]-tblWorkPackages[[#This Row],[Estimated labor hours]]</f>
        <v>-0.3</v>
      </c>
      <c r="S1996" s="51" t="str">
        <f>IF(tblWorkPackages[[#This Row],[Request date serial]]&lt;ValidationStart,"Train 2024",IF(tblWorkPackages[[#This Row],[Request date serial]]&lt;HoldoutStart,"Validation H1","Holdout H2"))</f>
        <v>Train 2024</v>
      </c>
      <c r="T1996" s="51" t="str">
        <f>IF(tblWorkPackages[[#This Row],[Time split]]="Train 2024","",tblWorkPackages[[#This Row],[Estimated labor hours]]+VLOOKUP(tblWorkPackages[[#This Row],[Task type]],'Forecast validation'!$A$14:$E$25,IF(tblWorkPackages[[#This Row],[Time split]]="Validation H1",4,5),FALSE()))</f>
        <v/>
      </c>
      <c r="U1996" s="51" t="str">
        <f>IF(tblWorkPackages[[#This Row],[Calibrated forecast hours]]="","",ABS(tblWorkPackages[[#This Row],[Actual labor hours]]-tblWorkPackages[[#This Row],[Calibrated forecast hours]]))</f>
        <v/>
      </c>
      <c r="V1996" s="51">
        <f>IF(tblWorkPackages[[#This Row],[Time split]]="Train 2024",tblWorkPackages[[#This Row],[Estimated labor hours]],tblWorkPackages[[#This Row],[Calibrated forecast hours]])</f>
        <v>7.2</v>
      </c>
      <c r="W1996" s="64">
        <f>DATEVALUE(tblWorkPackages[[#This Row],[Request date]])</f>
        <v>45331.0</v>
      </c>
      <c r="X1996" s="64">
        <f>DATEVALUE(tblWorkPackages[[#This Row],[Due date]])</f>
        <v>45344.0</v>
      </c>
      <c r="Y1996" s="64">
        <f>DATEVALUE(tblWorkPackages[[#This Row],[Completion date]])</f>
        <v>45383.0</v>
      </c>
      <c r="Z1996" s="64">
        <f>_xlfn.MINIFS(tblLaborEntries[Work date serial],tblLaborEntries[Work package ID],tblWorkPackages[[#This Row],[Work package ID]])</f>
        <v>45381.0</v>
      </c>
      <c r="AA1996" s="64">
        <f>_xlfn.MAXIFS(tblLaborEntries[Work date serial],tblLaborEntries[Work package ID],tblWorkPackages[[#This Row],[Work package ID]])</f>
        <v>45381.0</v>
      </c>
      <c r="AB1996" s="65">
        <f>IF(tblWorkPackages[[#This Row],[Completion date serial]]&gt;tblWorkPackages[[#This Row],[Due date serial]],1,0)</f>
        <v>1</v>
      </c>
      <c r="AC1996" s="65">
        <f>MAX(0,tblWorkPackages[[#This Row],[Completion date serial]]-tblWorkPackages[[#This Row],[Due date serial]])</f>
        <v>39</v>
      </c>
      <c r="AD1996" s="65">
        <f>tblWorkPackages[[#This Row],[First labor date]]-tblWorkPackages[[#This Row],[Request date serial]]</f>
        <v>50</v>
      </c>
      <c r="AE1996" s="65">
        <f>tblWorkPackages[[#This Row],[Last labor date]]-tblWorkPackages[[#This Row],[First labor date]]</f>
        <v>0</v>
      </c>
      <c r="AF1996" s="65">
        <f>tblWorkPackages[[#This Row],[Completion date serial]]-tblWorkPackages[[#This Row],[Last labor date]]</f>
        <v>2</v>
      </c>
      <c r="AG1996" s="65">
        <f>tblWorkPackages[[#This Row],[Completion date serial]]-tblWorkPackages[[#This Row],[Request date serial]]</f>
        <v>52</v>
      </c>
      <c r="AH1996" s="65">
        <f>IFERROR(INDEX(tblParts[Delay days],MATCH(tblWorkPackages[[#This Row],[Work package ID]],tblParts[Work package ID],0)),0)</f>
        <v>0</v>
      </c>
      <c r="AI1996" s="51" t="str">
        <f>IFERROR(INDEX(tblDisruptions[Event type],MATCH(tblWorkPackages[[#This Row],[Work package ID]],tblDisruptions[Work package ID],0)),"None")</f>
        <v>None</v>
      </c>
      <c r="AJ1996" s="51" t="str">
        <f>TEXT(tblWorkPackages[[#This Row],[Due date serial]],"yyyy-mm")</f>
        <v>2024-02</v>
      </c>
    </row>
    <row r="1997" spans="1:36" ht="15" x14ac:dyDescent="0.25">
      <c r="A1997" s="53" t="s">
        <v>2908</v>
      </c>
      <c r="B1997" s="53" t="s">
        <v>150</v>
      </c>
      <c r="C1997" s="53" t="s">
        <v>558</v>
      </c>
      <c r="D1997" s="53" t="s">
        <v>559</v>
      </c>
      <c r="E1997" s="53" t="s">
        <v>242</v>
      </c>
      <c r="F1997" s="53" t="s">
        <v>243</v>
      </c>
      <c r="G1997" s="53" t="s">
        <v>129</v>
      </c>
      <c r="H1997" s="53">
        <v>3</v>
      </c>
      <c r="I1997" s="53" t="s">
        <v>130</v>
      </c>
      <c r="J1997" s="53">
        <v>0</v>
      </c>
      <c r="K1997" s="53">
        <v>0</v>
      </c>
      <c r="L1997" s="53">
        <v>10.8</v>
      </c>
      <c r="M1997" s="53" t="s">
        <v>422</v>
      </c>
      <c r="N1997" s="53">
        <v>11.5</v>
      </c>
      <c r="O1997" s="51" t="str">
        <f>TEXT(tblWorkPackages[[#This Row],[Request date serial]]-WEEKDAY(tblWorkPackages[[#This Row],[Request date serial]],3),"yyyy-mm-dd")</f>
        <v>2025-10-27</v>
      </c>
      <c r="P1997" s="51">
        <f>ABS(tblWorkPackages[[#This Row],[Actual labor hours]]-tblWorkPackages[[#This Row],[Estimated labor hours]])</f>
        <v>0.699999999999999</v>
      </c>
      <c r="Q1997" s="51">
        <f>IF(tblWorkPackages[[#This Row],[Actual labor hours]]&gt;tblWorkPackages[[#This Row],[Estimated labor hours]],1,0)</f>
        <v>1</v>
      </c>
      <c r="R1997" s="51">
        <f>tblWorkPackages[[#This Row],[Actual labor hours]]-tblWorkPackages[[#This Row],[Estimated labor hours]]</f>
        <v>0.699999999999999</v>
      </c>
      <c r="S1997" s="51" t="str">
        <f>IF(tblWorkPackages[[#This Row],[Request date serial]]&lt;ValidationStart,"Train 2024",IF(tblWorkPackages[[#This Row],[Request date serial]]&lt;HoldoutStart,"Validation H1","Holdout H2"))</f>
        <v>Holdout H2</v>
      </c>
      <c r="T1997" s="51">
        <f>IF(tblWorkPackages[[#This Row],[Time split]]="Train 2024","",tblWorkPackages[[#This Row],[Estimated labor hours]]+VLOOKUP(tblWorkPackages[[#This Row],[Task type]],'Forecast validation'!$A$14:$E$25,IF(tblWorkPackages[[#This Row],[Time split]]="Validation H1",4,5),FALSE()))</f>
        <v>11.6254545454545</v>
      </c>
      <c r="U1997" s="51">
        <f>IF(tblWorkPackages[[#This Row],[Calibrated forecast hours]]="","",ABS(tblWorkPackages[[#This Row],[Actual labor hours]]-tblWorkPackages[[#This Row],[Calibrated forecast hours]]))</f>
        <v>0.125454545454547</v>
      </c>
      <c r="V1997" s="51">
        <f>IF(tblWorkPackages[[#This Row],[Time split]]="Train 2024",tblWorkPackages[[#This Row],[Estimated labor hours]],tblWorkPackages[[#This Row],[Calibrated forecast hours]])</f>
        <v>11.6254545454545</v>
      </c>
      <c r="W1997" s="64">
        <f>DATEVALUE(tblWorkPackages[[#This Row],[Request date]])</f>
        <v>45961.0</v>
      </c>
      <c r="X1997" s="64">
        <f>DATEVALUE(tblWorkPackages[[#This Row],[Due date]])</f>
        <v>45974.0</v>
      </c>
      <c r="Y1997" s="64">
        <f>DATEVALUE(tblWorkPackages[[#This Row],[Completion date]])</f>
        <v>45973.0</v>
      </c>
      <c r="Z1997" s="64">
        <f>_xlfn.MINIFS(tblLaborEntries[Work date serial],tblLaborEntries[Work package ID],tblWorkPackages[[#This Row],[Work package ID]])</f>
        <v>45969.0</v>
      </c>
      <c r="AA1997" s="64">
        <f>_xlfn.MAXIFS(tblLaborEntries[Work date serial],tblLaborEntries[Work package ID],tblWorkPackages[[#This Row],[Work package ID]])</f>
        <v>45970.0</v>
      </c>
      <c r="AB1997" s="65">
        <f>IF(tblWorkPackages[[#This Row],[Completion date serial]]&gt;tblWorkPackages[[#This Row],[Due date serial]],1,0)</f>
        <v>0</v>
      </c>
      <c r="AC1997" s="65">
        <f>MAX(0,tblWorkPackages[[#This Row],[Completion date serial]]-tblWorkPackages[[#This Row],[Due date serial]])</f>
        <v>0</v>
      </c>
      <c r="AD1997" s="65">
        <f>tblWorkPackages[[#This Row],[First labor date]]-tblWorkPackages[[#This Row],[Request date serial]]</f>
        <v>8</v>
      </c>
      <c r="AE1997" s="65">
        <f>tblWorkPackages[[#This Row],[Last labor date]]-tblWorkPackages[[#This Row],[First labor date]]</f>
        <v>1</v>
      </c>
      <c r="AF1997" s="65">
        <f>tblWorkPackages[[#This Row],[Completion date serial]]-tblWorkPackages[[#This Row],[Last labor date]]</f>
        <v>3</v>
      </c>
      <c r="AG1997" s="65">
        <f>tblWorkPackages[[#This Row],[Completion date serial]]-tblWorkPackages[[#This Row],[Request date serial]]</f>
        <v>12</v>
      </c>
      <c r="AH1997" s="65">
        <f>IFERROR(INDEX(tblParts[Delay days],MATCH(tblWorkPackages[[#This Row],[Work package ID]],tblParts[Work package ID],0)),0)</f>
        <v>0</v>
      </c>
      <c r="AI1997" s="51" t="str">
        <f>IFERROR(INDEX(tblDisruptions[Event type],MATCH(tblWorkPackages[[#This Row],[Work package ID]],tblDisruptions[Work package ID],0)),"None")</f>
        <v>None</v>
      </c>
      <c r="AJ1997" s="51" t="str">
        <f>TEXT(tblWorkPackages[[#This Row],[Due date serial]],"yyyy-mm")</f>
        <v>2025-11</v>
      </c>
    </row>
    <row r="1998" spans="1:36" ht="15" x14ac:dyDescent="0.25">
      <c r="A1998" s="53" t="s">
        <v>2909</v>
      </c>
      <c r="B1998" s="53" t="s">
        <v>185</v>
      </c>
      <c r="C1998" s="53" t="s">
        <v>226</v>
      </c>
      <c r="D1998" s="53" t="s">
        <v>227</v>
      </c>
      <c r="E1998" s="53" t="s">
        <v>237</v>
      </c>
      <c r="F1998" s="53" t="s">
        <v>182</v>
      </c>
      <c r="G1998" s="53" t="s">
        <v>138</v>
      </c>
      <c r="H1998" s="53">
        <v>1</v>
      </c>
      <c r="I1998" s="53" t="s">
        <v>130</v>
      </c>
      <c r="J1998" s="53">
        <v>0</v>
      </c>
      <c r="K1998" s="53">
        <v>0</v>
      </c>
      <c r="L1998" s="53">
        <v>3.6</v>
      </c>
      <c r="M1998" s="53" t="s">
        <v>746</v>
      </c>
      <c r="N1998" s="53">
        <v>2.9</v>
      </c>
      <c r="O1998" s="51" t="str">
        <f>TEXT(tblWorkPackages[[#This Row],[Request date serial]]-WEEKDAY(tblWorkPackages[[#This Row],[Request date serial]],3),"yyyy-mm-dd")</f>
        <v>2025-07-14</v>
      </c>
      <c r="P1998" s="51">
        <f>ABS(tblWorkPackages[[#This Row],[Actual labor hours]]-tblWorkPackages[[#This Row],[Estimated labor hours]])</f>
        <v>0.7</v>
      </c>
      <c r="Q1998" s="51">
        <f>IF(tblWorkPackages[[#This Row],[Actual labor hours]]&gt;tblWorkPackages[[#This Row],[Estimated labor hours]],1,0)</f>
        <v>0</v>
      </c>
      <c r="R1998" s="51">
        <f>tblWorkPackages[[#This Row],[Actual labor hours]]-tblWorkPackages[[#This Row],[Estimated labor hours]]</f>
        <v>-0.7</v>
      </c>
      <c r="S1998" s="51" t="str">
        <f>IF(tblWorkPackages[[#This Row],[Request date serial]]&lt;ValidationStart,"Train 2024",IF(tblWorkPackages[[#This Row],[Request date serial]]&lt;HoldoutStart,"Validation H1","Holdout H2"))</f>
        <v>Holdout H2</v>
      </c>
      <c r="T1998" s="51">
        <f>IF(tblWorkPackages[[#This Row],[Time split]]="Train 2024","",tblWorkPackages[[#This Row],[Estimated labor hours]]+VLOOKUP(tblWorkPackages[[#This Row],[Task type]],'Forecast validation'!$A$14:$E$25,IF(tblWorkPackages[[#This Row],[Time split]]="Validation H1",4,5),FALSE()))</f>
        <v>4.053125</v>
      </c>
      <c r="U1998" s="51">
        <f>IF(tblWorkPackages[[#This Row],[Calibrated forecast hours]]="","",ABS(tblWorkPackages[[#This Row],[Actual labor hours]]-tblWorkPackages[[#This Row],[Calibrated forecast hours]]))</f>
        <v>1.153125</v>
      </c>
      <c r="V1998" s="51">
        <f>IF(tblWorkPackages[[#This Row],[Time split]]="Train 2024",tblWorkPackages[[#This Row],[Estimated labor hours]],tblWorkPackages[[#This Row],[Calibrated forecast hours]])</f>
        <v>4.053125</v>
      </c>
      <c r="W1998" s="64">
        <f>DATEVALUE(tblWorkPackages[[#This Row],[Request date]])</f>
        <v>45857.0</v>
      </c>
      <c r="X1998" s="64">
        <f>DATEVALUE(tblWorkPackages[[#This Row],[Due date]])</f>
        <v>45870.0</v>
      </c>
      <c r="Y1998" s="64">
        <f>DATEVALUE(tblWorkPackages[[#This Row],[Completion date]])</f>
        <v>45860.0</v>
      </c>
      <c r="Z1998" s="64">
        <f>_xlfn.MINIFS(tblLaborEntries[Work date serial],tblLaborEntries[Work package ID],tblWorkPackages[[#This Row],[Work package ID]])</f>
        <v>45859.0</v>
      </c>
      <c r="AA1998" s="64">
        <f>_xlfn.MAXIFS(tblLaborEntries[Work date serial],tblLaborEntries[Work package ID],tblWorkPackages[[#This Row],[Work package ID]])</f>
        <v>45860.0</v>
      </c>
      <c r="AB1998" s="65">
        <f>IF(tblWorkPackages[[#This Row],[Completion date serial]]&gt;tblWorkPackages[[#This Row],[Due date serial]],1,0)</f>
        <v>0</v>
      </c>
      <c r="AC1998" s="65">
        <f>MAX(0,tblWorkPackages[[#This Row],[Completion date serial]]-tblWorkPackages[[#This Row],[Due date serial]])</f>
        <v>0</v>
      </c>
      <c r="AD1998" s="65">
        <f>tblWorkPackages[[#This Row],[First labor date]]-tblWorkPackages[[#This Row],[Request date serial]]</f>
        <v>2</v>
      </c>
      <c r="AE1998" s="65">
        <f>tblWorkPackages[[#This Row],[Last labor date]]-tblWorkPackages[[#This Row],[First labor date]]</f>
        <v>1</v>
      </c>
      <c r="AF1998" s="65">
        <f>tblWorkPackages[[#This Row],[Completion date serial]]-tblWorkPackages[[#This Row],[Last labor date]]</f>
        <v>0</v>
      </c>
      <c r="AG1998" s="65">
        <f>tblWorkPackages[[#This Row],[Completion date serial]]-tblWorkPackages[[#This Row],[Request date serial]]</f>
        <v>3</v>
      </c>
      <c r="AH1998" s="65">
        <f>IFERROR(INDEX(tblParts[Delay days],MATCH(tblWorkPackages[[#This Row],[Work package ID]],tblParts[Work package ID],0)),0)</f>
        <v>0</v>
      </c>
      <c r="AI1998" s="51" t="str">
        <f>IFERROR(INDEX(tblDisruptions[Event type],MATCH(tblWorkPackages[[#This Row],[Work package ID]],tblDisruptions[Work package ID],0)),"None")</f>
        <v>None</v>
      </c>
      <c r="AJ1998" s="51" t="str">
        <f>TEXT(tblWorkPackages[[#This Row],[Due date serial]],"yyyy-mm")</f>
        <v>2025-08</v>
      </c>
    </row>
    <row r="1999" spans="1:36" ht="15" x14ac:dyDescent="0.25">
      <c r="A1999" s="53" t="s">
        <v>2910</v>
      </c>
      <c r="B1999" s="53" t="s">
        <v>124</v>
      </c>
      <c r="C1999" s="53" t="s">
        <v>213</v>
      </c>
      <c r="D1999" s="53" t="s">
        <v>454</v>
      </c>
      <c r="E1999" s="53" t="s">
        <v>223</v>
      </c>
      <c r="F1999" s="53" t="s">
        <v>182</v>
      </c>
      <c r="G1999" s="53" t="s">
        <v>154</v>
      </c>
      <c r="H1999" s="53">
        <v>1</v>
      </c>
      <c r="I1999" s="53" t="s">
        <v>130</v>
      </c>
      <c r="J1999" s="53">
        <v>1</v>
      </c>
      <c r="K1999" s="53">
        <v>1</v>
      </c>
      <c r="L1999" s="53">
        <v>8.3000000000000007</v>
      </c>
      <c r="M1999" s="53" t="s">
        <v>490</v>
      </c>
      <c r="N1999" s="53">
        <v>14.1</v>
      </c>
      <c r="O1999" s="51" t="str">
        <f>TEXT(tblWorkPackages[[#This Row],[Request date serial]]-WEEKDAY(tblWorkPackages[[#This Row],[Request date serial]],3),"yyyy-mm-dd")</f>
        <v>2024-01-08</v>
      </c>
      <c r="P1999" s="51">
        <f>ABS(tblWorkPackages[[#This Row],[Actual labor hours]]-tblWorkPackages[[#This Row],[Estimated labor hours]])</f>
        <v>5.8</v>
      </c>
      <c r="Q1999" s="51">
        <f>IF(tblWorkPackages[[#This Row],[Actual labor hours]]&gt;tblWorkPackages[[#This Row],[Estimated labor hours]],1,0)</f>
        <v>1</v>
      </c>
      <c r="R1999" s="51">
        <f>tblWorkPackages[[#This Row],[Actual labor hours]]-tblWorkPackages[[#This Row],[Estimated labor hours]]</f>
        <v>5.8</v>
      </c>
      <c r="S1999" s="51" t="str">
        <f>IF(tblWorkPackages[[#This Row],[Request date serial]]&lt;ValidationStart,"Train 2024",IF(tblWorkPackages[[#This Row],[Request date serial]]&lt;HoldoutStart,"Validation H1","Holdout H2"))</f>
        <v>Train 2024</v>
      </c>
      <c r="T1999" s="51" t="str">
        <f>IF(tblWorkPackages[[#This Row],[Time split]]="Train 2024","",tblWorkPackages[[#This Row],[Estimated labor hours]]+VLOOKUP(tblWorkPackages[[#This Row],[Task type]],'Forecast validation'!$A$14:$E$25,IF(tblWorkPackages[[#This Row],[Time split]]="Validation H1",4,5),FALSE()))</f>
        <v/>
      </c>
      <c r="U1999" s="51" t="str">
        <f>IF(tblWorkPackages[[#This Row],[Calibrated forecast hours]]="","",ABS(tblWorkPackages[[#This Row],[Actual labor hours]]-tblWorkPackages[[#This Row],[Calibrated forecast hours]]))</f>
        <v/>
      </c>
      <c r="V1999" s="51">
        <f>IF(tblWorkPackages[[#This Row],[Time split]]="Train 2024",tblWorkPackages[[#This Row],[Estimated labor hours]],tblWorkPackages[[#This Row],[Calibrated forecast hours]])</f>
        <v>8.3</v>
      </c>
      <c r="W1999" s="64">
        <f>DATEVALUE(tblWorkPackages[[#This Row],[Request date]])</f>
        <v>45305.0</v>
      </c>
      <c r="X1999" s="64">
        <f>DATEVALUE(tblWorkPackages[[#This Row],[Due date]])</f>
        <v>45318.0</v>
      </c>
      <c r="Y1999" s="64">
        <f>DATEVALUE(tblWorkPackages[[#This Row],[Completion date]])</f>
        <v>45332.0</v>
      </c>
      <c r="Z1999" s="64">
        <f>_xlfn.MINIFS(tblLaborEntries[Work date serial],tblLaborEntries[Work package ID],tblWorkPackages[[#This Row],[Work package ID]])</f>
        <v>45331.0</v>
      </c>
      <c r="AA1999" s="64">
        <f>_xlfn.MAXIFS(tblLaborEntries[Work date serial],tblLaborEntries[Work package ID],tblWorkPackages[[#This Row],[Work package ID]])</f>
        <v>45331.0</v>
      </c>
      <c r="AB1999" s="65">
        <f>IF(tblWorkPackages[[#This Row],[Completion date serial]]&gt;tblWorkPackages[[#This Row],[Due date serial]],1,0)</f>
        <v>1</v>
      </c>
      <c r="AC1999" s="65">
        <f>MAX(0,tblWorkPackages[[#This Row],[Completion date serial]]-tblWorkPackages[[#This Row],[Due date serial]])</f>
        <v>14</v>
      </c>
      <c r="AD1999" s="65">
        <f>tblWorkPackages[[#This Row],[First labor date]]-tblWorkPackages[[#This Row],[Request date serial]]</f>
        <v>26</v>
      </c>
      <c r="AE1999" s="65">
        <f>tblWorkPackages[[#This Row],[Last labor date]]-tblWorkPackages[[#This Row],[First labor date]]</f>
        <v>0</v>
      </c>
      <c r="AF1999" s="65">
        <f>tblWorkPackages[[#This Row],[Completion date serial]]-tblWorkPackages[[#This Row],[Last labor date]]</f>
        <v>1</v>
      </c>
      <c r="AG1999" s="65">
        <f>tblWorkPackages[[#This Row],[Completion date serial]]-tblWorkPackages[[#This Row],[Request date serial]]</f>
        <v>27</v>
      </c>
      <c r="AH1999" s="65">
        <f>IFERROR(INDEX(tblParts[Delay days],MATCH(tblWorkPackages[[#This Row],[Work package ID]],tblParts[Work package ID],0)),0)</f>
        <v>6</v>
      </c>
      <c r="AI1999" s="51" t="str">
        <f>IFERROR(INDEX(tblDisruptions[Event type],MATCH(tblWorkPackages[[#This Row],[Work package ID]],tblDisruptions[Work package ID],0)),"None")</f>
        <v>Part delay</v>
      </c>
      <c r="AJ1999" s="51" t="str">
        <f>TEXT(tblWorkPackages[[#This Row],[Due date serial]],"yyyy-mm")</f>
        <v>2024-01</v>
      </c>
    </row>
    <row r="2000" spans="1:36" ht="15" x14ac:dyDescent="0.25">
      <c r="A2000" s="53" t="s">
        <v>2911</v>
      </c>
      <c r="B2000" s="53" t="s">
        <v>124</v>
      </c>
      <c r="C2000" s="53" t="s">
        <v>584</v>
      </c>
      <c r="D2000" s="53" t="s">
        <v>459</v>
      </c>
      <c r="E2000" s="53" t="s">
        <v>272</v>
      </c>
      <c r="F2000" s="53" t="s">
        <v>145</v>
      </c>
      <c r="G2000" s="53" t="s">
        <v>273</v>
      </c>
      <c r="H2000" s="53">
        <v>1</v>
      </c>
      <c r="I2000" s="53" t="s">
        <v>130</v>
      </c>
      <c r="J2000" s="53">
        <v>0</v>
      </c>
      <c r="K2000" s="53">
        <v>0</v>
      </c>
      <c r="L2000" s="53">
        <v>7.2</v>
      </c>
      <c r="M2000" s="53" t="s">
        <v>312</v>
      </c>
      <c r="N2000" s="53">
        <v>9.1</v>
      </c>
      <c r="O2000" s="51" t="str">
        <f>TEXT(tblWorkPackages[[#This Row],[Request date serial]]-WEEKDAY(tblWorkPackages[[#This Row],[Request date serial]],3),"yyyy-mm-dd")</f>
        <v>2025-08-04</v>
      </c>
      <c r="P2000" s="51">
        <f>ABS(tblWorkPackages[[#This Row],[Actual labor hours]]-tblWorkPackages[[#This Row],[Estimated labor hours]])</f>
        <v>1.9</v>
      </c>
      <c r="Q2000" s="51">
        <f>IF(tblWorkPackages[[#This Row],[Actual labor hours]]&gt;tblWorkPackages[[#This Row],[Estimated labor hours]],1,0)</f>
        <v>1</v>
      </c>
      <c r="R2000" s="51">
        <f>tblWorkPackages[[#This Row],[Actual labor hours]]-tblWorkPackages[[#This Row],[Estimated labor hours]]</f>
        <v>1.9</v>
      </c>
      <c r="S2000" s="51" t="str">
        <f>IF(tblWorkPackages[[#This Row],[Request date serial]]&lt;ValidationStart,"Train 2024",IF(tblWorkPackages[[#This Row],[Request date serial]]&lt;HoldoutStart,"Validation H1","Holdout H2"))</f>
        <v>Holdout H2</v>
      </c>
      <c r="T2000" s="51">
        <f>IF(tblWorkPackages[[#This Row],[Time split]]="Train 2024","",tblWorkPackages[[#This Row],[Estimated labor hours]]+VLOOKUP(tblWorkPackages[[#This Row],[Task type]],'Forecast validation'!$A$14:$E$25,IF(tblWorkPackages[[#This Row],[Time split]]="Validation H1",4,5),FALSE()))</f>
        <v>8.18515625</v>
      </c>
      <c r="U2000" s="51">
        <f>IF(tblWorkPackages[[#This Row],[Calibrated forecast hours]]="","",ABS(tblWorkPackages[[#This Row],[Actual labor hours]]-tblWorkPackages[[#This Row],[Calibrated forecast hours]]))</f>
        <v>0.914843749999999</v>
      </c>
      <c r="V2000" s="51">
        <f>IF(tblWorkPackages[[#This Row],[Time split]]="Train 2024",tblWorkPackages[[#This Row],[Estimated labor hours]],tblWorkPackages[[#This Row],[Calibrated forecast hours]])</f>
        <v>8.18515625</v>
      </c>
      <c r="W2000" s="64">
        <f>DATEVALUE(tblWorkPackages[[#This Row],[Request date]])</f>
        <v>45879.0</v>
      </c>
      <c r="X2000" s="64">
        <f>DATEVALUE(tblWorkPackages[[#This Row],[Due date]])</f>
        <v>45892.0</v>
      </c>
      <c r="Y2000" s="64">
        <f>DATEVALUE(tblWorkPackages[[#This Row],[Completion date]])</f>
        <v>45887.0</v>
      </c>
      <c r="Z2000" s="64">
        <f>_xlfn.MINIFS(tblLaborEntries[Work date serial],tblLaborEntries[Work package ID],tblWorkPackages[[#This Row],[Work package ID]])</f>
        <v>45883.0</v>
      </c>
      <c r="AA2000" s="64">
        <f>_xlfn.MAXIFS(tblLaborEntries[Work date serial],tblLaborEntries[Work package ID],tblWorkPackages[[#This Row],[Work package ID]])</f>
        <v>45885.0</v>
      </c>
      <c r="AB2000" s="65">
        <f>IF(tblWorkPackages[[#This Row],[Completion date serial]]&gt;tblWorkPackages[[#This Row],[Due date serial]],1,0)</f>
        <v>0</v>
      </c>
      <c r="AC2000" s="65">
        <f>MAX(0,tblWorkPackages[[#This Row],[Completion date serial]]-tblWorkPackages[[#This Row],[Due date serial]])</f>
        <v>0</v>
      </c>
      <c r="AD2000" s="65">
        <f>tblWorkPackages[[#This Row],[First labor date]]-tblWorkPackages[[#This Row],[Request date serial]]</f>
        <v>4</v>
      </c>
      <c r="AE2000" s="65">
        <f>tblWorkPackages[[#This Row],[Last labor date]]-tblWorkPackages[[#This Row],[First labor date]]</f>
        <v>2</v>
      </c>
      <c r="AF2000" s="65">
        <f>tblWorkPackages[[#This Row],[Completion date serial]]-tblWorkPackages[[#This Row],[Last labor date]]</f>
        <v>2</v>
      </c>
      <c r="AG2000" s="65">
        <f>tblWorkPackages[[#This Row],[Completion date serial]]-tblWorkPackages[[#This Row],[Request date serial]]</f>
        <v>8</v>
      </c>
      <c r="AH2000" s="65">
        <f>IFERROR(INDEX(tblParts[Delay days],MATCH(tblWorkPackages[[#This Row],[Work package ID]],tblParts[Work package ID],0)),0)</f>
        <v>0</v>
      </c>
      <c r="AI2000" s="51" t="str">
        <f>IFERROR(INDEX(tblDisruptions[Event type],MATCH(tblWorkPackages[[#This Row],[Work package ID]],tblDisruptions[Work package ID],0)),"None")</f>
        <v>None</v>
      </c>
      <c r="AJ2000" s="51" t="str">
        <f>TEXT(tblWorkPackages[[#This Row],[Due date serial]],"yyyy-mm")</f>
        <v>2025-08</v>
      </c>
    </row>
    <row r="2001" spans="1:36" ht="15" x14ac:dyDescent="0.25">
      <c r="A2001" s="53" t="s">
        <v>2912</v>
      </c>
      <c r="B2001" s="53" t="s">
        <v>230</v>
      </c>
      <c r="C2001" s="53" t="s">
        <v>228</v>
      </c>
      <c r="D2001" s="53" t="s">
        <v>843</v>
      </c>
      <c r="E2001" s="53" t="s">
        <v>127</v>
      </c>
      <c r="F2001" s="53" t="s">
        <v>128</v>
      </c>
      <c r="G2001" s="53" t="s">
        <v>129</v>
      </c>
      <c r="H2001" s="53">
        <v>2</v>
      </c>
      <c r="I2001" s="53" t="s">
        <v>176</v>
      </c>
      <c r="J2001" s="53">
        <v>0</v>
      </c>
      <c r="K2001" s="53">
        <v>0</v>
      </c>
      <c r="L2001" s="53">
        <v>7.1</v>
      </c>
      <c r="M2001" s="53" t="s">
        <v>843</v>
      </c>
      <c r="N2001" s="53">
        <v>8.4</v>
      </c>
      <c r="O2001" s="51" t="str">
        <f>TEXT(tblWorkPackages[[#This Row],[Request date serial]]-WEEKDAY(tblWorkPackages[[#This Row],[Request date serial]],3),"yyyy-mm-dd")</f>
        <v>2025-07-28</v>
      </c>
      <c r="P2001" s="51">
        <f>ABS(tblWorkPackages[[#This Row],[Actual labor hours]]-tblWorkPackages[[#This Row],[Estimated labor hours]])</f>
        <v>1.3</v>
      </c>
      <c r="Q2001" s="51">
        <f>IF(tblWorkPackages[[#This Row],[Actual labor hours]]&gt;tblWorkPackages[[#This Row],[Estimated labor hours]],1,0)</f>
        <v>1</v>
      </c>
      <c r="R2001" s="51">
        <f>tblWorkPackages[[#This Row],[Actual labor hours]]-tblWorkPackages[[#This Row],[Estimated labor hours]]</f>
        <v>1.3</v>
      </c>
      <c r="S2001" s="51" t="str">
        <f>IF(tblWorkPackages[[#This Row],[Request date serial]]&lt;ValidationStart,"Train 2024",IF(tblWorkPackages[[#This Row],[Request date serial]]&lt;HoldoutStart,"Validation H1","Holdout H2"))</f>
        <v>Holdout H2</v>
      </c>
      <c r="T2001" s="51">
        <f>IF(tblWorkPackages[[#This Row],[Time split]]="Train 2024","",tblWorkPackages[[#This Row],[Estimated labor hours]]+VLOOKUP(tblWorkPackages[[#This Row],[Task type]],'Forecast validation'!$A$14:$E$25,IF(tblWorkPackages[[#This Row],[Time split]]="Validation H1",4,5),FALSE()))</f>
        <v>7.64341085271318</v>
      </c>
      <c r="U2001" s="51">
        <f>IF(tblWorkPackages[[#This Row],[Calibrated forecast hours]]="","",ABS(tblWorkPackages[[#This Row],[Actual labor hours]]-tblWorkPackages[[#This Row],[Calibrated forecast hours]]))</f>
        <v>0.756589147286823</v>
      </c>
      <c r="V2001" s="51">
        <f>IF(tblWorkPackages[[#This Row],[Time split]]="Train 2024",tblWorkPackages[[#This Row],[Estimated labor hours]],tblWorkPackages[[#This Row],[Calibrated forecast hours]])</f>
        <v>7.64341085271318</v>
      </c>
      <c r="W2001" s="64">
        <f>DATEVALUE(tblWorkPackages[[#This Row],[Request date]])</f>
        <v>45872.0</v>
      </c>
      <c r="X2001" s="64">
        <f>DATEVALUE(tblWorkPackages[[#This Row],[Due date]])</f>
        <v>45878.0</v>
      </c>
      <c r="Y2001" s="64">
        <f>DATEVALUE(tblWorkPackages[[#This Row],[Completion date]])</f>
        <v>45878.0</v>
      </c>
      <c r="Z2001" s="64">
        <f>_xlfn.MINIFS(tblLaborEntries[Work date serial],tblLaborEntries[Work package ID],tblWorkPackages[[#This Row],[Work package ID]])</f>
        <v>45873.0</v>
      </c>
      <c r="AA2001" s="64">
        <f>_xlfn.MAXIFS(tblLaborEntries[Work date serial],tblLaborEntries[Work package ID],tblWorkPackages[[#This Row],[Work package ID]])</f>
        <v>45875.0</v>
      </c>
      <c r="AB2001" s="65">
        <f>IF(tblWorkPackages[[#This Row],[Completion date serial]]&gt;tblWorkPackages[[#This Row],[Due date serial]],1,0)</f>
        <v>0</v>
      </c>
      <c r="AC2001" s="65">
        <f>MAX(0,tblWorkPackages[[#This Row],[Completion date serial]]-tblWorkPackages[[#This Row],[Due date serial]])</f>
        <v>0</v>
      </c>
      <c r="AD2001" s="65">
        <f>tblWorkPackages[[#This Row],[First labor date]]-tblWorkPackages[[#This Row],[Request date serial]]</f>
        <v>1</v>
      </c>
      <c r="AE2001" s="65">
        <f>tblWorkPackages[[#This Row],[Last labor date]]-tblWorkPackages[[#This Row],[First labor date]]</f>
        <v>2</v>
      </c>
      <c r="AF2001" s="65">
        <f>tblWorkPackages[[#This Row],[Completion date serial]]-tblWorkPackages[[#This Row],[Last labor date]]</f>
        <v>3</v>
      </c>
      <c r="AG2001" s="65">
        <f>tblWorkPackages[[#This Row],[Completion date serial]]-tblWorkPackages[[#This Row],[Request date serial]]</f>
        <v>6</v>
      </c>
      <c r="AH2001" s="65">
        <f>IFERROR(INDEX(tblParts[Delay days],MATCH(tblWorkPackages[[#This Row],[Work package ID]],tblParts[Work package ID],0)),0)</f>
        <v>0</v>
      </c>
      <c r="AI2001" s="51" t="str">
        <f>IFERROR(INDEX(tblDisruptions[Event type],MATCH(tblWorkPackages[[#This Row],[Work package ID]],tblDisruptions[Work package ID],0)),"None")</f>
        <v>None</v>
      </c>
      <c r="AJ2001" s="51" t="str">
        <f>TEXT(tblWorkPackages[[#This Row],[Due date serial]],"yyyy-mm")</f>
        <v>2025-08</v>
      </c>
    </row>
    <row r="2002" spans="1:36" ht="15" x14ac:dyDescent="0.25">
      <c r="A2002" s="53" t="s">
        <v>2913</v>
      </c>
      <c r="B2002" s="53" t="s">
        <v>133</v>
      </c>
      <c r="C2002" s="53" t="s">
        <v>909</v>
      </c>
      <c r="D2002" s="53" t="s">
        <v>768</v>
      </c>
      <c r="E2002" s="53" t="s">
        <v>272</v>
      </c>
      <c r="F2002" s="53" t="s">
        <v>145</v>
      </c>
      <c r="G2002" s="53" t="s">
        <v>273</v>
      </c>
      <c r="H2002" s="53">
        <v>3</v>
      </c>
      <c r="I2002" s="53" t="s">
        <v>147</v>
      </c>
      <c r="J2002" s="53">
        <v>0</v>
      </c>
      <c r="K2002" s="53">
        <v>0</v>
      </c>
      <c r="L2002" s="53">
        <v>14</v>
      </c>
      <c r="M2002" s="53" t="s">
        <v>356</v>
      </c>
      <c r="N2002" s="53">
        <v>15</v>
      </c>
      <c r="O2002" s="51" t="str">
        <f>TEXT(tblWorkPackages[[#This Row],[Request date serial]]-WEEKDAY(tblWorkPackages[[#This Row],[Request date serial]],3),"yyyy-mm-dd")</f>
        <v>2025-12-08</v>
      </c>
      <c r="P2002" s="51">
        <f>ABS(tblWorkPackages[[#This Row],[Actual labor hours]]-tblWorkPackages[[#This Row],[Estimated labor hours]])</f>
        <v>1</v>
      </c>
      <c r="Q2002" s="51">
        <f>IF(tblWorkPackages[[#This Row],[Actual labor hours]]&gt;tblWorkPackages[[#This Row],[Estimated labor hours]],1,0)</f>
        <v>1</v>
      </c>
      <c r="R2002" s="51">
        <f>tblWorkPackages[[#This Row],[Actual labor hours]]-tblWorkPackages[[#This Row],[Estimated labor hours]]</f>
        <v>1</v>
      </c>
      <c r="S2002" s="51" t="str">
        <f>IF(tblWorkPackages[[#This Row],[Request date serial]]&lt;ValidationStart,"Train 2024",IF(tblWorkPackages[[#This Row],[Request date serial]]&lt;HoldoutStart,"Validation H1","Holdout H2"))</f>
        <v>Holdout H2</v>
      </c>
      <c r="T2002" s="51">
        <f>IF(tblWorkPackages[[#This Row],[Time split]]="Train 2024","",tblWorkPackages[[#This Row],[Estimated labor hours]]+VLOOKUP(tblWorkPackages[[#This Row],[Task type]],'Forecast validation'!$A$14:$E$25,IF(tblWorkPackages[[#This Row],[Time split]]="Validation H1",4,5),FALSE()))</f>
        <v>14.98515625</v>
      </c>
      <c r="U2002" s="51">
        <f>IF(tblWorkPackages[[#This Row],[Calibrated forecast hours]]="","",ABS(tblWorkPackages[[#This Row],[Actual labor hours]]-tblWorkPackages[[#This Row],[Calibrated forecast hours]]))</f>
        <v>0.0148437500000007</v>
      </c>
      <c r="V2002" s="51">
        <f>IF(tblWorkPackages[[#This Row],[Time split]]="Train 2024",tblWorkPackages[[#This Row],[Estimated labor hours]],tblWorkPackages[[#This Row],[Calibrated forecast hours]])</f>
        <v>14.98515625</v>
      </c>
      <c r="W2002" s="64">
        <f>DATEVALUE(tblWorkPackages[[#This Row],[Request date]])</f>
        <v>45999.0</v>
      </c>
      <c r="X2002" s="64">
        <f>DATEVALUE(tblWorkPackages[[#This Row],[Due date]])</f>
        <v>46001.0</v>
      </c>
      <c r="Y2002" s="64">
        <f>DATEVALUE(tblWorkPackages[[#This Row],[Completion date]])</f>
        <v>46012.0</v>
      </c>
      <c r="Z2002" s="64">
        <f>_xlfn.MINIFS(tblLaborEntries[Work date serial],tblLaborEntries[Work package ID],tblWorkPackages[[#This Row],[Work package ID]])</f>
        <v>46010.0</v>
      </c>
      <c r="AA2002" s="64">
        <f>_xlfn.MAXIFS(tblLaborEntries[Work date serial],tblLaborEntries[Work package ID],tblWorkPackages[[#This Row],[Work package ID]])</f>
        <v>46012.0</v>
      </c>
      <c r="AB2002" s="65">
        <f>IF(tblWorkPackages[[#This Row],[Completion date serial]]&gt;tblWorkPackages[[#This Row],[Due date serial]],1,0)</f>
        <v>1</v>
      </c>
      <c r="AC2002" s="65">
        <f>MAX(0,tblWorkPackages[[#This Row],[Completion date serial]]-tblWorkPackages[[#This Row],[Due date serial]])</f>
        <v>11</v>
      </c>
      <c r="AD2002" s="65">
        <f>tblWorkPackages[[#This Row],[First labor date]]-tblWorkPackages[[#This Row],[Request date serial]]</f>
        <v>11</v>
      </c>
      <c r="AE2002" s="65">
        <f>tblWorkPackages[[#This Row],[Last labor date]]-tblWorkPackages[[#This Row],[First labor date]]</f>
        <v>2</v>
      </c>
      <c r="AF2002" s="65">
        <f>tblWorkPackages[[#This Row],[Completion date serial]]-tblWorkPackages[[#This Row],[Last labor date]]</f>
        <v>0</v>
      </c>
      <c r="AG2002" s="65">
        <f>tblWorkPackages[[#This Row],[Completion date serial]]-tblWorkPackages[[#This Row],[Request date serial]]</f>
        <v>13</v>
      </c>
      <c r="AH2002" s="65">
        <f>IFERROR(INDEX(tblParts[Delay days],MATCH(tblWorkPackages[[#This Row],[Work package ID]],tblParts[Work package ID],0)),0)</f>
        <v>0</v>
      </c>
      <c r="AI2002" s="51" t="str">
        <f>IFERROR(INDEX(tblDisruptions[Event type],MATCH(tblWorkPackages[[#This Row],[Work package ID]],tblDisruptions[Work package ID],0)),"None")</f>
        <v>None</v>
      </c>
      <c r="AJ2002" s="51" t="str">
        <f>TEXT(tblWorkPackages[[#This Row],[Due date serial]],"yyyy-mm")</f>
        <v>2025-12</v>
      </c>
    </row>
    <row r="2003" spans="1:36" ht="15" x14ac:dyDescent="0.25">
      <c r="A2003" s="53" t="s">
        <v>2914</v>
      </c>
      <c r="B2003" s="53" t="s">
        <v>133</v>
      </c>
      <c r="C2003" s="53" t="s">
        <v>481</v>
      </c>
      <c r="D2003" s="53" t="s">
        <v>559</v>
      </c>
      <c r="E2003" s="53" t="s">
        <v>127</v>
      </c>
      <c r="F2003" s="53" t="s">
        <v>128</v>
      </c>
      <c r="G2003" s="53" t="s">
        <v>129</v>
      </c>
      <c r="H2003" s="53">
        <v>2</v>
      </c>
      <c r="I2003" s="53" t="s">
        <v>176</v>
      </c>
      <c r="J2003" s="53">
        <v>0</v>
      </c>
      <c r="K2003" s="53">
        <v>0</v>
      </c>
      <c r="L2003" s="53">
        <v>6.1</v>
      </c>
      <c r="M2003" s="53" t="s">
        <v>1017</v>
      </c>
      <c r="N2003" s="53">
        <v>6.2</v>
      </c>
      <c r="O2003" s="51" t="str">
        <f>TEXT(tblWorkPackages[[#This Row],[Request date serial]]-WEEKDAY(tblWorkPackages[[#This Row],[Request date serial]],3),"yyyy-mm-dd")</f>
        <v>2025-11-03</v>
      </c>
      <c r="P2003" s="51">
        <f>ABS(tblWorkPackages[[#This Row],[Actual labor hours]]-tblWorkPackages[[#This Row],[Estimated labor hours]])</f>
        <v>0.100000000000001</v>
      </c>
      <c r="Q2003" s="51">
        <f>IF(tblWorkPackages[[#This Row],[Actual labor hours]]&gt;tblWorkPackages[[#This Row],[Estimated labor hours]],1,0)</f>
        <v>1</v>
      </c>
      <c r="R2003" s="51">
        <f>tblWorkPackages[[#This Row],[Actual labor hours]]-tblWorkPackages[[#This Row],[Estimated labor hours]]</f>
        <v>0.100000000000001</v>
      </c>
      <c r="S2003" s="51" t="str">
        <f>IF(tblWorkPackages[[#This Row],[Request date serial]]&lt;ValidationStart,"Train 2024",IF(tblWorkPackages[[#This Row],[Request date serial]]&lt;HoldoutStart,"Validation H1","Holdout H2"))</f>
        <v>Holdout H2</v>
      </c>
      <c r="T2003" s="51">
        <f>IF(tblWorkPackages[[#This Row],[Time split]]="Train 2024","",tblWorkPackages[[#This Row],[Estimated labor hours]]+VLOOKUP(tblWorkPackages[[#This Row],[Task type]],'Forecast validation'!$A$14:$E$25,IF(tblWorkPackages[[#This Row],[Time split]]="Validation H1",4,5),FALSE()))</f>
        <v>6.64341085271318</v>
      </c>
      <c r="U2003" s="51">
        <f>IF(tblWorkPackages[[#This Row],[Calibrated forecast hours]]="","",ABS(tblWorkPackages[[#This Row],[Actual labor hours]]-tblWorkPackages[[#This Row],[Calibrated forecast hours]]))</f>
        <v>0.443410852713178</v>
      </c>
      <c r="V2003" s="51">
        <f>IF(tblWorkPackages[[#This Row],[Time split]]="Train 2024",tblWorkPackages[[#This Row],[Estimated labor hours]],tblWorkPackages[[#This Row],[Calibrated forecast hours]])</f>
        <v>6.64341085271318</v>
      </c>
      <c r="W2003" s="64">
        <f>DATEVALUE(tblWorkPackages[[#This Row],[Request date]])</f>
        <v>45968.0</v>
      </c>
      <c r="X2003" s="64">
        <f>DATEVALUE(tblWorkPackages[[#This Row],[Due date]])</f>
        <v>45974.0</v>
      </c>
      <c r="Y2003" s="64">
        <f>DATEVALUE(tblWorkPackages[[#This Row],[Completion date]])</f>
        <v>45972.0</v>
      </c>
      <c r="Z2003" s="64">
        <f>_xlfn.MINIFS(tblLaborEntries[Work date serial],tblLaborEntries[Work package ID],tblWorkPackages[[#This Row],[Work package ID]])</f>
        <v>45971.0</v>
      </c>
      <c r="AA2003" s="64">
        <f>_xlfn.MAXIFS(tblLaborEntries[Work date serial],tblLaborEntries[Work package ID],tblWorkPackages[[#This Row],[Work package ID]])</f>
        <v>45971.0</v>
      </c>
      <c r="AB2003" s="65">
        <f>IF(tblWorkPackages[[#This Row],[Completion date serial]]&gt;tblWorkPackages[[#This Row],[Due date serial]],1,0)</f>
        <v>0</v>
      </c>
      <c r="AC2003" s="65">
        <f>MAX(0,tblWorkPackages[[#This Row],[Completion date serial]]-tblWorkPackages[[#This Row],[Due date serial]])</f>
        <v>0</v>
      </c>
      <c r="AD2003" s="65">
        <f>tblWorkPackages[[#This Row],[First labor date]]-tblWorkPackages[[#This Row],[Request date serial]]</f>
        <v>3</v>
      </c>
      <c r="AE2003" s="65">
        <f>tblWorkPackages[[#This Row],[Last labor date]]-tblWorkPackages[[#This Row],[First labor date]]</f>
        <v>0</v>
      </c>
      <c r="AF2003" s="65">
        <f>tblWorkPackages[[#This Row],[Completion date serial]]-tblWorkPackages[[#This Row],[Last labor date]]</f>
        <v>1</v>
      </c>
      <c r="AG2003" s="65">
        <f>tblWorkPackages[[#This Row],[Completion date serial]]-tblWorkPackages[[#This Row],[Request date serial]]</f>
        <v>4</v>
      </c>
      <c r="AH2003" s="65">
        <f>IFERROR(INDEX(tblParts[Delay days],MATCH(tblWorkPackages[[#This Row],[Work package ID]],tblParts[Work package ID],0)),0)</f>
        <v>0</v>
      </c>
      <c r="AI2003" s="51" t="str">
        <f>IFERROR(INDEX(tblDisruptions[Event type],MATCH(tblWorkPackages[[#This Row],[Work package ID]],tblDisruptions[Work package ID],0)),"None")</f>
        <v>None</v>
      </c>
      <c r="AJ2003" s="51" t="str">
        <f>TEXT(tblWorkPackages[[#This Row],[Due date serial]],"yyyy-mm")</f>
        <v>2025-11</v>
      </c>
    </row>
    <row r="2004" spans="1:36" ht="15" x14ac:dyDescent="0.25">
      <c r="A2004" s="53" t="s">
        <v>2915</v>
      </c>
      <c r="B2004" s="53" t="s">
        <v>173</v>
      </c>
      <c r="C2004" s="53" t="s">
        <v>696</v>
      </c>
      <c r="D2004" s="53" t="s">
        <v>697</v>
      </c>
      <c r="E2004" s="53" t="s">
        <v>144</v>
      </c>
      <c r="F2004" s="53" t="s">
        <v>145</v>
      </c>
      <c r="G2004" s="53" t="s">
        <v>146</v>
      </c>
      <c r="H2004" s="53">
        <v>4</v>
      </c>
      <c r="I2004" s="53" t="s">
        <v>130</v>
      </c>
      <c r="J2004" s="53">
        <v>0</v>
      </c>
      <c r="K2004" s="53">
        <v>0</v>
      </c>
      <c r="L2004" s="53">
        <v>19.600000000000001</v>
      </c>
      <c r="M2004" s="53" t="s">
        <v>1063</v>
      </c>
      <c r="N2004" s="53">
        <v>17.399999999999999</v>
      </c>
      <c r="O2004" s="51" t="str">
        <f>TEXT(tblWorkPackages[[#This Row],[Request date serial]]-WEEKDAY(tblWorkPackages[[#This Row],[Request date serial]],3),"yyyy-mm-dd")</f>
        <v>2025-01-27</v>
      </c>
      <c r="P2004" s="51">
        <f>ABS(tblWorkPackages[[#This Row],[Actual labor hours]]-tblWorkPackages[[#This Row],[Estimated labor hours]])</f>
        <v>2.2</v>
      </c>
      <c r="Q2004" s="51">
        <f>IF(tblWorkPackages[[#This Row],[Actual labor hours]]&gt;tblWorkPackages[[#This Row],[Estimated labor hours]],1,0)</f>
        <v>0</v>
      </c>
      <c r="R2004" s="51">
        <f>tblWorkPackages[[#This Row],[Actual labor hours]]-tblWorkPackages[[#This Row],[Estimated labor hours]]</f>
        <v>-2.2</v>
      </c>
      <c r="S2004" s="51" t="str">
        <f>IF(tblWorkPackages[[#This Row],[Request date serial]]&lt;ValidationStart,"Train 2024",IF(tblWorkPackages[[#This Row],[Request date serial]]&lt;HoldoutStart,"Validation H1","Holdout H2"))</f>
        <v>Validation H1</v>
      </c>
      <c r="T2004" s="51">
        <f>IF(tblWorkPackages[[#This Row],[Time split]]="Train 2024","",tblWorkPackages[[#This Row],[Estimated labor hours]]+VLOOKUP(tblWorkPackages[[#This Row],[Task type]],'Forecast validation'!$A$14:$E$25,IF(tblWorkPackages[[#This Row],[Time split]]="Validation H1",4,5),FALSE()))</f>
        <v>20.3547368421053</v>
      </c>
      <c r="U2004" s="51">
        <f>IF(tblWorkPackages[[#This Row],[Calibrated forecast hours]]="","",ABS(tblWorkPackages[[#This Row],[Actual labor hours]]-tblWorkPackages[[#This Row],[Calibrated forecast hours]]))</f>
        <v>2.95473684210527</v>
      </c>
      <c r="V2004" s="51">
        <f>IF(tblWorkPackages[[#This Row],[Time split]]="Train 2024",tblWorkPackages[[#This Row],[Estimated labor hours]],tblWorkPackages[[#This Row],[Calibrated forecast hours]])</f>
        <v>20.3547368421053</v>
      </c>
      <c r="W2004" s="64">
        <f>DATEVALUE(tblWorkPackages[[#This Row],[Request date]])</f>
        <v>45690.0</v>
      </c>
      <c r="X2004" s="64">
        <f>DATEVALUE(tblWorkPackages[[#This Row],[Due date]])</f>
        <v>45703.0</v>
      </c>
      <c r="Y2004" s="64">
        <f>DATEVALUE(tblWorkPackages[[#This Row],[Completion date]])</f>
        <v>45727.0</v>
      </c>
      <c r="Z2004" s="64">
        <f>_xlfn.MINIFS(tblLaborEntries[Work date serial],tblLaborEntries[Work package ID],tblWorkPackages[[#This Row],[Work package ID]])</f>
        <v>45723.0</v>
      </c>
      <c r="AA2004" s="64">
        <f>_xlfn.MAXIFS(tblLaborEntries[Work date serial],tblLaborEntries[Work package ID],tblWorkPackages[[#This Row],[Work package ID]])</f>
        <v>45725.0</v>
      </c>
      <c r="AB2004" s="65">
        <f>IF(tblWorkPackages[[#This Row],[Completion date serial]]&gt;tblWorkPackages[[#This Row],[Due date serial]],1,0)</f>
        <v>1</v>
      </c>
      <c r="AC2004" s="65">
        <f>MAX(0,tblWorkPackages[[#This Row],[Completion date serial]]-tblWorkPackages[[#This Row],[Due date serial]])</f>
        <v>24</v>
      </c>
      <c r="AD2004" s="65">
        <f>tblWorkPackages[[#This Row],[First labor date]]-tblWorkPackages[[#This Row],[Request date serial]]</f>
        <v>33</v>
      </c>
      <c r="AE2004" s="65">
        <f>tblWorkPackages[[#This Row],[Last labor date]]-tblWorkPackages[[#This Row],[First labor date]]</f>
        <v>2</v>
      </c>
      <c r="AF2004" s="65">
        <f>tblWorkPackages[[#This Row],[Completion date serial]]-tblWorkPackages[[#This Row],[Last labor date]]</f>
        <v>2</v>
      </c>
      <c r="AG2004" s="65">
        <f>tblWorkPackages[[#This Row],[Completion date serial]]-tblWorkPackages[[#This Row],[Request date serial]]</f>
        <v>37</v>
      </c>
      <c r="AH2004" s="65">
        <f>IFERROR(INDEX(tblParts[Delay days],MATCH(tblWorkPackages[[#This Row],[Work package ID]],tblParts[Work package ID],0)),0)</f>
        <v>0</v>
      </c>
      <c r="AI2004" s="51" t="str">
        <f>IFERROR(INDEX(tblDisruptions[Event type],MATCH(tblWorkPackages[[#This Row],[Work package ID]],tblDisruptions[Work package ID],0)),"None")</f>
        <v>None</v>
      </c>
      <c r="AJ2004" s="51" t="str">
        <f>TEXT(tblWorkPackages[[#This Row],[Due date serial]],"yyyy-mm")</f>
        <v>2025-02</v>
      </c>
    </row>
    <row r="2005" spans="1:36" ht="15" x14ac:dyDescent="0.25">
      <c r="A2005" s="53" t="s">
        <v>2916</v>
      </c>
      <c r="B2005" s="53" t="s">
        <v>185</v>
      </c>
      <c r="C2005" s="53" t="s">
        <v>410</v>
      </c>
      <c r="D2005" s="53" t="s">
        <v>131</v>
      </c>
      <c r="E2005" s="53" t="s">
        <v>144</v>
      </c>
      <c r="F2005" s="53" t="s">
        <v>145</v>
      </c>
      <c r="G2005" s="53" t="s">
        <v>146</v>
      </c>
      <c r="H2005" s="53">
        <v>4</v>
      </c>
      <c r="I2005" s="53" t="s">
        <v>130</v>
      </c>
      <c r="J2005" s="53">
        <v>0</v>
      </c>
      <c r="K2005" s="53">
        <v>1</v>
      </c>
      <c r="L2005" s="53">
        <v>22.4</v>
      </c>
      <c r="M2005" s="53" t="s">
        <v>517</v>
      </c>
      <c r="N2005" s="53">
        <v>22.6</v>
      </c>
      <c r="O2005" s="51" t="str">
        <f>TEXT(tblWorkPackages[[#This Row],[Request date serial]]-WEEKDAY(tblWorkPackages[[#This Row],[Request date serial]],3),"yyyy-mm-dd")</f>
        <v>2025-04-28</v>
      </c>
      <c r="P2005" s="51">
        <f>ABS(tblWorkPackages[[#This Row],[Actual labor hours]]-tblWorkPackages[[#This Row],[Estimated labor hours]])</f>
        <v>0.200000000000003</v>
      </c>
      <c r="Q2005" s="51">
        <f>IF(tblWorkPackages[[#This Row],[Actual labor hours]]&gt;tblWorkPackages[[#This Row],[Estimated labor hours]],1,0)</f>
        <v>1</v>
      </c>
      <c r="R2005" s="51">
        <f>tblWorkPackages[[#This Row],[Actual labor hours]]-tblWorkPackages[[#This Row],[Estimated labor hours]]</f>
        <v>0.200000000000003</v>
      </c>
      <c r="S2005" s="51" t="str">
        <f>IF(tblWorkPackages[[#This Row],[Request date serial]]&lt;ValidationStart,"Train 2024",IF(tblWorkPackages[[#This Row],[Request date serial]]&lt;HoldoutStart,"Validation H1","Holdout H2"))</f>
        <v>Validation H1</v>
      </c>
      <c r="T2005" s="51">
        <f>IF(tblWorkPackages[[#This Row],[Time split]]="Train 2024","",tblWorkPackages[[#This Row],[Estimated labor hours]]+VLOOKUP(tblWorkPackages[[#This Row],[Task type]],'Forecast validation'!$A$14:$E$25,IF(tblWorkPackages[[#This Row],[Time split]]="Validation H1",4,5),FALSE()))</f>
        <v>23.1547368421053</v>
      </c>
      <c r="U2005" s="51">
        <f>IF(tblWorkPackages[[#This Row],[Calibrated forecast hours]]="","",ABS(tblWorkPackages[[#This Row],[Actual labor hours]]-tblWorkPackages[[#This Row],[Calibrated forecast hours]]))</f>
        <v>0.55473684210526</v>
      </c>
      <c r="V2005" s="51">
        <f>IF(tblWorkPackages[[#This Row],[Time split]]="Train 2024",tblWorkPackages[[#This Row],[Estimated labor hours]],tblWorkPackages[[#This Row],[Calibrated forecast hours]])</f>
        <v>23.1547368421053</v>
      </c>
      <c r="W2005" s="64">
        <f>DATEVALUE(tblWorkPackages[[#This Row],[Request date]])</f>
        <v>45778.0</v>
      </c>
      <c r="X2005" s="64">
        <f>DATEVALUE(tblWorkPackages[[#This Row],[Due date]])</f>
        <v>45791.0</v>
      </c>
      <c r="Y2005" s="64">
        <f>DATEVALUE(tblWorkPackages[[#This Row],[Completion date]])</f>
        <v>45788.0</v>
      </c>
      <c r="Z2005" s="64">
        <f>_xlfn.MINIFS(tblLaborEntries[Work date serial],tblLaborEntries[Work package ID],tblWorkPackages[[#This Row],[Work package ID]])</f>
        <v>45784.0</v>
      </c>
      <c r="AA2005" s="64">
        <f>_xlfn.MAXIFS(tblLaborEntries[Work date serial],tblLaborEntries[Work package ID],tblWorkPackages[[#This Row],[Work package ID]])</f>
        <v>45785.0</v>
      </c>
      <c r="AB2005" s="65">
        <f>IF(tblWorkPackages[[#This Row],[Completion date serial]]&gt;tblWorkPackages[[#This Row],[Due date serial]],1,0)</f>
        <v>0</v>
      </c>
      <c r="AC2005" s="65">
        <f>MAX(0,tblWorkPackages[[#This Row],[Completion date serial]]-tblWorkPackages[[#This Row],[Due date serial]])</f>
        <v>0</v>
      </c>
      <c r="AD2005" s="65">
        <f>tblWorkPackages[[#This Row],[First labor date]]-tblWorkPackages[[#This Row],[Request date serial]]</f>
        <v>6</v>
      </c>
      <c r="AE2005" s="65">
        <f>tblWorkPackages[[#This Row],[Last labor date]]-tblWorkPackages[[#This Row],[First labor date]]</f>
        <v>1</v>
      </c>
      <c r="AF2005" s="65">
        <f>tblWorkPackages[[#This Row],[Completion date serial]]-tblWorkPackages[[#This Row],[Last labor date]]</f>
        <v>3</v>
      </c>
      <c r="AG2005" s="65">
        <f>tblWorkPackages[[#This Row],[Completion date serial]]-tblWorkPackages[[#This Row],[Request date serial]]</f>
        <v>10</v>
      </c>
      <c r="AH2005" s="65">
        <f>IFERROR(INDEX(tblParts[Delay days],MATCH(tblWorkPackages[[#This Row],[Work package ID]],tblParts[Work package ID],0)),0)</f>
        <v>0</v>
      </c>
      <c r="AI2005" s="51" t="str">
        <f>IFERROR(INDEX(tblDisruptions[Event type],MATCH(tblWorkPackages[[#This Row],[Work package ID]],tblDisruptions[Work package ID],0)),"None")</f>
        <v>None</v>
      </c>
      <c r="AJ2005" s="51" t="str">
        <f>TEXT(tblWorkPackages[[#This Row],[Due date serial]],"yyyy-mm")</f>
        <v>2025-05</v>
      </c>
    </row>
    <row r="2006" spans="1:36" ht="15" x14ac:dyDescent="0.25">
      <c r="A2006" s="53" t="s">
        <v>2917</v>
      </c>
      <c r="B2006" s="53" t="s">
        <v>150</v>
      </c>
      <c r="C2006" s="53" t="s">
        <v>308</v>
      </c>
      <c r="D2006" s="53" t="s">
        <v>482</v>
      </c>
      <c r="E2006" s="53" t="s">
        <v>272</v>
      </c>
      <c r="F2006" s="53" t="s">
        <v>145</v>
      </c>
      <c r="G2006" s="53" t="s">
        <v>273</v>
      </c>
      <c r="H2006" s="53">
        <v>1</v>
      </c>
      <c r="I2006" s="53" t="s">
        <v>176</v>
      </c>
      <c r="J2006" s="53">
        <v>0</v>
      </c>
      <c r="K2006" s="53">
        <v>1</v>
      </c>
      <c r="L2006" s="53">
        <v>7.1</v>
      </c>
      <c r="M2006" s="53" t="s">
        <v>939</v>
      </c>
      <c r="N2006" s="53">
        <v>8.1999999999999993</v>
      </c>
      <c r="O2006" s="51" t="str">
        <f>TEXT(tblWorkPackages[[#This Row],[Request date serial]]-WEEKDAY(tblWorkPackages[[#This Row],[Request date serial]],3),"yyyy-mm-dd")</f>
        <v>2025-11-10</v>
      </c>
      <c r="P2006" s="51">
        <f>ABS(tblWorkPackages[[#This Row],[Actual labor hours]]-tblWorkPackages[[#This Row],[Estimated labor hours]])</f>
        <v>1.1</v>
      </c>
      <c r="Q2006" s="51">
        <f>IF(tblWorkPackages[[#This Row],[Actual labor hours]]&gt;tblWorkPackages[[#This Row],[Estimated labor hours]],1,0)</f>
        <v>1</v>
      </c>
      <c r="R2006" s="51">
        <f>tblWorkPackages[[#This Row],[Actual labor hours]]-tblWorkPackages[[#This Row],[Estimated labor hours]]</f>
        <v>1.1</v>
      </c>
      <c r="S2006" s="51" t="str">
        <f>IF(tblWorkPackages[[#This Row],[Request date serial]]&lt;ValidationStart,"Train 2024",IF(tblWorkPackages[[#This Row],[Request date serial]]&lt;HoldoutStart,"Validation H1","Holdout H2"))</f>
        <v>Holdout H2</v>
      </c>
      <c r="T2006" s="51">
        <f>IF(tblWorkPackages[[#This Row],[Time split]]="Train 2024","",tblWorkPackages[[#This Row],[Estimated labor hours]]+VLOOKUP(tblWorkPackages[[#This Row],[Task type]],'Forecast validation'!$A$14:$E$25,IF(tblWorkPackages[[#This Row],[Time split]]="Validation H1",4,5),FALSE()))</f>
        <v>8.08515625</v>
      </c>
      <c r="U2006" s="51">
        <f>IF(tblWorkPackages[[#This Row],[Calibrated forecast hours]]="","",ABS(tblWorkPackages[[#This Row],[Actual labor hours]]-tblWorkPackages[[#This Row],[Calibrated forecast hours]]))</f>
        <v>0.11484375</v>
      </c>
      <c r="V2006" s="51">
        <f>IF(tblWorkPackages[[#This Row],[Time split]]="Train 2024",tblWorkPackages[[#This Row],[Estimated labor hours]],tblWorkPackages[[#This Row],[Calibrated forecast hours]])</f>
        <v>8.08515625</v>
      </c>
      <c r="W2006" s="64">
        <f>DATEVALUE(tblWorkPackages[[#This Row],[Request date]])</f>
        <v>45977.0</v>
      </c>
      <c r="X2006" s="64">
        <f>DATEVALUE(tblWorkPackages[[#This Row],[Due date]])</f>
        <v>45983.0</v>
      </c>
      <c r="Y2006" s="64">
        <f>DATEVALUE(tblWorkPackages[[#This Row],[Completion date]])</f>
        <v>45980.0</v>
      </c>
      <c r="Z2006" s="64">
        <f>_xlfn.MINIFS(tblLaborEntries[Work date serial],tblLaborEntries[Work package ID],tblWorkPackages[[#This Row],[Work package ID]])</f>
        <v>45979.0</v>
      </c>
      <c r="AA2006" s="64">
        <f>_xlfn.MAXIFS(tblLaborEntries[Work date serial],tblLaborEntries[Work package ID],tblWorkPackages[[#This Row],[Work package ID]])</f>
        <v>45980.0</v>
      </c>
      <c r="AB2006" s="65">
        <f>IF(tblWorkPackages[[#This Row],[Completion date serial]]&gt;tblWorkPackages[[#This Row],[Due date serial]],1,0)</f>
        <v>0</v>
      </c>
      <c r="AC2006" s="65">
        <f>MAX(0,tblWorkPackages[[#This Row],[Completion date serial]]-tblWorkPackages[[#This Row],[Due date serial]])</f>
        <v>0</v>
      </c>
      <c r="AD2006" s="65">
        <f>tblWorkPackages[[#This Row],[First labor date]]-tblWorkPackages[[#This Row],[Request date serial]]</f>
        <v>2</v>
      </c>
      <c r="AE2006" s="65">
        <f>tblWorkPackages[[#This Row],[Last labor date]]-tblWorkPackages[[#This Row],[First labor date]]</f>
        <v>1</v>
      </c>
      <c r="AF2006" s="65">
        <f>tblWorkPackages[[#This Row],[Completion date serial]]-tblWorkPackages[[#This Row],[Last labor date]]</f>
        <v>0</v>
      </c>
      <c r="AG2006" s="65">
        <f>tblWorkPackages[[#This Row],[Completion date serial]]-tblWorkPackages[[#This Row],[Request date serial]]</f>
        <v>3</v>
      </c>
      <c r="AH2006" s="65">
        <f>IFERROR(INDEX(tblParts[Delay days],MATCH(tblWorkPackages[[#This Row],[Work package ID]],tblParts[Work package ID],0)),0)</f>
        <v>0</v>
      </c>
      <c r="AI2006" s="51" t="str">
        <f>IFERROR(INDEX(tblDisruptions[Event type],MATCH(tblWorkPackages[[#This Row],[Work package ID]],tblDisruptions[Work package ID],0)),"None")</f>
        <v>None</v>
      </c>
      <c r="AJ2006" s="51" t="str">
        <f>TEXT(tblWorkPackages[[#This Row],[Due date serial]],"yyyy-mm")</f>
        <v>2025-11</v>
      </c>
    </row>
    <row r="2007" spans="1:36" ht="15" x14ac:dyDescent="0.25">
      <c r="A2007" s="53" t="s">
        <v>2918</v>
      </c>
      <c r="B2007" s="53" t="s">
        <v>150</v>
      </c>
      <c r="C2007" s="53" t="s">
        <v>1092</v>
      </c>
      <c r="D2007" s="53" t="s">
        <v>164</v>
      </c>
      <c r="E2007" s="53" t="s">
        <v>153</v>
      </c>
      <c r="F2007" s="53" t="s">
        <v>128</v>
      </c>
      <c r="G2007" s="53" t="s">
        <v>154</v>
      </c>
      <c r="H2007" s="53">
        <v>4</v>
      </c>
      <c r="I2007" s="53" t="s">
        <v>130</v>
      </c>
      <c r="J2007" s="53">
        <v>0</v>
      </c>
      <c r="K2007" s="53">
        <v>0</v>
      </c>
      <c r="L2007" s="53">
        <v>19.600000000000001</v>
      </c>
      <c r="M2007" s="53" t="s">
        <v>1324</v>
      </c>
      <c r="N2007" s="53">
        <v>15.2</v>
      </c>
      <c r="O2007" s="51" t="str">
        <f>TEXT(tblWorkPackages[[#This Row],[Request date serial]]-WEEKDAY(tblWorkPackages[[#This Row],[Request date serial]],3),"yyyy-mm-dd")</f>
        <v>2024-06-10</v>
      </c>
      <c r="P2007" s="51">
        <f>ABS(tblWorkPackages[[#This Row],[Actual labor hours]]-tblWorkPackages[[#This Row],[Estimated labor hours]])</f>
        <v>4.4</v>
      </c>
      <c r="Q2007" s="51">
        <f>IF(tblWorkPackages[[#This Row],[Actual labor hours]]&gt;tblWorkPackages[[#This Row],[Estimated labor hours]],1,0)</f>
        <v>0</v>
      </c>
      <c r="R2007" s="51">
        <f>tblWorkPackages[[#This Row],[Actual labor hours]]-tblWorkPackages[[#This Row],[Estimated labor hours]]</f>
        <v>-4.4</v>
      </c>
      <c r="S2007" s="51" t="str">
        <f>IF(tblWorkPackages[[#This Row],[Request date serial]]&lt;ValidationStart,"Train 2024",IF(tblWorkPackages[[#This Row],[Request date serial]]&lt;HoldoutStart,"Validation H1","Holdout H2"))</f>
        <v>Train 2024</v>
      </c>
      <c r="T2007" s="51" t="str">
        <f>IF(tblWorkPackages[[#This Row],[Time split]]="Train 2024","",tblWorkPackages[[#This Row],[Estimated labor hours]]+VLOOKUP(tblWorkPackages[[#This Row],[Task type]],'Forecast validation'!$A$14:$E$25,IF(tblWorkPackages[[#This Row],[Time split]]="Validation H1",4,5),FALSE()))</f>
        <v/>
      </c>
      <c r="U2007" s="51" t="str">
        <f>IF(tblWorkPackages[[#This Row],[Calibrated forecast hours]]="","",ABS(tblWorkPackages[[#This Row],[Actual labor hours]]-tblWorkPackages[[#This Row],[Calibrated forecast hours]]))</f>
        <v/>
      </c>
      <c r="V2007" s="51">
        <f>IF(tblWorkPackages[[#This Row],[Time split]]="Train 2024",tblWorkPackages[[#This Row],[Estimated labor hours]],tblWorkPackages[[#This Row],[Calibrated forecast hours]])</f>
        <v>19.6</v>
      </c>
      <c r="W2007" s="64">
        <f>DATEVALUE(tblWorkPackages[[#This Row],[Request date]])</f>
        <v>45459.0</v>
      </c>
      <c r="X2007" s="64">
        <f>DATEVALUE(tblWorkPackages[[#This Row],[Due date]])</f>
        <v>45472.0</v>
      </c>
      <c r="Y2007" s="64">
        <f>DATEVALUE(tblWorkPackages[[#This Row],[Completion date]])</f>
        <v>45476.0</v>
      </c>
      <c r="Z2007" s="64">
        <f>_xlfn.MINIFS(tblLaborEntries[Work date serial],tblLaborEntries[Work package ID],tblWorkPackages[[#This Row],[Work package ID]])</f>
        <v>45474.0</v>
      </c>
      <c r="AA2007" s="64">
        <f>_xlfn.MAXIFS(tblLaborEntries[Work date serial],tblLaborEntries[Work package ID],tblWorkPackages[[#This Row],[Work package ID]])</f>
        <v>45475.0</v>
      </c>
      <c r="AB2007" s="65">
        <f>IF(tblWorkPackages[[#This Row],[Completion date serial]]&gt;tblWorkPackages[[#This Row],[Due date serial]],1,0)</f>
        <v>1</v>
      </c>
      <c r="AC2007" s="65">
        <f>MAX(0,tblWorkPackages[[#This Row],[Completion date serial]]-tblWorkPackages[[#This Row],[Due date serial]])</f>
        <v>4</v>
      </c>
      <c r="AD2007" s="65">
        <f>tblWorkPackages[[#This Row],[First labor date]]-tblWorkPackages[[#This Row],[Request date serial]]</f>
        <v>15</v>
      </c>
      <c r="AE2007" s="65">
        <f>tblWorkPackages[[#This Row],[Last labor date]]-tblWorkPackages[[#This Row],[First labor date]]</f>
        <v>1</v>
      </c>
      <c r="AF2007" s="65">
        <f>tblWorkPackages[[#This Row],[Completion date serial]]-tblWorkPackages[[#This Row],[Last labor date]]</f>
        <v>1</v>
      </c>
      <c r="AG2007" s="65">
        <f>tblWorkPackages[[#This Row],[Completion date serial]]-tblWorkPackages[[#This Row],[Request date serial]]</f>
        <v>17</v>
      </c>
      <c r="AH2007" s="65">
        <f>IFERROR(INDEX(tblParts[Delay days],MATCH(tblWorkPackages[[#This Row],[Work package ID]],tblParts[Work package ID],0)),0)</f>
        <v>0</v>
      </c>
      <c r="AI2007" s="51" t="str">
        <f>IFERROR(INDEX(tblDisruptions[Event type],MATCH(tblWorkPackages[[#This Row],[Work package ID]],tblDisruptions[Work package ID],0)),"None")</f>
        <v>None</v>
      </c>
      <c r="AJ2007" s="51" t="str">
        <f>TEXT(tblWorkPackages[[#This Row],[Due date serial]],"yyyy-mm")</f>
        <v>2024-06</v>
      </c>
    </row>
    <row r="2008" spans="1:36" ht="15" x14ac:dyDescent="0.25">
      <c r="A2008" s="53" t="s">
        <v>2919</v>
      </c>
      <c r="B2008" s="53" t="s">
        <v>173</v>
      </c>
      <c r="C2008" s="53" t="s">
        <v>307</v>
      </c>
      <c r="D2008" s="53" t="s">
        <v>560</v>
      </c>
      <c r="E2008" s="53" t="s">
        <v>144</v>
      </c>
      <c r="F2008" s="53" t="s">
        <v>145</v>
      </c>
      <c r="G2008" s="53" t="s">
        <v>146</v>
      </c>
      <c r="H2008" s="53">
        <v>3</v>
      </c>
      <c r="I2008" s="53" t="s">
        <v>176</v>
      </c>
      <c r="J2008" s="53">
        <v>0</v>
      </c>
      <c r="K2008" s="53">
        <v>0</v>
      </c>
      <c r="L2008" s="53">
        <v>12.2</v>
      </c>
      <c r="M2008" s="53" t="s">
        <v>937</v>
      </c>
      <c r="N2008" s="53">
        <v>11.3</v>
      </c>
      <c r="O2008" s="51" t="str">
        <f>TEXT(tblWorkPackages[[#This Row],[Request date serial]]-WEEKDAY(tblWorkPackages[[#This Row],[Request date serial]],3),"yyyy-mm-dd")</f>
        <v>2025-11-03</v>
      </c>
      <c r="P2008" s="51">
        <f>ABS(tblWorkPackages[[#This Row],[Actual labor hours]]-tblWorkPackages[[#This Row],[Estimated labor hours]])</f>
        <v>0.899999999999999</v>
      </c>
      <c r="Q2008" s="51">
        <f>IF(tblWorkPackages[[#This Row],[Actual labor hours]]&gt;tblWorkPackages[[#This Row],[Estimated labor hours]],1,0)</f>
        <v>0</v>
      </c>
      <c r="R2008" s="51">
        <f>tblWorkPackages[[#This Row],[Actual labor hours]]-tblWorkPackages[[#This Row],[Estimated labor hours]]</f>
        <v>-0.899999999999999</v>
      </c>
      <c r="S2008" s="51" t="str">
        <f>IF(tblWorkPackages[[#This Row],[Request date serial]]&lt;ValidationStart,"Train 2024",IF(tblWorkPackages[[#This Row],[Request date serial]]&lt;HoldoutStart,"Validation H1","Holdout H2"))</f>
        <v>Holdout H2</v>
      </c>
      <c r="T2008" s="51">
        <f>IF(tblWorkPackages[[#This Row],[Time split]]="Train 2024","",tblWorkPackages[[#This Row],[Estimated labor hours]]+VLOOKUP(tblWorkPackages[[#This Row],[Task type]],'Forecast validation'!$A$14:$E$25,IF(tblWorkPackages[[#This Row],[Time split]]="Validation H1",4,5),FALSE()))</f>
        <v>13.1735483870968</v>
      </c>
      <c r="U2008" s="51">
        <f>IF(tblWorkPackages[[#This Row],[Calibrated forecast hours]]="","",ABS(tblWorkPackages[[#This Row],[Actual labor hours]]-tblWorkPackages[[#This Row],[Calibrated forecast hours]]))</f>
        <v>1.87354838709677</v>
      </c>
      <c r="V2008" s="51">
        <f>IF(tblWorkPackages[[#This Row],[Time split]]="Train 2024",tblWorkPackages[[#This Row],[Estimated labor hours]],tblWorkPackages[[#This Row],[Calibrated forecast hours]])</f>
        <v>13.1735483870968</v>
      </c>
      <c r="W2008" s="64">
        <f>DATEVALUE(tblWorkPackages[[#This Row],[Request date]])</f>
        <v>45964.0</v>
      </c>
      <c r="X2008" s="64">
        <f>DATEVALUE(tblWorkPackages[[#This Row],[Due date]])</f>
        <v>45970.0</v>
      </c>
      <c r="Y2008" s="64">
        <f>DATEVALUE(tblWorkPackages[[#This Row],[Completion date]])</f>
        <v>45971.0</v>
      </c>
      <c r="Z2008" s="64">
        <f>_xlfn.MINIFS(tblLaborEntries[Work date serial],tblLaborEntries[Work package ID],tblWorkPackages[[#This Row],[Work package ID]])</f>
        <v>45968.0</v>
      </c>
      <c r="AA2008" s="64">
        <f>_xlfn.MAXIFS(tblLaborEntries[Work date serial],tblLaborEntries[Work package ID],tblWorkPackages[[#This Row],[Work package ID]])</f>
        <v>45969.0</v>
      </c>
      <c r="AB2008" s="65">
        <f>IF(tblWorkPackages[[#This Row],[Completion date serial]]&gt;tblWorkPackages[[#This Row],[Due date serial]],1,0)</f>
        <v>1</v>
      </c>
      <c r="AC2008" s="65">
        <f>MAX(0,tblWorkPackages[[#This Row],[Completion date serial]]-tblWorkPackages[[#This Row],[Due date serial]])</f>
        <v>1</v>
      </c>
      <c r="AD2008" s="65">
        <f>tblWorkPackages[[#This Row],[First labor date]]-tblWorkPackages[[#This Row],[Request date serial]]</f>
        <v>4</v>
      </c>
      <c r="AE2008" s="65">
        <f>tblWorkPackages[[#This Row],[Last labor date]]-tblWorkPackages[[#This Row],[First labor date]]</f>
        <v>1</v>
      </c>
      <c r="AF2008" s="65">
        <f>tblWorkPackages[[#This Row],[Completion date serial]]-tblWorkPackages[[#This Row],[Last labor date]]</f>
        <v>2</v>
      </c>
      <c r="AG2008" s="65">
        <f>tblWorkPackages[[#This Row],[Completion date serial]]-tblWorkPackages[[#This Row],[Request date serial]]</f>
        <v>7</v>
      </c>
      <c r="AH2008" s="65">
        <f>IFERROR(INDEX(tblParts[Delay days],MATCH(tblWorkPackages[[#This Row],[Work package ID]],tblParts[Work package ID],0)),0)</f>
        <v>0</v>
      </c>
      <c r="AI2008" s="51" t="str">
        <f>IFERROR(INDEX(tblDisruptions[Event type],MATCH(tblWorkPackages[[#This Row],[Work package ID]],tblDisruptions[Work package ID],0)),"None")</f>
        <v>None</v>
      </c>
      <c r="AJ2008" s="51" t="str">
        <f>TEXT(tblWorkPackages[[#This Row],[Due date serial]],"yyyy-mm")</f>
        <v>2025-11</v>
      </c>
    </row>
    <row r="2009" spans="1:36" ht="15" x14ac:dyDescent="0.25">
      <c r="A2009" s="53" t="s">
        <v>2920</v>
      </c>
      <c r="B2009" s="53" t="s">
        <v>124</v>
      </c>
      <c r="C2009" s="53" t="s">
        <v>1211</v>
      </c>
      <c r="D2009" s="53" t="s">
        <v>1256</v>
      </c>
      <c r="E2009" s="53" t="s">
        <v>237</v>
      </c>
      <c r="F2009" s="53" t="s">
        <v>182</v>
      </c>
      <c r="G2009" s="53" t="s">
        <v>138</v>
      </c>
      <c r="H2009" s="53">
        <v>2</v>
      </c>
      <c r="I2009" s="53" t="s">
        <v>130</v>
      </c>
      <c r="J2009" s="53">
        <v>0</v>
      </c>
      <c r="K2009" s="53">
        <v>0</v>
      </c>
      <c r="L2009" s="53">
        <v>5.7</v>
      </c>
      <c r="M2009" s="53" t="s">
        <v>1118</v>
      </c>
      <c r="N2009" s="53">
        <v>4.4000000000000004</v>
      </c>
      <c r="O2009" s="51" t="str">
        <f>TEXT(tblWorkPackages[[#This Row],[Request date serial]]-WEEKDAY(tblWorkPackages[[#This Row],[Request date serial]],3),"yyyy-mm-dd")</f>
        <v>2025-06-09</v>
      </c>
      <c r="P2009" s="51">
        <f>ABS(tblWorkPackages[[#This Row],[Actual labor hours]]-tblWorkPackages[[#This Row],[Estimated labor hours]])</f>
        <v>1.3</v>
      </c>
      <c r="Q2009" s="51">
        <f>IF(tblWorkPackages[[#This Row],[Actual labor hours]]&gt;tblWorkPackages[[#This Row],[Estimated labor hours]],1,0)</f>
        <v>0</v>
      </c>
      <c r="R2009" s="51">
        <f>tblWorkPackages[[#This Row],[Actual labor hours]]-tblWorkPackages[[#This Row],[Estimated labor hours]]</f>
        <v>-1.3</v>
      </c>
      <c r="S2009" s="51" t="str">
        <f>IF(tblWorkPackages[[#This Row],[Request date serial]]&lt;ValidationStart,"Train 2024",IF(tblWorkPackages[[#This Row],[Request date serial]]&lt;HoldoutStart,"Validation H1","Holdout H2"))</f>
        <v>Validation H1</v>
      </c>
      <c r="T2009" s="51">
        <f>IF(tblWorkPackages[[#This Row],[Time split]]="Train 2024","",tblWorkPackages[[#This Row],[Estimated labor hours]]+VLOOKUP(tblWorkPackages[[#This Row],[Task type]],'Forecast validation'!$A$14:$E$25,IF(tblWorkPackages[[#This Row],[Time split]]="Validation H1",4,5),FALSE()))</f>
        <v>6.2037037037037</v>
      </c>
      <c r="U2009" s="51">
        <f>IF(tblWorkPackages[[#This Row],[Calibrated forecast hours]]="","",ABS(tblWorkPackages[[#This Row],[Actual labor hours]]-tblWorkPackages[[#This Row],[Calibrated forecast hours]]))</f>
        <v>1.8037037037037</v>
      </c>
      <c r="V2009" s="51">
        <f>IF(tblWorkPackages[[#This Row],[Time split]]="Train 2024",tblWorkPackages[[#This Row],[Estimated labor hours]],tblWorkPackages[[#This Row],[Calibrated forecast hours]])</f>
        <v>6.2037037037037</v>
      </c>
      <c r="W2009" s="64">
        <f>DATEVALUE(tblWorkPackages[[#This Row],[Request date]])</f>
        <v>45818.0</v>
      </c>
      <c r="X2009" s="64">
        <f>DATEVALUE(tblWorkPackages[[#This Row],[Due date]])</f>
        <v>45831.0</v>
      </c>
      <c r="Y2009" s="64">
        <f>DATEVALUE(tblWorkPackages[[#This Row],[Completion date]])</f>
        <v>45824.0</v>
      </c>
      <c r="Z2009" s="64">
        <f>_xlfn.MINIFS(tblLaborEntries[Work date serial],tblLaborEntries[Work package ID],tblWorkPackages[[#This Row],[Work package ID]])</f>
        <v>45819.0</v>
      </c>
      <c r="AA2009" s="64">
        <f>_xlfn.MAXIFS(tblLaborEntries[Work date serial],tblLaborEntries[Work package ID],tblWorkPackages[[#This Row],[Work package ID]])</f>
        <v>45821.0</v>
      </c>
      <c r="AB2009" s="65">
        <f>IF(tblWorkPackages[[#This Row],[Completion date serial]]&gt;tblWorkPackages[[#This Row],[Due date serial]],1,0)</f>
        <v>0</v>
      </c>
      <c r="AC2009" s="65">
        <f>MAX(0,tblWorkPackages[[#This Row],[Completion date serial]]-tblWorkPackages[[#This Row],[Due date serial]])</f>
        <v>0</v>
      </c>
      <c r="AD2009" s="65">
        <f>tblWorkPackages[[#This Row],[First labor date]]-tblWorkPackages[[#This Row],[Request date serial]]</f>
        <v>1</v>
      </c>
      <c r="AE2009" s="65">
        <f>tblWorkPackages[[#This Row],[Last labor date]]-tblWorkPackages[[#This Row],[First labor date]]</f>
        <v>2</v>
      </c>
      <c r="AF2009" s="65">
        <f>tblWorkPackages[[#This Row],[Completion date serial]]-tblWorkPackages[[#This Row],[Last labor date]]</f>
        <v>3</v>
      </c>
      <c r="AG2009" s="65">
        <f>tblWorkPackages[[#This Row],[Completion date serial]]-tblWorkPackages[[#This Row],[Request date serial]]</f>
        <v>6</v>
      </c>
      <c r="AH2009" s="65">
        <f>IFERROR(INDEX(tblParts[Delay days],MATCH(tblWorkPackages[[#This Row],[Work package ID]],tblParts[Work package ID],0)),0)</f>
        <v>0</v>
      </c>
      <c r="AI2009" s="51" t="str">
        <f>IFERROR(INDEX(tblDisruptions[Event type],MATCH(tblWorkPackages[[#This Row],[Work package ID]],tblDisruptions[Work package ID],0)),"None")</f>
        <v>None</v>
      </c>
      <c r="AJ2009" s="51" t="str">
        <f>TEXT(tblWorkPackages[[#This Row],[Due date serial]],"yyyy-mm")</f>
        <v>2025-06</v>
      </c>
    </row>
    <row r="2010" spans="1:36" ht="15" x14ac:dyDescent="0.25">
      <c r="A2010" s="53" t="s">
        <v>2921</v>
      </c>
      <c r="B2010" s="53" t="s">
        <v>124</v>
      </c>
      <c r="C2010" s="53" t="s">
        <v>291</v>
      </c>
      <c r="D2010" s="53" t="s">
        <v>353</v>
      </c>
      <c r="E2010" s="53" t="s">
        <v>237</v>
      </c>
      <c r="F2010" s="53" t="s">
        <v>182</v>
      </c>
      <c r="G2010" s="53" t="s">
        <v>138</v>
      </c>
      <c r="H2010" s="53">
        <v>4</v>
      </c>
      <c r="I2010" s="53" t="s">
        <v>176</v>
      </c>
      <c r="J2010" s="53">
        <v>0</v>
      </c>
      <c r="K2010" s="53">
        <v>0</v>
      </c>
      <c r="L2010" s="53">
        <v>10.4</v>
      </c>
      <c r="M2010" s="53" t="s">
        <v>1288</v>
      </c>
      <c r="N2010" s="53">
        <v>9</v>
      </c>
      <c r="O2010" s="51" t="str">
        <f>TEXT(tblWorkPackages[[#This Row],[Request date serial]]-WEEKDAY(tblWorkPackages[[#This Row],[Request date serial]],3),"yyyy-mm-dd")</f>
        <v>2025-02-17</v>
      </c>
      <c r="P2010" s="51">
        <f>ABS(tblWorkPackages[[#This Row],[Actual labor hours]]-tblWorkPackages[[#This Row],[Estimated labor hours]])</f>
        <v>1.4</v>
      </c>
      <c r="Q2010" s="51">
        <f>IF(tblWorkPackages[[#This Row],[Actual labor hours]]&gt;tblWorkPackages[[#This Row],[Estimated labor hours]],1,0)</f>
        <v>0</v>
      </c>
      <c r="R2010" s="51">
        <f>tblWorkPackages[[#This Row],[Actual labor hours]]-tblWorkPackages[[#This Row],[Estimated labor hours]]</f>
        <v>-1.4</v>
      </c>
      <c r="S2010" s="51" t="str">
        <f>IF(tblWorkPackages[[#This Row],[Request date serial]]&lt;ValidationStart,"Train 2024",IF(tblWorkPackages[[#This Row],[Request date serial]]&lt;HoldoutStart,"Validation H1","Holdout H2"))</f>
        <v>Validation H1</v>
      </c>
      <c r="T2010" s="51">
        <f>IF(tblWorkPackages[[#This Row],[Time split]]="Train 2024","",tblWorkPackages[[#This Row],[Estimated labor hours]]+VLOOKUP(tblWorkPackages[[#This Row],[Task type]],'Forecast validation'!$A$14:$E$25,IF(tblWorkPackages[[#This Row],[Time split]]="Validation H1",4,5),FALSE()))</f>
        <v>10.9037037037037</v>
      </c>
      <c r="U2010" s="51">
        <f>IF(tblWorkPackages[[#This Row],[Calibrated forecast hours]]="","",ABS(tblWorkPackages[[#This Row],[Actual labor hours]]-tblWorkPackages[[#This Row],[Calibrated forecast hours]]))</f>
        <v>1.9037037037037</v>
      </c>
      <c r="V2010" s="51">
        <f>IF(tblWorkPackages[[#This Row],[Time split]]="Train 2024",tblWorkPackages[[#This Row],[Estimated labor hours]],tblWorkPackages[[#This Row],[Calibrated forecast hours]])</f>
        <v>10.9037037037037</v>
      </c>
      <c r="W2010" s="64">
        <f>DATEVALUE(tblWorkPackages[[#This Row],[Request date]])</f>
        <v>45709.0</v>
      </c>
      <c r="X2010" s="64">
        <f>DATEVALUE(tblWorkPackages[[#This Row],[Due date]])</f>
        <v>45715.0</v>
      </c>
      <c r="Y2010" s="64">
        <f>DATEVALUE(tblWorkPackages[[#This Row],[Completion date]])</f>
        <v>45720.0</v>
      </c>
      <c r="Z2010" s="64">
        <f>_xlfn.MINIFS(tblLaborEntries[Work date serial],tblLaborEntries[Work package ID],tblWorkPackages[[#This Row],[Work package ID]])</f>
        <v>45718.0</v>
      </c>
      <c r="AA2010" s="64">
        <f>_xlfn.MAXIFS(tblLaborEntries[Work date serial],tblLaborEntries[Work package ID],tblWorkPackages[[#This Row],[Work package ID]])</f>
        <v>45720.0</v>
      </c>
      <c r="AB2010" s="65">
        <f>IF(tblWorkPackages[[#This Row],[Completion date serial]]&gt;tblWorkPackages[[#This Row],[Due date serial]],1,0)</f>
        <v>1</v>
      </c>
      <c r="AC2010" s="65">
        <f>MAX(0,tblWorkPackages[[#This Row],[Completion date serial]]-tblWorkPackages[[#This Row],[Due date serial]])</f>
        <v>5</v>
      </c>
      <c r="AD2010" s="65">
        <f>tblWorkPackages[[#This Row],[First labor date]]-tblWorkPackages[[#This Row],[Request date serial]]</f>
        <v>9</v>
      </c>
      <c r="AE2010" s="65">
        <f>tblWorkPackages[[#This Row],[Last labor date]]-tblWorkPackages[[#This Row],[First labor date]]</f>
        <v>2</v>
      </c>
      <c r="AF2010" s="65">
        <f>tblWorkPackages[[#This Row],[Completion date serial]]-tblWorkPackages[[#This Row],[Last labor date]]</f>
        <v>0</v>
      </c>
      <c r="AG2010" s="65">
        <f>tblWorkPackages[[#This Row],[Completion date serial]]-tblWorkPackages[[#This Row],[Request date serial]]</f>
        <v>11</v>
      </c>
      <c r="AH2010" s="65">
        <f>IFERROR(INDEX(tblParts[Delay days],MATCH(tblWorkPackages[[#This Row],[Work package ID]],tblParts[Work package ID],0)),0)</f>
        <v>0</v>
      </c>
      <c r="AI2010" s="51" t="str">
        <f>IFERROR(INDEX(tblDisruptions[Event type],MATCH(tblWorkPackages[[#This Row],[Work package ID]],tblDisruptions[Work package ID],0)),"None")</f>
        <v>None</v>
      </c>
      <c r="AJ2010" s="51" t="str">
        <f>TEXT(tblWorkPackages[[#This Row],[Due date serial]],"yyyy-mm")</f>
        <v>2025-02</v>
      </c>
    </row>
    <row r="2011" spans="1:36" ht="15" x14ac:dyDescent="0.25">
      <c r="A2011" s="53" t="s">
        <v>2922</v>
      </c>
      <c r="B2011" s="53" t="s">
        <v>287</v>
      </c>
      <c r="C2011" s="53" t="s">
        <v>166</v>
      </c>
      <c r="D2011" s="53" t="s">
        <v>1024</v>
      </c>
      <c r="E2011" s="53" t="s">
        <v>237</v>
      </c>
      <c r="F2011" s="53" t="s">
        <v>182</v>
      </c>
      <c r="G2011" s="53" t="s">
        <v>138</v>
      </c>
      <c r="H2011" s="53">
        <v>3</v>
      </c>
      <c r="I2011" s="53" t="s">
        <v>176</v>
      </c>
      <c r="J2011" s="53">
        <v>0</v>
      </c>
      <c r="K2011" s="53">
        <v>0</v>
      </c>
      <c r="L2011" s="53">
        <v>7.3</v>
      </c>
      <c r="M2011" s="53" t="s">
        <v>642</v>
      </c>
      <c r="N2011" s="53">
        <v>5.9</v>
      </c>
      <c r="O2011" s="51" t="str">
        <f>TEXT(tblWorkPackages[[#This Row],[Request date serial]]-WEEKDAY(tblWorkPackages[[#This Row],[Request date serial]],3),"yyyy-mm-dd")</f>
        <v>2024-07-08</v>
      </c>
      <c r="P2011" s="51">
        <f>ABS(tblWorkPackages[[#This Row],[Actual labor hours]]-tblWorkPackages[[#This Row],[Estimated labor hours]])</f>
        <v>1.4</v>
      </c>
      <c r="Q2011" s="51">
        <f>IF(tblWorkPackages[[#This Row],[Actual labor hours]]&gt;tblWorkPackages[[#This Row],[Estimated labor hours]],1,0)</f>
        <v>0</v>
      </c>
      <c r="R2011" s="51">
        <f>tblWorkPackages[[#This Row],[Actual labor hours]]-tblWorkPackages[[#This Row],[Estimated labor hours]]</f>
        <v>-1.4</v>
      </c>
      <c r="S2011" s="51" t="str">
        <f>IF(tblWorkPackages[[#This Row],[Request date serial]]&lt;ValidationStart,"Train 2024",IF(tblWorkPackages[[#This Row],[Request date serial]]&lt;HoldoutStart,"Validation H1","Holdout H2"))</f>
        <v>Train 2024</v>
      </c>
      <c r="T2011" s="51" t="str">
        <f>IF(tblWorkPackages[[#This Row],[Time split]]="Train 2024","",tblWorkPackages[[#This Row],[Estimated labor hours]]+VLOOKUP(tblWorkPackages[[#This Row],[Task type]],'Forecast validation'!$A$14:$E$25,IF(tblWorkPackages[[#This Row],[Time split]]="Validation H1",4,5),FALSE()))</f>
        <v/>
      </c>
      <c r="U2011" s="51" t="str">
        <f>IF(tblWorkPackages[[#This Row],[Calibrated forecast hours]]="","",ABS(tblWorkPackages[[#This Row],[Actual labor hours]]-tblWorkPackages[[#This Row],[Calibrated forecast hours]]))</f>
        <v/>
      </c>
      <c r="V2011" s="51">
        <f>IF(tblWorkPackages[[#This Row],[Time split]]="Train 2024",tblWorkPackages[[#This Row],[Estimated labor hours]],tblWorkPackages[[#This Row],[Calibrated forecast hours]])</f>
        <v>7.3</v>
      </c>
      <c r="W2011" s="64">
        <f>DATEVALUE(tblWorkPackages[[#This Row],[Request date]])</f>
        <v>45485.0</v>
      </c>
      <c r="X2011" s="64">
        <f>DATEVALUE(tblWorkPackages[[#This Row],[Due date]])</f>
        <v>45491.0</v>
      </c>
      <c r="Y2011" s="64">
        <f>DATEVALUE(tblWorkPackages[[#This Row],[Completion date]])</f>
        <v>45488.0</v>
      </c>
      <c r="Z2011" s="64">
        <f>_xlfn.MINIFS(tblLaborEntries[Work date serial],tblLaborEntries[Work package ID],tblWorkPackages[[#This Row],[Work package ID]])</f>
        <v>45487.0</v>
      </c>
      <c r="AA2011" s="64">
        <f>_xlfn.MAXIFS(tblLaborEntries[Work date serial],tblLaborEntries[Work package ID],tblWorkPackages[[#This Row],[Work package ID]])</f>
        <v>45487.0</v>
      </c>
      <c r="AB2011" s="65">
        <f>IF(tblWorkPackages[[#This Row],[Completion date serial]]&gt;tblWorkPackages[[#This Row],[Due date serial]],1,0)</f>
        <v>0</v>
      </c>
      <c r="AC2011" s="65">
        <f>MAX(0,tblWorkPackages[[#This Row],[Completion date serial]]-tblWorkPackages[[#This Row],[Due date serial]])</f>
        <v>0</v>
      </c>
      <c r="AD2011" s="65">
        <f>tblWorkPackages[[#This Row],[First labor date]]-tblWorkPackages[[#This Row],[Request date serial]]</f>
        <v>2</v>
      </c>
      <c r="AE2011" s="65">
        <f>tblWorkPackages[[#This Row],[Last labor date]]-tblWorkPackages[[#This Row],[First labor date]]</f>
        <v>0</v>
      </c>
      <c r="AF2011" s="65">
        <f>tblWorkPackages[[#This Row],[Completion date serial]]-tblWorkPackages[[#This Row],[Last labor date]]</f>
        <v>1</v>
      </c>
      <c r="AG2011" s="65">
        <f>tblWorkPackages[[#This Row],[Completion date serial]]-tblWorkPackages[[#This Row],[Request date serial]]</f>
        <v>3</v>
      </c>
      <c r="AH2011" s="65">
        <f>IFERROR(INDEX(tblParts[Delay days],MATCH(tblWorkPackages[[#This Row],[Work package ID]],tblParts[Work package ID],0)),0)</f>
        <v>0</v>
      </c>
      <c r="AI2011" s="51" t="str">
        <f>IFERROR(INDEX(tblDisruptions[Event type],MATCH(tblWorkPackages[[#This Row],[Work package ID]],tblDisruptions[Work package ID],0)),"None")</f>
        <v>None</v>
      </c>
      <c r="AJ2011" s="51" t="str">
        <f>TEXT(tblWorkPackages[[#This Row],[Due date serial]],"yyyy-mm")</f>
        <v>2024-07</v>
      </c>
    </row>
    <row r="2012" spans="1:36" ht="15" x14ac:dyDescent="0.25">
      <c r="A2012" s="53" t="s">
        <v>2923</v>
      </c>
      <c r="B2012" s="53" t="s">
        <v>235</v>
      </c>
      <c r="C2012" s="53" t="s">
        <v>793</v>
      </c>
      <c r="D2012" s="53" t="s">
        <v>515</v>
      </c>
      <c r="E2012" s="53" t="s">
        <v>272</v>
      </c>
      <c r="F2012" s="53" t="s">
        <v>145</v>
      </c>
      <c r="G2012" s="53" t="s">
        <v>273</v>
      </c>
      <c r="H2012" s="53">
        <v>3</v>
      </c>
      <c r="I2012" s="53" t="s">
        <v>130</v>
      </c>
      <c r="J2012" s="53">
        <v>0</v>
      </c>
      <c r="K2012" s="53">
        <v>0</v>
      </c>
      <c r="L2012" s="53">
        <v>13.8</v>
      </c>
      <c r="M2012" s="53" t="s">
        <v>817</v>
      </c>
      <c r="N2012" s="53">
        <v>17.600000000000001</v>
      </c>
      <c r="O2012" s="51" t="str">
        <f>TEXT(tblWorkPackages[[#This Row],[Request date serial]]-WEEKDAY(tblWorkPackages[[#This Row],[Request date serial]],3),"yyyy-mm-dd")</f>
        <v>2024-11-11</v>
      </c>
      <c r="P2012" s="51">
        <f>ABS(tblWorkPackages[[#This Row],[Actual labor hours]]-tblWorkPackages[[#This Row],[Estimated labor hours]])</f>
        <v>3.8</v>
      </c>
      <c r="Q2012" s="51">
        <f>IF(tblWorkPackages[[#This Row],[Actual labor hours]]&gt;tblWorkPackages[[#This Row],[Estimated labor hours]],1,0)</f>
        <v>1</v>
      </c>
      <c r="R2012" s="51">
        <f>tblWorkPackages[[#This Row],[Actual labor hours]]-tblWorkPackages[[#This Row],[Estimated labor hours]]</f>
        <v>3.8</v>
      </c>
      <c r="S2012" s="51" t="str">
        <f>IF(tblWorkPackages[[#This Row],[Request date serial]]&lt;ValidationStart,"Train 2024",IF(tblWorkPackages[[#This Row],[Request date serial]]&lt;HoldoutStart,"Validation H1","Holdout H2"))</f>
        <v>Train 2024</v>
      </c>
      <c r="T2012" s="51" t="str">
        <f>IF(tblWorkPackages[[#This Row],[Time split]]="Train 2024","",tblWorkPackages[[#This Row],[Estimated labor hours]]+VLOOKUP(tblWorkPackages[[#This Row],[Task type]],'Forecast validation'!$A$14:$E$25,IF(tblWorkPackages[[#This Row],[Time split]]="Validation H1",4,5),FALSE()))</f>
        <v/>
      </c>
      <c r="U2012" s="51" t="str">
        <f>IF(tblWorkPackages[[#This Row],[Calibrated forecast hours]]="","",ABS(tblWorkPackages[[#This Row],[Actual labor hours]]-tblWorkPackages[[#This Row],[Calibrated forecast hours]]))</f>
        <v/>
      </c>
      <c r="V2012" s="51">
        <f>IF(tblWorkPackages[[#This Row],[Time split]]="Train 2024",tblWorkPackages[[#This Row],[Estimated labor hours]],tblWorkPackages[[#This Row],[Calibrated forecast hours]])</f>
        <v>13.8</v>
      </c>
      <c r="W2012" s="64">
        <f>DATEVALUE(tblWorkPackages[[#This Row],[Request date]])</f>
        <v>45608.0</v>
      </c>
      <c r="X2012" s="64">
        <f>DATEVALUE(tblWorkPackages[[#This Row],[Due date]])</f>
        <v>45621.0</v>
      </c>
      <c r="Y2012" s="64">
        <f>DATEVALUE(tblWorkPackages[[#This Row],[Completion date]])</f>
        <v>45637.0</v>
      </c>
      <c r="Z2012" s="64">
        <f>_xlfn.MINIFS(tblLaborEntries[Work date serial],tblLaborEntries[Work package ID],tblWorkPackages[[#This Row],[Work package ID]])</f>
        <v>45633.0</v>
      </c>
      <c r="AA2012" s="64">
        <f>_xlfn.MAXIFS(tblLaborEntries[Work date serial],tblLaborEntries[Work package ID],tblWorkPackages[[#This Row],[Work package ID]])</f>
        <v>45635.0</v>
      </c>
      <c r="AB2012" s="65">
        <f>IF(tblWorkPackages[[#This Row],[Completion date serial]]&gt;tblWorkPackages[[#This Row],[Due date serial]],1,0)</f>
        <v>1</v>
      </c>
      <c r="AC2012" s="65">
        <f>MAX(0,tblWorkPackages[[#This Row],[Completion date serial]]-tblWorkPackages[[#This Row],[Due date serial]])</f>
        <v>16</v>
      </c>
      <c r="AD2012" s="65">
        <f>tblWorkPackages[[#This Row],[First labor date]]-tblWorkPackages[[#This Row],[Request date serial]]</f>
        <v>25</v>
      </c>
      <c r="AE2012" s="65">
        <f>tblWorkPackages[[#This Row],[Last labor date]]-tblWorkPackages[[#This Row],[First labor date]]</f>
        <v>2</v>
      </c>
      <c r="AF2012" s="65">
        <f>tblWorkPackages[[#This Row],[Completion date serial]]-tblWorkPackages[[#This Row],[Last labor date]]</f>
        <v>2</v>
      </c>
      <c r="AG2012" s="65">
        <f>tblWorkPackages[[#This Row],[Completion date serial]]-tblWorkPackages[[#This Row],[Request date serial]]</f>
        <v>29</v>
      </c>
      <c r="AH2012" s="65">
        <f>IFERROR(INDEX(tblParts[Delay days],MATCH(tblWorkPackages[[#This Row],[Work package ID]],tblParts[Work package ID],0)),0)</f>
        <v>0</v>
      </c>
      <c r="AI2012" s="51" t="str">
        <f>IFERROR(INDEX(tblDisruptions[Event type],MATCH(tblWorkPackages[[#This Row],[Work package ID]],tblDisruptions[Work package ID],0)),"None")</f>
        <v>Repeat inspection</v>
      </c>
      <c r="AJ2012" s="51" t="str">
        <f>TEXT(tblWorkPackages[[#This Row],[Due date serial]],"yyyy-mm")</f>
        <v>2024-11</v>
      </c>
    </row>
    <row r="2013" spans="1:36" ht="15" x14ac:dyDescent="0.25">
      <c r="A2013" s="53" t="s">
        <v>2924</v>
      </c>
      <c r="B2013" s="53" t="s">
        <v>230</v>
      </c>
      <c r="C2013" s="53" t="s">
        <v>1184</v>
      </c>
      <c r="D2013" s="53" t="s">
        <v>709</v>
      </c>
      <c r="E2013" s="53" t="s">
        <v>223</v>
      </c>
      <c r="F2013" s="53" t="s">
        <v>182</v>
      </c>
      <c r="G2013" s="53" t="s">
        <v>154</v>
      </c>
      <c r="H2013" s="53">
        <v>4</v>
      </c>
      <c r="I2013" s="53" t="s">
        <v>176</v>
      </c>
      <c r="J2013" s="53">
        <v>0</v>
      </c>
      <c r="K2013" s="53">
        <v>0</v>
      </c>
      <c r="L2013" s="53">
        <v>26.5</v>
      </c>
      <c r="M2013" s="53" t="s">
        <v>2009</v>
      </c>
      <c r="N2013" s="53">
        <v>30.7</v>
      </c>
      <c r="O2013" s="51" t="str">
        <f>TEXT(tblWorkPackages[[#This Row],[Request date serial]]-WEEKDAY(tblWorkPackages[[#This Row],[Request date serial]],3),"yyyy-mm-dd")</f>
        <v>2025-05-19</v>
      </c>
      <c r="P2013" s="51">
        <f>ABS(tblWorkPackages[[#This Row],[Actual labor hours]]-tblWorkPackages[[#This Row],[Estimated labor hours]])</f>
        <v>4.2</v>
      </c>
      <c r="Q2013" s="51">
        <f>IF(tblWorkPackages[[#This Row],[Actual labor hours]]&gt;tblWorkPackages[[#This Row],[Estimated labor hours]],1,0)</f>
        <v>1</v>
      </c>
      <c r="R2013" s="51">
        <f>tblWorkPackages[[#This Row],[Actual labor hours]]-tblWorkPackages[[#This Row],[Estimated labor hours]]</f>
        <v>4.2</v>
      </c>
      <c r="S2013" s="51" t="str">
        <f>IF(tblWorkPackages[[#This Row],[Request date serial]]&lt;ValidationStart,"Train 2024",IF(tblWorkPackages[[#This Row],[Request date serial]]&lt;HoldoutStart,"Validation H1","Holdout H2"))</f>
        <v>Validation H1</v>
      </c>
      <c r="T2013" s="51">
        <f>IF(tblWorkPackages[[#This Row],[Time split]]="Train 2024","",tblWorkPackages[[#This Row],[Estimated labor hours]]+VLOOKUP(tblWorkPackages[[#This Row],[Task type]],'Forecast validation'!$A$14:$E$25,IF(tblWorkPackages[[#This Row],[Time split]]="Validation H1",4,5),FALSE()))</f>
        <v>27.3824175824176</v>
      </c>
      <c r="U2013" s="51">
        <f>IF(tblWorkPackages[[#This Row],[Calibrated forecast hours]]="","",ABS(tblWorkPackages[[#This Row],[Actual labor hours]]-tblWorkPackages[[#This Row],[Calibrated forecast hours]]))</f>
        <v>3.31758241758242</v>
      </c>
      <c r="V2013" s="51">
        <f>IF(tblWorkPackages[[#This Row],[Time split]]="Train 2024",tblWorkPackages[[#This Row],[Estimated labor hours]],tblWorkPackages[[#This Row],[Calibrated forecast hours]])</f>
        <v>27.3824175824176</v>
      </c>
      <c r="W2013" s="64">
        <f>DATEVALUE(tblWorkPackages[[#This Row],[Request date]])</f>
        <v>45802.0</v>
      </c>
      <c r="X2013" s="64">
        <f>DATEVALUE(tblWorkPackages[[#This Row],[Due date]])</f>
        <v>45808.0</v>
      </c>
      <c r="Y2013" s="64">
        <f>DATEVALUE(tblWorkPackages[[#This Row],[Completion date]])</f>
        <v>45810.0</v>
      </c>
      <c r="Z2013" s="64">
        <f>_xlfn.MINIFS(tblLaborEntries[Work date serial],tblLaborEntries[Work package ID],tblWorkPackages[[#This Row],[Work package ID]])</f>
        <v>45806.0</v>
      </c>
      <c r="AA2013" s="64">
        <f>_xlfn.MAXIFS(tblLaborEntries[Work date serial],tblLaborEntries[Work package ID],tblWorkPackages[[#This Row],[Work package ID]])</f>
        <v>45807.0</v>
      </c>
      <c r="AB2013" s="65">
        <f>IF(tblWorkPackages[[#This Row],[Completion date serial]]&gt;tblWorkPackages[[#This Row],[Due date serial]],1,0)</f>
        <v>1</v>
      </c>
      <c r="AC2013" s="65">
        <f>MAX(0,tblWorkPackages[[#This Row],[Completion date serial]]-tblWorkPackages[[#This Row],[Due date serial]])</f>
        <v>2</v>
      </c>
      <c r="AD2013" s="65">
        <f>tblWorkPackages[[#This Row],[First labor date]]-tblWorkPackages[[#This Row],[Request date serial]]</f>
        <v>4</v>
      </c>
      <c r="AE2013" s="65">
        <f>tblWorkPackages[[#This Row],[Last labor date]]-tblWorkPackages[[#This Row],[First labor date]]</f>
        <v>1</v>
      </c>
      <c r="AF2013" s="65">
        <f>tblWorkPackages[[#This Row],[Completion date serial]]-tblWorkPackages[[#This Row],[Last labor date]]</f>
        <v>3</v>
      </c>
      <c r="AG2013" s="65">
        <f>tblWorkPackages[[#This Row],[Completion date serial]]-tblWorkPackages[[#This Row],[Request date serial]]</f>
        <v>8</v>
      </c>
      <c r="AH2013" s="65">
        <f>IFERROR(INDEX(tblParts[Delay days],MATCH(tblWorkPackages[[#This Row],[Work package ID]],tblParts[Work package ID],0)),0)</f>
        <v>0</v>
      </c>
      <c r="AI2013" s="51" t="str">
        <f>IFERROR(INDEX(tblDisruptions[Event type],MATCH(tblWorkPackages[[#This Row],[Work package ID]],tblDisruptions[Work package ID],0)),"None")</f>
        <v>None</v>
      </c>
      <c r="AJ2013" s="51" t="str">
        <f>TEXT(tblWorkPackages[[#This Row],[Due date serial]],"yyyy-mm")</f>
        <v>2025-05</v>
      </c>
    </row>
    <row r="2014" spans="1:36" ht="15" x14ac:dyDescent="0.25">
      <c r="A2014" s="53" t="s">
        <v>2925</v>
      </c>
      <c r="B2014" s="53" t="s">
        <v>141</v>
      </c>
      <c r="C2014" s="53" t="s">
        <v>894</v>
      </c>
      <c r="D2014" s="53" t="s">
        <v>895</v>
      </c>
      <c r="E2014" s="53" t="s">
        <v>272</v>
      </c>
      <c r="F2014" s="53" t="s">
        <v>145</v>
      </c>
      <c r="G2014" s="53" t="s">
        <v>273</v>
      </c>
      <c r="H2014" s="53">
        <v>1</v>
      </c>
      <c r="I2014" s="53" t="s">
        <v>176</v>
      </c>
      <c r="J2014" s="53">
        <v>0</v>
      </c>
      <c r="K2014" s="53">
        <v>1</v>
      </c>
      <c r="L2014" s="53">
        <v>6.7</v>
      </c>
      <c r="M2014" s="53" t="s">
        <v>1135</v>
      </c>
      <c r="N2014" s="53">
        <v>7.5</v>
      </c>
      <c r="O2014" s="51" t="str">
        <f>TEXT(tblWorkPackages[[#This Row],[Request date serial]]-WEEKDAY(tblWorkPackages[[#This Row],[Request date serial]],3),"yyyy-mm-dd")</f>
        <v>2024-09-09</v>
      </c>
      <c r="P2014" s="51">
        <f>ABS(tblWorkPackages[[#This Row],[Actual labor hours]]-tblWorkPackages[[#This Row],[Estimated labor hours]])</f>
        <v>0.8</v>
      </c>
      <c r="Q2014" s="51">
        <f>IF(tblWorkPackages[[#This Row],[Actual labor hours]]&gt;tblWorkPackages[[#This Row],[Estimated labor hours]],1,0)</f>
        <v>1</v>
      </c>
      <c r="R2014" s="51">
        <f>tblWorkPackages[[#This Row],[Actual labor hours]]-tblWorkPackages[[#This Row],[Estimated labor hours]]</f>
        <v>0.8</v>
      </c>
      <c r="S2014" s="51" t="str">
        <f>IF(tblWorkPackages[[#This Row],[Request date serial]]&lt;ValidationStart,"Train 2024",IF(tblWorkPackages[[#This Row],[Request date serial]]&lt;HoldoutStart,"Validation H1","Holdout H2"))</f>
        <v>Train 2024</v>
      </c>
      <c r="T2014" s="51" t="str">
        <f>IF(tblWorkPackages[[#This Row],[Time split]]="Train 2024","",tblWorkPackages[[#This Row],[Estimated labor hours]]+VLOOKUP(tblWorkPackages[[#This Row],[Task type]],'Forecast validation'!$A$14:$E$25,IF(tblWorkPackages[[#This Row],[Time split]]="Validation H1",4,5),FALSE()))</f>
        <v/>
      </c>
      <c r="U2014" s="51" t="str">
        <f>IF(tblWorkPackages[[#This Row],[Calibrated forecast hours]]="","",ABS(tblWorkPackages[[#This Row],[Actual labor hours]]-tblWorkPackages[[#This Row],[Calibrated forecast hours]]))</f>
        <v/>
      </c>
      <c r="V2014" s="51">
        <f>IF(tblWorkPackages[[#This Row],[Time split]]="Train 2024",tblWorkPackages[[#This Row],[Estimated labor hours]],tblWorkPackages[[#This Row],[Calibrated forecast hours]])</f>
        <v>6.7</v>
      </c>
      <c r="W2014" s="64">
        <f>DATEVALUE(tblWorkPackages[[#This Row],[Request date]])</f>
        <v>45547.0</v>
      </c>
      <c r="X2014" s="64">
        <f>DATEVALUE(tblWorkPackages[[#This Row],[Due date]])</f>
        <v>45553.0</v>
      </c>
      <c r="Y2014" s="64">
        <f>DATEVALUE(tblWorkPackages[[#This Row],[Completion date]])</f>
        <v>45560.0</v>
      </c>
      <c r="Z2014" s="64">
        <f>_xlfn.MINIFS(tblLaborEntries[Work date serial],tblLaborEntries[Work package ID],tblWorkPackages[[#This Row],[Work package ID]])</f>
        <v>45558.0</v>
      </c>
      <c r="AA2014" s="64">
        <f>_xlfn.MAXIFS(tblLaborEntries[Work date serial],tblLaborEntries[Work package ID],tblWorkPackages[[#This Row],[Work package ID]])</f>
        <v>45560.0</v>
      </c>
      <c r="AB2014" s="65">
        <f>IF(tblWorkPackages[[#This Row],[Completion date serial]]&gt;tblWorkPackages[[#This Row],[Due date serial]],1,0)</f>
        <v>1</v>
      </c>
      <c r="AC2014" s="65">
        <f>MAX(0,tblWorkPackages[[#This Row],[Completion date serial]]-tblWorkPackages[[#This Row],[Due date serial]])</f>
        <v>7</v>
      </c>
      <c r="AD2014" s="65">
        <f>tblWorkPackages[[#This Row],[First labor date]]-tblWorkPackages[[#This Row],[Request date serial]]</f>
        <v>11</v>
      </c>
      <c r="AE2014" s="65">
        <f>tblWorkPackages[[#This Row],[Last labor date]]-tblWorkPackages[[#This Row],[First labor date]]</f>
        <v>2</v>
      </c>
      <c r="AF2014" s="65">
        <f>tblWorkPackages[[#This Row],[Completion date serial]]-tblWorkPackages[[#This Row],[Last labor date]]</f>
        <v>0</v>
      </c>
      <c r="AG2014" s="65">
        <f>tblWorkPackages[[#This Row],[Completion date serial]]-tblWorkPackages[[#This Row],[Request date serial]]</f>
        <v>13</v>
      </c>
      <c r="AH2014" s="65">
        <f>IFERROR(INDEX(tblParts[Delay days],MATCH(tblWorkPackages[[#This Row],[Work package ID]],tblParts[Work package ID],0)),0)</f>
        <v>10</v>
      </c>
      <c r="AI2014" s="51" t="str">
        <f>IFERROR(INDEX(tblDisruptions[Event type],MATCH(tblWorkPackages[[#This Row],[Work package ID]],tblDisruptions[Work package ID],0)),"None")</f>
        <v>Part delay</v>
      </c>
      <c r="AJ2014" s="51" t="str">
        <f>TEXT(tblWorkPackages[[#This Row],[Due date serial]],"yyyy-mm")</f>
        <v>2024-09</v>
      </c>
    </row>
    <row r="2015" spans="1:36" ht="15" x14ac:dyDescent="0.25">
      <c r="A2015" s="53" t="s">
        <v>2926</v>
      </c>
      <c r="B2015" s="53" t="s">
        <v>124</v>
      </c>
      <c r="C2015" s="53" t="s">
        <v>413</v>
      </c>
      <c r="D2015" s="53" t="s">
        <v>859</v>
      </c>
      <c r="E2015" s="53" t="s">
        <v>153</v>
      </c>
      <c r="F2015" s="53" t="s">
        <v>128</v>
      </c>
      <c r="G2015" s="53" t="s">
        <v>154</v>
      </c>
      <c r="H2015" s="53">
        <v>2</v>
      </c>
      <c r="I2015" s="53" t="s">
        <v>147</v>
      </c>
      <c r="J2015" s="53">
        <v>0</v>
      </c>
      <c r="K2015" s="53">
        <v>1</v>
      </c>
      <c r="L2015" s="53">
        <v>10.7</v>
      </c>
      <c r="M2015" s="53" t="s">
        <v>966</v>
      </c>
      <c r="N2015" s="53">
        <v>12.9</v>
      </c>
      <c r="O2015" s="51" t="str">
        <f>TEXT(tblWorkPackages[[#This Row],[Request date serial]]-WEEKDAY(tblWorkPackages[[#This Row],[Request date serial]],3),"yyyy-mm-dd")</f>
        <v>2025-02-24</v>
      </c>
      <c r="P2015" s="51">
        <f>ABS(tblWorkPackages[[#This Row],[Actual labor hours]]-tblWorkPackages[[#This Row],[Estimated labor hours]])</f>
        <v>2.2</v>
      </c>
      <c r="Q2015" s="51">
        <f>IF(tblWorkPackages[[#This Row],[Actual labor hours]]&gt;tblWorkPackages[[#This Row],[Estimated labor hours]],1,0)</f>
        <v>1</v>
      </c>
      <c r="R2015" s="51">
        <f>tblWorkPackages[[#This Row],[Actual labor hours]]-tblWorkPackages[[#This Row],[Estimated labor hours]]</f>
        <v>2.2</v>
      </c>
      <c r="S2015" s="51" t="str">
        <f>IF(tblWorkPackages[[#This Row],[Request date serial]]&lt;ValidationStart,"Train 2024",IF(tblWorkPackages[[#This Row],[Request date serial]]&lt;HoldoutStart,"Validation H1","Holdout H2"))</f>
        <v>Validation H1</v>
      </c>
      <c r="T2015" s="51">
        <f>IF(tblWorkPackages[[#This Row],[Time split]]="Train 2024","",tblWorkPackages[[#This Row],[Estimated labor hours]]+VLOOKUP(tblWorkPackages[[#This Row],[Task type]],'Forecast validation'!$A$14:$E$25,IF(tblWorkPackages[[#This Row],[Time split]]="Validation H1",4,5),FALSE()))</f>
        <v>11.2462264150943</v>
      </c>
      <c r="U2015" s="51">
        <f>IF(tblWorkPackages[[#This Row],[Calibrated forecast hours]]="","",ABS(tblWorkPackages[[#This Row],[Actual labor hours]]-tblWorkPackages[[#This Row],[Calibrated forecast hours]]))</f>
        <v>1.65377358490566</v>
      </c>
      <c r="V2015" s="51">
        <f>IF(tblWorkPackages[[#This Row],[Time split]]="Train 2024",tblWorkPackages[[#This Row],[Estimated labor hours]],tblWorkPackages[[#This Row],[Calibrated forecast hours]])</f>
        <v>11.2462264150943</v>
      </c>
      <c r="W2015" s="64">
        <f>DATEVALUE(tblWorkPackages[[#This Row],[Request date]])</f>
        <v>45717.0</v>
      </c>
      <c r="X2015" s="64">
        <f>DATEVALUE(tblWorkPackages[[#This Row],[Due date]])</f>
        <v>45719.0</v>
      </c>
      <c r="Y2015" s="64">
        <f>DATEVALUE(tblWorkPackages[[#This Row],[Completion date]])</f>
        <v>45733.0</v>
      </c>
      <c r="Z2015" s="64">
        <f>_xlfn.MINIFS(tblLaborEntries[Work date serial],tblLaborEntries[Work package ID],tblWorkPackages[[#This Row],[Work package ID]])</f>
        <v>45730.0</v>
      </c>
      <c r="AA2015" s="64">
        <f>_xlfn.MAXIFS(tblLaborEntries[Work date serial],tblLaborEntries[Work package ID],tblWorkPackages[[#This Row],[Work package ID]])</f>
        <v>45732.0</v>
      </c>
      <c r="AB2015" s="65">
        <f>IF(tblWorkPackages[[#This Row],[Completion date serial]]&gt;tblWorkPackages[[#This Row],[Due date serial]],1,0)</f>
        <v>1</v>
      </c>
      <c r="AC2015" s="65">
        <f>MAX(0,tblWorkPackages[[#This Row],[Completion date serial]]-tblWorkPackages[[#This Row],[Due date serial]])</f>
        <v>14</v>
      </c>
      <c r="AD2015" s="65">
        <f>tblWorkPackages[[#This Row],[First labor date]]-tblWorkPackages[[#This Row],[Request date serial]]</f>
        <v>13</v>
      </c>
      <c r="AE2015" s="65">
        <f>tblWorkPackages[[#This Row],[Last labor date]]-tblWorkPackages[[#This Row],[First labor date]]</f>
        <v>2</v>
      </c>
      <c r="AF2015" s="65">
        <f>tblWorkPackages[[#This Row],[Completion date serial]]-tblWorkPackages[[#This Row],[Last labor date]]</f>
        <v>1</v>
      </c>
      <c r="AG2015" s="65">
        <f>tblWorkPackages[[#This Row],[Completion date serial]]-tblWorkPackages[[#This Row],[Request date serial]]</f>
        <v>16</v>
      </c>
      <c r="AH2015" s="65">
        <f>IFERROR(INDEX(tblParts[Delay days],MATCH(tblWorkPackages[[#This Row],[Work package ID]],tblParts[Work package ID],0)),0)</f>
        <v>0</v>
      </c>
      <c r="AI2015" s="51" t="str">
        <f>IFERROR(INDEX(tblDisruptions[Event type],MATCH(tblWorkPackages[[#This Row],[Work package ID]],tblDisruptions[Work package ID],0)),"None")</f>
        <v>None</v>
      </c>
      <c r="AJ2015" s="51" t="str">
        <f>TEXT(tblWorkPackages[[#This Row],[Due date serial]],"yyyy-mm")</f>
        <v>2025-03</v>
      </c>
    </row>
    <row r="2016" spans="1:36" ht="15" x14ac:dyDescent="0.25">
      <c r="A2016" s="53" t="s">
        <v>2927</v>
      </c>
      <c r="B2016" s="53" t="s">
        <v>141</v>
      </c>
      <c r="C2016" s="53" t="s">
        <v>926</v>
      </c>
      <c r="D2016" s="53" t="s">
        <v>839</v>
      </c>
      <c r="E2016" s="53" t="s">
        <v>136</v>
      </c>
      <c r="F2016" s="53" t="s">
        <v>137</v>
      </c>
      <c r="G2016" s="53" t="s">
        <v>138</v>
      </c>
      <c r="H2016" s="53">
        <v>3</v>
      </c>
      <c r="I2016" s="53" t="s">
        <v>176</v>
      </c>
      <c r="J2016" s="53">
        <v>0</v>
      </c>
      <c r="K2016" s="53">
        <v>1</v>
      </c>
      <c r="L2016" s="53">
        <v>20.399999999999999</v>
      </c>
      <c r="M2016" s="53" t="s">
        <v>1053</v>
      </c>
      <c r="N2016" s="53">
        <v>21.2</v>
      </c>
      <c r="O2016" s="51" t="str">
        <f>TEXT(tblWorkPackages[[#This Row],[Request date serial]]-WEEKDAY(tblWorkPackages[[#This Row],[Request date serial]],3),"yyyy-mm-dd")</f>
        <v>2024-02-12</v>
      </c>
      <c r="P2016" s="51">
        <f>ABS(tblWorkPackages[[#This Row],[Actual labor hours]]-tblWorkPackages[[#This Row],[Estimated labor hours]])</f>
        <v>0.800000000000001</v>
      </c>
      <c r="Q2016" s="51">
        <f>IF(tblWorkPackages[[#This Row],[Actual labor hours]]&gt;tblWorkPackages[[#This Row],[Estimated labor hours]],1,0)</f>
        <v>1</v>
      </c>
      <c r="R2016" s="51">
        <f>tblWorkPackages[[#This Row],[Actual labor hours]]-tblWorkPackages[[#This Row],[Estimated labor hours]]</f>
        <v>0.800000000000001</v>
      </c>
      <c r="S2016" s="51" t="str">
        <f>IF(tblWorkPackages[[#This Row],[Request date serial]]&lt;ValidationStart,"Train 2024",IF(tblWorkPackages[[#This Row],[Request date serial]]&lt;HoldoutStart,"Validation H1","Holdout H2"))</f>
        <v>Train 2024</v>
      </c>
      <c r="T2016" s="51" t="str">
        <f>IF(tblWorkPackages[[#This Row],[Time split]]="Train 2024","",tblWorkPackages[[#This Row],[Estimated labor hours]]+VLOOKUP(tblWorkPackages[[#This Row],[Task type]],'Forecast validation'!$A$14:$E$25,IF(tblWorkPackages[[#This Row],[Time split]]="Validation H1",4,5),FALSE()))</f>
        <v/>
      </c>
      <c r="U2016" s="51" t="str">
        <f>IF(tblWorkPackages[[#This Row],[Calibrated forecast hours]]="","",ABS(tblWorkPackages[[#This Row],[Actual labor hours]]-tblWorkPackages[[#This Row],[Calibrated forecast hours]]))</f>
        <v/>
      </c>
      <c r="V2016" s="51">
        <f>IF(tblWorkPackages[[#This Row],[Time split]]="Train 2024",tblWorkPackages[[#This Row],[Estimated labor hours]],tblWorkPackages[[#This Row],[Calibrated forecast hours]])</f>
        <v>20.4</v>
      </c>
      <c r="W2016" s="64">
        <f>DATEVALUE(tblWorkPackages[[#This Row],[Request date]])</f>
        <v>45340.0</v>
      </c>
      <c r="X2016" s="64">
        <f>DATEVALUE(tblWorkPackages[[#This Row],[Due date]])</f>
        <v>45346.0</v>
      </c>
      <c r="Y2016" s="64">
        <f>DATEVALUE(tblWorkPackages[[#This Row],[Completion date]])</f>
        <v>45345.0</v>
      </c>
      <c r="Z2016" s="64">
        <f>_xlfn.MINIFS(tblLaborEntries[Work date serial],tblLaborEntries[Work package ID],tblWorkPackages[[#This Row],[Work package ID]])</f>
        <v>45343.0</v>
      </c>
      <c r="AA2016" s="64">
        <f>_xlfn.MAXIFS(tblLaborEntries[Work date serial],tblLaborEntries[Work package ID],tblWorkPackages[[#This Row],[Work package ID]])</f>
        <v>45343.0</v>
      </c>
      <c r="AB2016" s="65">
        <f>IF(tblWorkPackages[[#This Row],[Completion date serial]]&gt;tblWorkPackages[[#This Row],[Due date serial]],1,0)</f>
        <v>0</v>
      </c>
      <c r="AC2016" s="65">
        <f>MAX(0,tblWorkPackages[[#This Row],[Completion date serial]]-tblWorkPackages[[#This Row],[Due date serial]])</f>
        <v>0</v>
      </c>
      <c r="AD2016" s="65">
        <f>tblWorkPackages[[#This Row],[First labor date]]-tblWorkPackages[[#This Row],[Request date serial]]</f>
        <v>3</v>
      </c>
      <c r="AE2016" s="65">
        <f>tblWorkPackages[[#This Row],[Last labor date]]-tblWorkPackages[[#This Row],[First labor date]]</f>
        <v>0</v>
      </c>
      <c r="AF2016" s="65">
        <f>tblWorkPackages[[#This Row],[Completion date serial]]-tblWorkPackages[[#This Row],[Last labor date]]</f>
        <v>2</v>
      </c>
      <c r="AG2016" s="65">
        <f>tblWorkPackages[[#This Row],[Completion date serial]]-tblWorkPackages[[#This Row],[Request date serial]]</f>
        <v>5</v>
      </c>
      <c r="AH2016" s="65">
        <f>IFERROR(INDEX(tblParts[Delay days],MATCH(tblWorkPackages[[#This Row],[Work package ID]],tblParts[Work package ID],0)),0)</f>
        <v>0</v>
      </c>
      <c r="AI2016" s="51" t="str">
        <f>IFERROR(INDEX(tblDisruptions[Event type],MATCH(tblWorkPackages[[#This Row],[Work package ID]],tblDisruptions[Work package ID],0)),"None")</f>
        <v>None</v>
      </c>
      <c r="AJ2016" s="51" t="str">
        <f>TEXT(tblWorkPackages[[#This Row],[Due date serial]],"yyyy-mm")</f>
        <v>2024-02</v>
      </c>
    </row>
    <row r="2017" spans="1:36" ht="15" x14ac:dyDescent="0.25">
      <c r="A2017" s="53" t="s">
        <v>2928</v>
      </c>
      <c r="B2017" s="53" t="s">
        <v>133</v>
      </c>
      <c r="C2017" s="53" t="s">
        <v>221</v>
      </c>
      <c r="D2017" s="53" t="s">
        <v>586</v>
      </c>
      <c r="E2017" s="53" t="s">
        <v>237</v>
      </c>
      <c r="F2017" s="53" t="s">
        <v>182</v>
      </c>
      <c r="G2017" s="53" t="s">
        <v>138</v>
      </c>
      <c r="H2017" s="53">
        <v>4</v>
      </c>
      <c r="I2017" s="53" t="s">
        <v>130</v>
      </c>
      <c r="J2017" s="53">
        <v>1</v>
      </c>
      <c r="K2017" s="53">
        <v>0</v>
      </c>
      <c r="L2017" s="53">
        <v>8.6999999999999993</v>
      </c>
      <c r="M2017" s="53" t="s">
        <v>504</v>
      </c>
      <c r="N2017" s="53">
        <v>10.1</v>
      </c>
      <c r="O2017" s="51" t="str">
        <f>TEXT(tblWorkPackages[[#This Row],[Request date serial]]-WEEKDAY(tblWorkPackages[[#This Row],[Request date serial]],3),"yyyy-mm-dd")</f>
        <v>2024-12-16</v>
      </c>
      <c r="P2017" s="51">
        <f>ABS(tblWorkPackages[[#This Row],[Actual labor hours]]-tblWorkPackages[[#This Row],[Estimated labor hours]])</f>
        <v>1.4</v>
      </c>
      <c r="Q2017" s="51">
        <f>IF(tblWorkPackages[[#This Row],[Actual labor hours]]&gt;tblWorkPackages[[#This Row],[Estimated labor hours]],1,0)</f>
        <v>1</v>
      </c>
      <c r="R2017" s="51">
        <f>tblWorkPackages[[#This Row],[Actual labor hours]]-tblWorkPackages[[#This Row],[Estimated labor hours]]</f>
        <v>1.4</v>
      </c>
      <c r="S2017" s="51" t="str">
        <f>IF(tblWorkPackages[[#This Row],[Request date serial]]&lt;ValidationStart,"Train 2024",IF(tblWorkPackages[[#This Row],[Request date serial]]&lt;HoldoutStart,"Validation H1","Holdout H2"))</f>
        <v>Train 2024</v>
      </c>
      <c r="T2017" s="51" t="str">
        <f>IF(tblWorkPackages[[#This Row],[Time split]]="Train 2024","",tblWorkPackages[[#This Row],[Estimated labor hours]]+VLOOKUP(tblWorkPackages[[#This Row],[Task type]],'Forecast validation'!$A$14:$E$25,IF(tblWorkPackages[[#This Row],[Time split]]="Validation H1",4,5),FALSE()))</f>
        <v/>
      </c>
      <c r="U2017" s="51" t="str">
        <f>IF(tblWorkPackages[[#This Row],[Calibrated forecast hours]]="","",ABS(tblWorkPackages[[#This Row],[Actual labor hours]]-tblWorkPackages[[#This Row],[Calibrated forecast hours]]))</f>
        <v/>
      </c>
      <c r="V2017" s="51">
        <f>IF(tblWorkPackages[[#This Row],[Time split]]="Train 2024",tblWorkPackages[[#This Row],[Estimated labor hours]],tblWorkPackages[[#This Row],[Calibrated forecast hours]])</f>
        <v>8.7</v>
      </c>
      <c r="W2017" s="64">
        <f>DATEVALUE(tblWorkPackages[[#This Row],[Request date]])</f>
        <v>45645.0</v>
      </c>
      <c r="X2017" s="64">
        <f>DATEVALUE(tblWorkPackages[[#This Row],[Due date]])</f>
        <v>45658.0</v>
      </c>
      <c r="Y2017" s="64">
        <f>DATEVALUE(tblWorkPackages[[#This Row],[Completion date]])</f>
        <v>45689.0</v>
      </c>
      <c r="Z2017" s="64">
        <f>_xlfn.MINIFS(tblLaborEntries[Work date serial],tblLaborEntries[Work package ID],tblWorkPackages[[#This Row],[Work package ID]])</f>
        <v>45685.0</v>
      </c>
      <c r="AA2017" s="64">
        <f>_xlfn.MAXIFS(tblLaborEntries[Work date serial],tblLaborEntries[Work package ID],tblWorkPackages[[#This Row],[Work package ID]])</f>
        <v>45686.0</v>
      </c>
      <c r="AB2017" s="65">
        <f>IF(tblWorkPackages[[#This Row],[Completion date serial]]&gt;tblWorkPackages[[#This Row],[Due date serial]],1,0)</f>
        <v>1</v>
      </c>
      <c r="AC2017" s="65">
        <f>MAX(0,tblWorkPackages[[#This Row],[Completion date serial]]-tblWorkPackages[[#This Row],[Due date serial]])</f>
        <v>31</v>
      </c>
      <c r="AD2017" s="65">
        <f>tblWorkPackages[[#This Row],[First labor date]]-tblWorkPackages[[#This Row],[Request date serial]]</f>
        <v>40</v>
      </c>
      <c r="AE2017" s="65">
        <f>tblWorkPackages[[#This Row],[Last labor date]]-tblWorkPackages[[#This Row],[First labor date]]</f>
        <v>1</v>
      </c>
      <c r="AF2017" s="65">
        <f>tblWorkPackages[[#This Row],[Completion date serial]]-tblWorkPackages[[#This Row],[Last labor date]]</f>
        <v>3</v>
      </c>
      <c r="AG2017" s="65">
        <f>tblWorkPackages[[#This Row],[Completion date serial]]-tblWorkPackages[[#This Row],[Request date serial]]</f>
        <v>44</v>
      </c>
      <c r="AH2017" s="65">
        <f>IFERROR(INDEX(tblParts[Delay days],MATCH(tblWorkPackages[[#This Row],[Work package ID]],tblParts[Work package ID],0)),0)</f>
        <v>0</v>
      </c>
      <c r="AI2017" s="51" t="str">
        <f>IFERROR(INDEX(tblDisruptions[Event type],MATCH(tblWorkPackages[[#This Row],[Work package ID]],tblDisruptions[Work package ID],0)),"None")</f>
        <v>None</v>
      </c>
      <c r="AJ2017" s="51" t="str">
        <f>TEXT(tblWorkPackages[[#This Row],[Due date serial]],"yyyy-mm")</f>
        <v>2025-01</v>
      </c>
    </row>
    <row r="2018" spans="1:36" ht="15" x14ac:dyDescent="0.25">
      <c r="A2018" s="53" t="s">
        <v>2929</v>
      </c>
      <c r="B2018" s="53" t="s">
        <v>124</v>
      </c>
      <c r="C2018" s="53" t="s">
        <v>433</v>
      </c>
      <c r="D2018" s="53" t="s">
        <v>1136</v>
      </c>
      <c r="E2018" s="53" t="s">
        <v>223</v>
      </c>
      <c r="F2018" s="53" t="s">
        <v>182</v>
      </c>
      <c r="G2018" s="53" t="s">
        <v>154</v>
      </c>
      <c r="H2018" s="53">
        <v>2</v>
      </c>
      <c r="I2018" s="53" t="s">
        <v>130</v>
      </c>
      <c r="J2018" s="53">
        <v>0</v>
      </c>
      <c r="K2018" s="53">
        <v>0</v>
      </c>
      <c r="L2018" s="53">
        <v>11.3</v>
      </c>
      <c r="M2018" s="53" t="s">
        <v>874</v>
      </c>
      <c r="N2018" s="53">
        <v>11</v>
      </c>
      <c r="O2018" s="51" t="str">
        <f>TEXT(tblWorkPackages[[#This Row],[Request date serial]]-WEEKDAY(tblWorkPackages[[#This Row],[Request date serial]],3),"yyyy-mm-dd")</f>
        <v>2024-09-02</v>
      </c>
      <c r="P2018" s="51">
        <f>ABS(tblWorkPackages[[#This Row],[Actual labor hours]]-tblWorkPackages[[#This Row],[Estimated labor hours]])</f>
        <v>0.300000000000001</v>
      </c>
      <c r="Q2018" s="51">
        <f>IF(tblWorkPackages[[#This Row],[Actual labor hours]]&gt;tblWorkPackages[[#This Row],[Estimated labor hours]],1,0)</f>
        <v>0</v>
      </c>
      <c r="R2018" s="51">
        <f>tblWorkPackages[[#This Row],[Actual labor hours]]-tblWorkPackages[[#This Row],[Estimated labor hours]]</f>
        <v>-0.300000000000001</v>
      </c>
      <c r="S2018" s="51" t="str">
        <f>IF(tblWorkPackages[[#This Row],[Request date serial]]&lt;ValidationStart,"Train 2024",IF(tblWorkPackages[[#This Row],[Request date serial]]&lt;HoldoutStart,"Validation H1","Holdout H2"))</f>
        <v>Train 2024</v>
      </c>
      <c r="T2018" s="51" t="str">
        <f>IF(tblWorkPackages[[#This Row],[Time split]]="Train 2024","",tblWorkPackages[[#This Row],[Estimated labor hours]]+VLOOKUP(tblWorkPackages[[#This Row],[Task type]],'Forecast validation'!$A$14:$E$25,IF(tblWorkPackages[[#This Row],[Time split]]="Validation H1",4,5),FALSE()))</f>
        <v/>
      </c>
      <c r="U2018" s="51" t="str">
        <f>IF(tblWorkPackages[[#This Row],[Calibrated forecast hours]]="","",ABS(tblWorkPackages[[#This Row],[Actual labor hours]]-tblWorkPackages[[#This Row],[Calibrated forecast hours]]))</f>
        <v/>
      </c>
      <c r="V2018" s="51">
        <f>IF(tblWorkPackages[[#This Row],[Time split]]="Train 2024",tblWorkPackages[[#This Row],[Estimated labor hours]],tblWorkPackages[[#This Row],[Calibrated forecast hours]])</f>
        <v>11.3</v>
      </c>
      <c r="W2018" s="64">
        <f>DATEVALUE(tblWorkPackages[[#This Row],[Request date]])</f>
        <v>45539.0</v>
      </c>
      <c r="X2018" s="64">
        <f>DATEVALUE(tblWorkPackages[[#This Row],[Due date]])</f>
        <v>45552.0</v>
      </c>
      <c r="Y2018" s="64">
        <f>DATEVALUE(tblWorkPackages[[#This Row],[Completion date]])</f>
        <v>45548.0</v>
      </c>
      <c r="Z2018" s="64">
        <f>_xlfn.MINIFS(tblLaborEntries[Work date serial],tblLaborEntries[Work package ID],tblWorkPackages[[#This Row],[Work package ID]])</f>
        <v>45546.0</v>
      </c>
      <c r="AA2018" s="64">
        <f>_xlfn.MAXIFS(tblLaborEntries[Work date serial],tblLaborEntries[Work package ID],tblWorkPackages[[#This Row],[Work package ID]])</f>
        <v>45548.0</v>
      </c>
      <c r="AB2018" s="65">
        <f>IF(tblWorkPackages[[#This Row],[Completion date serial]]&gt;tblWorkPackages[[#This Row],[Due date serial]],1,0)</f>
        <v>0</v>
      </c>
      <c r="AC2018" s="65">
        <f>MAX(0,tblWorkPackages[[#This Row],[Completion date serial]]-tblWorkPackages[[#This Row],[Due date serial]])</f>
        <v>0</v>
      </c>
      <c r="AD2018" s="65">
        <f>tblWorkPackages[[#This Row],[First labor date]]-tblWorkPackages[[#This Row],[Request date serial]]</f>
        <v>7</v>
      </c>
      <c r="AE2018" s="65">
        <f>tblWorkPackages[[#This Row],[Last labor date]]-tblWorkPackages[[#This Row],[First labor date]]</f>
        <v>2</v>
      </c>
      <c r="AF2018" s="65">
        <f>tblWorkPackages[[#This Row],[Completion date serial]]-tblWorkPackages[[#This Row],[Last labor date]]</f>
        <v>0</v>
      </c>
      <c r="AG2018" s="65">
        <f>tblWorkPackages[[#This Row],[Completion date serial]]-tblWorkPackages[[#This Row],[Request date serial]]</f>
        <v>9</v>
      </c>
      <c r="AH2018" s="65">
        <f>IFERROR(INDEX(tblParts[Delay days],MATCH(tblWorkPackages[[#This Row],[Work package ID]],tblParts[Work package ID],0)),0)</f>
        <v>0</v>
      </c>
      <c r="AI2018" s="51" t="str">
        <f>IFERROR(INDEX(tblDisruptions[Event type],MATCH(tblWorkPackages[[#This Row],[Work package ID]],tblDisruptions[Work package ID],0)),"None")</f>
        <v>Equipment unavailable</v>
      </c>
      <c r="AJ2018" s="51" t="str">
        <f>TEXT(tblWorkPackages[[#This Row],[Due date serial]],"yyyy-mm")</f>
        <v>2024-09</v>
      </c>
    </row>
    <row r="2019" spans="1:36" ht="15" x14ac:dyDescent="0.25">
      <c r="A2019" s="53" t="s">
        <v>2930</v>
      </c>
      <c r="B2019" s="53" t="s">
        <v>168</v>
      </c>
      <c r="C2019" s="53" t="s">
        <v>320</v>
      </c>
      <c r="D2019" s="53" t="s">
        <v>663</v>
      </c>
      <c r="E2019" s="53" t="s">
        <v>127</v>
      </c>
      <c r="F2019" s="53" t="s">
        <v>128</v>
      </c>
      <c r="G2019" s="53" t="s">
        <v>129</v>
      </c>
      <c r="H2019" s="53">
        <v>4</v>
      </c>
      <c r="I2019" s="53" t="s">
        <v>176</v>
      </c>
      <c r="J2019" s="53">
        <v>0</v>
      </c>
      <c r="K2019" s="53">
        <v>0</v>
      </c>
      <c r="L2019" s="53">
        <v>14.8</v>
      </c>
      <c r="M2019" s="53" t="s">
        <v>1001</v>
      </c>
      <c r="N2019" s="53">
        <v>18.399999999999999</v>
      </c>
      <c r="O2019" s="51" t="str">
        <f>TEXT(tblWorkPackages[[#This Row],[Request date serial]]-WEEKDAY(tblWorkPackages[[#This Row],[Request date serial]],3),"yyyy-mm-dd")</f>
        <v>2024-03-04</v>
      </c>
      <c r="P2019" s="51">
        <f>ABS(tblWorkPackages[[#This Row],[Actual labor hours]]-tblWorkPackages[[#This Row],[Estimated labor hours]])</f>
        <v>3.6</v>
      </c>
      <c r="Q2019" s="51">
        <f>IF(tblWorkPackages[[#This Row],[Actual labor hours]]&gt;tblWorkPackages[[#This Row],[Estimated labor hours]],1,0)</f>
        <v>1</v>
      </c>
      <c r="R2019" s="51">
        <f>tblWorkPackages[[#This Row],[Actual labor hours]]-tblWorkPackages[[#This Row],[Estimated labor hours]]</f>
        <v>3.6</v>
      </c>
      <c r="S2019" s="51" t="str">
        <f>IF(tblWorkPackages[[#This Row],[Request date serial]]&lt;ValidationStart,"Train 2024",IF(tblWorkPackages[[#This Row],[Request date serial]]&lt;HoldoutStart,"Validation H1","Holdout H2"))</f>
        <v>Train 2024</v>
      </c>
      <c r="T2019" s="51" t="str">
        <f>IF(tblWorkPackages[[#This Row],[Time split]]="Train 2024","",tblWorkPackages[[#This Row],[Estimated labor hours]]+VLOOKUP(tblWorkPackages[[#This Row],[Task type]],'Forecast validation'!$A$14:$E$25,IF(tblWorkPackages[[#This Row],[Time split]]="Validation H1",4,5),FALSE()))</f>
        <v/>
      </c>
      <c r="U2019" s="51" t="str">
        <f>IF(tblWorkPackages[[#This Row],[Calibrated forecast hours]]="","",ABS(tblWorkPackages[[#This Row],[Actual labor hours]]-tblWorkPackages[[#This Row],[Calibrated forecast hours]]))</f>
        <v/>
      </c>
      <c r="V2019" s="51">
        <f>IF(tblWorkPackages[[#This Row],[Time split]]="Train 2024",tblWorkPackages[[#This Row],[Estimated labor hours]],tblWorkPackages[[#This Row],[Calibrated forecast hours]])</f>
        <v>14.8</v>
      </c>
      <c r="W2019" s="64">
        <f>DATEVALUE(tblWorkPackages[[#This Row],[Request date]])</f>
        <v>45360.0</v>
      </c>
      <c r="X2019" s="64">
        <f>DATEVALUE(tblWorkPackages[[#This Row],[Due date]])</f>
        <v>45366.0</v>
      </c>
      <c r="Y2019" s="64">
        <f>DATEVALUE(tblWorkPackages[[#This Row],[Completion date]])</f>
        <v>45365.0</v>
      </c>
      <c r="Z2019" s="64">
        <f>_xlfn.MINIFS(tblLaborEntries[Work date serial],tblLaborEntries[Work package ID],tblWorkPackages[[#This Row],[Work package ID]])</f>
        <v>45362.0</v>
      </c>
      <c r="AA2019" s="64">
        <f>_xlfn.MAXIFS(tblLaborEntries[Work date serial],tblLaborEntries[Work package ID],tblWorkPackages[[#This Row],[Work package ID]])</f>
        <v>45364.0</v>
      </c>
      <c r="AB2019" s="65">
        <f>IF(tblWorkPackages[[#This Row],[Completion date serial]]&gt;tblWorkPackages[[#This Row],[Due date serial]],1,0)</f>
        <v>0</v>
      </c>
      <c r="AC2019" s="65">
        <f>MAX(0,tblWorkPackages[[#This Row],[Completion date serial]]-tblWorkPackages[[#This Row],[Due date serial]])</f>
        <v>0</v>
      </c>
      <c r="AD2019" s="65">
        <f>tblWorkPackages[[#This Row],[First labor date]]-tblWorkPackages[[#This Row],[Request date serial]]</f>
        <v>2</v>
      </c>
      <c r="AE2019" s="65">
        <f>tblWorkPackages[[#This Row],[Last labor date]]-tblWorkPackages[[#This Row],[First labor date]]</f>
        <v>2</v>
      </c>
      <c r="AF2019" s="65">
        <f>tblWorkPackages[[#This Row],[Completion date serial]]-tblWorkPackages[[#This Row],[Last labor date]]</f>
        <v>1</v>
      </c>
      <c r="AG2019" s="65">
        <f>tblWorkPackages[[#This Row],[Completion date serial]]-tblWorkPackages[[#This Row],[Request date serial]]</f>
        <v>5</v>
      </c>
      <c r="AH2019" s="65">
        <f>IFERROR(INDEX(tblParts[Delay days],MATCH(tblWorkPackages[[#This Row],[Work package ID]],tblParts[Work package ID],0)),0)</f>
        <v>0</v>
      </c>
      <c r="AI2019" s="51" t="str">
        <f>IFERROR(INDEX(tblDisruptions[Event type],MATCH(tblWorkPackages[[#This Row],[Work package ID]],tblDisruptions[Work package ID],0)),"None")</f>
        <v>None</v>
      </c>
      <c r="AJ2019" s="51" t="str">
        <f>TEXT(tblWorkPackages[[#This Row],[Due date serial]],"yyyy-mm")</f>
        <v>2024-03</v>
      </c>
    </row>
    <row r="2020" spans="1:36" ht="15" x14ac:dyDescent="0.25">
      <c r="A2020" s="53" t="s">
        <v>2931</v>
      </c>
      <c r="B2020" s="53" t="s">
        <v>203</v>
      </c>
      <c r="C2020" s="53" t="s">
        <v>791</v>
      </c>
      <c r="D2020" s="53" t="s">
        <v>1130</v>
      </c>
      <c r="E2020" s="53" t="s">
        <v>160</v>
      </c>
      <c r="F2020" s="53" t="s">
        <v>128</v>
      </c>
      <c r="G2020" s="53" t="s">
        <v>138</v>
      </c>
      <c r="H2020" s="53">
        <v>2</v>
      </c>
      <c r="I2020" s="53" t="s">
        <v>130</v>
      </c>
      <c r="J2020" s="53">
        <v>0</v>
      </c>
      <c r="K2020" s="53">
        <v>0</v>
      </c>
      <c r="L2020" s="53">
        <v>3.8</v>
      </c>
      <c r="M2020" s="53" t="s">
        <v>1273</v>
      </c>
      <c r="N2020" s="53">
        <v>4</v>
      </c>
      <c r="O2020" s="51" t="str">
        <f>TEXT(tblWorkPackages[[#This Row],[Request date serial]]-WEEKDAY(tblWorkPackages[[#This Row],[Request date serial]],3),"yyyy-mm-dd")</f>
        <v>2025-09-22</v>
      </c>
      <c r="P2020" s="51">
        <f>ABS(tblWorkPackages[[#This Row],[Actual labor hours]]-tblWorkPackages[[#This Row],[Estimated labor hours]])</f>
        <v>0.2</v>
      </c>
      <c r="Q2020" s="51">
        <f>IF(tblWorkPackages[[#This Row],[Actual labor hours]]&gt;tblWorkPackages[[#This Row],[Estimated labor hours]],1,0)</f>
        <v>1</v>
      </c>
      <c r="R2020" s="51">
        <f>tblWorkPackages[[#This Row],[Actual labor hours]]-tblWorkPackages[[#This Row],[Estimated labor hours]]</f>
        <v>0.2</v>
      </c>
      <c r="S2020" s="51" t="str">
        <f>IF(tblWorkPackages[[#This Row],[Request date serial]]&lt;ValidationStart,"Train 2024",IF(tblWorkPackages[[#This Row],[Request date serial]]&lt;HoldoutStart,"Validation H1","Holdout H2"))</f>
        <v>Holdout H2</v>
      </c>
      <c r="T2020" s="51">
        <f>IF(tblWorkPackages[[#This Row],[Time split]]="Train 2024","",tblWorkPackages[[#This Row],[Estimated labor hours]]+VLOOKUP(tblWorkPackages[[#This Row],[Task type]],'Forecast validation'!$A$14:$E$25,IF(tblWorkPackages[[#This Row],[Time split]]="Validation H1",4,5),FALSE()))</f>
        <v>4.23739837398374</v>
      </c>
      <c r="U2020" s="51">
        <f>IF(tblWorkPackages[[#This Row],[Calibrated forecast hours]]="","",ABS(tblWorkPackages[[#This Row],[Actual labor hours]]-tblWorkPackages[[#This Row],[Calibrated forecast hours]]))</f>
        <v>0.23739837398374</v>
      </c>
      <c r="V2020" s="51">
        <f>IF(tblWorkPackages[[#This Row],[Time split]]="Train 2024",tblWorkPackages[[#This Row],[Estimated labor hours]],tblWorkPackages[[#This Row],[Calibrated forecast hours]])</f>
        <v>4.23739837398374</v>
      </c>
      <c r="W2020" s="64">
        <f>DATEVALUE(tblWorkPackages[[#This Row],[Request date]])</f>
        <v>45922.0</v>
      </c>
      <c r="X2020" s="64">
        <f>DATEVALUE(tblWorkPackages[[#This Row],[Due date]])</f>
        <v>45935.0</v>
      </c>
      <c r="Y2020" s="64">
        <f>DATEVALUE(tblWorkPackages[[#This Row],[Completion date]])</f>
        <v>45942.0</v>
      </c>
      <c r="Z2020" s="64">
        <f>_xlfn.MINIFS(tblLaborEntries[Work date serial],tblLaborEntries[Work package ID],tblWorkPackages[[#This Row],[Work package ID]])</f>
        <v>45939.0</v>
      </c>
      <c r="AA2020" s="64">
        <f>_xlfn.MAXIFS(tblLaborEntries[Work date serial],tblLaborEntries[Work package ID],tblWorkPackages[[#This Row],[Work package ID]])</f>
        <v>45940.0</v>
      </c>
      <c r="AB2020" s="65">
        <f>IF(tblWorkPackages[[#This Row],[Completion date serial]]&gt;tblWorkPackages[[#This Row],[Due date serial]],1,0)</f>
        <v>1</v>
      </c>
      <c r="AC2020" s="65">
        <f>MAX(0,tblWorkPackages[[#This Row],[Completion date serial]]-tblWorkPackages[[#This Row],[Due date serial]])</f>
        <v>7</v>
      </c>
      <c r="AD2020" s="65">
        <f>tblWorkPackages[[#This Row],[First labor date]]-tblWorkPackages[[#This Row],[Request date serial]]</f>
        <v>17</v>
      </c>
      <c r="AE2020" s="65">
        <f>tblWorkPackages[[#This Row],[Last labor date]]-tblWorkPackages[[#This Row],[First labor date]]</f>
        <v>1</v>
      </c>
      <c r="AF2020" s="65">
        <f>tblWorkPackages[[#This Row],[Completion date serial]]-tblWorkPackages[[#This Row],[Last labor date]]</f>
        <v>2</v>
      </c>
      <c r="AG2020" s="65">
        <f>tblWorkPackages[[#This Row],[Completion date serial]]-tblWorkPackages[[#This Row],[Request date serial]]</f>
        <v>20</v>
      </c>
      <c r="AH2020" s="65">
        <f>IFERROR(INDEX(tblParts[Delay days],MATCH(tblWorkPackages[[#This Row],[Work package ID]],tblParts[Work package ID],0)),0)</f>
        <v>0</v>
      </c>
      <c r="AI2020" s="51" t="str">
        <f>IFERROR(INDEX(tblDisruptions[Event type],MATCH(tblWorkPackages[[#This Row],[Work package ID]],tblDisruptions[Work package ID],0)),"None")</f>
        <v>None</v>
      </c>
      <c r="AJ2020" s="51" t="str">
        <f>TEXT(tblWorkPackages[[#This Row],[Due date serial]],"yyyy-mm")</f>
        <v>2025-10</v>
      </c>
    </row>
    <row r="2021" spans="1:36" ht="15" x14ac:dyDescent="0.25">
      <c r="A2021" s="53" t="s">
        <v>2932</v>
      </c>
      <c r="B2021" s="53" t="s">
        <v>173</v>
      </c>
      <c r="C2021" s="53" t="s">
        <v>935</v>
      </c>
      <c r="D2021" s="53" t="s">
        <v>1627</v>
      </c>
      <c r="E2021" s="53" t="s">
        <v>200</v>
      </c>
      <c r="F2021" s="53" t="s">
        <v>128</v>
      </c>
      <c r="G2021" s="53" t="s">
        <v>129</v>
      </c>
      <c r="H2021" s="53">
        <v>4</v>
      </c>
      <c r="I2021" s="53" t="s">
        <v>176</v>
      </c>
      <c r="J2021" s="53">
        <v>1</v>
      </c>
      <c r="K2021" s="53">
        <v>1</v>
      </c>
      <c r="L2021" s="53">
        <v>5.7</v>
      </c>
      <c r="M2021" s="53" t="s">
        <v>186</v>
      </c>
      <c r="N2021" s="53">
        <v>8.6999999999999993</v>
      </c>
      <c r="O2021" s="51" t="str">
        <f>TEXT(tblWorkPackages[[#This Row],[Request date serial]]-WEEKDAY(tblWorkPackages[[#This Row],[Request date serial]],3),"yyyy-mm-dd")</f>
        <v>2025-02-10</v>
      </c>
      <c r="P2021" s="51">
        <f>ABS(tblWorkPackages[[#This Row],[Actual labor hours]]-tblWorkPackages[[#This Row],[Estimated labor hours]])</f>
        <v>3</v>
      </c>
      <c r="Q2021" s="51">
        <f>IF(tblWorkPackages[[#This Row],[Actual labor hours]]&gt;tblWorkPackages[[#This Row],[Estimated labor hours]],1,0)</f>
        <v>1</v>
      </c>
      <c r="R2021" s="51">
        <f>tblWorkPackages[[#This Row],[Actual labor hours]]-tblWorkPackages[[#This Row],[Estimated labor hours]]</f>
        <v>3</v>
      </c>
      <c r="S2021" s="51" t="str">
        <f>IF(tblWorkPackages[[#This Row],[Request date serial]]&lt;ValidationStart,"Train 2024",IF(tblWorkPackages[[#This Row],[Request date serial]]&lt;HoldoutStart,"Validation H1","Holdout H2"))</f>
        <v>Validation H1</v>
      </c>
      <c r="T2021" s="51">
        <f>IF(tblWorkPackages[[#This Row],[Time split]]="Train 2024","",tblWorkPackages[[#This Row],[Estimated labor hours]]+VLOOKUP(tblWorkPackages[[#This Row],[Task type]],'Forecast validation'!$A$14:$E$25,IF(tblWorkPackages[[#This Row],[Time split]]="Validation H1",4,5),FALSE()))</f>
        <v>6.03069306930693</v>
      </c>
      <c r="U2021" s="51">
        <f>IF(tblWorkPackages[[#This Row],[Calibrated forecast hours]]="","",ABS(tblWorkPackages[[#This Row],[Actual labor hours]]-tblWorkPackages[[#This Row],[Calibrated forecast hours]]))</f>
        <v>2.66930693069307</v>
      </c>
      <c r="V2021" s="51">
        <f>IF(tblWorkPackages[[#This Row],[Time split]]="Train 2024",tblWorkPackages[[#This Row],[Estimated labor hours]],tblWorkPackages[[#This Row],[Calibrated forecast hours]])</f>
        <v>6.03069306930693</v>
      </c>
      <c r="W2021" s="64">
        <f>DATEVALUE(tblWorkPackages[[#This Row],[Request date]])</f>
        <v>45698.0</v>
      </c>
      <c r="X2021" s="64">
        <f>DATEVALUE(tblWorkPackages[[#This Row],[Due date]])</f>
        <v>45704.0</v>
      </c>
      <c r="Y2021" s="64">
        <f>DATEVALUE(tblWorkPackages[[#This Row],[Completion date]])</f>
        <v>45707.0</v>
      </c>
      <c r="Z2021" s="64">
        <f>_xlfn.MINIFS(tblLaborEntries[Work date serial],tblLaborEntries[Work package ID],tblWorkPackages[[#This Row],[Work package ID]])</f>
        <v>45702.0</v>
      </c>
      <c r="AA2021" s="64">
        <f>_xlfn.MAXIFS(tblLaborEntries[Work date serial],tblLaborEntries[Work package ID],tblWorkPackages[[#This Row],[Work package ID]])</f>
        <v>45704.0</v>
      </c>
      <c r="AB2021" s="65">
        <f>IF(tblWorkPackages[[#This Row],[Completion date serial]]&gt;tblWorkPackages[[#This Row],[Due date serial]],1,0)</f>
        <v>1</v>
      </c>
      <c r="AC2021" s="65">
        <f>MAX(0,tblWorkPackages[[#This Row],[Completion date serial]]-tblWorkPackages[[#This Row],[Due date serial]])</f>
        <v>3</v>
      </c>
      <c r="AD2021" s="65">
        <f>tblWorkPackages[[#This Row],[First labor date]]-tblWorkPackages[[#This Row],[Request date serial]]</f>
        <v>4</v>
      </c>
      <c r="AE2021" s="65">
        <f>tblWorkPackages[[#This Row],[Last labor date]]-tblWorkPackages[[#This Row],[First labor date]]</f>
        <v>2</v>
      </c>
      <c r="AF2021" s="65">
        <f>tblWorkPackages[[#This Row],[Completion date serial]]-tblWorkPackages[[#This Row],[Last labor date]]</f>
        <v>3</v>
      </c>
      <c r="AG2021" s="65">
        <f>tblWorkPackages[[#This Row],[Completion date serial]]-tblWorkPackages[[#This Row],[Request date serial]]</f>
        <v>9</v>
      </c>
      <c r="AH2021" s="65">
        <f>IFERROR(INDEX(tblParts[Delay days],MATCH(tblWorkPackages[[#This Row],[Work package ID]],tblParts[Work package ID],0)),0)</f>
        <v>0</v>
      </c>
      <c r="AI2021" s="51" t="str">
        <f>IFERROR(INDEX(tblDisruptions[Event type],MATCH(tblWorkPackages[[#This Row],[Work package ID]],tblDisruptions[Work package ID],0)),"None")</f>
        <v>None</v>
      </c>
      <c r="AJ2021" s="51" t="str">
        <f>TEXT(tblWorkPackages[[#This Row],[Due date serial]],"yyyy-mm")</f>
        <v>2025-02</v>
      </c>
    </row>
    <row r="2022" spans="1:36" ht="15" x14ac:dyDescent="0.25">
      <c r="A2022" s="53" t="s">
        <v>2933</v>
      </c>
      <c r="B2022" s="53" t="s">
        <v>203</v>
      </c>
      <c r="C2022" s="53" t="s">
        <v>1085</v>
      </c>
      <c r="D2022" s="53" t="s">
        <v>1197</v>
      </c>
      <c r="E2022" s="53" t="s">
        <v>209</v>
      </c>
      <c r="F2022" s="53" t="s">
        <v>145</v>
      </c>
      <c r="G2022" s="53" t="s">
        <v>210</v>
      </c>
      <c r="H2022" s="53">
        <v>3</v>
      </c>
      <c r="I2022" s="53" t="s">
        <v>130</v>
      </c>
      <c r="J2022" s="53">
        <v>0</v>
      </c>
      <c r="K2022" s="53">
        <v>0</v>
      </c>
      <c r="L2022" s="53">
        <v>28</v>
      </c>
      <c r="M2022" s="53" t="s">
        <v>697</v>
      </c>
      <c r="N2022" s="53">
        <v>33.6</v>
      </c>
      <c r="O2022" s="51" t="str">
        <f>TEXT(tblWorkPackages[[#This Row],[Request date serial]]-WEEKDAY(tblWorkPackages[[#This Row],[Request date serial]],3),"yyyy-mm-dd")</f>
        <v>2025-02-10</v>
      </c>
      <c r="P2022" s="51">
        <f>ABS(tblWorkPackages[[#This Row],[Actual labor hours]]-tblWorkPackages[[#This Row],[Estimated labor hours]])</f>
        <v>5.6</v>
      </c>
      <c r="Q2022" s="51">
        <f>IF(tblWorkPackages[[#This Row],[Actual labor hours]]&gt;tblWorkPackages[[#This Row],[Estimated labor hours]],1,0)</f>
        <v>1</v>
      </c>
      <c r="R2022" s="51">
        <f>tblWorkPackages[[#This Row],[Actual labor hours]]-tblWorkPackages[[#This Row],[Estimated labor hours]]</f>
        <v>5.6</v>
      </c>
      <c r="S2022" s="51" t="str">
        <f>IF(tblWorkPackages[[#This Row],[Request date serial]]&lt;ValidationStart,"Train 2024",IF(tblWorkPackages[[#This Row],[Request date serial]]&lt;HoldoutStart,"Validation H1","Holdout H2"))</f>
        <v>Validation H1</v>
      </c>
      <c r="T2022" s="51">
        <f>IF(tblWorkPackages[[#This Row],[Time split]]="Train 2024","",tblWorkPackages[[#This Row],[Estimated labor hours]]+VLOOKUP(tblWorkPackages[[#This Row],[Task type]],'Forecast validation'!$A$14:$E$25,IF(tblWorkPackages[[#This Row],[Time split]]="Validation H1",4,5),FALSE()))</f>
        <v>29.1029850746269</v>
      </c>
      <c r="U2022" s="51">
        <f>IF(tblWorkPackages[[#This Row],[Calibrated forecast hours]]="","",ABS(tblWorkPackages[[#This Row],[Actual labor hours]]-tblWorkPackages[[#This Row],[Calibrated forecast hours]]))</f>
        <v>4.49701492537314</v>
      </c>
      <c r="V2022" s="51">
        <f>IF(tblWorkPackages[[#This Row],[Time split]]="Train 2024",tblWorkPackages[[#This Row],[Estimated labor hours]],tblWorkPackages[[#This Row],[Calibrated forecast hours]])</f>
        <v>29.1029850746269</v>
      </c>
      <c r="W2022" s="64">
        <f>DATEVALUE(tblWorkPackages[[#This Row],[Request date]])</f>
        <v>45701.0</v>
      </c>
      <c r="X2022" s="64">
        <f>DATEVALUE(tblWorkPackages[[#This Row],[Due date]])</f>
        <v>45714.0</v>
      </c>
      <c r="Y2022" s="64">
        <f>DATEVALUE(tblWorkPackages[[#This Row],[Completion date]])</f>
        <v>45703.0</v>
      </c>
      <c r="Z2022" s="64">
        <f>_xlfn.MINIFS(tblLaborEntries[Work date serial],tblLaborEntries[Work package ID],tblWorkPackages[[#This Row],[Work package ID]])</f>
        <v>45702.0</v>
      </c>
      <c r="AA2022" s="64">
        <f>_xlfn.MAXIFS(tblLaborEntries[Work date serial],tblLaborEntries[Work package ID],tblWorkPackages[[#This Row],[Work package ID]])</f>
        <v>45703.0</v>
      </c>
      <c r="AB2022" s="65">
        <f>IF(tblWorkPackages[[#This Row],[Completion date serial]]&gt;tblWorkPackages[[#This Row],[Due date serial]],1,0)</f>
        <v>0</v>
      </c>
      <c r="AC2022" s="65">
        <f>MAX(0,tblWorkPackages[[#This Row],[Completion date serial]]-tblWorkPackages[[#This Row],[Due date serial]])</f>
        <v>0</v>
      </c>
      <c r="AD2022" s="65">
        <f>tblWorkPackages[[#This Row],[First labor date]]-tblWorkPackages[[#This Row],[Request date serial]]</f>
        <v>1</v>
      </c>
      <c r="AE2022" s="65">
        <f>tblWorkPackages[[#This Row],[Last labor date]]-tblWorkPackages[[#This Row],[First labor date]]</f>
        <v>1</v>
      </c>
      <c r="AF2022" s="65">
        <f>tblWorkPackages[[#This Row],[Completion date serial]]-tblWorkPackages[[#This Row],[Last labor date]]</f>
        <v>0</v>
      </c>
      <c r="AG2022" s="65">
        <f>tblWorkPackages[[#This Row],[Completion date serial]]-tblWorkPackages[[#This Row],[Request date serial]]</f>
        <v>2</v>
      </c>
      <c r="AH2022" s="65">
        <f>IFERROR(INDEX(tblParts[Delay days],MATCH(tblWorkPackages[[#This Row],[Work package ID]],tblParts[Work package ID],0)),0)</f>
        <v>0</v>
      </c>
      <c r="AI2022" s="51" t="str">
        <f>IFERROR(INDEX(tblDisruptions[Event type],MATCH(tblWorkPackages[[#This Row],[Work package ID]],tblDisruptions[Work package ID],0)),"None")</f>
        <v>None</v>
      </c>
      <c r="AJ2022" s="51" t="str">
        <f>TEXT(tblWorkPackages[[#This Row],[Due date serial]],"yyyy-mm")</f>
        <v>2025-02</v>
      </c>
    </row>
    <row r="2023" spans="1:36" ht="15" x14ac:dyDescent="0.25">
      <c r="A2023" s="53" t="s">
        <v>2934</v>
      </c>
      <c r="B2023" s="53" t="s">
        <v>235</v>
      </c>
      <c r="C2023" s="53" t="s">
        <v>851</v>
      </c>
      <c r="D2023" s="53" t="s">
        <v>531</v>
      </c>
      <c r="E2023" s="53" t="s">
        <v>127</v>
      </c>
      <c r="F2023" s="53" t="s">
        <v>128</v>
      </c>
      <c r="G2023" s="53" t="s">
        <v>129</v>
      </c>
      <c r="H2023" s="53">
        <v>1</v>
      </c>
      <c r="I2023" s="53" t="s">
        <v>130</v>
      </c>
      <c r="J2023" s="53">
        <v>0</v>
      </c>
      <c r="K2023" s="53">
        <v>0</v>
      </c>
      <c r="L2023" s="53">
        <v>4.7</v>
      </c>
      <c r="M2023" s="53" t="s">
        <v>1233</v>
      </c>
      <c r="N2023" s="53">
        <v>5</v>
      </c>
      <c r="O2023" s="51" t="str">
        <f>TEXT(tblWorkPackages[[#This Row],[Request date serial]]-WEEKDAY(tblWorkPackages[[#This Row],[Request date serial]],3),"yyyy-mm-dd")</f>
        <v>2025-06-30</v>
      </c>
      <c r="P2023" s="51">
        <f>ABS(tblWorkPackages[[#This Row],[Actual labor hours]]-tblWorkPackages[[#This Row],[Estimated labor hours]])</f>
        <v>0.3</v>
      </c>
      <c r="Q2023" s="51">
        <f>IF(tblWorkPackages[[#This Row],[Actual labor hours]]&gt;tblWorkPackages[[#This Row],[Estimated labor hours]],1,0)</f>
        <v>1</v>
      </c>
      <c r="R2023" s="51">
        <f>tblWorkPackages[[#This Row],[Actual labor hours]]-tblWorkPackages[[#This Row],[Estimated labor hours]]</f>
        <v>0.3</v>
      </c>
      <c r="S2023" s="51" t="str">
        <f>IF(tblWorkPackages[[#This Row],[Request date serial]]&lt;ValidationStart,"Train 2024",IF(tblWorkPackages[[#This Row],[Request date serial]]&lt;HoldoutStart,"Validation H1","Holdout H2"))</f>
        <v>Holdout H2</v>
      </c>
      <c r="T2023" s="51">
        <f>IF(tblWorkPackages[[#This Row],[Time split]]="Train 2024","",tblWorkPackages[[#This Row],[Estimated labor hours]]+VLOOKUP(tblWorkPackages[[#This Row],[Task type]],'Forecast validation'!$A$14:$E$25,IF(tblWorkPackages[[#This Row],[Time split]]="Validation H1",4,5),FALSE()))</f>
        <v>5.24341085271318</v>
      </c>
      <c r="U2023" s="51">
        <f>IF(tblWorkPackages[[#This Row],[Calibrated forecast hours]]="","",ABS(tblWorkPackages[[#This Row],[Actual labor hours]]-tblWorkPackages[[#This Row],[Calibrated forecast hours]]))</f>
        <v>0.243410852713178</v>
      </c>
      <c r="V2023" s="51">
        <f>IF(tblWorkPackages[[#This Row],[Time split]]="Train 2024",tblWorkPackages[[#This Row],[Estimated labor hours]],tblWorkPackages[[#This Row],[Calibrated forecast hours]])</f>
        <v>5.24341085271318</v>
      </c>
      <c r="W2023" s="64">
        <f>DATEVALUE(tblWorkPackages[[#This Row],[Request date]])</f>
        <v>45841.0</v>
      </c>
      <c r="X2023" s="64">
        <f>DATEVALUE(tblWorkPackages[[#This Row],[Due date]])</f>
        <v>45854.0</v>
      </c>
      <c r="Y2023" s="64">
        <f>DATEVALUE(tblWorkPackages[[#This Row],[Completion date]])</f>
        <v>45853.0</v>
      </c>
      <c r="Z2023" s="64">
        <f>_xlfn.MINIFS(tblLaborEntries[Work date serial],tblLaborEntries[Work package ID],tblWorkPackages[[#This Row],[Work package ID]])</f>
        <v>45852.0</v>
      </c>
      <c r="AA2023" s="64">
        <f>_xlfn.MAXIFS(tblLaborEntries[Work date serial],tblLaborEntries[Work package ID],tblWorkPackages[[#This Row],[Work package ID]])</f>
        <v>45852.0</v>
      </c>
      <c r="AB2023" s="65">
        <f>IF(tblWorkPackages[[#This Row],[Completion date serial]]&gt;tblWorkPackages[[#This Row],[Due date serial]],1,0)</f>
        <v>0</v>
      </c>
      <c r="AC2023" s="65">
        <f>MAX(0,tblWorkPackages[[#This Row],[Completion date serial]]-tblWorkPackages[[#This Row],[Due date serial]])</f>
        <v>0</v>
      </c>
      <c r="AD2023" s="65">
        <f>tblWorkPackages[[#This Row],[First labor date]]-tblWorkPackages[[#This Row],[Request date serial]]</f>
        <v>11</v>
      </c>
      <c r="AE2023" s="65">
        <f>tblWorkPackages[[#This Row],[Last labor date]]-tblWorkPackages[[#This Row],[First labor date]]</f>
        <v>0</v>
      </c>
      <c r="AF2023" s="65">
        <f>tblWorkPackages[[#This Row],[Completion date serial]]-tblWorkPackages[[#This Row],[Last labor date]]</f>
        <v>1</v>
      </c>
      <c r="AG2023" s="65">
        <f>tblWorkPackages[[#This Row],[Completion date serial]]-tblWorkPackages[[#This Row],[Request date serial]]</f>
        <v>12</v>
      </c>
      <c r="AH2023" s="65">
        <f>IFERROR(INDEX(tblParts[Delay days],MATCH(tblWorkPackages[[#This Row],[Work package ID]],tblParts[Work package ID],0)),0)</f>
        <v>0</v>
      </c>
      <c r="AI2023" s="51" t="str">
        <f>IFERROR(INDEX(tblDisruptions[Event type],MATCH(tblWorkPackages[[#This Row],[Work package ID]],tblDisruptions[Work package ID],0)),"None")</f>
        <v>None</v>
      </c>
      <c r="AJ2023" s="51" t="str">
        <f>TEXT(tblWorkPackages[[#This Row],[Due date serial]],"yyyy-mm")</f>
        <v>2025-07</v>
      </c>
    </row>
    <row r="2024" spans="1:36" ht="15" x14ac:dyDescent="0.25">
      <c r="A2024" s="53" t="s">
        <v>2935</v>
      </c>
      <c r="B2024" s="53" t="s">
        <v>173</v>
      </c>
      <c r="C2024" s="53" t="s">
        <v>779</v>
      </c>
      <c r="D2024" s="53" t="s">
        <v>1589</v>
      </c>
      <c r="E2024" s="53" t="s">
        <v>127</v>
      </c>
      <c r="F2024" s="53" t="s">
        <v>128</v>
      </c>
      <c r="G2024" s="53" t="s">
        <v>129</v>
      </c>
      <c r="H2024" s="53">
        <v>1</v>
      </c>
      <c r="I2024" s="53" t="s">
        <v>130</v>
      </c>
      <c r="J2024" s="53">
        <v>1</v>
      </c>
      <c r="K2024" s="53">
        <v>0</v>
      </c>
      <c r="L2024" s="53">
        <v>4.2</v>
      </c>
      <c r="M2024" s="53" t="s">
        <v>1162</v>
      </c>
      <c r="N2024" s="53">
        <v>5.9</v>
      </c>
      <c r="O2024" s="51" t="str">
        <f>TEXT(tblWorkPackages[[#This Row],[Request date serial]]-WEEKDAY(tblWorkPackages[[#This Row],[Request date serial]],3),"yyyy-mm-dd")</f>
        <v>2025-12-22</v>
      </c>
      <c r="P2024" s="51">
        <f>ABS(tblWorkPackages[[#This Row],[Actual labor hours]]-tblWorkPackages[[#This Row],[Estimated labor hours]])</f>
        <v>1.7</v>
      </c>
      <c r="Q2024" s="51">
        <f>IF(tblWorkPackages[[#This Row],[Actual labor hours]]&gt;tblWorkPackages[[#This Row],[Estimated labor hours]],1,0)</f>
        <v>1</v>
      </c>
      <c r="R2024" s="51">
        <f>tblWorkPackages[[#This Row],[Actual labor hours]]-tblWorkPackages[[#This Row],[Estimated labor hours]]</f>
        <v>1.7</v>
      </c>
      <c r="S2024" s="51" t="str">
        <f>IF(tblWorkPackages[[#This Row],[Request date serial]]&lt;ValidationStart,"Train 2024",IF(tblWorkPackages[[#This Row],[Request date serial]]&lt;HoldoutStart,"Validation H1","Holdout H2"))</f>
        <v>Holdout H2</v>
      </c>
      <c r="T2024" s="51">
        <f>IF(tblWorkPackages[[#This Row],[Time split]]="Train 2024","",tblWorkPackages[[#This Row],[Estimated labor hours]]+VLOOKUP(tblWorkPackages[[#This Row],[Task type]],'Forecast validation'!$A$14:$E$25,IF(tblWorkPackages[[#This Row],[Time split]]="Validation H1",4,5),FALSE()))</f>
        <v>4.74341085271318</v>
      </c>
      <c r="U2024" s="51">
        <f>IF(tblWorkPackages[[#This Row],[Calibrated forecast hours]]="","",ABS(tblWorkPackages[[#This Row],[Actual labor hours]]-tblWorkPackages[[#This Row],[Calibrated forecast hours]]))</f>
        <v>1.15658914728682</v>
      </c>
      <c r="V2024" s="51">
        <f>IF(tblWorkPackages[[#This Row],[Time split]]="Train 2024",tblWorkPackages[[#This Row],[Estimated labor hours]],tblWorkPackages[[#This Row],[Calibrated forecast hours]])</f>
        <v>4.74341085271318</v>
      </c>
      <c r="W2024" s="64">
        <f>DATEVALUE(tblWorkPackages[[#This Row],[Request date]])</f>
        <v>46018.0</v>
      </c>
      <c r="X2024" s="64">
        <f>DATEVALUE(tblWorkPackages[[#This Row],[Due date]])</f>
        <v>46031.0</v>
      </c>
      <c r="Y2024" s="64">
        <f>DATEVALUE(tblWorkPackages[[#This Row],[Completion date]])</f>
        <v>46023.0</v>
      </c>
      <c r="Z2024" s="64">
        <f>_xlfn.MINIFS(tblLaborEntries[Work date serial],tblLaborEntries[Work package ID],tblWorkPackages[[#This Row],[Work package ID]])</f>
        <v>46021.0</v>
      </c>
      <c r="AA2024" s="64">
        <f>_xlfn.MAXIFS(tblLaborEntries[Work date serial],tblLaborEntries[Work package ID],tblWorkPackages[[#This Row],[Work package ID]])</f>
        <v>46021.0</v>
      </c>
      <c r="AB2024" s="65">
        <f>IF(tblWorkPackages[[#This Row],[Completion date serial]]&gt;tblWorkPackages[[#This Row],[Due date serial]],1,0)</f>
        <v>0</v>
      </c>
      <c r="AC2024" s="65">
        <f>MAX(0,tblWorkPackages[[#This Row],[Completion date serial]]-tblWorkPackages[[#This Row],[Due date serial]])</f>
        <v>0</v>
      </c>
      <c r="AD2024" s="65">
        <f>tblWorkPackages[[#This Row],[First labor date]]-tblWorkPackages[[#This Row],[Request date serial]]</f>
        <v>3</v>
      </c>
      <c r="AE2024" s="65">
        <f>tblWorkPackages[[#This Row],[Last labor date]]-tblWorkPackages[[#This Row],[First labor date]]</f>
        <v>0</v>
      </c>
      <c r="AF2024" s="65">
        <f>tblWorkPackages[[#This Row],[Completion date serial]]-tblWorkPackages[[#This Row],[Last labor date]]</f>
        <v>2</v>
      </c>
      <c r="AG2024" s="65">
        <f>tblWorkPackages[[#This Row],[Completion date serial]]-tblWorkPackages[[#This Row],[Request date serial]]</f>
        <v>5</v>
      </c>
      <c r="AH2024" s="65">
        <f>IFERROR(INDEX(tblParts[Delay days],MATCH(tblWorkPackages[[#This Row],[Work package ID]],tblParts[Work package ID],0)),0)</f>
        <v>0</v>
      </c>
      <c r="AI2024" s="51" t="str">
        <f>IFERROR(INDEX(tblDisruptions[Event type],MATCH(tblWorkPackages[[#This Row],[Work package ID]],tblDisruptions[Work package ID],0)),"None")</f>
        <v>None</v>
      </c>
      <c r="AJ2024" s="51" t="str">
        <f>TEXT(tblWorkPackages[[#This Row],[Due date serial]],"yyyy-mm")</f>
        <v>2026-01</v>
      </c>
    </row>
    <row r="2025" spans="1:36" ht="15" x14ac:dyDescent="0.25">
      <c r="A2025" s="53" t="s">
        <v>2936</v>
      </c>
      <c r="B2025" s="53" t="s">
        <v>235</v>
      </c>
      <c r="C2025" s="53" t="s">
        <v>689</v>
      </c>
      <c r="D2025" s="53" t="s">
        <v>1685</v>
      </c>
      <c r="E2025" s="53" t="s">
        <v>127</v>
      </c>
      <c r="F2025" s="53" t="s">
        <v>128</v>
      </c>
      <c r="G2025" s="53" t="s">
        <v>129</v>
      </c>
      <c r="H2025" s="53">
        <v>3</v>
      </c>
      <c r="I2025" s="53" t="s">
        <v>147</v>
      </c>
      <c r="J2025" s="53">
        <v>0</v>
      </c>
      <c r="K2025" s="53">
        <v>0</v>
      </c>
      <c r="L2025" s="53">
        <v>10.8</v>
      </c>
      <c r="M2025" s="53" t="s">
        <v>970</v>
      </c>
      <c r="N2025" s="53">
        <v>9.6999999999999993</v>
      </c>
      <c r="O2025" s="51" t="str">
        <f>TEXT(tblWorkPackages[[#This Row],[Request date serial]]-WEEKDAY(tblWorkPackages[[#This Row],[Request date serial]],3),"yyyy-mm-dd")</f>
        <v>2024-04-01</v>
      </c>
      <c r="P2025" s="51">
        <f>ABS(tblWorkPackages[[#This Row],[Actual labor hours]]-tblWorkPackages[[#This Row],[Estimated labor hours]])</f>
        <v>1.1</v>
      </c>
      <c r="Q2025" s="51">
        <f>IF(tblWorkPackages[[#This Row],[Actual labor hours]]&gt;tblWorkPackages[[#This Row],[Estimated labor hours]],1,0)</f>
        <v>0</v>
      </c>
      <c r="R2025" s="51">
        <f>tblWorkPackages[[#This Row],[Actual labor hours]]-tblWorkPackages[[#This Row],[Estimated labor hours]]</f>
        <v>-1.1</v>
      </c>
      <c r="S2025" s="51" t="str">
        <f>IF(tblWorkPackages[[#This Row],[Request date serial]]&lt;ValidationStart,"Train 2024",IF(tblWorkPackages[[#This Row],[Request date serial]]&lt;HoldoutStart,"Validation H1","Holdout H2"))</f>
        <v>Train 2024</v>
      </c>
      <c r="T2025" s="51" t="str">
        <f>IF(tblWorkPackages[[#This Row],[Time split]]="Train 2024","",tblWorkPackages[[#This Row],[Estimated labor hours]]+VLOOKUP(tblWorkPackages[[#This Row],[Task type]],'Forecast validation'!$A$14:$E$25,IF(tblWorkPackages[[#This Row],[Time split]]="Validation H1",4,5),FALSE()))</f>
        <v/>
      </c>
      <c r="U2025" s="51" t="str">
        <f>IF(tblWorkPackages[[#This Row],[Calibrated forecast hours]]="","",ABS(tblWorkPackages[[#This Row],[Actual labor hours]]-tblWorkPackages[[#This Row],[Calibrated forecast hours]]))</f>
        <v/>
      </c>
      <c r="V2025" s="51">
        <f>IF(tblWorkPackages[[#This Row],[Time split]]="Train 2024",tblWorkPackages[[#This Row],[Estimated labor hours]],tblWorkPackages[[#This Row],[Calibrated forecast hours]])</f>
        <v>10.8</v>
      </c>
      <c r="W2025" s="64">
        <f>DATEVALUE(tblWorkPackages[[#This Row],[Request date]])</f>
        <v>45385.0</v>
      </c>
      <c r="X2025" s="64">
        <f>DATEVALUE(tblWorkPackages[[#This Row],[Due date]])</f>
        <v>45387.0</v>
      </c>
      <c r="Y2025" s="64">
        <f>DATEVALUE(tblWorkPackages[[#This Row],[Completion date]])</f>
        <v>45418.0</v>
      </c>
      <c r="Z2025" s="64">
        <f>_xlfn.MINIFS(tblLaborEntries[Work date serial],tblLaborEntries[Work package ID],tblWorkPackages[[#This Row],[Work package ID]])</f>
        <v>45415.0</v>
      </c>
      <c r="AA2025" s="64">
        <f>_xlfn.MAXIFS(tblLaborEntries[Work date serial],tblLaborEntries[Work package ID],tblWorkPackages[[#This Row],[Work package ID]])</f>
        <v>45415.0</v>
      </c>
      <c r="AB2025" s="65">
        <f>IF(tblWorkPackages[[#This Row],[Completion date serial]]&gt;tblWorkPackages[[#This Row],[Due date serial]],1,0)</f>
        <v>1</v>
      </c>
      <c r="AC2025" s="65">
        <f>MAX(0,tblWorkPackages[[#This Row],[Completion date serial]]-tblWorkPackages[[#This Row],[Due date serial]])</f>
        <v>31</v>
      </c>
      <c r="AD2025" s="65">
        <f>tblWorkPackages[[#This Row],[First labor date]]-tblWorkPackages[[#This Row],[Request date serial]]</f>
        <v>30</v>
      </c>
      <c r="AE2025" s="65">
        <f>tblWorkPackages[[#This Row],[Last labor date]]-tblWorkPackages[[#This Row],[First labor date]]</f>
        <v>0</v>
      </c>
      <c r="AF2025" s="65">
        <f>tblWorkPackages[[#This Row],[Completion date serial]]-tblWorkPackages[[#This Row],[Last labor date]]</f>
        <v>3</v>
      </c>
      <c r="AG2025" s="65">
        <f>tblWorkPackages[[#This Row],[Completion date serial]]-tblWorkPackages[[#This Row],[Request date serial]]</f>
        <v>33</v>
      </c>
      <c r="AH2025" s="65">
        <f>IFERROR(INDEX(tblParts[Delay days],MATCH(tblWorkPackages[[#This Row],[Work package ID]],tblParts[Work package ID],0)),0)</f>
        <v>0</v>
      </c>
      <c r="AI2025" s="51" t="str">
        <f>IFERROR(INDEX(tblDisruptions[Event type],MATCH(tblWorkPackages[[#This Row],[Work package ID]],tblDisruptions[Work package ID],0)),"None")</f>
        <v>None</v>
      </c>
      <c r="AJ2025" s="51" t="str">
        <f>TEXT(tblWorkPackages[[#This Row],[Due date serial]],"yyyy-mm")</f>
        <v>2024-04</v>
      </c>
    </row>
    <row r="2026" spans="1:36" ht="15" x14ac:dyDescent="0.25">
      <c r="A2026" s="53" t="s">
        <v>2937</v>
      </c>
      <c r="B2026" s="53" t="s">
        <v>157</v>
      </c>
      <c r="C2026" s="53" t="s">
        <v>464</v>
      </c>
      <c r="D2026" s="53" t="s">
        <v>1130</v>
      </c>
      <c r="E2026" s="53" t="s">
        <v>209</v>
      </c>
      <c r="F2026" s="53" t="s">
        <v>145</v>
      </c>
      <c r="G2026" s="53" t="s">
        <v>210</v>
      </c>
      <c r="H2026" s="53">
        <v>4</v>
      </c>
      <c r="I2026" s="53" t="s">
        <v>176</v>
      </c>
      <c r="J2026" s="53">
        <v>0</v>
      </c>
      <c r="K2026" s="53">
        <v>1</v>
      </c>
      <c r="L2026" s="53">
        <v>31.9</v>
      </c>
      <c r="M2026" s="53" t="s">
        <v>1272</v>
      </c>
      <c r="N2026" s="53">
        <v>37.6</v>
      </c>
      <c r="O2026" s="51" t="str">
        <f>TEXT(tblWorkPackages[[#This Row],[Request date serial]]-WEEKDAY(tblWorkPackages[[#This Row],[Request date serial]],3),"yyyy-mm-dd")</f>
        <v>2025-09-29</v>
      </c>
      <c r="P2026" s="51">
        <f>ABS(tblWorkPackages[[#This Row],[Actual labor hours]]-tblWorkPackages[[#This Row],[Estimated labor hours]])</f>
        <v>5.7</v>
      </c>
      <c r="Q2026" s="51">
        <f>IF(tblWorkPackages[[#This Row],[Actual labor hours]]&gt;tblWorkPackages[[#This Row],[Estimated labor hours]],1,0)</f>
        <v>1</v>
      </c>
      <c r="R2026" s="51">
        <f>tblWorkPackages[[#This Row],[Actual labor hours]]-tblWorkPackages[[#This Row],[Estimated labor hours]]</f>
        <v>5.7</v>
      </c>
      <c r="S2026" s="51" t="str">
        <f>IF(tblWorkPackages[[#This Row],[Request date serial]]&lt;ValidationStart,"Train 2024",IF(tblWorkPackages[[#This Row],[Request date serial]]&lt;HoldoutStart,"Validation H1","Holdout H2"))</f>
        <v>Holdout H2</v>
      </c>
      <c r="T2026" s="51">
        <f>IF(tblWorkPackages[[#This Row],[Time split]]="Train 2024","",tblWorkPackages[[#This Row],[Estimated labor hours]]+VLOOKUP(tblWorkPackages[[#This Row],[Task type]],'Forecast validation'!$A$14:$E$25,IF(tblWorkPackages[[#This Row],[Time split]]="Validation H1",4,5),FALSE()))</f>
        <v>33.695652173913</v>
      </c>
      <c r="U2026" s="51">
        <f>IF(tblWorkPackages[[#This Row],[Calibrated forecast hours]]="","",ABS(tblWorkPackages[[#This Row],[Actual labor hours]]-tblWorkPackages[[#This Row],[Calibrated forecast hours]]))</f>
        <v>3.90434782608696</v>
      </c>
      <c r="V2026" s="51">
        <f>IF(tblWorkPackages[[#This Row],[Time split]]="Train 2024",tblWorkPackages[[#This Row],[Estimated labor hours]],tblWorkPackages[[#This Row],[Calibrated forecast hours]])</f>
        <v>33.695652173913</v>
      </c>
      <c r="W2026" s="64">
        <f>DATEVALUE(tblWorkPackages[[#This Row],[Request date]])</f>
        <v>45929.0</v>
      </c>
      <c r="X2026" s="64">
        <f>DATEVALUE(tblWorkPackages[[#This Row],[Due date]])</f>
        <v>45935.0</v>
      </c>
      <c r="Y2026" s="64">
        <f>DATEVALUE(tblWorkPackages[[#This Row],[Completion date]])</f>
        <v>45936.0</v>
      </c>
      <c r="Z2026" s="64">
        <f>_xlfn.MINIFS(tblLaborEntries[Work date serial],tblLaborEntries[Work package ID],tblWorkPackages[[#This Row],[Work package ID]])</f>
        <v>45934.0</v>
      </c>
      <c r="AA2026" s="64">
        <f>_xlfn.MAXIFS(tblLaborEntries[Work date serial],tblLaborEntries[Work package ID],tblWorkPackages[[#This Row],[Work package ID]])</f>
        <v>45936.0</v>
      </c>
      <c r="AB2026" s="65">
        <f>IF(tblWorkPackages[[#This Row],[Completion date serial]]&gt;tblWorkPackages[[#This Row],[Due date serial]],1,0)</f>
        <v>1</v>
      </c>
      <c r="AC2026" s="65">
        <f>MAX(0,tblWorkPackages[[#This Row],[Completion date serial]]-tblWorkPackages[[#This Row],[Due date serial]])</f>
        <v>1</v>
      </c>
      <c r="AD2026" s="65">
        <f>tblWorkPackages[[#This Row],[First labor date]]-tblWorkPackages[[#This Row],[Request date serial]]</f>
        <v>5</v>
      </c>
      <c r="AE2026" s="65">
        <f>tblWorkPackages[[#This Row],[Last labor date]]-tblWorkPackages[[#This Row],[First labor date]]</f>
        <v>2</v>
      </c>
      <c r="AF2026" s="65">
        <f>tblWorkPackages[[#This Row],[Completion date serial]]-tblWorkPackages[[#This Row],[Last labor date]]</f>
        <v>0</v>
      </c>
      <c r="AG2026" s="65">
        <f>tblWorkPackages[[#This Row],[Completion date serial]]-tblWorkPackages[[#This Row],[Request date serial]]</f>
        <v>7</v>
      </c>
      <c r="AH2026" s="65">
        <f>IFERROR(INDEX(tblParts[Delay days],MATCH(tblWorkPackages[[#This Row],[Work package ID]],tblParts[Work package ID],0)),0)</f>
        <v>0</v>
      </c>
      <c r="AI2026" s="51" t="str">
        <f>IFERROR(INDEX(tblDisruptions[Event type],MATCH(tblWorkPackages[[#This Row],[Work package ID]],tblDisruptions[Work package ID],0)),"None")</f>
        <v>None</v>
      </c>
      <c r="AJ2026" s="51" t="str">
        <f>TEXT(tblWorkPackages[[#This Row],[Due date serial]],"yyyy-mm")</f>
        <v>2025-10</v>
      </c>
    </row>
    <row r="2027" spans="1:36" ht="15" x14ac:dyDescent="0.25">
      <c r="A2027" s="53" t="s">
        <v>2938</v>
      </c>
      <c r="B2027" s="53" t="s">
        <v>150</v>
      </c>
      <c r="C2027" s="53" t="s">
        <v>1361</v>
      </c>
      <c r="D2027" s="53" t="s">
        <v>415</v>
      </c>
      <c r="E2027" s="53" t="s">
        <v>200</v>
      </c>
      <c r="F2027" s="53" t="s">
        <v>128</v>
      </c>
      <c r="G2027" s="53" t="s">
        <v>129</v>
      </c>
      <c r="H2027" s="53">
        <v>4</v>
      </c>
      <c r="I2027" s="53" t="s">
        <v>130</v>
      </c>
      <c r="J2027" s="53">
        <v>0</v>
      </c>
      <c r="K2027" s="53">
        <v>0</v>
      </c>
      <c r="L2027" s="53">
        <v>5.6</v>
      </c>
      <c r="M2027" s="53" t="s">
        <v>1152</v>
      </c>
      <c r="N2027" s="53">
        <v>4.9000000000000004</v>
      </c>
      <c r="O2027" s="51" t="str">
        <f>TEXT(tblWorkPackages[[#This Row],[Request date serial]]-WEEKDAY(tblWorkPackages[[#This Row],[Request date serial]],3),"yyyy-mm-dd")</f>
        <v>2025-08-18</v>
      </c>
      <c r="P2027" s="51">
        <f>ABS(tblWorkPackages[[#This Row],[Actual labor hours]]-tblWorkPackages[[#This Row],[Estimated labor hours]])</f>
        <v>0.699999999999999</v>
      </c>
      <c r="Q2027" s="51">
        <f>IF(tblWorkPackages[[#This Row],[Actual labor hours]]&gt;tblWorkPackages[[#This Row],[Estimated labor hours]],1,0)</f>
        <v>0</v>
      </c>
      <c r="R2027" s="51">
        <f>tblWorkPackages[[#This Row],[Actual labor hours]]-tblWorkPackages[[#This Row],[Estimated labor hours]]</f>
        <v>-0.699999999999999</v>
      </c>
      <c r="S2027" s="51" t="str">
        <f>IF(tblWorkPackages[[#This Row],[Request date serial]]&lt;ValidationStart,"Train 2024",IF(tblWorkPackages[[#This Row],[Request date serial]]&lt;HoldoutStart,"Validation H1","Holdout H2"))</f>
        <v>Holdout H2</v>
      </c>
      <c r="T2027" s="51">
        <f>IF(tblWorkPackages[[#This Row],[Time split]]="Train 2024","",tblWorkPackages[[#This Row],[Estimated labor hours]]+VLOOKUP(tblWorkPackages[[#This Row],[Task type]],'Forecast validation'!$A$14:$E$25,IF(tblWorkPackages[[#This Row],[Time split]]="Validation H1",4,5),FALSE()))</f>
        <v>5.92893081761006</v>
      </c>
      <c r="U2027" s="51">
        <f>IF(tblWorkPackages[[#This Row],[Calibrated forecast hours]]="","",ABS(tblWorkPackages[[#This Row],[Actual labor hours]]-tblWorkPackages[[#This Row],[Calibrated forecast hours]]))</f>
        <v>1.02893081761006</v>
      </c>
      <c r="V2027" s="51">
        <f>IF(tblWorkPackages[[#This Row],[Time split]]="Train 2024",tblWorkPackages[[#This Row],[Estimated labor hours]],tblWorkPackages[[#This Row],[Calibrated forecast hours]])</f>
        <v>5.92893081761006</v>
      </c>
      <c r="W2027" s="64">
        <f>DATEVALUE(tblWorkPackages[[#This Row],[Request date]])</f>
        <v>45889.0</v>
      </c>
      <c r="X2027" s="64">
        <f>DATEVALUE(tblWorkPackages[[#This Row],[Due date]])</f>
        <v>45902.0</v>
      </c>
      <c r="Y2027" s="64">
        <f>DATEVALUE(tblWorkPackages[[#This Row],[Completion date]])</f>
        <v>45893.0</v>
      </c>
      <c r="Z2027" s="64">
        <f>_xlfn.MINIFS(tblLaborEntries[Work date serial],tblLaborEntries[Work package ID],tblWorkPackages[[#This Row],[Work package ID]])</f>
        <v>45891.0</v>
      </c>
      <c r="AA2027" s="64">
        <f>_xlfn.MAXIFS(tblLaborEntries[Work date serial],tblLaborEntries[Work package ID],tblWorkPackages[[#This Row],[Work package ID]])</f>
        <v>45892.0</v>
      </c>
      <c r="AB2027" s="65">
        <f>IF(tblWorkPackages[[#This Row],[Completion date serial]]&gt;tblWorkPackages[[#This Row],[Due date serial]],1,0)</f>
        <v>0</v>
      </c>
      <c r="AC2027" s="65">
        <f>MAX(0,tblWorkPackages[[#This Row],[Completion date serial]]-tblWorkPackages[[#This Row],[Due date serial]])</f>
        <v>0</v>
      </c>
      <c r="AD2027" s="65">
        <f>tblWorkPackages[[#This Row],[First labor date]]-tblWorkPackages[[#This Row],[Request date serial]]</f>
        <v>2</v>
      </c>
      <c r="AE2027" s="65">
        <f>tblWorkPackages[[#This Row],[Last labor date]]-tblWorkPackages[[#This Row],[First labor date]]</f>
        <v>1</v>
      </c>
      <c r="AF2027" s="65">
        <f>tblWorkPackages[[#This Row],[Completion date serial]]-tblWorkPackages[[#This Row],[Last labor date]]</f>
        <v>1</v>
      </c>
      <c r="AG2027" s="65">
        <f>tblWorkPackages[[#This Row],[Completion date serial]]-tblWorkPackages[[#This Row],[Request date serial]]</f>
        <v>4</v>
      </c>
      <c r="AH2027" s="65">
        <f>IFERROR(INDEX(tblParts[Delay days],MATCH(tblWorkPackages[[#This Row],[Work package ID]],tblParts[Work package ID],0)),0)</f>
        <v>0</v>
      </c>
      <c r="AI2027" s="51" t="str">
        <f>IFERROR(INDEX(tblDisruptions[Event type],MATCH(tblWorkPackages[[#This Row],[Work package ID]],tblDisruptions[Work package ID],0)),"None")</f>
        <v>None</v>
      </c>
      <c r="AJ2027" s="51" t="str">
        <f>TEXT(tblWorkPackages[[#This Row],[Due date serial]],"yyyy-mm")</f>
        <v>2025-09</v>
      </c>
    </row>
    <row r="2028" spans="1:36" ht="15" x14ac:dyDescent="0.25">
      <c r="A2028" s="53" t="s">
        <v>2939</v>
      </c>
      <c r="B2028" s="53" t="s">
        <v>157</v>
      </c>
      <c r="C2028" s="53" t="s">
        <v>1678</v>
      </c>
      <c r="D2028" s="53" t="s">
        <v>953</v>
      </c>
      <c r="E2028" s="53" t="s">
        <v>237</v>
      </c>
      <c r="F2028" s="53" t="s">
        <v>182</v>
      </c>
      <c r="G2028" s="53" t="s">
        <v>138</v>
      </c>
      <c r="H2028" s="53">
        <v>4</v>
      </c>
      <c r="I2028" s="53" t="s">
        <v>130</v>
      </c>
      <c r="J2028" s="53">
        <v>1</v>
      </c>
      <c r="K2028" s="53">
        <v>0</v>
      </c>
      <c r="L2028" s="53">
        <v>8</v>
      </c>
      <c r="M2028" s="53" t="s">
        <v>371</v>
      </c>
      <c r="N2028" s="53">
        <v>9.5</v>
      </c>
      <c r="O2028" s="51" t="str">
        <f>TEXT(tblWorkPackages[[#This Row],[Request date serial]]-WEEKDAY(tblWorkPackages[[#This Row],[Request date serial]],3),"yyyy-mm-dd")</f>
        <v>2024-09-16</v>
      </c>
      <c r="P2028" s="51">
        <f>ABS(tblWorkPackages[[#This Row],[Actual labor hours]]-tblWorkPackages[[#This Row],[Estimated labor hours]])</f>
        <v>1.5</v>
      </c>
      <c r="Q2028" s="51">
        <f>IF(tblWorkPackages[[#This Row],[Actual labor hours]]&gt;tblWorkPackages[[#This Row],[Estimated labor hours]],1,0)</f>
        <v>1</v>
      </c>
      <c r="R2028" s="51">
        <f>tblWorkPackages[[#This Row],[Actual labor hours]]-tblWorkPackages[[#This Row],[Estimated labor hours]]</f>
        <v>1.5</v>
      </c>
      <c r="S2028" s="51" t="str">
        <f>IF(tblWorkPackages[[#This Row],[Request date serial]]&lt;ValidationStart,"Train 2024",IF(tblWorkPackages[[#This Row],[Request date serial]]&lt;HoldoutStart,"Validation H1","Holdout H2"))</f>
        <v>Train 2024</v>
      </c>
      <c r="T2028" s="51" t="str">
        <f>IF(tblWorkPackages[[#This Row],[Time split]]="Train 2024","",tblWorkPackages[[#This Row],[Estimated labor hours]]+VLOOKUP(tblWorkPackages[[#This Row],[Task type]],'Forecast validation'!$A$14:$E$25,IF(tblWorkPackages[[#This Row],[Time split]]="Validation H1",4,5),FALSE()))</f>
        <v/>
      </c>
      <c r="U2028" s="51" t="str">
        <f>IF(tblWorkPackages[[#This Row],[Calibrated forecast hours]]="","",ABS(tblWorkPackages[[#This Row],[Actual labor hours]]-tblWorkPackages[[#This Row],[Calibrated forecast hours]]))</f>
        <v/>
      </c>
      <c r="V2028" s="51">
        <f>IF(tblWorkPackages[[#This Row],[Time split]]="Train 2024",tblWorkPackages[[#This Row],[Estimated labor hours]],tblWorkPackages[[#This Row],[Calibrated forecast hours]])</f>
        <v>8</v>
      </c>
      <c r="W2028" s="64">
        <f>DATEVALUE(tblWorkPackages[[#This Row],[Request date]])</f>
        <v>45555.0</v>
      </c>
      <c r="X2028" s="64">
        <f>DATEVALUE(tblWorkPackages[[#This Row],[Due date]])</f>
        <v>45568.0</v>
      </c>
      <c r="Y2028" s="64">
        <f>DATEVALUE(tblWorkPackages[[#This Row],[Completion date]])</f>
        <v>45573.0</v>
      </c>
      <c r="Z2028" s="64">
        <f>_xlfn.MINIFS(tblLaborEntries[Work date serial],tblLaborEntries[Work package ID],tblWorkPackages[[#This Row],[Work package ID]])</f>
        <v>45569.0</v>
      </c>
      <c r="AA2028" s="64">
        <f>_xlfn.MAXIFS(tblLaborEntries[Work date serial],tblLaborEntries[Work package ID],tblWorkPackages[[#This Row],[Work package ID]])</f>
        <v>45571.0</v>
      </c>
      <c r="AB2028" s="65">
        <f>IF(tblWorkPackages[[#This Row],[Completion date serial]]&gt;tblWorkPackages[[#This Row],[Due date serial]],1,0)</f>
        <v>1</v>
      </c>
      <c r="AC2028" s="65">
        <f>MAX(0,tblWorkPackages[[#This Row],[Completion date serial]]-tblWorkPackages[[#This Row],[Due date serial]])</f>
        <v>5</v>
      </c>
      <c r="AD2028" s="65">
        <f>tblWorkPackages[[#This Row],[First labor date]]-tblWorkPackages[[#This Row],[Request date serial]]</f>
        <v>14</v>
      </c>
      <c r="AE2028" s="65">
        <f>tblWorkPackages[[#This Row],[Last labor date]]-tblWorkPackages[[#This Row],[First labor date]]</f>
        <v>2</v>
      </c>
      <c r="AF2028" s="65">
        <f>tblWorkPackages[[#This Row],[Completion date serial]]-tblWorkPackages[[#This Row],[Last labor date]]</f>
        <v>2</v>
      </c>
      <c r="AG2028" s="65">
        <f>tblWorkPackages[[#This Row],[Completion date serial]]-tblWorkPackages[[#This Row],[Request date serial]]</f>
        <v>18</v>
      </c>
      <c r="AH2028" s="65">
        <f>IFERROR(INDEX(tblParts[Delay days],MATCH(tblWorkPackages[[#This Row],[Work package ID]],tblParts[Work package ID],0)),0)</f>
        <v>0</v>
      </c>
      <c r="AI2028" s="51" t="str">
        <f>IFERROR(INDEX(tblDisruptions[Event type],MATCH(tblWorkPackages[[#This Row],[Work package ID]],tblDisruptions[Work package ID],0)),"None")</f>
        <v>None</v>
      </c>
      <c r="AJ2028" s="51" t="str">
        <f>TEXT(tblWorkPackages[[#This Row],[Due date serial]],"yyyy-mm")</f>
        <v>2024-10</v>
      </c>
    </row>
    <row r="2029" spans="1:36" ht="15" x14ac:dyDescent="0.25">
      <c r="A2029" s="53" t="s">
        <v>2940</v>
      </c>
      <c r="B2029" s="53" t="s">
        <v>133</v>
      </c>
      <c r="C2029" s="53" t="s">
        <v>821</v>
      </c>
      <c r="D2029" s="53" t="s">
        <v>407</v>
      </c>
      <c r="E2029" s="53" t="s">
        <v>209</v>
      </c>
      <c r="F2029" s="53" t="s">
        <v>145</v>
      </c>
      <c r="G2029" s="53" t="s">
        <v>210</v>
      </c>
      <c r="H2029" s="53">
        <v>4</v>
      </c>
      <c r="I2029" s="53" t="s">
        <v>130</v>
      </c>
      <c r="J2029" s="53">
        <v>0</v>
      </c>
      <c r="K2029" s="53">
        <v>1</v>
      </c>
      <c r="L2029" s="53">
        <v>40.700000000000003</v>
      </c>
      <c r="M2029" s="53" t="s">
        <v>399</v>
      </c>
      <c r="N2029" s="53">
        <v>38.4</v>
      </c>
      <c r="O2029" s="51" t="str">
        <f>TEXT(tblWorkPackages[[#This Row],[Request date serial]]-WEEKDAY(tblWorkPackages[[#This Row],[Request date serial]],3),"yyyy-mm-dd")</f>
        <v>2024-05-13</v>
      </c>
      <c r="P2029" s="51">
        <f>ABS(tblWorkPackages[[#This Row],[Actual labor hours]]-tblWorkPackages[[#This Row],[Estimated labor hours]])</f>
        <v>2.3</v>
      </c>
      <c r="Q2029" s="51">
        <f>IF(tblWorkPackages[[#This Row],[Actual labor hours]]&gt;tblWorkPackages[[#This Row],[Estimated labor hours]],1,0)</f>
        <v>0</v>
      </c>
      <c r="R2029" s="51">
        <f>tblWorkPackages[[#This Row],[Actual labor hours]]-tblWorkPackages[[#This Row],[Estimated labor hours]]</f>
        <v>-2.3</v>
      </c>
      <c r="S2029" s="51" t="str">
        <f>IF(tblWorkPackages[[#This Row],[Request date serial]]&lt;ValidationStart,"Train 2024",IF(tblWorkPackages[[#This Row],[Request date serial]]&lt;HoldoutStart,"Validation H1","Holdout H2"))</f>
        <v>Train 2024</v>
      </c>
      <c r="T2029" s="51" t="str">
        <f>IF(tblWorkPackages[[#This Row],[Time split]]="Train 2024","",tblWorkPackages[[#This Row],[Estimated labor hours]]+VLOOKUP(tblWorkPackages[[#This Row],[Task type]],'Forecast validation'!$A$14:$E$25,IF(tblWorkPackages[[#This Row],[Time split]]="Validation H1",4,5),FALSE()))</f>
        <v/>
      </c>
      <c r="U2029" s="51" t="str">
        <f>IF(tblWorkPackages[[#This Row],[Calibrated forecast hours]]="","",ABS(tblWorkPackages[[#This Row],[Actual labor hours]]-tblWorkPackages[[#This Row],[Calibrated forecast hours]]))</f>
        <v/>
      </c>
      <c r="V2029" s="51">
        <f>IF(tblWorkPackages[[#This Row],[Time split]]="Train 2024",tblWorkPackages[[#This Row],[Estimated labor hours]],tblWorkPackages[[#This Row],[Calibrated forecast hours]])</f>
        <v>40.7</v>
      </c>
      <c r="W2029" s="64">
        <f>DATEVALUE(tblWorkPackages[[#This Row],[Request date]])</f>
        <v>45428.0</v>
      </c>
      <c r="X2029" s="64">
        <f>DATEVALUE(tblWorkPackages[[#This Row],[Due date]])</f>
        <v>45441.0</v>
      </c>
      <c r="Y2029" s="64">
        <f>DATEVALUE(tblWorkPackages[[#This Row],[Completion date]])</f>
        <v>45436.0</v>
      </c>
      <c r="Z2029" s="64">
        <f>_xlfn.MINIFS(tblLaborEntries[Work date serial],tblLaborEntries[Work package ID],tblWorkPackages[[#This Row],[Work package ID]])</f>
        <v>45431.0</v>
      </c>
      <c r="AA2029" s="64">
        <f>_xlfn.MAXIFS(tblLaborEntries[Work date serial],tblLaborEntries[Work package ID],tblWorkPackages[[#This Row],[Work package ID]])</f>
        <v>45433.0</v>
      </c>
      <c r="AB2029" s="65">
        <f>IF(tblWorkPackages[[#This Row],[Completion date serial]]&gt;tblWorkPackages[[#This Row],[Due date serial]],1,0)</f>
        <v>0</v>
      </c>
      <c r="AC2029" s="65">
        <f>MAX(0,tblWorkPackages[[#This Row],[Completion date serial]]-tblWorkPackages[[#This Row],[Due date serial]])</f>
        <v>0</v>
      </c>
      <c r="AD2029" s="65">
        <f>tblWorkPackages[[#This Row],[First labor date]]-tblWorkPackages[[#This Row],[Request date serial]]</f>
        <v>3</v>
      </c>
      <c r="AE2029" s="65">
        <f>tblWorkPackages[[#This Row],[Last labor date]]-tblWorkPackages[[#This Row],[First labor date]]</f>
        <v>2</v>
      </c>
      <c r="AF2029" s="65">
        <f>tblWorkPackages[[#This Row],[Completion date serial]]-tblWorkPackages[[#This Row],[Last labor date]]</f>
        <v>3</v>
      </c>
      <c r="AG2029" s="65">
        <f>tblWorkPackages[[#This Row],[Completion date serial]]-tblWorkPackages[[#This Row],[Request date serial]]</f>
        <v>8</v>
      </c>
      <c r="AH2029" s="65">
        <f>IFERROR(INDEX(tblParts[Delay days],MATCH(tblWorkPackages[[#This Row],[Work package ID]],tblParts[Work package ID],0)),0)</f>
        <v>0</v>
      </c>
      <c r="AI2029" s="51" t="str">
        <f>IFERROR(INDEX(tblDisruptions[Event type],MATCH(tblWorkPackages[[#This Row],[Work package ID]],tblDisruptions[Work package ID],0)),"None")</f>
        <v>None</v>
      </c>
      <c r="AJ2029" s="51" t="str">
        <f>TEXT(tblWorkPackages[[#This Row],[Due date serial]],"yyyy-mm")</f>
        <v>2024-05</v>
      </c>
    </row>
    <row r="2030" spans="1:36" ht="15" x14ac:dyDescent="0.25">
      <c r="A2030" s="53" t="s">
        <v>2941</v>
      </c>
      <c r="B2030" s="53" t="s">
        <v>203</v>
      </c>
      <c r="C2030" s="53" t="s">
        <v>1581</v>
      </c>
      <c r="D2030" s="53" t="s">
        <v>778</v>
      </c>
      <c r="E2030" s="53" t="s">
        <v>242</v>
      </c>
      <c r="F2030" s="53" t="s">
        <v>243</v>
      </c>
      <c r="G2030" s="53" t="s">
        <v>129</v>
      </c>
      <c r="H2030" s="53">
        <v>1</v>
      </c>
      <c r="I2030" s="53" t="s">
        <v>130</v>
      </c>
      <c r="J2030" s="53">
        <v>0</v>
      </c>
      <c r="K2030" s="53">
        <v>0</v>
      </c>
      <c r="L2030" s="53">
        <v>4.9000000000000004</v>
      </c>
      <c r="M2030" s="53" t="s">
        <v>581</v>
      </c>
      <c r="N2030" s="53">
        <v>4.2</v>
      </c>
      <c r="O2030" s="51" t="str">
        <f>TEXT(tblWorkPackages[[#This Row],[Request date serial]]-WEEKDAY(tblWorkPackages[[#This Row],[Request date serial]],3),"yyyy-mm-dd")</f>
        <v>2025-12-01</v>
      </c>
      <c r="P2030" s="51">
        <f>ABS(tblWorkPackages[[#This Row],[Actual labor hours]]-tblWorkPackages[[#This Row],[Estimated labor hours]])</f>
        <v>0.7</v>
      </c>
      <c r="Q2030" s="51">
        <f>IF(tblWorkPackages[[#This Row],[Actual labor hours]]&gt;tblWorkPackages[[#This Row],[Estimated labor hours]],1,0)</f>
        <v>0</v>
      </c>
      <c r="R2030" s="51">
        <f>tblWorkPackages[[#This Row],[Actual labor hours]]-tblWorkPackages[[#This Row],[Estimated labor hours]]</f>
        <v>-0.7</v>
      </c>
      <c r="S2030" s="51" t="str">
        <f>IF(tblWorkPackages[[#This Row],[Request date serial]]&lt;ValidationStart,"Train 2024",IF(tblWorkPackages[[#This Row],[Request date serial]]&lt;HoldoutStart,"Validation H1","Holdout H2"))</f>
        <v>Holdout H2</v>
      </c>
      <c r="T2030" s="51">
        <f>IF(tblWorkPackages[[#This Row],[Time split]]="Train 2024","",tblWorkPackages[[#This Row],[Estimated labor hours]]+VLOOKUP(tblWorkPackages[[#This Row],[Task type]],'Forecast validation'!$A$14:$E$25,IF(tblWorkPackages[[#This Row],[Time split]]="Validation H1",4,5),FALSE()))</f>
        <v>5.72545454545455</v>
      </c>
      <c r="U2030" s="51">
        <f>IF(tblWorkPackages[[#This Row],[Calibrated forecast hours]]="","",ABS(tblWorkPackages[[#This Row],[Actual labor hours]]-tblWorkPackages[[#This Row],[Calibrated forecast hours]]))</f>
        <v>1.52545454545455</v>
      </c>
      <c r="V2030" s="51">
        <f>IF(tblWorkPackages[[#This Row],[Time split]]="Train 2024",tblWorkPackages[[#This Row],[Estimated labor hours]],tblWorkPackages[[#This Row],[Calibrated forecast hours]])</f>
        <v>5.72545454545455</v>
      </c>
      <c r="W2030" s="64">
        <f>DATEVALUE(tblWorkPackages[[#This Row],[Request date]])</f>
        <v>45992.0</v>
      </c>
      <c r="X2030" s="64">
        <f>DATEVALUE(tblWorkPackages[[#This Row],[Due date]])</f>
        <v>46005.0</v>
      </c>
      <c r="Y2030" s="64">
        <f>DATEVALUE(tblWorkPackages[[#This Row],[Completion date]])</f>
        <v>46050.0</v>
      </c>
      <c r="Z2030" s="64">
        <f>_xlfn.MINIFS(tblLaborEntries[Work date serial],tblLaborEntries[Work package ID],tblWorkPackages[[#This Row],[Work package ID]])</f>
        <v>46049.0</v>
      </c>
      <c r="AA2030" s="64">
        <f>_xlfn.MAXIFS(tblLaborEntries[Work date serial],tblLaborEntries[Work package ID],tblWorkPackages[[#This Row],[Work package ID]])</f>
        <v>46050.0</v>
      </c>
      <c r="AB2030" s="65">
        <f>IF(tblWorkPackages[[#This Row],[Completion date serial]]&gt;tblWorkPackages[[#This Row],[Due date serial]],1,0)</f>
        <v>1</v>
      </c>
      <c r="AC2030" s="65">
        <f>MAX(0,tblWorkPackages[[#This Row],[Completion date serial]]-tblWorkPackages[[#This Row],[Due date serial]])</f>
        <v>45</v>
      </c>
      <c r="AD2030" s="65">
        <f>tblWorkPackages[[#This Row],[First labor date]]-tblWorkPackages[[#This Row],[Request date serial]]</f>
        <v>57</v>
      </c>
      <c r="AE2030" s="65">
        <f>tblWorkPackages[[#This Row],[Last labor date]]-tblWorkPackages[[#This Row],[First labor date]]</f>
        <v>1</v>
      </c>
      <c r="AF2030" s="65">
        <f>tblWorkPackages[[#This Row],[Completion date serial]]-tblWorkPackages[[#This Row],[Last labor date]]</f>
        <v>0</v>
      </c>
      <c r="AG2030" s="65">
        <f>tblWorkPackages[[#This Row],[Completion date serial]]-tblWorkPackages[[#This Row],[Request date serial]]</f>
        <v>58</v>
      </c>
      <c r="AH2030" s="65">
        <f>IFERROR(INDEX(tblParts[Delay days],MATCH(tblWorkPackages[[#This Row],[Work package ID]],tblParts[Work package ID],0)),0)</f>
        <v>0</v>
      </c>
      <c r="AI2030" s="51" t="str">
        <f>IFERROR(INDEX(tblDisruptions[Event type],MATCH(tblWorkPackages[[#This Row],[Work package ID]],tblDisruptions[Work package ID],0)),"None")</f>
        <v>None</v>
      </c>
      <c r="AJ2030" s="51" t="str">
        <f>TEXT(tblWorkPackages[[#This Row],[Due date serial]],"yyyy-mm")</f>
        <v>2025-12</v>
      </c>
    </row>
    <row r="2031" spans="1:36" ht="15" x14ac:dyDescent="0.25">
      <c r="A2031" s="53" t="s">
        <v>2942</v>
      </c>
      <c r="B2031" s="53" t="s">
        <v>185</v>
      </c>
      <c r="C2031" s="53" t="s">
        <v>945</v>
      </c>
      <c r="D2031" s="53" t="s">
        <v>151</v>
      </c>
      <c r="E2031" s="53" t="s">
        <v>200</v>
      </c>
      <c r="F2031" s="53" t="s">
        <v>128</v>
      </c>
      <c r="G2031" s="53" t="s">
        <v>129</v>
      </c>
      <c r="H2031" s="53">
        <v>4</v>
      </c>
      <c r="I2031" s="53" t="s">
        <v>176</v>
      </c>
      <c r="J2031" s="53">
        <v>0</v>
      </c>
      <c r="K2031" s="53">
        <v>0</v>
      </c>
      <c r="L2031" s="53">
        <v>5.6</v>
      </c>
      <c r="M2031" s="53" t="s">
        <v>1640</v>
      </c>
      <c r="N2031" s="53">
        <v>5.3</v>
      </c>
      <c r="O2031" s="51" t="str">
        <f>TEXT(tblWorkPackages[[#This Row],[Request date serial]]-WEEKDAY(tblWorkPackages[[#This Row],[Request date serial]],3),"yyyy-mm-dd")</f>
        <v>2024-08-12</v>
      </c>
      <c r="P2031" s="51">
        <f>ABS(tblWorkPackages[[#This Row],[Actual labor hours]]-tblWorkPackages[[#This Row],[Estimated labor hours]])</f>
        <v>0.3</v>
      </c>
      <c r="Q2031" s="51">
        <f>IF(tblWorkPackages[[#This Row],[Actual labor hours]]&gt;tblWorkPackages[[#This Row],[Estimated labor hours]],1,0)</f>
        <v>0</v>
      </c>
      <c r="R2031" s="51">
        <f>tblWorkPackages[[#This Row],[Actual labor hours]]-tblWorkPackages[[#This Row],[Estimated labor hours]]</f>
        <v>-0.3</v>
      </c>
      <c r="S2031" s="51" t="str">
        <f>IF(tblWorkPackages[[#This Row],[Request date serial]]&lt;ValidationStart,"Train 2024",IF(tblWorkPackages[[#This Row],[Request date serial]]&lt;HoldoutStart,"Validation H1","Holdout H2"))</f>
        <v>Train 2024</v>
      </c>
      <c r="T2031" s="51" t="str">
        <f>IF(tblWorkPackages[[#This Row],[Time split]]="Train 2024","",tblWorkPackages[[#This Row],[Estimated labor hours]]+VLOOKUP(tblWorkPackages[[#This Row],[Task type]],'Forecast validation'!$A$14:$E$25,IF(tblWorkPackages[[#This Row],[Time split]]="Validation H1",4,5),FALSE()))</f>
        <v/>
      </c>
      <c r="U2031" s="51" t="str">
        <f>IF(tblWorkPackages[[#This Row],[Calibrated forecast hours]]="","",ABS(tblWorkPackages[[#This Row],[Actual labor hours]]-tblWorkPackages[[#This Row],[Calibrated forecast hours]]))</f>
        <v/>
      </c>
      <c r="V2031" s="51">
        <f>IF(tblWorkPackages[[#This Row],[Time split]]="Train 2024",tblWorkPackages[[#This Row],[Estimated labor hours]],tblWorkPackages[[#This Row],[Calibrated forecast hours]])</f>
        <v>5.6</v>
      </c>
      <c r="W2031" s="64">
        <f>DATEVALUE(tblWorkPackages[[#This Row],[Request date]])</f>
        <v>45521.0</v>
      </c>
      <c r="X2031" s="64">
        <f>DATEVALUE(tblWorkPackages[[#This Row],[Due date]])</f>
        <v>45527.0</v>
      </c>
      <c r="Y2031" s="64">
        <f>DATEVALUE(tblWorkPackages[[#This Row],[Completion date]])</f>
        <v>45531.0</v>
      </c>
      <c r="Z2031" s="64">
        <f>_xlfn.MINIFS(tblLaborEntries[Work date serial],tblLaborEntries[Work package ID],tblWorkPackages[[#This Row],[Work package ID]])</f>
        <v>45529.0</v>
      </c>
      <c r="AA2031" s="64">
        <f>_xlfn.MAXIFS(tblLaborEntries[Work date serial],tblLaborEntries[Work package ID],tblWorkPackages[[#This Row],[Work package ID]])</f>
        <v>45530.0</v>
      </c>
      <c r="AB2031" s="65">
        <f>IF(tblWorkPackages[[#This Row],[Completion date serial]]&gt;tblWorkPackages[[#This Row],[Due date serial]],1,0)</f>
        <v>1</v>
      </c>
      <c r="AC2031" s="65">
        <f>MAX(0,tblWorkPackages[[#This Row],[Completion date serial]]-tblWorkPackages[[#This Row],[Due date serial]])</f>
        <v>4</v>
      </c>
      <c r="AD2031" s="65">
        <f>tblWorkPackages[[#This Row],[First labor date]]-tblWorkPackages[[#This Row],[Request date serial]]</f>
        <v>8</v>
      </c>
      <c r="AE2031" s="65">
        <f>tblWorkPackages[[#This Row],[Last labor date]]-tblWorkPackages[[#This Row],[First labor date]]</f>
        <v>1</v>
      </c>
      <c r="AF2031" s="65">
        <f>tblWorkPackages[[#This Row],[Completion date serial]]-tblWorkPackages[[#This Row],[Last labor date]]</f>
        <v>1</v>
      </c>
      <c r="AG2031" s="65">
        <f>tblWorkPackages[[#This Row],[Completion date serial]]-tblWorkPackages[[#This Row],[Request date serial]]</f>
        <v>10</v>
      </c>
      <c r="AH2031" s="65">
        <f>IFERROR(INDEX(tblParts[Delay days],MATCH(tblWorkPackages[[#This Row],[Work package ID]],tblParts[Work package ID],0)),0)</f>
        <v>0</v>
      </c>
      <c r="AI2031" s="51" t="str">
        <f>IFERROR(INDEX(tblDisruptions[Event type],MATCH(tblWorkPackages[[#This Row],[Work package ID]],tblDisruptions[Work package ID],0)),"None")</f>
        <v>None</v>
      </c>
      <c r="AJ2031" s="51" t="str">
        <f>TEXT(tblWorkPackages[[#This Row],[Due date serial]],"yyyy-mm")</f>
        <v>2024-08</v>
      </c>
    </row>
    <row r="2032" spans="1:36" ht="15" x14ac:dyDescent="0.25">
      <c r="A2032" s="53" t="s">
        <v>2943</v>
      </c>
      <c r="B2032" s="53" t="s">
        <v>163</v>
      </c>
      <c r="C2032" s="53" t="s">
        <v>407</v>
      </c>
      <c r="D2032" s="53" t="s">
        <v>703</v>
      </c>
      <c r="E2032" s="53" t="s">
        <v>200</v>
      </c>
      <c r="F2032" s="53" t="s">
        <v>128</v>
      </c>
      <c r="G2032" s="53" t="s">
        <v>129</v>
      </c>
      <c r="H2032" s="53">
        <v>4</v>
      </c>
      <c r="I2032" s="53" t="s">
        <v>130</v>
      </c>
      <c r="J2032" s="53">
        <v>0</v>
      </c>
      <c r="K2032" s="53">
        <v>0</v>
      </c>
      <c r="L2032" s="53">
        <v>5.9</v>
      </c>
      <c r="M2032" s="53" t="s">
        <v>563</v>
      </c>
      <c r="N2032" s="53">
        <v>4.7</v>
      </c>
      <c r="O2032" s="51" t="str">
        <f>TEXT(tblWorkPackages[[#This Row],[Request date serial]]-WEEKDAY(tblWorkPackages[[#This Row],[Request date serial]],3),"yyyy-mm-dd")</f>
        <v>2024-05-27</v>
      </c>
      <c r="P2032" s="51">
        <f>ABS(tblWorkPackages[[#This Row],[Actual labor hours]]-tblWorkPackages[[#This Row],[Estimated labor hours]])</f>
        <v>1.2</v>
      </c>
      <c r="Q2032" s="51">
        <f>IF(tblWorkPackages[[#This Row],[Actual labor hours]]&gt;tblWorkPackages[[#This Row],[Estimated labor hours]],1,0)</f>
        <v>0</v>
      </c>
      <c r="R2032" s="51">
        <f>tblWorkPackages[[#This Row],[Actual labor hours]]-tblWorkPackages[[#This Row],[Estimated labor hours]]</f>
        <v>-1.2</v>
      </c>
      <c r="S2032" s="51" t="str">
        <f>IF(tblWorkPackages[[#This Row],[Request date serial]]&lt;ValidationStart,"Train 2024",IF(tblWorkPackages[[#This Row],[Request date serial]]&lt;HoldoutStart,"Validation H1","Holdout H2"))</f>
        <v>Train 2024</v>
      </c>
      <c r="T2032" s="51" t="str">
        <f>IF(tblWorkPackages[[#This Row],[Time split]]="Train 2024","",tblWorkPackages[[#This Row],[Estimated labor hours]]+VLOOKUP(tblWorkPackages[[#This Row],[Task type]],'Forecast validation'!$A$14:$E$25,IF(tblWorkPackages[[#This Row],[Time split]]="Validation H1",4,5),FALSE()))</f>
        <v/>
      </c>
      <c r="U2032" s="51" t="str">
        <f>IF(tblWorkPackages[[#This Row],[Calibrated forecast hours]]="","",ABS(tblWorkPackages[[#This Row],[Actual labor hours]]-tblWorkPackages[[#This Row],[Calibrated forecast hours]]))</f>
        <v/>
      </c>
      <c r="V2032" s="51">
        <f>IF(tblWorkPackages[[#This Row],[Time split]]="Train 2024",tblWorkPackages[[#This Row],[Estimated labor hours]],tblWorkPackages[[#This Row],[Calibrated forecast hours]])</f>
        <v>5.9</v>
      </c>
      <c r="W2032" s="64">
        <f>DATEVALUE(tblWorkPackages[[#This Row],[Request date]])</f>
        <v>45441.0</v>
      </c>
      <c r="X2032" s="64">
        <f>DATEVALUE(tblWorkPackages[[#This Row],[Due date]])</f>
        <v>45454.0</v>
      </c>
      <c r="Y2032" s="64">
        <f>DATEVALUE(tblWorkPackages[[#This Row],[Completion date]])</f>
        <v>45447.0</v>
      </c>
      <c r="Z2032" s="64">
        <f>_xlfn.MINIFS(tblLaborEntries[Work date serial],tblLaborEntries[Work package ID],tblWorkPackages[[#This Row],[Work package ID]])</f>
        <v>45443.0</v>
      </c>
      <c r="AA2032" s="64">
        <f>_xlfn.MAXIFS(tblLaborEntries[Work date serial],tblLaborEntries[Work package ID],tblWorkPackages[[#This Row],[Work package ID]])</f>
        <v>45445.0</v>
      </c>
      <c r="AB2032" s="65">
        <f>IF(tblWorkPackages[[#This Row],[Completion date serial]]&gt;tblWorkPackages[[#This Row],[Due date serial]],1,0)</f>
        <v>0</v>
      </c>
      <c r="AC2032" s="65">
        <f>MAX(0,tblWorkPackages[[#This Row],[Completion date serial]]-tblWorkPackages[[#This Row],[Due date serial]])</f>
        <v>0</v>
      </c>
      <c r="AD2032" s="65">
        <f>tblWorkPackages[[#This Row],[First labor date]]-tblWorkPackages[[#This Row],[Request date serial]]</f>
        <v>2</v>
      </c>
      <c r="AE2032" s="65">
        <f>tblWorkPackages[[#This Row],[Last labor date]]-tblWorkPackages[[#This Row],[First labor date]]</f>
        <v>2</v>
      </c>
      <c r="AF2032" s="65">
        <f>tblWorkPackages[[#This Row],[Completion date serial]]-tblWorkPackages[[#This Row],[Last labor date]]</f>
        <v>2</v>
      </c>
      <c r="AG2032" s="65">
        <f>tblWorkPackages[[#This Row],[Completion date serial]]-tblWorkPackages[[#This Row],[Request date serial]]</f>
        <v>6</v>
      </c>
      <c r="AH2032" s="65">
        <f>IFERROR(INDEX(tblParts[Delay days],MATCH(tblWorkPackages[[#This Row],[Work package ID]],tblParts[Work package ID],0)),0)</f>
        <v>0</v>
      </c>
      <c r="AI2032" s="51" t="str">
        <f>IFERROR(INDEX(tblDisruptions[Event type],MATCH(tblWorkPackages[[#This Row],[Work package ID]],tblDisruptions[Work package ID],0)),"None")</f>
        <v>None</v>
      </c>
      <c r="AJ2032" s="51" t="str">
        <f>TEXT(tblWorkPackages[[#This Row],[Due date serial]],"yyyy-mm")</f>
        <v>2024-06</v>
      </c>
    </row>
    <row r="2033" spans="1:36" ht="15" x14ac:dyDescent="0.25">
      <c r="A2033" s="53" t="s">
        <v>2944</v>
      </c>
      <c r="B2033" s="53" t="s">
        <v>150</v>
      </c>
      <c r="C2033" s="53" t="s">
        <v>621</v>
      </c>
      <c r="D2033" s="53" t="s">
        <v>1138</v>
      </c>
      <c r="E2033" s="53" t="s">
        <v>136</v>
      </c>
      <c r="F2033" s="53" t="s">
        <v>137</v>
      </c>
      <c r="G2033" s="53" t="s">
        <v>138</v>
      </c>
      <c r="H2033" s="53">
        <v>1</v>
      </c>
      <c r="I2033" s="53" t="s">
        <v>130</v>
      </c>
      <c r="J2033" s="53">
        <v>0</v>
      </c>
      <c r="K2033" s="53">
        <v>1</v>
      </c>
      <c r="L2033" s="53">
        <v>9.9</v>
      </c>
      <c r="M2033" s="53" t="s">
        <v>296</v>
      </c>
      <c r="N2033" s="53">
        <v>7.6</v>
      </c>
      <c r="O2033" s="51" t="str">
        <f>TEXT(tblWorkPackages[[#This Row],[Request date serial]]-WEEKDAY(tblWorkPackages[[#This Row],[Request date serial]],3),"yyyy-mm-dd")</f>
        <v>2024-07-22</v>
      </c>
      <c r="P2033" s="51">
        <f>ABS(tblWorkPackages[[#This Row],[Actual labor hours]]-tblWorkPackages[[#This Row],[Estimated labor hours]])</f>
        <v>2.3</v>
      </c>
      <c r="Q2033" s="51">
        <f>IF(tblWorkPackages[[#This Row],[Actual labor hours]]&gt;tblWorkPackages[[#This Row],[Estimated labor hours]],1,0)</f>
        <v>0</v>
      </c>
      <c r="R2033" s="51">
        <f>tblWorkPackages[[#This Row],[Actual labor hours]]-tblWorkPackages[[#This Row],[Estimated labor hours]]</f>
        <v>-2.3</v>
      </c>
      <c r="S2033" s="51" t="str">
        <f>IF(tblWorkPackages[[#This Row],[Request date serial]]&lt;ValidationStart,"Train 2024",IF(tblWorkPackages[[#This Row],[Request date serial]]&lt;HoldoutStart,"Validation H1","Holdout H2"))</f>
        <v>Train 2024</v>
      </c>
      <c r="T2033" s="51" t="str">
        <f>IF(tblWorkPackages[[#This Row],[Time split]]="Train 2024","",tblWorkPackages[[#This Row],[Estimated labor hours]]+VLOOKUP(tblWorkPackages[[#This Row],[Task type]],'Forecast validation'!$A$14:$E$25,IF(tblWorkPackages[[#This Row],[Time split]]="Validation H1",4,5),FALSE()))</f>
        <v/>
      </c>
      <c r="U2033" s="51" t="str">
        <f>IF(tblWorkPackages[[#This Row],[Calibrated forecast hours]]="","",ABS(tblWorkPackages[[#This Row],[Actual labor hours]]-tblWorkPackages[[#This Row],[Calibrated forecast hours]]))</f>
        <v/>
      </c>
      <c r="V2033" s="51">
        <f>IF(tblWorkPackages[[#This Row],[Time split]]="Train 2024",tblWorkPackages[[#This Row],[Estimated labor hours]],tblWorkPackages[[#This Row],[Calibrated forecast hours]])</f>
        <v>9.9</v>
      </c>
      <c r="W2033" s="64">
        <f>DATEVALUE(tblWorkPackages[[#This Row],[Request date]])</f>
        <v>45496.0</v>
      </c>
      <c r="X2033" s="64">
        <f>DATEVALUE(tblWorkPackages[[#This Row],[Due date]])</f>
        <v>45509.0</v>
      </c>
      <c r="Y2033" s="64">
        <f>DATEVALUE(tblWorkPackages[[#This Row],[Completion date]])</f>
        <v>45523.0</v>
      </c>
      <c r="Z2033" s="64">
        <f>_xlfn.MINIFS(tblLaborEntries[Work date serial],tblLaborEntries[Work package ID],tblWorkPackages[[#This Row],[Work package ID]])</f>
        <v>45518.0</v>
      </c>
      <c r="AA2033" s="64">
        <f>_xlfn.MAXIFS(tblLaborEntries[Work date serial],tblLaborEntries[Work package ID],tblWorkPackages[[#This Row],[Work package ID]])</f>
        <v>45520.0</v>
      </c>
      <c r="AB2033" s="65">
        <f>IF(tblWorkPackages[[#This Row],[Completion date serial]]&gt;tblWorkPackages[[#This Row],[Due date serial]],1,0)</f>
        <v>1</v>
      </c>
      <c r="AC2033" s="65">
        <f>MAX(0,tblWorkPackages[[#This Row],[Completion date serial]]-tblWorkPackages[[#This Row],[Due date serial]])</f>
        <v>14</v>
      </c>
      <c r="AD2033" s="65">
        <f>tblWorkPackages[[#This Row],[First labor date]]-tblWorkPackages[[#This Row],[Request date serial]]</f>
        <v>22</v>
      </c>
      <c r="AE2033" s="65">
        <f>tblWorkPackages[[#This Row],[Last labor date]]-tblWorkPackages[[#This Row],[First labor date]]</f>
        <v>2</v>
      </c>
      <c r="AF2033" s="65">
        <f>tblWorkPackages[[#This Row],[Completion date serial]]-tblWorkPackages[[#This Row],[Last labor date]]</f>
        <v>3</v>
      </c>
      <c r="AG2033" s="65">
        <f>tblWorkPackages[[#This Row],[Completion date serial]]-tblWorkPackages[[#This Row],[Request date serial]]</f>
        <v>27</v>
      </c>
      <c r="AH2033" s="65">
        <f>IFERROR(INDEX(tblParts[Delay days],MATCH(tblWorkPackages[[#This Row],[Work package ID]],tblParts[Work package ID],0)),0)</f>
        <v>0</v>
      </c>
      <c r="AI2033" s="51" t="str">
        <f>IFERROR(INDEX(tblDisruptions[Event type],MATCH(tblWorkPackages[[#This Row],[Work package ID]],tblDisruptions[Work package ID],0)),"None")</f>
        <v>None</v>
      </c>
      <c r="AJ2033" s="51" t="str">
        <f>TEXT(tblWorkPackages[[#This Row],[Due date serial]],"yyyy-mm")</f>
        <v>2024-08</v>
      </c>
    </row>
    <row r="2034" spans="1:36" ht="15" x14ac:dyDescent="0.25">
      <c r="A2034" s="53" t="s">
        <v>2945</v>
      </c>
      <c r="B2034" s="53" t="s">
        <v>235</v>
      </c>
      <c r="C2034" s="53" t="s">
        <v>270</v>
      </c>
      <c r="D2034" s="53" t="s">
        <v>1480</v>
      </c>
      <c r="E2034" s="53" t="s">
        <v>127</v>
      </c>
      <c r="F2034" s="53" t="s">
        <v>128</v>
      </c>
      <c r="G2034" s="53" t="s">
        <v>129</v>
      </c>
      <c r="H2034" s="53">
        <v>4</v>
      </c>
      <c r="I2034" s="53" t="s">
        <v>176</v>
      </c>
      <c r="J2034" s="53">
        <v>0</v>
      </c>
      <c r="K2034" s="53">
        <v>0</v>
      </c>
      <c r="L2034" s="53">
        <v>14.6</v>
      </c>
      <c r="M2034" s="53" t="s">
        <v>467</v>
      </c>
      <c r="N2034" s="53">
        <v>12.2</v>
      </c>
      <c r="O2034" s="51" t="str">
        <f>TEXT(tblWorkPackages[[#This Row],[Request date serial]]-WEEKDAY(tblWorkPackages[[#This Row],[Request date serial]],3),"yyyy-mm-dd")</f>
        <v>2025-03-31</v>
      </c>
      <c r="P2034" s="51">
        <f>ABS(tblWorkPackages[[#This Row],[Actual labor hours]]-tblWorkPackages[[#This Row],[Estimated labor hours]])</f>
        <v>2.4</v>
      </c>
      <c r="Q2034" s="51">
        <f>IF(tblWorkPackages[[#This Row],[Actual labor hours]]&gt;tblWorkPackages[[#This Row],[Estimated labor hours]],1,0)</f>
        <v>0</v>
      </c>
      <c r="R2034" s="51">
        <f>tblWorkPackages[[#This Row],[Actual labor hours]]-tblWorkPackages[[#This Row],[Estimated labor hours]]</f>
        <v>-2.4</v>
      </c>
      <c r="S2034" s="51" t="str">
        <f>IF(tblWorkPackages[[#This Row],[Request date serial]]&lt;ValidationStart,"Train 2024",IF(tblWorkPackages[[#This Row],[Request date serial]]&lt;HoldoutStart,"Validation H1","Holdout H2"))</f>
        <v>Validation H1</v>
      </c>
      <c r="T2034" s="51">
        <f>IF(tblWorkPackages[[#This Row],[Time split]]="Train 2024","",tblWorkPackages[[#This Row],[Estimated labor hours]]+VLOOKUP(tblWorkPackages[[#This Row],[Task type]],'Forecast validation'!$A$14:$E$25,IF(tblWorkPackages[[#This Row],[Time split]]="Validation H1",4,5),FALSE()))</f>
        <v>15.075641025641</v>
      </c>
      <c r="U2034" s="51">
        <f>IF(tblWorkPackages[[#This Row],[Calibrated forecast hours]]="","",ABS(tblWorkPackages[[#This Row],[Actual labor hours]]-tblWorkPackages[[#This Row],[Calibrated forecast hours]]))</f>
        <v>2.87564102564103</v>
      </c>
      <c r="V2034" s="51">
        <f>IF(tblWorkPackages[[#This Row],[Time split]]="Train 2024",tblWorkPackages[[#This Row],[Estimated labor hours]],tblWorkPackages[[#This Row],[Calibrated forecast hours]])</f>
        <v>15.075641025641</v>
      </c>
      <c r="W2034" s="64">
        <f>DATEVALUE(tblWorkPackages[[#This Row],[Request date]])</f>
        <v>45748.0</v>
      </c>
      <c r="X2034" s="64">
        <f>DATEVALUE(tblWorkPackages[[#This Row],[Due date]])</f>
        <v>45754.0</v>
      </c>
      <c r="Y2034" s="64">
        <f>DATEVALUE(tblWorkPackages[[#This Row],[Completion date]])</f>
        <v>45752.0</v>
      </c>
      <c r="Z2034" s="64">
        <f>_xlfn.MINIFS(tblLaborEntries[Work date serial],tblLaborEntries[Work package ID],tblWorkPackages[[#This Row],[Work package ID]])</f>
        <v>45752.0</v>
      </c>
      <c r="AA2034" s="64">
        <f>_xlfn.MAXIFS(tblLaborEntries[Work date serial],tblLaborEntries[Work package ID],tblWorkPackages[[#This Row],[Work package ID]])</f>
        <v>45752.0</v>
      </c>
      <c r="AB2034" s="65">
        <f>IF(tblWorkPackages[[#This Row],[Completion date serial]]&gt;tblWorkPackages[[#This Row],[Due date serial]],1,0)</f>
        <v>0</v>
      </c>
      <c r="AC2034" s="65">
        <f>MAX(0,tblWorkPackages[[#This Row],[Completion date serial]]-tblWorkPackages[[#This Row],[Due date serial]])</f>
        <v>0</v>
      </c>
      <c r="AD2034" s="65">
        <f>tblWorkPackages[[#This Row],[First labor date]]-tblWorkPackages[[#This Row],[Request date serial]]</f>
        <v>4</v>
      </c>
      <c r="AE2034" s="65">
        <f>tblWorkPackages[[#This Row],[Last labor date]]-tblWorkPackages[[#This Row],[First labor date]]</f>
        <v>0</v>
      </c>
      <c r="AF2034" s="65">
        <f>tblWorkPackages[[#This Row],[Completion date serial]]-tblWorkPackages[[#This Row],[Last labor date]]</f>
        <v>0</v>
      </c>
      <c r="AG2034" s="65">
        <f>tblWorkPackages[[#This Row],[Completion date serial]]-tblWorkPackages[[#This Row],[Request date serial]]</f>
        <v>4</v>
      </c>
      <c r="AH2034" s="65">
        <f>IFERROR(INDEX(tblParts[Delay days],MATCH(tblWorkPackages[[#This Row],[Work package ID]],tblParts[Work package ID],0)),0)</f>
        <v>0</v>
      </c>
      <c r="AI2034" s="51" t="str">
        <f>IFERROR(INDEX(tblDisruptions[Event type],MATCH(tblWorkPackages[[#This Row],[Work package ID]],tblDisruptions[Work package ID],0)),"None")</f>
        <v>None</v>
      </c>
      <c r="AJ2034" s="51" t="str">
        <f>TEXT(tblWorkPackages[[#This Row],[Due date serial]],"yyyy-mm")</f>
        <v>2025-04</v>
      </c>
    </row>
    <row r="2035" spans="1:36" ht="15" x14ac:dyDescent="0.25">
      <c r="A2035" s="53" t="s">
        <v>2946</v>
      </c>
      <c r="B2035" s="53" t="s">
        <v>141</v>
      </c>
      <c r="C2035" s="53" t="s">
        <v>1383</v>
      </c>
      <c r="D2035" s="53" t="s">
        <v>698</v>
      </c>
      <c r="E2035" s="53" t="s">
        <v>272</v>
      </c>
      <c r="F2035" s="53" t="s">
        <v>145</v>
      </c>
      <c r="G2035" s="53" t="s">
        <v>273</v>
      </c>
      <c r="H2035" s="53">
        <v>3</v>
      </c>
      <c r="I2035" s="53" t="s">
        <v>130</v>
      </c>
      <c r="J2035" s="53">
        <v>1</v>
      </c>
      <c r="K2035" s="53">
        <v>1</v>
      </c>
      <c r="L2035" s="53">
        <v>15.4</v>
      </c>
      <c r="M2035" s="53" t="s">
        <v>280</v>
      </c>
      <c r="N2035" s="53">
        <v>19</v>
      </c>
      <c r="O2035" s="51" t="str">
        <f>TEXT(tblWorkPackages[[#This Row],[Request date serial]]-WEEKDAY(tblWorkPackages[[#This Row],[Request date serial]],3),"yyyy-mm-dd")</f>
        <v>2025-01-20</v>
      </c>
      <c r="P2035" s="51">
        <f>ABS(tblWorkPackages[[#This Row],[Actual labor hours]]-tblWorkPackages[[#This Row],[Estimated labor hours]])</f>
        <v>3.6</v>
      </c>
      <c r="Q2035" s="51">
        <f>IF(tblWorkPackages[[#This Row],[Actual labor hours]]&gt;tblWorkPackages[[#This Row],[Estimated labor hours]],1,0)</f>
        <v>1</v>
      </c>
      <c r="R2035" s="51">
        <f>tblWorkPackages[[#This Row],[Actual labor hours]]-tblWorkPackages[[#This Row],[Estimated labor hours]]</f>
        <v>3.6</v>
      </c>
      <c r="S2035" s="51" t="str">
        <f>IF(tblWorkPackages[[#This Row],[Request date serial]]&lt;ValidationStart,"Train 2024",IF(tblWorkPackages[[#This Row],[Request date serial]]&lt;HoldoutStart,"Validation H1","Holdout H2"))</f>
        <v>Validation H1</v>
      </c>
      <c r="T2035" s="51">
        <f>IF(tblWorkPackages[[#This Row],[Time split]]="Train 2024","",tblWorkPackages[[#This Row],[Estimated labor hours]]+VLOOKUP(tblWorkPackages[[#This Row],[Task type]],'Forecast validation'!$A$14:$E$25,IF(tblWorkPackages[[#This Row],[Time split]]="Validation H1",4,5),FALSE()))</f>
        <v>16.4320512820513</v>
      </c>
      <c r="U2035" s="51">
        <f>IF(tblWorkPackages[[#This Row],[Calibrated forecast hours]]="","",ABS(tblWorkPackages[[#This Row],[Actual labor hours]]-tblWorkPackages[[#This Row],[Calibrated forecast hours]]))</f>
        <v>2.56794871794872</v>
      </c>
      <c r="V2035" s="51">
        <f>IF(tblWorkPackages[[#This Row],[Time split]]="Train 2024",tblWorkPackages[[#This Row],[Estimated labor hours]],tblWorkPackages[[#This Row],[Calibrated forecast hours]])</f>
        <v>16.4320512820513</v>
      </c>
      <c r="W2035" s="64">
        <f>DATEVALUE(tblWorkPackages[[#This Row],[Request date]])</f>
        <v>45683.0</v>
      </c>
      <c r="X2035" s="64">
        <f>DATEVALUE(tblWorkPackages[[#This Row],[Due date]])</f>
        <v>45696.0</v>
      </c>
      <c r="Y2035" s="64">
        <f>DATEVALUE(tblWorkPackages[[#This Row],[Completion date]])</f>
        <v>45685.0</v>
      </c>
      <c r="Z2035" s="64">
        <f>_xlfn.MINIFS(tblLaborEntries[Work date serial],tblLaborEntries[Work package ID],tblWorkPackages[[#This Row],[Work package ID]])</f>
        <v>45684.0</v>
      </c>
      <c r="AA2035" s="64">
        <f>_xlfn.MAXIFS(tblLaborEntries[Work date serial],tblLaborEntries[Work package ID],tblWorkPackages[[#This Row],[Work package ID]])</f>
        <v>45684.0</v>
      </c>
      <c r="AB2035" s="65">
        <f>IF(tblWorkPackages[[#This Row],[Completion date serial]]&gt;tblWorkPackages[[#This Row],[Due date serial]],1,0)</f>
        <v>0</v>
      </c>
      <c r="AC2035" s="65">
        <f>MAX(0,tblWorkPackages[[#This Row],[Completion date serial]]-tblWorkPackages[[#This Row],[Due date serial]])</f>
        <v>0</v>
      </c>
      <c r="AD2035" s="65">
        <f>tblWorkPackages[[#This Row],[First labor date]]-tblWorkPackages[[#This Row],[Request date serial]]</f>
        <v>1</v>
      </c>
      <c r="AE2035" s="65">
        <f>tblWorkPackages[[#This Row],[Last labor date]]-tblWorkPackages[[#This Row],[First labor date]]</f>
        <v>0</v>
      </c>
      <c r="AF2035" s="65">
        <f>tblWorkPackages[[#This Row],[Completion date serial]]-tblWorkPackages[[#This Row],[Last labor date]]</f>
        <v>1</v>
      </c>
      <c r="AG2035" s="65">
        <f>tblWorkPackages[[#This Row],[Completion date serial]]-tblWorkPackages[[#This Row],[Request date serial]]</f>
        <v>2</v>
      </c>
      <c r="AH2035" s="65">
        <f>IFERROR(INDEX(tblParts[Delay days],MATCH(tblWorkPackages[[#This Row],[Work package ID]],tblParts[Work package ID],0)),0)</f>
        <v>0</v>
      </c>
      <c r="AI2035" s="51" t="str">
        <f>IFERROR(INDEX(tblDisruptions[Event type],MATCH(tblWorkPackages[[#This Row],[Work package ID]],tblDisruptions[Work package ID],0)),"None")</f>
        <v>None</v>
      </c>
      <c r="AJ2035" s="51" t="str">
        <f>TEXT(tblWorkPackages[[#This Row],[Due date serial]],"yyyy-mm")</f>
        <v>2025-02</v>
      </c>
    </row>
    <row r="2036" spans="1:36" ht="15" x14ac:dyDescent="0.25">
      <c r="A2036" s="53" t="s">
        <v>2947</v>
      </c>
      <c r="B2036" s="53" t="s">
        <v>173</v>
      </c>
      <c r="C2036" s="53" t="s">
        <v>520</v>
      </c>
      <c r="D2036" s="53" t="s">
        <v>191</v>
      </c>
      <c r="E2036" s="53" t="s">
        <v>237</v>
      </c>
      <c r="F2036" s="53" t="s">
        <v>182</v>
      </c>
      <c r="G2036" s="53" t="s">
        <v>138</v>
      </c>
      <c r="H2036" s="53">
        <v>1</v>
      </c>
      <c r="I2036" s="53" t="s">
        <v>176</v>
      </c>
      <c r="J2036" s="53">
        <v>0</v>
      </c>
      <c r="K2036" s="53">
        <v>0</v>
      </c>
      <c r="L2036" s="53">
        <v>3.1</v>
      </c>
      <c r="M2036" s="53" t="s">
        <v>134</v>
      </c>
      <c r="N2036" s="53">
        <v>2.4</v>
      </c>
      <c r="O2036" s="51" t="str">
        <f>TEXT(tblWorkPackages[[#This Row],[Request date serial]]-WEEKDAY(tblWorkPackages[[#This Row],[Request date serial]],3),"yyyy-mm-dd")</f>
        <v>2025-08-18</v>
      </c>
      <c r="P2036" s="51">
        <f>ABS(tblWorkPackages[[#This Row],[Actual labor hours]]-tblWorkPackages[[#This Row],[Estimated labor hours]])</f>
        <v>0.7</v>
      </c>
      <c r="Q2036" s="51">
        <f>IF(tblWorkPackages[[#This Row],[Actual labor hours]]&gt;tblWorkPackages[[#This Row],[Estimated labor hours]],1,0)</f>
        <v>0</v>
      </c>
      <c r="R2036" s="51">
        <f>tblWorkPackages[[#This Row],[Actual labor hours]]-tblWorkPackages[[#This Row],[Estimated labor hours]]</f>
        <v>-0.7</v>
      </c>
      <c r="S2036" s="51" t="str">
        <f>IF(tblWorkPackages[[#This Row],[Request date serial]]&lt;ValidationStart,"Train 2024",IF(tblWorkPackages[[#This Row],[Request date serial]]&lt;HoldoutStart,"Validation H1","Holdout H2"))</f>
        <v>Holdout H2</v>
      </c>
      <c r="T2036" s="51">
        <f>IF(tblWorkPackages[[#This Row],[Time split]]="Train 2024","",tblWorkPackages[[#This Row],[Estimated labor hours]]+VLOOKUP(tblWorkPackages[[#This Row],[Task type]],'Forecast validation'!$A$14:$E$25,IF(tblWorkPackages[[#This Row],[Time split]]="Validation H1",4,5),FALSE()))</f>
        <v>3.553125</v>
      </c>
      <c r="U2036" s="51">
        <f>IF(tblWorkPackages[[#This Row],[Calibrated forecast hours]]="","",ABS(tblWorkPackages[[#This Row],[Actual labor hours]]-tblWorkPackages[[#This Row],[Calibrated forecast hours]]))</f>
        <v>1.153125</v>
      </c>
      <c r="V2036" s="51">
        <f>IF(tblWorkPackages[[#This Row],[Time split]]="Train 2024",tblWorkPackages[[#This Row],[Estimated labor hours]],tblWorkPackages[[#This Row],[Calibrated forecast hours]])</f>
        <v>3.553125</v>
      </c>
      <c r="W2036" s="64">
        <f>DATEVALUE(tblWorkPackages[[#This Row],[Request date]])</f>
        <v>45890.0</v>
      </c>
      <c r="X2036" s="64">
        <f>DATEVALUE(tblWorkPackages[[#This Row],[Due date]])</f>
        <v>45896.0</v>
      </c>
      <c r="Y2036" s="64">
        <f>DATEVALUE(tblWorkPackages[[#This Row],[Completion date]])</f>
        <v>45905.0</v>
      </c>
      <c r="Z2036" s="64">
        <f>_xlfn.MINIFS(tblLaborEntries[Work date serial],tblLaborEntries[Work package ID],tblWorkPackages[[#This Row],[Work package ID]])</f>
        <v>45902.0</v>
      </c>
      <c r="AA2036" s="64">
        <f>_xlfn.MAXIFS(tblLaborEntries[Work date serial],tblLaborEntries[Work package ID],tblWorkPackages[[#This Row],[Work package ID]])</f>
        <v>45903.0</v>
      </c>
      <c r="AB2036" s="65">
        <f>IF(tblWorkPackages[[#This Row],[Completion date serial]]&gt;tblWorkPackages[[#This Row],[Due date serial]],1,0)</f>
        <v>1</v>
      </c>
      <c r="AC2036" s="65">
        <f>MAX(0,tblWorkPackages[[#This Row],[Completion date serial]]-tblWorkPackages[[#This Row],[Due date serial]])</f>
        <v>9</v>
      </c>
      <c r="AD2036" s="65">
        <f>tblWorkPackages[[#This Row],[First labor date]]-tblWorkPackages[[#This Row],[Request date serial]]</f>
        <v>12</v>
      </c>
      <c r="AE2036" s="65">
        <f>tblWorkPackages[[#This Row],[Last labor date]]-tblWorkPackages[[#This Row],[First labor date]]</f>
        <v>1</v>
      </c>
      <c r="AF2036" s="65">
        <f>tblWorkPackages[[#This Row],[Completion date serial]]-tblWorkPackages[[#This Row],[Last labor date]]</f>
        <v>2</v>
      </c>
      <c r="AG2036" s="65">
        <f>tblWorkPackages[[#This Row],[Completion date serial]]-tblWorkPackages[[#This Row],[Request date serial]]</f>
        <v>15</v>
      </c>
      <c r="AH2036" s="65">
        <f>IFERROR(INDEX(tblParts[Delay days],MATCH(tblWorkPackages[[#This Row],[Work package ID]],tblParts[Work package ID],0)),0)</f>
        <v>0</v>
      </c>
      <c r="AI2036" s="51" t="str">
        <f>IFERROR(INDEX(tblDisruptions[Event type],MATCH(tblWorkPackages[[#This Row],[Work package ID]],tblDisruptions[Work package ID],0)),"None")</f>
        <v>None</v>
      </c>
      <c r="AJ2036" s="51" t="str">
        <f>TEXT(tblWorkPackages[[#This Row],[Due date serial]],"yyyy-mm")</f>
        <v>2025-08</v>
      </c>
    </row>
    <row r="2037" spans="1:36" ht="15" x14ac:dyDescent="0.25">
      <c r="A2037" s="53" t="s">
        <v>2948</v>
      </c>
      <c r="B2037" s="53" t="s">
        <v>250</v>
      </c>
      <c r="C2037" s="53" t="s">
        <v>540</v>
      </c>
      <c r="D2037" s="53" t="s">
        <v>1546</v>
      </c>
      <c r="E2037" s="53" t="s">
        <v>127</v>
      </c>
      <c r="F2037" s="53" t="s">
        <v>128</v>
      </c>
      <c r="G2037" s="53" t="s">
        <v>129</v>
      </c>
      <c r="H2037" s="53">
        <v>3</v>
      </c>
      <c r="I2037" s="53" t="s">
        <v>130</v>
      </c>
      <c r="J2037" s="53">
        <v>0</v>
      </c>
      <c r="K2037" s="53">
        <v>0</v>
      </c>
      <c r="L2037" s="53">
        <v>8.6</v>
      </c>
      <c r="M2037" s="53" t="s">
        <v>387</v>
      </c>
      <c r="N2037" s="53">
        <v>8.9</v>
      </c>
      <c r="O2037" s="51" t="str">
        <f>TEXT(tblWorkPackages[[#This Row],[Request date serial]]-WEEKDAY(tblWorkPackages[[#This Row],[Request date serial]],3),"yyyy-mm-dd")</f>
        <v>2024-09-02</v>
      </c>
      <c r="P2037" s="51">
        <f>ABS(tblWorkPackages[[#This Row],[Actual labor hours]]-tblWorkPackages[[#This Row],[Estimated labor hours]])</f>
        <v>0.300000000000001</v>
      </c>
      <c r="Q2037" s="51">
        <f>IF(tblWorkPackages[[#This Row],[Actual labor hours]]&gt;tblWorkPackages[[#This Row],[Estimated labor hours]],1,0)</f>
        <v>1</v>
      </c>
      <c r="R2037" s="51">
        <f>tblWorkPackages[[#This Row],[Actual labor hours]]-tblWorkPackages[[#This Row],[Estimated labor hours]]</f>
        <v>0.300000000000001</v>
      </c>
      <c r="S2037" s="51" t="str">
        <f>IF(tblWorkPackages[[#This Row],[Request date serial]]&lt;ValidationStart,"Train 2024",IF(tblWorkPackages[[#This Row],[Request date serial]]&lt;HoldoutStart,"Validation H1","Holdout H2"))</f>
        <v>Train 2024</v>
      </c>
      <c r="T2037" s="51" t="str">
        <f>IF(tblWorkPackages[[#This Row],[Time split]]="Train 2024","",tblWorkPackages[[#This Row],[Estimated labor hours]]+VLOOKUP(tblWorkPackages[[#This Row],[Task type]],'Forecast validation'!$A$14:$E$25,IF(tblWorkPackages[[#This Row],[Time split]]="Validation H1",4,5),FALSE()))</f>
        <v/>
      </c>
      <c r="U2037" s="51" t="str">
        <f>IF(tblWorkPackages[[#This Row],[Calibrated forecast hours]]="","",ABS(tblWorkPackages[[#This Row],[Actual labor hours]]-tblWorkPackages[[#This Row],[Calibrated forecast hours]]))</f>
        <v/>
      </c>
      <c r="V2037" s="51">
        <f>IF(tblWorkPackages[[#This Row],[Time split]]="Train 2024",tblWorkPackages[[#This Row],[Estimated labor hours]],tblWorkPackages[[#This Row],[Calibrated forecast hours]])</f>
        <v>8.6</v>
      </c>
      <c r="W2037" s="64">
        <f>DATEVALUE(tblWorkPackages[[#This Row],[Request date]])</f>
        <v>45538.0</v>
      </c>
      <c r="X2037" s="64">
        <f>DATEVALUE(tblWorkPackages[[#This Row],[Due date]])</f>
        <v>45551.0</v>
      </c>
      <c r="Y2037" s="64">
        <f>DATEVALUE(tblWorkPackages[[#This Row],[Completion date]])</f>
        <v>45546.0</v>
      </c>
      <c r="Z2037" s="64">
        <f>_xlfn.MINIFS(tblLaborEntries[Work date serial],tblLaborEntries[Work package ID],tblWorkPackages[[#This Row],[Work package ID]])</f>
        <v>45541.0</v>
      </c>
      <c r="AA2037" s="64">
        <f>_xlfn.MAXIFS(tblLaborEntries[Work date serial],tblLaborEntries[Work package ID],tblWorkPackages[[#This Row],[Work package ID]])</f>
        <v>45543.0</v>
      </c>
      <c r="AB2037" s="65">
        <f>IF(tblWorkPackages[[#This Row],[Completion date serial]]&gt;tblWorkPackages[[#This Row],[Due date serial]],1,0)</f>
        <v>0</v>
      </c>
      <c r="AC2037" s="65">
        <f>MAX(0,tblWorkPackages[[#This Row],[Completion date serial]]-tblWorkPackages[[#This Row],[Due date serial]])</f>
        <v>0</v>
      </c>
      <c r="AD2037" s="65">
        <f>tblWorkPackages[[#This Row],[First labor date]]-tblWorkPackages[[#This Row],[Request date serial]]</f>
        <v>3</v>
      </c>
      <c r="AE2037" s="65">
        <f>tblWorkPackages[[#This Row],[Last labor date]]-tblWorkPackages[[#This Row],[First labor date]]</f>
        <v>2</v>
      </c>
      <c r="AF2037" s="65">
        <f>tblWorkPackages[[#This Row],[Completion date serial]]-tblWorkPackages[[#This Row],[Last labor date]]</f>
        <v>3</v>
      </c>
      <c r="AG2037" s="65">
        <f>tblWorkPackages[[#This Row],[Completion date serial]]-tblWorkPackages[[#This Row],[Request date serial]]</f>
        <v>8</v>
      </c>
      <c r="AH2037" s="65">
        <f>IFERROR(INDEX(tblParts[Delay days],MATCH(tblWorkPackages[[#This Row],[Work package ID]],tblParts[Work package ID],0)),0)</f>
        <v>0</v>
      </c>
      <c r="AI2037" s="51" t="str">
        <f>IFERROR(INDEX(tblDisruptions[Event type],MATCH(tblWorkPackages[[#This Row],[Work package ID]],tblDisruptions[Work package ID],0)),"None")</f>
        <v>None</v>
      </c>
      <c r="AJ2037" s="51" t="str">
        <f>TEXT(tblWorkPackages[[#This Row],[Due date serial]],"yyyy-mm")</f>
        <v>2024-09</v>
      </c>
    </row>
    <row r="2038" spans="1:36" ht="15" x14ac:dyDescent="0.25">
      <c r="A2038" s="53" t="s">
        <v>2949</v>
      </c>
      <c r="B2038" s="53" t="s">
        <v>168</v>
      </c>
      <c r="C2038" s="53" t="s">
        <v>529</v>
      </c>
      <c r="D2038" s="53" t="s">
        <v>1056</v>
      </c>
      <c r="E2038" s="53" t="s">
        <v>209</v>
      </c>
      <c r="F2038" s="53" t="s">
        <v>145</v>
      </c>
      <c r="G2038" s="53" t="s">
        <v>210</v>
      </c>
      <c r="H2038" s="53">
        <v>3</v>
      </c>
      <c r="I2038" s="53" t="s">
        <v>147</v>
      </c>
      <c r="J2038" s="53">
        <v>0</v>
      </c>
      <c r="K2038" s="53">
        <v>0</v>
      </c>
      <c r="L2038" s="53">
        <v>26.1</v>
      </c>
      <c r="M2038" s="53" t="s">
        <v>991</v>
      </c>
      <c r="N2038" s="53">
        <v>26.8</v>
      </c>
      <c r="O2038" s="51" t="str">
        <f>TEXT(tblWorkPackages[[#This Row],[Request date serial]]-WEEKDAY(tblWorkPackages[[#This Row],[Request date serial]],3),"yyyy-mm-dd")</f>
        <v>2025-09-08</v>
      </c>
      <c r="P2038" s="51">
        <f>ABS(tblWorkPackages[[#This Row],[Actual labor hours]]-tblWorkPackages[[#This Row],[Estimated labor hours]])</f>
        <v>0.699999999999999</v>
      </c>
      <c r="Q2038" s="51">
        <f>IF(tblWorkPackages[[#This Row],[Actual labor hours]]&gt;tblWorkPackages[[#This Row],[Estimated labor hours]],1,0)</f>
        <v>1</v>
      </c>
      <c r="R2038" s="51">
        <f>tblWorkPackages[[#This Row],[Actual labor hours]]-tblWorkPackages[[#This Row],[Estimated labor hours]]</f>
        <v>0.699999999999999</v>
      </c>
      <c r="S2038" s="51" t="str">
        <f>IF(tblWorkPackages[[#This Row],[Request date serial]]&lt;ValidationStart,"Train 2024",IF(tblWorkPackages[[#This Row],[Request date serial]]&lt;HoldoutStart,"Validation H1","Holdout H2"))</f>
        <v>Holdout H2</v>
      </c>
      <c r="T2038" s="51">
        <f>IF(tblWorkPackages[[#This Row],[Time split]]="Train 2024","",tblWorkPackages[[#This Row],[Estimated labor hours]]+VLOOKUP(tblWorkPackages[[#This Row],[Task type]],'Forecast validation'!$A$14:$E$25,IF(tblWorkPackages[[#This Row],[Time split]]="Validation H1",4,5),FALSE()))</f>
        <v>27.895652173913</v>
      </c>
      <c r="U2038" s="51">
        <f>IF(tblWorkPackages[[#This Row],[Calibrated forecast hours]]="","",ABS(tblWorkPackages[[#This Row],[Actual labor hours]]-tblWorkPackages[[#This Row],[Calibrated forecast hours]]))</f>
        <v>1.09565217391305</v>
      </c>
      <c r="V2038" s="51">
        <f>IF(tblWorkPackages[[#This Row],[Time split]]="Train 2024",tblWorkPackages[[#This Row],[Estimated labor hours]],tblWorkPackages[[#This Row],[Calibrated forecast hours]])</f>
        <v>27.895652173913</v>
      </c>
      <c r="W2038" s="64">
        <f>DATEVALUE(tblWorkPackages[[#This Row],[Request date]])</f>
        <v>45911.0</v>
      </c>
      <c r="X2038" s="64">
        <f>DATEVALUE(tblWorkPackages[[#This Row],[Due date]])</f>
        <v>45913.0</v>
      </c>
      <c r="Y2038" s="64">
        <f>DATEVALUE(tblWorkPackages[[#This Row],[Completion date]])</f>
        <v>45945.0</v>
      </c>
      <c r="Z2038" s="64">
        <f>_xlfn.MINIFS(tblLaborEntries[Work date serial],tblLaborEntries[Work package ID],tblWorkPackages[[#This Row],[Work package ID]])</f>
        <v>45945.0</v>
      </c>
      <c r="AA2038" s="64">
        <f>_xlfn.MAXIFS(tblLaborEntries[Work date serial],tblLaborEntries[Work package ID],tblWorkPackages[[#This Row],[Work package ID]])</f>
        <v>45945.0</v>
      </c>
      <c r="AB2038" s="65">
        <f>IF(tblWorkPackages[[#This Row],[Completion date serial]]&gt;tblWorkPackages[[#This Row],[Due date serial]],1,0)</f>
        <v>1</v>
      </c>
      <c r="AC2038" s="65">
        <f>MAX(0,tblWorkPackages[[#This Row],[Completion date serial]]-tblWorkPackages[[#This Row],[Due date serial]])</f>
        <v>32</v>
      </c>
      <c r="AD2038" s="65">
        <f>tblWorkPackages[[#This Row],[First labor date]]-tblWorkPackages[[#This Row],[Request date serial]]</f>
        <v>34</v>
      </c>
      <c r="AE2038" s="65">
        <f>tblWorkPackages[[#This Row],[Last labor date]]-tblWorkPackages[[#This Row],[First labor date]]</f>
        <v>0</v>
      </c>
      <c r="AF2038" s="65">
        <f>tblWorkPackages[[#This Row],[Completion date serial]]-tblWorkPackages[[#This Row],[Last labor date]]</f>
        <v>0</v>
      </c>
      <c r="AG2038" s="65">
        <f>tblWorkPackages[[#This Row],[Completion date serial]]-tblWorkPackages[[#This Row],[Request date serial]]</f>
        <v>34</v>
      </c>
      <c r="AH2038" s="65">
        <f>IFERROR(INDEX(tblParts[Delay days],MATCH(tblWorkPackages[[#This Row],[Work package ID]],tblParts[Work package ID],0)),0)</f>
        <v>0</v>
      </c>
      <c r="AI2038" s="51" t="str">
        <f>IFERROR(INDEX(tblDisruptions[Event type],MATCH(tblWorkPackages[[#This Row],[Work package ID]],tblDisruptions[Work package ID],0)),"None")</f>
        <v>None</v>
      </c>
      <c r="AJ2038" s="51" t="str">
        <f>TEXT(tblWorkPackages[[#This Row],[Due date serial]],"yyyy-mm")</f>
        <v>2025-09</v>
      </c>
    </row>
    <row r="2039" spans="1:36" ht="15" x14ac:dyDescent="0.25">
      <c r="A2039" s="53" t="s">
        <v>2950</v>
      </c>
      <c r="B2039" s="53" t="s">
        <v>230</v>
      </c>
      <c r="C2039" s="53" t="s">
        <v>521</v>
      </c>
      <c r="D2039" s="53" t="s">
        <v>1330</v>
      </c>
      <c r="E2039" s="53" t="s">
        <v>200</v>
      </c>
      <c r="F2039" s="53" t="s">
        <v>128</v>
      </c>
      <c r="G2039" s="53" t="s">
        <v>129</v>
      </c>
      <c r="H2039" s="53">
        <v>1</v>
      </c>
      <c r="I2039" s="53" t="s">
        <v>176</v>
      </c>
      <c r="J2039" s="53">
        <v>0</v>
      </c>
      <c r="K2039" s="53">
        <v>0</v>
      </c>
      <c r="L2039" s="53">
        <v>1.9</v>
      </c>
      <c r="M2039" s="53" t="s">
        <v>284</v>
      </c>
      <c r="N2039" s="53">
        <v>1.9</v>
      </c>
      <c r="O2039" s="51" t="str">
        <f>TEXT(tblWorkPackages[[#This Row],[Request date serial]]-WEEKDAY(tblWorkPackages[[#This Row],[Request date serial]],3),"yyyy-mm-dd")</f>
        <v>2025-09-01</v>
      </c>
      <c r="P2039" s="51">
        <f>ABS(tblWorkPackages[[#This Row],[Actual labor hours]]-tblWorkPackages[[#This Row],[Estimated labor hours]])</f>
        <v>0</v>
      </c>
      <c r="Q2039" s="51">
        <f>IF(tblWorkPackages[[#This Row],[Actual labor hours]]&gt;tblWorkPackages[[#This Row],[Estimated labor hours]],1,0)</f>
        <v>0</v>
      </c>
      <c r="R2039" s="51">
        <f>tblWorkPackages[[#This Row],[Actual labor hours]]-tblWorkPackages[[#This Row],[Estimated labor hours]]</f>
        <v>0</v>
      </c>
      <c r="S2039" s="51" t="str">
        <f>IF(tblWorkPackages[[#This Row],[Request date serial]]&lt;ValidationStart,"Train 2024",IF(tblWorkPackages[[#This Row],[Request date serial]]&lt;HoldoutStart,"Validation H1","Holdout H2"))</f>
        <v>Holdout H2</v>
      </c>
      <c r="T2039" s="51">
        <f>IF(tblWorkPackages[[#This Row],[Time split]]="Train 2024","",tblWorkPackages[[#This Row],[Estimated labor hours]]+VLOOKUP(tblWorkPackages[[#This Row],[Task type]],'Forecast validation'!$A$14:$E$25,IF(tblWorkPackages[[#This Row],[Time split]]="Validation H1",4,5),FALSE()))</f>
        <v>2.22893081761006</v>
      </c>
      <c r="U2039" s="51">
        <f>IF(tblWorkPackages[[#This Row],[Calibrated forecast hours]]="","",ABS(tblWorkPackages[[#This Row],[Actual labor hours]]-tblWorkPackages[[#This Row],[Calibrated forecast hours]]))</f>
        <v>0.328930817610063</v>
      </c>
      <c r="V2039" s="51">
        <f>IF(tblWorkPackages[[#This Row],[Time split]]="Train 2024",tblWorkPackages[[#This Row],[Estimated labor hours]],tblWorkPackages[[#This Row],[Calibrated forecast hours]])</f>
        <v>2.22893081761006</v>
      </c>
      <c r="W2039" s="64">
        <f>DATEVALUE(tblWorkPackages[[#This Row],[Request date]])</f>
        <v>45903.0</v>
      </c>
      <c r="X2039" s="64">
        <f>DATEVALUE(tblWorkPackages[[#This Row],[Due date]])</f>
        <v>45909.0</v>
      </c>
      <c r="Y2039" s="64">
        <f>DATEVALUE(tblWorkPackages[[#This Row],[Completion date]])</f>
        <v>45910.0</v>
      </c>
      <c r="Z2039" s="64">
        <f>_xlfn.MINIFS(tblLaborEntries[Work date serial],tblLaborEntries[Work package ID],tblWorkPackages[[#This Row],[Work package ID]])</f>
        <v>45909.0</v>
      </c>
      <c r="AA2039" s="64">
        <f>_xlfn.MAXIFS(tblLaborEntries[Work date serial],tblLaborEntries[Work package ID],tblWorkPackages[[#This Row],[Work package ID]])</f>
        <v>45909.0</v>
      </c>
      <c r="AB2039" s="65">
        <f>IF(tblWorkPackages[[#This Row],[Completion date serial]]&gt;tblWorkPackages[[#This Row],[Due date serial]],1,0)</f>
        <v>1</v>
      </c>
      <c r="AC2039" s="65">
        <f>MAX(0,tblWorkPackages[[#This Row],[Completion date serial]]-tblWorkPackages[[#This Row],[Due date serial]])</f>
        <v>1</v>
      </c>
      <c r="AD2039" s="65">
        <f>tblWorkPackages[[#This Row],[First labor date]]-tblWorkPackages[[#This Row],[Request date serial]]</f>
        <v>6</v>
      </c>
      <c r="AE2039" s="65">
        <f>tblWorkPackages[[#This Row],[Last labor date]]-tblWorkPackages[[#This Row],[First labor date]]</f>
        <v>0</v>
      </c>
      <c r="AF2039" s="65">
        <f>tblWorkPackages[[#This Row],[Completion date serial]]-tblWorkPackages[[#This Row],[Last labor date]]</f>
        <v>1</v>
      </c>
      <c r="AG2039" s="65">
        <f>tblWorkPackages[[#This Row],[Completion date serial]]-tblWorkPackages[[#This Row],[Request date serial]]</f>
        <v>7</v>
      </c>
      <c r="AH2039" s="65">
        <f>IFERROR(INDEX(tblParts[Delay days],MATCH(tblWorkPackages[[#This Row],[Work package ID]],tblParts[Work package ID],0)),0)</f>
        <v>0</v>
      </c>
      <c r="AI2039" s="51" t="str">
        <f>IFERROR(INDEX(tblDisruptions[Event type],MATCH(tblWorkPackages[[#This Row],[Work package ID]],tblDisruptions[Work package ID],0)),"None")</f>
        <v>None</v>
      </c>
      <c r="AJ2039" s="51" t="str">
        <f>TEXT(tblWorkPackages[[#This Row],[Due date serial]],"yyyy-mm")</f>
        <v>2025-09</v>
      </c>
    </row>
    <row r="2040" spans="1:36" ht="15" x14ac:dyDescent="0.25">
      <c r="A2040" s="53" t="s">
        <v>2951</v>
      </c>
      <c r="B2040" s="53" t="s">
        <v>173</v>
      </c>
      <c r="C2040" s="53" t="s">
        <v>568</v>
      </c>
      <c r="D2040" s="53" t="s">
        <v>424</v>
      </c>
      <c r="E2040" s="53" t="s">
        <v>272</v>
      </c>
      <c r="F2040" s="53" t="s">
        <v>145</v>
      </c>
      <c r="G2040" s="53" t="s">
        <v>273</v>
      </c>
      <c r="H2040" s="53">
        <v>2</v>
      </c>
      <c r="I2040" s="53" t="s">
        <v>176</v>
      </c>
      <c r="J2040" s="53">
        <v>0</v>
      </c>
      <c r="K2040" s="53">
        <v>0</v>
      </c>
      <c r="L2040" s="53">
        <v>11.6</v>
      </c>
      <c r="M2040" s="53" t="s">
        <v>424</v>
      </c>
      <c r="N2040" s="53">
        <v>13.4</v>
      </c>
      <c r="O2040" s="51" t="str">
        <f>TEXT(tblWorkPackages[[#This Row],[Request date serial]]-WEEKDAY(tblWorkPackages[[#This Row],[Request date serial]],3),"yyyy-mm-dd")</f>
        <v>2025-06-02</v>
      </c>
      <c r="P2040" s="51">
        <f>ABS(tblWorkPackages[[#This Row],[Actual labor hours]]-tblWorkPackages[[#This Row],[Estimated labor hours]])</f>
        <v>1.8</v>
      </c>
      <c r="Q2040" s="51">
        <f>IF(tblWorkPackages[[#This Row],[Actual labor hours]]&gt;tblWorkPackages[[#This Row],[Estimated labor hours]],1,0)</f>
        <v>1</v>
      </c>
      <c r="R2040" s="51">
        <f>tblWorkPackages[[#This Row],[Actual labor hours]]-tblWorkPackages[[#This Row],[Estimated labor hours]]</f>
        <v>1.8</v>
      </c>
      <c r="S2040" s="51" t="str">
        <f>IF(tblWorkPackages[[#This Row],[Request date serial]]&lt;ValidationStart,"Train 2024",IF(tblWorkPackages[[#This Row],[Request date serial]]&lt;HoldoutStart,"Validation H1","Holdout H2"))</f>
        <v>Validation H1</v>
      </c>
      <c r="T2040" s="51">
        <f>IF(tblWorkPackages[[#This Row],[Time split]]="Train 2024","",tblWorkPackages[[#This Row],[Estimated labor hours]]+VLOOKUP(tblWorkPackages[[#This Row],[Task type]],'Forecast validation'!$A$14:$E$25,IF(tblWorkPackages[[#This Row],[Time split]]="Validation H1",4,5),FALSE()))</f>
        <v>12.6320512820513</v>
      </c>
      <c r="U2040" s="51">
        <f>IF(tblWorkPackages[[#This Row],[Calibrated forecast hours]]="","",ABS(tblWorkPackages[[#This Row],[Actual labor hours]]-tblWorkPackages[[#This Row],[Calibrated forecast hours]]))</f>
        <v>0.767948717948718</v>
      </c>
      <c r="V2040" s="51">
        <f>IF(tblWorkPackages[[#This Row],[Time split]]="Train 2024",tblWorkPackages[[#This Row],[Estimated labor hours]],tblWorkPackages[[#This Row],[Calibrated forecast hours]])</f>
        <v>12.6320512820513</v>
      </c>
      <c r="W2040" s="64">
        <f>DATEVALUE(tblWorkPackages[[#This Row],[Request date]])</f>
        <v>45813.0</v>
      </c>
      <c r="X2040" s="64">
        <f>DATEVALUE(tblWorkPackages[[#This Row],[Due date]])</f>
        <v>45819.0</v>
      </c>
      <c r="Y2040" s="64">
        <f>DATEVALUE(tblWorkPackages[[#This Row],[Completion date]])</f>
        <v>45819.0</v>
      </c>
      <c r="Z2040" s="64">
        <f>_xlfn.MINIFS(tblLaborEntries[Work date serial],tblLaborEntries[Work package ID],tblWorkPackages[[#This Row],[Work package ID]])</f>
        <v>45815.0</v>
      </c>
      <c r="AA2040" s="64">
        <f>_xlfn.MAXIFS(tblLaborEntries[Work date serial],tblLaborEntries[Work package ID],tblWorkPackages[[#This Row],[Work package ID]])</f>
        <v>45817.0</v>
      </c>
      <c r="AB2040" s="65">
        <f>IF(tblWorkPackages[[#This Row],[Completion date serial]]&gt;tblWorkPackages[[#This Row],[Due date serial]],1,0)</f>
        <v>0</v>
      </c>
      <c r="AC2040" s="65">
        <f>MAX(0,tblWorkPackages[[#This Row],[Completion date serial]]-tblWorkPackages[[#This Row],[Due date serial]])</f>
        <v>0</v>
      </c>
      <c r="AD2040" s="65">
        <f>tblWorkPackages[[#This Row],[First labor date]]-tblWorkPackages[[#This Row],[Request date serial]]</f>
        <v>2</v>
      </c>
      <c r="AE2040" s="65">
        <f>tblWorkPackages[[#This Row],[Last labor date]]-tblWorkPackages[[#This Row],[First labor date]]</f>
        <v>2</v>
      </c>
      <c r="AF2040" s="65">
        <f>tblWorkPackages[[#This Row],[Completion date serial]]-tblWorkPackages[[#This Row],[Last labor date]]</f>
        <v>2</v>
      </c>
      <c r="AG2040" s="65">
        <f>tblWorkPackages[[#This Row],[Completion date serial]]-tblWorkPackages[[#This Row],[Request date serial]]</f>
        <v>6</v>
      </c>
      <c r="AH2040" s="65">
        <f>IFERROR(INDEX(tblParts[Delay days],MATCH(tblWorkPackages[[#This Row],[Work package ID]],tblParts[Work package ID],0)),0)</f>
        <v>0</v>
      </c>
      <c r="AI2040" s="51" t="str">
        <f>IFERROR(INDEX(tblDisruptions[Event type],MATCH(tblWorkPackages[[#This Row],[Work package ID]],tblDisruptions[Work package ID],0)),"None")</f>
        <v>Repeat inspection</v>
      </c>
      <c r="AJ2040" s="51" t="str">
        <f>TEXT(tblWorkPackages[[#This Row],[Due date serial]],"yyyy-mm")</f>
        <v>2025-06</v>
      </c>
    </row>
    <row r="2041" spans="1:36" ht="15" x14ac:dyDescent="0.25">
      <c r="A2041" s="53" t="s">
        <v>2952</v>
      </c>
      <c r="B2041" s="53" t="s">
        <v>203</v>
      </c>
      <c r="C2041" s="53" t="s">
        <v>343</v>
      </c>
      <c r="D2041" s="53" t="s">
        <v>1409</v>
      </c>
      <c r="E2041" s="53" t="s">
        <v>127</v>
      </c>
      <c r="F2041" s="53" t="s">
        <v>128</v>
      </c>
      <c r="G2041" s="53" t="s">
        <v>129</v>
      </c>
      <c r="H2041" s="53">
        <v>2</v>
      </c>
      <c r="I2041" s="53" t="s">
        <v>130</v>
      </c>
      <c r="J2041" s="53">
        <v>0</v>
      </c>
      <c r="K2041" s="53">
        <v>0</v>
      </c>
      <c r="L2041" s="53">
        <v>6.6</v>
      </c>
      <c r="M2041" s="53" t="s">
        <v>311</v>
      </c>
      <c r="N2041" s="53">
        <v>5.4</v>
      </c>
      <c r="O2041" s="51" t="str">
        <f>TEXT(tblWorkPackages[[#This Row],[Request date serial]]-WEEKDAY(tblWorkPackages[[#This Row],[Request date serial]],3),"yyyy-mm-dd")</f>
        <v>2025-07-21</v>
      </c>
      <c r="P2041" s="51">
        <f>ABS(tblWorkPackages[[#This Row],[Actual labor hours]]-tblWorkPackages[[#This Row],[Estimated labor hours]])</f>
        <v>1.2</v>
      </c>
      <c r="Q2041" s="51">
        <f>IF(tblWorkPackages[[#This Row],[Actual labor hours]]&gt;tblWorkPackages[[#This Row],[Estimated labor hours]],1,0)</f>
        <v>0</v>
      </c>
      <c r="R2041" s="51">
        <f>tblWorkPackages[[#This Row],[Actual labor hours]]-tblWorkPackages[[#This Row],[Estimated labor hours]]</f>
        <v>-1.2</v>
      </c>
      <c r="S2041" s="51" t="str">
        <f>IF(tblWorkPackages[[#This Row],[Request date serial]]&lt;ValidationStart,"Train 2024",IF(tblWorkPackages[[#This Row],[Request date serial]]&lt;HoldoutStart,"Validation H1","Holdout H2"))</f>
        <v>Holdout H2</v>
      </c>
      <c r="T2041" s="51">
        <f>IF(tblWorkPackages[[#This Row],[Time split]]="Train 2024","",tblWorkPackages[[#This Row],[Estimated labor hours]]+VLOOKUP(tblWorkPackages[[#This Row],[Task type]],'Forecast validation'!$A$14:$E$25,IF(tblWorkPackages[[#This Row],[Time split]]="Validation H1",4,5),FALSE()))</f>
        <v>7.14341085271318</v>
      </c>
      <c r="U2041" s="51">
        <f>IF(tblWorkPackages[[#This Row],[Calibrated forecast hours]]="","",ABS(tblWorkPackages[[#This Row],[Actual labor hours]]-tblWorkPackages[[#This Row],[Calibrated forecast hours]]))</f>
        <v>1.74341085271318</v>
      </c>
      <c r="V2041" s="51">
        <f>IF(tblWorkPackages[[#This Row],[Time split]]="Train 2024",tblWorkPackages[[#This Row],[Estimated labor hours]],tblWorkPackages[[#This Row],[Calibrated forecast hours]])</f>
        <v>7.14341085271318</v>
      </c>
      <c r="W2041" s="64">
        <f>DATEVALUE(tblWorkPackages[[#This Row],[Request date]])</f>
        <v>45862.0</v>
      </c>
      <c r="X2041" s="64">
        <f>DATEVALUE(tblWorkPackages[[#This Row],[Due date]])</f>
        <v>45875.0</v>
      </c>
      <c r="Y2041" s="64">
        <f>DATEVALUE(tblWorkPackages[[#This Row],[Completion date]])</f>
        <v>45881.0</v>
      </c>
      <c r="Z2041" s="64">
        <f>_xlfn.MINIFS(tblLaborEntries[Work date serial],tblLaborEntries[Work package ID],tblWorkPackages[[#This Row],[Work package ID]])</f>
        <v>45877.0</v>
      </c>
      <c r="AA2041" s="64">
        <f>_xlfn.MAXIFS(tblLaborEntries[Work date serial],tblLaborEntries[Work package ID],tblWorkPackages[[#This Row],[Work package ID]])</f>
        <v>45878.0</v>
      </c>
      <c r="AB2041" s="65">
        <f>IF(tblWorkPackages[[#This Row],[Completion date serial]]&gt;tblWorkPackages[[#This Row],[Due date serial]],1,0)</f>
        <v>1</v>
      </c>
      <c r="AC2041" s="65">
        <f>MAX(0,tblWorkPackages[[#This Row],[Completion date serial]]-tblWorkPackages[[#This Row],[Due date serial]])</f>
        <v>6</v>
      </c>
      <c r="AD2041" s="65">
        <f>tblWorkPackages[[#This Row],[First labor date]]-tblWorkPackages[[#This Row],[Request date serial]]</f>
        <v>15</v>
      </c>
      <c r="AE2041" s="65">
        <f>tblWorkPackages[[#This Row],[Last labor date]]-tblWorkPackages[[#This Row],[First labor date]]</f>
        <v>1</v>
      </c>
      <c r="AF2041" s="65">
        <f>tblWorkPackages[[#This Row],[Completion date serial]]-tblWorkPackages[[#This Row],[Last labor date]]</f>
        <v>3</v>
      </c>
      <c r="AG2041" s="65">
        <f>tblWorkPackages[[#This Row],[Completion date serial]]-tblWorkPackages[[#This Row],[Request date serial]]</f>
        <v>19</v>
      </c>
      <c r="AH2041" s="65">
        <f>IFERROR(INDEX(tblParts[Delay days],MATCH(tblWorkPackages[[#This Row],[Work package ID]],tblParts[Work package ID],0)),0)</f>
        <v>0</v>
      </c>
      <c r="AI2041" s="51" t="str">
        <f>IFERROR(INDEX(tblDisruptions[Event type],MATCH(tblWorkPackages[[#This Row],[Work package ID]],tblDisruptions[Work package ID],0)),"None")</f>
        <v>None</v>
      </c>
      <c r="AJ2041" s="51" t="str">
        <f>TEXT(tblWorkPackages[[#This Row],[Due date serial]],"yyyy-mm")</f>
        <v>2025-08</v>
      </c>
    </row>
    <row r="2042" spans="1:36" ht="15" x14ac:dyDescent="0.25">
      <c r="A2042" s="53" t="s">
        <v>2953</v>
      </c>
      <c r="B2042" s="53" t="s">
        <v>163</v>
      </c>
      <c r="C2042" s="53" t="s">
        <v>552</v>
      </c>
      <c r="D2042" s="53" t="s">
        <v>1354</v>
      </c>
      <c r="E2042" s="53" t="s">
        <v>200</v>
      </c>
      <c r="F2042" s="53" t="s">
        <v>128</v>
      </c>
      <c r="G2042" s="53" t="s">
        <v>129</v>
      </c>
      <c r="H2042" s="53">
        <v>3</v>
      </c>
      <c r="I2042" s="53" t="s">
        <v>176</v>
      </c>
      <c r="J2042" s="53">
        <v>0</v>
      </c>
      <c r="K2042" s="53">
        <v>0</v>
      </c>
      <c r="L2042" s="53">
        <v>4</v>
      </c>
      <c r="M2042" s="53" t="s">
        <v>361</v>
      </c>
      <c r="N2042" s="53">
        <v>4.3</v>
      </c>
      <c r="O2042" s="51" t="str">
        <f>TEXT(tblWorkPackages[[#This Row],[Request date serial]]-WEEKDAY(tblWorkPackages[[#This Row],[Request date serial]],3),"yyyy-mm-dd")</f>
        <v>2024-07-22</v>
      </c>
      <c r="P2042" s="51">
        <f>ABS(tblWorkPackages[[#This Row],[Actual labor hours]]-tblWorkPackages[[#This Row],[Estimated labor hours]])</f>
        <v>0.3</v>
      </c>
      <c r="Q2042" s="51">
        <f>IF(tblWorkPackages[[#This Row],[Actual labor hours]]&gt;tblWorkPackages[[#This Row],[Estimated labor hours]],1,0)</f>
        <v>1</v>
      </c>
      <c r="R2042" s="51">
        <f>tblWorkPackages[[#This Row],[Actual labor hours]]-tblWorkPackages[[#This Row],[Estimated labor hours]]</f>
        <v>0.3</v>
      </c>
      <c r="S2042" s="51" t="str">
        <f>IF(tblWorkPackages[[#This Row],[Request date serial]]&lt;ValidationStart,"Train 2024",IF(tblWorkPackages[[#This Row],[Request date serial]]&lt;HoldoutStart,"Validation H1","Holdout H2"))</f>
        <v>Train 2024</v>
      </c>
      <c r="T2042" s="51" t="str">
        <f>IF(tblWorkPackages[[#This Row],[Time split]]="Train 2024","",tblWorkPackages[[#This Row],[Estimated labor hours]]+VLOOKUP(tblWorkPackages[[#This Row],[Task type]],'Forecast validation'!$A$14:$E$25,IF(tblWorkPackages[[#This Row],[Time split]]="Validation H1",4,5),FALSE()))</f>
        <v/>
      </c>
      <c r="U2042" s="51" t="str">
        <f>IF(tblWorkPackages[[#This Row],[Calibrated forecast hours]]="","",ABS(tblWorkPackages[[#This Row],[Actual labor hours]]-tblWorkPackages[[#This Row],[Calibrated forecast hours]]))</f>
        <v/>
      </c>
      <c r="V2042" s="51">
        <f>IF(tblWorkPackages[[#This Row],[Time split]]="Train 2024",tblWorkPackages[[#This Row],[Estimated labor hours]],tblWorkPackages[[#This Row],[Calibrated forecast hours]])</f>
        <v>4</v>
      </c>
      <c r="W2042" s="64">
        <f>DATEVALUE(tblWorkPackages[[#This Row],[Request date]])</f>
        <v>45498.0</v>
      </c>
      <c r="X2042" s="64">
        <f>DATEVALUE(tblWorkPackages[[#This Row],[Due date]])</f>
        <v>45504.0</v>
      </c>
      <c r="Y2042" s="64">
        <f>DATEVALUE(tblWorkPackages[[#This Row],[Completion date]])</f>
        <v>45502.0</v>
      </c>
      <c r="Z2042" s="64">
        <f>_xlfn.MINIFS(tblLaborEntries[Work date serial],tblLaborEntries[Work package ID],tblWorkPackages[[#This Row],[Work package ID]])</f>
        <v>45502.0</v>
      </c>
      <c r="AA2042" s="64">
        <f>_xlfn.MAXIFS(tblLaborEntries[Work date serial],tblLaborEntries[Work package ID],tblWorkPackages[[#This Row],[Work package ID]])</f>
        <v>45502.0</v>
      </c>
      <c r="AB2042" s="65">
        <f>IF(tblWorkPackages[[#This Row],[Completion date serial]]&gt;tblWorkPackages[[#This Row],[Due date serial]],1,0)</f>
        <v>0</v>
      </c>
      <c r="AC2042" s="65">
        <f>MAX(0,tblWorkPackages[[#This Row],[Completion date serial]]-tblWorkPackages[[#This Row],[Due date serial]])</f>
        <v>0</v>
      </c>
      <c r="AD2042" s="65">
        <f>tblWorkPackages[[#This Row],[First labor date]]-tblWorkPackages[[#This Row],[Request date serial]]</f>
        <v>4</v>
      </c>
      <c r="AE2042" s="65">
        <f>tblWorkPackages[[#This Row],[Last labor date]]-tblWorkPackages[[#This Row],[First labor date]]</f>
        <v>0</v>
      </c>
      <c r="AF2042" s="65">
        <f>tblWorkPackages[[#This Row],[Completion date serial]]-tblWorkPackages[[#This Row],[Last labor date]]</f>
        <v>0</v>
      </c>
      <c r="AG2042" s="65">
        <f>tblWorkPackages[[#This Row],[Completion date serial]]-tblWorkPackages[[#This Row],[Request date serial]]</f>
        <v>4</v>
      </c>
      <c r="AH2042" s="65">
        <f>IFERROR(INDEX(tblParts[Delay days],MATCH(tblWorkPackages[[#This Row],[Work package ID]],tblParts[Work package ID],0)),0)</f>
        <v>0</v>
      </c>
      <c r="AI2042" s="51" t="str">
        <f>IFERROR(INDEX(tblDisruptions[Event type],MATCH(tblWorkPackages[[#This Row],[Work package ID]],tblDisruptions[Work package ID],0)),"None")</f>
        <v>None</v>
      </c>
      <c r="AJ2042" s="51" t="str">
        <f>TEXT(tblWorkPackages[[#This Row],[Due date serial]],"yyyy-mm")</f>
        <v>2024-07</v>
      </c>
    </row>
    <row r="2043" spans="1:36" ht="15" x14ac:dyDescent="0.25">
      <c r="A2043" s="53" t="s">
        <v>2954</v>
      </c>
      <c r="B2043" s="53" t="s">
        <v>157</v>
      </c>
      <c r="C2043" s="53" t="s">
        <v>437</v>
      </c>
      <c r="D2043" s="53" t="s">
        <v>677</v>
      </c>
      <c r="E2043" s="53" t="s">
        <v>272</v>
      </c>
      <c r="F2043" s="53" t="s">
        <v>145</v>
      </c>
      <c r="G2043" s="53" t="s">
        <v>273</v>
      </c>
      <c r="H2043" s="53">
        <v>3</v>
      </c>
      <c r="I2043" s="53" t="s">
        <v>130</v>
      </c>
      <c r="J2043" s="53">
        <v>1</v>
      </c>
      <c r="K2043" s="53">
        <v>0</v>
      </c>
      <c r="L2043" s="53">
        <v>16.100000000000001</v>
      </c>
      <c r="M2043" s="53" t="s">
        <v>300</v>
      </c>
      <c r="N2043" s="53">
        <v>16</v>
      </c>
      <c r="O2043" s="51" t="str">
        <f>TEXT(tblWorkPackages[[#This Row],[Request date serial]]-WEEKDAY(tblWorkPackages[[#This Row],[Request date serial]],3),"yyyy-mm-dd")</f>
        <v>2024-04-08</v>
      </c>
      <c r="P2043" s="51">
        <f>ABS(tblWorkPackages[[#This Row],[Actual labor hours]]-tblWorkPackages[[#This Row],[Estimated labor hours]])</f>
        <v>0.100000000000001</v>
      </c>
      <c r="Q2043" s="51">
        <f>IF(tblWorkPackages[[#This Row],[Actual labor hours]]&gt;tblWorkPackages[[#This Row],[Estimated labor hours]],1,0)</f>
        <v>0</v>
      </c>
      <c r="R2043" s="51">
        <f>tblWorkPackages[[#This Row],[Actual labor hours]]-tblWorkPackages[[#This Row],[Estimated labor hours]]</f>
        <v>-0.100000000000001</v>
      </c>
      <c r="S2043" s="51" t="str">
        <f>IF(tblWorkPackages[[#This Row],[Request date serial]]&lt;ValidationStart,"Train 2024",IF(tblWorkPackages[[#This Row],[Request date serial]]&lt;HoldoutStart,"Validation H1","Holdout H2"))</f>
        <v>Train 2024</v>
      </c>
      <c r="T2043" s="51" t="str">
        <f>IF(tblWorkPackages[[#This Row],[Time split]]="Train 2024","",tblWorkPackages[[#This Row],[Estimated labor hours]]+VLOOKUP(tblWorkPackages[[#This Row],[Task type]],'Forecast validation'!$A$14:$E$25,IF(tblWorkPackages[[#This Row],[Time split]]="Validation H1",4,5),FALSE()))</f>
        <v/>
      </c>
      <c r="U2043" s="51" t="str">
        <f>IF(tblWorkPackages[[#This Row],[Calibrated forecast hours]]="","",ABS(tblWorkPackages[[#This Row],[Actual labor hours]]-tblWorkPackages[[#This Row],[Calibrated forecast hours]]))</f>
        <v/>
      </c>
      <c r="V2043" s="51">
        <f>IF(tblWorkPackages[[#This Row],[Time split]]="Train 2024",tblWorkPackages[[#This Row],[Estimated labor hours]],tblWorkPackages[[#This Row],[Calibrated forecast hours]])</f>
        <v>16.1</v>
      </c>
      <c r="W2043" s="64">
        <f>DATEVALUE(tblWorkPackages[[#This Row],[Request date]])</f>
        <v>45393.0</v>
      </c>
      <c r="X2043" s="64">
        <f>DATEVALUE(tblWorkPackages[[#This Row],[Due date]])</f>
        <v>45406.0</v>
      </c>
      <c r="Y2043" s="64">
        <f>DATEVALUE(tblWorkPackages[[#This Row],[Completion date]])</f>
        <v>45397.0</v>
      </c>
      <c r="Z2043" s="64">
        <f>_xlfn.MINIFS(tblLaborEntries[Work date serial],tblLaborEntries[Work package ID],tblWorkPackages[[#This Row],[Work package ID]])</f>
        <v>45394.0</v>
      </c>
      <c r="AA2043" s="64">
        <f>_xlfn.MAXIFS(tblLaborEntries[Work date serial],tblLaborEntries[Work package ID],tblWorkPackages[[#This Row],[Work package ID]])</f>
        <v>45396.0</v>
      </c>
      <c r="AB2043" s="65">
        <f>IF(tblWorkPackages[[#This Row],[Completion date serial]]&gt;tblWorkPackages[[#This Row],[Due date serial]],1,0)</f>
        <v>0</v>
      </c>
      <c r="AC2043" s="65">
        <f>MAX(0,tblWorkPackages[[#This Row],[Completion date serial]]-tblWorkPackages[[#This Row],[Due date serial]])</f>
        <v>0</v>
      </c>
      <c r="AD2043" s="65">
        <f>tblWorkPackages[[#This Row],[First labor date]]-tblWorkPackages[[#This Row],[Request date serial]]</f>
        <v>1</v>
      </c>
      <c r="AE2043" s="65">
        <f>tblWorkPackages[[#This Row],[Last labor date]]-tblWorkPackages[[#This Row],[First labor date]]</f>
        <v>2</v>
      </c>
      <c r="AF2043" s="65">
        <f>tblWorkPackages[[#This Row],[Completion date serial]]-tblWorkPackages[[#This Row],[Last labor date]]</f>
        <v>1</v>
      </c>
      <c r="AG2043" s="65">
        <f>tblWorkPackages[[#This Row],[Completion date serial]]-tblWorkPackages[[#This Row],[Request date serial]]</f>
        <v>4</v>
      </c>
      <c r="AH2043" s="65">
        <f>IFERROR(INDEX(tblParts[Delay days],MATCH(tblWorkPackages[[#This Row],[Work package ID]],tblParts[Work package ID],0)),0)</f>
        <v>0</v>
      </c>
      <c r="AI2043" s="51" t="str">
        <f>IFERROR(INDEX(tblDisruptions[Event type],MATCH(tblWorkPackages[[#This Row],[Work package ID]],tblDisruptions[Work package ID],0)),"None")</f>
        <v>None</v>
      </c>
      <c r="AJ2043" s="51" t="str">
        <f>TEXT(tblWorkPackages[[#This Row],[Due date serial]],"yyyy-mm")</f>
        <v>2024-04</v>
      </c>
    </row>
    <row r="2044" spans="1:36" ht="15" x14ac:dyDescent="0.25">
      <c r="A2044" s="53" t="s">
        <v>2955</v>
      </c>
      <c r="B2044" s="53" t="s">
        <v>141</v>
      </c>
      <c r="C2044" s="53" t="s">
        <v>542</v>
      </c>
      <c r="D2044" s="53" t="s">
        <v>558</v>
      </c>
      <c r="E2044" s="53" t="s">
        <v>144</v>
      </c>
      <c r="F2044" s="53" t="s">
        <v>145</v>
      </c>
      <c r="G2044" s="53" t="s">
        <v>146</v>
      </c>
      <c r="H2044" s="53">
        <v>2</v>
      </c>
      <c r="I2044" s="53" t="s">
        <v>130</v>
      </c>
      <c r="J2044" s="53">
        <v>1</v>
      </c>
      <c r="K2044" s="53">
        <v>1</v>
      </c>
      <c r="L2044" s="53">
        <v>9.1</v>
      </c>
      <c r="M2044" s="53" t="s">
        <v>421</v>
      </c>
      <c r="N2044" s="53">
        <v>11.3</v>
      </c>
      <c r="O2044" s="51" t="str">
        <f>TEXT(tblWorkPackages[[#This Row],[Request date serial]]-WEEKDAY(tblWorkPackages[[#This Row],[Request date serial]],3),"yyyy-mm-dd")</f>
        <v>2025-10-13</v>
      </c>
      <c r="P2044" s="51">
        <f>ABS(tblWorkPackages[[#This Row],[Actual labor hours]]-tblWorkPackages[[#This Row],[Estimated labor hours]])</f>
        <v>2.2</v>
      </c>
      <c r="Q2044" s="51">
        <f>IF(tblWorkPackages[[#This Row],[Actual labor hours]]&gt;tblWorkPackages[[#This Row],[Estimated labor hours]],1,0)</f>
        <v>1</v>
      </c>
      <c r="R2044" s="51">
        <f>tblWorkPackages[[#This Row],[Actual labor hours]]-tblWorkPackages[[#This Row],[Estimated labor hours]]</f>
        <v>2.2</v>
      </c>
      <c r="S2044" s="51" t="str">
        <f>IF(tblWorkPackages[[#This Row],[Request date serial]]&lt;ValidationStart,"Train 2024",IF(tblWorkPackages[[#This Row],[Request date serial]]&lt;HoldoutStart,"Validation H1","Holdout H2"))</f>
        <v>Holdout H2</v>
      </c>
      <c r="T2044" s="51">
        <f>IF(tblWorkPackages[[#This Row],[Time split]]="Train 2024","",tblWorkPackages[[#This Row],[Estimated labor hours]]+VLOOKUP(tblWorkPackages[[#This Row],[Task type]],'Forecast validation'!$A$14:$E$25,IF(tblWorkPackages[[#This Row],[Time split]]="Validation H1",4,5),FALSE()))</f>
        <v>10.0735483870968</v>
      </c>
      <c r="U2044" s="51">
        <f>IF(tblWorkPackages[[#This Row],[Calibrated forecast hours]]="","",ABS(tblWorkPackages[[#This Row],[Actual labor hours]]-tblWorkPackages[[#This Row],[Calibrated forecast hours]]))</f>
        <v>1.22645161290323</v>
      </c>
      <c r="V2044" s="51">
        <f>IF(tblWorkPackages[[#This Row],[Time split]]="Train 2024",tblWorkPackages[[#This Row],[Estimated labor hours]],tblWorkPackages[[#This Row],[Calibrated forecast hours]])</f>
        <v>10.0735483870968</v>
      </c>
      <c r="W2044" s="64">
        <f>DATEVALUE(tblWorkPackages[[#This Row],[Request date]])</f>
        <v>45948.0</v>
      </c>
      <c r="X2044" s="64">
        <f>DATEVALUE(tblWorkPackages[[#This Row],[Due date]])</f>
        <v>45961.0</v>
      </c>
      <c r="Y2044" s="64">
        <f>DATEVALUE(tblWorkPackages[[#This Row],[Completion date]])</f>
        <v>45960.0</v>
      </c>
      <c r="Z2044" s="64">
        <f>_xlfn.MINIFS(tblLaborEntries[Work date serial],tblLaborEntries[Work package ID],tblWorkPackages[[#This Row],[Work package ID]])</f>
        <v>45958.0</v>
      </c>
      <c r="AA2044" s="64">
        <f>_xlfn.MAXIFS(tblLaborEntries[Work date serial],tblLaborEntries[Work package ID],tblWorkPackages[[#This Row],[Work package ID]])</f>
        <v>45958.0</v>
      </c>
      <c r="AB2044" s="65">
        <f>IF(tblWorkPackages[[#This Row],[Completion date serial]]&gt;tblWorkPackages[[#This Row],[Due date serial]],1,0)</f>
        <v>0</v>
      </c>
      <c r="AC2044" s="65">
        <f>MAX(0,tblWorkPackages[[#This Row],[Completion date serial]]-tblWorkPackages[[#This Row],[Due date serial]])</f>
        <v>0</v>
      </c>
      <c r="AD2044" s="65">
        <f>tblWorkPackages[[#This Row],[First labor date]]-tblWorkPackages[[#This Row],[Request date serial]]</f>
        <v>10</v>
      </c>
      <c r="AE2044" s="65">
        <f>tblWorkPackages[[#This Row],[Last labor date]]-tblWorkPackages[[#This Row],[First labor date]]</f>
        <v>0</v>
      </c>
      <c r="AF2044" s="65">
        <f>tblWorkPackages[[#This Row],[Completion date serial]]-tblWorkPackages[[#This Row],[Last labor date]]</f>
        <v>2</v>
      </c>
      <c r="AG2044" s="65">
        <f>tblWorkPackages[[#This Row],[Completion date serial]]-tblWorkPackages[[#This Row],[Request date serial]]</f>
        <v>12</v>
      </c>
      <c r="AH2044" s="65">
        <f>IFERROR(INDEX(tblParts[Delay days],MATCH(tblWorkPackages[[#This Row],[Work package ID]],tblParts[Work package ID],0)),0)</f>
        <v>0</v>
      </c>
      <c r="AI2044" s="51" t="str">
        <f>IFERROR(INDEX(tblDisruptions[Event type],MATCH(tblWorkPackages[[#This Row],[Work package ID]],tblDisruptions[Work package ID],0)),"None")</f>
        <v>None</v>
      </c>
      <c r="AJ2044" s="51" t="str">
        <f>TEXT(tblWorkPackages[[#This Row],[Due date serial]],"yyyy-mm")</f>
        <v>2025-10</v>
      </c>
    </row>
    <row r="2045" spans="1:36" ht="15" x14ac:dyDescent="0.25">
      <c r="A2045" s="53" t="s">
        <v>2956</v>
      </c>
      <c r="B2045" s="53" t="s">
        <v>185</v>
      </c>
      <c r="C2045" s="53" t="s">
        <v>587</v>
      </c>
      <c r="D2045" s="53" t="s">
        <v>253</v>
      </c>
      <c r="E2045" s="53" t="s">
        <v>153</v>
      </c>
      <c r="F2045" s="53" t="s">
        <v>128</v>
      </c>
      <c r="G2045" s="53" t="s">
        <v>154</v>
      </c>
      <c r="H2045" s="53">
        <v>1</v>
      </c>
      <c r="I2045" s="53" t="s">
        <v>176</v>
      </c>
      <c r="J2045" s="53">
        <v>0</v>
      </c>
      <c r="K2045" s="53">
        <v>1</v>
      </c>
      <c r="L2045" s="53">
        <v>6.6</v>
      </c>
      <c r="M2045" s="53" t="s">
        <v>1148</v>
      </c>
      <c r="N2045" s="53">
        <v>7.9</v>
      </c>
      <c r="O2045" s="51" t="str">
        <f>TEXT(tblWorkPackages[[#This Row],[Request date serial]]-WEEKDAY(tblWorkPackages[[#This Row],[Request date serial]],3),"yyyy-mm-dd")</f>
        <v>2025-01-13</v>
      </c>
      <c r="P2045" s="51">
        <f>ABS(tblWorkPackages[[#This Row],[Actual labor hours]]-tblWorkPackages[[#This Row],[Estimated labor hours]])</f>
        <v>1.3</v>
      </c>
      <c r="Q2045" s="51">
        <f>IF(tblWorkPackages[[#This Row],[Actual labor hours]]&gt;tblWorkPackages[[#This Row],[Estimated labor hours]],1,0)</f>
        <v>1</v>
      </c>
      <c r="R2045" s="51">
        <f>tblWorkPackages[[#This Row],[Actual labor hours]]-tblWorkPackages[[#This Row],[Estimated labor hours]]</f>
        <v>1.3</v>
      </c>
      <c r="S2045" s="51" t="str">
        <f>IF(tblWorkPackages[[#This Row],[Request date serial]]&lt;ValidationStart,"Train 2024",IF(tblWorkPackages[[#This Row],[Request date serial]]&lt;HoldoutStart,"Validation H1","Holdout H2"))</f>
        <v>Validation H1</v>
      </c>
      <c r="T2045" s="51">
        <f>IF(tblWorkPackages[[#This Row],[Time split]]="Train 2024","",tblWorkPackages[[#This Row],[Estimated labor hours]]+VLOOKUP(tblWorkPackages[[#This Row],[Task type]],'Forecast validation'!$A$14:$E$25,IF(tblWorkPackages[[#This Row],[Time split]]="Validation H1",4,5),FALSE()))</f>
        <v>7.14622641509434</v>
      </c>
      <c r="U2045" s="51">
        <f>IF(tblWorkPackages[[#This Row],[Calibrated forecast hours]]="","",ABS(tblWorkPackages[[#This Row],[Actual labor hours]]-tblWorkPackages[[#This Row],[Calibrated forecast hours]]))</f>
        <v>0.753773584905662</v>
      </c>
      <c r="V2045" s="51">
        <f>IF(tblWorkPackages[[#This Row],[Time split]]="Train 2024",tblWorkPackages[[#This Row],[Estimated labor hours]],tblWorkPackages[[#This Row],[Calibrated forecast hours]])</f>
        <v>7.14622641509434</v>
      </c>
      <c r="W2045" s="64">
        <f>DATEVALUE(tblWorkPackages[[#This Row],[Request date]])</f>
        <v>45671.0</v>
      </c>
      <c r="X2045" s="64">
        <f>DATEVALUE(tblWorkPackages[[#This Row],[Due date]])</f>
        <v>45677.0</v>
      </c>
      <c r="Y2045" s="64">
        <f>DATEVALUE(tblWorkPackages[[#This Row],[Completion date]])</f>
        <v>45678.0</v>
      </c>
      <c r="Z2045" s="64">
        <f>_xlfn.MINIFS(tblLaborEntries[Work date serial],tblLaborEntries[Work package ID],tblWorkPackages[[#This Row],[Work package ID]])</f>
        <v>45674.0</v>
      </c>
      <c r="AA2045" s="64">
        <f>_xlfn.MAXIFS(tblLaborEntries[Work date serial],tblLaborEntries[Work package ID],tblWorkPackages[[#This Row],[Work package ID]])</f>
        <v>45675.0</v>
      </c>
      <c r="AB2045" s="65">
        <f>IF(tblWorkPackages[[#This Row],[Completion date serial]]&gt;tblWorkPackages[[#This Row],[Due date serial]],1,0)</f>
        <v>1</v>
      </c>
      <c r="AC2045" s="65">
        <f>MAX(0,tblWorkPackages[[#This Row],[Completion date serial]]-tblWorkPackages[[#This Row],[Due date serial]])</f>
        <v>1</v>
      </c>
      <c r="AD2045" s="65">
        <f>tblWorkPackages[[#This Row],[First labor date]]-tblWorkPackages[[#This Row],[Request date serial]]</f>
        <v>3</v>
      </c>
      <c r="AE2045" s="65">
        <f>tblWorkPackages[[#This Row],[Last labor date]]-tblWorkPackages[[#This Row],[First labor date]]</f>
        <v>1</v>
      </c>
      <c r="AF2045" s="65">
        <f>tblWorkPackages[[#This Row],[Completion date serial]]-tblWorkPackages[[#This Row],[Last labor date]]</f>
        <v>3</v>
      </c>
      <c r="AG2045" s="65">
        <f>tblWorkPackages[[#This Row],[Completion date serial]]-tblWorkPackages[[#This Row],[Request date serial]]</f>
        <v>7</v>
      </c>
      <c r="AH2045" s="65">
        <f>IFERROR(INDEX(tblParts[Delay days],MATCH(tblWorkPackages[[#This Row],[Work package ID]],tblParts[Work package ID],0)),0)</f>
        <v>0</v>
      </c>
      <c r="AI2045" s="51" t="str">
        <f>IFERROR(INDEX(tblDisruptions[Event type],MATCH(tblWorkPackages[[#This Row],[Work package ID]],tblDisruptions[Work package ID],0)),"None")</f>
        <v>None</v>
      </c>
      <c r="AJ2045" s="51" t="str">
        <f>TEXT(tblWorkPackages[[#This Row],[Due date serial]],"yyyy-mm")</f>
        <v>2025-01</v>
      </c>
    </row>
    <row r="2046" spans="1:36" ht="15" x14ac:dyDescent="0.25">
      <c r="A2046" s="53" t="s">
        <v>2957</v>
      </c>
      <c r="B2046" s="53" t="s">
        <v>141</v>
      </c>
      <c r="C2046" s="53" t="s">
        <v>164</v>
      </c>
      <c r="D2046" s="53" t="s">
        <v>1023</v>
      </c>
      <c r="E2046" s="53" t="s">
        <v>160</v>
      </c>
      <c r="F2046" s="53" t="s">
        <v>128</v>
      </c>
      <c r="G2046" s="53" t="s">
        <v>138</v>
      </c>
      <c r="H2046" s="53">
        <v>4</v>
      </c>
      <c r="I2046" s="53" t="s">
        <v>176</v>
      </c>
      <c r="J2046" s="53">
        <v>1</v>
      </c>
      <c r="K2046" s="53">
        <v>0</v>
      </c>
      <c r="L2046" s="53">
        <v>8.8000000000000007</v>
      </c>
      <c r="M2046" s="53" t="s">
        <v>1320</v>
      </c>
      <c r="N2046" s="53">
        <v>9.3000000000000007</v>
      </c>
      <c r="O2046" s="51" t="str">
        <f>TEXT(tblWorkPackages[[#This Row],[Request date serial]]-WEEKDAY(tblWorkPackages[[#This Row],[Request date serial]],3),"yyyy-mm-dd")</f>
        <v>2024-06-24</v>
      </c>
      <c r="P2046" s="51">
        <f>ABS(tblWorkPackages[[#This Row],[Actual labor hours]]-tblWorkPackages[[#This Row],[Estimated labor hours]])</f>
        <v>0.5</v>
      </c>
      <c r="Q2046" s="51">
        <f>IF(tblWorkPackages[[#This Row],[Actual labor hours]]&gt;tblWorkPackages[[#This Row],[Estimated labor hours]],1,0)</f>
        <v>1</v>
      </c>
      <c r="R2046" s="51">
        <f>tblWorkPackages[[#This Row],[Actual labor hours]]-tblWorkPackages[[#This Row],[Estimated labor hours]]</f>
        <v>0.5</v>
      </c>
      <c r="S2046" s="51" t="str">
        <f>IF(tblWorkPackages[[#This Row],[Request date serial]]&lt;ValidationStart,"Train 2024",IF(tblWorkPackages[[#This Row],[Request date serial]]&lt;HoldoutStart,"Validation H1","Holdout H2"))</f>
        <v>Train 2024</v>
      </c>
      <c r="T2046" s="51" t="str">
        <f>IF(tblWorkPackages[[#This Row],[Time split]]="Train 2024","",tblWorkPackages[[#This Row],[Estimated labor hours]]+VLOOKUP(tblWorkPackages[[#This Row],[Task type]],'Forecast validation'!$A$14:$E$25,IF(tblWorkPackages[[#This Row],[Time split]]="Validation H1",4,5),FALSE()))</f>
        <v/>
      </c>
      <c r="U2046" s="51" t="str">
        <f>IF(tblWorkPackages[[#This Row],[Calibrated forecast hours]]="","",ABS(tblWorkPackages[[#This Row],[Actual labor hours]]-tblWorkPackages[[#This Row],[Calibrated forecast hours]]))</f>
        <v/>
      </c>
      <c r="V2046" s="51">
        <f>IF(tblWorkPackages[[#This Row],[Time split]]="Train 2024",tblWorkPackages[[#This Row],[Estimated labor hours]],tblWorkPackages[[#This Row],[Calibrated forecast hours]])</f>
        <v>8.8</v>
      </c>
      <c r="W2046" s="64">
        <f>DATEVALUE(tblWorkPackages[[#This Row],[Request date]])</f>
        <v>45472.0</v>
      </c>
      <c r="X2046" s="64">
        <f>DATEVALUE(tblWorkPackages[[#This Row],[Due date]])</f>
        <v>45478.0</v>
      </c>
      <c r="Y2046" s="64">
        <f>DATEVALUE(tblWorkPackages[[#This Row],[Completion date]])</f>
        <v>45499.0</v>
      </c>
      <c r="Z2046" s="64">
        <f>_xlfn.MINIFS(tblLaborEntries[Work date serial],tblLaborEntries[Work package ID],tblWorkPackages[[#This Row],[Work package ID]])</f>
        <v>45499.0</v>
      </c>
      <c r="AA2046" s="64">
        <f>_xlfn.MAXIFS(tblLaborEntries[Work date serial],tblLaborEntries[Work package ID],tblWorkPackages[[#This Row],[Work package ID]])</f>
        <v>45499.0</v>
      </c>
      <c r="AB2046" s="65">
        <f>IF(tblWorkPackages[[#This Row],[Completion date serial]]&gt;tblWorkPackages[[#This Row],[Due date serial]],1,0)</f>
        <v>1</v>
      </c>
      <c r="AC2046" s="65">
        <f>MAX(0,tblWorkPackages[[#This Row],[Completion date serial]]-tblWorkPackages[[#This Row],[Due date serial]])</f>
        <v>21</v>
      </c>
      <c r="AD2046" s="65">
        <f>tblWorkPackages[[#This Row],[First labor date]]-tblWorkPackages[[#This Row],[Request date serial]]</f>
        <v>27</v>
      </c>
      <c r="AE2046" s="65">
        <f>tblWorkPackages[[#This Row],[Last labor date]]-tblWorkPackages[[#This Row],[First labor date]]</f>
        <v>0</v>
      </c>
      <c r="AF2046" s="65">
        <f>tblWorkPackages[[#This Row],[Completion date serial]]-tblWorkPackages[[#This Row],[Last labor date]]</f>
        <v>0</v>
      </c>
      <c r="AG2046" s="65">
        <f>tblWorkPackages[[#This Row],[Completion date serial]]-tblWorkPackages[[#This Row],[Request date serial]]</f>
        <v>27</v>
      </c>
      <c r="AH2046" s="65">
        <f>IFERROR(INDEX(tblParts[Delay days],MATCH(tblWorkPackages[[#This Row],[Work package ID]],tblParts[Work package ID],0)),0)</f>
        <v>0</v>
      </c>
      <c r="AI2046" s="51" t="str">
        <f>IFERROR(INDEX(tblDisruptions[Event type],MATCH(tblWorkPackages[[#This Row],[Work package ID]],tblDisruptions[Work package ID],0)),"None")</f>
        <v>None</v>
      </c>
      <c r="AJ2046" s="51" t="str">
        <f>TEXT(tblWorkPackages[[#This Row],[Due date serial]],"yyyy-mm")</f>
        <v>2024-07</v>
      </c>
    </row>
    <row r="2047" spans="1:36" ht="15" x14ac:dyDescent="0.25">
      <c r="A2047" s="53" t="s">
        <v>2958</v>
      </c>
      <c r="B2047" s="53" t="s">
        <v>163</v>
      </c>
      <c r="C2047" s="53" t="s">
        <v>1237</v>
      </c>
      <c r="D2047" s="53" t="s">
        <v>345</v>
      </c>
      <c r="E2047" s="53" t="s">
        <v>136</v>
      </c>
      <c r="F2047" s="53" t="s">
        <v>137</v>
      </c>
      <c r="G2047" s="53" t="s">
        <v>138</v>
      </c>
      <c r="H2047" s="53">
        <v>3</v>
      </c>
      <c r="I2047" s="53" t="s">
        <v>130</v>
      </c>
      <c r="J2047" s="53">
        <v>0</v>
      </c>
      <c r="K2047" s="53">
        <v>1</v>
      </c>
      <c r="L2047" s="53">
        <v>18.600000000000001</v>
      </c>
      <c r="M2047" s="53" t="s">
        <v>441</v>
      </c>
      <c r="N2047" s="53">
        <v>19.7</v>
      </c>
      <c r="O2047" s="51" t="str">
        <f>TEXT(tblWorkPackages[[#This Row],[Request date serial]]-WEEKDAY(tblWorkPackages[[#This Row],[Request date serial]],3),"yyyy-mm-dd")</f>
        <v>2024-01-15</v>
      </c>
      <c r="P2047" s="51">
        <f>ABS(tblWorkPackages[[#This Row],[Actual labor hours]]-tblWorkPackages[[#This Row],[Estimated labor hours]])</f>
        <v>1.1</v>
      </c>
      <c r="Q2047" s="51">
        <f>IF(tblWorkPackages[[#This Row],[Actual labor hours]]&gt;tblWorkPackages[[#This Row],[Estimated labor hours]],1,0)</f>
        <v>1</v>
      </c>
      <c r="R2047" s="51">
        <f>tblWorkPackages[[#This Row],[Actual labor hours]]-tblWorkPackages[[#This Row],[Estimated labor hours]]</f>
        <v>1.1</v>
      </c>
      <c r="S2047" s="51" t="str">
        <f>IF(tblWorkPackages[[#This Row],[Request date serial]]&lt;ValidationStart,"Train 2024",IF(tblWorkPackages[[#This Row],[Request date serial]]&lt;HoldoutStart,"Validation H1","Holdout H2"))</f>
        <v>Train 2024</v>
      </c>
      <c r="T2047" s="51" t="str">
        <f>IF(tblWorkPackages[[#This Row],[Time split]]="Train 2024","",tblWorkPackages[[#This Row],[Estimated labor hours]]+VLOOKUP(tblWorkPackages[[#This Row],[Task type]],'Forecast validation'!$A$14:$E$25,IF(tblWorkPackages[[#This Row],[Time split]]="Validation H1",4,5),FALSE()))</f>
        <v/>
      </c>
      <c r="U2047" s="51" t="str">
        <f>IF(tblWorkPackages[[#This Row],[Calibrated forecast hours]]="","",ABS(tblWorkPackages[[#This Row],[Actual labor hours]]-tblWorkPackages[[#This Row],[Calibrated forecast hours]]))</f>
        <v/>
      </c>
      <c r="V2047" s="51">
        <f>IF(tblWorkPackages[[#This Row],[Time split]]="Train 2024",tblWorkPackages[[#This Row],[Estimated labor hours]],tblWorkPackages[[#This Row],[Calibrated forecast hours]])</f>
        <v>18.6</v>
      </c>
      <c r="W2047" s="64">
        <f>DATEVALUE(tblWorkPackages[[#This Row],[Request date]])</f>
        <v>45312.0</v>
      </c>
      <c r="X2047" s="64">
        <f>DATEVALUE(tblWorkPackages[[#This Row],[Due date]])</f>
        <v>45325.0</v>
      </c>
      <c r="Y2047" s="64">
        <f>DATEVALUE(tblWorkPackages[[#This Row],[Completion date]])</f>
        <v>45317.0</v>
      </c>
      <c r="Z2047" s="64">
        <f>_xlfn.MINIFS(tblLaborEntries[Work date serial],tblLaborEntries[Work package ID],tblWorkPackages[[#This Row],[Work package ID]])</f>
        <v>45316.0</v>
      </c>
      <c r="AA2047" s="64">
        <f>_xlfn.MAXIFS(tblLaborEntries[Work date serial],tblLaborEntries[Work package ID],tblWorkPackages[[#This Row],[Work package ID]])</f>
        <v>45316.0</v>
      </c>
      <c r="AB2047" s="65">
        <f>IF(tblWorkPackages[[#This Row],[Completion date serial]]&gt;tblWorkPackages[[#This Row],[Due date serial]],1,0)</f>
        <v>0</v>
      </c>
      <c r="AC2047" s="65">
        <f>MAX(0,tblWorkPackages[[#This Row],[Completion date serial]]-tblWorkPackages[[#This Row],[Due date serial]])</f>
        <v>0</v>
      </c>
      <c r="AD2047" s="65">
        <f>tblWorkPackages[[#This Row],[First labor date]]-tblWorkPackages[[#This Row],[Request date serial]]</f>
        <v>4</v>
      </c>
      <c r="AE2047" s="65">
        <f>tblWorkPackages[[#This Row],[Last labor date]]-tblWorkPackages[[#This Row],[First labor date]]</f>
        <v>0</v>
      </c>
      <c r="AF2047" s="65">
        <f>tblWorkPackages[[#This Row],[Completion date serial]]-tblWorkPackages[[#This Row],[Last labor date]]</f>
        <v>1</v>
      </c>
      <c r="AG2047" s="65">
        <f>tblWorkPackages[[#This Row],[Completion date serial]]-tblWorkPackages[[#This Row],[Request date serial]]</f>
        <v>5</v>
      </c>
      <c r="AH2047" s="65">
        <f>IFERROR(INDEX(tblParts[Delay days],MATCH(tblWorkPackages[[#This Row],[Work package ID]],tblParts[Work package ID],0)),0)</f>
        <v>0</v>
      </c>
      <c r="AI2047" s="51" t="str">
        <f>IFERROR(INDEX(tblDisruptions[Event type],MATCH(tblWorkPackages[[#This Row],[Work package ID]],tblDisruptions[Work package ID],0)),"None")</f>
        <v>None</v>
      </c>
      <c r="AJ2047" s="51" t="str">
        <f>TEXT(tblWorkPackages[[#This Row],[Due date serial]],"yyyy-mm")</f>
        <v>2024-02</v>
      </c>
    </row>
    <row r="2048" spans="1:36" ht="15" x14ac:dyDescent="0.25">
      <c r="A2048" s="53" t="s">
        <v>2959</v>
      </c>
      <c r="B2048" s="53" t="s">
        <v>173</v>
      </c>
      <c r="C2048" s="53" t="s">
        <v>186</v>
      </c>
      <c r="D2048" s="53" t="s">
        <v>291</v>
      </c>
      <c r="E2048" s="53" t="s">
        <v>181</v>
      </c>
      <c r="F2048" s="53" t="s">
        <v>182</v>
      </c>
      <c r="G2048" s="53" t="s">
        <v>138</v>
      </c>
      <c r="H2048" s="53">
        <v>1</v>
      </c>
      <c r="I2048" s="53" t="s">
        <v>147</v>
      </c>
      <c r="J2048" s="53">
        <v>0</v>
      </c>
      <c r="K2048" s="53">
        <v>1</v>
      </c>
      <c r="L2048" s="53">
        <v>5.0999999999999996</v>
      </c>
      <c r="M2048" s="53" t="s">
        <v>353</v>
      </c>
      <c r="N2048" s="53">
        <v>5</v>
      </c>
      <c r="O2048" s="51" t="str">
        <f>TEXT(tblWorkPackages[[#This Row],[Request date serial]]-WEEKDAY(tblWorkPackages[[#This Row],[Request date serial]],3),"yyyy-mm-dd")</f>
        <v>2025-02-17</v>
      </c>
      <c r="P2048" s="51">
        <f>ABS(tblWorkPackages[[#This Row],[Actual labor hours]]-tblWorkPackages[[#This Row],[Estimated labor hours]])</f>
        <v>0.0999999999999996</v>
      </c>
      <c r="Q2048" s="51">
        <f>IF(tblWorkPackages[[#This Row],[Actual labor hours]]&gt;tblWorkPackages[[#This Row],[Estimated labor hours]],1,0)</f>
        <v>0</v>
      </c>
      <c r="R2048" s="51">
        <f>tblWorkPackages[[#This Row],[Actual labor hours]]-tblWorkPackages[[#This Row],[Estimated labor hours]]</f>
        <v>-0.0999999999999996</v>
      </c>
      <c r="S2048" s="51" t="str">
        <f>IF(tblWorkPackages[[#This Row],[Request date serial]]&lt;ValidationStart,"Train 2024",IF(tblWorkPackages[[#This Row],[Request date serial]]&lt;HoldoutStart,"Validation H1","Holdout H2"))</f>
        <v>Validation H1</v>
      </c>
      <c r="T2048" s="51">
        <f>IF(tblWorkPackages[[#This Row],[Time split]]="Train 2024","",tblWorkPackages[[#This Row],[Estimated labor hours]]+VLOOKUP(tblWorkPackages[[#This Row],[Task type]],'Forecast validation'!$A$14:$E$25,IF(tblWorkPackages[[#This Row],[Time split]]="Validation H1",4,5),FALSE()))</f>
        <v>5.68409090909091</v>
      </c>
      <c r="U2048" s="51">
        <f>IF(tblWorkPackages[[#This Row],[Calibrated forecast hours]]="","",ABS(tblWorkPackages[[#This Row],[Actual labor hours]]-tblWorkPackages[[#This Row],[Calibrated forecast hours]]))</f>
        <v>0.684090909090909</v>
      </c>
      <c r="V2048" s="51">
        <f>IF(tblWorkPackages[[#This Row],[Time split]]="Train 2024",tblWorkPackages[[#This Row],[Estimated labor hours]],tblWorkPackages[[#This Row],[Calibrated forecast hours]])</f>
        <v>5.68409090909091</v>
      </c>
      <c r="W2048" s="64">
        <f>DATEVALUE(tblWorkPackages[[#This Row],[Request date]])</f>
        <v>45707.0</v>
      </c>
      <c r="X2048" s="64">
        <f>DATEVALUE(tblWorkPackages[[#This Row],[Due date]])</f>
        <v>45709.0</v>
      </c>
      <c r="Y2048" s="64">
        <f>DATEVALUE(tblWorkPackages[[#This Row],[Completion date]])</f>
        <v>45715.0</v>
      </c>
      <c r="Z2048" s="64">
        <f>_xlfn.MINIFS(tblLaborEntries[Work date serial],tblLaborEntries[Work package ID],tblWorkPackages[[#This Row],[Work package ID]])</f>
        <v>45713.0</v>
      </c>
      <c r="AA2048" s="64">
        <f>_xlfn.MAXIFS(tblLaborEntries[Work date serial],tblLaborEntries[Work package ID],tblWorkPackages[[#This Row],[Work package ID]])</f>
        <v>45713.0</v>
      </c>
      <c r="AB2048" s="65">
        <f>IF(tblWorkPackages[[#This Row],[Completion date serial]]&gt;tblWorkPackages[[#This Row],[Due date serial]],1,0)</f>
        <v>1</v>
      </c>
      <c r="AC2048" s="65">
        <f>MAX(0,tblWorkPackages[[#This Row],[Completion date serial]]-tblWorkPackages[[#This Row],[Due date serial]])</f>
        <v>6</v>
      </c>
      <c r="AD2048" s="65">
        <f>tblWorkPackages[[#This Row],[First labor date]]-tblWorkPackages[[#This Row],[Request date serial]]</f>
        <v>6</v>
      </c>
      <c r="AE2048" s="65">
        <f>tblWorkPackages[[#This Row],[Last labor date]]-tblWorkPackages[[#This Row],[First labor date]]</f>
        <v>0</v>
      </c>
      <c r="AF2048" s="65">
        <f>tblWorkPackages[[#This Row],[Completion date serial]]-tblWorkPackages[[#This Row],[Last labor date]]</f>
        <v>2</v>
      </c>
      <c r="AG2048" s="65">
        <f>tblWorkPackages[[#This Row],[Completion date serial]]-tblWorkPackages[[#This Row],[Request date serial]]</f>
        <v>8</v>
      </c>
      <c r="AH2048" s="65">
        <f>IFERROR(INDEX(tblParts[Delay days],MATCH(tblWorkPackages[[#This Row],[Work package ID]],tblParts[Work package ID],0)),0)</f>
        <v>5</v>
      </c>
      <c r="AI2048" s="51" t="str">
        <f>IFERROR(INDEX(tblDisruptions[Event type],MATCH(tblWorkPackages[[#This Row],[Work package ID]],tblDisruptions[Work package ID],0)),"None")</f>
        <v>Part delay</v>
      </c>
      <c r="AJ2048" s="51" t="str">
        <f>TEXT(tblWorkPackages[[#This Row],[Due date serial]],"yyyy-mm")</f>
        <v>2025-02</v>
      </c>
    </row>
    <row r="2049" spans="1:36" ht="15" x14ac:dyDescent="0.25">
      <c r="A2049" s="53" t="s">
        <v>2960</v>
      </c>
      <c r="B2049" s="53" t="s">
        <v>168</v>
      </c>
      <c r="C2049" s="53" t="s">
        <v>321</v>
      </c>
      <c r="D2049" s="53" t="s">
        <v>920</v>
      </c>
      <c r="E2049" s="53" t="s">
        <v>209</v>
      </c>
      <c r="F2049" s="53" t="s">
        <v>145</v>
      </c>
      <c r="G2049" s="53" t="s">
        <v>210</v>
      </c>
      <c r="H2049" s="53">
        <v>3</v>
      </c>
      <c r="I2049" s="53" t="s">
        <v>130</v>
      </c>
      <c r="J2049" s="53">
        <v>1</v>
      </c>
      <c r="K2049" s="53">
        <v>1</v>
      </c>
      <c r="L2049" s="53">
        <v>32.700000000000003</v>
      </c>
      <c r="M2049" s="53" t="s">
        <v>677</v>
      </c>
      <c r="N2049" s="53">
        <v>38</v>
      </c>
      <c r="O2049" s="51" t="str">
        <f>TEXT(tblWorkPackages[[#This Row],[Request date serial]]-WEEKDAY(tblWorkPackages[[#This Row],[Request date serial]],3),"yyyy-mm-dd")</f>
        <v>2024-04-01</v>
      </c>
      <c r="P2049" s="51">
        <f>ABS(tblWorkPackages[[#This Row],[Actual labor hours]]-tblWorkPackages[[#This Row],[Estimated labor hours]])</f>
        <v>5.3</v>
      </c>
      <c r="Q2049" s="51">
        <f>IF(tblWorkPackages[[#This Row],[Actual labor hours]]&gt;tblWorkPackages[[#This Row],[Estimated labor hours]],1,0)</f>
        <v>1</v>
      </c>
      <c r="R2049" s="51">
        <f>tblWorkPackages[[#This Row],[Actual labor hours]]-tblWorkPackages[[#This Row],[Estimated labor hours]]</f>
        <v>5.3</v>
      </c>
      <c r="S2049" s="51" t="str">
        <f>IF(tblWorkPackages[[#This Row],[Request date serial]]&lt;ValidationStart,"Train 2024",IF(tblWorkPackages[[#This Row],[Request date serial]]&lt;HoldoutStart,"Validation H1","Holdout H2"))</f>
        <v>Train 2024</v>
      </c>
      <c r="T2049" s="51" t="str">
        <f>IF(tblWorkPackages[[#This Row],[Time split]]="Train 2024","",tblWorkPackages[[#This Row],[Estimated labor hours]]+VLOOKUP(tblWorkPackages[[#This Row],[Task type]],'Forecast validation'!$A$14:$E$25,IF(tblWorkPackages[[#This Row],[Time split]]="Validation H1",4,5),FALSE()))</f>
        <v/>
      </c>
      <c r="U2049" s="51" t="str">
        <f>IF(tblWorkPackages[[#This Row],[Calibrated forecast hours]]="","",ABS(tblWorkPackages[[#This Row],[Actual labor hours]]-tblWorkPackages[[#This Row],[Calibrated forecast hours]]))</f>
        <v/>
      </c>
      <c r="V2049" s="51">
        <f>IF(tblWorkPackages[[#This Row],[Time split]]="Train 2024",tblWorkPackages[[#This Row],[Estimated labor hours]],tblWorkPackages[[#This Row],[Calibrated forecast hours]])</f>
        <v>32.7</v>
      </c>
      <c r="W2049" s="64">
        <f>DATEVALUE(tblWorkPackages[[#This Row],[Request date]])</f>
        <v>45388.0</v>
      </c>
      <c r="X2049" s="64">
        <f>DATEVALUE(tblWorkPackages[[#This Row],[Due date]])</f>
        <v>45401.0</v>
      </c>
      <c r="Y2049" s="64">
        <f>DATEVALUE(tblWorkPackages[[#This Row],[Completion date]])</f>
        <v>45406.0</v>
      </c>
      <c r="Z2049" s="64">
        <f>_xlfn.MINIFS(tblLaborEntries[Work date serial],tblLaborEntries[Work package ID],tblWorkPackages[[#This Row],[Work package ID]])</f>
        <v>45401.0</v>
      </c>
      <c r="AA2049" s="64">
        <f>_xlfn.MAXIFS(tblLaborEntries[Work date serial],tblLaborEntries[Work package ID],tblWorkPackages[[#This Row],[Work package ID]])</f>
        <v>45403.0</v>
      </c>
      <c r="AB2049" s="65">
        <f>IF(tblWorkPackages[[#This Row],[Completion date serial]]&gt;tblWorkPackages[[#This Row],[Due date serial]],1,0)</f>
        <v>1</v>
      </c>
      <c r="AC2049" s="65">
        <f>MAX(0,tblWorkPackages[[#This Row],[Completion date serial]]-tblWorkPackages[[#This Row],[Due date serial]])</f>
        <v>5</v>
      </c>
      <c r="AD2049" s="65">
        <f>tblWorkPackages[[#This Row],[First labor date]]-tblWorkPackages[[#This Row],[Request date serial]]</f>
        <v>13</v>
      </c>
      <c r="AE2049" s="65">
        <f>tblWorkPackages[[#This Row],[Last labor date]]-tblWorkPackages[[#This Row],[First labor date]]</f>
        <v>2</v>
      </c>
      <c r="AF2049" s="65">
        <f>tblWorkPackages[[#This Row],[Completion date serial]]-tblWorkPackages[[#This Row],[Last labor date]]</f>
        <v>3</v>
      </c>
      <c r="AG2049" s="65">
        <f>tblWorkPackages[[#This Row],[Completion date serial]]-tblWorkPackages[[#This Row],[Request date serial]]</f>
        <v>18</v>
      </c>
      <c r="AH2049" s="65">
        <f>IFERROR(INDEX(tblParts[Delay days],MATCH(tblWorkPackages[[#This Row],[Work package ID]],tblParts[Work package ID],0)),0)</f>
        <v>0</v>
      </c>
      <c r="AI2049" s="51" t="str">
        <f>IFERROR(INDEX(tblDisruptions[Event type],MATCH(tblWorkPackages[[#This Row],[Work package ID]],tblDisruptions[Work package ID],0)),"None")</f>
        <v>None</v>
      </c>
      <c r="AJ2049" s="51" t="str">
        <f>TEXT(tblWorkPackages[[#This Row],[Due date serial]],"yyyy-mm")</f>
        <v>2024-04</v>
      </c>
    </row>
    <row r="2050" spans="1:36" ht="15" x14ac:dyDescent="0.25">
      <c r="A2050" s="53" t="s">
        <v>2961</v>
      </c>
      <c r="B2050" s="53" t="s">
        <v>230</v>
      </c>
      <c r="C2050" s="53" t="s">
        <v>687</v>
      </c>
      <c r="D2050" s="53" t="s">
        <v>807</v>
      </c>
      <c r="E2050" s="53" t="s">
        <v>136</v>
      </c>
      <c r="F2050" s="53" t="s">
        <v>137</v>
      </c>
      <c r="G2050" s="53" t="s">
        <v>138</v>
      </c>
      <c r="H2050" s="53">
        <v>3</v>
      </c>
      <c r="I2050" s="53" t="s">
        <v>130</v>
      </c>
      <c r="J2050" s="53">
        <v>0</v>
      </c>
      <c r="K2050" s="53">
        <v>1</v>
      </c>
      <c r="L2050" s="53">
        <v>23</v>
      </c>
      <c r="M2050" s="53" t="s">
        <v>967</v>
      </c>
      <c r="N2050" s="53">
        <v>23</v>
      </c>
      <c r="O2050" s="51" t="str">
        <f>TEXT(tblWorkPackages[[#This Row],[Request date serial]]-WEEKDAY(tblWorkPackages[[#This Row],[Request date serial]],3),"yyyy-mm-dd")</f>
        <v>2025-03-31</v>
      </c>
      <c r="P2050" s="51">
        <f>ABS(tblWorkPackages[[#This Row],[Actual labor hours]]-tblWorkPackages[[#This Row],[Estimated labor hours]])</f>
        <v>0</v>
      </c>
      <c r="Q2050" s="51">
        <f>IF(tblWorkPackages[[#This Row],[Actual labor hours]]&gt;tblWorkPackages[[#This Row],[Estimated labor hours]],1,0)</f>
        <v>0</v>
      </c>
      <c r="R2050" s="51">
        <f>tblWorkPackages[[#This Row],[Actual labor hours]]-tblWorkPackages[[#This Row],[Estimated labor hours]]</f>
        <v>0</v>
      </c>
      <c r="S2050" s="51" t="str">
        <f>IF(tblWorkPackages[[#This Row],[Request date serial]]&lt;ValidationStart,"Train 2024",IF(tblWorkPackages[[#This Row],[Request date serial]]&lt;HoldoutStart,"Validation H1","Holdout H2"))</f>
        <v>Validation H1</v>
      </c>
      <c r="T2050" s="51">
        <f>IF(tblWorkPackages[[#This Row],[Time split]]="Train 2024","",tblWorkPackages[[#This Row],[Estimated labor hours]]+VLOOKUP(tblWorkPackages[[#This Row],[Task type]],'Forecast validation'!$A$14:$E$25,IF(tblWorkPackages[[#This Row],[Time split]]="Validation H1",4,5),FALSE()))</f>
        <v>23.8765306122449</v>
      </c>
      <c r="U2050" s="51">
        <f>IF(tblWorkPackages[[#This Row],[Calibrated forecast hours]]="","",ABS(tblWorkPackages[[#This Row],[Actual labor hours]]-tblWorkPackages[[#This Row],[Calibrated forecast hours]]))</f>
        <v>0.876530612244899</v>
      </c>
      <c r="V2050" s="51">
        <f>IF(tblWorkPackages[[#This Row],[Time split]]="Train 2024",tblWorkPackages[[#This Row],[Estimated labor hours]],tblWorkPackages[[#This Row],[Calibrated forecast hours]])</f>
        <v>23.8765306122449</v>
      </c>
      <c r="W2050" s="64">
        <f>DATEVALUE(tblWorkPackages[[#This Row],[Request date]])</f>
        <v>45753.0</v>
      </c>
      <c r="X2050" s="64">
        <f>DATEVALUE(tblWorkPackages[[#This Row],[Due date]])</f>
        <v>45766.0</v>
      </c>
      <c r="Y2050" s="64">
        <f>DATEVALUE(tblWorkPackages[[#This Row],[Completion date]])</f>
        <v>45758.0</v>
      </c>
      <c r="Z2050" s="64">
        <f>_xlfn.MINIFS(tblLaborEntries[Work date serial],tblLaborEntries[Work package ID],tblWorkPackages[[#This Row],[Work package ID]])</f>
        <v>45756.0</v>
      </c>
      <c r="AA2050" s="64">
        <f>_xlfn.MAXIFS(tblLaborEntries[Work date serial],tblLaborEntries[Work package ID],tblWorkPackages[[#This Row],[Work package ID]])</f>
        <v>45758.0</v>
      </c>
      <c r="AB2050" s="65">
        <f>IF(tblWorkPackages[[#This Row],[Completion date serial]]&gt;tblWorkPackages[[#This Row],[Due date serial]],1,0)</f>
        <v>0</v>
      </c>
      <c r="AC2050" s="65">
        <f>MAX(0,tblWorkPackages[[#This Row],[Completion date serial]]-tblWorkPackages[[#This Row],[Due date serial]])</f>
        <v>0</v>
      </c>
      <c r="AD2050" s="65">
        <f>tblWorkPackages[[#This Row],[First labor date]]-tblWorkPackages[[#This Row],[Request date serial]]</f>
        <v>3</v>
      </c>
      <c r="AE2050" s="65">
        <f>tblWorkPackages[[#This Row],[Last labor date]]-tblWorkPackages[[#This Row],[First labor date]]</f>
        <v>2</v>
      </c>
      <c r="AF2050" s="65">
        <f>tblWorkPackages[[#This Row],[Completion date serial]]-tblWorkPackages[[#This Row],[Last labor date]]</f>
        <v>0</v>
      </c>
      <c r="AG2050" s="65">
        <f>tblWorkPackages[[#This Row],[Completion date serial]]-tblWorkPackages[[#This Row],[Request date serial]]</f>
        <v>5</v>
      </c>
      <c r="AH2050" s="65">
        <f>IFERROR(INDEX(tblParts[Delay days],MATCH(tblWorkPackages[[#This Row],[Work package ID]],tblParts[Work package ID],0)),0)</f>
        <v>0</v>
      </c>
      <c r="AI2050" s="51" t="str">
        <f>IFERROR(INDEX(tblDisruptions[Event type],MATCH(tblWorkPackages[[#This Row],[Work package ID]],tblDisruptions[Work package ID],0)),"None")</f>
        <v>None</v>
      </c>
      <c r="AJ2050" s="51" t="str">
        <f>TEXT(tblWorkPackages[[#This Row],[Due date serial]],"yyyy-mm")</f>
        <v>2025-04</v>
      </c>
    </row>
    <row r="2051" spans="1:36" ht="15" x14ac:dyDescent="0.25">
      <c r="A2051" s="53" t="s">
        <v>2962</v>
      </c>
      <c r="B2051" s="53" t="s">
        <v>230</v>
      </c>
      <c r="C2051" s="53" t="s">
        <v>556</v>
      </c>
      <c r="D2051" s="53" t="s">
        <v>817</v>
      </c>
      <c r="E2051" s="53" t="s">
        <v>144</v>
      </c>
      <c r="F2051" s="53" t="s">
        <v>145</v>
      </c>
      <c r="G2051" s="53" t="s">
        <v>146</v>
      </c>
      <c r="H2051" s="53">
        <v>3</v>
      </c>
      <c r="I2051" s="53" t="s">
        <v>147</v>
      </c>
      <c r="J2051" s="53">
        <v>0</v>
      </c>
      <c r="K2051" s="53">
        <v>1</v>
      </c>
      <c r="L2051" s="53">
        <v>14.1</v>
      </c>
      <c r="M2051" s="53" t="s">
        <v>281</v>
      </c>
      <c r="N2051" s="53">
        <v>13.2</v>
      </c>
      <c r="O2051" s="51" t="str">
        <f>TEXT(tblWorkPackages[[#This Row],[Request date serial]]-WEEKDAY(tblWorkPackages[[#This Row],[Request date serial]],3),"yyyy-mm-dd")</f>
        <v>2024-12-09</v>
      </c>
      <c r="P2051" s="51">
        <f>ABS(tblWorkPackages[[#This Row],[Actual labor hours]]-tblWorkPackages[[#This Row],[Estimated labor hours]])</f>
        <v>0.9</v>
      </c>
      <c r="Q2051" s="51">
        <f>IF(tblWorkPackages[[#This Row],[Actual labor hours]]&gt;tblWorkPackages[[#This Row],[Estimated labor hours]],1,0)</f>
        <v>0</v>
      </c>
      <c r="R2051" s="51">
        <f>tblWorkPackages[[#This Row],[Actual labor hours]]-tblWorkPackages[[#This Row],[Estimated labor hours]]</f>
        <v>-0.9</v>
      </c>
      <c r="S2051" s="51" t="str">
        <f>IF(tblWorkPackages[[#This Row],[Request date serial]]&lt;ValidationStart,"Train 2024",IF(tblWorkPackages[[#This Row],[Request date serial]]&lt;HoldoutStart,"Validation H1","Holdout H2"))</f>
        <v>Train 2024</v>
      </c>
      <c r="T2051" s="51" t="str">
        <f>IF(tblWorkPackages[[#This Row],[Time split]]="Train 2024","",tblWorkPackages[[#This Row],[Estimated labor hours]]+VLOOKUP(tblWorkPackages[[#This Row],[Task type]],'Forecast validation'!$A$14:$E$25,IF(tblWorkPackages[[#This Row],[Time split]]="Validation H1",4,5),FALSE()))</f>
        <v/>
      </c>
      <c r="U2051" s="51" t="str">
        <f>IF(tblWorkPackages[[#This Row],[Calibrated forecast hours]]="","",ABS(tblWorkPackages[[#This Row],[Actual labor hours]]-tblWorkPackages[[#This Row],[Calibrated forecast hours]]))</f>
        <v/>
      </c>
      <c r="V2051" s="51">
        <f>IF(tblWorkPackages[[#This Row],[Time split]]="Train 2024",tblWorkPackages[[#This Row],[Estimated labor hours]],tblWorkPackages[[#This Row],[Calibrated forecast hours]])</f>
        <v>14.1</v>
      </c>
      <c r="W2051" s="64">
        <f>DATEVALUE(tblWorkPackages[[#This Row],[Request date]])</f>
        <v>45635.0</v>
      </c>
      <c r="X2051" s="64">
        <f>DATEVALUE(tblWorkPackages[[#This Row],[Due date]])</f>
        <v>45637.0</v>
      </c>
      <c r="Y2051" s="64">
        <f>DATEVALUE(tblWorkPackages[[#This Row],[Completion date]])</f>
        <v>45684.0</v>
      </c>
      <c r="Z2051" s="64">
        <f>_xlfn.MINIFS(tblLaborEntries[Work date serial],tblLaborEntries[Work package ID],tblWorkPackages[[#This Row],[Work package ID]])</f>
        <v>45681.0</v>
      </c>
      <c r="AA2051" s="64">
        <f>_xlfn.MAXIFS(tblLaborEntries[Work date serial],tblLaborEntries[Work package ID],tblWorkPackages[[#This Row],[Work package ID]])</f>
        <v>45683.0</v>
      </c>
      <c r="AB2051" s="65">
        <f>IF(tblWorkPackages[[#This Row],[Completion date serial]]&gt;tblWorkPackages[[#This Row],[Due date serial]],1,0)</f>
        <v>1</v>
      </c>
      <c r="AC2051" s="65">
        <f>MAX(0,tblWorkPackages[[#This Row],[Completion date serial]]-tblWorkPackages[[#This Row],[Due date serial]])</f>
        <v>47</v>
      </c>
      <c r="AD2051" s="65">
        <f>tblWorkPackages[[#This Row],[First labor date]]-tblWorkPackages[[#This Row],[Request date serial]]</f>
        <v>46</v>
      </c>
      <c r="AE2051" s="65">
        <f>tblWorkPackages[[#This Row],[Last labor date]]-tblWorkPackages[[#This Row],[First labor date]]</f>
        <v>2</v>
      </c>
      <c r="AF2051" s="65">
        <f>tblWorkPackages[[#This Row],[Completion date serial]]-tblWorkPackages[[#This Row],[Last labor date]]</f>
        <v>1</v>
      </c>
      <c r="AG2051" s="65">
        <f>tblWorkPackages[[#This Row],[Completion date serial]]-tblWorkPackages[[#This Row],[Request date serial]]</f>
        <v>49</v>
      </c>
      <c r="AH2051" s="65">
        <f>IFERROR(INDEX(tblParts[Delay days],MATCH(tblWorkPackages[[#This Row],[Work package ID]],tblParts[Work package ID],0)),0)</f>
        <v>0</v>
      </c>
      <c r="AI2051" s="51" t="str">
        <f>IFERROR(INDEX(tblDisruptions[Event type],MATCH(tblWorkPackages[[#This Row],[Work package ID]],tblDisruptions[Work package ID],0)),"None")</f>
        <v>Scope change</v>
      </c>
      <c r="AJ2051" s="51" t="str">
        <f>TEXT(tblWorkPackages[[#This Row],[Due date serial]],"yyyy-mm")</f>
        <v>2024-12</v>
      </c>
    </row>
    <row r="2052" spans="1:36" ht="15" x14ac:dyDescent="0.25">
      <c r="A2052" s="53" t="s">
        <v>2963</v>
      </c>
      <c r="B2052" s="53" t="s">
        <v>163</v>
      </c>
      <c r="C2052" s="53" t="s">
        <v>252</v>
      </c>
      <c r="D2052" s="53" t="s">
        <v>1417</v>
      </c>
      <c r="E2052" s="53" t="s">
        <v>200</v>
      </c>
      <c r="F2052" s="53" t="s">
        <v>128</v>
      </c>
      <c r="G2052" s="53" t="s">
        <v>129</v>
      </c>
      <c r="H2052" s="53">
        <v>2</v>
      </c>
      <c r="I2052" s="53" t="s">
        <v>147</v>
      </c>
      <c r="J2052" s="53">
        <v>0</v>
      </c>
      <c r="K2052" s="53">
        <v>0</v>
      </c>
      <c r="L2052" s="53">
        <v>2.7</v>
      </c>
      <c r="M2052" s="53" t="s">
        <v>837</v>
      </c>
      <c r="N2052" s="53">
        <v>2.9</v>
      </c>
      <c r="O2052" s="51" t="str">
        <f>TEXT(tblWorkPackages[[#This Row],[Request date serial]]-WEEKDAY(tblWorkPackages[[#This Row],[Request date serial]],3),"yyyy-mm-dd")</f>
        <v>2024-12-23</v>
      </c>
      <c r="P2052" s="51">
        <f>ABS(tblWorkPackages[[#This Row],[Actual labor hours]]-tblWorkPackages[[#This Row],[Estimated labor hours]])</f>
        <v>0.2</v>
      </c>
      <c r="Q2052" s="51">
        <f>IF(tblWorkPackages[[#This Row],[Actual labor hours]]&gt;tblWorkPackages[[#This Row],[Estimated labor hours]],1,0)</f>
        <v>1</v>
      </c>
      <c r="R2052" s="51">
        <f>tblWorkPackages[[#This Row],[Actual labor hours]]-tblWorkPackages[[#This Row],[Estimated labor hours]]</f>
        <v>0.2</v>
      </c>
      <c r="S2052" s="51" t="str">
        <f>IF(tblWorkPackages[[#This Row],[Request date serial]]&lt;ValidationStart,"Train 2024",IF(tblWorkPackages[[#This Row],[Request date serial]]&lt;HoldoutStart,"Validation H1","Holdout H2"))</f>
        <v>Train 2024</v>
      </c>
      <c r="T2052" s="51" t="str">
        <f>IF(tblWorkPackages[[#This Row],[Time split]]="Train 2024","",tblWorkPackages[[#This Row],[Estimated labor hours]]+VLOOKUP(tblWorkPackages[[#This Row],[Task type]],'Forecast validation'!$A$14:$E$25,IF(tblWorkPackages[[#This Row],[Time split]]="Validation H1",4,5),FALSE()))</f>
        <v/>
      </c>
      <c r="U2052" s="51" t="str">
        <f>IF(tblWorkPackages[[#This Row],[Calibrated forecast hours]]="","",ABS(tblWorkPackages[[#This Row],[Actual labor hours]]-tblWorkPackages[[#This Row],[Calibrated forecast hours]]))</f>
        <v/>
      </c>
      <c r="V2052" s="51">
        <f>IF(tblWorkPackages[[#This Row],[Time split]]="Train 2024",tblWorkPackages[[#This Row],[Estimated labor hours]],tblWorkPackages[[#This Row],[Calibrated forecast hours]])</f>
        <v>2.7</v>
      </c>
      <c r="W2052" s="64">
        <f>DATEVALUE(tblWorkPackages[[#This Row],[Request date]])</f>
        <v>45654.0</v>
      </c>
      <c r="X2052" s="64">
        <f>DATEVALUE(tblWorkPackages[[#This Row],[Due date]])</f>
        <v>45656.0</v>
      </c>
      <c r="Y2052" s="64">
        <f>DATEVALUE(tblWorkPackages[[#This Row],[Completion date]])</f>
        <v>45665.0</v>
      </c>
      <c r="Z2052" s="64">
        <f>_xlfn.MINIFS(tblLaborEntries[Work date serial],tblLaborEntries[Work package ID],tblWorkPackages[[#This Row],[Work package ID]])</f>
        <v>45662.0</v>
      </c>
      <c r="AA2052" s="64">
        <f>_xlfn.MAXIFS(tblLaborEntries[Work date serial],tblLaborEntries[Work package ID],tblWorkPackages[[#This Row],[Work package ID]])</f>
        <v>45663.0</v>
      </c>
      <c r="AB2052" s="65">
        <f>IF(tblWorkPackages[[#This Row],[Completion date serial]]&gt;tblWorkPackages[[#This Row],[Due date serial]],1,0)</f>
        <v>1</v>
      </c>
      <c r="AC2052" s="65">
        <f>MAX(0,tblWorkPackages[[#This Row],[Completion date serial]]-tblWorkPackages[[#This Row],[Due date serial]])</f>
        <v>9</v>
      </c>
      <c r="AD2052" s="65">
        <f>tblWorkPackages[[#This Row],[First labor date]]-tblWorkPackages[[#This Row],[Request date serial]]</f>
        <v>8</v>
      </c>
      <c r="AE2052" s="65">
        <f>tblWorkPackages[[#This Row],[Last labor date]]-tblWorkPackages[[#This Row],[First labor date]]</f>
        <v>1</v>
      </c>
      <c r="AF2052" s="65">
        <f>tblWorkPackages[[#This Row],[Completion date serial]]-tblWorkPackages[[#This Row],[Last labor date]]</f>
        <v>2</v>
      </c>
      <c r="AG2052" s="65">
        <f>tblWorkPackages[[#This Row],[Completion date serial]]-tblWorkPackages[[#This Row],[Request date serial]]</f>
        <v>11</v>
      </c>
      <c r="AH2052" s="65">
        <f>IFERROR(INDEX(tblParts[Delay days],MATCH(tblWorkPackages[[#This Row],[Work package ID]],tblParts[Work package ID],0)),0)</f>
        <v>0</v>
      </c>
      <c r="AI2052" s="51" t="str">
        <f>IFERROR(INDEX(tblDisruptions[Event type],MATCH(tblWorkPackages[[#This Row],[Work package ID]],tblDisruptions[Work package ID],0)),"None")</f>
        <v>None</v>
      </c>
      <c r="AJ2052" s="51" t="str">
        <f>TEXT(tblWorkPackages[[#This Row],[Due date serial]],"yyyy-mm")</f>
        <v>2024-12</v>
      </c>
    </row>
    <row r="2053" spans="1:36" ht="15" x14ac:dyDescent="0.25">
      <c r="A2053" s="53" t="s">
        <v>2964</v>
      </c>
      <c r="B2053" s="53" t="s">
        <v>250</v>
      </c>
      <c r="C2053" s="53" t="s">
        <v>716</v>
      </c>
      <c r="D2053" s="53" t="s">
        <v>412</v>
      </c>
      <c r="E2053" s="53" t="s">
        <v>272</v>
      </c>
      <c r="F2053" s="53" t="s">
        <v>145</v>
      </c>
      <c r="G2053" s="53" t="s">
        <v>273</v>
      </c>
      <c r="H2053" s="53">
        <v>2</v>
      </c>
      <c r="I2053" s="53" t="s">
        <v>147</v>
      </c>
      <c r="J2053" s="53">
        <v>0</v>
      </c>
      <c r="K2053" s="53">
        <v>0</v>
      </c>
      <c r="L2053" s="53">
        <v>12</v>
      </c>
      <c r="M2053" s="53" t="s">
        <v>413</v>
      </c>
      <c r="N2053" s="53">
        <v>13.2</v>
      </c>
      <c r="O2053" s="51" t="str">
        <f>TEXT(tblWorkPackages[[#This Row],[Request date serial]]-WEEKDAY(tblWorkPackages[[#This Row],[Request date serial]],3),"yyyy-mm-dd")</f>
        <v>2025-02-17</v>
      </c>
      <c r="P2053" s="51">
        <f>ABS(tblWorkPackages[[#This Row],[Actual labor hours]]-tblWorkPackages[[#This Row],[Estimated labor hours]])</f>
        <v>1.2</v>
      </c>
      <c r="Q2053" s="51">
        <f>IF(tblWorkPackages[[#This Row],[Actual labor hours]]&gt;tblWorkPackages[[#This Row],[Estimated labor hours]],1,0)</f>
        <v>1</v>
      </c>
      <c r="R2053" s="51">
        <f>tblWorkPackages[[#This Row],[Actual labor hours]]-tblWorkPackages[[#This Row],[Estimated labor hours]]</f>
        <v>1.2</v>
      </c>
      <c r="S2053" s="51" t="str">
        <f>IF(tblWorkPackages[[#This Row],[Request date serial]]&lt;ValidationStart,"Train 2024",IF(tblWorkPackages[[#This Row],[Request date serial]]&lt;HoldoutStart,"Validation H1","Holdout H2"))</f>
        <v>Validation H1</v>
      </c>
      <c r="T2053" s="51">
        <f>IF(tblWorkPackages[[#This Row],[Time split]]="Train 2024","",tblWorkPackages[[#This Row],[Estimated labor hours]]+VLOOKUP(tblWorkPackages[[#This Row],[Task type]],'Forecast validation'!$A$14:$E$25,IF(tblWorkPackages[[#This Row],[Time split]]="Validation H1",4,5),FALSE()))</f>
        <v>13.0320512820513</v>
      </c>
      <c r="U2053" s="51">
        <f>IF(tblWorkPackages[[#This Row],[Calibrated forecast hours]]="","",ABS(tblWorkPackages[[#This Row],[Actual labor hours]]-tblWorkPackages[[#This Row],[Calibrated forecast hours]]))</f>
        <v>0.167948717948718</v>
      </c>
      <c r="V2053" s="51">
        <f>IF(tblWorkPackages[[#This Row],[Time split]]="Train 2024",tblWorkPackages[[#This Row],[Estimated labor hours]],tblWorkPackages[[#This Row],[Calibrated forecast hours]])</f>
        <v>13.0320512820513</v>
      </c>
      <c r="W2053" s="64">
        <f>DATEVALUE(tblWorkPackages[[#This Row],[Request date]])</f>
        <v>45710.0</v>
      </c>
      <c r="X2053" s="64">
        <f>DATEVALUE(tblWorkPackages[[#This Row],[Due date]])</f>
        <v>45712.0</v>
      </c>
      <c r="Y2053" s="64">
        <f>DATEVALUE(tblWorkPackages[[#This Row],[Completion date]])</f>
        <v>45717.0</v>
      </c>
      <c r="Z2053" s="64">
        <f>_xlfn.MINIFS(tblLaborEntries[Work date serial],tblLaborEntries[Work package ID],tblWorkPackages[[#This Row],[Work package ID]])</f>
        <v>45712.0</v>
      </c>
      <c r="AA2053" s="64">
        <f>_xlfn.MAXIFS(tblLaborEntries[Work date serial],tblLaborEntries[Work package ID],tblWorkPackages[[#This Row],[Work package ID]])</f>
        <v>45714.0</v>
      </c>
      <c r="AB2053" s="65">
        <f>IF(tblWorkPackages[[#This Row],[Completion date serial]]&gt;tblWorkPackages[[#This Row],[Due date serial]],1,0)</f>
        <v>1</v>
      </c>
      <c r="AC2053" s="65">
        <f>MAX(0,tblWorkPackages[[#This Row],[Completion date serial]]-tblWorkPackages[[#This Row],[Due date serial]])</f>
        <v>5</v>
      </c>
      <c r="AD2053" s="65">
        <f>tblWorkPackages[[#This Row],[First labor date]]-tblWorkPackages[[#This Row],[Request date serial]]</f>
        <v>2</v>
      </c>
      <c r="AE2053" s="65">
        <f>tblWorkPackages[[#This Row],[Last labor date]]-tblWorkPackages[[#This Row],[First labor date]]</f>
        <v>2</v>
      </c>
      <c r="AF2053" s="65">
        <f>tblWorkPackages[[#This Row],[Completion date serial]]-tblWorkPackages[[#This Row],[Last labor date]]</f>
        <v>3</v>
      </c>
      <c r="AG2053" s="65">
        <f>tblWorkPackages[[#This Row],[Completion date serial]]-tblWorkPackages[[#This Row],[Request date serial]]</f>
        <v>7</v>
      </c>
      <c r="AH2053" s="65">
        <f>IFERROR(INDEX(tblParts[Delay days],MATCH(tblWorkPackages[[#This Row],[Work package ID]],tblParts[Work package ID],0)),0)</f>
        <v>0</v>
      </c>
      <c r="AI2053" s="51" t="str">
        <f>IFERROR(INDEX(tblDisruptions[Event type],MATCH(tblWorkPackages[[#This Row],[Work package ID]],tblDisruptions[Work package ID],0)),"None")</f>
        <v>None</v>
      </c>
      <c r="AJ2053" s="51" t="str">
        <f>TEXT(tblWorkPackages[[#This Row],[Due date serial]],"yyyy-mm")</f>
        <v>2025-02</v>
      </c>
    </row>
    <row r="2054" spans="1:36" ht="15" x14ac:dyDescent="0.25">
      <c r="A2054" s="53" t="s">
        <v>2965</v>
      </c>
      <c r="B2054" s="53" t="s">
        <v>141</v>
      </c>
      <c r="C2054" s="53" t="s">
        <v>342</v>
      </c>
      <c r="D2054" s="53" t="s">
        <v>1019</v>
      </c>
      <c r="E2054" s="53" t="s">
        <v>160</v>
      </c>
      <c r="F2054" s="53" t="s">
        <v>128</v>
      </c>
      <c r="G2054" s="53" t="s">
        <v>138</v>
      </c>
      <c r="H2054" s="53">
        <v>3</v>
      </c>
      <c r="I2054" s="53" t="s">
        <v>130</v>
      </c>
      <c r="J2054" s="53">
        <v>0</v>
      </c>
      <c r="K2054" s="53">
        <v>0</v>
      </c>
      <c r="L2054" s="53">
        <v>5.8</v>
      </c>
      <c r="M2054" s="53" t="s">
        <v>520</v>
      </c>
      <c r="N2054" s="53">
        <v>5.9</v>
      </c>
      <c r="O2054" s="51" t="str">
        <f>TEXT(tblWorkPackages[[#This Row],[Request date serial]]-WEEKDAY(tblWorkPackages[[#This Row],[Request date serial]],3),"yyyy-mm-dd")</f>
        <v>2025-07-28</v>
      </c>
      <c r="P2054" s="51">
        <f>ABS(tblWorkPackages[[#This Row],[Actual labor hours]]-tblWorkPackages[[#This Row],[Estimated labor hours]])</f>
        <v>0.100000000000001</v>
      </c>
      <c r="Q2054" s="51">
        <f>IF(tblWorkPackages[[#This Row],[Actual labor hours]]&gt;tblWorkPackages[[#This Row],[Estimated labor hours]],1,0)</f>
        <v>1</v>
      </c>
      <c r="R2054" s="51">
        <f>tblWorkPackages[[#This Row],[Actual labor hours]]-tblWorkPackages[[#This Row],[Estimated labor hours]]</f>
        <v>0.100000000000001</v>
      </c>
      <c r="S2054" s="51" t="str">
        <f>IF(tblWorkPackages[[#This Row],[Request date serial]]&lt;ValidationStart,"Train 2024",IF(tblWorkPackages[[#This Row],[Request date serial]]&lt;HoldoutStart,"Validation H1","Holdout H2"))</f>
        <v>Holdout H2</v>
      </c>
      <c r="T2054" s="51">
        <f>IF(tblWorkPackages[[#This Row],[Time split]]="Train 2024","",tblWorkPackages[[#This Row],[Estimated labor hours]]+VLOOKUP(tblWorkPackages[[#This Row],[Task type]],'Forecast validation'!$A$14:$E$25,IF(tblWorkPackages[[#This Row],[Time split]]="Validation H1",4,5),FALSE()))</f>
        <v>6.23739837398374</v>
      </c>
      <c r="U2054" s="51">
        <f>IF(tblWorkPackages[[#This Row],[Calibrated forecast hours]]="","",ABS(tblWorkPackages[[#This Row],[Actual labor hours]]-tblWorkPackages[[#This Row],[Calibrated forecast hours]]))</f>
        <v>0.337398373983739</v>
      </c>
      <c r="V2054" s="51">
        <f>IF(tblWorkPackages[[#This Row],[Time split]]="Train 2024",tblWorkPackages[[#This Row],[Estimated labor hours]],tblWorkPackages[[#This Row],[Calibrated forecast hours]])</f>
        <v>6.23739837398374</v>
      </c>
      <c r="W2054" s="64">
        <f>DATEVALUE(tblWorkPackages[[#This Row],[Request date]])</f>
        <v>45871.0</v>
      </c>
      <c r="X2054" s="64">
        <f>DATEVALUE(tblWorkPackages[[#This Row],[Due date]])</f>
        <v>45884.0</v>
      </c>
      <c r="Y2054" s="64">
        <f>DATEVALUE(tblWorkPackages[[#This Row],[Completion date]])</f>
        <v>45890.0</v>
      </c>
      <c r="Z2054" s="64">
        <f>_xlfn.MINIFS(tblLaborEntries[Work date serial],tblLaborEntries[Work package ID],tblWorkPackages[[#This Row],[Work package ID]])</f>
        <v>45890.0</v>
      </c>
      <c r="AA2054" s="64">
        <f>_xlfn.MAXIFS(tblLaborEntries[Work date serial],tblLaborEntries[Work package ID],tblWorkPackages[[#This Row],[Work package ID]])</f>
        <v>45890.0</v>
      </c>
      <c r="AB2054" s="65">
        <f>IF(tblWorkPackages[[#This Row],[Completion date serial]]&gt;tblWorkPackages[[#This Row],[Due date serial]],1,0)</f>
        <v>1</v>
      </c>
      <c r="AC2054" s="65">
        <f>MAX(0,tblWorkPackages[[#This Row],[Completion date serial]]-tblWorkPackages[[#This Row],[Due date serial]])</f>
        <v>6</v>
      </c>
      <c r="AD2054" s="65">
        <f>tblWorkPackages[[#This Row],[First labor date]]-tblWorkPackages[[#This Row],[Request date serial]]</f>
        <v>19</v>
      </c>
      <c r="AE2054" s="65">
        <f>tblWorkPackages[[#This Row],[Last labor date]]-tblWorkPackages[[#This Row],[First labor date]]</f>
        <v>0</v>
      </c>
      <c r="AF2054" s="65">
        <f>tblWorkPackages[[#This Row],[Completion date serial]]-tblWorkPackages[[#This Row],[Last labor date]]</f>
        <v>0</v>
      </c>
      <c r="AG2054" s="65">
        <f>tblWorkPackages[[#This Row],[Completion date serial]]-tblWorkPackages[[#This Row],[Request date serial]]</f>
        <v>19</v>
      </c>
      <c r="AH2054" s="65">
        <f>IFERROR(INDEX(tblParts[Delay days],MATCH(tblWorkPackages[[#This Row],[Work package ID]],tblParts[Work package ID],0)),0)</f>
        <v>0</v>
      </c>
      <c r="AI2054" s="51" t="str">
        <f>IFERROR(INDEX(tblDisruptions[Event type],MATCH(tblWorkPackages[[#This Row],[Work package ID]],tblDisruptions[Work package ID],0)),"None")</f>
        <v>None</v>
      </c>
      <c r="AJ2054" s="51" t="str">
        <f>TEXT(tblWorkPackages[[#This Row],[Due date serial]],"yyyy-mm")</f>
        <v>2025-08</v>
      </c>
    </row>
    <row r="2055" spans="1:36" ht="15" x14ac:dyDescent="0.25">
      <c r="A2055" s="53" t="s">
        <v>2966</v>
      </c>
      <c r="B2055" s="53" t="s">
        <v>287</v>
      </c>
      <c r="C2055" s="53" t="s">
        <v>253</v>
      </c>
      <c r="D2055" s="53" t="s">
        <v>279</v>
      </c>
      <c r="E2055" s="53" t="s">
        <v>200</v>
      </c>
      <c r="F2055" s="53" t="s">
        <v>128</v>
      </c>
      <c r="G2055" s="53" t="s">
        <v>129</v>
      </c>
      <c r="H2055" s="53">
        <v>3</v>
      </c>
      <c r="I2055" s="53" t="s">
        <v>147</v>
      </c>
      <c r="J2055" s="53">
        <v>0</v>
      </c>
      <c r="K2055" s="53">
        <v>0</v>
      </c>
      <c r="L2055" s="53">
        <v>4.2</v>
      </c>
      <c r="M2055" s="53" t="s">
        <v>1062</v>
      </c>
      <c r="N2055" s="53">
        <v>3.4</v>
      </c>
      <c r="O2055" s="51" t="str">
        <f>TEXT(tblWorkPackages[[#This Row],[Request date serial]]-WEEKDAY(tblWorkPackages[[#This Row],[Request date serial]],3),"yyyy-mm-dd")</f>
        <v>2025-01-20</v>
      </c>
      <c r="P2055" s="51">
        <f>ABS(tblWorkPackages[[#This Row],[Actual labor hours]]-tblWorkPackages[[#This Row],[Estimated labor hours]])</f>
        <v>0.8</v>
      </c>
      <c r="Q2055" s="51">
        <f>IF(tblWorkPackages[[#This Row],[Actual labor hours]]&gt;tblWorkPackages[[#This Row],[Estimated labor hours]],1,0)</f>
        <v>0</v>
      </c>
      <c r="R2055" s="51">
        <f>tblWorkPackages[[#This Row],[Actual labor hours]]-tblWorkPackages[[#This Row],[Estimated labor hours]]</f>
        <v>-0.8</v>
      </c>
      <c r="S2055" s="51" t="str">
        <f>IF(tblWorkPackages[[#This Row],[Request date serial]]&lt;ValidationStart,"Train 2024",IF(tblWorkPackages[[#This Row],[Request date serial]]&lt;HoldoutStart,"Validation H1","Holdout H2"))</f>
        <v>Validation H1</v>
      </c>
      <c r="T2055" s="51">
        <f>IF(tblWorkPackages[[#This Row],[Time split]]="Train 2024","",tblWorkPackages[[#This Row],[Estimated labor hours]]+VLOOKUP(tblWorkPackages[[#This Row],[Task type]],'Forecast validation'!$A$14:$E$25,IF(tblWorkPackages[[#This Row],[Time split]]="Validation H1",4,5),FALSE()))</f>
        <v>4.53069306930693</v>
      </c>
      <c r="U2055" s="51">
        <f>IF(tblWorkPackages[[#This Row],[Calibrated forecast hours]]="","",ABS(tblWorkPackages[[#This Row],[Actual labor hours]]-tblWorkPackages[[#This Row],[Calibrated forecast hours]]))</f>
        <v>1.13069306930693</v>
      </c>
      <c r="V2055" s="51">
        <f>IF(tblWorkPackages[[#This Row],[Time split]]="Train 2024",tblWorkPackages[[#This Row],[Estimated labor hours]],tblWorkPackages[[#This Row],[Calibrated forecast hours]])</f>
        <v>4.53069306930693</v>
      </c>
      <c r="W2055" s="64">
        <f>DATEVALUE(tblWorkPackages[[#This Row],[Request date]])</f>
        <v>45677.0</v>
      </c>
      <c r="X2055" s="64">
        <f>DATEVALUE(tblWorkPackages[[#This Row],[Due date]])</f>
        <v>45679.0</v>
      </c>
      <c r="Y2055" s="64">
        <f>DATEVALUE(tblWorkPackages[[#This Row],[Completion date]])</f>
        <v>45682.0</v>
      </c>
      <c r="Z2055" s="64">
        <f>_xlfn.MINIFS(tblLaborEntries[Work date serial],tblLaborEntries[Work package ID],tblWorkPackages[[#This Row],[Work package ID]])</f>
        <v>45681.0</v>
      </c>
      <c r="AA2055" s="64">
        <f>_xlfn.MAXIFS(tblLaborEntries[Work date serial],tblLaborEntries[Work package ID],tblWorkPackages[[#This Row],[Work package ID]])</f>
        <v>45681.0</v>
      </c>
      <c r="AB2055" s="65">
        <f>IF(tblWorkPackages[[#This Row],[Completion date serial]]&gt;tblWorkPackages[[#This Row],[Due date serial]],1,0)</f>
        <v>1</v>
      </c>
      <c r="AC2055" s="65">
        <f>MAX(0,tblWorkPackages[[#This Row],[Completion date serial]]-tblWorkPackages[[#This Row],[Due date serial]])</f>
        <v>3</v>
      </c>
      <c r="AD2055" s="65">
        <f>tblWorkPackages[[#This Row],[First labor date]]-tblWorkPackages[[#This Row],[Request date serial]]</f>
        <v>4</v>
      </c>
      <c r="AE2055" s="65">
        <f>tblWorkPackages[[#This Row],[Last labor date]]-tblWorkPackages[[#This Row],[First labor date]]</f>
        <v>0</v>
      </c>
      <c r="AF2055" s="65">
        <f>tblWorkPackages[[#This Row],[Completion date serial]]-tblWorkPackages[[#This Row],[Last labor date]]</f>
        <v>1</v>
      </c>
      <c r="AG2055" s="65">
        <f>tblWorkPackages[[#This Row],[Completion date serial]]-tblWorkPackages[[#This Row],[Request date serial]]</f>
        <v>5</v>
      </c>
      <c r="AH2055" s="65">
        <f>IFERROR(INDEX(tblParts[Delay days],MATCH(tblWorkPackages[[#This Row],[Work package ID]],tblParts[Work package ID],0)),0)</f>
        <v>0</v>
      </c>
      <c r="AI2055" s="51" t="str">
        <f>IFERROR(INDEX(tblDisruptions[Event type],MATCH(tblWorkPackages[[#This Row],[Work package ID]],tblDisruptions[Work package ID],0)),"None")</f>
        <v>None</v>
      </c>
      <c r="AJ2055" s="51" t="str">
        <f>TEXT(tblWorkPackages[[#This Row],[Due date serial]],"yyyy-mm")</f>
        <v>2025-01</v>
      </c>
    </row>
    <row r="2056" spans="1:36" ht="15" x14ac:dyDescent="0.25">
      <c r="A2056" s="53" t="s">
        <v>2967</v>
      </c>
      <c r="B2056" s="53" t="s">
        <v>185</v>
      </c>
      <c r="C2056" s="53" t="s">
        <v>1446</v>
      </c>
      <c r="D2056" s="53" t="s">
        <v>592</v>
      </c>
      <c r="E2056" s="53" t="s">
        <v>153</v>
      </c>
      <c r="F2056" s="53" t="s">
        <v>128</v>
      </c>
      <c r="G2056" s="53" t="s">
        <v>154</v>
      </c>
      <c r="H2056" s="53">
        <v>4</v>
      </c>
      <c r="I2056" s="53" t="s">
        <v>176</v>
      </c>
      <c r="J2056" s="53">
        <v>0</v>
      </c>
      <c r="K2056" s="53">
        <v>0</v>
      </c>
      <c r="L2056" s="53">
        <v>20.7</v>
      </c>
      <c r="M2056" s="53" t="s">
        <v>1624</v>
      </c>
      <c r="N2056" s="53">
        <v>16.8</v>
      </c>
      <c r="O2056" s="51" t="str">
        <f>TEXT(tblWorkPackages[[#This Row],[Request date serial]]-WEEKDAY(tblWorkPackages[[#This Row],[Request date serial]],3),"yyyy-mm-dd")</f>
        <v>2025-03-31</v>
      </c>
      <c r="P2056" s="51">
        <f>ABS(tblWorkPackages[[#This Row],[Actual labor hours]]-tblWorkPackages[[#This Row],[Estimated labor hours]])</f>
        <v>3.9</v>
      </c>
      <c r="Q2056" s="51">
        <f>IF(tblWorkPackages[[#This Row],[Actual labor hours]]&gt;tblWorkPackages[[#This Row],[Estimated labor hours]],1,0)</f>
        <v>0</v>
      </c>
      <c r="R2056" s="51">
        <f>tblWorkPackages[[#This Row],[Actual labor hours]]-tblWorkPackages[[#This Row],[Estimated labor hours]]</f>
        <v>-3.9</v>
      </c>
      <c r="S2056" s="51" t="str">
        <f>IF(tblWorkPackages[[#This Row],[Request date serial]]&lt;ValidationStart,"Train 2024",IF(tblWorkPackages[[#This Row],[Request date serial]]&lt;HoldoutStart,"Validation H1","Holdout H2"))</f>
        <v>Validation H1</v>
      </c>
      <c r="T2056" s="51">
        <f>IF(tblWorkPackages[[#This Row],[Time split]]="Train 2024","",tblWorkPackages[[#This Row],[Estimated labor hours]]+VLOOKUP(tblWorkPackages[[#This Row],[Task type]],'Forecast validation'!$A$14:$E$25,IF(tblWorkPackages[[#This Row],[Time split]]="Validation H1",4,5),FALSE()))</f>
        <v>21.2462264150943</v>
      </c>
      <c r="U2056" s="51">
        <f>IF(tblWorkPackages[[#This Row],[Calibrated forecast hours]]="","",ABS(tblWorkPackages[[#This Row],[Actual labor hours]]-tblWorkPackages[[#This Row],[Calibrated forecast hours]]))</f>
        <v>4.44622641509434</v>
      </c>
      <c r="V2056" s="51">
        <f>IF(tblWorkPackages[[#This Row],[Time split]]="Train 2024",tblWorkPackages[[#This Row],[Estimated labor hours]],tblWorkPackages[[#This Row],[Calibrated forecast hours]])</f>
        <v>21.2462264150943</v>
      </c>
      <c r="W2056" s="64">
        <f>DATEVALUE(tblWorkPackages[[#This Row],[Request date]])</f>
        <v>45751.0</v>
      </c>
      <c r="X2056" s="64">
        <f>DATEVALUE(tblWorkPackages[[#This Row],[Due date]])</f>
        <v>45757.0</v>
      </c>
      <c r="Y2056" s="64">
        <f>DATEVALUE(tblWorkPackages[[#This Row],[Completion date]])</f>
        <v>45756.0</v>
      </c>
      <c r="Z2056" s="64">
        <f>_xlfn.MINIFS(tblLaborEntries[Work date serial],tblLaborEntries[Work package ID],tblWorkPackages[[#This Row],[Work package ID]])</f>
        <v>45752.0</v>
      </c>
      <c r="AA2056" s="64">
        <f>_xlfn.MAXIFS(tblLaborEntries[Work date serial],tblLaborEntries[Work package ID],tblWorkPackages[[#This Row],[Work package ID]])</f>
        <v>45754.0</v>
      </c>
      <c r="AB2056" s="65">
        <f>IF(tblWorkPackages[[#This Row],[Completion date serial]]&gt;tblWorkPackages[[#This Row],[Due date serial]],1,0)</f>
        <v>0</v>
      </c>
      <c r="AC2056" s="65">
        <f>MAX(0,tblWorkPackages[[#This Row],[Completion date serial]]-tblWorkPackages[[#This Row],[Due date serial]])</f>
        <v>0</v>
      </c>
      <c r="AD2056" s="65">
        <f>tblWorkPackages[[#This Row],[First labor date]]-tblWorkPackages[[#This Row],[Request date serial]]</f>
        <v>1</v>
      </c>
      <c r="AE2056" s="65">
        <f>tblWorkPackages[[#This Row],[Last labor date]]-tblWorkPackages[[#This Row],[First labor date]]</f>
        <v>2</v>
      </c>
      <c r="AF2056" s="65">
        <f>tblWorkPackages[[#This Row],[Completion date serial]]-tblWorkPackages[[#This Row],[Last labor date]]</f>
        <v>2</v>
      </c>
      <c r="AG2056" s="65">
        <f>tblWorkPackages[[#This Row],[Completion date serial]]-tblWorkPackages[[#This Row],[Request date serial]]</f>
        <v>5</v>
      </c>
      <c r="AH2056" s="65">
        <f>IFERROR(INDEX(tblParts[Delay days],MATCH(tblWorkPackages[[#This Row],[Work package ID]],tblParts[Work package ID],0)),0)</f>
        <v>0</v>
      </c>
      <c r="AI2056" s="51" t="str">
        <f>IFERROR(INDEX(tblDisruptions[Event type],MATCH(tblWorkPackages[[#This Row],[Work package ID]],tblDisruptions[Work package ID],0)),"None")</f>
        <v>None</v>
      </c>
      <c r="AJ2056" s="51" t="str">
        <f>TEXT(tblWorkPackages[[#This Row],[Due date serial]],"yyyy-mm")</f>
        <v>2025-04</v>
      </c>
    </row>
    <row r="2057" spans="1:36" ht="15" x14ac:dyDescent="0.25">
      <c r="A2057" s="53" t="s">
        <v>2968</v>
      </c>
      <c r="B2057" s="53" t="s">
        <v>235</v>
      </c>
      <c r="C2057" s="53" t="s">
        <v>441</v>
      </c>
      <c r="D2057" s="53" t="s">
        <v>351</v>
      </c>
      <c r="E2057" s="53" t="s">
        <v>200</v>
      </c>
      <c r="F2057" s="53" t="s">
        <v>128</v>
      </c>
      <c r="G2057" s="53" t="s">
        <v>129</v>
      </c>
      <c r="H2057" s="53">
        <v>2</v>
      </c>
      <c r="I2057" s="53" t="s">
        <v>147</v>
      </c>
      <c r="J2057" s="53">
        <v>1</v>
      </c>
      <c r="K2057" s="53">
        <v>0</v>
      </c>
      <c r="L2057" s="53">
        <v>3</v>
      </c>
      <c r="M2057" s="53" t="s">
        <v>1466</v>
      </c>
      <c r="N2057" s="53">
        <v>3.8</v>
      </c>
      <c r="O2057" s="51" t="str">
        <f>TEXT(tblWorkPackages[[#This Row],[Request date serial]]-WEEKDAY(tblWorkPackages[[#This Row],[Request date serial]],3),"yyyy-mm-dd")</f>
        <v>2024-01-22</v>
      </c>
      <c r="P2057" s="51">
        <f>ABS(tblWorkPackages[[#This Row],[Actual labor hours]]-tblWorkPackages[[#This Row],[Estimated labor hours]])</f>
        <v>0.8</v>
      </c>
      <c r="Q2057" s="51">
        <f>IF(tblWorkPackages[[#This Row],[Actual labor hours]]&gt;tblWorkPackages[[#This Row],[Estimated labor hours]],1,0)</f>
        <v>1</v>
      </c>
      <c r="R2057" s="51">
        <f>tblWorkPackages[[#This Row],[Actual labor hours]]-tblWorkPackages[[#This Row],[Estimated labor hours]]</f>
        <v>0.8</v>
      </c>
      <c r="S2057" s="51" t="str">
        <f>IF(tblWorkPackages[[#This Row],[Request date serial]]&lt;ValidationStart,"Train 2024",IF(tblWorkPackages[[#This Row],[Request date serial]]&lt;HoldoutStart,"Validation H1","Holdout H2"))</f>
        <v>Train 2024</v>
      </c>
      <c r="T2057" s="51" t="str">
        <f>IF(tblWorkPackages[[#This Row],[Time split]]="Train 2024","",tblWorkPackages[[#This Row],[Estimated labor hours]]+VLOOKUP(tblWorkPackages[[#This Row],[Task type]],'Forecast validation'!$A$14:$E$25,IF(tblWorkPackages[[#This Row],[Time split]]="Validation H1",4,5),FALSE()))</f>
        <v/>
      </c>
      <c r="U2057" s="51" t="str">
        <f>IF(tblWorkPackages[[#This Row],[Calibrated forecast hours]]="","",ABS(tblWorkPackages[[#This Row],[Actual labor hours]]-tblWorkPackages[[#This Row],[Calibrated forecast hours]]))</f>
        <v/>
      </c>
      <c r="V2057" s="51">
        <f>IF(tblWorkPackages[[#This Row],[Time split]]="Train 2024",tblWorkPackages[[#This Row],[Estimated labor hours]],tblWorkPackages[[#This Row],[Calibrated forecast hours]])</f>
        <v>3</v>
      </c>
      <c r="W2057" s="64">
        <f>DATEVALUE(tblWorkPackages[[#This Row],[Request date]])</f>
        <v>45317.0</v>
      </c>
      <c r="X2057" s="64">
        <f>DATEVALUE(tblWorkPackages[[#This Row],[Due date]])</f>
        <v>45319.0</v>
      </c>
      <c r="Y2057" s="64">
        <f>DATEVALUE(tblWorkPackages[[#This Row],[Completion date]])</f>
        <v>45333.0</v>
      </c>
      <c r="Z2057" s="64">
        <f>_xlfn.MINIFS(tblLaborEntries[Work date serial],tblLaborEntries[Work package ID],tblWorkPackages[[#This Row],[Work package ID]])</f>
        <v>45328.0</v>
      </c>
      <c r="AA2057" s="64">
        <f>_xlfn.MAXIFS(tblLaborEntries[Work date serial],tblLaborEntries[Work package ID],tblWorkPackages[[#This Row],[Work package ID]])</f>
        <v>45330.0</v>
      </c>
      <c r="AB2057" s="65">
        <f>IF(tblWorkPackages[[#This Row],[Completion date serial]]&gt;tblWorkPackages[[#This Row],[Due date serial]],1,0)</f>
        <v>1</v>
      </c>
      <c r="AC2057" s="65">
        <f>MAX(0,tblWorkPackages[[#This Row],[Completion date serial]]-tblWorkPackages[[#This Row],[Due date serial]])</f>
        <v>14</v>
      </c>
      <c r="AD2057" s="65">
        <f>tblWorkPackages[[#This Row],[First labor date]]-tblWorkPackages[[#This Row],[Request date serial]]</f>
        <v>11</v>
      </c>
      <c r="AE2057" s="65">
        <f>tblWorkPackages[[#This Row],[Last labor date]]-tblWorkPackages[[#This Row],[First labor date]]</f>
        <v>2</v>
      </c>
      <c r="AF2057" s="65">
        <f>tblWorkPackages[[#This Row],[Completion date serial]]-tblWorkPackages[[#This Row],[Last labor date]]</f>
        <v>3</v>
      </c>
      <c r="AG2057" s="65">
        <f>tblWorkPackages[[#This Row],[Completion date serial]]-tblWorkPackages[[#This Row],[Request date serial]]</f>
        <v>16</v>
      </c>
      <c r="AH2057" s="65">
        <f>IFERROR(INDEX(tblParts[Delay days],MATCH(tblWorkPackages[[#This Row],[Work package ID]],tblParts[Work package ID],0)),0)</f>
        <v>0</v>
      </c>
      <c r="AI2057" s="51" t="str">
        <f>IFERROR(INDEX(tblDisruptions[Event type],MATCH(tblWorkPackages[[#This Row],[Work package ID]],tblDisruptions[Work package ID],0)),"None")</f>
        <v>Repeat inspection</v>
      </c>
      <c r="AJ2057" s="51" t="str">
        <f>TEXT(tblWorkPackages[[#This Row],[Due date serial]],"yyyy-mm")</f>
        <v>2024-01</v>
      </c>
    </row>
    <row r="2058" spans="1:36" ht="15" x14ac:dyDescent="0.25">
      <c r="A2058" s="53" t="s">
        <v>2969</v>
      </c>
      <c r="B2058" s="53" t="s">
        <v>141</v>
      </c>
      <c r="C2058" s="53" t="s">
        <v>849</v>
      </c>
      <c r="D2058" s="53" t="s">
        <v>1897</v>
      </c>
      <c r="E2058" s="53" t="s">
        <v>144</v>
      </c>
      <c r="F2058" s="53" t="s">
        <v>145</v>
      </c>
      <c r="G2058" s="53" t="s">
        <v>146</v>
      </c>
      <c r="H2058" s="53">
        <v>3</v>
      </c>
      <c r="I2058" s="53" t="s">
        <v>130</v>
      </c>
      <c r="J2058" s="53">
        <v>0</v>
      </c>
      <c r="K2058" s="53">
        <v>1</v>
      </c>
      <c r="L2058" s="53">
        <v>13.3</v>
      </c>
      <c r="M2058" s="53" t="s">
        <v>976</v>
      </c>
      <c r="N2058" s="53">
        <v>10.4</v>
      </c>
      <c r="O2058" s="51" t="str">
        <f>TEXT(tblWorkPackages[[#This Row],[Request date serial]]-WEEKDAY(tblWorkPackages[[#This Row],[Request date serial]],3),"yyyy-mm-dd")</f>
        <v>2025-12-22</v>
      </c>
      <c r="P2058" s="51">
        <f>ABS(tblWorkPackages[[#This Row],[Actual labor hours]]-tblWorkPackages[[#This Row],[Estimated labor hours]])</f>
        <v>2.9</v>
      </c>
      <c r="Q2058" s="51">
        <f>IF(tblWorkPackages[[#This Row],[Actual labor hours]]&gt;tblWorkPackages[[#This Row],[Estimated labor hours]],1,0)</f>
        <v>0</v>
      </c>
      <c r="R2058" s="51">
        <f>tblWorkPackages[[#This Row],[Actual labor hours]]-tblWorkPackages[[#This Row],[Estimated labor hours]]</f>
        <v>-2.9</v>
      </c>
      <c r="S2058" s="51" t="str">
        <f>IF(tblWorkPackages[[#This Row],[Request date serial]]&lt;ValidationStart,"Train 2024",IF(tblWorkPackages[[#This Row],[Request date serial]]&lt;HoldoutStart,"Validation H1","Holdout H2"))</f>
        <v>Holdout H2</v>
      </c>
      <c r="T2058" s="51">
        <f>IF(tblWorkPackages[[#This Row],[Time split]]="Train 2024","",tblWorkPackages[[#This Row],[Estimated labor hours]]+VLOOKUP(tblWorkPackages[[#This Row],[Task type]],'Forecast validation'!$A$14:$E$25,IF(tblWorkPackages[[#This Row],[Time split]]="Validation H1",4,5),FALSE()))</f>
        <v>14.2735483870968</v>
      </c>
      <c r="U2058" s="51">
        <f>IF(tblWorkPackages[[#This Row],[Calibrated forecast hours]]="","",ABS(tblWorkPackages[[#This Row],[Actual labor hours]]-tblWorkPackages[[#This Row],[Calibrated forecast hours]]))</f>
        <v>3.87354838709677</v>
      </c>
      <c r="V2058" s="51">
        <f>IF(tblWorkPackages[[#This Row],[Time split]]="Train 2024",tblWorkPackages[[#This Row],[Estimated labor hours]],tblWorkPackages[[#This Row],[Calibrated forecast hours]])</f>
        <v>14.2735483870968</v>
      </c>
      <c r="W2058" s="64">
        <f>DATEVALUE(tblWorkPackages[[#This Row],[Request date]])</f>
        <v>46019.0</v>
      </c>
      <c r="X2058" s="64">
        <f>DATEVALUE(tblWorkPackages[[#This Row],[Due date]])</f>
        <v>46032.0</v>
      </c>
      <c r="Y2058" s="64">
        <f>DATEVALUE(tblWorkPackages[[#This Row],[Completion date]])</f>
        <v>46022.0</v>
      </c>
      <c r="Z2058" s="64">
        <f>_xlfn.MINIFS(tblLaborEntries[Work date serial],tblLaborEntries[Work package ID],tblWorkPackages[[#This Row],[Work package ID]])</f>
        <v>46022.0</v>
      </c>
      <c r="AA2058" s="64">
        <f>_xlfn.MAXIFS(tblLaborEntries[Work date serial],tblLaborEntries[Work package ID],tblWorkPackages[[#This Row],[Work package ID]])</f>
        <v>46022.0</v>
      </c>
      <c r="AB2058" s="65">
        <f>IF(tblWorkPackages[[#This Row],[Completion date serial]]&gt;tblWorkPackages[[#This Row],[Due date serial]],1,0)</f>
        <v>0</v>
      </c>
      <c r="AC2058" s="65">
        <f>MAX(0,tblWorkPackages[[#This Row],[Completion date serial]]-tblWorkPackages[[#This Row],[Due date serial]])</f>
        <v>0</v>
      </c>
      <c r="AD2058" s="65">
        <f>tblWorkPackages[[#This Row],[First labor date]]-tblWorkPackages[[#This Row],[Request date serial]]</f>
        <v>3</v>
      </c>
      <c r="AE2058" s="65">
        <f>tblWorkPackages[[#This Row],[Last labor date]]-tblWorkPackages[[#This Row],[First labor date]]</f>
        <v>0</v>
      </c>
      <c r="AF2058" s="65">
        <f>tblWorkPackages[[#This Row],[Completion date serial]]-tblWorkPackages[[#This Row],[Last labor date]]</f>
        <v>0</v>
      </c>
      <c r="AG2058" s="65">
        <f>tblWorkPackages[[#This Row],[Completion date serial]]-tblWorkPackages[[#This Row],[Request date serial]]</f>
        <v>3</v>
      </c>
      <c r="AH2058" s="65">
        <f>IFERROR(INDEX(tblParts[Delay days],MATCH(tblWorkPackages[[#This Row],[Work package ID]],tblParts[Work package ID],0)),0)</f>
        <v>0</v>
      </c>
      <c r="AI2058" s="51" t="str">
        <f>IFERROR(INDEX(tblDisruptions[Event type],MATCH(tblWorkPackages[[#This Row],[Work package ID]],tblDisruptions[Work package ID],0)),"None")</f>
        <v>None</v>
      </c>
      <c r="AJ2058" s="51" t="str">
        <f>TEXT(tblWorkPackages[[#This Row],[Due date serial]],"yyyy-mm")</f>
        <v>2026-01</v>
      </c>
    </row>
    <row r="2059" spans="1:36" ht="15" x14ac:dyDescent="0.25">
      <c r="A2059" s="53" t="s">
        <v>2970</v>
      </c>
      <c r="B2059" s="53" t="s">
        <v>235</v>
      </c>
      <c r="C2059" s="53" t="s">
        <v>227</v>
      </c>
      <c r="D2059" s="53" t="s">
        <v>190</v>
      </c>
      <c r="E2059" s="53" t="s">
        <v>160</v>
      </c>
      <c r="F2059" s="53" t="s">
        <v>128</v>
      </c>
      <c r="G2059" s="53" t="s">
        <v>138</v>
      </c>
      <c r="H2059" s="53">
        <v>2</v>
      </c>
      <c r="I2059" s="53" t="s">
        <v>130</v>
      </c>
      <c r="J2059" s="53">
        <v>0</v>
      </c>
      <c r="K2059" s="53">
        <v>0</v>
      </c>
      <c r="L2059" s="53">
        <v>4.2</v>
      </c>
      <c r="M2059" s="53" t="s">
        <v>521</v>
      </c>
      <c r="N2059" s="53">
        <v>5.3</v>
      </c>
      <c r="O2059" s="51" t="str">
        <f>TEXT(tblWorkPackages[[#This Row],[Request date serial]]-WEEKDAY(tblWorkPackages[[#This Row],[Request date serial]],3),"yyyy-mm-dd")</f>
        <v>2025-07-28</v>
      </c>
      <c r="P2059" s="51">
        <f>ABS(tblWorkPackages[[#This Row],[Actual labor hours]]-tblWorkPackages[[#This Row],[Estimated labor hours]])</f>
        <v>1.1</v>
      </c>
      <c r="Q2059" s="51">
        <f>IF(tblWorkPackages[[#This Row],[Actual labor hours]]&gt;tblWorkPackages[[#This Row],[Estimated labor hours]],1,0)</f>
        <v>1</v>
      </c>
      <c r="R2059" s="51">
        <f>tblWorkPackages[[#This Row],[Actual labor hours]]-tblWorkPackages[[#This Row],[Estimated labor hours]]</f>
        <v>1.1</v>
      </c>
      <c r="S2059" s="51" t="str">
        <f>IF(tblWorkPackages[[#This Row],[Request date serial]]&lt;ValidationStart,"Train 2024",IF(tblWorkPackages[[#This Row],[Request date serial]]&lt;HoldoutStart,"Validation H1","Holdout H2"))</f>
        <v>Holdout H2</v>
      </c>
      <c r="T2059" s="51">
        <f>IF(tblWorkPackages[[#This Row],[Time split]]="Train 2024","",tblWorkPackages[[#This Row],[Estimated labor hours]]+VLOOKUP(tblWorkPackages[[#This Row],[Task type]],'Forecast validation'!$A$14:$E$25,IF(tblWorkPackages[[#This Row],[Time split]]="Validation H1",4,5),FALSE()))</f>
        <v>4.63739837398374</v>
      </c>
      <c r="U2059" s="51">
        <f>IF(tblWorkPackages[[#This Row],[Calibrated forecast hours]]="","",ABS(tblWorkPackages[[#This Row],[Actual labor hours]]-tblWorkPackages[[#This Row],[Calibrated forecast hours]]))</f>
        <v>0.66260162601626</v>
      </c>
      <c r="V2059" s="51">
        <f>IF(tblWorkPackages[[#This Row],[Time split]]="Train 2024",tblWorkPackages[[#This Row],[Estimated labor hours]],tblWorkPackages[[#This Row],[Calibrated forecast hours]])</f>
        <v>4.63739837398374</v>
      </c>
      <c r="W2059" s="64">
        <f>DATEVALUE(tblWorkPackages[[#This Row],[Request date]])</f>
        <v>45870.0</v>
      </c>
      <c r="X2059" s="64">
        <f>DATEVALUE(tblWorkPackages[[#This Row],[Due date]])</f>
        <v>45883.0</v>
      </c>
      <c r="Y2059" s="64">
        <f>DATEVALUE(tblWorkPackages[[#This Row],[Completion date]])</f>
        <v>45903.0</v>
      </c>
      <c r="Z2059" s="64">
        <f>_xlfn.MINIFS(tblLaborEntries[Work date serial],tblLaborEntries[Work package ID],tblWorkPackages[[#This Row],[Work package ID]])</f>
        <v>45901.0</v>
      </c>
      <c r="AA2059" s="64">
        <f>_xlfn.MAXIFS(tblLaborEntries[Work date serial],tblLaborEntries[Work package ID],tblWorkPackages[[#This Row],[Work package ID]])</f>
        <v>45902.0</v>
      </c>
      <c r="AB2059" s="65">
        <f>IF(tblWorkPackages[[#This Row],[Completion date serial]]&gt;tblWorkPackages[[#This Row],[Due date serial]],1,0)</f>
        <v>1</v>
      </c>
      <c r="AC2059" s="65">
        <f>MAX(0,tblWorkPackages[[#This Row],[Completion date serial]]-tblWorkPackages[[#This Row],[Due date serial]])</f>
        <v>20</v>
      </c>
      <c r="AD2059" s="65">
        <f>tblWorkPackages[[#This Row],[First labor date]]-tblWorkPackages[[#This Row],[Request date serial]]</f>
        <v>31</v>
      </c>
      <c r="AE2059" s="65">
        <f>tblWorkPackages[[#This Row],[Last labor date]]-tblWorkPackages[[#This Row],[First labor date]]</f>
        <v>1</v>
      </c>
      <c r="AF2059" s="65">
        <f>tblWorkPackages[[#This Row],[Completion date serial]]-tblWorkPackages[[#This Row],[Last labor date]]</f>
        <v>1</v>
      </c>
      <c r="AG2059" s="65">
        <f>tblWorkPackages[[#This Row],[Completion date serial]]-tblWorkPackages[[#This Row],[Request date serial]]</f>
        <v>33</v>
      </c>
      <c r="AH2059" s="65">
        <f>IFERROR(INDEX(tblParts[Delay days],MATCH(tblWorkPackages[[#This Row],[Work package ID]],tblParts[Work package ID],0)),0)</f>
        <v>0</v>
      </c>
      <c r="AI2059" s="51" t="str">
        <f>IFERROR(INDEX(tblDisruptions[Event type],MATCH(tblWorkPackages[[#This Row],[Work package ID]],tblDisruptions[Work package ID],0)),"None")</f>
        <v>None</v>
      </c>
      <c r="AJ2059" s="51" t="str">
        <f>TEXT(tblWorkPackages[[#This Row],[Due date serial]],"yyyy-mm")</f>
        <v>2025-08</v>
      </c>
    </row>
    <row r="2060" spans="1:36" ht="15" x14ac:dyDescent="0.25">
      <c r="A2060" s="53" t="s">
        <v>2971</v>
      </c>
      <c r="B2060" s="53" t="s">
        <v>203</v>
      </c>
      <c r="C2060" s="53" t="s">
        <v>1330</v>
      </c>
      <c r="D2060" s="53" t="s">
        <v>791</v>
      </c>
      <c r="E2060" s="53" t="s">
        <v>160</v>
      </c>
      <c r="F2060" s="53" t="s">
        <v>128</v>
      </c>
      <c r="G2060" s="53" t="s">
        <v>138</v>
      </c>
      <c r="H2060" s="53">
        <v>1</v>
      </c>
      <c r="I2060" s="53" t="s">
        <v>130</v>
      </c>
      <c r="J2060" s="53">
        <v>1</v>
      </c>
      <c r="K2060" s="53">
        <v>0</v>
      </c>
      <c r="L2060" s="53">
        <v>2.5</v>
      </c>
      <c r="M2060" s="53" t="s">
        <v>810</v>
      </c>
      <c r="N2060" s="53">
        <v>3</v>
      </c>
      <c r="O2060" s="51" t="str">
        <f>TEXT(tblWorkPackages[[#This Row],[Request date serial]]-WEEKDAY(tblWorkPackages[[#This Row],[Request date serial]],3),"yyyy-mm-dd")</f>
        <v>2025-09-08</v>
      </c>
      <c r="P2060" s="51">
        <f>ABS(tblWorkPackages[[#This Row],[Actual labor hours]]-tblWorkPackages[[#This Row],[Estimated labor hours]])</f>
        <v>0.5</v>
      </c>
      <c r="Q2060" s="51">
        <f>IF(tblWorkPackages[[#This Row],[Actual labor hours]]&gt;tblWorkPackages[[#This Row],[Estimated labor hours]],1,0)</f>
        <v>1</v>
      </c>
      <c r="R2060" s="51">
        <f>tblWorkPackages[[#This Row],[Actual labor hours]]-tblWorkPackages[[#This Row],[Estimated labor hours]]</f>
        <v>0.5</v>
      </c>
      <c r="S2060" s="51" t="str">
        <f>IF(tblWorkPackages[[#This Row],[Request date serial]]&lt;ValidationStart,"Train 2024",IF(tblWorkPackages[[#This Row],[Request date serial]]&lt;HoldoutStart,"Validation H1","Holdout H2"))</f>
        <v>Holdout H2</v>
      </c>
      <c r="T2060" s="51">
        <f>IF(tblWorkPackages[[#This Row],[Time split]]="Train 2024","",tblWorkPackages[[#This Row],[Estimated labor hours]]+VLOOKUP(tblWorkPackages[[#This Row],[Task type]],'Forecast validation'!$A$14:$E$25,IF(tblWorkPackages[[#This Row],[Time split]]="Validation H1",4,5),FALSE()))</f>
        <v>2.93739837398374</v>
      </c>
      <c r="U2060" s="51">
        <f>IF(tblWorkPackages[[#This Row],[Calibrated forecast hours]]="","",ABS(tblWorkPackages[[#This Row],[Actual labor hours]]-tblWorkPackages[[#This Row],[Calibrated forecast hours]]))</f>
        <v>0.0626016260162601</v>
      </c>
      <c r="V2060" s="51">
        <f>IF(tblWorkPackages[[#This Row],[Time split]]="Train 2024",tblWorkPackages[[#This Row],[Estimated labor hours]],tblWorkPackages[[#This Row],[Calibrated forecast hours]])</f>
        <v>2.93739837398374</v>
      </c>
      <c r="W2060" s="64">
        <f>DATEVALUE(tblWorkPackages[[#This Row],[Request date]])</f>
        <v>45909.0</v>
      </c>
      <c r="X2060" s="64">
        <f>DATEVALUE(tblWorkPackages[[#This Row],[Due date]])</f>
        <v>45922.0</v>
      </c>
      <c r="Y2060" s="64">
        <f>DATEVALUE(tblWorkPackages[[#This Row],[Completion date]])</f>
        <v>45917.0</v>
      </c>
      <c r="Z2060" s="64">
        <f>_xlfn.MINIFS(tblLaborEntries[Work date serial],tblLaborEntries[Work package ID],tblWorkPackages[[#This Row],[Work package ID]])</f>
        <v>45915.0</v>
      </c>
      <c r="AA2060" s="64">
        <f>_xlfn.MAXIFS(tblLaborEntries[Work date serial],tblLaborEntries[Work package ID],tblWorkPackages[[#This Row],[Work package ID]])</f>
        <v>45915.0</v>
      </c>
      <c r="AB2060" s="65">
        <f>IF(tblWorkPackages[[#This Row],[Completion date serial]]&gt;tblWorkPackages[[#This Row],[Due date serial]],1,0)</f>
        <v>0</v>
      </c>
      <c r="AC2060" s="65">
        <f>MAX(0,tblWorkPackages[[#This Row],[Completion date serial]]-tblWorkPackages[[#This Row],[Due date serial]])</f>
        <v>0</v>
      </c>
      <c r="AD2060" s="65">
        <f>tblWorkPackages[[#This Row],[First labor date]]-tblWorkPackages[[#This Row],[Request date serial]]</f>
        <v>6</v>
      </c>
      <c r="AE2060" s="65">
        <f>tblWorkPackages[[#This Row],[Last labor date]]-tblWorkPackages[[#This Row],[First labor date]]</f>
        <v>0</v>
      </c>
      <c r="AF2060" s="65">
        <f>tblWorkPackages[[#This Row],[Completion date serial]]-tblWorkPackages[[#This Row],[Last labor date]]</f>
        <v>2</v>
      </c>
      <c r="AG2060" s="65">
        <f>tblWorkPackages[[#This Row],[Completion date serial]]-tblWorkPackages[[#This Row],[Request date serial]]</f>
        <v>8</v>
      </c>
      <c r="AH2060" s="65">
        <f>IFERROR(INDEX(tblParts[Delay days],MATCH(tblWorkPackages[[#This Row],[Work package ID]],tblParts[Work package ID],0)),0)</f>
        <v>0</v>
      </c>
      <c r="AI2060" s="51" t="str">
        <f>IFERROR(INDEX(tblDisruptions[Event type],MATCH(tblWorkPackages[[#This Row],[Work package ID]],tblDisruptions[Work package ID],0)),"None")</f>
        <v>None</v>
      </c>
      <c r="AJ2060" s="51" t="str">
        <f>TEXT(tblWorkPackages[[#This Row],[Due date serial]],"yyyy-mm")</f>
        <v>2025-09</v>
      </c>
    </row>
    <row r="2061" spans="1:36" ht="15" x14ac:dyDescent="0.25">
      <c r="A2061" s="53" t="s">
        <v>2972</v>
      </c>
      <c r="B2061" s="53" t="s">
        <v>150</v>
      </c>
      <c r="C2061" s="53" t="s">
        <v>166</v>
      </c>
      <c r="D2061" s="53" t="s">
        <v>552</v>
      </c>
      <c r="E2061" s="53" t="s">
        <v>181</v>
      </c>
      <c r="F2061" s="53" t="s">
        <v>182</v>
      </c>
      <c r="G2061" s="53" t="s">
        <v>138</v>
      </c>
      <c r="H2061" s="53">
        <v>1</v>
      </c>
      <c r="I2061" s="53" t="s">
        <v>130</v>
      </c>
      <c r="J2061" s="53">
        <v>0</v>
      </c>
      <c r="K2061" s="53">
        <v>0</v>
      </c>
      <c r="L2061" s="53">
        <v>5.3</v>
      </c>
      <c r="M2061" s="53" t="s">
        <v>620</v>
      </c>
      <c r="N2061" s="53">
        <v>4.4000000000000004</v>
      </c>
      <c r="O2061" s="51" t="str">
        <f>TEXT(tblWorkPackages[[#This Row],[Request date serial]]-WEEKDAY(tblWorkPackages[[#This Row],[Request date serial]],3),"yyyy-mm-dd")</f>
        <v>2024-07-08</v>
      </c>
      <c r="P2061" s="51">
        <f>ABS(tblWorkPackages[[#This Row],[Actual labor hours]]-tblWorkPackages[[#This Row],[Estimated labor hours]])</f>
        <v>0.9</v>
      </c>
      <c r="Q2061" s="51">
        <f>IF(tblWorkPackages[[#This Row],[Actual labor hours]]&gt;tblWorkPackages[[#This Row],[Estimated labor hours]],1,0)</f>
        <v>0</v>
      </c>
      <c r="R2061" s="51">
        <f>tblWorkPackages[[#This Row],[Actual labor hours]]-tblWorkPackages[[#This Row],[Estimated labor hours]]</f>
        <v>-0.9</v>
      </c>
      <c r="S2061" s="51" t="str">
        <f>IF(tblWorkPackages[[#This Row],[Request date serial]]&lt;ValidationStart,"Train 2024",IF(tblWorkPackages[[#This Row],[Request date serial]]&lt;HoldoutStart,"Validation H1","Holdout H2"))</f>
        <v>Train 2024</v>
      </c>
      <c r="T2061" s="51" t="str">
        <f>IF(tblWorkPackages[[#This Row],[Time split]]="Train 2024","",tblWorkPackages[[#This Row],[Estimated labor hours]]+VLOOKUP(tblWorkPackages[[#This Row],[Task type]],'Forecast validation'!$A$14:$E$25,IF(tblWorkPackages[[#This Row],[Time split]]="Validation H1",4,5),FALSE()))</f>
        <v/>
      </c>
      <c r="U2061" s="51" t="str">
        <f>IF(tblWorkPackages[[#This Row],[Calibrated forecast hours]]="","",ABS(tblWorkPackages[[#This Row],[Actual labor hours]]-tblWorkPackages[[#This Row],[Calibrated forecast hours]]))</f>
        <v/>
      </c>
      <c r="V2061" s="51">
        <f>IF(tblWorkPackages[[#This Row],[Time split]]="Train 2024",tblWorkPackages[[#This Row],[Estimated labor hours]],tblWorkPackages[[#This Row],[Calibrated forecast hours]])</f>
        <v>5.3</v>
      </c>
      <c r="W2061" s="64">
        <f>DATEVALUE(tblWorkPackages[[#This Row],[Request date]])</f>
        <v>45485.0</v>
      </c>
      <c r="X2061" s="64">
        <f>DATEVALUE(tblWorkPackages[[#This Row],[Due date]])</f>
        <v>45498.0</v>
      </c>
      <c r="Y2061" s="64">
        <f>DATEVALUE(tblWorkPackages[[#This Row],[Completion date]])</f>
        <v>45490.0</v>
      </c>
      <c r="Z2061" s="64">
        <f>_xlfn.MINIFS(tblLaborEntries[Work date serial],tblLaborEntries[Work package ID],tblWorkPackages[[#This Row],[Work package ID]])</f>
        <v>45487.0</v>
      </c>
      <c r="AA2061" s="64">
        <f>_xlfn.MAXIFS(tblLaborEntries[Work date serial],tblLaborEntries[Work package ID],tblWorkPackages[[#This Row],[Work package ID]])</f>
        <v>45487.0</v>
      </c>
      <c r="AB2061" s="65">
        <f>IF(tblWorkPackages[[#This Row],[Completion date serial]]&gt;tblWorkPackages[[#This Row],[Due date serial]],1,0)</f>
        <v>0</v>
      </c>
      <c r="AC2061" s="65">
        <f>MAX(0,tblWorkPackages[[#This Row],[Completion date serial]]-tblWorkPackages[[#This Row],[Due date serial]])</f>
        <v>0</v>
      </c>
      <c r="AD2061" s="65">
        <f>tblWorkPackages[[#This Row],[First labor date]]-tblWorkPackages[[#This Row],[Request date serial]]</f>
        <v>2</v>
      </c>
      <c r="AE2061" s="65">
        <f>tblWorkPackages[[#This Row],[Last labor date]]-tblWorkPackages[[#This Row],[First labor date]]</f>
        <v>0</v>
      </c>
      <c r="AF2061" s="65">
        <f>tblWorkPackages[[#This Row],[Completion date serial]]-tblWorkPackages[[#This Row],[Last labor date]]</f>
        <v>3</v>
      </c>
      <c r="AG2061" s="65">
        <f>tblWorkPackages[[#This Row],[Completion date serial]]-tblWorkPackages[[#This Row],[Request date serial]]</f>
        <v>5</v>
      </c>
      <c r="AH2061" s="65">
        <f>IFERROR(INDEX(tblParts[Delay days],MATCH(tblWorkPackages[[#This Row],[Work package ID]],tblParts[Work package ID],0)),0)</f>
        <v>0</v>
      </c>
      <c r="AI2061" s="51" t="str">
        <f>IFERROR(INDEX(tblDisruptions[Event type],MATCH(tblWorkPackages[[#This Row],[Work package ID]],tblDisruptions[Work package ID],0)),"None")</f>
        <v>None</v>
      </c>
      <c r="AJ2061" s="51" t="str">
        <f>TEXT(tblWorkPackages[[#This Row],[Due date serial]],"yyyy-mm")</f>
        <v>2024-07</v>
      </c>
    </row>
    <row r="2062" spans="1:36" ht="15" x14ac:dyDescent="0.25">
      <c r="A2062" s="53" t="s">
        <v>2973</v>
      </c>
      <c r="B2062" s="53" t="s">
        <v>173</v>
      </c>
      <c r="C2062" s="53" t="s">
        <v>1484</v>
      </c>
      <c r="D2062" s="53" t="s">
        <v>1081</v>
      </c>
      <c r="E2062" s="53" t="s">
        <v>181</v>
      </c>
      <c r="F2062" s="53" t="s">
        <v>182</v>
      </c>
      <c r="G2062" s="53" t="s">
        <v>138</v>
      </c>
      <c r="H2062" s="53">
        <v>3</v>
      </c>
      <c r="I2062" s="53" t="s">
        <v>176</v>
      </c>
      <c r="J2062" s="53">
        <v>0</v>
      </c>
      <c r="K2062" s="53">
        <v>0</v>
      </c>
      <c r="L2062" s="53">
        <v>11.1</v>
      </c>
      <c r="M2062" s="53" t="s">
        <v>808</v>
      </c>
      <c r="N2062" s="53">
        <v>16.5</v>
      </c>
      <c r="O2062" s="51" t="str">
        <f>TEXT(tblWorkPackages[[#This Row],[Request date serial]]-WEEKDAY(tblWorkPackages[[#This Row],[Request date serial]],3),"yyyy-mm-dd")</f>
        <v>2025-04-14</v>
      </c>
      <c r="P2062" s="51">
        <f>ABS(tblWorkPackages[[#This Row],[Actual labor hours]]-tblWorkPackages[[#This Row],[Estimated labor hours]])</f>
        <v>5.4</v>
      </c>
      <c r="Q2062" s="51">
        <f>IF(tblWorkPackages[[#This Row],[Actual labor hours]]&gt;tblWorkPackages[[#This Row],[Estimated labor hours]],1,0)</f>
        <v>1</v>
      </c>
      <c r="R2062" s="51">
        <f>tblWorkPackages[[#This Row],[Actual labor hours]]-tblWorkPackages[[#This Row],[Estimated labor hours]]</f>
        <v>5.4</v>
      </c>
      <c r="S2062" s="51" t="str">
        <f>IF(tblWorkPackages[[#This Row],[Request date serial]]&lt;ValidationStart,"Train 2024",IF(tblWorkPackages[[#This Row],[Request date serial]]&lt;HoldoutStart,"Validation H1","Holdout H2"))</f>
        <v>Validation H1</v>
      </c>
      <c r="T2062" s="51">
        <f>IF(tblWorkPackages[[#This Row],[Time split]]="Train 2024","",tblWorkPackages[[#This Row],[Estimated labor hours]]+VLOOKUP(tblWorkPackages[[#This Row],[Task type]],'Forecast validation'!$A$14:$E$25,IF(tblWorkPackages[[#This Row],[Time split]]="Validation H1",4,5),FALSE()))</f>
        <v>11.6840909090909</v>
      </c>
      <c r="U2062" s="51">
        <f>IF(tblWorkPackages[[#This Row],[Calibrated forecast hours]]="","",ABS(tblWorkPackages[[#This Row],[Actual labor hours]]-tblWorkPackages[[#This Row],[Calibrated forecast hours]]))</f>
        <v>4.81590909090909</v>
      </c>
      <c r="V2062" s="51">
        <f>IF(tblWorkPackages[[#This Row],[Time split]]="Train 2024",tblWorkPackages[[#This Row],[Estimated labor hours]],tblWorkPackages[[#This Row],[Calibrated forecast hours]])</f>
        <v>11.6840909090909</v>
      </c>
      <c r="W2062" s="64">
        <f>DATEVALUE(tblWorkPackages[[#This Row],[Request date]])</f>
        <v>45763.0</v>
      </c>
      <c r="X2062" s="64">
        <f>DATEVALUE(tblWorkPackages[[#This Row],[Due date]])</f>
        <v>45769.0</v>
      </c>
      <c r="Y2062" s="64">
        <f>DATEVALUE(tblWorkPackages[[#This Row],[Completion date]])</f>
        <v>45779.0</v>
      </c>
      <c r="Z2062" s="64">
        <f>_xlfn.MINIFS(tblLaborEntries[Work date serial],tblLaborEntries[Work package ID],tblWorkPackages[[#This Row],[Work package ID]])</f>
        <v>45777.0</v>
      </c>
      <c r="AA2062" s="64">
        <f>_xlfn.MAXIFS(tblLaborEntries[Work date serial],tblLaborEntries[Work package ID],tblWorkPackages[[#This Row],[Work package ID]])</f>
        <v>45779.0</v>
      </c>
      <c r="AB2062" s="65">
        <f>IF(tblWorkPackages[[#This Row],[Completion date serial]]&gt;tblWorkPackages[[#This Row],[Due date serial]],1,0)</f>
        <v>1</v>
      </c>
      <c r="AC2062" s="65">
        <f>MAX(0,tblWorkPackages[[#This Row],[Completion date serial]]-tblWorkPackages[[#This Row],[Due date serial]])</f>
        <v>10</v>
      </c>
      <c r="AD2062" s="65">
        <f>tblWorkPackages[[#This Row],[First labor date]]-tblWorkPackages[[#This Row],[Request date serial]]</f>
        <v>14</v>
      </c>
      <c r="AE2062" s="65">
        <f>tblWorkPackages[[#This Row],[Last labor date]]-tblWorkPackages[[#This Row],[First labor date]]</f>
        <v>2</v>
      </c>
      <c r="AF2062" s="65">
        <f>tblWorkPackages[[#This Row],[Completion date serial]]-tblWorkPackages[[#This Row],[Last labor date]]</f>
        <v>0</v>
      </c>
      <c r="AG2062" s="65">
        <f>tblWorkPackages[[#This Row],[Completion date serial]]-tblWorkPackages[[#This Row],[Request date serial]]</f>
        <v>16</v>
      </c>
      <c r="AH2062" s="65">
        <f>IFERROR(INDEX(tblParts[Delay days],MATCH(tblWorkPackages[[#This Row],[Work package ID]],tblParts[Work package ID],0)),0)</f>
        <v>0</v>
      </c>
      <c r="AI2062" s="51" t="str">
        <f>IFERROR(INDEX(tblDisruptions[Event type],MATCH(tblWorkPackages[[#This Row],[Work package ID]],tblDisruptions[Work package ID],0)),"None")</f>
        <v>Technician absence</v>
      </c>
      <c r="AJ2062" s="51" t="str">
        <f>TEXT(tblWorkPackages[[#This Row],[Due date serial]],"yyyy-mm")</f>
        <v>2025-04</v>
      </c>
    </row>
    <row r="2063" spans="1:36" ht="15" x14ac:dyDescent="0.25">
      <c r="A2063" s="53" t="s">
        <v>2974</v>
      </c>
      <c r="B2063" s="53" t="s">
        <v>173</v>
      </c>
      <c r="C2063" s="53" t="s">
        <v>410</v>
      </c>
      <c r="D2063" s="53" t="s">
        <v>131</v>
      </c>
      <c r="E2063" s="53" t="s">
        <v>242</v>
      </c>
      <c r="F2063" s="53" t="s">
        <v>243</v>
      </c>
      <c r="G2063" s="53" t="s">
        <v>129</v>
      </c>
      <c r="H2063" s="53">
        <v>1</v>
      </c>
      <c r="I2063" s="53" t="s">
        <v>130</v>
      </c>
      <c r="J2063" s="53">
        <v>1</v>
      </c>
      <c r="K2063" s="53">
        <v>0</v>
      </c>
      <c r="L2063" s="53">
        <v>6</v>
      </c>
      <c r="M2063" s="53" t="s">
        <v>729</v>
      </c>
      <c r="N2063" s="53">
        <v>6.5</v>
      </c>
      <c r="O2063" s="51" t="str">
        <f>TEXT(tblWorkPackages[[#This Row],[Request date serial]]-WEEKDAY(tblWorkPackages[[#This Row],[Request date serial]],3),"yyyy-mm-dd")</f>
        <v>2025-04-28</v>
      </c>
      <c r="P2063" s="51">
        <f>ABS(tblWorkPackages[[#This Row],[Actual labor hours]]-tblWorkPackages[[#This Row],[Estimated labor hours]])</f>
        <v>0.5</v>
      </c>
      <c r="Q2063" s="51">
        <f>IF(tblWorkPackages[[#This Row],[Actual labor hours]]&gt;tblWorkPackages[[#This Row],[Estimated labor hours]],1,0)</f>
        <v>1</v>
      </c>
      <c r="R2063" s="51">
        <f>tblWorkPackages[[#This Row],[Actual labor hours]]-tblWorkPackages[[#This Row],[Estimated labor hours]]</f>
        <v>0.5</v>
      </c>
      <c r="S2063" s="51" t="str">
        <f>IF(tblWorkPackages[[#This Row],[Request date serial]]&lt;ValidationStart,"Train 2024",IF(tblWorkPackages[[#This Row],[Request date serial]]&lt;HoldoutStart,"Validation H1","Holdout H2"))</f>
        <v>Validation H1</v>
      </c>
      <c r="T2063" s="51">
        <f>IF(tblWorkPackages[[#This Row],[Time split]]="Train 2024","",tblWorkPackages[[#This Row],[Estimated labor hours]]+VLOOKUP(tblWorkPackages[[#This Row],[Task type]],'Forecast validation'!$A$14:$E$25,IF(tblWorkPackages[[#This Row],[Time split]]="Validation H1",4,5),FALSE()))</f>
        <v>6.55612244897959</v>
      </c>
      <c r="U2063" s="51">
        <f>IF(tblWorkPackages[[#This Row],[Calibrated forecast hours]]="","",ABS(tblWorkPackages[[#This Row],[Actual labor hours]]-tblWorkPackages[[#This Row],[Calibrated forecast hours]]))</f>
        <v>0.0561224489795915</v>
      </c>
      <c r="V2063" s="51">
        <f>IF(tblWorkPackages[[#This Row],[Time split]]="Train 2024",tblWorkPackages[[#This Row],[Estimated labor hours]],tblWorkPackages[[#This Row],[Calibrated forecast hours]])</f>
        <v>6.55612244897959</v>
      </c>
      <c r="W2063" s="64">
        <f>DATEVALUE(tblWorkPackages[[#This Row],[Request date]])</f>
        <v>45778.0</v>
      </c>
      <c r="X2063" s="64">
        <f>DATEVALUE(tblWorkPackages[[#This Row],[Due date]])</f>
        <v>45791.0</v>
      </c>
      <c r="Y2063" s="64">
        <f>DATEVALUE(tblWorkPackages[[#This Row],[Completion date]])</f>
        <v>45784.0</v>
      </c>
      <c r="Z2063" s="64">
        <f>_xlfn.MINIFS(tblLaborEntries[Work date serial],tblLaborEntries[Work package ID],tblWorkPackages[[#This Row],[Work package ID]])</f>
        <v>45782.0</v>
      </c>
      <c r="AA2063" s="64">
        <f>_xlfn.MAXIFS(tblLaborEntries[Work date serial],tblLaborEntries[Work package ID],tblWorkPackages[[#This Row],[Work package ID]])</f>
        <v>45783.0</v>
      </c>
      <c r="AB2063" s="65">
        <f>IF(tblWorkPackages[[#This Row],[Completion date serial]]&gt;tblWorkPackages[[#This Row],[Due date serial]],1,0)</f>
        <v>0</v>
      </c>
      <c r="AC2063" s="65">
        <f>MAX(0,tblWorkPackages[[#This Row],[Completion date serial]]-tblWorkPackages[[#This Row],[Due date serial]])</f>
        <v>0</v>
      </c>
      <c r="AD2063" s="65">
        <f>tblWorkPackages[[#This Row],[First labor date]]-tblWorkPackages[[#This Row],[Request date serial]]</f>
        <v>4</v>
      </c>
      <c r="AE2063" s="65">
        <f>tblWorkPackages[[#This Row],[Last labor date]]-tblWorkPackages[[#This Row],[First labor date]]</f>
        <v>1</v>
      </c>
      <c r="AF2063" s="65">
        <f>tblWorkPackages[[#This Row],[Completion date serial]]-tblWorkPackages[[#This Row],[Last labor date]]</f>
        <v>1</v>
      </c>
      <c r="AG2063" s="65">
        <f>tblWorkPackages[[#This Row],[Completion date serial]]-tblWorkPackages[[#This Row],[Request date serial]]</f>
        <v>6</v>
      </c>
      <c r="AH2063" s="65">
        <f>IFERROR(INDEX(tblParts[Delay days],MATCH(tblWorkPackages[[#This Row],[Work package ID]],tblParts[Work package ID],0)),0)</f>
        <v>0</v>
      </c>
      <c r="AI2063" s="51" t="str">
        <f>IFERROR(INDEX(tblDisruptions[Event type],MATCH(tblWorkPackages[[#This Row],[Work package ID]],tblDisruptions[Work package ID],0)),"None")</f>
        <v>None</v>
      </c>
      <c r="AJ2063" s="51" t="str">
        <f>TEXT(tblWorkPackages[[#This Row],[Due date serial]],"yyyy-mm")</f>
        <v>2025-05</v>
      </c>
    </row>
    <row r="2064" spans="1:36" ht="15" x14ac:dyDescent="0.25">
      <c r="A2064" s="53" t="s">
        <v>2975</v>
      </c>
      <c r="B2064" s="53" t="s">
        <v>287</v>
      </c>
      <c r="C2064" s="53" t="s">
        <v>316</v>
      </c>
      <c r="D2064" s="53" t="s">
        <v>417</v>
      </c>
      <c r="E2064" s="53" t="s">
        <v>181</v>
      </c>
      <c r="F2064" s="53" t="s">
        <v>182</v>
      </c>
      <c r="G2064" s="53" t="s">
        <v>138</v>
      </c>
      <c r="H2064" s="53">
        <v>4</v>
      </c>
      <c r="I2064" s="53" t="s">
        <v>130</v>
      </c>
      <c r="J2064" s="53">
        <v>1</v>
      </c>
      <c r="K2064" s="53">
        <v>0</v>
      </c>
      <c r="L2064" s="53">
        <v>16</v>
      </c>
      <c r="M2064" s="53" t="s">
        <v>1202</v>
      </c>
      <c r="N2064" s="53">
        <v>25.4</v>
      </c>
      <c r="O2064" s="51" t="str">
        <f>TEXT(tblWorkPackages[[#This Row],[Request date serial]]-WEEKDAY(tblWorkPackages[[#This Row],[Request date serial]],3),"yyyy-mm-dd")</f>
        <v>2024-04-15</v>
      </c>
      <c r="P2064" s="51">
        <f>ABS(tblWorkPackages[[#This Row],[Actual labor hours]]-tblWorkPackages[[#This Row],[Estimated labor hours]])</f>
        <v>9.4</v>
      </c>
      <c r="Q2064" s="51">
        <f>IF(tblWorkPackages[[#This Row],[Actual labor hours]]&gt;tblWorkPackages[[#This Row],[Estimated labor hours]],1,0)</f>
        <v>1</v>
      </c>
      <c r="R2064" s="51">
        <f>tblWorkPackages[[#This Row],[Actual labor hours]]-tblWorkPackages[[#This Row],[Estimated labor hours]]</f>
        <v>9.4</v>
      </c>
      <c r="S2064" s="51" t="str">
        <f>IF(tblWorkPackages[[#This Row],[Request date serial]]&lt;ValidationStart,"Train 2024",IF(tblWorkPackages[[#This Row],[Request date serial]]&lt;HoldoutStart,"Validation H1","Holdout H2"))</f>
        <v>Train 2024</v>
      </c>
      <c r="T2064" s="51" t="str">
        <f>IF(tblWorkPackages[[#This Row],[Time split]]="Train 2024","",tblWorkPackages[[#This Row],[Estimated labor hours]]+VLOOKUP(tblWorkPackages[[#This Row],[Task type]],'Forecast validation'!$A$14:$E$25,IF(tblWorkPackages[[#This Row],[Time split]]="Validation H1",4,5),FALSE()))</f>
        <v/>
      </c>
      <c r="U2064" s="51" t="str">
        <f>IF(tblWorkPackages[[#This Row],[Calibrated forecast hours]]="","",ABS(tblWorkPackages[[#This Row],[Actual labor hours]]-tblWorkPackages[[#This Row],[Calibrated forecast hours]]))</f>
        <v/>
      </c>
      <c r="V2064" s="51">
        <f>IF(tblWorkPackages[[#This Row],[Time split]]="Train 2024",tblWorkPackages[[#This Row],[Estimated labor hours]],tblWorkPackages[[#This Row],[Calibrated forecast hours]])</f>
        <v>16</v>
      </c>
      <c r="W2064" s="64">
        <f>DATEVALUE(tblWorkPackages[[#This Row],[Request date]])</f>
        <v>45403.0</v>
      </c>
      <c r="X2064" s="64">
        <f>DATEVALUE(tblWorkPackages[[#This Row],[Due date]])</f>
        <v>45416.0</v>
      </c>
      <c r="Y2064" s="64">
        <f>DATEVALUE(tblWorkPackages[[#This Row],[Completion date]])</f>
        <v>45407.0</v>
      </c>
      <c r="Z2064" s="64">
        <f>_xlfn.MINIFS(tblLaborEntries[Work date serial],tblLaborEntries[Work package ID],tblWorkPackages[[#This Row],[Work package ID]])</f>
        <v>45404.0</v>
      </c>
      <c r="AA2064" s="64">
        <f>_xlfn.MAXIFS(tblLaborEntries[Work date serial],tblLaborEntries[Work package ID],tblWorkPackages[[#This Row],[Work package ID]])</f>
        <v>45405.0</v>
      </c>
      <c r="AB2064" s="65">
        <f>IF(tblWorkPackages[[#This Row],[Completion date serial]]&gt;tblWorkPackages[[#This Row],[Due date serial]],1,0)</f>
        <v>0</v>
      </c>
      <c r="AC2064" s="65">
        <f>MAX(0,tblWorkPackages[[#This Row],[Completion date serial]]-tblWorkPackages[[#This Row],[Due date serial]])</f>
        <v>0</v>
      </c>
      <c r="AD2064" s="65">
        <f>tblWorkPackages[[#This Row],[First labor date]]-tblWorkPackages[[#This Row],[Request date serial]]</f>
        <v>1</v>
      </c>
      <c r="AE2064" s="65">
        <f>tblWorkPackages[[#This Row],[Last labor date]]-tblWorkPackages[[#This Row],[First labor date]]</f>
        <v>1</v>
      </c>
      <c r="AF2064" s="65">
        <f>tblWorkPackages[[#This Row],[Completion date serial]]-tblWorkPackages[[#This Row],[Last labor date]]</f>
        <v>2</v>
      </c>
      <c r="AG2064" s="65">
        <f>tblWorkPackages[[#This Row],[Completion date serial]]-tblWorkPackages[[#This Row],[Request date serial]]</f>
        <v>4</v>
      </c>
      <c r="AH2064" s="65">
        <f>IFERROR(INDEX(tblParts[Delay days],MATCH(tblWorkPackages[[#This Row],[Work package ID]],tblParts[Work package ID],0)),0)</f>
        <v>0</v>
      </c>
      <c r="AI2064" s="51" t="str">
        <f>IFERROR(INDEX(tblDisruptions[Event type],MATCH(tblWorkPackages[[#This Row],[Work package ID]],tblDisruptions[Work package ID],0)),"None")</f>
        <v>None</v>
      </c>
      <c r="AJ2064" s="51" t="str">
        <f>TEXT(tblWorkPackages[[#This Row],[Due date serial]],"yyyy-mm")</f>
        <v>2024-05</v>
      </c>
    </row>
    <row r="2065" spans="1:36" ht="15" x14ac:dyDescent="0.25">
      <c r="A2065" s="53" t="s">
        <v>2976</v>
      </c>
      <c r="B2065" s="53" t="s">
        <v>287</v>
      </c>
      <c r="C2065" s="53" t="s">
        <v>475</v>
      </c>
      <c r="D2065" s="53" t="s">
        <v>663</v>
      </c>
      <c r="E2065" s="53" t="s">
        <v>237</v>
      </c>
      <c r="F2065" s="53" t="s">
        <v>182</v>
      </c>
      <c r="G2065" s="53" t="s">
        <v>138</v>
      </c>
      <c r="H2065" s="53">
        <v>3</v>
      </c>
      <c r="I2065" s="53" t="s">
        <v>130</v>
      </c>
      <c r="J2065" s="53">
        <v>0</v>
      </c>
      <c r="K2065" s="53">
        <v>1</v>
      </c>
      <c r="L2065" s="53">
        <v>8.1</v>
      </c>
      <c r="M2065" s="53" t="s">
        <v>329</v>
      </c>
      <c r="N2065" s="53">
        <v>9.5</v>
      </c>
      <c r="O2065" s="51" t="str">
        <f>TEXT(tblWorkPackages[[#This Row],[Request date serial]]-WEEKDAY(tblWorkPackages[[#This Row],[Request date serial]],3),"yyyy-mm-dd")</f>
        <v>2024-02-26</v>
      </c>
      <c r="P2065" s="51">
        <f>ABS(tblWorkPackages[[#This Row],[Actual labor hours]]-tblWorkPackages[[#This Row],[Estimated labor hours]])</f>
        <v>1.4</v>
      </c>
      <c r="Q2065" s="51">
        <f>IF(tblWorkPackages[[#This Row],[Actual labor hours]]&gt;tblWorkPackages[[#This Row],[Estimated labor hours]],1,0)</f>
        <v>1</v>
      </c>
      <c r="R2065" s="51">
        <f>tblWorkPackages[[#This Row],[Actual labor hours]]-tblWorkPackages[[#This Row],[Estimated labor hours]]</f>
        <v>1.4</v>
      </c>
      <c r="S2065" s="51" t="str">
        <f>IF(tblWorkPackages[[#This Row],[Request date serial]]&lt;ValidationStart,"Train 2024",IF(tblWorkPackages[[#This Row],[Request date serial]]&lt;HoldoutStart,"Validation H1","Holdout H2"))</f>
        <v>Train 2024</v>
      </c>
      <c r="T2065" s="51" t="str">
        <f>IF(tblWorkPackages[[#This Row],[Time split]]="Train 2024","",tblWorkPackages[[#This Row],[Estimated labor hours]]+VLOOKUP(tblWorkPackages[[#This Row],[Task type]],'Forecast validation'!$A$14:$E$25,IF(tblWorkPackages[[#This Row],[Time split]]="Validation H1",4,5),FALSE()))</f>
        <v/>
      </c>
      <c r="U2065" s="51" t="str">
        <f>IF(tblWorkPackages[[#This Row],[Calibrated forecast hours]]="","",ABS(tblWorkPackages[[#This Row],[Actual labor hours]]-tblWorkPackages[[#This Row],[Calibrated forecast hours]]))</f>
        <v/>
      </c>
      <c r="V2065" s="51">
        <f>IF(tblWorkPackages[[#This Row],[Time split]]="Train 2024",tblWorkPackages[[#This Row],[Estimated labor hours]],tblWorkPackages[[#This Row],[Calibrated forecast hours]])</f>
        <v>8.1</v>
      </c>
      <c r="W2065" s="64">
        <f>DATEVALUE(tblWorkPackages[[#This Row],[Request date]])</f>
        <v>45353.0</v>
      </c>
      <c r="X2065" s="64">
        <f>DATEVALUE(tblWorkPackages[[#This Row],[Due date]])</f>
        <v>45366.0</v>
      </c>
      <c r="Y2065" s="64">
        <f>DATEVALUE(tblWorkPackages[[#This Row],[Completion date]])</f>
        <v>45367.0</v>
      </c>
      <c r="Z2065" s="64">
        <f>_xlfn.MINIFS(tblLaborEntries[Work date serial],tblLaborEntries[Work package ID],tblWorkPackages[[#This Row],[Work package ID]])</f>
        <v>45362.0</v>
      </c>
      <c r="AA2065" s="64">
        <f>_xlfn.MAXIFS(tblLaborEntries[Work date serial],tblLaborEntries[Work package ID],tblWorkPackages[[#This Row],[Work package ID]])</f>
        <v>45364.0</v>
      </c>
      <c r="AB2065" s="65">
        <f>IF(tblWorkPackages[[#This Row],[Completion date serial]]&gt;tblWorkPackages[[#This Row],[Due date serial]],1,0)</f>
        <v>1</v>
      </c>
      <c r="AC2065" s="65">
        <f>MAX(0,tblWorkPackages[[#This Row],[Completion date serial]]-tblWorkPackages[[#This Row],[Due date serial]])</f>
        <v>1</v>
      </c>
      <c r="AD2065" s="65">
        <f>tblWorkPackages[[#This Row],[First labor date]]-tblWorkPackages[[#This Row],[Request date serial]]</f>
        <v>9</v>
      </c>
      <c r="AE2065" s="65">
        <f>tblWorkPackages[[#This Row],[Last labor date]]-tblWorkPackages[[#This Row],[First labor date]]</f>
        <v>2</v>
      </c>
      <c r="AF2065" s="65">
        <f>tblWorkPackages[[#This Row],[Completion date serial]]-tblWorkPackages[[#This Row],[Last labor date]]</f>
        <v>3</v>
      </c>
      <c r="AG2065" s="65">
        <f>tblWorkPackages[[#This Row],[Completion date serial]]-tblWorkPackages[[#This Row],[Request date serial]]</f>
        <v>14</v>
      </c>
      <c r="AH2065" s="65">
        <f>IFERROR(INDEX(tblParts[Delay days],MATCH(tblWorkPackages[[#This Row],[Work package ID]],tblParts[Work package ID],0)),0)</f>
        <v>0</v>
      </c>
      <c r="AI2065" s="51" t="str">
        <f>IFERROR(INDEX(tblDisruptions[Event type],MATCH(tblWorkPackages[[#This Row],[Work package ID]],tblDisruptions[Work package ID],0)),"None")</f>
        <v>None</v>
      </c>
      <c r="AJ2065" s="51" t="str">
        <f>TEXT(tblWorkPackages[[#This Row],[Due date serial]],"yyyy-mm")</f>
        <v>2024-03</v>
      </c>
    </row>
    <row r="2066" spans="1:36" ht="15" x14ac:dyDescent="0.25">
      <c r="A2066" s="53" t="s">
        <v>2977</v>
      </c>
      <c r="B2066" s="53" t="s">
        <v>203</v>
      </c>
      <c r="C2066" s="53" t="s">
        <v>1016</v>
      </c>
      <c r="D2066" s="53" t="s">
        <v>979</v>
      </c>
      <c r="E2066" s="53" t="s">
        <v>181</v>
      </c>
      <c r="F2066" s="53" t="s">
        <v>182</v>
      </c>
      <c r="G2066" s="53" t="s">
        <v>138</v>
      </c>
      <c r="H2066" s="53">
        <v>4</v>
      </c>
      <c r="I2066" s="53" t="s">
        <v>130</v>
      </c>
      <c r="J2066" s="53">
        <v>0</v>
      </c>
      <c r="K2066" s="53">
        <v>1</v>
      </c>
      <c r="L2066" s="53">
        <v>11.4</v>
      </c>
      <c r="M2066" s="53" t="s">
        <v>480</v>
      </c>
      <c r="N2066" s="53">
        <v>10</v>
      </c>
      <c r="O2066" s="51" t="str">
        <f>TEXT(tblWorkPackages[[#This Row],[Request date serial]]-WEEKDAY(tblWorkPackages[[#This Row],[Request date serial]],3),"yyyy-mm-dd")</f>
        <v>2025-10-20</v>
      </c>
      <c r="P2066" s="51">
        <f>ABS(tblWorkPackages[[#This Row],[Actual labor hours]]-tblWorkPackages[[#This Row],[Estimated labor hours]])</f>
        <v>1.4</v>
      </c>
      <c r="Q2066" s="51">
        <f>IF(tblWorkPackages[[#This Row],[Actual labor hours]]&gt;tblWorkPackages[[#This Row],[Estimated labor hours]],1,0)</f>
        <v>0</v>
      </c>
      <c r="R2066" s="51">
        <f>tblWorkPackages[[#This Row],[Actual labor hours]]-tblWorkPackages[[#This Row],[Estimated labor hours]]</f>
        <v>-1.4</v>
      </c>
      <c r="S2066" s="51" t="str">
        <f>IF(tblWorkPackages[[#This Row],[Request date serial]]&lt;ValidationStart,"Train 2024",IF(tblWorkPackages[[#This Row],[Request date serial]]&lt;HoldoutStart,"Validation H1","Holdout H2"))</f>
        <v>Holdout H2</v>
      </c>
      <c r="T2066" s="51">
        <f>IF(tblWorkPackages[[#This Row],[Time split]]="Train 2024","",tblWorkPackages[[#This Row],[Estimated labor hours]]+VLOOKUP(tblWorkPackages[[#This Row],[Task type]],'Forecast validation'!$A$14:$E$25,IF(tblWorkPackages[[#This Row],[Time split]]="Validation H1",4,5),FALSE()))</f>
        <v>11.9916083916084</v>
      </c>
      <c r="U2066" s="51">
        <f>IF(tblWorkPackages[[#This Row],[Calibrated forecast hours]]="","",ABS(tblWorkPackages[[#This Row],[Actual labor hours]]-tblWorkPackages[[#This Row],[Calibrated forecast hours]]))</f>
        <v>1.99160839160839</v>
      </c>
      <c r="V2066" s="51">
        <f>IF(tblWorkPackages[[#This Row],[Time split]]="Train 2024",tblWorkPackages[[#This Row],[Estimated labor hours]],tblWorkPackages[[#This Row],[Calibrated forecast hours]])</f>
        <v>11.9916083916084</v>
      </c>
      <c r="W2066" s="64">
        <f>DATEVALUE(tblWorkPackages[[#This Row],[Request date]])</f>
        <v>45952.0</v>
      </c>
      <c r="X2066" s="64">
        <f>DATEVALUE(tblWorkPackages[[#This Row],[Due date]])</f>
        <v>45965.0</v>
      </c>
      <c r="Y2066" s="64">
        <f>DATEVALUE(tblWorkPackages[[#This Row],[Completion date]])</f>
        <v>45955.0</v>
      </c>
      <c r="Z2066" s="64">
        <f>_xlfn.MINIFS(tblLaborEntries[Work date serial],tblLaborEntries[Work package ID],tblWorkPackages[[#This Row],[Work package ID]])</f>
        <v>45954.0</v>
      </c>
      <c r="AA2066" s="64">
        <f>_xlfn.MAXIFS(tblLaborEntries[Work date serial],tblLaborEntries[Work package ID],tblWorkPackages[[#This Row],[Work package ID]])</f>
        <v>45955.0</v>
      </c>
      <c r="AB2066" s="65">
        <f>IF(tblWorkPackages[[#This Row],[Completion date serial]]&gt;tblWorkPackages[[#This Row],[Due date serial]],1,0)</f>
        <v>0</v>
      </c>
      <c r="AC2066" s="65">
        <f>MAX(0,tblWorkPackages[[#This Row],[Completion date serial]]-tblWorkPackages[[#This Row],[Due date serial]])</f>
        <v>0</v>
      </c>
      <c r="AD2066" s="65">
        <f>tblWorkPackages[[#This Row],[First labor date]]-tblWorkPackages[[#This Row],[Request date serial]]</f>
        <v>2</v>
      </c>
      <c r="AE2066" s="65">
        <f>tblWorkPackages[[#This Row],[Last labor date]]-tblWorkPackages[[#This Row],[First labor date]]</f>
        <v>1</v>
      </c>
      <c r="AF2066" s="65">
        <f>tblWorkPackages[[#This Row],[Completion date serial]]-tblWorkPackages[[#This Row],[Last labor date]]</f>
        <v>0</v>
      </c>
      <c r="AG2066" s="65">
        <f>tblWorkPackages[[#This Row],[Completion date serial]]-tblWorkPackages[[#This Row],[Request date serial]]</f>
        <v>3</v>
      </c>
      <c r="AH2066" s="65">
        <f>IFERROR(INDEX(tblParts[Delay days],MATCH(tblWorkPackages[[#This Row],[Work package ID]],tblParts[Work package ID],0)),0)</f>
        <v>0</v>
      </c>
      <c r="AI2066" s="51" t="str">
        <f>IFERROR(INDEX(tblDisruptions[Event type],MATCH(tblWorkPackages[[#This Row],[Work package ID]],tblDisruptions[Work package ID],0)),"None")</f>
        <v>None</v>
      </c>
      <c r="AJ2066" s="51" t="str">
        <f>TEXT(tblWorkPackages[[#This Row],[Due date serial]],"yyyy-mm")</f>
        <v>2025-11</v>
      </c>
    </row>
    <row r="2067" spans="1:36" ht="15" x14ac:dyDescent="0.25">
      <c r="A2067" s="53" t="s">
        <v>2978</v>
      </c>
      <c r="B2067" s="53" t="s">
        <v>287</v>
      </c>
      <c r="C2067" s="53" t="s">
        <v>560</v>
      </c>
      <c r="D2067" s="53" t="s">
        <v>833</v>
      </c>
      <c r="E2067" s="53" t="s">
        <v>223</v>
      </c>
      <c r="F2067" s="53" t="s">
        <v>182</v>
      </c>
      <c r="G2067" s="53" t="s">
        <v>154</v>
      </c>
      <c r="H2067" s="53">
        <v>3</v>
      </c>
      <c r="I2067" s="53" t="s">
        <v>176</v>
      </c>
      <c r="J2067" s="53">
        <v>0</v>
      </c>
      <c r="K2067" s="53">
        <v>1</v>
      </c>
      <c r="L2067" s="53">
        <v>15.4</v>
      </c>
      <c r="M2067" s="53" t="s">
        <v>1400</v>
      </c>
      <c r="N2067" s="53">
        <v>14</v>
      </c>
      <c r="O2067" s="51" t="str">
        <f>TEXT(tblWorkPackages[[#This Row],[Request date serial]]-WEEKDAY(tblWorkPackages[[#This Row],[Request date serial]],3),"yyyy-mm-dd")</f>
        <v>2025-11-03</v>
      </c>
      <c r="P2067" s="51">
        <f>ABS(tblWorkPackages[[#This Row],[Actual labor hours]]-tblWorkPackages[[#This Row],[Estimated labor hours]])</f>
        <v>1.4</v>
      </c>
      <c r="Q2067" s="51">
        <f>IF(tblWorkPackages[[#This Row],[Actual labor hours]]&gt;tblWorkPackages[[#This Row],[Estimated labor hours]],1,0)</f>
        <v>0</v>
      </c>
      <c r="R2067" s="51">
        <f>tblWorkPackages[[#This Row],[Actual labor hours]]-tblWorkPackages[[#This Row],[Estimated labor hours]]</f>
        <v>-1.4</v>
      </c>
      <c r="S2067" s="51" t="str">
        <f>IF(tblWorkPackages[[#This Row],[Request date serial]]&lt;ValidationStart,"Train 2024",IF(tblWorkPackages[[#This Row],[Request date serial]]&lt;HoldoutStart,"Validation H1","Holdout H2"))</f>
        <v>Holdout H2</v>
      </c>
      <c r="T2067" s="51">
        <f>IF(tblWorkPackages[[#This Row],[Time split]]="Train 2024","",tblWorkPackages[[#This Row],[Estimated labor hours]]+VLOOKUP(tblWorkPackages[[#This Row],[Task type]],'Forecast validation'!$A$14:$E$25,IF(tblWorkPackages[[#This Row],[Time split]]="Validation H1",4,5),FALSE()))</f>
        <v>16.3246575342466</v>
      </c>
      <c r="U2067" s="51">
        <f>IF(tblWorkPackages[[#This Row],[Calibrated forecast hours]]="","",ABS(tblWorkPackages[[#This Row],[Actual labor hours]]-tblWorkPackages[[#This Row],[Calibrated forecast hours]]))</f>
        <v>2.32465753424658</v>
      </c>
      <c r="V2067" s="51">
        <f>IF(tblWorkPackages[[#This Row],[Time split]]="Train 2024",tblWorkPackages[[#This Row],[Estimated labor hours]],tblWorkPackages[[#This Row],[Calibrated forecast hours]])</f>
        <v>16.3246575342466</v>
      </c>
      <c r="W2067" s="64">
        <f>DATEVALUE(tblWorkPackages[[#This Row],[Request date]])</f>
        <v>45970.0</v>
      </c>
      <c r="X2067" s="64">
        <f>DATEVALUE(tblWorkPackages[[#This Row],[Due date]])</f>
        <v>45976.0</v>
      </c>
      <c r="Y2067" s="64">
        <f>DATEVALUE(tblWorkPackages[[#This Row],[Completion date]])</f>
        <v>45996.0</v>
      </c>
      <c r="Z2067" s="64">
        <f>_xlfn.MINIFS(tblLaborEntries[Work date serial],tblLaborEntries[Work package ID],tblWorkPackages[[#This Row],[Work package ID]])</f>
        <v>45994.0</v>
      </c>
      <c r="AA2067" s="64">
        <f>_xlfn.MAXIFS(tblLaborEntries[Work date serial],tblLaborEntries[Work package ID],tblWorkPackages[[#This Row],[Work package ID]])</f>
        <v>45995.0</v>
      </c>
      <c r="AB2067" s="65">
        <f>IF(tblWorkPackages[[#This Row],[Completion date serial]]&gt;tblWorkPackages[[#This Row],[Due date serial]],1,0)</f>
        <v>1</v>
      </c>
      <c r="AC2067" s="65">
        <f>MAX(0,tblWorkPackages[[#This Row],[Completion date serial]]-tblWorkPackages[[#This Row],[Due date serial]])</f>
        <v>20</v>
      </c>
      <c r="AD2067" s="65">
        <f>tblWorkPackages[[#This Row],[First labor date]]-tblWorkPackages[[#This Row],[Request date serial]]</f>
        <v>24</v>
      </c>
      <c r="AE2067" s="65">
        <f>tblWorkPackages[[#This Row],[Last labor date]]-tblWorkPackages[[#This Row],[First labor date]]</f>
        <v>1</v>
      </c>
      <c r="AF2067" s="65">
        <f>tblWorkPackages[[#This Row],[Completion date serial]]-tblWorkPackages[[#This Row],[Last labor date]]</f>
        <v>1</v>
      </c>
      <c r="AG2067" s="65">
        <f>tblWorkPackages[[#This Row],[Completion date serial]]-tblWorkPackages[[#This Row],[Request date serial]]</f>
        <v>26</v>
      </c>
      <c r="AH2067" s="65">
        <f>IFERROR(INDEX(tblParts[Delay days],MATCH(tblWorkPackages[[#This Row],[Work package ID]],tblParts[Work package ID],0)),0)</f>
        <v>0</v>
      </c>
      <c r="AI2067" s="51" t="str">
        <f>IFERROR(INDEX(tblDisruptions[Event type],MATCH(tblWorkPackages[[#This Row],[Work package ID]],tblDisruptions[Work package ID],0)),"None")</f>
        <v>None</v>
      </c>
      <c r="AJ2067" s="51" t="str">
        <f>TEXT(tblWorkPackages[[#This Row],[Due date serial]],"yyyy-mm")</f>
        <v>2025-11</v>
      </c>
    </row>
    <row r="2068" spans="1:36" ht="15" x14ac:dyDescent="0.25">
      <c r="A2068" s="53" t="s">
        <v>2979</v>
      </c>
      <c r="B2068" s="53" t="s">
        <v>250</v>
      </c>
      <c r="C2068" s="53" t="s">
        <v>1063</v>
      </c>
      <c r="D2068" s="53" t="s">
        <v>1191</v>
      </c>
      <c r="E2068" s="53" t="s">
        <v>209</v>
      </c>
      <c r="F2068" s="53" t="s">
        <v>145</v>
      </c>
      <c r="G2068" s="53" t="s">
        <v>210</v>
      </c>
      <c r="H2068" s="53">
        <v>1</v>
      </c>
      <c r="I2068" s="53" t="s">
        <v>130</v>
      </c>
      <c r="J2068" s="53">
        <v>0</v>
      </c>
      <c r="K2068" s="53">
        <v>1</v>
      </c>
      <c r="L2068" s="53">
        <v>15.1</v>
      </c>
      <c r="M2068" s="53" t="s">
        <v>607</v>
      </c>
      <c r="N2068" s="53">
        <v>16</v>
      </c>
      <c r="O2068" s="51" t="str">
        <f>TEXT(tblWorkPackages[[#This Row],[Request date serial]]-WEEKDAY(tblWorkPackages[[#This Row],[Request date serial]],3),"yyyy-mm-dd")</f>
        <v>2025-03-10</v>
      </c>
      <c r="P2068" s="51">
        <f>ABS(tblWorkPackages[[#This Row],[Actual labor hours]]-tblWorkPackages[[#This Row],[Estimated labor hours]])</f>
        <v>0.9</v>
      </c>
      <c r="Q2068" s="51">
        <f>IF(tblWorkPackages[[#This Row],[Actual labor hours]]&gt;tblWorkPackages[[#This Row],[Estimated labor hours]],1,0)</f>
        <v>1</v>
      </c>
      <c r="R2068" s="51">
        <f>tblWorkPackages[[#This Row],[Actual labor hours]]-tblWorkPackages[[#This Row],[Estimated labor hours]]</f>
        <v>0.9</v>
      </c>
      <c r="S2068" s="51" t="str">
        <f>IF(tblWorkPackages[[#This Row],[Request date serial]]&lt;ValidationStart,"Train 2024",IF(tblWorkPackages[[#This Row],[Request date serial]]&lt;HoldoutStart,"Validation H1","Holdout H2"))</f>
        <v>Validation H1</v>
      </c>
      <c r="T2068" s="51">
        <f>IF(tblWorkPackages[[#This Row],[Time split]]="Train 2024","",tblWorkPackages[[#This Row],[Estimated labor hours]]+VLOOKUP(tblWorkPackages[[#This Row],[Task type]],'Forecast validation'!$A$14:$E$25,IF(tblWorkPackages[[#This Row],[Time split]]="Validation H1",4,5),FALSE()))</f>
        <v>16.2029850746269</v>
      </c>
      <c r="U2068" s="51">
        <f>IF(tblWorkPackages[[#This Row],[Calibrated forecast hours]]="","",ABS(tblWorkPackages[[#This Row],[Actual labor hours]]-tblWorkPackages[[#This Row],[Calibrated forecast hours]]))</f>
        <v>0.202985074626866</v>
      </c>
      <c r="V2068" s="51">
        <f>IF(tblWorkPackages[[#This Row],[Time split]]="Train 2024",tblWorkPackages[[#This Row],[Estimated labor hours]],tblWorkPackages[[#This Row],[Calibrated forecast hours]])</f>
        <v>16.2029850746269</v>
      </c>
      <c r="W2068" s="64">
        <f>DATEVALUE(tblWorkPackages[[#This Row],[Request date]])</f>
        <v>45727.0</v>
      </c>
      <c r="X2068" s="64">
        <f>DATEVALUE(tblWorkPackages[[#This Row],[Due date]])</f>
        <v>45740.0</v>
      </c>
      <c r="Y2068" s="64">
        <f>DATEVALUE(tblWorkPackages[[#This Row],[Completion date]])</f>
        <v>45734.0</v>
      </c>
      <c r="Z2068" s="64">
        <f>_xlfn.MINIFS(tblLaborEntries[Work date serial],tblLaborEntries[Work package ID],tblWorkPackages[[#This Row],[Work package ID]])</f>
        <v>45731.0</v>
      </c>
      <c r="AA2068" s="64">
        <f>_xlfn.MAXIFS(tblLaborEntries[Work date serial],tblLaborEntries[Work package ID],tblWorkPackages[[#This Row],[Work package ID]])</f>
        <v>45732.0</v>
      </c>
      <c r="AB2068" s="65">
        <f>IF(tblWorkPackages[[#This Row],[Completion date serial]]&gt;tblWorkPackages[[#This Row],[Due date serial]],1,0)</f>
        <v>0</v>
      </c>
      <c r="AC2068" s="65">
        <f>MAX(0,tblWorkPackages[[#This Row],[Completion date serial]]-tblWorkPackages[[#This Row],[Due date serial]])</f>
        <v>0</v>
      </c>
      <c r="AD2068" s="65">
        <f>tblWorkPackages[[#This Row],[First labor date]]-tblWorkPackages[[#This Row],[Request date serial]]</f>
        <v>4</v>
      </c>
      <c r="AE2068" s="65">
        <f>tblWorkPackages[[#This Row],[Last labor date]]-tblWorkPackages[[#This Row],[First labor date]]</f>
        <v>1</v>
      </c>
      <c r="AF2068" s="65">
        <f>tblWorkPackages[[#This Row],[Completion date serial]]-tblWorkPackages[[#This Row],[Last labor date]]</f>
        <v>2</v>
      </c>
      <c r="AG2068" s="65">
        <f>tblWorkPackages[[#This Row],[Completion date serial]]-tblWorkPackages[[#This Row],[Request date serial]]</f>
        <v>7</v>
      </c>
      <c r="AH2068" s="65">
        <f>IFERROR(INDEX(tblParts[Delay days],MATCH(tblWorkPackages[[#This Row],[Work package ID]],tblParts[Work package ID],0)),0)</f>
        <v>0</v>
      </c>
      <c r="AI2068" s="51" t="str">
        <f>IFERROR(INDEX(tblDisruptions[Event type],MATCH(tblWorkPackages[[#This Row],[Work package ID]],tblDisruptions[Work package ID],0)),"None")</f>
        <v>None</v>
      </c>
      <c r="AJ2068" s="51" t="str">
        <f>TEXT(tblWorkPackages[[#This Row],[Due date serial]],"yyyy-mm")</f>
        <v>2025-03</v>
      </c>
    </row>
    <row r="2069" spans="1:36" ht="15" x14ac:dyDescent="0.25">
      <c r="A2069" s="53" t="s">
        <v>2980</v>
      </c>
      <c r="B2069" s="53" t="s">
        <v>157</v>
      </c>
      <c r="C2069" s="53" t="s">
        <v>691</v>
      </c>
      <c r="D2069" s="53" t="s">
        <v>428</v>
      </c>
      <c r="E2069" s="53" t="s">
        <v>127</v>
      </c>
      <c r="F2069" s="53" t="s">
        <v>128</v>
      </c>
      <c r="G2069" s="53" t="s">
        <v>129</v>
      </c>
      <c r="H2069" s="53">
        <v>2</v>
      </c>
      <c r="I2069" s="53" t="s">
        <v>130</v>
      </c>
      <c r="J2069" s="53">
        <v>0</v>
      </c>
      <c r="K2069" s="53">
        <v>0</v>
      </c>
      <c r="L2069" s="53">
        <v>7.4</v>
      </c>
      <c r="M2069" s="53" t="s">
        <v>437</v>
      </c>
      <c r="N2069" s="53">
        <v>6.1</v>
      </c>
      <c r="O2069" s="51" t="str">
        <f>TEXT(tblWorkPackages[[#This Row],[Request date serial]]-WEEKDAY(tblWorkPackages[[#This Row],[Request date serial]],3),"yyyy-mm-dd")</f>
        <v>2024-04-01</v>
      </c>
      <c r="P2069" s="51">
        <f>ABS(tblWorkPackages[[#This Row],[Actual labor hours]]-tblWorkPackages[[#This Row],[Estimated labor hours]])</f>
        <v>1.3</v>
      </c>
      <c r="Q2069" s="51">
        <f>IF(tblWorkPackages[[#This Row],[Actual labor hours]]&gt;tblWorkPackages[[#This Row],[Estimated labor hours]],1,0)</f>
        <v>0</v>
      </c>
      <c r="R2069" s="51">
        <f>tblWorkPackages[[#This Row],[Actual labor hours]]-tblWorkPackages[[#This Row],[Estimated labor hours]]</f>
        <v>-1.3</v>
      </c>
      <c r="S2069" s="51" t="str">
        <f>IF(tblWorkPackages[[#This Row],[Request date serial]]&lt;ValidationStart,"Train 2024",IF(tblWorkPackages[[#This Row],[Request date serial]]&lt;HoldoutStart,"Validation H1","Holdout H2"))</f>
        <v>Train 2024</v>
      </c>
      <c r="T2069" s="51" t="str">
        <f>IF(tblWorkPackages[[#This Row],[Time split]]="Train 2024","",tblWorkPackages[[#This Row],[Estimated labor hours]]+VLOOKUP(tblWorkPackages[[#This Row],[Task type]],'Forecast validation'!$A$14:$E$25,IF(tblWorkPackages[[#This Row],[Time split]]="Validation H1",4,5),FALSE()))</f>
        <v/>
      </c>
      <c r="U2069" s="51" t="str">
        <f>IF(tblWorkPackages[[#This Row],[Calibrated forecast hours]]="","",ABS(tblWorkPackages[[#This Row],[Actual labor hours]]-tblWorkPackages[[#This Row],[Calibrated forecast hours]]))</f>
        <v/>
      </c>
      <c r="V2069" s="51">
        <f>IF(tblWorkPackages[[#This Row],[Time split]]="Train 2024",tblWorkPackages[[#This Row],[Estimated labor hours]],tblWorkPackages[[#This Row],[Calibrated forecast hours]])</f>
        <v>7.4</v>
      </c>
      <c r="W2069" s="64">
        <f>DATEVALUE(tblWorkPackages[[#This Row],[Request date]])</f>
        <v>45389.0</v>
      </c>
      <c r="X2069" s="64">
        <f>DATEVALUE(tblWorkPackages[[#This Row],[Due date]])</f>
        <v>45402.0</v>
      </c>
      <c r="Y2069" s="64">
        <f>DATEVALUE(tblWorkPackages[[#This Row],[Completion date]])</f>
        <v>45393.0</v>
      </c>
      <c r="Z2069" s="64">
        <f>_xlfn.MINIFS(tblLaborEntries[Work date serial],tblLaborEntries[Work package ID],tblWorkPackages[[#This Row],[Work package ID]])</f>
        <v>45390.0</v>
      </c>
      <c r="AA2069" s="64">
        <f>_xlfn.MAXIFS(tblLaborEntries[Work date serial],tblLaborEntries[Work package ID],tblWorkPackages[[#This Row],[Work package ID]])</f>
        <v>45390.0</v>
      </c>
      <c r="AB2069" s="65">
        <f>IF(tblWorkPackages[[#This Row],[Completion date serial]]&gt;tblWorkPackages[[#This Row],[Due date serial]],1,0)</f>
        <v>0</v>
      </c>
      <c r="AC2069" s="65">
        <f>MAX(0,tblWorkPackages[[#This Row],[Completion date serial]]-tblWorkPackages[[#This Row],[Due date serial]])</f>
        <v>0</v>
      </c>
      <c r="AD2069" s="65">
        <f>tblWorkPackages[[#This Row],[First labor date]]-tblWorkPackages[[#This Row],[Request date serial]]</f>
        <v>1</v>
      </c>
      <c r="AE2069" s="65">
        <f>tblWorkPackages[[#This Row],[Last labor date]]-tblWorkPackages[[#This Row],[First labor date]]</f>
        <v>0</v>
      </c>
      <c r="AF2069" s="65">
        <f>tblWorkPackages[[#This Row],[Completion date serial]]-tblWorkPackages[[#This Row],[Last labor date]]</f>
        <v>3</v>
      </c>
      <c r="AG2069" s="65">
        <f>tblWorkPackages[[#This Row],[Completion date serial]]-tblWorkPackages[[#This Row],[Request date serial]]</f>
        <v>4</v>
      </c>
      <c r="AH2069" s="65">
        <f>IFERROR(INDEX(tblParts[Delay days],MATCH(tblWorkPackages[[#This Row],[Work package ID]],tblParts[Work package ID],0)),0)</f>
        <v>0</v>
      </c>
      <c r="AI2069" s="51" t="str">
        <f>IFERROR(INDEX(tblDisruptions[Event type],MATCH(tblWorkPackages[[#This Row],[Work package ID]],tblDisruptions[Work package ID],0)),"None")</f>
        <v>None</v>
      </c>
      <c r="AJ2069" s="51" t="str">
        <f>TEXT(tblWorkPackages[[#This Row],[Due date serial]],"yyyy-mm")</f>
        <v>2024-04</v>
      </c>
    </row>
    <row r="2070" spans="1:36" ht="15" x14ac:dyDescent="0.25">
      <c r="A2070" s="53" t="s">
        <v>2981</v>
      </c>
      <c r="B2070" s="53" t="s">
        <v>124</v>
      </c>
      <c r="C2070" s="53" t="s">
        <v>615</v>
      </c>
      <c r="D2070" s="53" t="s">
        <v>142</v>
      </c>
      <c r="E2070" s="53" t="s">
        <v>160</v>
      </c>
      <c r="F2070" s="53" t="s">
        <v>128</v>
      </c>
      <c r="G2070" s="53" t="s">
        <v>138</v>
      </c>
      <c r="H2070" s="53">
        <v>4</v>
      </c>
      <c r="I2070" s="53" t="s">
        <v>176</v>
      </c>
      <c r="J2070" s="53">
        <v>0</v>
      </c>
      <c r="K2070" s="53">
        <v>1</v>
      </c>
      <c r="L2070" s="53">
        <v>8.6</v>
      </c>
      <c r="M2070" s="53" t="s">
        <v>616</v>
      </c>
      <c r="N2070" s="53">
        <v>10.4</v>
      </c>
      <c r="O2070" s="51" t="str">
        <f>TEXT(tblWorkPackages[[#This Row],[Request date serial]]-WEEKDAY(tblWorkPackages[[#This Row],[Request date serial]],3),"yyyy-mm-dd")</f>
        <v>2024-01-22</v>
      </c>
      <c r="P2070" s="51">
        <f>ABS(tblWorkPackages[[#This Row],[Actual labor hours]]-tblWorkPackages[[#This Row],[Estimated labor hours]])</f>
        <v>1.8</v>
      </c>
      <c r="Q2070" s="51">
        <f>IF(tblWorkPackages[[#This Row],[Actual labor hours]]&gt;tblWorkPackages[[#This Row],[Estimated labor hours]],1,0)</f>
        <v>1</v>
      </c>
      <c r="R2070" s="51">
        <f>tblWorkPackages[[#This Row],[Actual labor hours]]-tblWorkPackages[[#This Row],[Estimated labor hours]]</f>
        <v>1.8</v>
      </c>
      <c r="S2070" s="51" t="str">
        <f>IF(tblWorkPackages[[#This Row],[Request date serial]]&lt;ValidationStart,"Train 2024",IF(tblWorkPackages[[#This Row],[Request date serial]]&lt;HoldoutStart,"Validation H1","Holdout H2"))</f>
        <v>Train 2024</v>
      </c>
      <c r="T2070" s="51" t="str">
        <f>IF(tblWorkPackages[[#This Row],[Time split]]="Train 2024","",tblWorkPackages[[#This Row],[Estimated labor hours]]+VLOOKUP(tblWorkPackages[[#This Row],[Task type]],'Forecast validation'!$A$14:$E$25,IF(tblWorkPackages[[#This Row],[Time split]]="Validation H1",4,5),FALSE()))</f>
        <v/>
      </c>
      <c r="U2070" s="51" t="str">
        <f>IF(tblWorkPackages[[#This Row],[Calibrated forecast hours]]="","",ABS(tblWorkPackages[[#This Row],[Actual labor hours]]-tblWorkPackages[[#This Row],[Calibrated forecast hours]]))</f>
        <v/>
      </c>
      <c r="V2070" s="51">
        <f>IF(tblWorkPackages[[#This Row],[Time split]]="Train 2024",tblWorkPackages[[#This Row],[Estimated labor hours]],tblWorkPackages[[#This Row],[Calibrated forecast hours]])</f>
        <v>8.6</v>
      </c>
      <c r="W2070" s="64">
        <f>DATEVALUE(tblWorkPackages[[#This Row],[Request date]])</f>
        <v>45316.0</v>
      </c>
      <c r="X2070" s="64">
        <f>DATEVALUE(tblWorkPackages[[#This Row],[Due date]])</f>
        <v>45322.0</v>
      </c>
      <c r="Y2070" s="64">
        <f>DATEVALUE(tblWorkPackages[[#This Row],[Completion date]])</f>
        <v>45329.0</v>
      </c>
      <c r="Z2070" s="64">
        <f>_xlfn.MINIFS(tblLaborEntries[Work date serial],tblLaborEntries[Work package ID],tblWorkPackages[[#This Row],[Work package ID]])</f>
        <v>45328.0</v>
      </c>
      <c r="AA2070" s="64">
        <f>_xlfn.MAXIFS(tblLaborEntries[Work date serial],tblLaborEntries[Work package ID],tblWorkPackages[[#This Row],[Work package ID]])</f>
        <v>45329.0</v>
      </c>
      <c r="AB2070" s="65">
        <f>IF(tblWorkPackages[[#This Row],[Completion date serial]]&gt;tblWorkPackages[[#This Row],[Due date serial]],1,0)</f>
        <v>1</v>
      </c>
      <c r="AC2070" s="65">
        <f>MAX(0,tblWorkPackages[[#This Row],[Completion date serial]]-tblWorkPackages[[#This Row],[Due date serial]])</f>
        <v>7</v>
      </c>
      <c r="AD2070" s="65">
        <f>tblWorkPackages[[#This Row],[First labor date]]-tblWorkPackages[[#This Row],[Request date serial]]</f>
        <v>12</v>
      </c>
      <c r="AE2070" s="65">
        <f>tblWorkPackages[[#This Row],[Last labor date]]-tblWorkPackages[[#This Row],[First labor date]]</f>
        <v>1</v>
      </c>
      <c r="AF2070" s="65">
        <f>tblWorkPackages[[#This Row],[Completion date serial]]-tblWorkPackages[[#This Row],[Last labor date]]</f>
        <v>0</v>
      </c>
      <c r="AG2070" s="65">
        <f>tblWorkPackages[[#This Row],[Completion date serial]]-tblWorkPackages[[#This Row],[Request date serial]]</f>
        <v>13</v>
      </c>
      <c r="AH2070" s="65">
        <f>IFERROR(INDEX(tblParts[Delay days],MATCH(tblWorkPackages[[#This Row],[Work package ID]],tblParts[Work package ID],0)),0)</f>
        <v>0</v>
      </c>
      <c r="AI2070" s="51" t="str">
        <f>IFERROR(INDEX(tblDisruptions[Event type],MATCH(tblWorkPackages[[#This Row],[Work package ID]],tblDisruptions[Work package ID],0)),"None")</f>
        <v>None</v>
      </c>
      <c r="AJ2070" s="51" t="str">
        <f>TEXT(tblWorkPackages[[#This Row],[Due date serial]],"yyyy-mm")</f>
        <v>2024-01</v>
      </c>
    </row>
    <row r="2071" spans="1:36" ht="15" x14ac:dyDescent="0.25">
      <c r="A2071" s="53" t="s">
        <v>2982</v>
      </c>
      <c r="B2071" s="53" t="s">
        <v>203</v>
      </c>
      <c r="C2071" s="53" t="s">
        <v>315</v>
      </c>
      <c r="D2071" s="53" t="s">
        <v>316</v>
      </c>
      <c r="E2071" s="53" t="s">
        <v>153</v>
      </c>
      <c r="F2071" s="53" t="s">
        <v>128</v>
      </c>
      <c r="G2071" s="53" t="s">
        <v>154</v>
      </c>
      <c r="H2071" s="53">
        <v>3</v>
      </c>
      <c r="I2071" s="53" t="s">
        <v>130</v>
      </c>
      <c r="J2071" s="53">
        <v>0</v>
      </c>
      <c r="K2071" s="53">
        <v>0</v>
      </c>
      <c r="L2071" s="53">
        <v>13.4</v>
      </c>
      <c r="M2071" s="53" t="s">
        <v>317</v>
      </c>
      <c r="N2071" s="53">
        <v>10.3</v>
      </c>
      <c r="O2071" s="51" t="str">
        <f>TEXT(tblWorkPackages[[#This Row],[Request date serial]]-WEEKDAY(tblWorkPackages[[#This Row],[Request date serial]],3),"yyyy-mm-dd")</f>
        <v>2024-04-08</v>
      </c>
      <c r="P2071" s="51">
        <f>ABS(tblWorkPackages[[#This Row],[Actual labor hours]]-tblWorkPackages[[#This Row],[Estimated labor hours]])</f>
        <v>3.1</v>
      </c>
      <c r="Q2071" s="51">
        <f>IF(tblWorkPackages[[#This Row],[Actual labor hours]]&gt;tblWorkPackages[[#This Row],[Estimated labor hours]],1,0)</f>
        <v>0</v>
      </c>
      <c r="R2071" s="51">
        <f>tblWorkPackages[[#This Row],[Actual labor hours]]-tblWorkPackages[[#This Row],[Estimated labor hours]]</f>
        <v>-3.1</v>
      </c>
      <c r="S2071" s="51" t="str">
        <f>IF(tblWorkPackages[[#This Row],[Request date serial]]&lt;ValidationStart,"Train 2024",IF(tblWorkPackages[[#This Row],[Request date serial]]&lt;HoldoutStart,"Validation H1","Holdout H2"))</f>
        <v>Train 2024</v>
      </c>
      <c r="T2071" s="51" t="str">
        <f>IF(tblWorkPackages[[#This Row],[Time split]]="Train 2024","",tblWorkPackages[[#This Row],[Estimated labor hours]]+VLOOKUP(tblWorkPackages[[#This Row],[Task type]],'Forecast validation'!$A$14:$E$25,IF(tblWorkPackages[[#This Row],[Time split]]="Validation H1",4,5),FALSE()))</f>
        <v/>
      </c>
      <c r="U2071" s="51" t="str">
        <f>IF(tblWorkPackages[[#This Row],[Calibrated forecast hours]]="","",ABS(tblWorkPackages[[#This Row],[Actual labor hours]]-tblWorkPackages[[#This Row],[Calibrated forecast hours]]))</f>
        <v/>
      </c>
      <c r="V2071" s="51">
        <f>IF(tblWorkPackages[[#This Row],[Time split]]="Train 2024",tblWorkPackages[[#This Row],[Estimated labor hours]],tblWorkPackages[[#This Row],[Calibrated forecast hours]])</f>
        <v>13.4</v>
      </c>
      <c r="W2071" s="64">
        <f>DATEVALUE(tblWorkPackages[[#This Row],[Request date]])</f>
        <v>45390.0</v>
      </c>
      <c r="X2071" s="64">
        <f>DATEVALUE(tblWorkPackages[[#This Row],[Due date]])</f>
        <v>45403.0</v>
      </c>
      <c r="Y2071" s="64">
        <f>DATEVALUE(tblWorkPackages[[#This Row],[Completion date]])</f>
        <v>45394.0</v>
      </c>
      <c r="Z2071" s="64">
        <f>_xlfn.MINIFS(tblLaborEntries[Work date serial],tblLaborEntries[Work package ID],tblWorkPackages[[#This Row],[Work package ID]])</f>
        <v>45393.0</v>
      </c>
      <c r="AA2071" s="64">
        <f>_xlfn.MAXIFS(tblLaborEntries[Work date serial],tblLaborEntries[Work package ID],tblWorkPackages[[#This Row],[Work package ID]])</f>
        <v>45393.0</v>
      </c>
      <c r="AB2071" s="65">
        <f>IF(tblWorkPackages[[#This Row],[Completion date serial]]&gt;tblWorkPackages[[#This Row],[Due date serial]],1,0)</f>
        <v>0</v>
      </c>
      <c r="AC2071" s="65">
        <f>MAX(0,tblWorkPackages[[#This Row],[Completion date serial]]-tblWorkPackages[[#This Row],[Due date serial]])</f>
        <v>0</v>
      </c>
      <c r="AD2071" s="65">
        <f>tblWorkPackages[[#This Row],[First labor date]]-tblWorkPackages[[#This Row],[Request date serial]]</f>
        <v>3</v>
      </c>
      <c r="AE2071" s="65">
        <f>tblWorkPackages[[#This Row],[Last labor date]]-tblWorkPackages[[#This Row],[First labor date]]</f>
        <v>0</v>
      </c>
      <c r="AF2071" s="65">
        <f>tblWorkPackages[[#This Row],[Completion date serial]]-tblWorkPackages[[#This Row],[Last labor date]]</f>
        <v>1</v>
      </c>
      <c r="AG2071" s="65">
        <f>tblWorkPackages[[#This Row],[Completion date serial]]-tblWorkPackages[[#This Row],[Request date serial]]</f>
        <v>4</v>
      </c>
      <c r="AH2071" s="65">
        <f>IFERROR(INDEX(tblParts[Delay days],MATCH(tblWorkPackages[[#This Row],[Work package ID]],tblParts[Work package ID],0)),0)</f>
        <v>0</v>
      </c>
      <c r="AI2071" s="51" t="str">
        <f>IFERROR(INDEX(tblDisruptions[Event type],MATCH(tblWorkPackages[[#This Row],[Work package ID]],tblDisruptions[Work package ID],0)),"None")</f>
        <v>None</v>
      </c>
      <c r="AJ2071" s="51" t="str">
        <f>TEXT(tblWorkPackages[[#This Row],[Due date serial]],"yyyy-mm")</f>
        <v>2024-04</v>
      </c>
    </row>
    <row r="2072" spans="1:36" ht="15" x14ac:dyDescent="0.25">
      <c r="A2072" s="53" t="s">
        <v>2983</v>
      </c>
      <c r="B2072" s="53" t="s">
        <v>150</v>
      </c>
      <c r="C2072" s="53" t="s">
        <v>470</v>
      </c>
      <c r="D2072" s="53" t="s">
        <v>471</v>
      </c>
      <c r="E2072" s="53" t="s">
        <v>144</v>
      </c>
      <c r="F2072" s="53" t="s">
        <v>145</v>
      </c>
      <c r="G2072" s="53" t="s">
        <v>146</v>
      </c>
      <c r="H2072" s="53">
        <v>2</v>
      </c>
      <c r="I2072" s="53" t="s">
        <v>130</v>
      </c>
      <c r="J2072" s="53">
        <v>1</v>
      </c>
      <c r="K2072" s="53">
        <v>1</v>
      </c>
      <c r="L2072" s="53">
        <v>12.4</v>
      </c>
      <c r="M2072" s="53" t="s">
        <v>1125</v>
      </c>
      <c r="N2072" s="53">
        <v>18.899999999999999</v>
      </c>
      <c r="O2072" s="51" t="str">
        <f>TEXT(tblWorkPackages[[#This Row],[Request date serial]]-WEEKDAY(tblWorkPackages[[#This Row],[Request date serial]],3),"yyyy-mm-dd")</f>
        <v>2024-04-15</v>
      </c>
      <c r="P2072" s="51">
        <f>ABS(tblWorkPackages[[#This Row],[Actual labor hours]]-tblWorkPackages[[#This Row],[Estimated labor hours]])</f>
        <v>6.5</v>
      </c>
      <c r="Q2072" s="51">
        <f>IF(tblWorkPackages[[#This Row],[Actual labor hours]]&gt;tblWorkPackages[[#This Row],[Estimated labor hours]],1,0)</f>
        <v>1</v>
      </c>
      <c r="R2072" s="51">
        <f>tblWorkPackages[[#This Row],[Actual labor hours]]-tblWorkPackages[[#This Row],[Estimated labor hours]]</f>
        <v>6.5</v>
      </c>
      <c r="S2072" s="51" t="str">
        <f>IF(tblWorkPackages[[#This Row],[Request date serial]]&lt;ValidationStart,"Train 2024",IF(tblWorkPackages[[#This Row],[Request date serial]]&lt;HoldoutStart,"Validation H1","Holdout H2"))</f>
        <v>Train 2024</v>
      </c>
      <c r="T2072" s="51" t="str">
        <f>IF(tblWorkPackages[[#This Row],[Time split]]="Train 2024","",tblWorkPackages[[#This Row],[Estimated labor hours]]+VLOOKUP(tblWorkPackages[[#This Row],[Task type]],'Forecast validation'!$A$14:$E$25,IF(tblWorkPackages[[#This Row],[Time split]]="Validation H1",4,5),FALSE()))</f>
        <v/>
      </c>
      <c r="U2072" s="51" t="str">
        <f>IF(tblWorkPackages[[#This Row],[Calibrated forecast hours]]="","",ABS(tblWorkPackages[[#This Row],[Actual labor hours]]-tblWorkPackages[[#This Row],[Calibrated forecast hours]]))</f>
        <v/>
      </c>
      <c r="V2072" s="51">
        <f>IF(tblWorkPackages[[#This Row],[Time split]]="Train 2024",tblWorkPackages[[#This Row],[Estimated labor hours]],tblWorkPackages[[#This Row],[Calibrated forecast hours]])</f>
        <v>12.4</v>
      </c>
      <c r="W2072" s="64">
        <f>DATEVALUE(tblWorkPackages[[#This Row],[Request date]])</f>
        <v>45400.0</v>
      </c>
      <c r="X2072" s="64">
        <f>DATEVALUE(tblWorkPackages[[#This Row],[Due date]])</f>
        <v>45413.0</v>
      </c>
      <c r="Y2072" s="64">
        <f>DATEVALUE(tblWorkPackages[[#This Row],[Completion date]])</f>
        <v>45440.0</v>
      </c>
      <c r="Z2072" s="64">
        <f>_xlfn.MINIFS(tblLaborEntries[Work date serial],tblLaborEntries[Work package ID],tblWorkPackages[[#This Row],[Work package ID]])</f>
        <v>45436.0</v>
      </c>
      <c r="AA2072" s="64">
        <f>_xlfn.MAXIFS(tblLaborEntries[Work date serial],tblLaborEntries[Work package ID],tblWorkPackages[[#This Row],[Work package ID]])</f>
        <v>45438.0</v>
      </c>
      <c r="AB2072" s="65">
        <f>IF(tblWorkPackages[[#This Row],[Completion date serial]]&gt;tblWorkPackages[[#This Row],[Due date serial]],1,0)</f>
        <v>1</v>
      </c>
      <c r="AC2072" s="65">
        <f>MAX(0,tblWorkPackages[[#This Row],[Completion date serial]]-tblWorkPackages[[#This Row],[Due date serial]])</f>
        <v>27</v>
      </c>
      <c r="AD2072" s="65">
        <f>tblWorkPackages[[#This Row],[First labor date]]-tblWorkPackages[[#This Row],[Request date serial]]</f>
        <v>36</v>
      </c>
      <c r="AE2072" s="65">
        <f>tblWorkPackages[[#This Row],[Last labor date]]-tblWorkPackages[[#This Row],[First labor date]]</f>
        <v>2</v>
      </c>
      <c r="AF2072" s="65">
        <f>tblWorkPackages[[#This Row],[Completion date serial]]-tblWorkPackages[[#This Row],[Last labor date]]</f>
        <v>2</v>
      </c>
      <c r="AG2072" s="65">
        <f>tblWorkPackages[[#This Row],[Completion date serial]]-tblWorkPackages[[#This Row],[Request date serial]]</f>
        <v>40</v>
      </c>
      <c r="AH2072" s="65">
        <f>IFERROR(INDEX(tblParts[Delay days],MATCH(tblWorkPackages[[#This Row],[Work package ID]],tblParts[Work package ID],0)),0)</f>
        <v>0</v>
      </c>
      <c r="AI2072" s="51" t="str">
        <f>IFERROR(INDEX(tblDisruptions[Event type],MATCH(tblWorkPackages[[#This Row],[Work package ID]],tblDisruptions[Work package ID],0)),"None")</f>
        <v>None</v>
      </c>
      <c r="AJ2072" s="51" t="str">
        <f>TEXT(tblWorkPackages[[#This Row],[Due date serial]],"yyyy-mm")</f>
        <v>2024-05</v>
      </c>
    </row>
    <row r="2073" spans="1:36" ht="15" x14ac:dyDescent="0.25">
      <c r="A2073" s="53" t="s">
        <v>2984</v>
      </c>
      <c r="B2073" s="53" t="s">
        <v>168</v>
      </c>
      <c r="C2073" s="53" t="s">
        <v>1133</v>
      </c>
      <c r="D2073" s="53" t="s">
        <v>560</v>
      </c>
      <c r="E2073" s="53" t="s">
        <v>136</v>
      </c>
      <c r="F2073" s="53" t="s">
        <v>137</v>
      </c>
      <c r="G2073" s="53" t="s">
        <v>138</v>
      </c>
      <c r="H2073" s="53">
        <v>4</v>
      </c>
      <c r="I2073" s="53" t="s">
        <v>130</v>
      </c>
      <c r="J2073" s="53">
        <v>0</v>
      </c>
      <c r="K2073" s="53">
        <v>0</v>
      </c>
      <c r="L2073" s="53">
        <v>23.6</v>
      </c>
      <c r="M2073" s="53" t="s">
        <v>481</v>
      </c>
      <c r="N2073" s="53">
        <v>23.9</v>
      </c>
      <c r="O2073" s="51" t="str">
        <f>TEXT(tblWorkPackages[[#This Row],[Request date serial]]-WEEKDAY(tblWorkPackages[[#This Row],[Request date serial]],3),"yyyy-mm-dd")</f>
        <v>2025-10-27</v>
      </c>
      <c r="P2073" s="51">
        <f>ABS(tblWorkPackages[[#This Row],[Actual labor hours]]-tblWorkPackages[[#This Row],[Estimated labor hours]])</f>
        <v>0.299999999999997</v>
      </c>
      <c r="Q2073" s="51">
        <f>IF(tblWorkPackages[[#This Row],[Actual labor hours]]&gt;tblWorkPackages[[#This Row],[Estimated labor hours]],1,0)</f>
        <v>1</v>
      </c>
      <c r="R2073" s="51">
        <f>tblWorkPackages[[#This Row],[Actual labor hours]]-tblWorkPackages[[#This Row],[Estimated labor hours]]</f>
        <v>0.299999999999997</v>
      </c>
      <c r="S2073" s="51" t="str">
        <f>IF(tblWorkPackages[[#This Row],[Request date serial]]&lt;ValidationStart,"Train 2024",IF(tblWorkPackages[[#This Row],[Request date serial]]&lt;HoldoutStart,"Validation H1","Holdout H2"))</f>
        <v>Holdout H2</v>
      </c>
      <c r="T2073" s="51">
        <f>IF(tblWorkPackages[[#This Row],[Time split]]="Train 2024","",tblWorkPackages[[#This Row],[Estimated labor hours]]+VLOOKUP(tblWorkPackages[[#This Row],[Task type]],'Forecast validation'!$A$14:$E$25,IF(tblWorkPackages[[#This Row],[Time split]]="Validation H1",4,5),FALSE()))</f>
        <v>24.5207547169811</v>
      </c>
      <c r="U2073" s="51">
        <f>IF(tblWorkPackages[[#This Row],[Calibrated forecast hours]]="","",ABS(tblWorkPackages[[#This Row],[Actual labor hours]]-tblWorkPackages[[#This Row],[Calibrated forecast hours]]))</f>
        <v>0.620754716981136</v>
      </c>
      <c r="V2073" s="51">
        <f>IF(tblWorkPackages[[#This Row],[Time split]]="Train 2024",tblWorkPackages[[#This Row],[Estimated labor hours]],tblWorkPackages[[#This Row],[Calibrated forecast hours]])</f>
        <v>24.5207547169811</v>
      </c>
      <c r="W2073" s="64">
        <f>DATEVALUE(tblWorkPackages[[#This Row],[Request date]])</f>
        <v>45957.0</v>
      </c>
      <c r="X2073" s="64">
        <f>DATEVALUE(tblWorkPackages[[#This Row],[Due date]])</f>
        <v>45970.0</v>
      </c>
      <c r="Y2073" s="64">
        <f>DATEVALUE(tblWorkPackages[[#This Row],[Completion date]])</f>
        <v>45968.0</v>
      </c>
      <c r="Z2073" s="64">
        <f>_xlfn.MINIFS(tblLaborEntries[Work date serial],tblLaborEntries[Work package ID],tblWorkPackages[[#This Row],[Work package ID]])</f>
        <v>45964.0</v>
      </c>
      <c r="AA2073" s="64">
        <f>_xlfn.MAXIFS(tblLaborEntries[Work date serial],tblLaborEntries[Work package ID],tblWorkPackages[[#This Row],[Work package ID]])</f>
        <v>45965.0</v>
      </c>
      <c r="AB2073" s="65">
        <f>IF(tblWorkPackages[[#This Row],[Completion date serial]]&gt;tblWorkPackages[[#This Row],[Due date serial]],1,0)</f>
        <v>0</v>
      </c>
      <c r="AC2073" s="65">
        <f>MAX(0,tblWorkPackages[[#This Row],[Completion date serial]]-tblWorkPackages[[#This Row],[Due date serial]])</f>
        <v>0</v>
      </c>
      <c r="AD2073" s="65">
        <f>tblWorkPackages[[#This Row],[First labor date]]-tblWorkPackages[[#This Row],[Request date serial]]</f>
        <v>7</v>
      </c>
      <c r="AE2073" s="65">
        <f>tblWorkPackages[[#This Row],[Last labor date]]-tblWorkPackages[[#This Row],[First labor date]]</f>
        <v>1</v>
      </c>
      <c r="AF2073" s="65">
        <f>tblWorkPackages[[#This Row],[Completion date serial]]-tblWorkPackages[[#This Row],[Last labor date]]</f>
        <v>3</v>
      </c>
      <c r="AG2073" s="65">
        <f>tblWorkPackages[[#This Row],[Completion date serial]]-tblWorkPackages[[#This Row],[Request date serial]]</f>
        <v>11</v>
      </c>
      <c r="AH2073" s="65">
        <f>IFERROR(INDEX(tblParts[Delay days],MATCH(tblWorkPackages[[#This Row],[Work package ID]],tblParts[Work package ID],0)),0)</f>
        <v>0</v>
      </c>
      <c r="AI2073" s="51" t="str">
        <f>IFERROR(INDEX(tblDisruptions[Event type],MATCH(tblWorkPackages[[#This Row],[Work package ID]],tblDisruptions[Work package ID],0)),"None")</f>
        <v>None</v>
      </c>
      <c r="AJ2073" s="51" t="str">
        <f>TEXT(tblWorkPackages[[#This Row],[Due date serial]],"yyyy-mm")</f>
        <v>2025-11</v>
      </c>
    </row>
    <row r="2074" spans="1:36" ht="15" x14ac:dyDescent="0.25">
      <c r="A2074" s="53" t="s">
        <v>2985</v>
      </c>
      <c r="B2074" s="53" t="s">
        <v>141</v>
      </c>
      <c r="C2074" s="53" t="s">
        <v>696</v>
      </c>
      <c r="D2074" s="53" t="s">
        <v>697</v>
      </c>
      <c r="E2074" s="53" t="s">
        <v>153</v>
      </c>
      <c r="F2074" s="53" t="s">
        <v>128</v>
      </c>
      <c r="G2074" s="53" t="s">
        <v>154</v>
      </c>
      <c r="H2074" s="53">
        <v>3</v>
      </c>
      <c r="I2074" s="53" t="s">
        <v>130</v>
      </c>
      <c r="J2074" s="53">
        <v>0</v>
      </c>
      <c r="K2074" s="53">
        <v>1</v>
      </c>
      <c r="L2074" s="53">
        <v>13.6</v>
      </c>
      <c r="M2074" s="53" t="s">
        <v>383</v>
      </c>
      <c r="N2074" s="53">
        <v>16.899999999999999</v>
      </c>
      <c r="O2074" s="51" t="str">
        <f>TEXT(tblWorkPackages[[#This Row],[Request date serial]]-WEEKDAY(tblWorkPackages[[#This Row],[Request date serial]],3),"yyyy-mm-dd")</f>
        <v>2025-01-27</v>
      </c>
      <c r="P2074" s="51">
        <f>ABS(tblWorkPackages[[#This Row],[Actual labor hours]]-tblWorkPackages[[#This Row],[Estimated labor hours]])</f>
        <v>3.3</v>
      </c>
      <c r="Q2074" s="51">
        <f>IF(tblWorkPackages[[#This Row],[Actual labor hours]]&gt;tblWorkPackages[[#This Row],[Estimated labor hours]],1,0)</f>
        <v>1</v>
      </c>
      <c r="R2074" s="51">
        <f>tblWorkPackages[[#This Row],[Actual labor hours]]-tblWorkPackages[[#This Row],[Estimated labor hours]]</f>
        <v>3.3</v>
      </c>
      <c r="S2074" s="51" t="str">
        <f>IF(tblWorkPackages[[#This Row],[Request date serial]]&lt;ValidationStart,"Train 2024",IF(tblWorkPackages[[#This Row],[Request date serial]]&lt;HoldoutStart,"Validation H1","Holdout H2"))</f>
        <v>Validation H1</v>
      </c>
      <c r="T2074" s="51">
        <f>IF(tblWorkPackages[[#This Row],[Time split]]="Train 2024","",tblWorkPackages[[#This Row],[Estimated labor hours]]+VLOOKUP(tblWorkPackages[[#This Row],[Task type]],'Forecast validation'!$A$14:$E$25,IF(tblWorkPackages[[#This Row],[Time split]]="Validation H1",4,5),FALSE()))</f>
        <v>14.1462264150943</v>
      </c>
      <c r="U2074" s="51">
        <f>IF(tblWorkPackages[[#This Row],[Calibrated forecast hours]]="","",ABS(tblWorkPackages[[#This Row],[Actual labor hours]]-tblWorkPackages[[#This Row],[Calibrated forecast hours]]))</f>
        <v>2.75377358490566</v>
      </c>
      <c r="V2074" s="51">
        <f>IF(tblWorkPackages[[#This Row],[Time split]]="Train 2024",tblWorkPackages[[#This Row],[Estimated labor hours]],tblWorkPackages[[#This Row],[Calibrated forecast hours]])</f>
        <v>14.1462264150943</v>
      </c>
      <c r="W2074" s="64">
        <f>DATEVALUE(tblWorkPackages[[#This Row],[Request date]])</f>
        <v>45690.0</v>
      </c>
      <c r="X2074" s="64">
        <f>DATEVALUE(tblWorkPackages[[#This Row],[Due date]])</f>
        <v>45703.0</v>
      </c>
      <c r="Y2074" s="64">
        <f>DATEVALUE(tblWorkPackages[[#This Row],[Completion date]])</f>
        <v>45693.0</v>
      </c>
      <c r="Z2074" s="64">
        <f>_xlfn.MINIFS(tblLaborEntries[Work date serial],tblLaborEntries[Work package ID],tblWorkPackages[[#This Row],[Work package ID]])</f>
        <v>45692.0</v>
      </c>
      <c r="AA2074" s="64">
        <f>_xlfn.MAXIFS(tblLaborEntries[Work date serial],tblLaborEntries[Work package ID],tblWorkPackages[[#This Row],[Work package ID]])</f>
        <v>45693.0</v>
      </c>
      <c r="AB2074" s="65">
        <f>IF(tblWorkPackages[[#This Row],[Completion date serial]]&gt;tblWorkPackages[[#This Row],[Due date serial]],1,0)</f>
        <v>0</v>
      </c>
      <c r="AC2074" s="65">
        <f>MAX(0,tblWorkPackages[[#This Row],[Completion date serial]]-tblWorkPackages[[#This Row],[Due date serial]])</f>
        <v>0</v>
      </c>
      <c r="AD2074" s="65">
        <f>tblWorkPackages[[#This Row],[First labor date]]-tblWorkPackages[[#This Row],[Request date serial]]</f>
        <v>2</v>
      </c>
      <c r="AE2074" s="65">
        <f>tblWorkPackages[[#This Row],[Last labor date]]-tblWorkPackages[[#This Row],[First labor date]]</f>
        <v>1</v>
      </c>
      <c r="AF2074" s="65">
        <f>tblWorkPackages[[#This Row],[Completion date serial]]-tblWorkPackages[[#This Row],[Last labor date]]</f>
        <v>0</v>
      </c>
      <c r="AG2074" s="65">
        <f>tblWorkPackages[[#This Row],[Completion date serial]]-tblWorkPackages[[#This Row],[Request date serial]]</f>
        <v>3</v>
      </c>
      <c r="AH2074" s="65">
        <f>IFERROR(INDEX(tblParts[Delay days],MATCH(tblWorkPackages[[#This Row],[Work package ID]],tblParts[Work package ID],0)),0)</f>
        <v>0</v>
      </c>
      <c r="AI2074" s="51" t="str">
        <f>IFERROR(INDEX(tblDisruptions[Event type],MATCH(tblWorkPackages[[#This Row],[Work package ID]],tblDisruptions[Work package ID],0)),"None")</f>
        <v>None</v>
      </c>
      <c r="AJ2074" s="51" t="str">
        <f>TEXT(tblWorkPackages[[#This Row],[Due date serial]],"yyyy-mm")</f>
        <v>2025-02</v>
      </c>
    </row>
    <row r="2075" spans="1:36" ht="15" x14ac:dyDescent="0.25">
      <c r="A2075" s="53" t="s">
        <v>2986</v>
      </c>
      <c r="B2075" s="53" t="s">
        <v>133</v>
      </c>
      <c r="C2075" s="53" t="s">
        <v>1233</v>
      </c>
      <c r="D2075" s="53" t="s">
        <v>1234</v>
      </c>
      <c r="E2075" s="53" t="s">
        <v>242</v>
      </c>
      <c r="F2075" s="53" t="s">
        <v>243</v>
      </c>
      <c r="G2075" s="53" t="s">
        <v>129</v>
      </c>
      <c r="H2075" s="53">
        <v>1</v>
      </c>
      <c r="I2075" s="53" t="s">
        <v>176</v>
      </c>
      <c r="J2075" s="53">
        <v>0</v>
      </c>
      <c r="K2075" s="53">
        <v>0</v>
      </c>
      <c r="L2075" s="53">
        <v>5.4</v>
      </c>
      <c r="M2075" s="53" t="s">
        <v>228</v>
      </c>
      <c r="N2075" s="53">
        <v>6</v>
      </c>
      <c r="O2075" s="51" t="str">
        <f>TEXT(tblWorkPackages[[#This Row],[Request date serial]]-WEEKDAY(tblWorkPackages[[#This Row],[Request date serial]],3),"yyyy-mm-dd")</f>
        <v>2025-07-14</v>
      </c>
      <c r="P2075" s="51">
        <f>ABS(tblWorkPackages[[#This Row],[Actual labor hours]]-tblWorkPackages[[#This Row],[Estimated labor hours]])</f>
        <v>0.6</v>
      </c>
      <c r="Q2075" s="51">
        <f>IF(tblWorkPackages[[#This Row],[Actual labor hours]]&gt;tblWorkPackages[[#This Row],[Estimated labor hours]],1,0)</f>
        <v>1</v>
      </c>
      <c r="R2075" s="51">
        <f>tblWorkPackages[[#This Row],[Actual labor hours]]-tblWorkPackages[[#This Row],[Estimated labor hours]]</f>
        <v>0.6</v>
      </c>
      <c r="S2075" s="51" t="str">
        <f>IF(tblWorkPackages[[#This Row],[Request date serial]]&lt;ValidationStart,"Train 2024",IF(tblWorkPackages[[#This Row],[Request date serial]]&lt;HoldoutStart,"Validation H1","Holdout H2"))</f>
        <v>Holdout H2</v>
      </c>
      <c r="T2075" s="51">
        <f>IF(tblWorkPackages[[#This Row],[Time split]]="Train 2024","",tblWorkPackages[[#This Row],[Estimated labor hours]]+VLOOKUP(tblWorkPackages[[#This Row],[Task type]],'Forecast validation'!$A$14:$E$25,IF(tblWorkPackages[[#This Row],[Time split]]="Validation H1",4,5),FALSE()))</f>
        <v>6.22545454545455</v>
      </c>
      <c r="U2075" s="51">
        <f>IF(tblWorkPackages[[#This Row],[Calibrated forecast hours]]="","",ABS(tblWorkPackages[[#This Row],[Actual labor hours]]-tblWorkPackages[[#This Row],[Calibrated forecast hours]]))</f>
        <v>0.225454545454546</v>
      </c>
      <c r="V2075" s="51">
        <f>IF(tblWorkPackages[[#This Row],[Time split]]="Train 2024",tblWorkPackages[[#This Row],[Estimated labor hours]],tblWorkPackages[[#This Row],[Calibrated forecast hours]])</f>
        <v>6.22545454545455</v>
      </c>
      <c r="W2075" s="64">
        <f>DATEVALUE(tblWorkPackages[[#This Row],[Request date]])</f>
        <v>45853.0</v>
      </c>
      <c r="X2075" s="64">
        <f>DATEVALUE(tblWorkPackages[[#This Row],[Due date]])</f>
        <v>45859.0</v>
      </c>
      <c r="Y2075" s="64">
        <f>DATEVALUE(tblWorkPackages[[#This Row],[Completion date]])</f>
        <v>45872.0</v>
      </c>
      <c r="Z2075" s="64">
        <f>_xlfn.MINIFS(tblLaborEntries[Work date serial],tblLaborEntries[Work package ID],tblWorkPackages[[#This Row],[Work package ID]])</f>
        <v>45869.0</v>
      </c>
      <c r="AA2075" s="64">
        <f>_xlfn.MAXIFS(tblLaborEntries[Work date serial],tblLaborEntries[Work package ID],tblWorkPackages[[#This Row],[Work package ID]])</f>
        <v>45871.0</v>
      </c>
      <c r="AB2075" s="65">
        <f>IF(tblWorkPackages[[#This Row],[Completion date serial]]&gt;tblWorkPackages[[#This Row],[Due date serial]],1,0)</f>
        <v>1</v>
      </c>
      <c r="AC2075" s="65">
        <f>MAX(0,tblWorkPackages[[#This Row],[Completion date serial]]-tblWorkPackages[[#This Row],[Due date serial]])</f>
        <v>13</v>
      </c>
      <c r="AD2075" s="65">
        <f>tblWorkPackages[[#This Row],[First labor date]]-tblWorkPackages[[#This Row],[Request date serial]]</f>
        <v>16</v>
      </c>
      <c r="AE2075" s="65">
        <f>tblWorkPackages[[#This Row],[Last labor date]]-tblWorkPackages[[#This Row],[First labor date]]</f>
        <v>2</v>
      </c>
      <c r="AF2075" s="65">
        <f>tblWorkPackages[[#This Row],[Completion date serial]]-tblWorkPackages[[#This Row],[Last labor date]]</f>
        <v>1</v>
      </c>
      <c r="AG2075" s="65">
        <f>tblWorkPackages[[#This Row],[Completion date serial]]-tblWorkPackages[[#This Row],[Request date serial]]</f>
        <v>19</v>
      </c>
      <c r="AH2075" s="65">
        <f>IFERROR(INDEX(tblParts[Delay days],MATCH(tblWorkPackages[[#This Row],[Work package ID]],tblParts[Work package ID],0)),0)</f>
        <v>0</v>
      </c>
      <c r="AI2075" s="51" t="str">
        <f>IFERROR(INDEX(tblDisruptions[Event type],MATCH(tblWorkPackages[[#This Row],[Work package ID]],tblDisruptions[Work package ID],0)),"None")</f>
        <v>None</v>
      </c>
      <c r="AJ2075" s="51" t="str">
        <f>TEXT(tblWorkPackages[[#This Row],[Due date serial]],"yyyy-mm")</f>
        <v>2025-07</v>
      </c>
    </row>
    <row r="2076" spans="1:36" ht="15" x14ac:dyDescent="0.25">
      <c r="A2076" s="53" t="s">
        <v>2987</v>
      </c>
      <c r="B2076" s="53" t="s">
        <v>133</v>
      </c>
      <c r="C2076" s="53" t="s">
        <v>1213</v>
      </c>
      <c r="D2076" s="53" t="s">
        <v>856</v>
      </c>
      <c r="E2076" s="53" t="s">
        <v>144</v>
      </c>
      <c r="F2076" s="53" t="s">
        <v>145</v>
      </c>
      <c r="G2076" s="53" t="s">
        <v>146</v>
      </c>
      <c r="H2076" s="53">
        <v>4</v>
      </c>
      <c r="I2076" s="53" t="s">
        <v>176</v>
      </c>
      <c r="J2076" s="53">
        <v>1</v>
      </c>
      <c r="K2076" s="53">
        <v>1</v>
      </c>
      <c r="L2076" s="53">
        <v>17.3</v>
      </c>
      <c r="M2076" s="53" t="s">
        <v>856</v>
      </c>
      <c r="N2076" s="53">
        <v>19.7</v>
      </c>
      <c r="O2076" s="51" t="str">
        <f>TEXT(tblWorkPackages[[#This Row],[Request date serial]]-WEEKDAY(tblWorkPackages[[#This Row],[Request date serial]],3),"yyyy-mm-dd")</f>
        <v>2025-12-15</v>
      </c>
      <c r="P2076" s="51">
        <f>ABS(tblWorkPackages[[#This Row],[Actual labor hours]]-tblWorkPackages[[#This Row],[Estimated labor hours]])</f>
        <v>2.4</v>
      </c>
      <c r="Q2076" s="51">
        <f>IF(tblWorkPackages[[#This Row],[Actual labor hours]]&gt;tblWorkPackages[[#This Row],[Estimated labor hours]],1,0)</f>
        <v>1</v>
      </c>
      <c r="R2076" s="51">
        <f>tblWorkPackages[[#This Row],[Actual labor hours]]-tblWorkPackages[[#This Row],[Estimated labor hours]]</f>
        <v>2.4</v>
      </c>
      <c r="S2076" s="51" t="str">
        <f>IF(tblWorkPackages[[#This Row],[Request date serial]]&lt;ValidationStart,"Train 2024",IF(tblWorkPackages[[#This Row],[Request date serial]]&lt;HoldoutStart,"Validation H1","Holdout H2"))</f>
        <v>Holdout H2</v>
      </c>
      <c r="T2076" s="51">
        <f>IF(tblWorkPackages[[#This Row],[Time split]]="Train 2024","",tblWorkPackages[[#This Row],[Estimated labor hours]]+VLOOKUP(tblWorkPackages[[#This Row],[Task type]],'Forecast validation'!$A$14:$E$25,IF(tblWorkPackages[[#This Row],[Time split]]="Validation H1",4,5),FALSE()))</f>
        <v>18.2735483870968</v>
      </c>
      <c r="U2076" s="51">
        <f>IF(tblWorkPackages[[#This Row],[Calibrated forecast hours]]="","",ABS(tblWorkPackages[[#This Row],[Actual labor hours]]-tblWorkPackages[[#This Row],[Calibrated forecast hours]]))</f>
        <v>1.42645161290323</v>
      </c>
      <c r="V2076" s="51">
        <f>IF(tblWorkPackages[[#This Row],[Time split]]="Train 2024",tblWorkPackages[[#This Row],[Estimated labor hours]],tblWorkPackages[[#This Row],[Calibrated forecast hours]])</f>
        <v>18.2735483870968</v>
      </c>
      <c r="W2076" s="64">
        <f>DATEVALUE(tblWorkPackages[[#This Row],[Request date]])</f>
        <v>46008.0</v>
      </c>
      <c r="X2076" s="64">
        <f>DATEVALUE(tblWorkPackages[[#This Row],[Due date]])</f>
        <v>46014.0</v>
      </c>
      <c r="Y2076" s="64">
        <f>DATEVALUE(tblWorkPackages[[#This Row],[Completion date]])</f>
        <v>46014.0</v>
      </c>
      <c r="Z2076" s="64">
        <f>_xlfn.MINIFS(tblLaborEntries[Work date serial],tblLaborEntries[Work package ID],tblWorkPackages[[#This Row],[Work package ID]])</f>
        <v>46012.0</v>
      </c>
      <c r="AA2076" s="64">
        <f>_xlfn.MAXIFS(tblLaborEntries[Work date serial],tblLaborEntries[Work package ID],tblWorkPackages[[#This Row],[Work package ID]])</f>
        <v>46012.0</v>
      </c>
      <c r="AB2076" s="65">
        <f>IF(tblWorkPackages[[#This Row],[Completion date serial]]&gt;tblWorkPackages[[#This Row],[Due date serial]],1,0)</f>
        <v>0</v>
      </c>
      <c r="AC2076" s="65">
        <f>MAX(0,tblWorkPackages[[#This Row],[Completion date serial]]-tblWorkPackages[[#This Row],[Due date serial]])</f>
        <v>0</v>
      </c>
      <c r="AD2076" s="65">
        <f>tblWorkPackages[[#This Row],[First labor date]]-tblWorkPackages[[#This Row],[Request date serial]]</f>
        <v>4</v>
      </c>
      <c r="AE2076" s="65">
        <f>tblWorkPackages[[#This Row],[Last labor date]]-tblWorkPackages[[#This Row],[First labor date]]</f>
        <v>0</v>
      </c>
      <c r="AF2076" s="65">
        <f>tblWorkPackages[[#This Row],[Completion date serial]]-tblWorkPackages[[#This Row],[Last labor date]]</f>
        <v>2</v>
      </c>
      <c r="AG2076" s="65">
        <f>tblWorkPackages[[#This Row],[Completion date serial]]-tblWorkPackages[[#This Row],[Request date serial]]</f>
        <v>6</v>
      </c>
      <c r="AH2076" s="65">
        <f>IFERROR(INDEX(tblParts[Delay days],MATCH(tblWorkPackages[[#This Row],[Work package ID]],tblParts[Work package ID],0)),0)</f>
        <v>0</v>
      </c>
      <c r="AI2076" s="51" t="str">
        <f>IFERROR(INDEX(tblDisruptions[Event type],MATCH(tblWorkPackages[[#This Row],[Work package ID]],tblDisruptions[Work package ID],0)),"None")</f>
        <v>None</v>
      </c>
      <c r="AJ2076" s="51" t="str">
        <f>TEXT(tblWorkPackages[[#This Row],[Due date serial]],"yyyy-mm")</f>
        <v>2025-12</v>
      </c>
    </row>
    <row r="2077" spans="1:36" ht="15" x14ac:dyDescent="0.25">
      <c r="A2077" s="53" t="s">
        <v>2988</v>
      </c>
      <c r="B2077" s="53" t="s">
        <v>150</v>
      </c>
      <c r="C2077" s="53" t="s">
        <v>1457</v>
      </c>
      <c r="D2077" s="53" t="s">
        <v>926</v>
      </c>
      <c r="E2077" s="53" t="s">
        <v>127</v>
      </c>
      <c r="F2077" s="53" t="s">
        <v>128</v>
      </c>
      <c r="G2077" s="53" t="s">
        <v>129</v>
      </c>
      <c r="H2077" s="53">
        <v>4</v>
      </c>
      <c r="I2077" s="53" t="s">
        <v>176</v>
      </c>
      <c r="J2077" s="53">
        <v>0</v>
      </c>
      <c r="K2077" s="53">
        <v>0</v>
      </c>
      <c r="L2077" s="53">
        <v>14.7</v>
      </c>
      <c r="M2077" s="53" t="s">
        <v>926</v>
      </c>
      <c r="N2077" s="53">
        <v>16.899999999999999</v>
      </c>
      <c r="O2077" s="51" t="str">
        <f>TEXT(tblWorkPackages[[#This Row],[Request date serial]]-WEEKDAY(tblWorkPackages[[#This Row],[Request date serial]],3),"yyyy-mm-dd")</f>
        <v>2024-02-12</v>
      </c>
      <c r="P2077" s="51">
        <f>ABS(tblWorkPackages[[#This Row],[Actual labor hours]]-tblWorkPackages[[#This Row],[Estimated labor hours]])</f>
        <v>2.2</v>
      </c>
      <c r="Q2077" s="51">
        <f>IF(tblWorkPackages[[#This Row],[Actual labor hours]]&gt;tblWorkPackages[[#This Row],[Estimated labor hours]],1,0)</f>
        <v>1</v>
      </c>
      <c r="R2077" s="51">
        <f>tblWorkPackages[[#This Row],[Actual labor hours]]-tblWorkPackages[[#This Row],[Estimated labor hours]]</f>
        <v>2.2</v>
      </c>
      <c r="S2077" s="51" t="str">
        <f>IF(tblWorkPackages[[#This Row],[Request date serial]]&lt;ValidationStart,"Train 2024",IF(tblWorkPackages[[#This Row],[Request date serial]]&lt;HoldoutStart,"Validation H1","Holdout H2"))</f>
        <v>Train 2024</v>
      </c>
      <c r="T2077" s="51" t="str">
        <f>IF(tblWorkPackages[[#This Row],[Time split]]="Train 2024","",tblWorkPackages[[#This Row],[Estimated labor hours]]+VLOOKUP(tblWorkPackages[[#This Row],[Task type]],'Forecast validation'!$A$14:$E$25,IF(tblWorkPackages[[#This Row],[Time split]]="Validation H1",4,5),FALSE()))</f>
        <v/>
      </c>
      <c r="U2077" s="51" t="str">
        <f>IF(tblWorkPackages[[#This Row],[Calibrated forecast hours]]="","",ABS(tblWorkPackages[[#This Row],[Actual labor hours]]-tblWorkPackages[[#This Row],[Calibrated forecast hours]]))</f>
        <v/>
      </c>
      <c r="V2077" s="51">
        <f>IF(tblWorkPackages[[#This Row],[Time split]]="Train 2024",tblWorkPackages[[#This Row],[Estimated labor hours]],tblWorkPackages[[#This Row],[Calibrated forecast hours]])</f>
        <v>14.7</v>
      </c>
      <c r="W2077" s="64">
        <f>DATEVALUE(tblWorkPackages[[#This Row],[Request date]])</f>
        <v>45334.0</v>
      </c>
      <c r="X2077" s="64">
        <f>DATEVALUE(tblWorkPackages[[#This Row],[Due date]])</f>
        <v>45340.0</v>
      </c>
      <c r="Y2077" s="64">
        <f>DATEVALUE(tblWorkPackages[[#This Row],[Completion date]])</f>
        <v>45340.0</v>
      </c>
      <c r="Z2077" s="64">
        <f>_xlfn.MINIFS(tblLaborEntries[Work date serial],tblLaborEntries[Work package ID],tblWorkPackages[[#This Row],[Work package ID]])</f>
        <v>45335.0</v>
      </c>
      <c r="AA2077" s="64">
        <f>_xlfn.MAXIFS(tblLaborEntries[Work date serial],tblLaborEntries[Work package ID],tblWorkPackages[[#This Row],[Work package ID]])</f>
        <v>45337.0</v>
      </c>
      <c r="AB2077" s="65">
        <f>IF(tblWorkPackages[[#This Row],[Completion date serial]]&gt;tblWorkPackages[[#This Row],[Due date serial]],1,0)</f>
        <v>0</v>
      </c>
      <c r="AC2077" s="65">
        <f>MAX(0,tblWorkPackages[[#This Row],[Completion date serial]]-tblWorkPackages[[#This Row],[Due date serial]])</f>
        <v>0</v>
      </c>
      <c r="AD2077" s="65">
        <f>tblWorkPackages[[#This Row],[First labor date]]-tblWorkPackages[[#This Row],[Request date serial]]</f>
        <v>1</v>
      </c>
      <c r="AE2077" s="65">
        <f>tblWorkPackages[[#This Row],[Last labor date]]-tblWorkPackages[[#This Row],[First labor date]]</f>
        <v>2</v>
      </c>
      <c r="AF2077" s="65">
        <f>tblWorkPackages[[#This Row],[Completion date serial]]-tblWorkPackages[[#This Row],[Last labor date]]</f>
        <v>3</v>
      </c>
      <c r="AG2077" s="65">
        <f>tblWorkPackages[[#This Row],[Completion date serial]]-tblWorkPackages[[#This Row],[Request date serial]]</f>
        <v>6</v>
      </c>
      <c r="AH2077" s="65">
        <f>IFERROR(INDEX(tblParts[Delay days],MATCH(tblWorkPackages[[#This Row],[Work package ID]],tblParts[Work package ID],0)),0)</f>
        <v>0</v>
      </c>
      <c r="AI2077" s="51" t="str">
        <f>IFERROR(INDEX(tblDisruptions[Event type],MATCH(tblWorkPackages[[#This Row],[Work package ID]],tblDisruptions[Work package ID],0)),"None")</f>
        <v>None</v>
      </c>
      <c r="AJ2077" s="51" t="str">
        <f>TEXT(tblWorkPackages[[#This Row],[Due date serial]],"yyyy-mm")</f>
        <v>2024-02</v>
      </c>
    </row>
    <row r="2078" spans="1:36" ht="15" x14ac:dyDescent="0.25">
      <c r="A2078" s="53" t="s">
        <v>2989</v>
      </c>
      <c r="B2078" s="53" t="s">
        <v>168</v>
      </c>
      <c r="C2078" s="53" t="s">
        <v>218</v>
      </c>
      <c r="D2078" s="53" t="s">
        <v>1898</v>
      </c>
      <c r="E2078" s="53" t="s">
        <v>181</v>
      </c>
      <c r="F2078" s="53" t="s">
        <v>182</v>
      </c>
      <c r="G2078" s="53" t="s">
        <v>138</v>
      </c>
      <c r="H2078" s="53">
        <v>4</v>
      </c>
      <c r="I2078" s="53" t="s">
        <v>130</v>
      </c>
      <c r="J2078" s="53">
        <v>0</v>
      </c>
      <c r="K2078" s="53">
        <v>0</v>
      </c>
      <c r="L2078" s="53">
        <v>13.5</v>
      </c>
      <c r="M2078" s="53" t="s">
        <v>1014</v>
      </c>
      <c r="N2078" s="53">
        <v>11.1</v>
      </c>
      <c r="O2078" s="51" t="str">
        <f>TEXT(tblWorkPackages[[#This Row],[Request date serial]]-WEEKDAY(tblWorkPackages[[#This Row],[Request date serial]],3),"yyyy-mm-dd")</f>
        <v>2025-12-22</v>
      </c>
      <c r="P2078" s="51">
        <f>ABS(tblWorkPackages[[#This Row],[Actual labor hours]]-tblWorkPackages[[#This Row],[Estimated labor hours]])</f>
        <v>2.4</v>
      </c>
      <c r="Q2078" s="51">
        <f>IF(tblWorkPackages[[#This Row],[Actual labor hours]]&gt;tblWorkPackages[[#This Row],[Estimated labor hours]],1,0)</f>
        <v>0</v>
      </c>
      <c r="R2078" s="51">
        <f>tblWorkPackages[[#This Row],[Actual labor hours]]-tblWorkPackages[[#This Row],[Estimated labor hours]]</f>
        <v>-2.4</v>
      </c>
      <c r="S2078" s="51" t="str">
        <f>IF(tblWorkPackages[[#This Row],[Request date serial]]&lt;ValidationStart,"Train 2024",IF(tblWorkPackages[[#This Row],[Request date serial]]&lt;HoldoutStart,"Validation H1","Holdout H2"))</f>
        <v>Holdout H2</v>
      </c>
      <c r="T2078" s="51">
        <f>IF(tblWorkPackages[[#This Row],[Time split]]="Train 2024","",tblWorkPackages[[#This Row],[Estimated labor hours]]+VLOOKUP(tblWorkPackages[[#This Row],[Task type]],'Forecast validation'!$A$14:$E$25,IF(tblWorkPackages[[#This Row],[Time split]]="Validation H1",4,5),FALSE()))</f>
        <v>14.0916083916084</v>
      </c>
      <c r="U2078" s="51">
        <f>IF(tblWorkPackages[[#This Row],[Calibrated forecast hours]]="","",ABS(tblWorkPackages[[#This Row],[Actual labor hours]]-tblWorkPackages[[#This Row],[Calibrated forecast hours]]))</f>
        <v>2.99160839160839</v>
      </c>
      <c r="V2078" s="51">
        <f>IF(tblWorkPackages[[#This Row],[Time split]]="Train 2024",tblWorkPackages[[#This Row],[Estimated labor hours]],tblWorkPackages[[#This Row],[Calibrated forecast hours]])</f>
        <v>14.0916083916084</v>
      </c>
      <c r="W2078" s="64">
        <f>DATEVALUE(tblWorkPackages[[#This Row],[Request date]])</f>
        <v>46017.0</v>
      </c>
      <c r="X2078" s="64">
        <f>DATEVALUE(tblWorkPackages[[#This Row],[Due date]])</f>
        <v>46030.0</v>
      </c>
      <c r="Y2078" s="64">
        <f>DATEVALUE(tblWorkPackages[[#This Row],[Completion date]])</f>
        <v>46027.0</v>
      </c>
      <c r="Z2078" s="64">
        <f>_xlfn.MINIFS(tblLaborEntries[Work date serial],tblLaborEntries[Work package ID],tblWorkPackages[[#This Row],[Work package ID]])</f>
        <v>46027.0</v>
      </c>
      <c r="AA2078" s="64">
        <f>_xlfn.MAXIFS(tblLaborEntries[Work date serial],tblLaborEntries[Work package ID],tblWorkPackages[[#This Row],[Work package ID]])</f>
        <v>46027.0</v>
      </c>
      <c r="AB2078" s="65">
        <f>IF(tblWorkPackages[[#This Row],[Completion date serial]]&gt;tblWorkPackages[[#This Row],[Due date serial]],1,0)</f>
        <v>0</v>
      </c>
      <c r="AC2078" s="65">
        <f>MAX(0,tblWorkPackages[[#This Row],[Completion date serial]]-tblWorkPackages[[#This Row],[Due date serial]])</f>
        <v>0</v>
      </c>
      <c r="AD2078" s="65">
        <f>tblWorkPackages[[#This Row],[First labor date]]-tblWorkPackages[[#This Row],[Request date serial]]</f>
        <v>10</v>
      </c>
      <c r="AE2078" s="65">
        <f>tblWorkPackages[[#This Row],[Last labor date]]-tblWorkPackages[[#This Row],[First labor date]]</f>
        <v>0</v>
      </c>
      <c r="AF2078" s="65">
        <f>tblWorkPackages[[#This Row],[Completion date serial]]-tblWorkPackages[[#This Row],[Last labor date]]</f>
        <v>0</v>
      </c>
      <c r="AG2078" s="65">
        <f>tblWorkPackages[[#This Row],[Completion date serial]]-tblWorkPackages[[#This Row],[Request date serial]]</f>
        <v>10</v>
      </c>
      <c r="AH2078" s="65">
        <f>IFERROR(INDEX(tblParts[Delay days],MATCH(tblWorkPackages[[#This Row],[Work package ID]],tblParts[Work package ID],0)),0)</f>
        <v>0</v>
      </c>
      <c r="AI2078" s="51" t="str">
        <f>IFERROR(INDEX(tblDisruptions[Event type],MATCH(tblWorkPackages[[#This Row],[Work package ID]],tblDisruptions[Work package ID],0)),"None")</f>
        <v>None</v>
      </c>
      <c r="AJ2078" s="51" t="str">
        <f>TEXT(tblWorkPackages[[#This Row],[Due date serial]],"yyyy-mm")</f>
        <v>2026-01</v>
      </c>
    </row>
    <row r="2079" spans="1:36" ht="15" x14ac:dyDescent="0.25">
      <c r="A2079" s="53" t="s">
        <v>2990</v>
      </c>
      <c r="B2079" s="53" t="s">
        <v>157</v>
      </c>
      <c r="C2079" s="53" t="s">
        <v>1237</v>
      </c>
      <c r="D2079" s="53" t="s">
        <v>345</v>
      </c>
      <c r="E2079" s="53" t="s">
        <v>242</v>
      </c>
      <c r="F2079" s="53" t="s">
        <v>243</v>
      </c>
      <c r="G2079" s="53" t="s">
        <v>129</v>
      </c>
      <c r="H2079" s="53">
        <v>3</v>
      </c>
      <c r="I2079" s="53" t="s">
        <v>130</v>
      </c>
      <c r="J2079" s="53">
        <v>0</v>
      </c>
      <c r="K2079" s="53">
        <v>0</v>
      </c>
      <c r="L2079" s="53">
        <v>10.8</v>
      </c>
      <c r="M2079" s="53" t="s">
        <v>454</v>
      </c>
      <c r="N2079" s="53">
        <v>13.8</v>
      </c>
      <c r="O2079" s="51" t="str">
        <f>TEXT(tblWorkPackages[[#This Row],[Request date serial]]-WEEKDAY(tblWorkPackages[[#This Row],[Request date serial]],3),"yyyy-mm-dd")</f>
        <v>2024-01-15</v>
      </c>
      <c r="P2079" s="51">
        <f>ABS(tblWorkPackages[[#This Row],[Actual labor hours]]-tblWorkPackages[[#This Row],[Estimated labor hours]])</f>
        <v>3</v>
      </c>
      <c r="Q2079" s="51">
        <f>IF(tblWorkPackages[[#This Row],[Actual labor hours]]&gt;tblWorkPackages[[#This Row],[Estimated labor hours]],1,0)</f>
        <v>1</v>
      </c>
      <c r="R2079" s="51">
        <f>tblWorkPackages[[#This Row],[Actual labor hours]]-tblWorkPackages[[#This Row],[Estimated labor hours]]</f>
        <v>3</v>
      </c>
      <c r="S2079" s="51" t="str">
        <f>IF(tblWorkPackages[[#This Row],[Request date serial]]&lt;ValidationStart,"Train 2024",IF(tblWorkPackages[[#This Row],[Request date serial]]&lt;HoldoutStart,"Validation H1","Holdout H2"))</f>
        <v>Train 2024</v>
      </c>
      <c r="T2079" s="51" t="str">
        <f>IF(tblWorkPackages[[#This Row],[Time split]]="Train 2024","",tblWorkPackages[[#This Row],[Estimated labor hours]]+VLOOKUP(tblWorkPackages[[#This Row],[Task type]],'Forecast validation'!$A$14:$E$25,IF(tblWorkPackages[[#This Row],[Time split]]="Validation H1",4,5),FALSE()))</f>
        <v/>
      </c>
      <c r="U2079" s="51" t="str">
        <f>IF(tblWorkPackages[[#This Row],[Calibrated forecast hours]]="","",ABS(tblWorkPackages[[#This Row],[Actual labor hours]]-tblWorkPackages[[#This Row],[Calibrated forecast hours]]))</f>
        <v/>
      </c>
      <c r="V2079" s="51">
        <f>IF(tblWorkPackages[[#This Row],[Time split]]="Train 2024",tblWorkPackages[[#This Row],[Estimated labor hours]],tblWorkPackages[[#This Row],[Calibrated forecast hours]])</f>
        <v>10.8</v>
      </c>
      <c r="W2079" s="64">
        <f>DATEVALUE(tblWorkPackages[[#This Row],[Request date]])</f>
        <v>45312.0</v>
      </c>
      <c r="X2079" s="64">
        <f>DATEVALUE(tblWorkPackages[[#This Row],[Due date]])</f>
        <v>45325.0</v>
      </c>
      <c r="Y2079" s="64">
        <f>DATEVALUE(tblWorkPackages[[#This Row],[Completion date]])</f>
        <v>45318.0</v>
      </c>
      <c r="Z2079" s="64">
        <f>_xlfn.MINIFS(tblLaborEntries[Work date serial],tblLaborEntries[Work package ID],tblWorkPackages[[#This Row],[Work package ID]])</f>
        <v>45315.0</v>
      </c>
      <c r="AA2079" s="64">
        <f>_xlfn.MAXIFS(tblLaborEntries[Work date serial],tblLaborEntries[Work package ID],tblWorkPackages[[#This Row],[Work package ID]])</f>
        <v>45317.0</v>
      </c>
      <c r="AB2079" s="65">
        <f>IF(tblWorkPackages[[#This Row],[Completion date serial]]&gt;tblWorkPackages[[#This Row],[Due date serial]],1,0)</f>
        <v>0</v>
      </c>
      <c r="AC2079" s="65">
        <f>MAX(0,tblWorkPackages[[#This Row],[Completion date serial]]-tblWorkPackages[[#This Row],[Due date serial]])</f>
        <v>0</v>
      </c>
      <c r="AD2079" s="65">
        <f>tblWorkPackages[[#This Row],[First labor date]]-tblWorkPackages[[#This Row],[Request date serial]]</f>
        <v>3</v>
      </c>
      <c r="AE2079" s="65">
        <f>tblWorkPackages[[#This Row],[Last labor date]]-tblWorkPackages[[#This Row],[First labor date]]</f>
        <v>2</v>
      </c>
      <c r="AF2079" s="65">
        <f>tblWorkPackages[[#This Row],[Completion date serial]]-tblWorkPackages[[#This Row],[Last labor date]]</f>
        <v>1</v>
      </c>
      <c r="AG2079" s="65">
        <f>tblWorkPackages[[#This Row],[Completion date serial]]-tblWorkPackages[[#This Row],[Request date serial]]</f>
        <v>6</v>
      </c>
      <c r="AH2079" s="65">
        <f>IFERROR(INDEX(tblParts[Delay days],MATCH(tblWorkPackages[[#This Row],[Work package ID]],tblParts[Work package ID],0)),0)</f>
        <v>0</v>
      </c>
      <c r="AI2079" s="51" t="str">
        <f>IFERROR(INDEX(tblDisruptions[Event type],MATCH(tblWorkPackages[[#This Row],[Work package ID]],tblDisruptions[Work package ID],0)),"None")</f>
        <v>None</v>
      </c>
      <c r="AJ2079" s="51" t="str">
        <f>TEXT(tblWorkPackages[[#This Row],[Due date serial]],"yyyy-mm")</f>
        <v>2024-02</v>
      </c>
    </row>
    <row r="2080" spans="1:36" ht="15" x14ac:dyDescent="0.25">
      <c r="A2080" s="53" t="s">
        <v>2991</v>
      </c>
      <c r="B2080" s="53" t="s">
        <v>124</v>
      </c>
      <c r="C2080" s="53" t="s">
        <v>1026</v>
      </c>
      <c r="D2080" s="53" t="s">
        <v>609</v>
      </c>
      <c r="E2080" s="53" t="s">
        <v>200</v>
      </c>
      <c r="F2080" s="53" t="s">
        <v>128</v>
      </c>
      <c r="G2080" s="53" t="s">
        <v>129</v>
      </c>
      <c r="H2080" s="53">
        <v>1</v>
      </c>
      <c r="I2080" s="53" t="s">
        <v>130</v>
      </c>
      <c r="J2080" s="53">
        <v>0</v>
      </c>
      <c r="K2080" s="53">
        <v>0</v>
      </c>
      <c r="L2080" s="53">
        <v>2.2999999999999998</v>
      </c>
      <c r="M2080" s="53" t="s">
        <v>920</v>
      </c>
      <c r="N2080" s="53">
        <v>2.2999999999999998</v>
      </c>
      <c r="O2080" s="51" t="str">
        <f>TEXT(tblWorkPackages[[#This Row],[Request date serial]]-WEEKDAY(tblWorkPackages[[#This Row],[Request date serial]],3),"yyyy-mm-dd")</f>
        <v>2024-03-18</v>
      </c>
      <c r="P2080" s="51">
        <f>ABS(tblWorkPackages[[#This Row],[Actual labor hours]]-tblWorkPackages[[#This Row],[Estimated labor hours]])</f>
        <v>0</v>
      </c>
      <c r="Q2080" s="51">
        <f>IF(tblWorkPackages[[#This Row],[Actual labor hours]]&gt;tblWorkPackages[[#This Row],[Estimated labor hours]],1,0)</f>
        <v>0</v>
      </c>
      <c r="R2080" s="51">
        <f>tblWorkPackages[[#This Row],[Actual labor hours]]-tblWorkPackages[[#This Row],[Estimated labor hours]]</f>
        <v>0</v>
      </c>
      <c r="S2080" s="51" t="str">
        <f>IF(tblWorkPackages[[#This Row],[Request date serial]]&lt;ValidationStart,"Train 2024",IF(tblWorkPackages[[#This Row],[Request date serial]]&lt;HoldoutStart,"Validation H1","Holdout H2"))</f>
        <v>Train 2024</v>
      </c>
      <c r="T2080" s="51" t="str">
        <f>IF(tblWorkPackages[[#This Row],[Time split]]="Train 2024","",tblWorkPackages[[#This Row],[Estimated labor hours]]+VLOOKUP(tblWorkPackages[[#This Row],[Task type]],'Forecast validation'!$A$14:$E$25,IF(tblWorkPackages[[#This Row],[Time split]]="Validation H1",4,5),FALSE()))</f>
        <v/>
      </c>
      <c r="U2080" s="51" t="str">
        <f>IF(tblWorkPackages[[#This Row],[Calibrated forecast hours]]="","",ABS(tblWorkPackages[[#This Row],[Actual labor hours]]-tblWorkPackages[[#This Row],[Calibrated forecast hours]]))</f>
        <v/>
      </c>
      <c r="V2080" s="51">
        <f>IF(tblWorkPackages[[#This Row],[Time split]]="Train 2024",tblWorkPackages[[#This Row],[Estimated labor hours]],tblWorkPackages[[#This Row],[Calibrated forecast hours]])</f>
        <v>2.3</v>
      </c>
      <c r="W2080" s="64">
        <f>DATEVALUE(tblWorkPackages[[#This Row],[Request date]])</f>
        <v>45371.0</v>
      </c>
      <c r="X2080" s="64">
        <f>DATEVALUE(tblWorkPackages[[#This Row],[Due date]])</f>
        <v>45384.0</v>
      </c>
      <c r="Y2080" s="64">
        <f>DATEVALUE(tblWorkPackages[[#This Row],[Completion date]])</f>
        <v>45401.0</v>
      </c>
      <c r="Z2080" s="64">
        <f>_xlfn.MINIFS(tblLaborEntries[Work date serial],tblLaborEntries[Work package ID],tblWorkPackages[[#This Row],[Work package ID]])</f>
        <v>45399.0</v>
      </c>
      <c r="AA2080" s="64">
        <f>_xlfn.MAXIFS(tblLaborEntries[Work date serial],tblLaborEntries[Work package ID],tblWorkPackages[[#This Row],[Work package ID]])</f>
        <v>45399.0</v>
      </c>
      <c r="AB2080" s="65">
        <f>IF(tblWorkPackages[[#This Row],[Completion date serial]]&gt;tblWorkPackages[[#This Row],[Due date serial]],1,0)</f>
        <v>1</v>
      </c>
      <c r="AC2080" s="65">
        <f>MAX(0,tblWorkPackages[[#This Row],[Completion date serial]]-tblWorkPackages[[#This Row],[Due date serial]])</f>
        <v>17</v>
      </c>
      <c r="AD2080" s="65">
        <f>tblWorkPackages[[#This Row],[First labor date]]-tblWorkPackages[[#This Row],[Request date serial]]</f>
        <v>28</v>
      </c>
      <c r="AE2080" s="65">
        <f>tblWorkPackages[[#This Row],[Last labor date]]-tblWorkPackages[[#This Row],[First labor date]]</f>
        <v>0</v>
      </c>
      <c r="AF2080" s="65">
        <f>tblWorkPackages[[#This Row],[Completion date serial]]-tblWorkPackages[[#This Row],[Last labor date]]</f>
        <v>2</v>
      </c>
      <c r="AG2080" s="65">
        <f>tblWorkPackages[[#This Row],[Completion date serial]]-tblWorkPackages[[#This Row],[Request date serial]]</f>
        <v>30</v>
      </c>
      <c r="AH2080" s="65">
        <f>IFERROR(INDEX(tblParts[Delay days],MATCH(tblWorkPackages[[#This Row],[Work package ID]],tblParts[Work package ID],0)),0)</f>
        <v>0</v>
      </c>
      <c r="AI2080" s="51" t="str">
        <f>IFERROR(INDEX(tblDisruptions[Event type],MATCH(tblWorkPackages[[#This Row],[Work package ID]],tblDisruptions[Work package ID],0)),"None")</f>
        <v>None</v>
      </c>
      <c r="AJ2080" s="51" t="str">
        <f>TEXT(tblWorkPackages[[#This Row],[Due date serial]],"yyyy-mm")</f>
        <v>2024-04</v>
      </c>
    </row>
    <row r="2081" spans="1:36" ht="15" x14ac:dyDescent="0.25">
      <c r="A2081" s="53" t="s">
        <v>2992</v>
      </c>
      <c r="B2081" s="53" t="s">
        <v>230</v>
      </c>
      <c r="C2081" s="53" t="s">
        <v>480</v>
      </c>
      <c r="D2081" s="53" t="s">
        <v>558</v>
      </c>
      <c r="E2081" s="53" t="s">
        <v>144</v>
      </c>
      <c r="F2081" s="53" t="s">
        <v>145</v>
      </c>
      <c r="G2081" s="53" t="s">
        <v>146</v>
      </c>
      <c r="H2081" s="53">
        <v>1</v>
      </c>
      <c r="I2081" s="53" t="s">
        <v>176</v>
      </c>
      <c r="J2081" s="53">
        <v>0</v>
      </c>
      <c r="K2081" s="53">
        <v>1</v>
      </c>
      <c r="L2081" s="53">
        <v>6.4</v>
      </c>
      <c r="M2081" s="53" t="s">
        <v>979</v>
      </c>
      <c r="N2081" s="53">
        <v>7.2</v>
      </c>
      <c r="O2081" s="51" t="str">
        <f>TEXT(tblWorkPackages[[#This Row],[Request date serial]]-WEEKDAY(tblWorkPackages[[#This Row],[Request date serial]],3),"yyyy-mm-dd")</f>
        <v>2025-10-20</v>
      </c>
      <c r="P2081" s="51">
        <f>ABS(tblWorkPackages[[#This Row],[Actual labor hours]]-tblWorkPackages[[#This Row],[Estimated labor hours]])</f>
        <v>0.8</v>
      </c>
      <c r="Q2081" s="51">
        <f>IF(tblWorkPackages[[#This Row],[Actual labor hours]]&gt;tblWorkPackages[[#This Row],[Estimated labor hours]],1,0)</f>
        <v>1</v>
      </c>
      <c r="R2081" s="51">
        <f>tblWorkPackages[[#This Row],[Actual labor hours]]-tblWorkPackages[[#This Row],[Estimated labor hours]]</f>
        <v>0.8</v>
      </c>
      <c r="S2081" s="51" t="str">
        <f>IF(tblWorkPackages[[#This Row],[Request date serial]]&lt;ValidationStart,"Train 2024",IF(tblWorkPackages[[#This Row],[Request date serial]]&lt;HoldoutStart,"Validation H1","Holdout H2"))</f>
        <v>Holdout H2</v>
      </c>
      <c r="T2081" s="51">
        <f>IF(tblWorkPackages[[#This Row],[Time split]]="Train 2024","",tblWorkPackages[[#This Row],[Estimated labor hours]]+VLOOKUP(tblWorkPackages[[#This Row],[Task type]],'Forecast validation'!$A$14:$E$25,IF(tblWorkPackages[[#This Row],[Time split]]="Validation H1",4,5),FALSE()))</f>
        <v>7.37354838709678</v>
      </c>
      <c r="U2081" s="51">
        <f>IF(tblWorkPackages[[#This Row],[Calibrated forecast hours]]="","",ABS(tblWorkPackages[[#This Row],[Actual labor hours]]-tblWorkPackages[[#This Row],[Calibrated forecast hours]]))</f>
        <v>0.173548387096774</v>
      </c>
      <c r="V2081" s="51">
        <f>IF(tblWorkPackages[[#This Row],[Time split]]="Train 2024",tblWorkPackages[[#This Row],[Estimated labor hours]],tblWorkPackages[[#This Row],[Calibrated forecast hours]])</f>
        <v>7.37354838709678</v>
      </c>
      <c r="W2081" s="64">
        <f>DATEVALUE(tblWorkPackages[[#This Row],[Request date]])</f>
        <v>45955.0</v>
      </c>
      <c r="X2081" s="64">
        <f>DATEVALUE(tblWorkPackages[[#This Row],[Due date]])</f>
        <v>45961.0</v>
      </c>
      <c r="Y2081" s="64">
        <f>DATEVALUE(tblWorkPackages[[#This Row],[Completion date]])</f>
        <v>45965.0</v>
      </c>
      <c r="Z2081" s="64">
        <f>_xlfn.MINIFS(tblLaborEntries[Work date serial],tblLaborEntries[Work package ID],tblWorkPackages[[#This Row],[Work package ID]])</f>
        <v>45960.0</v>
      </c>
      <c r="AA2081" s="64">
        <f>_xlfn.MAXIFS(tblLaborEntries[Work date serial],tblLaborEntries[Work package ID],tblWorkPackages[[#This Row],[Work package ID]])</f>
        <v>45962.0</v>
      </c>
      <c r="AB2081" s="65">
        <f>IF(tblWorkPackages[[#This Row],[Completion date serial]]&gt;tblWorkPackages[[#This Row],[Due date serial]],1,0)</f>
        <v>1</v>
      </c>
      <c r="AC2081" s="65">
        <f>MAX(0,tblWorkPackages[[#This Row],[Completion date serial]]-tblWorkPackages[[#This Row],[Due date serial]])</f>
        <v>4</v>
      </c>
      <c r="AD2081" s="65">
        <f>tblWorkPackages[[#This Row],[First labor date]]-tblWorkPackages[[#This Row],[Request date serial]]</f>
        <v>5</v>
      </c>
      <c r="AE2081" s="65">
        <f>tblWorkPackages[[#This Row],[Last labor date]]-tblWorkPackages[[#This Row],[First labor date]]</f>
        <v>2</v>
      </c>
      <c r="AF2081" s="65">
        <f>tblWorkPackages[[#This Row],[Completion date serial]]-tblWorkPackages[[#This Row],[Last labor date]]</f>
        <v>3</v>
      </c>
      <c r="AG2081" s="65">
        <f>tblWorkPackages[[#This Row],[Completion date serial]]-tblWorkPackages[[#This Row],[Request date serial]]</f>
        <v>10</v>
      </c>
      <c r="AH2081" s="65">
        <f>IFERROR(INDEX(tblParts[Delay days],MATCH(tblWorkPackages[[#This Row],[Work package ID]],tblParts[Work package ID],0)),0)</f>
        <v>0</v>
      </c>
      <c r="AI2081" s="51" t="str">
        <f>IFERROR(INDEX(tblDisruptions[Event type],MATCH(tblWorkPackages[[#This Row],[Work package ID]],tblDisruptions[Work package ID],0)),"None")</f>
        <v>None</v>
      </c>
      <c r="AJ2081" s="51" t="str">
        <f>TEXT(tblWorkPackages[[#This Row],[Due date serial]],"yyyy-mm")</f>
        <v>2025-10</v>
      </c>
    </row>
    <row r="2082" spans="1:36" ht="15" x14ac:dyDescent="0.25">
      <c r="A2082" s="53" t="s">
        <v>2993</v>
      </c>
      <c r="B2082" s="53" t="s">
        <v>250</v>
      </c>
      <c r="C2082" s="53" t="s">
        <v>1419</v>
      </c>
      <c r="D2082" s="53" t="s">
        <v>1948</v>
      </c>
      <c r="E2082" s="53" t="s">
        <v>200</v>
      </c>
      <c r="F2082" s="53" t="s">
        <v>128</v>
      </c>
      <c r="G2082" s="53" t="s">
        <v>129</v>
      </c>
      <c r="H2082" s="53">
        <v>1</v>
      </c>
      <c r="I2082" s="53" t="s">
        <v>130</v>
      </c>
      <c r="J2082" s="53">
        <v>1</v>
      </c>
      <c r="K2082" s="53">
        <v>0</v>
      </c>
      <c r="L2082" s="53">
        <v>1.8</v>
      </c>
      <c r="M2082" s="53" t="s">
        <v>981</v>
      </c>
      <c r="N2082" s="53">
        <v>2.7</v>
      </c>
      <c r="O2082" s="51" t="str">
        <f>TEXT(tblWorkPackages[[#This Row],[Request date serial]]-WEEKDAY(tblWorkPackages[[#This Row],[Request date serial]],3),"yyyy-mm-dd")</f>
        <v>2024-10-28</v>
      </c>
      <c r="P2082" s="51">
        <f>ABS(tblWorkPackages[[#This Row],[Actual labor hours]]-tblWorkPackages[[#This Row],[Estimated labor hours]])</f>
        <v>0.9</v>
      </c>
      <c r="Q2082" s="51">
        <f>IF(tblWorkPackages[[#This Row],[Actual labor hours]]&gt;tblWorkPackages[[#This Row],[Estimated labor hours]],1,0)</f>
        <v>1</v>
      </c>
      <c r="R2082" s="51">
        <f>tblWorkPackages[[#This Row],[Actual labor hours]]-tblWorkPackages[[#This Row],[Estimated labor hours]]</f>
        <v>0.9</v>
      </c>
      <c r="S2082" s="51" t="str">
        <f>IF(tblWorkPackages[[#This Row],[Request date serial]]&lt;ValidationStart,"Train 2024",IF(tblWorkPackages[[#This Row],[Request date serial]]&lt;HoldoutStart,"Validation H1","Holdout H2"))</f>
        <v>Train 2024</v>
      </c>
      <c r="T2082" s="51" t="str">
        <f>IF(tblWorkPackages[[#This Row],[Time split]]="Train 2024","",tblWorkPackages[[#This Row],[Estimated labor hours]]+VLOOKUP(tblWorkPackages[[#This Row],[Task type]],'Forecast validation'!$A$14:$E$25,IF(tblWorkPackages[[#This Row],[Time split]]="Validation H1",4,5),FALSE()))</f>
        <v/>
      </c>
      <c r="U2082" s="51" t="str">
        <f>IF(tblWorkPackages[[#This Row],[Calibrated forecast hours]]="","",ABS(tblWorkPackages[[#This Row],[Actual labor hours]]-tblWorkPackages[[#This Row],[Calibrated forecast hours]]))</f>
        <v/>
      </c>
      <c r="V2082" s="51">
        <f>IF(tblWorkPackages[[#This Row],[Time split]]="Train 2024",tblWorkPackages[[#This Row],[Estimated labor hours]],tblWorkPackages[[#This Row],[Calibrated forecast hours]])</f>
        <v>1.8</v>
      </c>
      <c r="W2082" s="64">
        <f>DATEVALUE(tblWorkPackages[[#This Row],[Request date]])</f>
        <v>45598.0</v>
      </c>
      <c r="X2082" s="64">
        <f>DATEVALUE(tblWorkPackages[[#This Row],[Due date]])</f>
        <v>45611.0</v>
      </c>
      <c r="Y2082" s="64">
        <f>DATEVALUE(tblWorkPackages[[#This Row],[Completion date]])</f>
        <v>45601.0</v>
      </c>
      <c r="Z2082" s="64">
        <f>_xlfn.MINIFS(tblLaborEntries[Work date serial],tblLaborEntries[Work package ID],tblWorkPackages[[#This Row],[Work package ID]])</f>
        <v>45600.0</v>
      </c>
      <c r="AA2082" s="64">
        <f>_xlfn.MAXIFS(tblLaborEntries[Work date serial],tblLaborEntries[Work package ID],tblWorkPackages[[#This Row],[Work package ID]])</f>
        <v>45601.0</v>
      </c>
      <c r="AB2082" s="65">
        <f>IF(tblWorkPackages[[#This Row],[Completion date serial]]&gt;tblWorkPackages[[#This Row],[Due date serial]],1,0)</f>
        <v>0</v>
      </c>
      <c r="AC2082" s="65">
        <f>MAX(0,tblWorkPackages[[#This Row],[Completion date serial]]-tblWorkPackages[[#This Row],[Due date serial]])</f>
        <v>0</v>
      </c>
      <c r="AD2082" s="65">
        <f>tblWorkPackages[[#This Row],[First labor date]]-tblWorkPackages[[#This Row],[Request date serial]]</f>
        <v>2</v>
      </c>
      <c r="AE2082" s="65">
        <f>tblWorkPackages[[#This Row],[Last labor date]]-tblWorkPackages[[#This Row],[First labor date]]</f>
        <v>1</v>
      </c>
      <c r="AF2082" s="65">
        <f>tblWorkPackages[[#This Row],[Completion date serial]]-tblWorkPackages[[#This Row],[Last labor date]]</f>
        <v>0</v>
      </c>
      <c r="AG2082" s="65">
        <f>tblWorkPackages[[#This Row],[Completion date serial]]-tblWorkPackages[[#This Row],[Request date serial]]</f>
        <v>3</v>
      </c>
      <c r="AH2082" s="65">
        <f>IFERROR(INDEX(tblParts[Delay days],MATCH(tblWorkPackages[[#This Row],[Work package ID]],tblParts[Work package ID],0)),0)</f>
        <v>0</v>
      </c>
      <c r="AI2082" s="51" t="str">
        <f>IFERROR(INDEX(tblDisruptions[Event type],MATCH(tblWorkPackages[[#This Row],[Work package ID]],tblDisruptions[Work package ID],0)),"None")</f>
        <v>None</v>
      </c>
      <c r="AJ2082" s="51" t="str">
        <f>TEXT(tblWorkPackages[[#This Row],[Due date serial]],"yyyy-mm")</f>
        <v>2024-11</v>
      </c>
    </row>
    <row r="2083" spans="1:36" ht="15" x14ac:dyDescent="0.25">
      <c r="A2083" s="53" t="s">
        <v>2994</v>
      </c>
      <c r="B2083" s="53" t="s">
        <v>173</v>
      </c>
      <c r="C2083" s="53" t="s">
        <v>407</v>
      </c>
      <c r="D2083" s="53" t="s">
        <v>703</v>
      </c>
      <c r="E2083" s="53" t="s">
        <v>127</v>
      </c>
      <c r="F2083" s="53" t="s">
        <v>128</v>
      </c>
      <c r="G2083" s="53" t="s">
        <v>129</v>
      </c>
      <c r="H2083" s="53">
        <v>4</v>
      </c>
      <c r="I2083" s="53" t="s">
        <v>130</v>
      </c>
      <c r="J2083" s="53">
        <v>0</v>
      </c>
      <c r="K2083" s="53">
        <v>0</v>
      </c>
      <c r="L2083" s="53">
        <v>13.9</v>
      </c>
      <c r="M2083" s="53" t="s">
        <v>575</v>
      </c>
      <c r="N2083" s="53">
        <v>16.5</v>
      </c>
      <c r="O2083" s="51" t="str">
        <f>TEXT(tblWorkPackages[[#This Row],[Request date serial]]-WEEKDAY(tblWorkPackages[[#This Row],[Request date serial]],3),"yyyy-mm-dd")</f>
        <v>2024-05-27</v>
      </c>
      <c r="P2083" s="51">
        <f>ABS(tblWorkPackages[[#This Row],[Actual labor hours]]-tblWorkPackages[[#This Row],[Estimated labor hours]])</f>
        <v>2.6</v>
      </c>
      <c r="Q2083" s="51">
        <f>IF(tblWorkPackages[[#This Row],[Actual labor hours]]&gt;tblWorkPackages[[#This Row],[Estimated labor hours]],1,0)</f>
        <v>1</v>
      </c>
      <c r="R2083" s="51">
        <f>tblWorkPackages[[#This Row],[Actual labor hours]]-tblWorkPackages[[#This Row],[Estimated labor hours]]</f>
        <v>2.6</v>
      </c>
      <c r="S2083" s="51" t="str">
        <f>IF(tblWorkPackages[[#This Row],[Request date serial]]&lt;ValidationStart,"Train 2024",IF(tblWorkPackages[[#This Row],[Request date serial]]&lt;HoldoutStart,"Validation H1","Holdout H2"))</f>
        <v>Train 2024</v>
      </c>
      <c r="T2083" s="51" t="str">
        <f>IF(tblWorkPackages[[#This Row],[Time split]]="Train 2024","",tblWorkPackages[[#This Row],[Estimated labor hours]]+VLOOKUP(tblWorkPackages[[#This Row],[Task type]],'Forecast validation'!$A$14:$E$25,IF(tblWorkPackages[[#This Row],[Time split]]="Validation H1",4,5),FALSE()))</f>
        <v/>
      </c>
      <c r="U2083" s="51" t="str">
        <f>IF(tblWorkPackages[[#This Row],[Calibrated forecast hours]]="","",ABS(tblWorkPackages[[#This Row],[Actual labor hours]]-tblWorkPackages[[#This Row],[Calibrated forecast hours]]))</f>
        <v/>
      </c>
      <c r="V2083" s="51">
        <f>IF(tblWorkPackages[[#This Row],[Time split]]="Train 2024",tblWorkPackages[[#This Row],[Estimated labor hours]],tblWorkPackages[[#This Row],[Calibrated forecast hours]])</f>
        <v>13.9</v>
      </c>
      <c r="W2083" s="64">
        <f>DATEVALUE(tblWorkPackages[[#This Row],[Request date]])</f>
        <v>45441.0</v>
      </c>
      <c r="X2083" s="64">
        <f>DATEVALUE(tblWorkPackages[[#This Row],[Due date]])</f>
        <v>45454.0</v>
      </c>
      <c r="Y2083" s="64">
        <f>DATEVALUE(tblWorkPackages[[#This Row],[Completion date]])</f>
        <v>45458.0</v>
      </c>
      <c r="Z2083" s="64">
        <f>_xlfn.MINIFS(tblLaborEntries[Work date serial],tblLaborEntries[Work package ID],tblWorkPackages[[#This Row],[Work package ID]])</f>
        <v>45455.0</v>
      </c>
      <c r="AA2083" s="64">
        <f>_xlfn.MAXIFS(tblLaborEntries[Work date serial],tblLaborEntries[Work package ID],tblWorkPackages[[#This Row],[Work package ID]])</f>
        <v>45457.0</v>
      </c>
      <c r="AB2083" s="65">
        <f>IF(tblWorkPackages[[#This Row],[Completion date serial]]&gt;tblWorkPackages[[#This Row],[Due date serial]],1,0)</f>
        <v>1</v>
      </c>
      <c r="AC2083" s="65">
        <f>MAX(0,tblWorkPackages[[#This Row],[Completion date serial]]-tblWorkPackages[[#This Row],[Due date serial]])</f>
        <v>4</v>
      </c>
      <c r="AD2083" s="65">
        <f>tblWorkPackages[[#This Row],[First labor date]]-tblWorkPackages[[#This Row],[Request date serial]]</f>
        <v>14</v>
      </c>
      <c r="AE2083" s="65">
        <f>tblWorkPackages[[#This Row],[Last labor date]]-tblWorkPackages[[#This Row],[First labor date]]</f>
        <v>2</v>
      </c>
      <c r="AF2083" s="65">
        <f>tblWorkPackages[[#This Row],[Completion date serial]]-tblWorkPackages[[#This Row],[Last labor date]]</f>
        <v>1</v>
      </c>
      <c r="AG2083" s="65">
        <f>tblWorkPackages[[#This Row],[Completion date serial]]-tblWorkPackages[[#This Row],[Request date serial]]</f>
        <v>17</v>
      </c>
      <c r="AH2083" s="65">
        <f>IFERROR(INDEX(tblParts[Delay days],MATCH(tblWorkPackages[[#This Row],[Work package ID]],tblParts[Work package ID],0)),0)</f>
        <v>0</v>
      </c>
      <c r="AI2083" s="51" t="str">
        <f>IFERROR(INDEX(tblDisruptions[Event type],MATCH(tblWorkPackages[[#This Row],[Work package ID]],tblDisruptions[Work package ID],0)),"None")</f>
        <v>None</v>
      </c>
      <c r="AJ2083" s="51" t="str">
        <f>TEXT(tblWorkPackages[[#This Row],[Due date serial]],"yyyy-mm")</f>
        <v>2024-06</v>
      </c>
    </row>
    <row r="2084" spans="1:36" ht="15" x14ac:dyDescent="0.25">
      <c r="A2084" s="53" t="s">
        <v>2995</v>
      </c>
      <c r="B2084" s="53" t="s">
        <v>173</v>
      </c>
      <c r="C2084" s="53" t="s">
        <v>559</v>
      </c>
      <c r="D2084" s="53" t="s">
        <v>1427</v>
      </c>
      <c r="E2084" s="53" t="s">
        <v>144</v>
      </c>
      <c r="F2084" s="53" t="s">
        <v>145</v>
      </c>
      <c r="G2084" s="53" t="s">
        <v>146</v>
      </c>
      <c r="H2084" s="53">
        <v>3</v>
      </c>
      <c r="I2084" s="53" t="s">
        <v>130</v>
      </c>
      <c r="J2084" s="53">
        <v>0</v>
      </c>
      <c r="K2084" s="53">
        <v>1</v>
      </c>
      <c r="L2084" s="53">
        <v>12.2</v>
      </c>
      <c r="M2084" s="53" t="s">
        <v>537</v>
      </c>
      <c r="N2084" s="53">
        <v>14.2</v>
      </c>
      <c r="O2084" s="51" t="str">
        <f>TEXT(tblWorkPackages[[#This Row],[Request date serial]]-WEEKDAY(tblWorkPackages[[#This Row],[Request date serial]],3),"yyyy-mm-dd")</f>
        <v>2025-11-10</v>
      </c>
      <c r="P2084" s="51">
        <f>ABS(tblWorkPackages[[#This Row],[Actual labor hours]]-tblWorkPackages[[#This Row],[Estimated labor hours]])</f>
        <v>2</v>
      </c>
      <c r="Q2084" s="51">
        <f>IF(tblWorkPackages[[#This Row],[Actual labor hours]]&gt;tblWorkPackages[[#This Row],[Estimated labor hours]],1,0)</f>
        <v>1</v>
      </c>
      <c r="R2084" s="51">
        <f>tblWorkPackages[[#This Row],[Actual labor hours]]-tblWorkPackages[[#This Row],[Estimated labor hours]]</f>
        <v>2</v>
      </c>
      <c r="S2084" s="51" t="str">
        <f>IF(tblWorkPackages[[#This Row],[Request date serial]]&lt;ValidationStart,"Train 2024",IF(tblWorkPackages[[#This Row],[Request date serial]]&lt;HoldoutStart,"Validation H1","Holdout H2"))</f>
        <v>Holdout H2</v>
      </c>
      <c r="T2084" s="51">
        <f>IF(tblWorkPackages[[#This Row],[Time split]]="Train 2024","",tblWorkPackages[[#This Row],[Estimated labor hours]]+VLOOKUP(tblWorkPackages[[#This Row],[Task type]],'Forecast validation'!$A$14:$E$25,IF(tblWorkPackages[[#This Row],[Time split]]="Validation H1",4,5),FALSE()))</f>
        <v>13.1735483870968</v>
      </c>
      <c r="U2084" s="51">
        <f>IF(tblWorkPackages[[#This Row],[Calibrated forecast hours]]="","",ABS(tblWorkPackages[[#This Row],[Actual labor hours]]-tblWorkPackages[[#This Row],[Calibrated forecast hours]]))</f>
        <v>1.02645161290323</v>
      </c>
      <c r="V2084" s="51">
        <f>IF(tblWorkPackages[[#This Row],[Time split]]="Train 2024",tblWorkPackages[[#This Row],[Estimated labor hours]],tblWorkPackages[[#This Row],[Calibrated forecast hours]])</f>
        <v>13.1735483870968</v>
      </c>
      <c r="W2084" s="64">
        <f>DATEVALUE(tblWorkPackages[[#This Row],[Request date]])</f>
        <v>45974.0</v>
      </c>
      <c r="X2084" s="64">
        <f>DATEVALUE(tblWorkPackages[[#This Row],[Due date]])</f>
        <v>45987.0</v>
      </c>
      <c r="Y2084" s="64">
        <f>DATEVALUE(tblWorkPackages[[#This Row],[Completion date]])</f>
        <v>45979.0</v>
      </c>
      <c r="Z2084" s="64">
        <f>_xlfn.MINIFS(tblLaborEntries[Work date serial],tblLaborEntries[Work package ID],tblWorkPackages[[#This Row],[Work package ID]])</f>
        <v>45977.0</v>
      </c>
      <c r="AA2084" s="64">
        <f>_xlfn.MAXIFS(tblLaborEntries[Work date serial],tblLaborEntries[Work package ID],tblWorkPackages[[#This Row],[Work package ID]])</f>
        <v>45977.0</v>
      </c>
      <c r="AB2084" s="65">
        <f>IF(tblWorkPackages[[#This Row],[Completion date serial]]&gt;tblWorkPackages[[#This Row],[Due date serial]],1,0)</f>
        <v>0</v>
      </c>
      <c r="AC2084" s="65">
        <f>MAX(0,tblWorkPackages[[#This Row],[Completion date serial]]-tblWorkPackages[[#This Row],[Due date serial]])</f>
        <v>0</v>
      </c>
      <c r="AD2084" s="65">
        <f>tblWorkPackages[[#This Row],[First labor date]]-tblWorkPackages[[#This Row],[Request date serial]]</f>
        <v>3</v>
      </c>
      <c r="AE2084" s="65">
        <f>tblWorkPackages[[#This Row],[Last labor date]]-tblWorkPackages[[#This Row],[First labor date]]</f>
        <v>0</v>
      </c>
      <c r="AF2084" s="65">
        <f>tblWorkPackages[[#This Row],[Completion date serial]]-tblWorkPackages[[#This Row],[Last labor date]]</f>
        <v>2</v>
      </c>
      <c r="AG2084" s="65">
        <f>tblWorkPackages[[#This Row],[Completion date serial]]-tblWorkPackages[[#This Row],[Request date serial]]</f>
        <v>5</v>
      </c>
      <c r="AH2084" s="65">
        <f>IFERROR(INDEX(tblParts[Delay days],MATCH(tblWorkPackages[[#This Row],[Work package ID]],tblParts[Work package ID],0)),0)</f>
        <v>0</v>
      </c>
      <c r="AI2084" s="51" t="str">
        <f>IFERROR(INDEX(tblDisruptions[Event type],MATCH(tblWorkPackages[[#This Row],[Work package ID]],tblDisruptions[Work package ID],0)),"None")</f>
        <v>None</v>
      </c>
      <c r="AJ2084" s="51" t="str">
        <f>TEXT(tblWorkPackages[[#This Row],[Due date serial]],"yyyy-mm")</f>
        <v>2025-11</v>
      </c>
    </row>
    <row r="2085" spans="1:36" ht="15" x14ac:dyDescent="0.25">
      <c r="A2085" s="53" t="s">
        <v>2996</v>
      </c>
      <c r="B2085" s="53" t="s">
        <v>157</v>
      </c>
      <c r="C2085" s="53" t="s">
        <v>415</v>
      </c>
      <c r="D2085" s="53" t="s">
        <v>285</v>
      </c>
      <c r="E2085" s="53" t="s">
        <v>181</v>
      </c>
      <c r="F2085" s="53" t="s">
        <v>182</v>
      </c>
      <c r="G2085" s="53" t="s">
        <v>138</v>
      </c>
      <c r="H2085" s="53">
        <v>2</v>
      </c>
      <c r="I2085" s="53" t="s">
        <v>130</v>
      </c>
      <c r="J2085" s="53">
        <v>0</v>
      </c>
      <c r="K2085" s="53">
        <v>0</v>
      </c>
      <c r="L2085" s="53">
        <v>6.3</v>
      </c>
      <c r="M2085" s="53" t="s">
        <v>421</v>
      </c>
      <c r="N2085" s="53">
        <v>6</v>
      </c>
      <c r="O2085" s="51" t="str">
        <f>TEXT(tblWorkPackages[[#This Row],[Request date serial]]-WEEKDAY(tblWorkPackages[[#This Row],[Request date serial]],3),"yyyy-mm-dd")</f>
        <v>2025-09-01</v>
      </c>
      <c r="P2085" s="51">
        <f>ABS(tblWorkPackages[[#This Row],[Actual labor hours]]-tblWorkPackages[[#This Row],[Estimated labor hours]])</f>
        <v>0.3</v>
      </c>
      <c r="Q2085" s="51">
        <f>IF(tblWorkPackages[[#This Row],[Actual labor hours]]&gt;tblWorkPackages[[#This Row],[Estimated labor hours]],1,0)</f>
        <v>0</v>
      </c>
      <c r="R2085" s="51">
        <f>tblWorkPackages[[#This Row],[Actual labor hours]]-tblWorkPackages[[#This Row],[Estimated labor hours]]</f>
        <v>-0.3</v>
      </c>
      <c r="S2085" s="51" t="str">
        <f>IF(tblWorkPackages[[#This Row],[Request date serial]]&lt;ValidationStart,"Train 2024",IF(tblWorkPackages[[#This Row],[Request date serial]]&lt;HoldoutStart,"Validation H1","Holdout H2"))</f>
        <v>Holdout H2</v>
      </c>
      <c r="T2085" s="51">
        <f>IF(tblWorkPackages[[#This Row],[Time split]]="Train 2024","",tblWorkPackages[[#This Row],[Estimated labor hours]]+VLOOKUP(tblWorkPackages[[#This Row],[Task type]],'Forecast validation'!$A$14:$E$25,IF(tblWorkPackages[[#This Row],[Time split]]="Validation H1",4,5),FALSE()))</f>
        <v>6.89160839160839</v>
      </c>
      <c r="U2085" s="51">
        <f>IF(tblWorkPackages[[#This Row],[Calibrated forecast hours]]="","",ABS(tblWorkPackages[[#This Row],[Actual labor hours]]-tblWorkPackages[[#This Row],[Calibrated forecast hours]]))</f>
        <v>0.891608391608392</v>
      </c>
      <c r="V2085" s="51">
        <f>IF(tblWorkPackages[[#This Row],[Time split]]="Train 2024",tblWorkPackages[[#This Row],[Estimated labor hours]],tblWorkPackages[[#This Row],[Calibrated forecast hours]])</f>
        <v>6.89160839160839</v>
      </c>
      <c r="W2085" s="64">
        <f>DATEVALUE(tblWorkPackages[[#This Row],[Request date]])</f>
        <v>45902.0</v>
      </c>
      <c r="X2085" s="64">
        <f>DATEVALUE(tblWorkPackages[[#This Row],[Due date]])</f>
        <v>45915.0</v>
      </c>
      <c r="Y2085" s="64">
        <f>DATEVALUE(tblWorkPackages[[#This Row],[Completion date]])</f>
        <v>45960.0</v>
      </c>
      <c r="Z2085" s="64">
        <f>_xlfn.MINIFS(tblLaborEntries[Work date serial],tblLaborEntries[Work package ID],tblWorkPackages[[#This Row],[Work package ID]])</f>
        <v>45955.0</v>
      </c>
      <c r="AA2085" s="64">
        <f>_xlfn.MAXIFS(tblLaborEntries[Work date serial],tblLaborEntries[Work package ID],tblWorkPackages[[#This Row],[Work package ID]])</f>
        <v>45957.0</v>
      </c>
      <c r="AB2085" s="65">
        <f>IF(tblWorkPackages[[#This Row],[Completion date serial]]&gt;tblWorkPackages[[#This Row],[Due date serial]],1,0)</f>
        <v>1</v>
      </c>
      <c r="AC2085" s="65">
        <f>MAX(0,tblWorkPackages[[#This Row],[Completion date serial]]-tblWorkPackages[[#This Row],[Due date serial]])</f>
        <v>45</v>
      </c>
      <c r="AD2085" s="65">
        <f>tblWorkPackages[[#This Row],[First labor date]]-tblWorkPackages[[#This Row],[Request date serial]]</f>
        <v>53</v>
      </c>
      <c r="AE2085" s="65">
        <f>tblWorkPackages[[#This Row],[Last labor date]]-tblWorkPackages[[#This Row],[First labor date]]</f>
        <v>2</v>
      </c>
      <c r="AF2085" s="65">
        <f>tblWorkPackages[[#This Row],[Completion date serial]]-tblWorkPackages[[#This Row],[Last labor date]]</f>
        <v>3</v>
      </c>
      <c r="AG2085" s="65">
        <f>tblWorkPackages[[#This Row],[Completion date serial]]-tblWorkPackages[[#This Row],[Request date serial]]</f>
        <v>58</v>
      </c>
      <c r="AH2085" s="65">
        <f>IFERROR(INDEX(tblParts[Delay days],MATCH(tblWorkPackages[[#This Row],[Work package ID]],tblParts[Work package ID],0)),0)</f>
        <v>0</v>
      </c>
      <c r="AI2085" s="51" t="str">
        <f>IFERROR(INDEX(tblDisruptions[Event type],MATCH(tblWorkPackages[[#This Row],[Work package ID]],tblDisruptions[Work package ID],0)),"None")</f>
        <v>None</v>
      </c>
      <c r="AJ2085" s="51" t="str">
        <f>TEXT(tblWorkPackages[[#This Row],[Due date serial]],"yyyy-mm")</f>
        <v>2025-09</v>
      </c>
    </row>
    <row r="2086" spans="1:36" ht="15" x14ac:dyDescent="0.25">
      <c r="A2086" s="53" t="s">
        <v>2997</v>
      </c>
      <c r="B2086" s="53" t="s">
        <v>133</v>
      </c>
      <c r="C2086" s="53" t="s">
        <v>1081</v>
      </c>
      <c r="D2086" s="53" t="s">
        <v>468</v>
      </c>
      <c r="E2086" s="53" t="s">
        <v>144</v>
      </c>
      <c r="F2086" s="53" t="s">
        <v>145</v>
      </c>
      <c r="G2086" s="53" t="s">
        <v>146</v>
      </c>
      <c r="H2086" s="53">
        <v>2</v>
      </c>
      <c r="I2086" s="53" t="s">
        <v>176</v>
      </c>
      <c r="J2086" s="53">
        <v>0</v>
      </c>
      <c r="K2086" s="53">
        <v>1</v>
      </c>
      <c r="L2086" s="53">
        <v>11.2</v>
      </c>
      <c r="M2086" s="53" t="s">
        <v>916</v>
      </c>
      <c r="N2086" s="53">
        <v>9.1</v>
      </c>
      <c r="O2086" s="51" t="str">
        <f>TEXT(tblWorkPackages[[#This Row],[Request date serial]]-WEEKDAY(tblWorkPackages[[#This Row],[Request date serial]],3),"yyyy-mm-dd")</f>
        <v>2025-04-21</v>
      </c>
      <c r="P2086" s="51">
        <f>ABS(tblWorkPackages[[#This Row],[Actual labor hours]]-tblWorkPackages[[#This Row],[Estimated labor hours]])</f>
        <v>2.1</v>
      </c>
      <c r="Q2086" s="51">
        <f>IF(tblWorkPackages[[#This Row],[Actual labor hours]]&gt;tblWorkPackages[[#This Row],[Estimated labor hours]],1,0)</f>
        <v>0</v>
      </c>
      <c r="R2086" s="51">
        <f>tblWorkPackages[[#This Row],[Actual labor hours]]-tblWorkPackages[[#This Row],[Estimated labor hours]]</f>
        <v>-2.1</v>
      </c>
      <c r="S2086" s="51" t="str">
        <f>IF(tblWorkPackages[[#This Row],[Request date serial]]&lt;ValidationStart,"Train 2024",IF(tblWorkPackages[[#This Row],[Request date serial]]&lt;HoldoutStart,"Validation H1","Holdout H2"))</f>
        <v>Validation H1</v>
      </c>
      <c r="T2086" s="51">
        <f>IF(tblWorkPackages[[#This Row],[Time split]]="Train 2024","",tblWorkPackages[[#This Row],[Estimated labor hours]]+VLOOKUP(tblWorkPackages[[#This Row],[Task type]],'Forecast validation'!$A$14:$E$25,IF(tblWorkPackages[[#This Row],[Time split]]="Validation H1",4,5),FALSE()))</f>
        <v>11.9547368421053</v>
      </c>
      <c r="U2086" s="51">
        <f>IF(tblWorkPackages[[#This Row],[Calibrated forecast hours]]="","",ABS(tblWorkPackages[[#This Row],[Actual labor hours]]-tblWorkPackages[[#This Row],[Calibrated forecast hours]]))</f>
        <v>2.85473684210526</v>
      </c>
      <c r="V2086" s="51">
        <f>IF(tblWorkPackages[[#This Row],[Time split]]="Train 2024",tblWorkPackages[[#This Row],[Estimated labor hours]],tblWorkPackages[[#This Row],[Calibrated forecast hours]])</f>
        <v>11.9547368421053</v>
      </c>
      <c r="W2086" s="64">
        <f>DATEVALUE(tblWorkPackages[[#This Row],[Request date]])</f>
        <v>45769.0</v>
      </c>
      <c r="X2086" s="64">
        <f>DATEVALUE(tblWorkPackages[[#This Row],[Due date]])</f>
        <v>45775.0</v>
      </c>
      <c r="Y2086" s="64">
        <f>DATEVALUE(tblWorkPackages[[#This Row],[Completion date]])</f>
        <v>45777.0</v>
      </c>
      <c r="Z2086" s="64">
        <f>_xlfn.MINIFS(tblLaborEntries[Work date serial],tblLaborEntries[Work package ID],tblWorkPackages[[#This Row],[Work package ID]])</f>
        <v>45777.0</v>
      </c>
      <c r="AA2086" s="64">
        <f>_xlfn.MAXIFS(tblLaborEntries[Work date serial],tblLaborEntries[Work package ID],tblWorkPackages[[#This Row],[Work package ID]])</f>
        <v>45777.0</v>
      </c>
      <c r="AB2086" s="65">
        <f>IF(tblWorkPackages[[#This Row],[Completion date serial]]&gt;tblWorkPackages[[#This Row],[Due date serial]],1,0)</f>
        <v>1</v>
      </c>
      <c r="AC2086" s="65">
        <f>MAX(0,tblWorkPackages[[#This Row],[Completion date serial]]-tblWorkPackages[[#This Row],[Due date serial]])</f>
        <v>2</v>
      </c>
      <c r="AD2086" s="65">
        <f>tblWorkPackages[[#This Row],[First labor date]]-tblWorkPackages[[#This Row],[Request date serial]]</f>
        <v>8</v>
      </c>
      <c r="AE2086" s="65">
        <f>tblWorkPackages[[#This Row],[Last labor date]]-tblWorkPackages[[#This Row],[First labor date]]</f>
        <v>0</v>
      </c>
      <c r="AF2086" s="65">
        <f>tblWorkPackages[[#This Row],[Completion date serial]]-tblWorkPackages[[#This Row],[Last labor date]]</f>
        <v>0</v>
      </c>
      <c r="AG2086" s="65">
        <f>tblWorkPackages[[#This Row],[Completion date serial]]-tblWorkPackages[[#This Row],[Request date serial]]</f>
        <v>8</v>
      </c>
      <c r="AH2086" s="65">
        <f>IFERROR(INDEX(tblParts[Delay days],MATCH(tblWorkPackages[[#This Row],[Work package ID]],tblParts[Work package ID],0)),0)</f>
        <v>0</v>
      </c>
      <c r="AI2086" s="51" t="str">
        <f>IFERROR(INDEX(tblDisruptions[Event type],MATCH(tblWorkPackages[[#This Row],[Work package ID]],tblDisruptions[Work package ID],0)),"None")</f>
        <v>None</v>
      </c>
      <c r="AJ2086" s="51" t="str">
        <f>TEXT(tblWorkPackages[[#This Row],[Due date serial]],"yyyy-mm")</f>
        <v>2025-04</v>
      </c>
    </row>
    <row r="2087" spans="1:36" ht="15" x14ac:dyDescent="0.25">
      <c r="A2087" s="53" t="s">
        <v>2998</v>
      </c>
      <c r="B2087" s="53" t="s">
        <v>163</v>
      </c>
      <c r="C2087" s="53" t="s">
        <v>615</v>
      </c>
      <c r="D2087" s="53" t="s">
        <v>616</v>
      </c>
      <c r="E2087" s="53" t="s">
        <v>160</v>
      </c>
      <c r="F2087" s="53" t="s">
        <v>128</v>
      </c>
      <c r="G2087" s="53" t="s">
        <v>138</v>
      </c>
      <c r="H2087" s="53">
        <v>3</v>
      </c>
      <c r="I2087" s="53" t="s">
        <v>130</v>
      </c>
      <c r="J2087" s="53">
        <v>0</v>
      </c>
      <c r="K2087" s="53">
        <v>1</v>
      </c>
      <c r="L2087" s="53">
        <v>6</v>
      </c>
      <c r="M2087" s="53" t="s">
        <v>1315</v>
      </c>
      <c r="N2087" s="53">
        <v>4.7</v>
      </c>
      <c r="O2087" s="51" t="str">
        <f>TEXT(tblWorkPackages[[#This Row],[Request date serial]]-WEEKDAY(tblWorkPackages[[#This Row],[Request date serial]],3),"yyyy-mm-dd")</f>
        <v>2024-01-22</v>
      </c>
      <c r="P2087" s="51">
        <f>ABS(tblWorkPackages[[#This Row],[Actual labor hours]]-tblWorkPackages[[#This Row],[Estimated labor hours]])</f>
        <v>1.3</v>
      </c>
      <c r="Q2087" s="51">
        <f>IF(tblWorkPackages[[#This Row],[Actual labor hours]]&gt;tblWorkPackages[[#This Row],[Estimated labor hours]],1,0)</f>
        <v>0</v>
      </c>
      <c r="R2087" s="51">
        <f>tblWorkPackages[[#This Row],[Actual labor hours]]-tblWorkPackages[[#This Row],[Estimated labor hours]]</f>
        <v>-1.3</v>
      </c>
      <c r="S2087" s="51" t="str">
        <f>IF(tblWorkPackages[[#This Row],[Request date serial]]&lt;ValidationStart,"Train 2024",IF(tblWorkPackages[[#This Row],[Request date serial]]&lt;HoldoutStart,"Validation H1","Holdout H2"))</f>
        <v>Train 2024</v>
      </c>
      <c r="T2087" s="51" t="str">
        <f>IF(tblWorkPackages[[#This Row],[Time split]]="Train 2024","",tblWorkPackages[[#This Row],[Estimated labor hours]]+VLOOKUP(tblWorkPackages[[#This Row],[Task type]],'Forecast validation'!$A$14:$E$25,IF(tblWorkPackages[[#This Row],[Time split]]="Validation H1",4,5),FALSE()))</f>
        <v/>
      </c>
      <c r="U2087" s="51" t="str">
        <f>IF(tblWorkPackages[[#This Row],[Calibrated forecast hours]]="","",ABS(tblWorkPackages[[#This Row],[Actual labor hours]]-tblWorkPackages[[#This Row],[Calibrated forecast hours]]))</f>
        <v/>
      </c>
      <c r="V2087" s="51">
        <f>IF(tblWorkPackages[[#This Row],[Time split]]="Train 2024",tblWorkPackages[[#This Row],[Estimated labor hours]],tblWorkPackages[[#This Row],[Calibrated forecast hours]])</f>
        <v>6</v>
      </c>
      <c r="W2087" s="64">
        <f>DATEVALUE(tblWorkPackages[[#This Row],[Request date]])</f>
        <v>45316.0</v>
      </c>
      <c r="X2087" s="64">
        <f>DATEVALUE(tblWorkPackages[[#This Row],[Due date]])</f>
        <v>45329.0</v>
      </c>
      <c r="Y2087" s="64">
        <f>DATEVALUE(tblWorkPackages[[#This Row],[Completion date]])</f>
        <v>45320.0</v>
      </c>
      <c r="Z2087" s="64">
        <f>_xlfn.MINIFS(tblLaborEntries[Work date serial],tblLaborEntries[Work package ID],tblWorkPackages[[#This Row],[Work package ID]])</f>
        <v>45318.0</v>
      </c>
      <c r="AA2087" s="64">
        <f>_xlfn.MAXIFS(tblLaborEntries[Work date serial],tblLaborEntries[Work package ID],tblWorkPackages[[#This Row],[Work package ID]])</f>
        <v>45319.0</v>
      </c>
      <c r="AB2087" s="65">
        <f>IF(tblWorkPackages[[#This Row],[Completion date serial]]&gt;tblWorkPackages[[#This Row],[Due date serial]],1,0)</f>
        <v>0</v>
      </c>
      <c r="AC2087" s="65">
        <f>MAX(0,tblWorkPackages[[#This Row],[Completion date serial]]-tblWorkPackages[[#This Row],[Due date serial]])</f>
        <v>0</v>
      </c>
      <c r="AD2087" s="65">
        <f>tblWorkPackages[[#This Row],[First labor date]]-tblWorkPackages[[#This Row],[Request date serial]]</f>
        <v>2</v>
      </c>
      <c r="AE2087" s="65">
        <f>tblWorkPackages[[#This Row],[Last labor date]]-tblWorkPackages[[#This Row],[First labor date]]</f>
        <v>1</v>
      </c>
      <c r="AF2087" s="65">
        <f>tblWorkPackages[[#This Row],[Completion date serial]]-tblWorkPackages[[#This Row],[Last labor date]]</f>
        <v>1</v>
      </c>
      <c r="AG2087" s="65">
        <f>tblWorkPackages[[#This Row],[Completion date serial]]-tblWorkPackages[[#This Row],[Request date serial]]</f>
        <v>4</v>
      </c>
      <c r="AH2087" s="65">
        <f>IFERROR(INDEX(tblParts[Delay days],MATCH(tblWorkPackages[[#This Row],[Work package ID]],tblParts[Work package ID],0)),0)</f>
        <v>0</v>
      </c>
      <c r="AI2087" s="51" t="str">
        <f>IFERROR(INDEX(tblDisruptions[Event type],MATCH(tblWorkPackages[[#This Row],[Work package ID]],tblDisruptions[Work package ID],0)),"None")</f>
        <v>None</v>
      </c>
      <c r="AJ2087" s="51" t="str">
        <f>TEXT(tblWorkPackages[[#This Row],[Due date serial]],"yyyy-mm")</f>
        <v>2024-02</v>
      </c>
    </row>
    <row r="2088" spans="1:36" ht="15" x14ac:dyDescent="0.25">
      <c r="A2088" s="53" t="s">
        <v>2999</v>
      </c>
      <c r="B2088" s="53" t="s">
        <v>141</v>
      </c>
      <c r="C2088" s="53" t="s">
        <v>1314</v>
      </c>
      <c r="D2088" s="53" t="s">
        <v>214</v>
      </c>
      <c r="E2088" s="53" t="s">
        <v>272</v>
      </c>
      <c r="F2088" s="53" t="s">
        <v>145</v>
      </c>
      <c r="G2088" s="53" t="s">
        <v>273</v>
      </c>
      <c r="H2088" s="53">
        <v>4</v>
      </c>
      <c r="I2088" s="53" t="s">
        <v>147</v>
      </c>
      <c r="J2088" s="53">
        <v>0</v>
      </c>
      <c r="K2088" s="53">
        <v>1</v>
      </c>
      <c r="L2088" s="53">
        <v>20.8</v>
      </c>
      <c r="M2088" s="53" t="s">
        <v>1457</v>
      </c>
      <c r="N2088" s="53">
        <v>17.899999999999999</v>
      </c>
      <c r="O2088" s="51" t="str">
        <f>TEXT(tblWorkPackages[[#This Row],[Request date serial]]-WEEKDAY(tblWorkPackages[[#This Row],[Request date serial]],3),"yyyy-mm-dd")</f>
        <v>2024-01-15</v>
      </c>
      <c r="P2088" s="51">
        <f>ABS(tblWorkPackages[[#This Row],[Actual labor hours]]-tblWorkPackages[[#This Row],[Estimated labor hours]])</f>
        <v>2.9</v>
      </c>
      <c r="Q2088" s="51">
        <f>IF(tblWorkPackages[[#This Row],[Actual labor hours]]&gt;tblWorkPackages[[#This Row],[Estimated labor hours]],1,0)</f>
        <v>0</v>
      </c>
      <c r="R2088" s="51">
        <f>tblWorkPackages[[#This Row],[Actual labor hours]]-tblWorkPackages[[#This Row],[Estimated labor hours]]</f>
        <v>-2.9</v>
      </c>
      <c r="S2088" s="51" t="str">
        <f>IF(tblWorkPackages[[#This Row],[Request date serial]]&lt;ValidationStart,"Train 2024",IF(tblWorkPackages[[#This Row],[Request date serial]]&lt;HoldoutStart,"Validation H1","Holdout H2"))</f>
        <v>Train 2024</v>
      </c>
      <c r="T2088" s="51" t="str">
        <f>IF(tblWorkPackages[[#This Row],[Time split]]="Train 2024","",tblWorkPackages[[#This Row],[Estimated labor hours]]+VLOOKUP(tblWorkPackages[[#This Row],[Task type]],'Forecast validation'!$A$14:$E$25,IF(tblWorkPackages[[#This Row],[Time split]]="Validation H1",4,5),FALSE()))</f>
        <v/>
      </c>
      <c r="U2088" s="51" t="str">
        <f>IF(tblWorkPackages[[#This Row],[Calibrated forecast hours]]="","",ABS(tblWorkPackages[[#This Row],[Actual labor hours]]-tblWorkPackages[[#This Row],[Calibrated forecast hours]]))</f>
        <v/>
      </c>
      <c r="V2088" s="51">
        <f>IF(tblWorkPackages[[#This Row],[Time split]]="Train 2024",tblWorkPackages[[#This Row],[Estimated labor hours]],tblWorkPackages[[#This Row],[Calibrated forecast hours]])</f>
        <v>20.8</v>
      </c>
      <c r="W2088" s="64">
        <f>DATEVALUE(tblWorkPackages[[#This Row],[Request date]])</f>
        <v>45309.0</v>
      </c>
      <c r="X2088" s="64">
        <f>DATEVALUE(tblWorkPackages[[#This Row],[Due date]])</f>
        <v>45311.0</v>
      </c>
      <c r="Y2088" s="64">
        <f>DATEVALUE(tblWorkPackages[[#This Row],[Completion date]])</f>
        <v>45334.0</v>
      </c>
      <c r="Z2088" s="64">
        <f>_xlfn.MINIFS(tblLaborEntries[Work date serial],tblLaborEntries[Work package ID],tblWorkPackages[[#This Row],[Work package ID]])</f>
        <v>45330.0</v>
      </c>
      <c r="AA2088" s="64">
        <f>_xlfn.MAXIFS(tblLaborEntries[Work date serial],tblLaborEntries[Work package ID],tblWorkPackages[[#This Row],[Work package ID]])</f>
        <v>45332.0</v>
      </c>
      <c r="AB2088" s="65">
        <f>IF(tblWorkPackages[[#This Row],[Completion date serial]]&gt;tblWorkPackages[[#This Row],[Due date serial]],1,0)</f>
        <v>1</v>
      </c>
      <c r="AC2088" s="65">
        <f>MAX(0,tblWorkPackages[[#This Row],[Completion date serial]]-tblWorkPackages[[#This Row],[Due date serial]])</f>
        <v>23</v>
      </c>
      <c r="AD2088" s="65">
        <f>tblWorkPackages[[#This Row],[First labor date]]-tblWorkPackages[[#This Row],[Request date serial]]</f>
        <v>21</v>
      </c>
      <c r="AE2088" s="65">
        <f>tblWorkPackages[[#This Row],[Last labor date]]-tblWorkPackages[[#This Row],[First labor date]]</f>
        <v>2</v>
      </c>
      <c r="AF2088" s="65">
        <f>tblWorkPackages[[#This Row],[Completion date serial]]-tblWorkPackages[[#This Row],[Last labor date]]</f>
        <v>2</v>
      </c>
      <c r="AG2088" s="65">
        <f>tblWorkPackages[[#This Row],[Completion date serial]]-tblWorkPackages[[#This Row],[Request date serial]]</f>
        <v>25</v>
      </c>
      <c r="AH2088" s="65">
        <f>IFERROR(INDEX(tblParts[Delay days],MATCH(tblWorkPackages[[#This Row],[Work package ID]],tblParts[Work package ID],0)),0)</f>
        <v>0</v>
      </c>
      <c r="AI2088" s="51" t="str">
        <f>IFERROR(INDEX(tblDisruptions[Event type],MATCH(tblWorkPackages[[#This Row],[Work package ID]],tblDisruptions[Work package ID],0)),"None")</f>
        <v>None</v>
      </c>
      <c r="AJ2088" s="51" t="str">
        <f>TEXT(tblWorkPackages[[#This Row],[Due date serial]],"yyyy-mm")</f>
        <v>2024-01</v>
      </c>
    </row>
    <row r="2089" spans="1:36" ht="15" x14ac:dyDescent="0.25">
      <c r="A2089" s="53" t="s">
        <v>3000</v>
      </c>
      <c r="B2089" s="53" t="s">
        <v>150</v>
      </c>
      <c r="C2089" s="53" t="s">
        <v>412</v>
      </c>
      <c r="D2089" s="53" t="s">
        <v>827</v>
      </c>
      <c r="E2089" s="53" t="s">
        <v>153</v>
      </c>
      <c r="F2089" s="53" t="s">
        <v>128</v>
      </c>
      <c r="G2089" s="53" t="s">
        <v>154</v>
      </c>
      <c r="H2089" s="53">
        <v>3</v>
      </c>
      <c r="I2089" s="53" t="s">
        <v>176</v>
      </c>
      <c r="J2089" s="53">
        <v>0</v>
      </c>
      <c r="K2089" s="53">
        <v>0</v>
      </c>
      <c r="L2089" s="53">
        <v>14.5</v>
      </c>
      <c r="M2089" s="53" t="s">
        <v>606</v>
      </c>
      <c r="N2089" s="53">
        <v>15.2</v>
      </c>
      <c r="O2089" s="51" t="str">
        <f>TEXT(tblWorkPackages[[#This Row],[Request date serial]]-WEEKDAY(tblWorkPackages[[#This Row],[Request date serial]],3),"yyyy-mm-dd")</f>
        <v>2025-02-24</v>
      </c>
      <c r="P2089" s="51">
        <f>ABS(tblWorkPackages[[#This Row],[Actual labor hours]]-tblWorkPackages[[#This Row],[Estimated labor hours]])</f>
        <v>0.699999999999999</v>
      </c>
      <c r="Q2089" s="51">
        <f>IF(tblWorkPackages[[#This Row],[Actual labor hours]]&gt;tblWorkPackages[[#This Row],[Estimated labor hours]],1,0)</f>
        <v>1</v>
      </c>
      <c r="R2089" s="51">
        <f>tblWorkPackages[[#This Row],[Actual labor hours]]-tblWorkPackages[[#This Row],[Estimated labor hours]]</f>
        <v>0.699999999999999</v>
      </c>
      <c r="S2089" s="51" t="str">
        <f>IF(tblWorkPackages[[#This Row],[Request date serial]]&lt;ValidationStart,"Train 2024",IF(tblWorkPackages[[#This Row],[Request date serial]]&lt;HoldoutStart,"Validation H1","Holdout H2"))</f>
        <v>Validation H1</v>
      </c>
      <c r="T2089" s="51">
        <f>IF(tblWorkPackages[[#This Row],[Time split]]="Train 2024","",tblWorkPackages[[#This Row],[Estimated labor hours]]+VLOOKUP(tblWorkPackages[[#This Row],[Task type]],'Forecast validation'!$A$14:$E$25,IF(tblWorkPackages[[#This Row],[Time split]]="Validation H1",4,5),FALSE()))</f>
        <v>15.0462264150943</v>
      </c>
      <c r="U2089" s="51">
        <f>IF(tblWorkPackages[[#This Row],[Calibrated forecast hours]]="","",ABS(tblWorkPackages[[#This Row],[Actual labor hours]]-tblWorkPackages[[#This Row],[Calibrated forecast hours]]))</f>
        <v>0.153773584905659</v>
      </c>
      <c r="V2089" s="51">
        <f>IF(tblWorkPackages[[#This Row],[Time split]]="Train 2024",tblWorkPackages[[#This Row],[Estimated labor hours]],tblWorkPackages[[#This Row],[Calibrated forecast hours]])</f>
        <v>15.0462264150943</v>
      </c>
      <c r="W2089" s="64">
        <f>DATEVALUE(tblWorkPackages[[#This Row],[Request date]])</f>
        <v>45712.0</v>
      </c>
      <c r="X2089" s="64">
        <f>DATEVALUE(tblWorkPackages[[#This Row],[Due date]])</f>
        <v>45718.0</v>
      </c>
      <c r="Y2089" s="64">
        <f>DATEVALUE(tblWorkPackages[[#This Row],[Completion date]])</f>
        <v>45721.0</v>
      </c>
      <c r="Z2089" s="64">
        <f>_xlfn.MINIFS(tblLaborEntries[Work date serial],tblLaborEntries[Work package ID],tblWorkPackages[[#This Row],[Work package ID]])</f>
        <v>45716.0</v>
      </c>
      <c r="AA2089" s="64">
        <f>_xlfn.MAXIFS(tblLaborEntries[Work date serial],tblLaborEntries[Work package ID],tblWorkPackages[[#This Row],[Work package ID]])</f>
        <v>45718.0</v>
      </c>
      <c r="AB2089" s="65">
        <f>IF(tblWorkPackages[[#This Row],[Completion date serial]]&gt;tblWorkPackages[[#This Row],[Due date serial]],1,0)</f>
        <v>1</v>
      </c>
      <c r="AC2089" s="65">
        <f>MAX(0,tblWorkPackages[[#This Row],[Completion date serial]]-tblWorkPackages[[#This Row],[Due date serial]])</f>
        <v>3</v>
      </c>
      <c r="AD2089" s="65">
        <f>tblWorkPackages[[#This Row],[First labor date]]-tblWorkPackages[[#This Row],[Request date serial]]</f>
        <v>4</v>
      </c>
      <c r="AE2089" s="65">
        <f>tblWorkPackages[[#This Row],[Last labor date]]-tblWorkPackages[[#This Row],[First labor date]]</f>
        <v>2</v>
      </c>
      <c r="AF2089" s="65">
        <f>tblWorkPackages[[#This Row],[Completion date serial]]-tblWorkPackages[[#This Row],[Last labor date]]</f>
        <v>3</v>
      </c>
      <c r="AG2089" s="65">
        <f>tblWorkPackages[[#This Row],[Completion date serial]]-tblWorkPackages[[#This Row],[Request date serial]]</f>
        <v>9</v>
      </c>
      <c r="AH2089" s="65">
        <f>IFERROR(INDEX(tblParts[Delay days],MATCH(tblWorkPackages[[#This Row],[Work package ID]],tblParts[Work package ID],0)),0)</f>
        <v>0</v>
      </c>
      <c r="AI2089" s="51" t="str">
        <f>IFERROR(INDEX(tblDisruptions[Event type],MATCH(tblWorkPackages[[#This Row],[Work package ID]],tblDisruptions[Work package ID],0)),"None")</f>
        <v>None</v>
      </c>
      <c r="AJ2089" s="51" t="str">
        <f>TEXT(tblWorkPackages[[#This Row],[Due date serial]],"yyyy-mm")</f>
        <v>2025-03</v>
      </c>
    </row>
    <row r="2090" spans="1:36" ht="15" x14ac:dyDescent="0.25">
      <c r="A2090" s="53" t="s">
        <v>3001</v>
      </c>
      <c r="B2090" s="53" t="s">
        <v>235</v>
      </c>
      <c r="C2090" s="53" t="s">
        <v>1948</v>
      </c>
      <c r="D2090" s="53" t="s">
        <v>877</v>
      </c>
      <c r="E2090" s="53" t="s">
        <v>153</v>
      </c>
      <c r="F2090" s="53" t="s">
        <v>128</v>
      </c>
      <c r="G2090" s="53" t="s">
        <v>154</v>
      </c>
      <c r="H2090" s="53">
        <v>2</v>
      </c>
      <c r="I2090" s="53" t="s">
        <v>130</v>
      </c>
      <c r="J2090" s="53">
        <v>0</v>
      </c>
      <c r="K2090" s="53">
        <v>0</v>
      </c>
      <c r="L2090" s="53">
        <v>8.4</v>
      </c>
      <c r="M2090" s="53" t="s">
        <v>890</v>
      </c>
      <c r="N2090" s="53">
        <v>8.1</v>
      </c>
      <c r="O2090" s="51" t="str">
        <f>TEXT(tblWorkPackages[[#This Row],[Request date serial]]-WEEKDAY(tblWorkPackages[[#This Row],[Request date serial]],3),"yyyy-mm-dd")</f>
        <v>2024-11-11</v>
      </c>
      <c r="P2090" s="51">
        <f>ABS(tblWorkPackages[[#This Row],[Actual labor hours]]-tblWorkPackages[[#This Row],[Estimated labor hours]])</f>
        <v>0.300000000000001</v>
      </c>
      <c r="Q2090" s="51">
        <f>IF(tblWorkPackages[[#This Row],[Actual labor hours]]&gt;tblWorkPackages[[#This Row],[Estimated labor hours]],1,0)</f>
        <v>0</v>
      </c>
      <c r="R2090" s="51">
        <f>tblWorkPackages[[#This Row],[Actual labor hours]]-tblWorkPackages[[#This Row],[Estimated labor hours]]</f>
        <v>-0.300000000000001</v>
      </c>
      <c r="S2090" s="51" t="str">
        <f>IF(tblWorkPackages[[#This Row],[Request date serial]]&lt;ValidationStart,"Train 2024",IF(tblWorkPackages[[#This Row],[Request date serial]]&lt;HoldoutStart,"Validation H1","Holdout H2"))</f>
        <v>Train 2024</v>
      </c>
      <c r="T2090" s="51" t="str">
        <f>IF(tblWorkPackages[[#This Row],[Time split]]="Train 2024","",tblWorkPackages[[#This Row],[Estimated labor hours]]+VLOOKUP(tblWorkPackages[[#This Row],[Task type]],'Forecast validation'!$A$14:$E$25,IF(tblWorkPackages[[#This Row],[Time split]]="Validation H1",4,5),FALSE()))</f>
        <v/>
      </c>
      <c r="U2090" s="51" t="str">
        <f>IF(tblWorkPackages[[#This Row],[Calibrated forecast hours]]="","",ABS(tblWorkPackages[[#This Row],[Actual labor hours]]-tblWorkPackages[[#This Row],[Calibrated forecast hours]]))</f>
        <v/>
      </c>
      <c r="V2090" s="51">
        <f>IF(tblWorkPackages[[#This Row],[Time split]]="Train 2024",tblWorkPackages[[#This Row],[Estimated labor hours]],tblWorkPackages[[#This Row],[Calibrated forecast hours]])</f>
        <v>8.4</v>
      </c>
      <c r="W2090" s="64">
        <f>DATEVALUE(tblWorkPackages[[#This Row],[Request date]])</f>
        <v>45611.0</v>
      </c>
      <c r="X2090" s="64">
        <f>DATEVALUE(tblWorkPackages[[#This Row],[Due date]])</f>
        <v>45624.0</v>
      </c>
      <c r="Y2090" s="64">
        <f>DATEVALUE(tblWorkPackages[[#This Row],[Completion date]])</f>
        <v>45613.0</v>
      </c>
      <c r="Z2090" s="64">
        <f>_xlfn.MINIFS(tblLaborEntries[Work date serial],tblLaborEntries[Work package ID],tblWorkPackages[[#This Row],[Work package ID]])</f>
        <v>45612.0</v>
      </c>
      <c r="AA2090" s="64">
        <f>_xlfn.MAXIFS(tblLaborEntries[Work date serial],tblLaborEntries[Work package ID],tblWorkPackages[[#This Row],[Work package ID]])</f>
        <v>45613.0</v>
      </c>
      <c r="AB2090" s="65">
        <f>IF(tblWorkPackages[[#This Row],[Completion date serial]]&gt;tblWorkPackages[[#This Row],[Due date serial]],1,0)</f>
        <v>0</v>
      </c>
      <c r="AC2090" s="65">
        <f>MAX(0,tblWorkPackages[[#This Row],[Completion date serial]]-tblWorkPackages[[#This Row],[Due date serial]])</f>
        <v>0</v>
      </c>
      <c r="AD2090" s="65">
        <f>tblWorkPackages[[#This Row],[First labor date]]-tblWorkPackages[[#This Row],[Request date serial]]</f>
        <v>1</v>
      </c>
      <c r="AE2090" s="65">
        <f>tblWorkPackages[[#This Row],[Last labor date]]-tblWorkPackages[[#This Row],[First labor date]]</f>
        <v>1</v>
      </c>
      <c r="AF2090" s="65">
        <f>tblWorkPackages[[#This Row],[Completion date serial]]-tblWorkPackages[[#This Row],[Last labor date]]</f>
        <v>0</v>
      </c>
      <c r="AG2090" s="65">
        <f>tblWorkPackages[[#This Row],[Completion date serial]]-tblWorkPackages[[#This Row],[Request date serial]]</f>
        <v>2</v>
      </c>
      <c r="AH2090" s="65">
        <f>IFERROR(INDEX(tblParts[Delay days],MATCH(tblWorkPackages[[#This Row],[Work package ID]],tblParts[Work package ID],0)),0)</f>
        <v>0</v>
      </c>
      <c r="AI2090" s="51" t="str">
        <f>IFERROR(INDEX(tblDisruptions[Event type],MATCH(tblWorkPackages[[#This Row],[Work package ID]],tblDisruptions[Work package ID],0)),"None")</f>
        <v>None</v>
      </c>
      <c r="AJ2090" s="51" t="str">
        <f>TEXT(tblWorkPackages[[#This Row],[Due date serial]],"yyyy-mm")</f>
        <v>2024-11</v>
      </c>
    </row>
    <row r="2091" spans="1:36" ht="15" x14ac:dyDescent="0.25">
      <c r="A2091" s="53" t="s">
        <v>3002</v>
      </c>
      <c r="B2091" s="53" t="s">
        <v>124</v>
      </c>
      <c r="C2091" s="53" t="s">
        <v>1471</v>
      </c>
      <c r="D2091" s="53" t="s">
        <v>1249</v>
      </c>
      <c r="E2091" s="53" t="s">
        <v>223</v>
      </c>
      <c r="F2091" s="53" t="s">
        <v>182</v>
      </c>
      <c r="G2091" s="53" t="s">
        <v>154</v>
      </c>
      <c r="H2091" s="53">
        <v>4</v>
      </c>
      <c r="I2091" s="53" t="s">
        <v>130</v>
      </c>
      <c r="J2091" s="53">
        <v>0</v>
      </c>
      <c r="K2091" s="53">
        <v>0</v>
      </c>
      <c r="L2091" s="53">
        <v>26.1</v>
      </c>
      <c r="M2091" s="53" t="s">
        <v>1249</v>
      </c>
      <c r="N2091" s="53">
        <v>27.9</v>
      </c>
      <c r="O2091" s="51" t="str">
        <f>TEXT(tblWorkPackages[[#This Row],[Request date serial]]-WEEKDAY(tblWorkPackages[[#This Row],[Request date serial]],3),"yyyy-mm-dd")</f>
        <v>2025-03-31</v>
      </c>
      <c r="P2091" s="51">
        <f>ABS(tblWorkPackages[[#This Row],[Actual labor hours]]-tblWorkPackages[[#This Row],[Estimated labor hours]])</f>
        <v>1.8</v>
      </c>
      <c r="Q2091" s="51">
        <f>IF(tblWorkPackages[[#This Row],[Actual labor hours]]&gt;tblWorkPackages[[#This Row],[Estimated labor hours]],1,0)</f>
        <v>1</v>
      </c>
      <c r="R2091" s="51">
        <f>tblWorkPackages[[#This Row],[Actual labor hours]]-tblWorkPackages[[#This Row],[Estimated labor hours]]</f>
        <v>1.8</v>
      </c>
      <c r="S2091" s="51" t="str">
        <f>IF(tblWorkPackages[[#This Row],[Request date serial]]&lt;ValidationStart,"Train 2024",IF(tblWorkPackages[[#This Row],[Request date serial]]&lt;HoldoutStart,"Validation H1","Holdout H2"))</f>
        <v>Validation H1</v>
      </c>
      <c r="T2091" s="51">
        <f>IF(tblWorkPackages[[#This Row],[Time split]]="Train 2024","",tblWorkPackages[[#This Row],[Estimated labor hours]]+VLOOKUP(tblWorkPackages[[#This Row],[Task type]],'Forecast validation'!$A$14:$E$25,IF(tblWorkPackages[[#This Row],[Time split]]="Validation H1",4,5),FALSE()))</f>
        <v>26.9824175824176</v>
      </c>
      <c r="U2091" s="51">
        <f>IF(tblWorkPackages[[#This Row],[Calibrated forecast hours]]="","",ABS(tblWorkPackages[[#This Row],[Actual labor hours]]-tblWorkPackages[[#This Row],[Calibrated forecast hours]]))</f>
        <v>0.917582417582416</v>
      </c>
      <c r="V2091" s="51">
        <f>IF(tblWorkPackages[[#This Row],[Time split]]="Train 2024",tblWorkPackages[[#This Row],[Estimated labor hours]],tblWorkPackages[[#This Row],[Calibrated forecast hours]])</f>
        <v>26.9824175824176</v>
      </c>
      <c r="W2091" s="64">
        <f>DATEVALUE(tblWorkPackages[[#This Row],[Request date]])</f>
        <v>45749.0</v>
      </c>
      <c r="X2091" s="64">
        <f>DATEVALUE(tblWorkPackages[[#This Row],[Due date]])</f>
        <v>45762.0</v>
      </c>
      <c r="Y2091" s="64">
        <f>DATEVALUE(tblWorkPackages[[#This Row],[Completion date]])</f>
        <v>45762.0</v>
      </c>
      <c r="Z2091" s="64">
        <f>_xlfn.MINIFS(tblLaborEntries[Work date serial],tblLaborEntries[Work package ID],tblWorkPackages[[#This Row],[Work package ID]])</f>
        <v>45761.0</v>
      </c>
      <c r="AA2091" s="64">
        <f>_xlfn.MAXIFS(tblLaborEntries[Work date serial],tblLaborEntries[Work package ID],tblWorkPackages[[#This Row],[Work package ID]])</f>
        <v>45761.0</v>
      </c>
      <c r="AB2091" s="65">
        <f>IF(tblWorkPackages[[#This Row],[Completion date serial]]&gt;tblWorkPackages[[#This Row],[Due date serial]],1,0)</f>
        <v>0</v>
      </c>
      <c r="AC2091" s="65">
        <f>MAX(0,tblWorkPackages[[#This Row],[Completion date serial]]-tblWorkPackages[[#This Row],[Due date serial]])</f>
        <v>0</v>
      </c>
      <c r="AD2091" s="65">
        <f>tblWorkPackages[[#This Row],[First labor date]]-tblWorkPackages[[#This Row],[Request date serial]]</f>
        <v>12</v>
      </c>
      <c r="AE2091" s="65">
        <f>tblWorkPackages[[#This Row],[Last labor date]]-tblWorkPackages[[#This Row],[First labor date]]</f>
        <v>0</v>
      </c>
      <c r="AF2091" s="65">
        <f>tblWorkPackages[[#This Row],[Completion date serial]]-tblWorkPackages[[#This Row],[Last labor date]]</f>
        <v>1</v>
      </c>
      <c r="AG2091" s="65">
        <f>tblWorkPackages[[#This Row],[Completion date serial]]-tblWorkPackages[[#This Row],[Request date serial]]</f>
        <v>13</v>
      </c>
      <c r="AH2091" s="65">
        <f>IFERROR(INDEX(tblParts[Delay days],MATCH(tblWorkPackages[[#This Row],[Work package ID]],tblParts[Work package ID],0)),0)</f>
        <v>0</v>
      </c>
      <c r="AI2091" s="51" t="str">
        <f>IFERROR(INDEX(tblDisruptions[Event type],MATCH(tblWorkPackages[[#This Row],[Work package ID]],tblDisruptions[Work package ID],0)),"None")</f>
        <v>None</v>
      </c>
      <c r="AJ2091" s="51" t="str">
        <f>TEXT(tblWorkPackages[[#This Row],[Due date serial]],"yyyy-mm")</f>
        <v>2025-04</v>
      </c>
    </row>
    <row r="2092" spans="1:36" ht="15" x14ac:dyDescent="0.25">
      <c r="A2092" s="53" t="s">
        <v>3003</v>
      </c>
      <c r="B2092" s="53" t="s">
        <v>141</v>
      </c>
      <c r="C2092" s="53" t="s">
        <v>736</v>
      </c>
      <c r="D2092" s="53" t="s">
        <v>981</v>
      </c>
      <c r="E2092" s="53" t="s">
        <v>160</v>
      </c>
      <c r="F2092" s="53" t="s">
        <v>128</v>
      </c>
      <c r="G2092" s="53" t="s">
        <v>138</v>
      </c>
      <c r="H2092" s="53">
        <v>4</v>
      </c>
      <c r="I2092" s="53" t="s">
        <v>176</v>
      </c>
      <c r="J2092" s="53">
        <v>1</v>
      </c>
      <c r="K2092" s="53">
        <v>1</v>
      </c>
      <c r="L2092" s="53">
        <v>7.3</v>
      </c>
      <c r="M2092" s="53" t="s">
        <v>981</v>
      </c>
      <c r="N2092" s="53">
        <v>10.9</v>
      </c>
      <c r="O2092" s="51" t="str">
        <f>TEXT(tblWorkPackages[[#This Row],[Request date serial]]-WEEKDAY(tblWorkPackages[[#This Row],[Request date serial]],3),"yyyy-mm-dd")</f>
        <v>2024-10-28</v>
      </c>
      <c r="P2092" s="51">
        <f>ABS(tblWorkPackages[[#This Row],[Actual labor hours]]-tblWorkPackages[[#This Row],[Estimated labor hours]])</f>
        <v>3.6</v>
      </c>
      <c r="Q2092" s="51">
        <f>IF(tblWorkPackages[[#This Row],[Actual labor hours]]&gt;tblWorkPackages[[#This Row],[Estimated labor hours]],1,0)</f>
        <v>1</v>
      </c>
      <c r="R2092" s="51">
        <f>tblWorkPackages[[#This Row],[Actual labor hours]]-tblWorkPackages[[#This Row],[Estimated labor hours]]</f>
        <v>3.6</v>
      </c>
      <c r="S2092" s="51" t="str">
        <f>IF(tblWorkPackages[[#This Row],[Request date serial]]&lt;ValidationStart,"Train 2024",IF(tblWorkPackages[[#This Row],[Request date serial]]&lt;HoldoutStart,"Validation H1","Holdout H2"))</f>
        <v>Train 2024</v>
      </c>
      <c r="T2092" s="51" t="str">
        <f>IF(tblWorkPackages[[#This Row],[Time split]]="Train 2024","",tblWorkPackages[[#This Row],[Estimated labor hours]]+VLOOKUP(tblWorkPackages[[#This Row],[Task type]],'Forecast validation'!$A$14:$E$25,IF(tblWorkPackages[[#This Row],[Time split]]="Validation H1",4,5),FALSE()))</f>
        <v/>
      </c>
      <c r="U2092" s="51" t="str">
        <f>IF(tblWorkPackages[[#This Row],[Calibrated forecast hours]]="","",ABS(tblWorkPackages[[#This Row],[Actual labor hours]]-tblWorkPackages[[#This Row],[Calibrated forecast hours]]))</f>
        <v/>
      </c>
      <c r="V2092" s="51">
        <f>IF(tblWorkPackages[[#This Row],[Time split]]="Train 2024",tblWorkPackages[[#This Row],[Estimated labor hours]],tblWorkPackages[[#This Row],[Calibrated forecast hours]])</f>
        <v>7.3</v>
      </c>
      <c r="W2092" s="64">
        <f>DATEVALUE(tblWorkPackages[[#This Row],[Request date]])</f>
        <v>45595.0</v>
      </c>
      <c r="X2092" s="64">
        <f>DATEVALUE(tblWorkPackages[[#This Row],[Due date]])</f>
        <v>45601.0</v>
      </c>
      <c r="Y2092" s="64">
        <f>DATEVALUE(tblWorkPackages[[#This Row],[Completion date]])</f>
        <v>45601.0</v>
      </c>
      <c r="Z2092" s="64">
        <f>_xlfn.MINIFS(tblLaborEntries[Work date serial],tblLaborEntries[Work package ID],tblWorkPackages[[#This Row],[Work package ID]])</f>
        <v>45598.0</v>
      </c>
      <c r="AA2092" s="64">
        <f>_xlfn.MAXIFS(tblLaborEntries[Work date serial],tblLaborEntries[Work package ID],tblWorkPackages[[#This Row],[Work package ID]])</f>
        <v>45599.0</v>
      </c>
      <c r="AB2092" s="65">
        <f>IF(tblWorkPackages[[#This Row],[Completion date serial]]&gt;tblWorkPackages[[#This Row],[Due date serial]],1,0)</f>
        <v>0</v>
      </c>
      <c r="AC2092" s="65">
        <f>MAX(0,tblWorkPackages[[#This Row],[Completion date serial]]-tblWorkPackages[[#This Row],[Due date serial]])</f>
        <v>0</v>
      </c>
      <c r="AD2092" s="65">
        <f>tblWorkPackages[[#This Row],[First labor date]]-tblWorkPackages[[#This Row],[Request date serial]]</f>
        <v>3</v>
      </c>
      <c r="AE2092" s="65">
        <f>tblWorkPackages[[#This Row],[Last labor date]]-tblWorkPackages[[#This Row],[First labor date]]</f>
        <v>1</v>
      </c>
      <c r="AF2092" s="65">
        <f>tblWorkPackages[[#This Row],[Completion date serial]]-tblWorkPackages[[#This Row],[Last labor date]]</f>
        <v>2</v>
      </c>
      <c r="AG2092" s="65">
        <f>tblWorkPackages[[#This Row],[Completion date serial]]-tblWorkPackages[[#This Row],[Request date serial]]</f>
        <v>6</v>
      </c>
      <c r="AH2092" s="65">
        <f>IFERROR(INDEX(tblParts[Delay days],MATCH(tblWorkPackages[[#This Row],[Work package ID]],tblParts[Work package ID],0)),0)</f>
        <v>0</v>
      </c>
      <c r="AI2092" s="51" t="str">
        <f>IFERROR(INDEX(tblDisruptions[Event type],MATCH(tblWorkPackages[[#This Row],[Work package ID]],tblDisruptions[Work package ID],0)),"None")</f>
        <v>None</v>
      </c>
      <c r="AJ2092" s="51" t="str">
        <f>TEXT(tblWorkPackages[[#This Row],[Due date serial]],"yyyy-mm")</f>
        <v>2024-11</v>
      </c>
    </row>
    <row r="2093" spans="1:36" ht="15" x14ac:dyDescent="0.25">
      <c r="A2093" s="53" t="s">
        <v>3004</v>
      </c>
      <c r="B2093" s="53" t="s">
        <v>168</v>
      </c>
      <c r="C2093" s="53" t="s">
        <v>579</v>
      </c>
      <c r="D2093" s="53" t="s">
        <v>580</v>
      </c>
      <c r="E2093" s="53" t="s">
        <v>223</v>
      </c>
      <c r="F2093" s="53" t="s">
        <v>182</v>
      </c>
      <c r="G2093" s="53" t="s">
        <v>154</v>
      </c>
      <c r="H2093" s="53">
        <v>4</v>
      </c>
      <c r="I2093" s="53" t="s">
        <v>130</v>
      </c>
      <c r="J2093" s="53">
        <v>0</v>
      </c>
      <c r="K2093" s="53">
        <v>0</v>
      </c>
      <c r="L2093" s="53">
        <v>21.9</v>
      </c>
      <c r="M2093" s="53" t="s">
        <v>3005</v>
      </c>
      <c r="N2093" s="53">
        <v>25.7</v>
      </c>
      <c r="O2093" s="51" t="str">
        <f>TEXT(tblWorkPackages[[#This Row],[Request date serial]]-WEEKDAY(tblWorkPackages[[#This Row],[Request date serial]],3),"yyyy-mm-dd")</f>
        <v>2025-12-29</v>
      </c>
      <c r="P2093" s="51">
        <f>ABS(tblWorkPackages[[#This Row],[Actual labor hours]]-tblWorkPackages[[#This Row],[Estimated labor hours]])</f>
        <v>3.8</v>
      </c>
      <c r="Q2093" s="51">
        <f>IF(tblWorkPackages[[#This Row],[Actual labor hours]]&gt;tblWorkPackages[[#This Row],[Estimated labor hours]],1,0)</f>
        <v>1</v>
      </c>
      <c r="R2093" s="51">
        <f>tblWorkPackages[[#This Row],[Actual labor hours]]-tblWorkPackages[[#This Row],[Estimated labor hours]]</f>
        <v>3.8</v>
      </c>
      <c r="S2093" s="51" t="str">
        <f>IF(tblWorkPackages[[#This Row],[Request date serial]]&lt;ValidationStart,"Train 2024",IF(tblWorkPackages[[#This Row],[Request date serial]]&lt;HoldoutStart,"Validation H1","Holdout H2"))</f>
        <v>Holdout H2</v>
      </c>
      <c r="T2093" s="51">
        <f>IF(tblWorkPackages[[#This Row],[Time split]]="Train 2024","",tblWorkPackages[[#This Row],[Estimated labor hours]]+VLOOKUP(tblWorkPackages[[#This Row],[Task type]],'Forecast validation'!$A$14:$E$25,IF(tblWorkPackages[[#This Row],[Time split]]="Validation H1",4,5),FALSE()))</f>
        <v>22.8246575342466</v>
      </c>
      <c r="U2093" s="51">
        <f>IF(tblWorkPackages[[#This Row],[Calibrated forecast hours]]="","",ABS(tblWorkPackages[[#This Row],[Actual labor hours]]-tblWorkPackages[[#This Row],[Calibrated forecast hours]]))</f>
        <v>2.87534246575343</v>
      </c>
      <c r="V2093" s="51">
        <f>IF(tblWorkPackages[[#This Row],[Time split]]="Train 2024",tblWorkPackages[[#This Row],[Estimated labor hours]],tblWorkPackages[[#This Row],[Calibrated forecast hours]])</f>
        <v>22.8246575342466</v>
      </c>
      <c r="W2093" s="64">
        <f>DATEVALUE(tblWorkPackages[[#This Row],[Request date]])</f>
        <v>46021.0</v>
      </c>
      <c r="X2093" s="64">
        <f>DATEVALUE(tblWorkPackages[[#This Row],[Due date]])</f>
        <v>46034.0</v>
      </c>
      <c r="Y2093" s="64">
        <f>DATEVALUE(tblWorkPackages[[#This Row],[Completion date]])</f>
        <v>46059.0</v>
      </c>
      <c r="Z2093" s="64">
        <f>_xlfn.MINIFS(tblLaborEntries[Work date serial],tblLaborEntries[Work package ID],tblWorkPackages[[#This Row],[Work package ID]])</f>
        <v>46054.0</v>
      </c>
      <c r="AA2093" s="64">
        <f>_xlfn.MAXIFS(tblLaborEntries[Work date serial],tblLaborEntries[Work package ID],tblWorkPackages[[#This Row],[Work package ID]])</f>
        <v>46056.0</v>
      </c>
      <c r="AB2093" s="65">
        <f>IF(tblWorkPackages[[#This Row],[Completion date serial]]&gt;tblWorkPackages[[#This Row],[Due date serial]],1,0)</f>
        <v>1</v>
      </c>
      <c r="AC2093" s="65">
        <f>MAX(0,tblWorkPackages[[#This Row],[Completion date serial]]-tblWorkPackages[[#This Row],[Due date serial]])</f>
        <v>25</v>
      </c>
      <c r="AD2093" s="65">
        <f>tblWorkPackages[[#This Row],[First labor date]]-tblWorkPackages[[#This Row],[Request date serial]]</f>
        <v>33</v>
      </c>
      <c r="AE2093" s="65">
        <f>tblWorkPackages[[#This Row],[Last labor date]]-tblWorkPackages[[#This Row],[First labor date]]</f>
        <v>2</v>
      </c>
      <c r="AF2093" s="65">
        <f>tblWorkPackages[[#This Row],[Completion date serial]]-tblWorkPackages[[#This Row],[Last labor date]]</f>
        <v>3</v>
      </c>
      <c r="AG2093" s="65">
        <f>tblWorkPackages[[#This Row],[Completion date serial]]-tblWorkPackages[[#This Row],[Request date serial]]</f>
        <v>38</v>
      </c>
      <c r="AH2093" s="65">
        <f>IFERROR(INDEX(tblParts[Delay days],MATCH(tblWorkPackages[[#This Row],[Work package ID]],tblParts[Work package ID],0)),0)</f>
        <v>0</v>
      </c>
      <c r="AI2093" s="51" t="str">
        <f>IFERROR(INDEX(tblDisruptions[Event type],MATCH(tblWorkPackages[[#This Row],[Work package ID]],tblDisruptions[Work package ID],0)),"None")</f>
        <v>None</v>
      </c>
      <c r="AJ2093" s="51" t="str">
        <f>TEXT(tblWorkPackages[[#This Row],[Due date serial]],"yyyy-mm")</f>
        <v>2026-01</v>
      </c>
    </row>
    <row r="2094" spans="1:36" ht="15" x14ac:dyDescent="0.25">
      <c r="A2094" s="53" t="s">
        <v>3006</v>
      </c>
      <c r="B2094" s="53" t="s">
        <v>163</v>
      </c>
      <c r="C2094" s="53" t="s">
        <v>577</v>
      </c>
      <c r="D2094" s="53" t="s">
        <v>549</v>
      </c>
      <c r="E2094" s="53" t="s">
        <v>153</v>
      </c>
      <c r="F2094" s="53" t="s">
        <v>128</v>
      </c>
      <c r="G2094" s="53" t="s">
        <v>154</v>
      </c>
      <c r="H2094" s="53">
        <v>3</v>
      </c>
      <c r="I2094" s="53" t="s">
        <v>176</v>
      </c>
      <c r="J2094" s="53">
        <v>0</v>
      </c>
      <c r="K2094" s="53">
        <v>1</v>
      </c>
      <c r="L2094" s="53">
        <v>13.2</v>
      </c>
      <c r="M2094" s="53" t="s">
        <v>304</v>
      </c>
      <c r="N2094" s="53">
        <v>13.7</v>
      </c>
      <c r="O2094" s="51" t="str">
        <f>TEXT(tblWorkPackages[[#This Row],[Request date serial]]-WEEKDAY(tblWorkPackages[[#This Row],[Request date serial]],3),"yyyy-mm-dd")</f>
        <v>2024-06-17</v>
      </c>
      <c r="P2094" s="51">
        <f>ABS(tblWorkPackages[[#This Row],[Actual labor hours]]-tblWorkPackages[[#This Row],[Estimated labor hours]])</f>
        <v>0.5</v>
      </c>
      <c r="Q2094" s="51">
        <f>IF(tblWorkPackages[[#This Row],[Actual labor hours]]&gt;tblWorkPackages[[#This Row],[Estimated labor hours]],1,0)</f>
        <v>1</v>
      </c>
      <c r="R2094" s="51">
        <f>tblWorkPackages[[#This Row],[Actual labor hours]]-tblWorkPackages[[#This Row],[Estimated labor hours]]</f>
        <v>0.5</v>
      </c>
      <c r="S2094" s="51" t="str">
        <f>IF(tblWorkPackages[[#This Row],[Request date serial]]&lt;ValidationStart,"Train 2024",IF(tblWorkPackages[[#This Row],[Request date serial]]&lt;HoldoutStart,"Validation H1","Holdout H2"))</f>
        <v>Train 2024</v>
      </c>
      <c r="T2094" s="51" t="str">
        <f>IF(tblWorkPackages[[#This Row],[Time split]]="Train 2024","",tblWorkPackages[[#This Row],[Estimated labor hours]]+VLOOKUP(tblWorkPackages[[#This Row],[Task type]],'Forecast validation'!$A$14:$E$25,IF(tblWorkPackages[[#This Row],[Time split]]="Validation H1",4,5),FALSE()))</f>
        <v/>
      </c>
      <c r="U2094" s="51" t="str">
        <f>IF(tblWorkPackages[[#This Row],[Calibrated forecast hours]]="","",ABS(tblWorkPackages[[#This Row],[Actual labor hours]]-tblWorkPackages[[#This Row],[Calibrated forecast hours]]))</f>
        <v/>
      </c>
      <c r="V2094" s="51">
        <f>IF(tblWorkPackages[[#This Row],[Time split]]="Train 2024",tblWorkPackages[[#This Row],[Estimated labor hours]],tblWorkPackages[[#This Row],[Calibrated forecast hours]])</f>
        <v>13.2</v>
      </c>
      <c r="W2094" s="64">
        <f>DATEVALUE(tblWorkPackages[[#This Row],[Request date]])</f>
        <v>45463.0</v>
      </c>
      <c r="X2094" s="64">
        <f>DATEVALUE(tblWorkPackages[[#This Row],[Due date]])</f>
        <v>45469.0</v>
      </c>
      <c r="Y2094" s="64">
        <f>DATEVALUE(tblWorkPackages[[#This Row],[Completion date]])</f>
        <v>45470.0</v>
      </c>
      <c r="Z2094" s="64">
        <f>_xlfn.MINIFS(tblLaborEntries[Work date serial],tblLaborEntries[Work package ID],tblWorkPackages[[#This Row],[Work package ID]])</f>
        <v>45469.0</v>
      </c>
      <c r="AA2094" s="64">
        <f>_xlfn.MAXIFS(tblLaborEntries[Work date serial],tblLaborEntries[Work package ID],tblWorkPackages[[#This Row],[Work package ID]])</f>
        <v>45470.0</v>
      </c>
      <c r="AB2094" s="65">
        <f>IF(tblWorkPackages[[#This Row],[Completion date serial]]&gt;tblWorkPackages[[#This Row],[Due date serial]],1,0)</f>
        <v>1</v>
      </c>
      <c r="AC2094" s="65">
        <f>MAX(0,tblWorkPackages[[#This Row],[Completion date serial]]-tblWorkPackages[[#This Row],[Due date serial]])</f>
        <v>1</v>
      </c>
      <c r="AD2094" s="65">
        <f>tblWorkPackages[[#This Row],[First labor date]]-tblWorkPackages[[#This Row],[Request date serial]]</f>
        <v>6</v>
      </c>
      <c r="AE2094" s="65">
        <f>tblWorkPackages[[#This Row],[Last labor date]]-tblWorkPackages[[#This Row],[First labor date]]</f>
        <v>1</v>
      </c>
      <c r="AF2094" s="65">
        <f>tblWorkPackages[[#This Row],[Completion date serial]]-tblWorkPackages[[#This Row],[Last labor date]]</f>
        <v>0</v>
      </c>
      <c r="AG2094" s="65">
        <f>tblWorkPackages[[#This Row],[Completion date serial]]-tblWorkPackages[[#This Row],[Request date serial]]</f>
        <v>7</v>
      </c>
      <c r="AH2094" s="65">
        <f>IFERROR(INDEX(tblParts[Delay days],MATCH(tblWorkPackages[[#This Row],[Work package ID]],tblParts[Work package ID],0)),0)</f>
        <v>0</v>
      </c>
      <c r="AI2094" s="51" t="str">
        <f>IFERROR(INDEX(tblDisruptions[Event type],MATCH(tblWorkPackages[[#This Row],[Work package ID]],tblDisruptions[Work package ID],0)),"None")</f>
        <v>None</v>
      </c>
      <c r="AJ2094" s="51" t="str">
        <f>TEXT(tblWorkPackages[[#This Row],[Due date serial]],"yyyy-mm")</f>
        <v>2024-06</v>
      </c>
    </row>
    <row r="2095" spans="1:36" ht="15" x14ac:dyDescent="0.25">
      <c r="A2095" s="53" t="s">
        <v>3007</v>
      </c>
      <c r="B2095" s="53" t="s">
        <v>150</v>
      </c>
      <c r="C2095" s="53" t="s">
        <v>1249</v>
      </c>
      <c r="D2095" s="53" t="s">
        <v>1172</v>
      </c>
      <c r="E2095" s="53" t="s">
        <v>160</v>
      </c>
      <c r="F2095" s="53" t="s">
        <v>128</v>
      </c>
      <c r="G2095" s="53" t="s">
        <v>138</v>
      </c>
      <c r="H2095" s="53">
        <v>4</v>
      </c>
      <c r="I2095" s="53" t="s">
        <v>147</v>
      </c>
      <c r="J2095" s="53">
        <v>0</v>
      </c>
      <c r="K2095" s="53">
        <v>0</v>
      </c>
      <c r="L2095" s="53">
        <v>9.9</v>
      </c>
      <c r="M2095" s="53" t="s">
        <v>807</v>
      </c>
      <c r="N2095" s="53">
        <v>11.8</v>
      </c>
      <c r="O2095" s="51" t="str">
        <f>TEXT(tblWorkPackages[[#This Row],[Request date serial]]-WEEKDAY(tblWorkPackages[[#This Row],[Request date serial]],3),"yyyy-mm-dd")</f>
        <v>2025-04-14</v>
      </c>
      <c r="P2095" s="51">
        <f>ABS(tblWorkPackages[[#This Row],[Actual labor hours]]-tblWorkPackages[[#This Row],[Estimated labor hours]])</f>
        <v>1.9</v>
      </c>
      <c r="Q2095" s="51">
        <f>IF(tblWorkPackages[[#This Row],[Actual labor hours]]&gt;tblWorkPackages[[#This Row],[Estimated labor hours]],1,0)</f>
        <v>1</v>
      </c>
      <c r="R2095" s="51">
        <f>tblWorkPackages[[#This Row],[Actual labor hours]]-tblWorkPackages[[#This Row],[Estimated labor hours]]</f>
        <v>1.9</v>
      </c>
      <c r="S2095" s="51" t="str">
        <f>IF(tblWorkPackages[[#This Row],[Request date serial]]&lt;ValidationStart,"Train 2024",IF(tblWorkPackages[[#This Row],[Request date serial]]&lt;HoldoutStart,"Validation H1","Holdout H2"))</f>
        <v>Validation H1</v>
      </c>
      <c r="T2095" s="51">
        <f>IF(tblWorkPackages[[#This Row],[Time split]]="Train 2024","",tblWorkPackages[[#This Row],[Estimated labor hours]]+VLOOKUP(tblWorkPackages[[#This Row],[Task type]],'Forecast validation'!$A$14:$E$25,IF(tblWorkPackages[[#This Row],[Time split]]="Validation H1",4,5),FALSE()))</f>
        <v>10.3414634146341</v>
      </c>
      <c r="U2095" s="51">
        <f>IF(tblWorkPackages[[#This Row],[Calibrated forecast hours]]="","",ABS(tblWorkPackages[[#This Row],[Actual labor hours]]-tblWorkPackages[[#This Row],[Calibrated forecast hours]]))</f>
        <v>1.45853658536585</v>
      </c>
      <c r="V2095" s="51">
        <f>IF(tblWorkPackages[[#This Row],[Time split]]="Train 2024",tblWorkPackages[[#This Row],[Estimated labor hours]],tblWorkPackages[[#This Row],[Calibrated forecast hours]])</f>
        <v>10.3414634146341</v>
      </c>
      <c r="W2095" s="64">
        <f>DATEVALUE(tblWorkPackages[[#This Row],[Request date]])</f>
        <v>45762.0</v>
      </c>
      <c r="X2095" s="64">
        <f>DATEVALUE(tblWorkPackages[[#This Row],[Due date]])</f>
        <v>45764.0</v>
      </c>
      <c r="Y2095" s="64">
        <f>DATEVALUE(tblWorkPackages[[#This Row],[Completion date]])</f>
        <v>45766.0</v>
      </c>
      <c r="Z2095" s="64">
        <f>_xlfn.MINIFS(tblLaborEntries[Work date serial],tblLaborEntries[Work package ID],tblWorkPackages[[#This Row],[Work package ID]])</f>
        <v>45764.0</v>
      </c>
      <c r="AA2095" s="64">
        <f>_xlfn.MAXIFS(tblLaborEntries[Work date serial],tblLaborEntries[Work package ID],tblWorkPackages[[#This Row],[Work package ID]])</f>
        <v>45765.0</v>
      </c>
      <c r="AB2095" s="65">
        <f>IF(tblWorkPackages[[#This Row],[Completion date serial]]&gt;tblWorkPackages[[#This Row],[Due date serial]],1,0)</f>
        <v>1</v>
      </c>
      <c r="AC2095" s="65">
        <f>MAX(0,tblWorkPackages[[#This Row],[Completion date serial]]-tblWorkPackages[[#This Row],[Due date serial]])</f>
        <v>2</v>
      </c>
      <c r="AD2095" s="65">
        <f>tblWorkPackages[[#This Row],[First labor date]]-tblWorkPackages[[#This Row],[Request date serial]]</f>
        <v>2</v>
      </c>
      <c r="AE2095" s="65">
        <f>tblWorkPackages[[#This Row],[Last labor date]]-tblWorkPackages[[#This Row],[First labor date]]</f>
        <v>1</v>
      </c>
      <c r="AF2095" s="65">
        <f>tblWorkPackages[[#This Row],[Completion date serial]]-tblWorkPackages[[#This Row],[Last labor date]]</f>
        <v>1</v>
      </c>
      <c r="AG2095" s="65">
        <f>tblWorkPackages[[#This Row],[Completion date serial]]-tblWorkPackages[[#This Row],[Request date serial]]</f>
        <v>4</v>
      </c>
      <c r="AH2095" s="65">
        <f>IFERROR(INDEX(tblParts[Delay days],MATCH(tblWorkPackages[[#This Row],[Work package ID]],tblParts[Work package ID],0)),0)</f>
        <v>0</v>
      </c>
      <c r="AI2095" s="51" t="str">
        <f>IFERROR(INDEX(tblDisruptions[Event type],MATCH(tblWorkPackages[[#This Row],[Work package ID]],tblDisruptions[Work package ID],0)),"None")</f>
        <v>None</v>
      </c>
      <c r="AJ2095" s="51" t="str">
        <f>TEXT(tblWorkPackages[[#This Row],[Due date serial]],"yyyy-mm")</f>
        <v>2025-04</v>
      </c>
    </row>
    <row r="2096" spans="1:36" ht="15" x14ac:dyDescent="0.25">
      <c r="A2096" s="53" t="s">
        <v>3008</v>
      </c>
      <c r="B2096" s="53" t="s">
        <v>133</v>
      </c>
      <c r="C2096" s="53" t="s">
        <v>890</v>
      </c>
      <c r="D2096" s="53" t="s">
        <v>891</v>
      </c>
      <c r="E2096" s="53" t="s">
        <v>181</v>
      </c>
      <c r="F2096" s="53" t="s">
        <v>182</v>
      </c>
      <c r="G2096" s="53" t="s">
        <v>138</v>
      </c>
      <c r="H2096" s="53">
        <v>3</v>
      </c>
      <c r="I2096" s="53" t="s">
        <v>130</v>
      </c>
      <c r="J2096" s="53">
        <v>0</v>
      </c>
      <c r="K2096" s="53">
        <v>0</v>
      </c>
      <c r="L2096" s="53">
        <v>8.9</v>
      </c>
      <c r="M2096" s="53" t="s">
        <v>267</v>
      </c>
      <c r="N2096" s="53">
        <v>11.2</v>
      </c>
      <c r="O2096" s="51" t="str">
        <f>TEXT(tblWorkPackages[[#This Row],[Request date serial]]-WEEKDAY(tblWorkPackages[[#This Row],[Request date serial]],3),"yyyy-mm-dd")</f>
        <v>2024-11-11</v>
      </c>
      <c r="P2096" s="51">
        <f>ABS(tblWorkPackages[[#This Row],[Actual labor hours]]-tblWorkPackages[[#This Row],[Estimated labor hours]])</f>
        <v>2.3</v>
      </c>
      <c r="Q2096" s="51">
        <f>IF(tblWorkPackages[[#This Row],[Actual labor hours]]&gt;tblWorkPackages[[#This Row],[Estimated labor hours]],1,0)</f>
        <v>1</v>
      </c>
      <c r="R2096" s="51">
        <f>tblWorkPackages[[#This Row],[Actual labor hours]]-tblWorkPackages[[#This Row],[Estimated labor hours]]</f>
        <v>2.3</v>
      </c>
      <c r="S2096" s="51" t="str">
        <f>IF(tblWorkPackages[[#This Row],[Request date serial]]&lt;ValidationStart,"Train 2024",IF(tblWorkPackages[[#This Row],[Request date serial]]&lt;HoldoutStart,"Validation H1","Holdout H2"))</f>
        <v>Train 2024</v>
      </c>
      <c r="T2096" s="51" t="str">
        <f>IF(tblWorkPackages[[#This Row],[Time split]]="Train 2024","",tblWorkPackages[[#This Row],[Estimated labor hours]]+VLOOKUP(tblWorkPackages[[#This Row],[Task type]],'Forecast validation'!$A$14:$E$25,IF(tblWorkPackages[[#This Row],[Time split]]="Validation H1",4,5),FALSE()))</f>
        <v/>
      </c>
      <c r="U2096" s="51" t="str">
        <f>IF(tblWorkPackages[[#This Row],[Calibrated forecast hours]]="","",ABS(tblWorkPackages[[#This Row],[Actual labor hours]]-tblWorkPackages[[#This Row],[Calibrated forecast hours]]))</f>
        <v/>
      </c>
      <c r="V2096" s="51">
        <f>IF(tblWorkPackages[[#This Row],[Time split]]="Train 2024",tblWorkPackages[[#This Row],[Estimated labor hours]],tblWorkPackages[[#This Row],[Calibrated forecast hours]])</f>
        <v>8.9</v>
      </c>
      <c r="W2096" s="64">
        <f>DATEVALUE(tblWorkPackages[[#This Row],[Request date]])</f>
        <v>45613.0</v>
      </c>
      <c r="X2096" s="64">
        <f>DATEVALUE(tblWorkPackages[[#This Row],[Due date]])</f>
        <v>45626.0</v>
      </c>
      <c r="Y2096" s="64">
        <f>DATEVALUE(tblWorkPackages[[#This Row],[Completion date]])</f>
        <v>45631.0</v>
      </c>
      <c r="Z2096" s="64">
        <f>_xlfn.MINIFS(tblLaborEntries[Work date serial],tblLaborEntries[Work package ID],tblWorkPackages[[#This Row],[Work package ID]])</f>
        <v>45628.0</v>
      </c>
      <c r="AA2096" s="64">
        <f>_xlfn.MAXIFS(tblLaborEntries[Work date serial],tblLaborEntries[Work package ID],tblWorkPackages[[#This Row],[Work package ID]])</f>
        <v>45629.0</v>
      </c>
      <c r="AB2096" s="65">
        <f>IF(tblWorkPackages[[#This Row],[Completion date serial]]&gt;tblWorkPackages[[#This Row],[Due date serial]],1,0)</f>
        <v>1</v>
      </c>
      <c r="AC2096" s="65">
        <f>MAX(0,tblWorkPackages[[#This Row],[Completion date serial]]-tblWorkPackages[[#This Row],[Due date serial]])</f>
        <v>5</v>
      </c>
      <c r="AD2096" s="65">
        <f>tblWorkPackages[[#This Row],[First labor date]]-tblWorkPackages[[#This Row],[Request date serial]]</f>
        <v>15</v>
      </c>
      <c r="AE2096" s="65">
        <f>tblWorkPackages[[#This Row],[Last labor date]]-tblWorkPackages[[#This Row],[First labor date]]</f>
        <v>1</v>
      </c>
      <c r="AF2096" s="65">
        <f>tblWorkPackages[[#This Row],[Completion date serial]]-tblWorkPackages[[#This Row],[Last labor date]]</f>
        <v>2</v>
      </c>
      <c r="AG2096" s="65">
        <f>tblWorkPackages[[#This Row],[Completion date serial]]-tblWorkPackages[[#This Row],[Request date serial]]</f>
        <v>18</v>
      </c>
      <c r="AH2096" s="65">
        <f>IFERROR(INDEX(tblParts[Delay days],MATCH(tblWorkPackages[[#This Row],[Work package ID]],tblParts[Work package ID],0)),0)</f>
        <v>0</v>
      </c>
      <c r="AI2096" s="51" t="str">
        <f>IFERROR(INDEX(tblDisruptions[Event type],MATCH(tblWorkPackages[[#This Row],[Work package ID]],tblDisruptions[Work package ID],0)),"None")</f>
        <v>None</v>
      </c>
      <c r="AJ2096" s="51" t="str">
        <f>TEXT(tblWorkPackages[[#This Row],[Due date serial]],"yyyy-mm")</f>
        <v>2024-11</v>
      </c>
    </row>
    <row r="2097" spans="1:36" ht="15" x14ac:dyDescent="0.25">
      <c r="A2097" s="53" t="s">
        <v>3009</v>
      </c>
      <c r="B2097" s="53" t="s">
        <v>163</v>
      </c>
      <c r="C2097" s="53" t="s">
        <v>430</v>
      </c>
      <c r="D2097" s="53" t="s">
        <v>1234</v>
      </c>
      <c r="E2097" s="53" t="s">
        <v>181</v>
      </c>
      <c r="F2097" s="53" t="s">
        <v>182</v>
      </c>
      <c r="G2097" s="53" t="s">
        <v>138</v>
      </c>
      <c r="H2097" s="53">
        <v>2</v>
      </c>
      <c r="I2097" s="53" t="s">
        <v>130</v>
      </c>
      <c r="J2097" s="53">
        <v>0</v>
      </c>
      <c r="K2097" s="53">
        <v>0</v>
      </c>
      <c r="L2097" s="53">
        <v>7.3</v>
      </c>
      <c r="M2097" s="53" t="s">
        <v>1233</v>
      </c>
      <c r="N2097" s="53">
        <v>9.3000000000000007</v>
      </c>
      <c r="O2097" s="51" t="str">
        <f>TEXT(tblWorkPackages[[#This Row],[Request date serial]]-WEEKDAY(tblWorkPackages[[#This Row],[Request date serial]],3),"yyyy-mm-dd")</f>
        <v>2025-07-07</v>
      </c>
      <c r="P2097" s="51">
        <f>ABS(tblWorkPackages[[#This Row],[Actual labor hours]]-tblWorkPackages[[#This Row],[Estimated labor hours]])</f>
        <v>2</v>
      </c>
      <c r="Q2097" s="51">
        <f>IF(tblWorkPackages[[#This Row],[Actual labor hours]]&gt;tblWorkPackages[[#This Row],[Estimated labor hours]],1,0)</f>
        <v>1</v>
      </c>
      <c r="R2097" s="51">
        <f>tblWorkPackages[[#This Row],[Actual labor hours]]-tblWorkPackages[[#This Row],[Estimated labor hours]]</f>
        <v>2</v>
      </c>
      <c r="S2097" s="51" t="str">
        <f>IF(tblWorkPackages[[#This Row],[Request date serial]]&lt;ValidationStart,"Train 2024",IF(tblWorkPackages[[#This Row],[Request date serial]]&lt;HoldoutStart,"Validation H1","Holdout H2"))</f>
        <v>Holdout H2</v>
      </c>
      <c r="T2097" s="51">
        <f>IF(tblWorkPackages[[#This Row],[Time split]]="Train 2024","",tblWorkPackages[[#This Row],[Estimated labor hours]]+VLOOKUP(tblWorkPackages[[#This Row],[Task type]],'Forecast validation'!$A$14:$E$25,IF(tblWorkPackages[[#This Row],[Time split]]="Validation H1",4,5),FALSE()))</f>
        <v>7.89160839160839</v>
      </c>
      <c r="U2097" s="51">
        <f>IF(tblWorkPackages[[#This Row],[Calibrated forecast hours]]="","",ABS(tblWorkPackages[[#This Row],[Actual labor hours]]-tblWorkPackages[[#This Row],[Calibrated forecast hours]]))</f>
        <v>1.40839160839161</v>
      </c>
      <c r="V2097" s="51">
        <f>IF(tblWorkPackages[[#This Row],[Time split]]="Train 2024",tblWorkPackages[[#This Row],[Estimated labor hours]],tblWorkPackages[[#This Row],[Calibrated forecast hours]])</f>
        <v>7.89160839160839</v>
      </c>
      <c r="W2097" s="64">
        <f>DATEVALUE(tblWorkPackages[[#This Row],[Request date]])</f>
        <v>45846.0</v>
      </c>
      <c r="X2097" s="64">
        <f>DATEVALUE(tblWorkPackages[[#This Row],[Due date]])</f>
        <v>45859.0</v>
      </c>
      <c r="Y2097" s="64">
        <f>DATEVALUE(tblWorkPackages[[#This Row],[Completion date]])</f>
        <v>45853.0</v>
      </c>
      <c r="Z2097" s="64">
        <f>_xlfn.MINIFS(tblLaborEntries[Work date serial],tblLaborEntries[Work package ID],tblWorkPackages[[#This Row],[Work package ID]])</f>
        <v>45850.0</v>
      </c>
      <c r="AA2097" s="64">
        <f>_xlfn.MAXIFS(tblLaborEntries[Work date serial],tblLaborEntries[Work package ID],tblWorkPackages[[#This Row],[Work package ID]])</f>
        <v>45850.0</v>
      </c>
      <c r="AB2097" s="65">
        <f>IF(tblWorkPackages[[#This Row],[Completion date serial]]&gt;tblWorkPackages[[#This Row],[Due date serial]],1,0)</f>
        <v>0</v>
      </c>
      <c r="AC2097" s="65">
        <f>MAX(0,tblWorkPackages[[#This Row],[Completion date serial]]-tblWorkPackages[[#This Row],[Due date serial]])</f>
        <v>0</v>
      </c>
      <c r="AD2097" s="65">
        <f>tblWorkPackages[[#This Row],[First labor date]]-tblWorkPackages[[#This Row],[Request date serial]]</f>
        <v>4</v>
      </c>
      <c r="AE2097" s="65">
        <f>tblWorkPackages[[#This Row],[Last labor date]]-tblWorkPackages[[#This Row],[First labor date]]</f>
        <v>0</v>
      </c>
      <c r="AF2097" s="65">
        <f>tblWorkPackages[[#This Row],[Completion date serial]]-tblWorkPackages[[#This Row],[Last labor date]]</f>
        <v>3</v>
      </c>
      <c r="AG2097" s="65">
        <f>tblWorkPackages[[#This Row],[Completion date serial]]-tblWorkPackages[[#This Row],[Request date serial]]</f>
        <v>7</v>
      </c>
      <c r="AH2097" s="65">
        <f>IFERROR(INDEX(tblParts[Delay days],MATCH(tblWorkPackages[[#This Row],[Work package ID]],tblParts[Work package ID],0)),0)</f>
        <v>0</v>
      </c>
      <c r="AI2097" s="51" t="str">
        <f>IFERROR(INDEX(tblDisruptions[Event type],MATCH(tblWorkPackages[[#This Row],[Work package ID]],tblDisruptions[Work package ID],0)),"None")</f>
        <v>None</v>
      </c>
      <c r="AJ2097" s="51" t="str">
        <f>TEXT(tblWorkPackages[[#This Row],[Due date serial]],"yyyy-mm")</f>
        <v>2025-07</v>
      </c>
    </row>
    <row r="2098" spans="1:36" ht="15" x14ac:dyDescent="0.25">
      <c r="A2098" s="53" t="s">
        <v>3010</v>
      </c>
      <c r="B2098" s="53" t="s">
        <v>173</v>
      </c>
      <c r="C2098" s="53" t="s">
        <v>386</v>
      </c>
      <c r="D2098" s="53" t="s">
        <v>387</v>
      </c>
      <c r="E2098" s="53" t="s">
        <v>237</v>
      </c>
      <c r="F2098" s="53" t="s">
        <v>182</v>
      </c>
      <c r="G2098" s="53" t="s">
        <v>138</v>
      </c>
      <c r="H2098" s="53">
        <v>4</v>
      </c>
      <c r="I2098" s="53" t="s">
        <v>130</v>
      </c>
      <c r="J2098" s="53">
        <v>0</v>
      </c>
      <c r="K2098" s="53">
        <v>0</v>
      </c>
      <c r="L2098" s="53">
        <v>8.6999999999999993</v>
      </c>
      <c r="M2098" s="53" t="s">
        <v>155</v>
      </c>
      <c r="N2098" s="53">
        <v>9.1999999999999993</v>
      </c>
      <c r="O2098" s="51" t="str">
        <f>TEXT(tblWorkPackages[[#This Row],[Request date serial]]-WEEKDAY(tblWorkPackages[[#This Row],[Request date serial]],3),"yyyy-mm-dd")</f>
        <v>2024-08-26</v>
      </c>
      <c r="P2098" s="51">
        <f>ABS(tblWorkPackages[[#This Row],[Actual labor hours]]-tblWorkPackages[[#This Row],[Estimated labor hours]])</f>
        <v>0.5</v>
      </c>
      <c r="Q2098" s="51">
        <f>IF(tblWorkPackages[[#This Row],[Actual labor hours]]&gt;tblWorkPackages[[#This Row],[Estimated labor hours]],1,0)</f>
        <v>1</v>
      </c>
      <c r="R2098" s="51">
        <f>tblWorkPackages[[#This Row],[Actual labor hours]]-tblWorkPackages[[#This Row],[Estimated labor hours]]</f>
        <v>0.5</v>
      </c>
      <c r="S2098" s="51" t="str">
        <f>IF(tblWorkPackages[[#This Row],[Request date serial]]&lt;ValidationStart,"Train 2024",IF(tblWorkPackages[[#This Row],[Request date serial]]&lt;HoldoutStart,"Validation H1","Holdout H2"))</f>
        <v>Train 2024</v>
      </c>
      <c r="T2098" s="51" t="str">
        <f>IF(tblWorkPackages[[#This Row],[Time split]]="Train 2024","",tblWorkPackages[[#This Row],[Estimated labor hours]]+VLOOKUP(tblWorkPackages[[#This Row],[Task type]],'Forecast validation'!$A$14:$E$25,IF(tblWorkPackages[[#This Row],[Time split]]="Validation H1",4,5),FALSE()))</f>
        <v/>
      </c>
      <c r="U2098" s="51" t="str">
        <f>IF(tblWorkPackages[[#This Row],[Calibrated forecast hours]]="","",ABS(tblWorkPackages[[#This Row],[Actual labor hours]]-tblWorkPackages[[#This Row],[Calibrated forecast hours]]))</f>
        <v/>
      </c>
      <c r="V2098" s="51">
        <f>IF(tblWorkPackages[[#This Row],[Time split]]="Train 2024",tblWorkPackages[[#This Row],[Estimated labor hours]],tblWorkPackages[[#This Row],[Calibrated forecast hours]])</f>
        <v>8.7</v>
      </c>
      <c r="W2098" s="64">
        <f>DATEVALUE(tblWorkPackages[[#This Row],[Request date]])</f>
        <v>45533.0</v>
      </c>
      <c r="X2098" s="64">
        <f>DATEVALUE(tblWorkPackages[[#This Row],[Due date]])</f>
        <v>45546.0</v>
      </c>
      <c r="Y2098" s="64">
        <f>DATEVALUE(tblWorkPackages[[#This Row],[Completion date]])</f>
        <v>45535.0</v>
      </c>
      <c r="Z2098" s="64">
        <f>_xlfn.MINIFS(tblLaborEntries[Work date serial],tblLaborEntries[Work package ID],tblWorkPackages[[#This Row],[Work package ID]])</f>
        <v>45534.0</v>
      </c>
      <c r="AA2098" s="64">
        <f>_xlfn.MAXIFS(tblLaborEntries[Work date serial],tblLaborEntries[Work package ID],tblWorkPackages[[#This Row],[Work package ID]])</f>
        <v>45535.0</v>
      </c>
      <c r="AB2098" s="65">
        <f>IF(tblWorkPackages[[#This Row],[Completion date serial]]&gt;tblWorkPackages[[#This Row],[Due date serial]],1,0)</f>
        <v>0</v>
      </c>
      <c r="AC2098" s="65">
        <f>MAX(0,tblWorkPackages[[#This Row],[Completion date serial]]-tblWorkPackages[[#This Row],[Due date serial]])</f>
        <v>0</v>
      </c>
      <c r="AD2098" s="65">
        <f>tblWorkPackages[[#This Row],[First labor date]]-tblWorkPackages[[#This Row],[Request date serial]]</f>
        <v>1</v>
      </c>
      <c r="AE2098" s="65">
        <f>tblWorkPackages[[#This Row],[Last labor date]]-tblWorkPackages[[#This Row],[First labor date]]</f>
        <v>1</v>
      </c>
      <c r="AF2098" s="65">
        <f>tblWorkPackages[[#This Row],[Completion date serial]]-tblWorkPackages[[#This Row],[Last labor date]]</f>
        <v>0</v>
      </c>
      <c r="AG2098" s="65">
        <f>tblWorkPackages[[#This Row],[Completion date serial]]-tblWorkPackages[[#This Row],[Request date serial]]</f>
        <v>2</v>
      </c>
      <c r="AH2098" s="65">
        <f>IFERROR(INDEX(tblParts[Delay days],MATCH(tblWorkPackages[[#This Row],[Work package ID]],tblParts[Work package ID],0)),0)</f>
        <v>0</v>
      </c>
      <c r="AI2098" s="51" t="str">
        <f>IFERROR(INDEX(tblDisruptions[Event type],MATCH(tblWorkPackages[[#This Row],[Work package ID]],tblDisruptions[Work package ID],0)),"None")</f>
        <v>Repeat inspection</v>
      </c>
      <c r="AJ2098" s="51" t="str">
        <f>TEXT(tblWorkPackages[[#This Row],[Due date serial]],"yyyy-mm")</f>
        <v>2024-09</v>
      </c>
    </row>
    <row r="2099" spans="1:36" ht="15" x14ac:dyDescent="0.25">
      <c r="A2099" s="53" t="s">
        <v>3011</v>
      </c>
      <c r="B2099" s="53" t="s">
        <v>163</v>
      </c>
      <c r="C2099" s="53" t="s">
        <v>1263</v>
      </c>
      <c r="D2099" s="53" t="s">
        <v>773</v>
      </c>
      <c r="E2099" s="53" t="s">
        <v>136</v>
      </c>
      <c r="F2099" s="53" t="s">
        <v>137</v>
      </c>
      <c r="G2099" s="53" t="s">
        <v>138</v>
      </c>
      <c r="H2099" s="53">
        <v>4</v>
      </c>
      <c r="I2099" s="53" t="s">
        <v>176</v>
      </c>
      <c r="J2099" s="53">
        <v>0</v>
      </c>
      <c r="K2099" s="53">
        <v>0</v>
      </c>
      <c r="L2099" s="53">
        <v>26.7</v>
      </c>
      <c r="M2099" s="53" t="s">
        <v>328</v>
      </c>
      <c r="N2099" s="53">
        <v>31.1</v>
      </c>
      <c r="O2099" s="51" t="str">
        <f>TEXT(tblWorkPackages[[#This Row],[Request date serial]]-WEEKDAY(tblWorkPackages[[#This Row],[Request date serial]],3),"yyyy-mm-dd")</f>
        <v>2024-02-26</v>
      </c>
      <c r="P2099" s="51">
        <f>ABS(tblWorkPackages[[#This Row],[Actual labor hours]]-tblWorkPackages[[#This Row],[Estimated labor hours]])</f>
        <v>4.4</v>
      </c>
      <c r="Q2099" s="51">
        <f>IF(tblWorkPackages[[#This Row],[Actual labor hours]]&gt;tblWorkPackages[[#This Row],[Estimated labor hours]],1,0)</f>
        <v>1</v>
      </c>
      <c r="R2099" s="51">
        <f>tblWorkPackages[[#This Row],[Actual labor hours]]-tblWorkPackages[[#This Row],[Estimated labor hours]]</f>
        <v>4.4</v>
      </c>
      <c r="S2099" s="51" t="str">
        <f>IF(tblWorkPackages[[#This Row],[Request date serial]]&lt;ValidationStart,"Train 2024",IF(tblWorkPackages[[#This Row],[Request date serial]]&lt;HoldoutStart,"Validation H1","Holdout H2"))</f>
        <v>Train 2024</v>
      </c>
      <c r="T2099" s="51" t="str">
        <f>IF(tblWorkPackages[[#This Row],[Time split]]="Train 2024","",tblWorkPackages[[#This Row],[Estimated labor hours]]+VLOOKUP(tblWorkPackages[[#This Row],[Task type]],'Forecast validation'!$A$14:$E$25,IF(tblWorkPackages[[#This Row],[Time split]]="Validation H1",4,5),FALSE()))</f>
        <v/>
      </c>
      <c r="U2099" s="51" t="str">
        <f>IF(tblWorkPackages[[#This Row],[Calibrated forecast hours]]="","",ABS(tblWorkPackages[[#This Row],[Actual labor hours]]-tblWorkPackages[[#This Row],[Calibrated forecast hours]]))</f>
        <v/>
      </c>
      <c r="V2099" s="51">
        <f>IF(tblWorkPackages[[#This Row],[Time split]]="Train 2024",tblWorkPackages[[#This Row],[Estimated labor hours]],tblWorkPackages[[#This Row],[Calibrated forecast hours]])</f>
        <v>26.7</v>
      </c>
      <c r="W2099" s="64">
        <f>DATEVALUE(tblWorkPackages[[#This Row],[Request date]])</f>
        <v>45350.0</v>
      </c>
      <c r="X2099" s="64">
        <f>DATEVALUE(tblWorkPackages[[#This Row],[Due date]])</f>
        <v>45356.0</v>
      </c>
      <c r="Y2099" s="64">
        <f>DATEVALUE(tblWorkPackages[[#This Row],[Completion date]])</f>
        <v>45361.0</v>
      </c>
      <c r="Z2099" s="64">
        <f>_xlfn.MINIFS(tblLaborEntries[Work date serial],tblLaborEntries[Work package ID],tblWorkPackages[[#This Row],[Work package ID]])</f>
        <v>45359.0</v>
      </c>
      <c r="AA2099" s="64">
        <f>_xlfn.MAXIFS(tblLaborEntries[Work date serial],tblLaborEntries[Work package ID],tblWorkPackages[[#This Row],[Work package ID]])</f>
        <v>45360.0</v>
      </c>
      <c r="AB2099" s="65">
        <f>IF(tblWorkPackages[[#This Row],[Completion date serial]]&gt;tblWorkPackages[[#This Row],[Due date serial]],1,0)</f>
        <v>1</v>
      </c>
      <c r="AC2099" s="65">
        <f>MAX(0,tblWorkPackages[[#This Row],[Completion date serial]]-tblWorkPackages[[#This Row],[Due date serial]])</f>
        <v>5</v>
      </c>
      <c r="AD2099" s="65">
        <f>tblWorkPackages[[#This Row],[First labor date]]-tblWorkPackages[[#This Row],[Request date serial]]</f>
        <v>9</v>
      </c>
      <c r="AE2099" s="65">
        <f>tblWorkPackages[[#This Row],[Last labor date]]-tblWorkPackages[[#This Row],[First labor date]]</f>
        <v>1</v>
      </c>
      <c r="AF2099" s="65">
        <f>tblWorkPackages[[#This Row],[Completion date serial]]-tblWorkPackages[[#This Row],[Last labor date]]</f>
        <v>1</v>
      </c>
      <c r="AG2099" s="65">
        <f>tblWorkPackages[[#This Row],[Completion date serial]]-tblWorkPackages[[#This Row],[Request date serial]]</f>
        <v>11</v>
      </c>
      <c r="AH2099" s="65">
        <f>IFERROR(INDEX(tblParts[Delay days],MATCH(tblWorkPackages[[#This Row],[Work package ID]],tblParts[Work package ID],0)),0)</f>
        <v>0</v>
      </c>
      <c r="AI2099" s="51" t="str">
        <f>IFERROR(INDEX(tblDisruptions[Event type],MATCH(tblWorkPackages[[#This Row],[Work package ID]],tblDisruptions[Work package ID],0)),"None")</f>
        <v>None</v>
      </c>
      <c r="AJ2099" s="51" t="str">
        <f>TEXT(tblWorkPackages[[#This Row],[Due date serial]],"yyyy-mm")</f>
        <v>2024-03</v>
      </c>
    </row>
    <row r="2100" spans="1:36" ht="15" x14ac:dyDescent="0.25">
      <c r="A2100" s="53" t="s">
        <v>3012</v>
      </c>
      <c r="B2100" s="53" t="s">
        <v>150</v>
      </c>
      <c r="C2100" s="53" t="s">
        <v>521</v>
      </c>
      <c r="D2100" s="53" t="s">
        <v>790</v>
      </c>
      <c r="E2100" s="53" t="s">
        <v>160</v>
      </c>
      <c r="F2100" s="53" t="s">
        <v>128</v>
      </c>
      <c r="G2100" s="53" t="s">
        <v>138</v>
      </c>
      <c r="H2100" s="53">
        <v>2</v>
      </c>
      <c r="I2100" s="53" t="s">
        <v>130</v>
      </c>
      <c r="J2100" s="53">
        <v>0</v>
      </c>
      <c r="K2100" s="53">
        <v>0</v>
      </c>
      <c r="L2100" s="53">
        <v>4.3</v>
      </c>
      <c r="M2100" s="53" t="s">
        <v>1330</v>
      </c>
      <c r="N2100" s="53">
        <v>5</v>
      </c>
      <c r="O2100" s="51" t="str">
        <f>TEXT(tblWorkPackages[[#This Row],[Request date serial]]-WEEKDAY(tblWorkPackages[[#This Row],[Request date serial]],3),"yyyy-mm-dd")</f>
        <v>2025-09-01</v>
      </c>
      <c r="P2100" s="51">
        <f>ABS(tblWorkPackages[[#This Row],[Actual labor hours]]-tblWorkPackages[[#This Row],[Estimated labor hours]])</f>
        <v>0.7</v>
      </c>
      <c r="Q2100" s="51">
        <f>IF(tblWorkPackages[[#This Row],[Actual labor hours]]&gt;tblWorkPackages[[#This Row],[Estimated labor hours]],1,0)</f>
        <v>1</v>
      </c>
      <c r="R2100" s="51">
        <f>tblWorkPackages[[#This Row],[Actual labor hours]]-tblWorkPackages[[#This Row],[Estimated labor hours]]</f>
        <v>0.7</v>
      </c>
      <c r="S2100" s="51" t="str">
        <f>IF(tblWorkPackages[[#This Row],[Request date serial]]&lt;ValidationStart,"Train 2024",IF(tblWorkPackages[[#This Row],[Request date serial]]&lt;HoldoutStart,"Validation H1","Holdout H2"))</f>
        <v>Holdout H2</v>
      </c>
      <c r="T2100" s="51">
        <f>IF(tblWorkPackages[[#This Row],[Time split]]="Train 2024","",tblWorkPackages[[#This Row],[Estimated labor hours]]+VLOOKUP(tblWorkPackages[[#This Row],[Task type]],'Forecast validation'!$A$14:$E$25,IF(tblWorkPackages[[#This Row],[Time split]]="Validation H1",4,5),FALSE()))</f>
        <v>4.73739837398374</v>
      </c>
      <c r="U2100" s="51">
        <f>IF(tblWorkPackages[[#This Row],[Calibrated forecast hours]]="","",ABS(tblWorkPackages[[#This Row],[Actual labor hours]]-tblWorkPackages[[#This Row],[Calibrated forecast hours]]))</f>
        <v>0.26260162601626</v>
      </c>
      <c r="V2100" s="51">
        <f>IF(tblWorkPackages[[#This Row],[Time split]]="Train 2024",tblWorkPackages[[#This Row],[Estimated labor hours]],tblWorkPackages[[#This Row],[Calibrated forecast hours]])</f>
        <v>4.73739837398374</v>
      </c>
      <c r="W2100" s="64">
        <f>DATEVALUE(tblWorkPackages[[#This Row],[Request date]])</f>
        <v>45903.0</v>
      </c>
      <c r="X2100" s="64">
        <f>DATEVALUE(tblWorkPackages[[#This Row],[Due date]])</f>
        <v>45916.0</v>
      </c>
      <c r="Y2100" s="64">
        <f>DATEVALUE(tblWorkPackages[[#This Row],[Completion date]])</f>
        <v>45909.0</v>
      </c>
      <c r="Z2100" s="64">
        <f>_xlfn.MINIFS(tblLaborEntries[Work date serial],tblLaborEntries[Work package ID],tblWorkPackages[[#This Row],[Work package ID]])</f>
        <v>45906.0</v>
      </c>
      <c r="AA2100" s="64">
        <f>_xlfn.MAXIFS(tblLaborEntries[Work date serial],tblLaborEntries[Work package ID],tblWorkPackages[[#This Row],[Work package ID]])</f>
        <v>45907.0</v>
      </c>
      <c r="AB2100" s="65">
        <f>IF(tblWorkPackages[[#This Row],[Completion date serial]]&gt;tblWorkPackages[[#This Row],[Due date serial]],1,0)</f>
        <v>0</v>
      </c>
      <c r="AC2100" s="65">
        <f>MAX(0,tblWorkPackages[[#This Row],[Completion date serial]]-tblWorkPackages[[#This Row],[Due date serial]])</f>
        <v>0</v>
      </c>
      <c r="AD2100" s="65">
        <f>tblWorkPackages[[#This Row],[First labor date]]-tblWorkPackages[[#This Row],[Request date serial]]</f>
        <v>3</v>
      </c>
      <c r="AE2100" s="65">
        <f>tblWorkPackages[[#This Row],[Last labor date]]-tblWorkPackages[[#This Row],[First labor date]]</f>
        <v>1</v>
      </c>
      <c r="AF2100" s="65">
        <f>tblWorkPackages[[#This Row],[Completion date serial]]-tblWorkPackages[[#This Row],[Last labor date]]</f>
        <v>2</v>
      </c>
      <c r="AG2100" s="65">
        <f>tblWorkPackages[[#This Row],[Completion date serial]]-tblWorkPackages[[#This Row],[Request date serial]]</f>
        <v>6</v>
      </c>
      <c r="AH2100" s="65">
        <f>IFERROR(INDEX(tblParts[Delay days],MATCH(tblWorkPackages[[#This Row],[Work package ID]],tblParts[Work package ID],0)),0)</f>
        <v>0</v>
      </c>
      <c r="AI2100" s="51" t="str">
        <f>IFERROR(INDEX(tblDisruptions[Event type],MATCH(tblWorkPackages[[#This Row],[Work package ID]],tblDisruptions[Work package ID],0)),"None")</f>
        <v>None</v>
      </c>
      <c r="AJ2100" s="51" t="str">
        <f>TEXT(tblWorkPackages[[#This Row],[Due date serial]],"yyyy-mm")</f>
        <v>2025-09</v>
      </c>
    </row>
    <row r="2101" spans="1:36" ht="15" x14ac:dyDescent="0.25">
      <c r="A2101" s="53" t="s">
        <v>3013</v>
      </c>
      <c r="B2101" s="53" t="s">
        <v>287</v>
      </c>
      <c r="C2101" s="53" t="s">
        <v>307</v>
      </c>
      <c r="D2101" s="53" t="s">
        <v>560</v>
      </c>
      <c r="E2101" s="53" t="s">
        <v>223</v>
      </c>
      <c r="F2101" s="53" t="s">
        <v>182</v>
      </c>
      <c r="G2101" s="53" t="s">
        <v>154</v>
      </c>
      <c r="H2101" s="53">
        <v>1</v>
      </c>
      <c r="I2101" s="53" t="s">
        <v>176</v>
      </c>
      <c r="J2101" s="53">
        <v>0</v>
      </c>
      <c r="K2101" s="53">
        <v>0</v>
      </c>
      <c r="L2101" s="53">
        <v>7.5</v>
      </c>
      <c r="M2101" s="53" t="s">
        <v>1581</v>
      </c>
      <c r="N2101" s="53">
        <v>9.5</v>
      </c>
      <c r="O2101" s="51" t="str">
        <f>TEXT(tblWorkPackages[[#This Row],[Request date serial]]-WEEKDAY(tblWorkPackages[[#This Row],[Request date serial]],3),"yyyy-mm-dd")</f>
        <v>2025-11-03</v>
      </c>
      <c r="P2101" s="51">
        <f>ABS(tblWorkPackages[[#This Row],[Actual labor hours]]-tblWorkPackages[[#This Row],[Estimated labor hours]])</f>
        <v>2</v>
      </c>
      <c r="Q2101" s="51">
        <f>IF(tblWorkPackages[[#This Row],[Actual labor hours]]&gt;tblWorkPackages[[#This Row],[Estimated labor hours]],1,0)</f>
        <v>1</v>
      </c>
      <c r="R2101" s="51">
        <f>tblWorkPackages[[#This Row],[Actual labor hours]]-tblWorkPackages[[#This Row],[Estimated labor hours]]</f>
        <v>2</v>
      </c>
      <c r="S2101" s="51" t="str">
        <f>IF(tblWorkPackages[[#This Row],[Request date serial]]&lt;ValidationStart,"Train 2024",IF(tblWorkPackages[[#This Row],[Request date serial]]&lt;HoldoutStart,"Validation H1","Holdout H2"))</f>
        <v>Holdout H2</v>
      </c>
      <c r="T2101" s="51">
        <f>IF(tblWorkPackages[[#This Row],[Time split]]="Train 2024","",tblWorkPackages[[#This Row],[Estimated labor hours]]+VLOOKUP(tblWorkPackages[[#This Row],[Task type]],'Forecast validation'!$A$14:$E$25,IF(tblWorkPackages[[#This Row],[Time split]]="Validation H1",4,5),FALSE()))</f>
        <v>8.42465753424658</v>
      </c>
      <c r="U2101" s="51">
        <f>IF(tblWorkPackages[[#This Row],[Calibrated forecast hours]]="","",ABS(tblWorkPackages[[#This Row],[Actual labor hours]]-tblWorkPackages[[#This Row],[Calibrated forecast hours]]))</f>
        <v>1.07534246575342</v>
      </c>
      <c r="V2101" s="51">
        <f>IF(tblWorkPackages[[#This Row],[Time split]]="Train 2024",tblWorkPackages[[#This Row],[Estimated labor hours]],tblWorkPackages[[#This Row],[Calibrated forecast hours]])</f>
        <v>8.42465753424658</v>
      </c>
      <c r="W2101" s="64">
        <f>DATEVALUE(tblWorkPackages[[#This Row],[Request date]])</f>
        <v>45964.0</v>
      </c>
      <c r="X2101" s="64">
        <f>DATEVALUE(tblWorkPackages[[#This Row],[Due date]])</f>
        <v>45970.0</v>
      </c>
      <c r="Y2101" s="64">
        <f>DATEVALUE(tblWorkPackages[[#This Row],[Completion date]])</f>
        <v>45992.0</v>
      </c>
      <c r="Z2101" s="64">
        <f>_xlfn.MINIFS(tblLaborEntries[Work date serial],tblLaborEntries[Work package ID],tblWorkPackages[[#This Row],[Work package ID]])</f>
        <v>45989.0</v>
      </c>
      <c r="AA2101" s="64">
        <f>_xlfn.MAXIFS(tblLaborEntries[Work date serial],tblLaborEntries[Work package ID],tblWorkPackages[[#This Row],[Work package ID]])</f>
        <v>45989.0</v>
      </c>
      <c r="AB2101" s="65">
        <f>IF(tblWorkPackages[[#This Row],[Completion date serial]]&gt;tblWorkPackages[[#This Row],[Due date serial]],1,0)</f>
        <v>1</v>
      </c>
      <c r="AC2101" s="65">
        <f>MAX(0,tblWorkPackages[[#This Row],[Completion date serial]]-tblWorkPackages[[#This Row],[Due date serial]])</f>
        <v>22</v>
      </c>
      <c r="AD2101" s="65">
        <f>tblWorkPackages[[#This Row],[First labor date]]-tblWorkPackages[[#This Row],[Request date serial]]</f>
        <v>25</v>
      </c>
      <c r="AE2101" s="65">
        <f>tblWorkPackages[[#This Row],[Last labor date]]-tblWorkPackages[[#This Row],[First labor date]]</f>
        <v>0</v>
      </c>
      <c r="AF2101" s="65">
        <f>tblWorkPackages[[#This Row],[Completion date serial]]-tblWorkPackages[[#This Row],[Last labor date]]</f>
        <v>3</v>
      </c>
      <c r="AG2101" s="65">
        <f>tblWorkPackages[[#This Row],[Completion date serial]]-tblWorkPackages[[#This Row],[Request date serial]]</f>
        <v>28</v>
      </c>
      <c r="AH2101" s="65">
        <f>IFERROR(INDEX(tblParts[Delay days],MATCH(tblWorkPackages[[#This Row],[Work package ID]],tblParts[Work package ID],0)),0)</f>
        <v>0</v>
      </c>
      <c r="AI2101" s="51" t="str">
        <f>IFERROR(INDEX(tblDisruptions[Event type],MATCH(tblWorkPackages[[#This Row],[Work package ID]],tblDisruptions[Work package ID],0)),"None")</f>
        <v>None</v>
      </c>
      <c r="AJ2101" s="51" t="str">
        <f>TEXT(tblWorkPackages[[#This Row],[Due date serial]],"yyyy-mm")</f>
        <v>2025-11</v>
      </c>
    </row>
    <row r="2102" spans="1:36" ht="15" x14ac:dyDescent="0.25">
      <c r="A2102" s="53" t="s">
        <v>3014</v>
      </c>
      <c r="B2102" s="53" t="s">
        <v>150</v>
      </c>
      <c r="C2102" s="53" t="s">
        <v>1439</v>
      </c>
      <c r="D2102" s="53" t="s">
        <v>895</v>
      </c>
      <c r="E2102" s="53" t="s">
        <v>144</v>
      </c>
      <c r="F2102" s="53" t="s">
        <v>145</v>
      </c>
      <c r="G2102" s="53" t="s">
        <v>146</v>
      </c>
      <c r="H2102" s="53">
        <v>2</v>
      </c>
      <c r="I2102" s="53" t="s">
        <v>130</v>
      </c>
      <c r="J2102" s="53">
        <v>0</v>
      </c>
      <c r="K2102" s="53">
        <v>1</v>
      </c>
      <c r="L2102" s="53">
        <v>9.9</v>
      </c>
      <c r="M2102" s="53" t="s">
        <v>895</v>
      </c>
      <c r="N2102" s="53">
        <v>12.9</v>
      </c>
      <c r="O2102" s="51" t="str">
        <f>TEXT(tblWorkPackages[[#This Row],[Request date serial]]-WEEKDAY(tblWorkPackages[[#This Row],[Request date serial]],3),"yyyy-mm-dd")</f>
        <v>2024-09-02</v>
      </c>
      <c r="P2102" s="51">
        <f>ABS(tblWorkPackages[[#This Row],[Actual labor hours]]-tblWorkPackages[[#This Row],[Estimated labor hours]])</f>
        <v>3</v>
      </c>
      <c r="Q2102" s="51">
        <f>IF(tblWorkPackages[[#This Row],[Actual labor hours]]&gt;tblWorkPackages[[#This Row],[Estimated labor hours]],1,0)</f>
        <v>1</v>
      </c>
      <c r="R2102" s="51">
        <f>tblWorkPackages[[#This Row],[Actual labor hours]]-tblWorkPackages[[#This Row],[Estimated labor hours]]</f>
        <v>3</v>
      </c>
      <c r="S2102" s="51" t="str">
        <f>IF(tblWorkPackages[[#This Row],[Request date serial]]&lt;ValidationStart,"Train 2024",IF(tblWorkPackages[[#This Row],[Request date serial]]&lt;HoldoutStart,"Validation H1","Holdout H2"))</f>
        <v>Train 2024</v>
      </c>
      <c r="T2102" s="51" t="str">
        <f>IF(tblWorkPackages[[#This Row],[Time split]]="Train 2024","",tblWorkPackages[[#This Row],[Estimated labor hours]]+VLOOKUP(tblWorkPackages[[#This Row],[Task type]],'Forecast validation'!$A$14:$E$25,IF(tblWorkPackages[[#This Row],[Time split]]="Validation H1",4,5),FALSE()))</f>
        <v/>
      </c>
      <c r="U2102" s="51" t="str">
        <f>IF(tblWorkPackages[[#This Row],[Calibrated forecast hours]]="","",ABS(tblWorkPackages[[#This Row],[Actual labor hours]]-tblWorkPackages[[#This Row],[Calibrated forecast hours]]))</f>
        <v/>
      </c>
      <c r="V2102" s="51">
        <f>IF(tblWorkPackages[[#This Row],[Time split]]="Train 2024",tblWorkPackages[[#This Row],[Estimated labor hours]],tblWorkPackages[[#This Row],[Calibrated forecast hours]])</f>
        <v>9.9</v>
      </c>
      <c r="W2102" s="64">
        <f>DATEVALUE(tblWorkPackages[[#This Row],[Request date]])</f>
        <v>45540.0</v>
      </c>
      <c r="X2102" s="64">
        <f>DATEVALUE(tblWorkPackages[[#This Row],[Due date]])</f>
        <v>45553.0</v>
      </c>
      <c r="Y2102" s="64">
        <f>DATEVALUE(tblWorkPackages[[#This Row],[Completion date]])</f>
        <v>45553.0</v>
      </c>
      <c r="Z2102" s="64">
        <f>_xlfn.MINIFS(tblLaborEntries[Work date serial],tblLaborEntries[Work package ID],tblWorkPackages[[#This Row],[Work package ID]])</f>
        <v>45553.0</v>
      </c>
      <c r="AA2102" s="64">
        <f>_xlfn.MAXIFS(tblLaborEntries[Work date serial],tblLaborEntries[Work package ID],tblWorkPackages[[#This Row],[Work package ID]])</f>
        <v>45553.0</v>
      </c>
      <c r="AB2102" s="65">
        <f>IF(tblWorkPackages[[#This Row],[Completion date serial]]&gt;tblWorkPackages[[#This Row],[Due date serial]],1,0)</f>
        <v>0</v>
      </c>
      <c r="AC2102" s="65">
        <f>MAX(0,tblWorkPackages[[#This Row],[Completion date serial]]-tblWorkPackages[[#This Row],[Due date serial]])</f>
        <v>0</v>
      </c>
      <c r="AD2102" s="65">
        <f>tblWorkPackages[[#This Row],[First labor date]]-tblWorkPackages[[#This Row],[Request date serial]]</f>
        <v>13</v>
      </c>
      <c r="AE2102" s="65">
        <f>tblWorkPackages[[#This Row],[Last labor date]]-tblWorkPackages[[#This Row],[First labor date]]</f>
        <v>0</v>
      </c>
      <c r="AF2102" s="65">
        <f>tblWorkPackages[[#This Row],[Completion date serial]]-tblWorkPackages[[#This Row],[Last labor date]]</f>
        <v>0</v>
      </c>
      <c r="AG2102" s="65">
        <f>tblWorkPackages[[#This Row],[Completion date serial]]-tblWorkPackages[[#This Row],[Request date serial]]</f>
        <v>13</v>
      </c>
      <c r="AH2102" s="65">
        <f>IFERROR(INDEX(tblParts[Delay days],MATCH(tblWorkPackages[[#This Row],[Work package ID]],tblParts[Work package ID],0)),0)</f>
        <v>9</v>
      </c>
      <c r="AI2102" s="51" t="str">
        <f>IFERROR(INDEX(tblDisruptions[Event type],MATCH(tblWorkPackages[[#This Row],[Work package ID]],tblDisruptions[Work package ID],0)),"None")</f>
        <v>Part delay</v>
      </c>
      <c r="AJ2102" s="51" t="str">
        <f>TEXT(tblWorkPackages[[#This Row],[Due date serial]],"yyyy-mm")</f>
        <v>2024-09</v>
      </c>
    </row>
    <row r="2103" spans="1:36" ht="15" x14ac:dyDescent="0.25">
      <c r="A2103" s="53" t="s">
        <v>3015</v>
      </c>
      <c r="B2103" s="53" t="s">
        <v>185</v>
      </c>
      <c r="C2103" s="53" t="s">
        <v>419</v>
      </c>
      <c r="D2103" s="53" t="s">
        <v>577</v>
      </c>
      <c r="E2103" s="53" t="s">
        <v>160</v>
      </c>
      <c r="F2103" s="53" t="s">
        <v>128</v>
      </c>
      <c r="G2103" s="53" t="s">
        <v>138</v>
      </c>
      <c r="H2103" s="53">
        <v>4</v>
      </c>
      <c r="I2103" s="53" t="s">
        <v>176</v>
      </c>
      <c r="J2103" s="53">
        <v>0</v>
      </c>
      <c r="K2103" s="53">
        <v>0</v>
      </c>
      <c r="L2103" s="53">
        <v>9.4</v>
      </c>
      <c r="M2103" s="53" t="s">
        <v>705</v>
      </c>
      <c r="N2103" s="53">
        <v>8.8000000000000007</v>
      </c>
      <c r="O2103" s="51" t="str">
        <f>TEXT(tblWorkPackages[[#This Row],[Request date serial]]-WEEKDAY(tblWorkPackages[[#This Row],[Request date serial]],3),"yyyy-mm-dd")</f>
        <v>2024-06-10</v>
      </c>
      <c r="P2103" s="51">
        <f>ABS(tblWorkPackages[[#This Row],[Actual labor hours]]-tblWorkPackages[[#This Row],[Estimated labor hours]])</f>
        <v>0.6</v>
      </c>
      <c r="Q2103" s="51">
        <f>IF(tblWorkPackages[[#This Row],[Actual labor hours]]&gt;tblWorkPackages[[#This Row],[Estimated labor hours]],1,0)</f>
        <v>0</v>
      </c>
      <c r="R2103" s="51">
        <f>tblWorkPackages[[#This Row],[Actual labor hours]]-tblWorkPackages[[#This Row],[Estimated labor hours]]</f>
        <v>-0.6</v>
      </c>
      <c r="S2103" s="51" t="str">
        <f>IF(tblWorkPackages[[#This Row],[Request date serial]]&lt;ValidationStart,"Train 2024",IF(tblWorkPackages[[#This Row],[Request date serial]]&lt;HoldoutStart,"Validation H1","Holdout H2"))</f>
        <v>Train 2024</v>
      </c>
      <c r="T2103" s="51" t="str">
        <f>IF(tblWorkPackages[[#This Row],[Time split]]="Train 2024","",tblWorkPackages[[#This Row],[Estimated labor hours]]+VLOOKUP(tblWorkPackages[[#This Row],[Task type]],'Forecast validation'!$A$14:$E$25,IF(tblWorkPackages[[#This Row],[Time split]]="Validation H1",4,5),FALSE()))</f>
        <v/>
      </c>
      <c r="U2103" s="51" t="str">
        <f>IF(tblWorkPackages[[#This Row],[Calibrated forecast hours]]="","",ABS(tblWorkPackages[[#This Row],[Actual labor hours]]-tblWorkPackages[[#This Row],[Calibrated forecast hours]]))</f>
        <v/>
      </c>
      <c r="V2103" s="51">
        <f>IF(tblWorkPackages[[#This Row],[Time split]]="Train 2024",tblWorkPackages[[#This Row],[Estimated labor hours]],tblWorkPackages[[#This Row],[Calibrated forecast hours]])</f>
        <v>9.4</v>
      </c>
      <c r="W2103" s="64">
        <f>DATEVALUE(tblWorkPackages[[#This Row],[Request date]])</f>
        <v>45457.0</v>
      </c>
      <c r="X2103" s="64">
        <f>DATEVALUE(tblWorkPackages[[#This Row],[Due date]])</f>
        <v>45463.0</v>
      </c>
      <c r="Y2103" s="64">
        <f>DATEVALUE(tblWorkPackages[[#This Row],[Completion date]])</f>
        <v>45461.0</v>
      </c>
      <c r="Z2103" s="64">
        <f>_xlfn.MINIFS(tblLaborEntries[Work date serial],tblLaborEntries[Work package ID],tblWorkPackages[[#This Row],[Work package ID]])</f>
        <v>45458.0</v>
      </c>
      <c r="AA2103" s="64">
        <f>_xlfn.MAXIFS(tblLaborEntries[Work date serial],tblLaborEntries[Work package ID],tblWorkPackages[[#This Row],[Work package ID]])</f>
        <v>45460.0</v>
      </c>
      <c r="AB2103" s="65">
        <f>IF(tblWorkPackages[[#This Row],[Completion date serial]]&gt;tblWorkPackages[[#This Row],[Due date serial]],1,0)</f>
        <v>0</v>
      </c>
      <c r="AC2103" s="65">
        <f>MAX(0,tblWorkPackages[[#This Row],[Completion date serial]]-tblWorkPackages[[#This Row],[Due date serial]])</f>
        <v>0</v>
      </c>
      <c r="AD2103" s="65">
        <f>tblWorkPackages[[#This Row],[First labor date]]-tblWorkPackages[[#This Row],[Request date serial]]</f>
        <v>1</v>
      </c>
      <c r="AE2103" s="65">
        <f>tblWorkPackages[[#This Row],[Last labor date]]-tblWorkPackages[[#This Row],[First labor date]]</f>
        <v>2</v>
      </c>
      <c r="AF2103" s="65">
        <f>tblWorkPackages[[#This Row],[Completion date serial]]-tblWorkPackages[[#This Row],[Last labor date]]</f>
        <v>1</v>
      </c>
      <c r="AG2103" s="65">
        <f>tblWorkPackages[[#This Row],[Completion date serial]]-tblWorkPackages[[#This Row],[Request date serial]]</f>
        <v>4</v>
      </c>
      <c r="AH2103" s="65">
        <f>IFERROR(INDEX(tblParts[Delay days],MATCH(tblWorkPackages[[#This Row],[Work package ID]],tblParts[Work package ID],0)),0)</f>
        <v>0</v>
      </c>
      <c r="AI2103" s="51" t="str">
        <f>IFERROR(INDEX(tblDisruptions[Event type],MATCH(tblWorkPackages[[#This Row],[Work package ID]],tblDisruptions[Work package ID],0)),"None")</f>
        <v>None</v>
      </c>
      <c r="AJ2103" s="51" t="str">
        <f>TEXT(tblWorkPackages[[#This Row],[Due date serial]],"yyyy-mm")</f>
        <v>2024-06</v>
      </c>
    </row>
    <row r="2104" spans="1:36" ht="15" x14ac:dyDescent="0.25">
      <c r="A2104" s="53" t="s">
        <v>3016</v>
      </c>
      <c r="B2104" s="53" t="s">
        <v>287</v>
      </c>
      <c r="C2104" s="53" t="s">
        <v>439</v>
      </c>
      <c r="D2104" s="53" t="s">
        <v>1299</v>
      </c>
      <c r="E2104" s="53" t="s">
        <v>200</v>
      </c>
      <c r="F2104" s="53" t="s">
        <v>128</v>
      </c>
      <c r="G2104" s="53" t="s">
        <v>129</v>
      </c>
      <c r="H2104" s="53">
        <v>4</v>
      </c>
      <c r="I2104" s="53" t="s">
        <v>130</v>
      </c>
      <c r="J2104" s="53">
        <v>0</v>
      </c>
      <c r="K2104" s="53">
        <v>0</v>
      </c>
      <c r="L2104" s="53">
        <v>5.7</v>
      </c>
      <c r="M2104" s="53" t="s">
        <v>643</v>
      </c>
      <c r="N2104" s="53">
        <v>6.2</v>
      </c>
      <c r="O2104" s="51" t="str">
        <f>TEXT(tblWorkPackages[[#This Row],[Request date serial]]-WEEKDAY(tblWorkPackages[[#This Row],[Request date serial]],3),"yyyy-mm-dd")</f>
        <v>2024-07-01</v>
      </c>
      <c r="P2104" s="51">
        <f>ABS(tblWorkPackages[[#This Row],[Actual labor hours]]-tblWorkPackages[[#This Row],[Estimated labor hours]])</f>
        <v>0.5</v>
      </c>
      <c r="Q2104" s="51">
        <f>IF(tblWorkPackages[[#This Row],[Actual labor hours]]&gt;tblWorkPackages[[#This Row],[Estimated labor hours]],1,0)</f>
        <v>1</v>
      </c>
      <c r="R2104" s="51">
        <f>tblWorkPackages[[#This Row],[Actual labor hours]]-tblWorkPackages[[#This Row],[Estimated labor hours]]</f>
        <v>0.5</v>
      </c>
      <c r="S2104" s="51" t="str">
        <f>IF(tblWorkPackages[[#This Row],[Request date serial]]&lt;ValidationStart,"Train 2024",IF(tblWorkPackages[[#This Row],[Request date serial]]&lt;HoldoutStart,"Validation H1","Holdout H2"))</f>
        <v>Train 2024</v>
      </c>
      <c r="T2104" s="51" t="str">
        <f>IF(tblWorkPackages[[#This Row],[Time split]]="Train 2024","",tblWorkPackages[[#This Row],[Estimated labor hours]]+VLOOKUP(tblWorkPackages[[#This Row],[Task type]],'Forecast validation'!$A$14:$E$25,IF(tblWorkPackages[[#This Row],[Time split]]="Validation H1",4,5),FALSE()))</f>
        <v/>
      </c>
      <c r="U2104" s="51" t="str">
        <f>IF(tblWorkPackages[[#This Row],[Calibrated forecast hours]]="","",ABS(tblWorkPackages[[#This Row],[Actual labor hours]]-tblWorkPackages[[#This Row],[Calibrated forecast hours]]))</f>
        <v/>
      </c>
      <c r="V2104" s="51">
        <f>IF(tblWorkPackages[[#This Row],[Time split]]="Train 2024",tblWorkPackages[[#This Row],[Estimated labor hours]],tblWorkPackages[[#This Row],[Calibrated forecast hours]])</f>
        <v>5.7</v>
      </c>
      <c r="W2104" s="64">
        <f>DATEVALUE(tblWorkPackages[[#This Row],[Request date]])</f>
        <v>45480.0</v>
      </c>
      <c r="X2104" s="64">
        <f>DATEVALUE(tblWorkPackages[[#This Row],[Due date]])</f>
        <v>45493.0</v>
      </c>
      <c r="Y2104" s="64">
        <f>DATEVALUE(tblWorkPackages[[#This Row],[Completion date]])</f>
        <v>45495.0</v>
      </c>
      <c r="Z2104" s="64">
        <f>_xlfn.MINIFS(tblLaborEntries[Work date serial],tblLaborEntries[Work package ID],tblWorkPackages[[#This Row],[Work package ID]])</f>
        <v>45493.0</v>
      </c>
      <c r="AA2104" s="64">
        <f>_xlfn.MAXIFS(tblLaborEntries[Work date serial],tblLaborEntries[Work package ID],tblWorkPackages[[#This Row],[Work package ID]])</f>
        <v>45493.0</v>
      </c>
      <c r="AB2104" s="65">
        <f>IF(tblWorkPackages[[#This Row],[Completion date serial]]&gt;tblWorkPackages[[#This Row],[Due date serial]],1,0)</f>
        <v>1</v>
      </c>
      <c r="AC2104" s="65">
        <f>MAX(0,tblWorkPackages[[#This Row],[Completion date serial]]-tblWorkPackages[[#This Row],[Due date serial]])</f>
        <v>2</v>
      </c>
      <c r="AD2104" s="65">
        <f>tblWorkPackages[[#This Row],[First labor date]]-tblWorkPackages[[#This Row],[Request date serial]]</f>
        <v>13</v>
      </c>
      <c r="AE2104" s="65">
        <f>tblWorkPackages[[#This Row],[Last labor date]]-tblWorkPackages[[#This Row],[First labor date]]</f>
        <v>0</v>
      </c>
      <c r="AF2104" s="65">
        <f>tblWorkPackages[[#This Row],[Completion date serial]]-tblWorkPackages[[#This Row],[Last labor date]]</f>
        <v>2</v>
      </c>
      <c r="AG2104" s="65">
        <f>tblWorkPackages[[#This Row],[Completion date serial]]-tblWorkPackages[[#This Row],[Request date serial]]</f>
        <v>15</v>
      </c>
      <c r="AH2104" s="65">
        <f>IFERROR(INDEX(tblParts[Delay days],MATCH(tblWorkPackages[[#This Row],[Work package ID]],tblParts[Work package ID],0)),0)</f>
        <v>0</v>
      </c>
      <c r="AI2104" s="51" t="str">
        <f>IFERROR(INDEX(tblDisruptions[Event type],MATCH(tblWorkPackages[[#This Row],[Work package ID]],tblDisruptions[Work package ID],0)),"None")</f>
        <v>None</v>
      </c>
      <c r="AJ2104" s="51" t="str">
        <f>TEXT(tblWorkPackages[[#This Row],[Due date serial]],"yyyy-mm")</f>
        <v>2024-07</v>
      </c>
    </row>
    <row r="2105" spans="1:36" ht="15" x14ac:dyDescent="0.25">
      <c r="A2105" s="53" t="s">
        <v>3017</v>
      </c>
      <c r="B2105" s="53" t="s">
        <v>157</v>
      </c>
      <c r="C2105" s="53" t="s">
        <v>480</v>
      </c>
      <c r="D2105" s="53" t="s">
        <v>558</v>
      </c>
      <c r="E2105" s="53" t="s">
        <v>153</v>
      </c>
      <c r="F2105" s="53" t="s">
        <v>128</v>
      </c>
      <c r="G2105" s="53" t="s">
        <v>154</v>
      </c>
      <c r="H2105" s="53">
        <v>2</v>
      </c>
      <c r="I2105" s="53" t="s">
        <v>176</v>
      </c>
      <c r="J2105" s="53">
        <v>0</v>
      </c>
      <c r="K2105" s="53">
        <v>0</v>
      </c>
      <c r="L2105" s="53">
        <v>7.7</v>
      </c>
      <c r="M2105" s="53" t="s">
        <v>558</v>
      </c>
      <c r="N2105" s="53">
        <v>9.1</v>
      </c>
      <c r="O2105" s="51" t="str">
        <f>TEXT(tblWorkPackages[[#This Row],[Request date serial]]-WEEKDAY(tblWorkPackages[[#This Row],[Request date serial]],3),"yyyy-mm-dd")</f>
        <v>2025-10-20</v>
      </c>
      <c r="P2105" s="51">
        <f>ABS(tblWorkPackages[[#This Row],[Actual labor hours]]-tblWorkPackages[[#This Row],[Estimated labor hours]])</f>
        <v>1.4</v>
      </c>
      <c r="Q2105" s="51">
        <f>IF(tblWorkPackages[[#This Row],[Actual labor hours]]&gt;tblWorkPackages[[#This Row],[Estimated labor hours]],1,0)</f>
        <v>1</v>
      </c>
      <c r="R2105" s="51">
        <f>tblWorkPackages[[#This Row],[Actual labor hours]]-tblWorkPackages[[#This Row],[Estimated labor hours]]</f>
        <v>1.4</v>
      </c>
      <c r="S2105" s="51" t="str">
        <f>IF(tblWorkPackages[[#This Row],[Request date serial]]&lt;ValidationStart,"Train 2024",IF(tblWorkPackages[[#This Row],[Request date serial]]&lt;HoldoutStart,"Validation H1","Holdout H2"))</f>
        <v>Holdout H2</v>
      </c>
      <c r="T2105" s="51">
        <f>IF(tblWorkPackages[[#This Row],[Time split]]="Train 2024","",tblWorkPackages[[#This Row],[Estimated labor hours]]+VLOOKUP(tblWorkPackages[[#This Row],[Task type]],'Forecast validation'!$A$14:$E$25,IF(tblWorkPackages[[#This Row],[Time split]]="Validation H1",4,5),FALSE()))</f>
        <v>8.30266666666667</v>
      </c>
      <c r="U2105" s="51">
        <f>IF(tblWorkPackages[[#This Row],[Calibrated forecast hours]]="","",ABS(tblWorkPackages[[#This Row],[Actual labor hours]]-tblWorkPackages[[#This Row],[Calibrated forecast hours]]))</f>
        <v>0.797333333333333</v>
      </c>
      <c r="V2105" s="51">
        <f>IF(tblWorkPackages[[#This Row],[Time split]]="Train 2024",tblWorkPackages[[#This Row],[Estimated labor hours]],tblWorkPackages[[#This Row],[Calibrated forecast hours]])</f>
        <v>8.30266666666667</v>
      </c>
      <c r="W2105" s="64">
        <f>DATEVALUE(tblWorkPackages[[#This Row],[Request date]])</f>
        <v>45955.0</v>
      </c>
      <c r="X2105" s="64">
        <f>DATEVALUE(tblWorkPackages[[#This Row],[Due date]])</f>
        <v>45961.0</v>
      </c>
      <c r="Y2105" s="64">
        <f>DATEVALUE(tblWorkPackages[[#This Row],[Completion date]])</f>
        <v>45961.0</v>
      </c>
      <c r="Z2105" s="64">
        <f>_xlfn.MINIFS(tblLaborEntries[Work date serial],tblLaborEntries[Work package ID],tblWorkPackages[[#This Row],[Work package ID]])</f>
        <v>45958.0</v>
      </c>
      <c r="AA2105" s="64">
        <f>_xlfn.MAXIFS(tblLaborEntries[Work date serial],tblLaborEntries[Work package ID],tblWorkPackages[[#This Row],[Work package ID]])</f>
        <v>45958.0</v>
      </c>
      <c r="AB2105" s="65">
        <f>IF(tblWorkPackages[[#This Row],[Completion date serial]]&gt;tblWorkPackages[[#This Row],[Due date serial]],1,0)</f>
        <v>0</v>
      </c>
      <c r="AC2105" s="65">
        <f>MAX(0,tblWorkPackages[[#This Row],[Completion date serial]]-tblWorkPackages[[#This Row],[Due date serial]])</f>
        <v>0</v>
      </c>
      <c r="AD2105" s="65">
        <f>tblWorkPackages[[#This Row],[First labor date]]-tblWorkPackages[[#This Row],[Request date serial]]</f>
        <v>3</v>
      </c>
      <c r="AE2105" s="65">
        <f>tblWorkPackages[[#This Row],[Last labor date]]-tblWorkPackages[[#This Row],[First labor date]]</f>
        <v>0</v>
      </c>
      <c r="AF2105" s="65">
        <f>tblWorkPackages[[#This Row],[Completion date serial]]-tblWorkPackages[[#This Row],[Last labor date]]</f>
        <v>3</v>
      </c>
      <c r="AG2105" s="65">
        <f>tblWorkPackages[[#This Row],[Completion date serial]]-tblWorkPackages[[#This Row],[Request date serial]]</f>
        <v>6</v>
      </c>
      <c r="AH2105" s="65">
        <f>IFERROR(INDEX(tblParts[Delay days],MATCH(tblWorkPackages[[#This Row],[Work package ID]],tblParts[Work package ID],0)),0)</f>
        <v>0</v>
      </c>
      <c r="AI2105" s="51" t="str">
        <f>IFERROR(INDEX(tblDisruptions[Event type],MATCH(tblWorkPackages[[#This Row],[Work package ID]],tblDisruptions[Work package ID],0)),"None")</f>
        <v>Scope change</v>
      </c>
      <c r="AJ2105" s="51" t="str">
        <f>TEXT(tblWorkPackages[[#This Row],[Due date serial]],"yyyy-mm")</f>
        <v>2025-10</v>
      </c>
    </row>
    <row r="2106" spans="1:36" ht="15" x14ac:dyDescent="0.25">
      <c r="A2106" s="53" t="s">
        <v>3018</v>
      </c>
      <c r="B2106" s="53" t="s">
        <v>133</v>
      </c>
      <c r="C2106" s="53" t="s">
        <v>579</v>
      </c>
      <c r="D2106" s="53" t="s">
        <v>1014</v>
      </c>
      <c r="E2106" s="53" t="s">
        <v>136</v>
      </c>
      <c r="F2106" s="53" t="s">
        <v>137</v>
      </c>
      <c r="G2106" s="53" t="s">
        <v>138</v>
      </c>
      <c r="H2106" s="53">
        <v>3</v>
      </c>
      <c r="I2106" s="53" t="s">
        <v>176</v>
      </c>
      <c r="J2106" s="53">
        <v>0</v>
      </c>
      <c r="K2106" s="53">
        <v>0</v>
      </c>
      <c r="L2106" s="53">
        <v>17.5</v>
      </c>
      <c r="M2106" s="53" t="s">
        <v>3019</v>
      </c>
      <c r="N2106" s="53">
        <v>14.7</v>
      </c>
      <c r="O2106" s="51" t="str">
        <f>TEXT(tblWorkPackages[[#This Row],[Request date serial]]-WEEKDAY(tblWorkPackages[[#This Row],[Request date serial]],3),"yyyy-mm-dd")</f>
        <v>2025-12-29</v>
      </c>
      <c r="P2106" s="51">
        <f>ABS(tblWorkPackages[[#This Row],[Actual labor hours]]-tblWorkPackages[[#This Row],[Estimated labor hours]])</f>
        <v>2.8</v>
      </c>
      <c r="Q2106" s="51">
        <f>IF(tblWorkPackages[[#This Row],[Actual labor hours]]&gt;tblWorkPackages[[#This Row],[Estimated labor hours]],1,0)</f>
        <v>0</v>
      </c>
      <c r="R2106" s="51">
        <f>tblWorkPackages[[#This Row],[Actual labor hours]]-tblWorkPackages[[#This Row],[Estimated labor hours]]</f>
        <v>-2.8</v>
      </c>
      <c r="S2106" s="51" t="str">
        <f>IF(tblWorkPackages[[#This Row],[Request date serial]]&lt;ValidationStart,"Train 2024",IF(tblWorkPackages[[#This Row],[Request date serial]]&lt;HoldoutStart,"Validation H1","Holdout H2"))</f>
        <v>Holdout H2</v>
      </c>
      <c r="T2106" s="51">
        <f>IF(tblWorkPackages[[#This Row],[Time split]]="Train 2024","",tblWorkPackages[[#This Row],[Estimated labor hours]]+VLOOKUP(tblWorkPackages[[#This Row],[Task type]],'Forecast validation'!$A$14:$E$25,IF(tblWorkPackages[[#This Row],[Time split]]="Validation H1",4,5),FALSE()))</f>
        <v>18.4207547169811</v>
      </c>
      <c r="U2106" s="51">
        <f>IF(tblWorkPackages[[#This Row],[Calibrated forecast hours]]="","",ABS(tblWorkPackages[[#This Row],[Actual labor hours]]-tblWorkPackages[[#This Row],[Calibrated forecast hours]]))</f>
        <v>3.72075471698113</v>
      </c>
      <c r="V2106" s="51">
        <f>IF(tblWorkPackages[[#This Row],[Time split]]="Train 2024",tblWorkPackages[[#This Row],[Estimated labor hours]],tblWorkPackages[[#This Row],[Calibrated forecast hours]])</f>
        <v>18.4207547169811</v>
      </c>
      <c r="W2106" s="64">
        <f>DATEVALUE(tblWorkPackages[[#This Row],[Request date]])</f>
        <v>46021.0</v>
      </c>
      <c r="X2106" s="64">
        <f>DATEVALUE(tblWorkPackages[[#This Row],[Due date]])</f>
        <v>46027.0</v>
      </c>
      <c r="Y2106" s="64">
        <f>DATEVALUE(tblWorkPackages[[#This Row],[Completion date]])</f>
        <v>46065.0</v>
      </c>
      <c r="Z2106" s="64">
        <f>_xlfn.MINIFS(tblLaborEntries[Work date serial],tblLaborEntries[Work package ID],tblWorkPackages[[#This Row],[Work package ID]])</f>
        <v>46063.0</v>
      </c>
      <c r="AA2106" s="64">
        <f>_xlfn.MAXIFS(tblLaborEntries[Work date serial],tblLaborEntries[Work package ID],tblWorkPackages[[#This Row],[Work package ID]])</f>
        <v>46065.0</v>
      </c>
      <c r="AB2106" s="65">
        <f>IF(tblWorkPackages[[#This Row],[Completion date serial]]&gt;tblWorkPackages[[#This Row],[Due date serial]],1,0)</f>
        <v>1</v>
      </c>
      <c r="AC2106" s="65">
        <f>MAX(0,tblWorkPackages[[#This Row],[Completion date serial]]-tblWorkPackages[[#This Row],[Due date serial]])</f>
        <v>38</v>
      </c>
      <c r="AD2106" s="65">
        <f>tblWorkPackages[[#This Row],[First labor date]]-tblWorkPackages[[#This Row],[Request date serial]]</f>
        <v>42</v>
      </c>
      <c r="AE2106" s="65">
        <f>tblWorkPackages[[#This Row],[Last labor date]]-tblWorkPackages[[#This Row],[First labor date]]</f>
        <v>2</v>
      </c>
      <c r="AF2106" s="65">
        <f>tblWorkPackages[[#This Row],[Completion date serial]]-tblWorkPackages[[#This Row],[Last labor date]]</f>
        <v>0</v>
      </c>
      <c r="AG2106" s="65">
        <f>tblWorkPackages[[#This Row],[Completion date serial]]-tblWorkPackages[[#This Row],[Request date serial]]</f>
        <v>44</v>
      </c>
      <c r="AH2106" s="65">
        <f>IFERROR(INDEX(tblParts[Delay days],MATCH(tblWorkPackages[[#This Row],[Work package ID]],tblParts[Work package ID],0)),0)</f>
        <v>0</v>
      </c>
      <c r="AI2106" s="51" t="str">
        <f>IFERROR(INDEX(tblDisruptions[Event type],MATCH(tblWorkPackages[[#This Row],[Work package ID]],tblDisruptions[Work package ID],0)),"None")</f>
        <v>None</v>
      </c>
      <c r="AJ2106" s="51" t="str">
        <f>TEXT(tblWorkPackages[[#This Row],[Due date serial]],"yyyy-mm")</f>
        <v>2026-01</v>
      </c>
    </row>
    <row r="2107" spans="1:36" ht="15" x14ac:dyDescent="0.25">
      <c r="A2107" s="53" t="s">
        <v>3020</v>
      </c>
      <c r="B2107" s="53" t="s">
        <v>157</v>
      </c>
      <c r="C2107" s="53" t="s">
        <v>606</v>
      </c>
      <c r="D2107" s="53" t="s">
        <v>1063</v>
      </c>
      <c r="E2107" s="53" t="s">
        <v>200</v>
      </c>
      <c r="F2107" s="53" t="s">
        <v>128</v>
      </c>
      <c r="G2107" s="53" t="s">
        <v>129</v>
      </c>
      <c r="H2107" s="53">
        <v>1</v>
      </c>
      <c r="I2107" s="53" t="s">
        <v>176</v>
      </c>
      <c r="J2107" s="53">
        <v>0</v>
      </c>
      <c r="K2107" s="53">
        <v>1</v>
      </c>
      <c r="L2107" s="53">
        <v>2</v>
      </c>
      <c r="M2107" s="53" t="s">
        <v>858</v>
      </c>
      <c r="N2107" s="53">
        <v>1.6</v>
      </c>
      <c r="O2107" s="51" t="str">
        <f>TEXT(tblWorkPackages[[#This Row],[Request date serial]]-WEEKDAY(tblWorkPackages[[#This Row],[Request date serial]],3),"yyyy-mm-dd")</f>
        <v>2025-03-03</v>
      </c>
      <c r="P2107" s="51">
        <f>ABS(tblWorkPackages[[#This Row],[Actual labor hours]]-tblWorkPackages[[#This Row],[Estimated labor hours]])</f>
        <v>0.4</v>
      </c>
      <c r="Q2107" s="51">
        <f>IF(tblWorkPackages[[#This Row],[Actual labor hours]]&gt;tblWorkPackages[[#This Row],[Estimated labor hours]],1,0)</f>
        <v>0</v>
      </c>
      <c r="R2107" s="51">
        <f>tblWorkPackages[[#This Row],[Actual labor hours]]-tblWorkPackages[[#This Row],[Estimated labor hours]]</f>
        <v>-0.4</v>
      </c>
      <c r="S2107" s="51" t="str">
        <f>IF(tblWorkPackages[[#This Row],[Request date serial]]&lt;ValidationStart,"Train 2024",IF(tblWorkPackages[[#This Row],[Request date serial]]&lt;HoldoutStart,"Validation H1","Holdout H2"))</f>
        <v>Validation H1</v>
      </c>
      <c r="T2107" s="51">
        <f>IF(tblWorkPackages[[#This Row],[Time split]]="Train 2024","",tblWorkPackages[[#This Row],[Estimated labor hours]]+VLOOKUP(tblWorkPackages[[#This Row],[Task type]],'Forecast validation'!$A$14:$E$25,IF(tblWorkPackages[[#This Row],[Time split]]="Validation H1",4,5),FALSE()))</f>
        <v>2.33069306930693</v>
      </c>
      <c r="U2107" s="51">
        <f>IF(tblWorkPackages[[#This Row],[Calibrated forecast hours]]="","",ABS(tblWorkPackages[[#This Row],[Actual labor hours]]-tblWorkPackages[[#This Row],[Calibrated forecast hours]]))</f>
        <v>0.730693069306931</v>
      </c>
      <c r="V2107" s="51">
        <f>IF(tblWorkPackages[[#This Row],[Time split]]="Train 2024",tblWorkPackages[[#This Row],[Estimated labor hours]],tblWorkPackages[[#This Row],[Calibrated forecast hours]])</f>
        <v>2.33069306930693</v>
      </c>
      <c r="W2107" s="64">
        <f>DATEVALUE(tblWorkPackages[[#This Row],[Request date]])</f>
        <v>45721.0</v>
      </c>
      <c r="X2107" s="64">
        <f>DATEVALUE(tblWorkPackages[[#This Row],[Due date]])</f>
        <v>45727.0</v>
      </c>
      <c r="Y2107" s="64">
        <f>DATEVALUE(tblWorkPackages[[#This Row],[Completion date]])</f>
        <v>45729.0</v>
      </c>
      <c r="Z2107" s="64">
        <f>_xlfn.MINIFS(tblLaborEntries[Work date serial],tblLaborEntries[Work package ID],tblWorkPackages[[#This Row],[Work package ID]])</f>
        <v>45728.0</v>
      </c>
      <c r="AA2107" s="64">
        <f>_xlfn.MAXIFS(tblLaborEntries[Work date serial],tblLaborEntries[Work package ID],tblWorkPackages[[#This Row],[Work package ID]])</f>
        <v>45728.0</v>
      </c>
      <c r="AB2107" s="65">
        <f>IF(tblWorkPackages[[#This Row],[Completion date serial]]&gt;tblWorkPackages[[#This Row],[Due date serial]],1,0)</f>
        <v>1</v>
      </c>
      <c r="AC2107" s="65">
        <f>MAX(0,tblWorkPackages[[#This Row],[Completion date serial]]-tblWorkPackages[[#This Row],[Due date serial]])</f>
        <v>2</v>
      </c>
      <c r="AD2107" s="65">
        <f>tblWorkPackages[[#This Row],[First labor date]]-tblWorkPackages[[#This Row],[Request date serial]]</f>
        <v>7</v>
      </c>
      <c r="AE2107" s="65">
        <f>tblWorkPackages[[#This Row],[Last labor date]]-tblWorkPackages[[#This Row],[First labor date]]</f>
        <v>0</v>
      </c>
      <c r="AF2107" s="65">
        <f>tblWorkPackages[[#This Row],[Completion date serial]]-tblWorkPackages[[#This Row],[Last labor date]]</f>
        <v>1</v>
      </c>
      <c r="AG2107" s="65">
        <f>tblWorkPackages[[#This Row],[Completion date serial]]-tblWorkPackages[[#This Row],[Request date serial]]</f>
        <v>8</v>
      </c>
      <c r="AH2107" s="65">
        <f>IFERROR(INDEX(tblParts[Delay days],MATCH(tblWorkPackages[[#This Row],[Work package ID]],tblParts[Work package ID],0)),0)</f>
        <v>0</v>
      </c>
      <c r="AI2107" s="51" t="str">
        <f>IFERROR(INDEX(tblDisruptions[Event type],MATCH(tblWorkPackages[[#This Row],[Work package ID]],tblDisruptions[Work package ID],0)),"None")</f>
        <v>None</v>
      </c>
      <c r="AJ2107" s="51" t="str">
        <f>TEXT(tblWorkPackages[[#This Row],[Due date serial]],"yyyy-mm")</f>
        <v>2025-03</v>
      </c>
    </row>
    <row r="2108" spans="1:36" ht="15" x14ac:dyDescent="0.25">
      <c r="A2108" s="53" t="s">
        <v>3021</v>
      </c>
      <c r="B2108" s="53" t="s">
        <v>124</v>
      </c>
      <c r="C2108" s="53" t="s">
        <v>756</v>
      </c>
      <c r="D2108" s="53" t="s">
        <v>986</v>
      </c>
      <c r="E2108" s="53" t="s">
        <v>237</v>
      </c>
      <c r="F2108" s="53" t="s">
        <v>182</v>
      </c>
      <c r="G2108" s="53" t="s">
        <v>138</v>
      </c>
      <c r="H2108" s="53">
        <v>2</v>
      </c>
      <c r="I2108" s="53" t="s">
        <v>176</v>
      </c>
      <c r="J2108" s="53">
        <v>0</v>
      </c>
      <c r="K2108" s="53">
        <v>0</v>
      </c>
      <c r="L2108" s="53">
        <v>4.8</v>
      </c>
      <c r="M2108" s="53" t="s">
        <v>734</v>
      </c>
      <c r="N2108" s="53">
        <v>4.7</v>
      </c>
      <c r="O2108" s="51" t="str">
        <f>TEXT(tblWorkPackages[[#This Row],[Request date serial]]-WEEKDAY(tblWorkPackages[[#This Row],[Request date serial]],3),"yyyy-mm-dd")</f>
        <v>2024-09-23</v>
      </c>
      <c r="P2108" s="51">
        <f>ABS(tblWorkPackages[[#This Row],[Actual labor hours]]-tblWorkPackages[[#This Row],[Estimated labor hours]])</f>
        <v>0.0999999999999996</v>
      </c>
      <c r="Q2108" s="51">
        <f>IF(tblWorkPackages[[#This Row],[Actual labor hours]]&gt;tblWorkPackages[[#This Row],[Estimated labor hours]],1,0)</f>
        <v>0</v>
      </c>
      <c r="R2108" s="51">
        <f>tblWorkPackages[[#This Row],[Actual labor hours]]-tblWorkPackages[[#This Row],[Estimated labor hours]]</f>
        <v>-0.0999999999999996</v>
      </c>
      <c r="S2108" s="51" t="str">
        <f>IF(tblWorkPackages[[#This Row],[Request date serial]]&lt;ValidationStart,"Train 2024",IF(tblWorkPackages[[#This Row],[Request date serial]]&lt;HoldoutStart,"Validation H1","Holdout H2"))</f>
        <v>Train 2024</v>
      </c>
      <c r="T2108" s="51" t="str">
        <f>IF(tblWorkPackages[[#This Row],[Time split]]="Train 2024","",tblWorkPackages[[#This Row],[Estimated labor hours]]+VLOOKUP(tblWorkPackages[[#This Row],[Task type]],'Forecast validation'!$A$14:$E$25,IF(tblWorkPackages[[#This Row],[Time split]]="Validation H1",4,5),FALSE()))</f>
        <v/>
      </c>
      <c r="U2108" s="51" t="str">
        <f>IF(tblWorkPackages[[#This Row],[Calibrated forecast hours]]="","",ABS(tblWorkPackages[[#This Row],[Actual labor hours]]-tblWorkPackages[[#This Row],[Calibrated forecast hours]]))</f>
        <v/>
      </c>
      <c r="V2108" s="51">
        <f>IF(tblWorkPackages[[#This Row],[Time split]]="Train 2024",tblWorkPackages[[#This Row],[Estimated labor hours]],tblWorkPackages[[#This Row],[Calibrated forecast hours]])</f>
        <v>4.8</v>
      </c>
      <c r="W2108" s="64">
        <f>DATEVALUE(tblWorkPackages[[#This Row],[Request date]])</f>
        <v>45563.0</v>
      </c>
      <c r="X2108" s="64">
        <f>DATEVALUE(tblWorkPackages[[#This Row],[Due date]])</f>
        <v>45569.0</v>
      </c>
      <c r="Y2108" s="64">
        <f>DATEVALUE(tblWorkPackages[[#This Row],[Completion date]])</f>
        <v>45567.0</v>
      </c>
      <c r="Z2108" s="64">
        <f>_xlfn.MINIFS(tblLaborEntries[Work date serial],tblLaborEntries[Work package ID],tblWorkPackages[[#This Row],[Work package ID]])</f>
        <v>45565.0</v>
      </c>
      <c r="AA2108" s="64">
        <f>_xlfn.MAXIFS(tblLaborEntries[Work date serial],tblLaborEntries[Work package ID],tblWorkPackages[[#This Row],[Work package ID]])</f>
        <v>45565.0</v>
      </c>
      <c r="AB2108" s="65">
        <f>IF(tblWorkPackages[[#This Row],[Completion date serial]]&gt;tblWorkPackages[[#This Row],[Due date serial]],1,0)</f>
        <v>0</v>
      </c>
      <c r="AC2108" s="65">
        <f>MAX(0,tblWorkPackages[[#This Row],[Completion date serial]]-tblWorkPackages[[#This Row],[Due date serial]])</f>
        <v>0</v>
      </c>
      <c r="AD2108" s="65">
        <f>tblWorkPackages[[#This Row],[First labor date]]-tblWorkPackages[[#This Row],[Request date serial]]</f>
        <v>2</v>
      </c>
      <c r="AE2108" s="65">
        <f>tblWorkPackages[[#This Row],[Last labor date]]-tblWorkPackages[[#This Row],[First labor date]]</f>
        <v>0</v>
      </c>
      <c r="AF2108" s="65">
        <f>tblWorkPackages[[#This Row],[Completion date serial]]-tblWorkPackages[[#This Row],[Last labor date]]</f>
        <v>2</v>
      </c>
      <c r="AG2108" s="65">
        <f>tblWorkPackages[[#This Row],[Completion date serial]]-tblWorkPackages[[#This Row],[Request date serial]]</f>
        <v>4</v>
      </c>
      <c r="AH2108" s="65">
        <f>IFERROR(INDEX(tblParts[Delay days],MATCH(tblWorkPackages[[#This Row],[Work package ID]],tblParts[Work package ID],0)),0)</f>
        <v>0</v>
      </c>
      <c r="AI2108" s="51" t="str">
        <f>IFERROR(INDEX(tblDisruptions[Event type],MATCH(tblWorkPackages[[#This Row],[Work package ID]],tblDisruptions[Work package ID],0)),"None")</f>
        <v>None</v>
      </c>
      <c r="AJ2108" s="51" t="str">
        <f>TEXT(tblWorkPackages[[#This Row],[Due date serial]],"yyyy-mm")</f>
        <v>2024-10</v>
      </c>
    </row>
    <row r="2109" spans="1:36" ht="15" x14ac:dyDescent="0.25">
      <c r="A2109" s="53" t="s">
        <v>3022</v>
      </c>
      <c r="B2109" s="53" t="s">
        <v>150</v>
      </c>
      <c r="C2109" s="53" t="s">
        <v>748</v>
      </c>
      <c r="D2109" s="53" t="s">
        <v>1053</v>
      </c>
      <c r="E2109" s="53" t="s">
        <v>127</v>
      </c>
      <c r="F2109" s="53" t="s">
        <v>128</v>
      </c>
      <c r="G2109" s="53" t="s">
        <v>129</v>
      </c>
      <c r="H2109" s="53">
        <v>1</v>
      </c>
      <c r="I2109" s="53" t="s">
        <v>176</v>
      </c>
      <c r="J2109" s="53">
        <v>0</v>
      </c>
      <c r="K2109" s="53">
        <v>0</v>
      </c>
      <c r="L2109" s="53">
        <v>5.3</v>
      </c>
      <c r="M2109" s="53" t="s">
        <v>320</v>
      </c>
      <c r="N2109" s="53">
        <v>5.5</v>
      </c>
      <c r="O2109" s="51" t="str">
        <f>TEXT(tblWorkPackages[[#This Row],[Request date serial]]-WEEKDAY(tblWorkPackages[[#This Row],[Request date serial]],3),"yyyy-mm-dd")</f>
        <v>2024-02-12</v>
      </c>
      <c r="P2109" s="51">
        <f>ABS(tblWorkPackages[[#This Row],[Actual labor hours]]-tblWorkPackages[[#This Row],[Estimated labor hours]])</f>
        <v>0.2</v>
      </c>
      <c r="Q2109" s="51">
        <f>IF(tblWorkPackages[[#This Row],[Actual labor hours]]&gt;tblWorkPackages[[#This Row],[Estimated labor hours]],1,0)</f>
        <v>1</v>
      </c>
      <c r="R2109" s="51">
        <f>tblWorkPackages[[#This Row],[Actual labor hours]]-tblWorkPackages[[#This Row],[Estimated labor hours]]</f>
        <v>0.2</v>
      </c>
      <c r="S2109" s="51" t="str">
        <f>IF(tblWorkPackages[[#This Row],[Request date serial]]&lt;ValidationStart,"Train 2024",IF(tblWorkPackages[[#This Row],[Request date serial]]&lt;HoldoutStart,"Validation H1","Holdout H2"))</f>
        <v>Train 2024</v>
      </c>
      <c r="T2109" s="51" t="str">
        <f>IF(tblWorkPackages[[#This Row],[Time split]]="Train 2024","",tblWorkPackages[[#This Row],[Estimated labor hours]]+VLOOKUP(tblWorkPackages[[#This Row],[Task type]],'Forecast validation'!$A$14:$E$25,IF(tblWorkPackages[[#This Row],[Time split]]="Validation H1",4,5),FALSE()))</f>
        <v/>
      </c>
      <c r="U2109" s="51" t="str">
        <f>IF(tblWorkPackages[[#This Row],[Calibrated forecast hours]]="","",ABS(tblWorkPackages[[#This Row],[Actual labor hours]]-tblWorkPackages[[#This Row],[Calibrated forecast hours]]))</f>
        <v/>
      </c>
      <c r="V2109" s="51">
        <f>IF(tblWorkPackages[[#This Row],[Time split]]="Train 2024",tblWorkPackages[[#This Row],[Estimated labor hours]],tblWorkPackages[[#This Row],[Calibrated forecast hours]])</f>
        <v>5.3</v>
      </c>
      <c r="W2109" s="64">
        <f>DATEVALUE(tblWorkPackages[[#This Row],[Request date]])</f>
        <v>45339.0</v>
      </c>
      <c r="X2109" s="64">
        <f>DATEVALUE(tblWorkPackages[[#This Row],[Due date]])</f>
        <v>45345.0</v>
      </c>
      <c r="Y2109" s="64">
        <f>DATEVALUE(tblWorkPackages[[#This Row],[Completion date]])</f>
        <v>45360.0</v>
      </c>
      <c r="Z2109" s="64">
        <f>_xlfn.MINIFS(tblLaborEntries[Work date serial],tblLaborEntries[Work package ID],tblWorkPackages[[#This Row],[Work package ID]])</f>
        <v>45357.0</v>
      </c>
      <c r="AA2109" s="64">
        <f>_xlfn.MAXIFS(tblLaborEntries[Work date serial],tblLaborEntries[Work package ID],tblWorkPackages[[#This Row],[Work package ID]])</f>
        <v>45357.0</v>
      </c>
      <c r="AB2109" s="65">
        <f>IF(tblWorkPackages[[#This Row],[Completion date serial]]&gt;tblWorkPackages[[#This Row],[Due date serial]],1,0)</f>
        <v>1</v>
      </c>
      <c r="AC2109" s="65">
        <f>MAX(0,tblWorkPackages[[#This Row],[Completion date serial]]-tblWorkPackages[[#This Row],[Due date serial]])</f>
        <v>15</v>
      </c>
      <c r="AD2109" s="65">
        <f>tblWorkPackages[[#This Row],[First labor date]]-tblWorkPackages[[#This Row],[Request date serial]]</f>
        <v>18</v>
      </c>
      <c r="AE2109" s="65">
        <f>tblWorkPackages[[#This Row],[Last labor date]]-tblWorkPackages[[#This Row],[First labor date]]</f>
        <v>0</v>
      </c>
      <c r="AF2109" s="65">
        <f>tblWorkPackages[[#This Row],[Completion date serial]]-tblWorkPackages[[#This Row],[Last labor date]]</f>
        <v>3</v>
      </c>
      <c r="AG2109" s="65">
        <f>tblWorkPackages[[#This Row],[Completion date serial]]-tblWorkPackages[[#This Row],[Request date serial]]</f>
        <v>21</v>
      </c>
      <c r="AH2109" s="65">
        <f>IFERROR(INDEX(tblParts[Delay days],MATCH(tblWorkPackages[[#This Row],[Work package ID]],tblParts[Work package ID],0)),0)</f>
        <v>0</v>
      </c>
      <c r="AI2109" s="51" t="str">
        <f>IFERROR(INDEX(tblDisruptions[Event type],MATCH(tblWorkPackages[[#This Row],[Work package ID]],tblDisruptions[Work package ID],0)),"None")</f>
        <v>None</v>
      </c>
      <c r="AJ2109" s="51" t="str">
        <f>TEXT(tblWorkPackages[[#This Row],[Due date serial]],"yyyy-mm")</f>
        <v>2024-02</v>
      </c>
    </row>
    <row r="2110" spans="1:36" ht="15" x14ac:dyDescent="0.25">
      <c r="A2110" s="53" t="s">
        <v>3023</v>
      </c>
      <c r="B2110" s="53" t="s">
        <v>250</v>
      </c>
      <c r="C2110" s="53" t="s">
        <v>413</v>
      </c>
      <c r="D2110" s="53" t="s">
        <v>685</v>
      </c>
      <c r="E2110" s="53" t="s">
        <v>237</v>
      </c>
      <c r="F2110" s="53" t="s">
        <v>182</v>
      </c>
      <c r="G2110" s="53" t="s">
        <v>138</v>
      </c>
      <c r="H2110" s="53">
        <v>1</v>
      </c>
      <c r="I2110" s="53" t="s">
        <v>130</v>
      </c>
      <c r="J2110" s="53">
        <v>0</v>
      </c>
      <c r="K2110" s="53">
        <v>0</v>
      </c>
      <c r="L2110" s="53">
        <v>3.8</v>
      </c>
      <c r="M2110" s="53" t="s">
        <v>606</v>
      </c>
      <c r="N2110" s="53">
        <v>3.3</v>
      </c>
      <c r="O2110" s="51" t="str">
        <f>TEXT(tblWorkPackages[[#This Row],[Request date serial]]-WEEKDAY(tblWorkPackages[[#This Row],[Request date serial]],3),"yyyy-mm-dd")</f>
        <v>2025-02-24</v>
      </c>
      <c r="P2110" s="51">
        <f>ABS(tblWorkPackages[[#This Row],[Actual labor hours]]-tblWorkPackages[[#This Row],[Estimated labor hours]])</f>
        <v>0.5</v>
      </c>
      <c r="Q2110" s="51">
        <f>IF(tblWorkPackages[[#This Row],[Actual labor hours]]&gt;tblWorkPackages[[#This Row],[Estimated labor hours]],1,0)</f>
        <v>0</v>
      </c>
      <c r="R2110" s="51">
        <f>tblWorkPackages[[#This Row],[Actual labor hours]]-tblWorkPackages[[#This Row],[Estimated labor hours]]</f>
        <v>-0.5</v>
      </c>
      <c r="S2110" s="51" t="str">
        <f>IF(tblWorkPackages[[#This Row],[Request date serial]]&lt;ValidationStart,"Train 2024",IF(tblWorkPackages[[#This Row],[Request date serial]]&lt;HoldoutStart,"Validation H1","Holdout H2"))</f>
        <v>Validation H1</v>
      </c>
      <c r="T2110" s="51">
        <f>IF(tblWorkPackages[[#This Row],[Time split]]="Train 2024","",tblWorkPackages[[#This Row],[Estimated labor hours]]+VLOOKUP(tblWorkPackages[[#This Row],[Task type]],'Forecast validation'!$A$14:$E$25,IF(tblWorkPackages[[#This Row],[Time split]]="Validation H1",4,5),FALSE()))</f>
        <v>4.3037037037037</v>
      </c>
      <c r="U2110" s="51">
        <f>IF(tblWorkPackages[[#This Row],[Calibrated forecast hours]]="","",ABS(tblWorkPackages[[#This Row],[Actual labor hours]]-tblWorkPackages[[#This Row],[Calibrated forecast hours]]))</f>
        <v>1.0037037037037</v>
      </c>
      <c r="V2110" s="51">
        <f>IF(tblWorkPackages[[#This Row],[Time split]]="Train 2024",tblWorkPackages[[#This Row],[Estimated labor hours]],tblWorkPackages[[#This Row],[Calibrated forecast hours]])</f>
        <v>4.3037037037037</v>
      </c>
      <c r="W2110" s="64">
        <f>DATEVALUE(tblWorkPackages[[#This Row],[Request date]])</f>
        <v>45717.0</v>
      </c>
      <c r="X2110" s="64">
        <f>DATEVALUE(tblWorkPackages[[#This Row],[Due date]])</f>
        <v>45730.0</v>
      </c>
      <c r="Y2110" s="64">
        <f>DATEVALUE(tblWorkPackages[[#This Row],[Completion date]])</f>
        <v>45721.0</v>
      </c>
      <c r="Z2110" s="64">
        <f>_xlfn.MINIFS(tblLaborEntries[Work date serial],tblLaborEntries[Work package ID],tblWorkPackages[[#This Row],[Work package ID]])</f>
        <v>45721.0</v>
      </c>
      <c r="AA2110" s="64">
        <f>_xlfn.MAXIFS(tblLaborEntries[Work date serial],tblLaborEntries[Work package ID],tblWorkPackages[[#This Row],[Work package ID]])</f>
        <v>45721.0</v>
      </c>
      <c r="AB2110" s="65">
        <f>IF(tblWorkPackages[[#This Row],[Completion date serial]]&gt;tblWorkPackages[[#This Row],[Due date serial]],1,0)</f>
        <v>0</v>
      </c>
      <c r="AC2110" s="65">
        <f>MAX(0,tblWorkPackages[[#This Row],[Completion date serial]]-tblWorkPackages[[#This Row],[Due date serial]])</f>
        <v>0</v>
      </c>
      <c r="AD2110" s="65">
        <f>tblWorkPackages[[#This Row],[First labor date]]-tblWorkPackages[[#This Row],[Request date serial]]</f>
        <v>4</v>
      </c>
      <c r="AE2110" s="65">
        <f>tblWorkPackages[[#This Row],[Last labor date]]-tblWorkPackages[[#This Row],[First labor date]]</f>
        <v>0</v>
      </c>
      <c r="AF2110" s="65">
        <f>tblWorkPackages[[#This Row],[Completion date serial]]-tblWorkPackages[[#This Row],[Last labor date]]</f>
        <v>0</v>
      </c>
      <c r="AG2110" s="65">
        <f>tblWorkPackages[[#This Row],[Completion date serial]]-tblWorkPackages[[#This Row],[Request date serial]]</f>
        <v>4</v>
      </c>
      <c r="AH2110" s="65">
        <f>IFERROR(INDEX(tblParts[Delay days],MATCH(tblWorkPackages[[#This Row],[Work package ID]],tblParts[Work package ID],0)),0)</f>
        <v>0</v>
      </c>
      <c r="AI2110" s="51" t="str">
        <f>IFERROR(INDEX(tblDisruptions[Event type],MATCH(tblWorkPackages[[#This Row],[Work package ID]],tblDisruptions[Work package ID],0)),"None")</f>
        <v>None</v>
      </c>
      <c r="AJ2110" s="51" t="str">
        <f>TEXT(tblWorkPackages[[#This Row],[Due date serial]],"yyyy-mm")</f>
        <v>2025-03</v>
      </c>
    </row>
    <row r="2111" spans="1:36" ht="15" x14ac:dyDescent="0.25">
      <c r="A2111" s="53" t="s">
        <v>3024</v>
      </c>
      <c r="B2111" s="53" t="s">
        <v>157</v>
      </c>
      <c r="C2111" s="53" t="s">
        <v>756</v>
      </c>
      <c r="D2111" s="53" t="s">
        <v>986</v>
      </c>
      <c r="E2111" s="53" t="s">
        <v>200</v>
      </c>
      <c r="F2111" s="53" t="s">
        <v>128</v>
      </c>
      <c r="G2111" s="53" t="s">
        <v>129</v>
      </c>
      <c r="H2111" s="53">
        <v>3</v>
      </c>
      <c r="I2111" s="53" t="s">
        <v>176</v>
      </c>
      <c r="J2111" s="53">
        <v>0</v>
      </c>
      <c r="K2111" s="53">
        <v>0</v>
      </c>
      <c r="L2111" s="53">
        <v>3.4</v>
      </c>
      <c r="M2111" s="53" t="s">
        <v>734</v>
      </c>
      <c r="N2111" s="53">
        <v>3.7</v>
      </c>
      <c r="O2111" s="51" t="str">
        <f>TEXT(tblWorkPackages[[#This Row],[Request date serial]]-WEEKDAY(tblWorkPackages[[#This Row],[Request date serial]],3),"yyyy-mm-dd")</f>
        <v>2024-09-23</v>
      </c>
      <c r="P2111" s="51">
        <f>ABS(tblWorkPackages[[#This Row],[Actual labor hours]]-tblWorkPackages[[#This Row],[Estimated labor hours]])</f>
        <v>0.3</v>
      </c>
      <c r="Q2111" s="51">
        <f>IF(tblWorkPackages[[#This Row],[Actual labor hours]]&gt;tblWorkPackages[[#This Row],[Estimated labor hours]],1,0)</f>
        <v>1</v>
      </c>
      <c r="R2111" s="51">
        <f>tblWorkPackages[[#This Row],[Actual labor hours]]-tblWorkPackages[[#This Row],[Estimated labor hours]]</f>
        <v>0.3</v>
      </c>
      <c r="S2111" s="51" t="str">
        <f>IF(tblWorkPackages[[#This Row],[Request date serial]]&lt;ValidationStart,"Train 2024",IF(tblWorkPackages[[#This Row],[Request date serial]]&lt;HoldoutStart,"Validation H1","Holdout H2"))</f>
        <v>Train 2024</v>
      </c>
      <c r="T2111" s="51" t="str">
        <f>IF(tblWorkPackages[[#This Row],[Time split]]="Train 2024","",tblWorkPackages[[#This Row],[Estimated labor hours]]+VLOOKUP(tblWorkPackages[[#This Row],[Task type]],'Forecast validation'!$A$14:$E$25,IF(tblWorkPackages[[#This Row],[Time split]]="Validation H1",4,5),FALSE()))</f>
        <v/>
      </c>
      <c r="U2111" s="51" t="str">
        <f>IF(tblWorkPackages[[#This Row],[Calibrated forecast hours]]="","",ABS(tblWorkPackages[[#This Row],[Actual labor hours]]-tblWorkPackages[[#This Row],[Calibrated forecast hours]]))</f>
        <v/>
      </c>
      <c r="V2111" s="51">
        <f>IF(tblWorkPackages[[#This Row],[Time split]]="Train 2024",tblWorkPackages[[#This Row],[Estimated labor hours]],tblWorkPackages[[#This Row],[Calibrated forecast hours]])</f>
        <v>3.4</v>
      </c>
      <c r="W2111" s="64">
        <f>DATEVALUE(tblWorkPackages[[#This Row],[Request date]])</f>
        <v>45563.0</v>
      </c>
      <c r="X2111" s="64">
        <f>DATEVALUE(tblWorkPackages[[#This Row],[Due date]])</f>
        <v>45569.0</v>
      </c>
      <c r="Y2111" s="64">
        <f>DATEVALUE(tblWorkPackages[[#This Row],[Completion date]])</f>
        <v>45567.0</v>
      </c>
      <c r="Z2111" s="64">
        <f>_xlfn.MINIFS(tblLaborEntries[Work date serial],tblLaborEntries[Work package ID],tblWorkPackages[[#This Row],[Work package ID]])</f>
        <v>45564.0</v>
      </c>
      <c r="AA2111" s="64">
        <f>_xlfn.MAXIFS(tblLaborEntries[Work date serial],tblLaborEntries[Work package ID],tblWorkPackages[[#This Row],[Work package ID]])</f>
        <v>45566.0</v>
      </c>
      <c r="AB2111" s="65">
        <f>IF(tblWorkPackages[[#This Row],[Completion date serial]]&gt;tblWorkPackages[[#This Row],[Due date serial]],1,0)</f>
        <v>0</v>
      </c>
      <c r="AC2111" s="65">
        <f>MAX(0,tblWorkPackages[[#This Row],[Completion date serial]]-tblWorkPackages[[#This Row],[Due date serial]])</f>
        <v>0</v>
      </c>
      <c r="AD2111" s="65">
        <f>tblWorkPackages[[#This Row],[First labor date]]-tblWorkPackages[[#This Row],[Request date serial]]</f>
        <v>1</v>
      </c>
      <c r="AE2111" s="65">
        <f>tblWorkPackages[[#This Row],[Last labor date]]-tblWorkPackages[[#This Row],[First labor date]]</f>
        <v>2</v>
      </c>
      <c r="AF2111" s="65">
        <f>tblWorkPackages[[#This Row],[Completion date serial]]-tblWorkPackages[[#This Row],[Last labor date]]</f>
        <v>1</v>
      </c>
      <c r="AG2111" s="65">
        <f>tblWorkPackages[[#This Row],[Completion date serial]]-tblWorkPackages[[#This Row],[Request date serial]]</f>
        <v>4</v>
      </c>
      <c r="AH2111" s="65">
        <f>IFERROR(INDEX(tblParts[Delay days],MATCH(tblWorkPackages[[#This Row],[Work package ID]],tblParts[Work package ID],0)),0)</f>
        <v>0</v>
      </c>
      <c r="AI2111" s="51" t="str">
        <f>IFERROR(INDEX(tblDisruptions[Event type],MATCH(tblWorkPackages[[#This Row],[Work package ID]],tblDisruptions[Work package ID],0)),"None")</f>
        <v>None</v>
      </c>
      <c r="AJ2111" s="51" t="str">
        <f>TEXT(tblWorkPackages[[#This Row],[Due date serial]],"yyyy-mm")</f>
        <v>2024-10</v>
      </c>
    </row>
    <row r="2112" spans="1:36" ht="15" x14ac:dyDescent="0.25">
      <c r="A2112" s="53" t="s">
        <v>3025</v>
      </c>
      <c r="B2112" s="53" t="s">
        <v>150</v>
      </c>
      <c r="C2112" s="53" t="s">
        <v>1156</v>
      </c>
      <c r="D2112" s="53" t="s">
        <v>746</v>
      </c>
      <c r="E2112" s="53" t="s">
        <v>223</v>
      </c>
      <c r="F2112" s="53" t="s">
        <v>182</v>
      </c>
      <c r="G2112" s="53" t="s">
        <v>154</v>
      </c>
      <c r="H2112" s="53">
        <v>3</v>
      </c>
      <c r="I2112" s="53" t="s">
        <v>130</v>
      </c>
      <c r="J2112" s="53">
        <v>0</v>
      </c>
      <c r="K2112" s="53">
        <v>0</v>
      </c>
      <c r="L2112" s="53">
        <v>17.8</v>
      </c>
      <c r="M2112" s="53" t="s">
        <v>1504</v>
      </c>
      <c r="N2112" s="53">
        <v>24.7</v>
      </c>
      <c r="O2112" s="51" t="str">
        <f>TEXT(tblWorkPackages[[#This Row],[Request date serial]]-WEEKDAY(tblWorkPackages[[#This Row],[Request date serial]],3),"yyyy-mm-dd")</f>
        <v>2025-07-07</v>
      </c>
      <c r="P2112" s="51">
        <f>ABS(tblWorkPackages[[#This Row],[Actual labor hours]]-tblWorkPackages[[#This Row],[Estimated labor hours]])</f>
        <v>6.9</v>
      </c>
      <c r="Q2112" s="51">
        <f>IF(tblWorkPackages[[#This Row],[Actual labor hours]]&gt;tblWorkPackages[[#This Row],[Estimated labor hours]],1,0)</f>
        <v>1</v>
      </c>
      <c r="R2112" s="51">
        <f>tblWorkPackages[[#This Row],[Actual labor hours]]-tblWorkPackages[[#This Row],[Estimated labor hours]]</f>
        <v>6.9</v>
      </c>
      <c r="S2112" s="51" t="str">
        <f>IF(tblWorkPackages[[#This Row],[Request date serial]]&lt;ValidationStart,"Train 2024",IF(tblWorkPackages[[#This Row],[Request date serial]]&lt;HoldoutStart,"Validation H1","Holdout H2"))</f>
        <v>Holdout H2</v>
      </c>
      <c r="T2112" s="51">
        <f>IF(tblWorkPackages[[#This Row],[Time split]]="Train 2024","",tblWorkPackages[[#This Row],[Estimated labor hours]]+VLOOKUP(tblWorkPackages[[#This Row],[Task type]],'Forecast validation'!$A$14:$E$25,IF(tblWorkPackages[[#This Row],[Time split]]="Validation H1",4,5),FALSE()))</f>
        <v>18.7246575342466</v>
      </c>
      <c r="U2112" s="51">
        <f>IF(tblWorkPackages[[#This Row],[Calibrated forecast hours]]="","",ABS(tblWorkPackages[[#This Row],[Actual labor hours]]-tblWorkPackages[[#This Row],[Calibrated forecast hours]]))</f>
        <v>5.97534246575343</v>
      </c>
      <c r="V2112" s="51">
        <f>IF(tblWorkPackages[[#This Row],[Time split]]="Train 2024",tblWorkPackages[[#This Row],[Estimated labor hours]],tblWorkPackages[[#This Row],[Calibrated forecast hours]])</f>
        <v>18.7246575342466</v>
      </c>
      <c r="W2112" s="64">
        <f>DATEVALUE(tblWorkPackages[[#This Row],[Request date]])</f>
        <v>45847.0</v>
      </c>
      <c r="X2112" s="64">
        <f>DATEVALUE(tblWorkPackages[[#This Row],[Due date]])</f>
        <v>45860.0</v>
      </c>
      <c r="Y2112" s="64">
        <f>DATEVALUE(tblWorkPackages[[#This Row],[Completion date]])</f>
        <v>45861.0</v>
      </c>
      <c r="Z2112" s="64">
        <f>_xlfn.MINIFS(tblLaborEntries[Work date serial],tblLaborEntries[Work package ID],tblWorkPackages[[#This Row],[Work package ID]])</f>
        <v>45858.0</v>
      </c>
      <c r="AA2112" s="64">
        <f>_xlfn.MAXIFS(tblLaborEntries[Work date serial],tblLaborEntries[Work package ID],tblWorkPackages[[#This Row],[Work package ID]])</f>
        <v>45859.0</v>
      </c>
      <c r="AB2112" s="65">
        <f>IF(tblWorkPackages[[#This Row],[Completion date serial]]&gt;tblWorkPackages[[#This Row],[Due date serial]],1,0)</f>
        <v>1</v>
      </c>
      <c r="AC2112" s="65">
        <f>MAX(0,tblWorkPackages[[#This Row],[Completion date serial]]-tblWorkPackages[[#This Row],[Due date serial]])</f>
        <v>1</v>
      </c>
      <c r="AD2112" s="65">
        <f>tblWorkPackages[[#This Row],[First labor date]]-tblWorkPackages[[#This Row],[Request date serial]]</f>
        <v>11</v>
      </c>
      <c r="AE2112" s="65">
        <f>tblWorkPackages[[#This Row],[Last labor date]]-tblWorkPackages[[#This Row],[First labor date]]</f>
        <v>1</v>
      </c>
      <c r="AF2112" s="65">
        <f>tblWorkPackages[[#This Row],[Completion date serial]]-tblWorkPackages[[#This Row],[Last labor date]]</f>
        <v>2</v>
      </c>
      <c r="AG2112" s="65">
        <f>tblWorkPackages[[#This Row],[Completion date serial]]-tblWorkPackages[[#This Row],[Request date serial]]</f>
        <v>14</v>
      </c>
      <c r="AH2112" s="65">
        <f>IFERROR(INDEX(tblParts[Delay days],MATCH(tblWorkPackages[[#This Row],[Work package ID]],tblParts[Work package ID],0)),0)</f>
        <v>0</v>
      </c>
      <c r="AI2112" s="51" t="str">
        <f>IFERROR(INDEX(tblDisruptions[Event type],MATCH(tblWorkPackages[[#This Row],[Work package ID]],tblDisruptions[Work package ID],0)),"None")</f>
        <v>Scope change</v>
      </c>
      <c r="AJ2112" s="51" t="str">
        <f>TEXT(tblWorkPackages[[#This Row],[Due date serial]],"yyyy-mm")</f>
        <v>2025-07</v>
      </c>
    </row>
    <row r="2113" spans="1:36" ht="15" x14ac:dyDescent="0.25">
      <c r="A2113" s="53" t="s">
        <v>3026</v>
      </c>
      <c r="B2113" s="53" t="s">
        <v>163</v>
      </c>
      <c r="C2113" s="53" t="s">
        <v>1038</v>
      </c>
      <c r="D2113" s="53" t="s">
        <v>776</v>
      </c>
      <c r="E2113" s="53" t="s">
        <v>272</v>
      </c>
      <c r="F2113" s="53" t="s">
        <v>145</v>
      </c>
      <c r="G2113" s="53" t="s">
        <v>273</v>
      </c>
      <c r="H2113" s="53">
        <v>1</v>
      </c>
      <c r="I2113" s="53" t="s">
        <v>130</v>
      </c>
      <c r="J2113" s="53">
        <v>0</v>
      </c>
      <c r="K2113" s="53">
        <v>0</v>
      </c>
      <c r="L2113" s="53">
        <v>6.5</v>
      </c>
      <c r="M2113" s="53" t="s">
        <v>267</v>
      </c>
      <c r="N2113" s="53">
        <v>9</v>
      </c>
      <c r="O2113" s="51" t="str">
        <f>TEXT(tblWorkPackages[[#This Row],[Request date serial]]-WEEKDAY(tblWorkPackages[[#This Row],[Request date serial]],3),"yyyy-mm-dd")</f>
        <v>2024-11-25</v>
      </c>
      <c r="P2113" s="51">
        <f>ABS(tblWorkPackages[[#This Row],[Actual labor hours]]-tblWorkPackages[[#This Row],[Estimated labor hours]])</f>
        <v>2.5</v>
      </c>
      <c r="Q2113" s="51">
        <f>IF(tblWorkPackages[[#This Row],[Actual labor hours]]&gt;tblWorkPackages[[#This Row],[Estimated labor hours]],1,0)</f>
        <v>1</v>
      </c>
      <c r="R2113" s="51">
        <f>tblWorkPackages[[#This Row],[Actual labor hours]]-tblWorkPackages[[#This Row],[Estimated labor hours]]</f>
        <v>2.5</v>
      </c>
      <c r="S2113" s="51" t="str">
        <f>IF(tblWorkPackages[[#This Row],[Request date serial]]&lt;ValidationStart,"Train 2024",IF(tblWorkPackages[[#This Row],[Request date serial]]&lt;HoldoutStart,"Validation H1","Holdout H2"))</f>
        <v>Train 2024</v>
      </c>
      <c r="T2113" s="51" t="str">
        <f>IF(tblWorkPackages[[#This Row],[Time split]]="Train 2024","",tblWorkPackages[[#This Row],[Estimated labor hours]]+VLOOKUP(tblWorkPackages[[#This Row],[Task type]],'Forecast validation'!$A$14:$E$25,IF(tblWorkPackages[[#This Row],[Time split]]="Validation H1",4,5),FALSE()))</f>
        <v/>
      </c>
      <c r="U2113" s="51" t="str">
        <f>IF(tblWorkPackages[[#This Row],[Calibrated forecast hours]]="","",ABS(tblWorkPackages[[#This Row],[Actual labor hours]]-tblWorkPackages[[#This Row],[Calibrated forecast hours]]))</f>
        <v/>
      </c>
      <c r="V2113" s="51">
        <f>IF(tblWorkPackages[[#This Row],[Time split]]="Train 2024",tblWorkPackages[[#This Row],[Estimated labor hours]],tblWorkPackages[[#This Row],[Calibrated forecast hours]])</f>
        <v>6.5</v>
      </c>
      <c r="W2113" s="64">
        <f>DATEVALUE(tblWorkPackages[[#This Row],[Request date]])</f>
        <v>45623.0</v>
      </c>
      <c r="X2113" s="64">
        <f>DATEVALUE(tblWorkPackages[[#This Row],[Due date]])</f>
        <v>45636.0</v>
      </c>
      <c r="Y2113" s="64">
        <f>DATEVALUE(tblWorkPackages[[#This Row],[Completion date]])</f>
        <v>45631.0</v>
      </c>
      <c r="Z2113" s="64">
        <f>_xlfn.MINIFS(tblLaborEntries[Work date serial],tblLaborEntries[Work package ID],tblWorkPackages[[#This Row],[Work package ID]])</f>
        <v>45626.0</v>
      </c>
      <c r="AA2113" s="64">
        <f>_xlfn.MAXIFS(tblLaborEntries[Work date serial],tblLaborEntries[Work package ID],tblWorkPackages[[#This Row],[Work package ID]])</f>
        <v>45628.0</v>
      </c>
      <c r="AB2113" s="65">
        <f>IF(tblWorkPackages[[#This Row],[Completion date serial]]&gt;tblWorkPackages[[#This Row],[Due date serial]],1,0)</f>
        <v>0</v>
      </c>
      <c r="AC2113" s="65">
        <f>MAX(0,tblWorkPackages[[#This Row],[Completion date serial]]-tblWorkPackages[[#This Row],[Due date serial]])</f>
        <v>0</v>
      </c>
      <c r="AD2113" s="65">
        <f>tblWorkPackages[[#This Row],[First labor date]]-tblWorkPackages[[#This Row],[Request date serial]]</f>
        <v>3</v>
      </c>
      <c r="AE2113" s="65">
        <f>tblWorkPackages[[#This Row],[Last labor date]]-tblWorkPackages[[#This Row],[First labor date]]</f>
        <v>2</v>
      </c>
      <c r="AF2113" s="65">
        <f>tblWorkPackages[[#This Row],[Completion date serial]]-tblWorkPackages[[#This Row],[Last labor date]]</f>
        <v>3</v>
      </c>
      <c r="AG2113" s="65">
        <f>tblWorkPackages[[#This Row],[Completion date serial]]-tblWorkPackages[[#This Row],[Request date serial]]</f>
        <v>8</v>
      </c>
      <c r="AH2113" s="65">
        <f>IFERROR(INDEX(tblParts[Delay days],MATCH(tblWorkPackages[[#This Row],[Work package ID]],tblParts[Work package ID],0)),0)</f>
        <v>0</v>
      </c>
      <c r="AI2113" s="51" t="str">
        <f>IFERROR(INDEX(tblDisruptions[Event type],MATCH(tblWorkPackages[[#This Row],[Work package ID]],tblDisruptions[Work package ID],0)),"None")</f>
        <v>Technician absence</v>
      </c>
      <c r="AJ2113" s="51" t="str">
        <f>TEXT(tblWorkPackages[[#This Row],[Due date serial]],"yyyy-mm")</f>
        <v>2024-12</v>
      </c>
    </row>
    <row r="2114" spans="1:36" ht="15" x14ac:dyDescent="0.25">
      <c r="A2114" s="53" t="s">
        <v>3027</v>
      </c>
      <c r="B2114" s="53" t="s">
        <v>124</v>
      </c>
      <c r="C2114" s="53" t="s">
        <v>148</v>
      </c>
      <c r="D2114" s="53" t="s">
        <v>328</v>
      </c>
      <c r="E2114" s="53" t="s">
        <v>223</v>
      </c>
      <c r="F2114" s="53" t="s">
        <v>182</v>
      </c>
      <c r="G2114" s="53" t="s">
        <v>154</v>
      </c>
      <c r="H2114" s="53">
        <v>2</v>
      </c>
      <c r="I2114" s="53" t="s">
        <v>130</v>
      </c>
      <c r="J2114" s="53">
        <v>0</v>
      </c>
      <c r="K2114" s="53">
        <v>1</v>
      </c>
      <c r="L2114" s="53">
        <v>13.4</v>
      </c>
      <c r="M2114" s="53" t="s">
        <v>613</v>
      </c>
      <c r="N2114" s="53">
        <v>12</v>
      </c>
      <c r="O2114" s="51" t="str">
        <f>TEXT(tblWorkPackages[[#This Row],[Request date serial]]-WEEKDAY(tblWorkPackages[[#This Row],[Request date serial]],3),"yyyy-mm-dd")</f>
        <v>2024-02-26</v>
      </c>
      <c r="P2114" s="51">
        <f>ABS(tblWorkPackages[[#This Row],[Actual labor hours]]-tblWorkPackages[[#This Row],[Estimated labor hours]])</f>
        <v>1.4</v>
      </c>
      <c r="Q2114" s="51">
        <f>IF(tblWorkPackages[[#This Row],[Actual labor hours]]&gt;tblWorkPackages[[#This Row],[Estimated labor hours]],1,0)</f>
        <v>0</v>
      </c>
      <c r="R2114" s="51">
        <f>tblWorkPackages[[#This Row],[Actual labor hours]]-tblWorkPackages[[#This Row],[Estimated labor hours]]</f>
        <v>-1.4</v>
      </c>
      <c r="S2114" s="51" t="str">
        <f>IF(tblWorkPackages[[#This Row],[Request date serial]]&lt;ValidationStart,"Train 2024",IF(tblWorkPackages[[#This Row],[Request date serial]]&lt;HoldoutStart,"Validation H1","Holdout H2"))</f>
        <v>Train 2024</v>
      </c>
      <c r="T2114" s="51" t="str">
        <f>IF(tblWorkPackages[[#This Row],[Time split]]="Train 2024","",tblWorkPackages[[#This Row],[Estimated labor hours]]+VLOOKUP(tblWorkPackages[[#This Row],[Task type]],'Forecast validation'!$A$14:$E$25,IF(tblWorkPackages[[#This Row],[Time split]]="Validation H1",4,5),FALSE()))</f>
        <v/>
      </c>
      <c r="U2114" s="51" t="str">
        <f>IF(tblWorkPackages[[#This Row],[Calibrated forecast hours]]="","",ABS(tblWorkPackages[[#This Row],[Actual labor hours]]-tblWorkPackages[[#This Row],[Calibrated forecast hours]]))</f>
        <v/>
      </c>
      <c r="V2114" s="51">
        <f>IF(tblWorkPackages[[#This Row],[Time split]]="Train 2024",tblWorkPackages[[#This Row],[Estimated labor hours]],tblWorkPackages[[#This Row],[Calibrated forecast hours]])</f>
        <v>13.4</v>
      </c>
      <c r="W2114" s="64">
        <f>DATEVALUE(tblWorkPackages[[#This Row],[Request date]])</f>
        <v>45348.0</v>
      </c>
      <c r="X2114" s="64">
        <f>DATEVALUE(tblWorkPackages[[#This Row],[Due date]])</f>
        <v>45361.0</v>
      </c>
      <c r="Y2114" s="64">
        <f>DATEVALUE(tblWorkPackages[[#This Row],[Completion date]])</f>
        <v>45380.0</v>
      </c>
      <c r="Z2114" s="64">
        <f>_xlfn.MINIFS(tblLaborEntries[Work date serial],tblLaborEntries[Work package ID],tblWorkPackages[[#This Row],[Work package ID]])</f>
        <v>45378.0</v>
      </c>
      <c r="AA2114" s="64">
        <f>_xlfn.MAXIFS(tblLaborEntries[Work date serial],tblLaborEntries[Work package ID],tblWorkPackages[[#This Row],[Work package ID]])</f>
        <v>45380.0</v>
      </c>
      <c r="AB2114" s="65">
        <f>IF(tblWorkPackages[[#This Row],[Completion date serial]]&gt;tblWorkPackages[[#This Row],[Due date serial]],1,0)</f>
        <v>1</v>
      </c>
      <c r="AC2114" s="65">
        <f>MAX(0,tblWorkPackages[[#This Row],[Completion date serial]]-tblWorkPackages[[#This Row],[Due date serial]])</f>
        <v>19</v>
      </c>
      <c r="AD2114" s="65">
        <f>tblWorkPackages[[#This Row],[First labor date]]-tblWorkPackages[[#This Row],[Request date serial]]</f>
        <v>30</v>
      </c>
      <c r="AE2114" s="65">
        <f>tblWorkPackages[[#This Row],[Last labor date]]-tblWorkPackages[[#This Row],[First labor date]]</f>
        <v>2</v>
      </c>
      <c r="AF2114" s="65">
        <f>tblWorkPackages[[#This Row],[Completion date serial]]-tblWorkPackages[[#This Row],[Last labor date]]</f>
        <v>0</v>
      </c>
      <c r="AG2114" s="65">
        <f>tblWorkPackages[[#This Row],[Completion date serial]]-tblWorkPackages[[#This Row],[Request date serial]]</f>
        <v>32</v>
      </c>
      <c r="AH2114" s="65">
        <f>IFERROR(INDEX(tblParts[Delay days],MATCH(tblWorkPackages[[#This Row],[Work package ID]],tblParts[Work package ID],0)),0)</f>
        <v>0</v>
      </c>
      <c r="AI2114" s="51" t="str">
        <f>IFERROR(INDEX(tblDisruptions[Event type],MATCH(tblWorkPackages[[#This Row],[Work package ID]],tblDisruptions[Work package ID],0)),"None")</f>
        <v>None</v>
      </c>
      <c r="AJ2114" s="51" t="str">
        <f>TEXT(tblWorkPackages[[#This Row],[Due date serial]],"yyyy-mm")</f>
        <v>2024-03</v>
      </c>
    </row>
    <row r="2115" spans="1:36" ht="15" x14ac:dyDescent="0.25">
      <c r="A2115" s="53" t="s">
        <v>3028</v>
      </c>
      <c r="B2115" s="53" t="s">
        <v>203</v>
      </c>
      <c r="C2115" s="53" t="s">
        <v>466</v>
      </c>
      <c r="D2115" s="53" t="s">
        <v>1218</v>
      </c>
      <c r="E2115" s="53" t="s">
        <v>181</v>
      </c>
      <c r="F2115" s="53" t="s">
        <v>182</v>
      </c>
      <c r="G2115" s="53" t="s">
        <v>138</v>
      </c>
      <c r="H2115" s="53">
        <v>3</v>
      </c>
      <c r="I2115" s="53" t="s">
        <v>130</v>
      </c>
      <c r="J2115" s="53">
        <v>0</v>
      </c>
      <c r="K2115" s="53">
        <v>0</v>
      </c>
      <c r="L2115" s="53">
        <v>10.6</v>
      </c>
      <c r="M2115" s="53" t="s">
        <v>1480</v>
      </c>
      <c r="N2115" s="53">
        <v>11.7</v>
      </c>
      <c r="O2115" s="51" t="str">
        <f>TEXT(tblWorkPackages[[#This Row],[Request date serial]]-WEEKDAY(tblWorkPackages[[#This Row],[Request date serial]],3),"yyyy-mm-dd")</f>
        <v>2025-03-24</v>
      </c>
      <c r="P2115" s="51">
        <f>ABS(tblWorkPackages[[#This Row],[Actual labor hours]]-tblWorkPackages[[#This Row],[Estimated labor hours]])</f>
        <v>1.1</v>
      </c>
      <c r="Q2115" s="51">
        <f>IF(tblWorkPackages[[#This Row],[Actual labor hours]]&gt;tblWorkPackages[[#This Row],[Estimated labor hours]],1,0)</f>
        <v>1</v>
      </c>
      <c r="R2115" s="51">
        <f>tblWorkPackages[[#This Row],[Actual labor hours]]-tblWorkPackages[[#This Row],[Estimated labor hours]]</f>
        <v>1.1</v>
      </c>
      <c r="S2115" s="51" t="str">
        <f>IF(tblWorkPackages[[#This Row],[Request date serial]]&lt;ValidationStart,"Train 2024",IF(tblWorkPackages[[#This Row],[Request date serial]]&lt;HoldoutStart,"Validation H1","Holdout H2"))</f>
        <v>Validation H1</v>
      </c>
      <c r="T2115" s="51">
        <f>IF(tblWorkPackages[[#This Row],[Time split]]="Train 2024","",tblWorkPackages[[#This Row],[Estimated labor hours]]+VLOOKUP(tblWorkPackages[[#This Row],[Task type]],'Forecast validation'!$A$14:$E$25,IF(tblWorkPackages[[#This Row],[Time split]]="Validation H1",4,5),FALSE()))</f>
        <v>11.1840909090909</v>
      </c>
      <c r="U2115" s="51">
        <f>IF(tblWorkPackages[[#This Row],[Calibrated forecast hours]]="","",ABS(tblWorkPackages[[#This Row],[Actual labor hours]]-tblWorkPackages[[#This Row],[Calibrated forecast hours]]))</f>
        <v>0.515909090909091</v>
      </c>
      <c r="V2115" s="51">
        <f>IF(tblWorkPackages[[#This Row],[Time split]]="Train 2024",tblWorkPackages[[#This Row],[Estimated labor hours]],tblWorkPackages[[#This Row],[Calibrated forecast hours]])</f>
        <v>11.1840909090909</v>
      </c>
      <c r="W2115" s="64">
        <f>DATEVALUE(tblWorkPackages[[#This Row],[Request date]])</f>
        <v>45746.0</v>
      </c>
      <c r="X2115" s="64">
        <f>DATEVALUE(tblWorkPackages[[#This Row],[Due date]])</f>
        <v>45759.0</v>
      </c>
      <c r="Y2115" s="64">
        <f>DATEVALUE(tblWorkPackages[[#This Row],[Completion date]])</f>
        <v>45754.0</v>
      </c>
      <c r="Z2115" s="64">
        <f>_xlfn.MINIFS(tblLaborEntries[Work date serial],tblLaborEntries[Work package ID],tblWorkPackages[[#This Row],[Work package ID]])</f>
        <v>45751.0</v>
      </c>
      <c r="AA2115" s="64">
        <f>_xlfn.MAXIFS(tblLaborEntries[Work date serial],tblLaborEntries[Work package ID],tblWorkPackages[[#This Row],[Work package ID]])</f>
        <v>45753.0</v>
      </c>
      <c r="AB2115" s="65">
        <f>IF(tblWorkPackages[[#This Row],[Completion date serial]]&gt;tblWorkPackages[[#This Row],[Due date serial]],1,0)</f>
        <v>0</v>
      </c>
      <c r="AC2115" s="65">
        <f>MAX(0,tblWorkPackages[[#This Row],[Completion date serial]]-tblWorkPackages[[#This Row],[Due date serial]])</f>
        <v>0</v>
      </c>
      <c r="AD2115" s="65">
        <f>tblWorkPackages[[#This Row],[First labor date]]-tblWorkPackages[[#This Row],[Request date serial]]</f>
        <v>5</v>
      </c>
      <c r="AE2115" s="65">
        <f>tblWorkPackages[[#This Row],[Last labor date]]-tblWorkPackages[[#This Row],[First labor date]]</f>
        <v>2</v>
      </c>
      <c r="AF2115" s="65">
        <f>tblWorkPackages[[#This Row],[Completion date serial]]-tblWorkPackages[[#This Row],[Last labor date]]</f>
        <v>1</v>
      </c>
      <c r="AG2115" s="65">
        <f>tblWorkPackages[[#This Row],[Completion date serial]]-tblWorkPackages[[#This Row],[Request date serial]]</f>
        <v>8</v>
      </c>
      <c r="AH2115" s="65">
        <f>IFERROR(INDEX(tblParts[Delay days],MATCH(tblWorkPackages[[#This Row],[Work package ID]],tblParts[Work package ID],0)),0)</f>
        <v>0</v>
      </c>
      <c r="AI2115" s="51" t="str">
        <f>IFERROR(INDEX(tblDisruptions[Event type],MATCH(tblWorkPackages[[#This Row],[Work package ID]],tblDisruptions[Work package ID],0)),"None")</f>
        <v>None</v>
      </c>
      <c r="AJ2115" s="51" t="str">
        <f>TEXT(tblWorkPackages[[#This Row],[Due date serial]],"yyyy-mm")</f>
        <v>2025-04</v>
      </c>
    </row>
    <row r="2116" spans="1:36" ht="15" x14ac:dyDescent="0.25">
      <c r="A2116" s="53" t="s">
        <v>3029</v>
      </c>
      <c r="B2116" s="53" t="s">
        <v>203</v>
      </c>
      <c r="C2116" s="53" t="s">
        <v>303</v>
      </c>
      <c r="D2116" s="53" t="s">
        <v>449</v>
      </c>
      <c r="E2116" s="53" t="s">
        <v>242</v>
      </c>
      <c r="F2116" s="53" t="s">
        <v>243</v>
      </c>
      <c r="G2116" s="53" t="s">
        <v>129</v>
      </c>
      <c r="H2116" s="53">
        <v>2</v>
      </c>
      <c r="I2116" s="53" t="s">
        <v>130</v>
      </c>
      <c r="J2116" s="53">
        <v>0</v>
      </c>
      <c r="K2116" s="53">
        <v>0</v>
      </c>
      <c r="L2116" s="53">
        <v>8.4</v>
      </c>
      <c r="M2116" s="53" t="s">
        <v>164</v>
      </c>
      <c r="N2116" s="53">
        <v>8.1999999999999993</v>
      </c>
      <c r="O2116" s="51" t="str">
        <f>TEXT(tblWorkPackages[[#This Row],[Request date serial]]-WEEKDAY(tblWorkPackages[[#This Row],[Request date serial]],3),"yyyy-mm-dd")</f>
        <v>2024-06-24</v>
      </c>
      <c r="P2116" s="51">
        <f>ABS(tblWorkPackages[[#This Row],[Actual labor hours]]-tblWorkPackages[[#This Row],[Estimated labor hours]])</f>
        <v>0.200000000000001</v>
      </c>
      <c r="Q2116" s="51">
        <f>IF(tblWorkPackages[[#This Row],[Actual labor hours]]&gt;tblWorkPackages[[#This Row],[Estimated labor hours]],1,0)</f>
        <v>0</v>
      </c>
      <c r="R2116" s="51">
        <f>tblWorkPackages[[#This Row],[Actual labor hours]]-tblWorkPackages[[#This Row],[Estimated labor hours]]</f>
        <v>-0.200000000000001</v>
      </c>
      <c r="S2116" s="51" t="str">
        <f>IF(tblWorkPackages[[#This Row],[Request date serial]]&lt;ValidationStart,"Train 2024",IF(tblWorkPackages[[#This Row],[Request date serial]]&lt;HoldoutStart,"Validation H1","Holdout H2"))</f>
        <v>Train 2024</v>
      </c>
      <c r="T2116" s="51" t="str">
        <f>IF(tblWorkPackages[[#This Row],[Time split]]="Train 2024","",tblWorkPackages[[#This Row],[Estimated labor hours]]+VLOOKUP(tblWorkPackages[[#This Row],[Task type]],'Forecast validation'!$A$14:$E$25,IF(tblWorkPackages[[#This Row],[Time split]]="Validation H1",4,5),FALSE()))</f>
        <v/>
      </c>
      <c r="U2116" s="51" t="str">
        <f>IF(tblWorkPackages[[#This Row],[Calibrated forecast hours]]="","",ABS(tblWorkPackages[[#This Row],[Actual labor hours]]-tblWorkPackages[[#This Row],[Calibrated forecast hours]]))</f>
        <v/>
      </c>
      <c r="V2116" s="51">
        <f>IF(tblWorkPackages[[#This Row],[Time split]]="Train 2024",tblWorkPackages[[#This Row],[Estimated labor hours]],tblWorkPackages[[#This Row],[Calibrated forecast hours]])</f>
        <v>8.4</v>
      </c>
      <c r="W2116" s="64">
        <f>DATEVALUE(tblWorkPackages[[#This Row],[Request date]])</f>
        <v>45468.0</v>
      </c>
      <c r="X2116" s="64">
        <f>DATEVALUE(tblWorkPackages[[#This Row],[Due date]])</f>
        <v>45481.0</v>
      </c>
      <c r="Y2116" s="64">
        <f>DATEVALUE(tblWorkPackages[[#This Row],[Completion date]])</f>
        <v>45472.0</v>
      </c>
      <c r="Z2116" s="64">
        <f>_xlfn.MINIFS(tblLaborEntries[Work date serial],tblLaborEntries[Work package ID],tblWorkPackages[[#This Row],[Work package ID]])</f>
        <v>45470.0</v>
      </c>
      <c r="AA2116" s="64">
        <f>_xlfn.MAXIFS(tblLaborEntries[Work date serial],tblLaborEntries[Work package ID],tblWorkPackages[[#This Row],[Work package ID]])</f>
        <v>45470.0</v>
      </c>
      <c r="AB2116" s="65">
        <f>IF(tblWorkPackages[[#This Row],[Completion date serial]]&gt;tblWorkPackages[[#This Row],[Due date serial]],1,0)</f>
        <v>0</v>
      </c>
      <c r="AC2116" s="65">
        <f>MAX(0,tblWorkPackages[[#This Row],[Completion date serial]]-tblWorkPackages[[#This Row],[Due date serial]])</f>
        <v>0</v>
      </c>
      <c r="AD2116" s="65">
        <f>tblWorkPackages[[#This Row],[First labor date]]-tblWorkPackages[[#This Row],[Request date serial]]</f>
        <v>2</v>
      </c>
      <c r="AE2116" s="65">
        <f>tblWorkPackages[[#This Row],[Last labor date]]-tblWorkPackages[[#This Row],[First labor date]]</f>
        <v>0</v>
      </c>
      <c r="AF2116" s="65">
        <f>tblWorkPackages[[#This Row],[Completion date serial]]-tblWorkPackages[[#This Row],[Last labor date]]</f>
        <v>2</v>
      </c>
      <c r="AG2116" s="65">
        <f>tblWorkPackages[[#This Row],[Completion date serial]]-tblWorkPackages[[#This Row],[Request date serial]]</f>
        <v>4</v>
      </c>
      <c r="AH2116" s="65">
        <f>IFERROR(INDEX(tblParts[Delay days],MATCH(tblWorkPackages[[#This Row],[Work package ID]],tblParts[Work package ID],0)),0)</f>
        <v>0</v>
      </c>
      <c r="AI2116" s="51" t="str">
        <f>IFERROR(INDEX(tblDisruptions[Event type],MATCH(tblWorkPackages[[#This Row],[Work package ID]],tblDisruptions[Work package ID],0)),"None")</f>
        <v>None</v>
      </c>
      <c r="AJ2116" s="51" t="str">
        <f>TEXT(tblWorkPackages[[#This Row],[Due date serial]],"yyyy-mm")</f>
        <v>2024-07</v>
      </c>
    </row>
    <row r="2117" spans="1:36" ht="15" x14ac:dyDescent="0.25">
      <c r="A2117" s="53" t="s">
        <v>3030</v>
      </c>
      <c r="B2117" s="53" t="s">
        <v>185</v>
      </c>
      <c r="C2117" s="53" t="s">
        <v>1001</v>
      </c>
      <c r="D2117" s="53" t="s">
        <v>665</v>
      </c>
      <c r="E2117" s="53" t="s">
        <v>136</v>
      </c>
      <c r="F2117" s="53" t="s">
        <v>137</v>
      </c>
      <c r="G2117" s="53" t="s">
        <v>138</v>
      </c>
      <c r="H2117" s="53">
        <v>2</v>
      </c>
      <c r="I2117" s="53" t="s">
        <v>130</v>
      </c>
      <c r="J2117" s="53">
        <v>0</v>
      </c>
      <c r="K2117" s="53">
        <v>0</v>
      </c>
      <c r="L2117" s="53">
        <v>16.600000000000001</v>
      </c>
      <c r="M2117" s="53" t="s">
        <v>436</v>
      </c>
      <c r="N2117" s="53">
        <v>19.5</v>
      </c>
      <c r="O2117" s="51" t="str">
        <f>TEXT(tblWorkPackages[[#This Row],[Request date serial]]-WEEKDAY(tblWorkPackages[[#This Row],[Request date serial]],3),"yyyy-mm-dd")</f>
        <v>2024-03-11</v>
      </c>
      <c r="P2117" s="51">
        <f>ABS(tblWorkPackages[[#This Row],[Actual labor hours]]-tblWorkPackages[[#This Row],[Estimated labor hours]])</f>
        <v>2.9</v>
      </c>
      <c r="Q2117" s="51">
        <f>IF(tblWorkPackages[[#This Row],[Actual labor hours]]&gt;tblWorkPackages[[#This Row],[Estimated labor hours]],1,0)</f>
        <v>1</v>
      </c>
      <c r="R2117" s="51">
        <f>tblWorkPackages[[#This Row],[Actual labor hours]]-tblWorkPackages[[#This Row],[Estimated labor hours]]</f>
        <v>2.9</v>
      </c>
      <c r="S2117" s="51" t="str">
        <f>IF(tblWorkPackages[[#This Row],[Request date serial]]&lt;ValidationStart,"Train 2024",IF(tblWorkPackages[[#This Row],[Request date serial]]&lt;HoldoutStart,"Validation H1","Holdout H2"))</f>
        <v>Train 2024</v>
      </c>
      <c r="T2117" s="51" t="str">
        <f>IF(tblWorkPackages[[#This Row],[Time split]]="Train 2024","",tblWorkPackages[[#This Row],[Estimated labor hours]]+VLOOKUP(tblWorkPackages[[#This Row],[Task type]],'Forecast validation'!$A$14:$E$25,IF(tblWorkPackages[[#This Row],[Time split]]="Validation H1",4,5),FALSE()))</f>
        <v/>
      </c>
      <c r="U2117" s="51" t="str">
        <f>IF(tblWorkPackages[[#This Row],[Calibrated forecast hours]]="","",ABS(tblWorkPackages[[#This Row],[Actual labor hours]]-tblWorkPackages[[#This Row],[Calibrated forecast hours]]))</f>
        <v/>
      </c>
      <c r="V2117" s="51">
        <f>IF(tblWorkPackages[[#This Row],[Time split]]="Train 2024",tblWorkPackages[[#This Row],[Estimated labor hours]],tblWorkPackages[[#This Row],[Calibrated forecast hours]])</f>
        <v>16.6</v>
      </c>
      <c r="W2117" s="64">
        <f>DATEVALUE(tblWorkPackages[[#This Row],[Request date]])</f>
        <v>45365.0</v>
      </c>
      <c r="X2117" s="64">
        <f>DATEVALUE(tblWorkPackages[[#This Row],[Due date]])</f>
        <v>45378.0</v>
      </c>
      <c r="Y2117" s="64">
        <f>DATEVALUE(tblWorkPackages[[#This Row],[Completion date]])</f>
        <v>45383.0</v>
      </c>
      <c r="Z2117" s="64">
        <f>_xlfn.MINIFS(tblLaborEntries[Work date serial],tblLaborEntries[Work package ID],tblWorkPackages[[#This Row],[Work package ID]])</f>
        <v>45379.0</v>
      </c>
      <c r="AA2117" s="64">
        <f>_xlfn.MAXIFS(tblLaborEntries[Work date serial],tblLaborEntries[Work package ID],tblWorkPackages[[#This Row],[Work package ID]])</f>
        <v>45380.0</v>
      </c>
      <c r="AB2117" s="65">
        <f>IF(tblWorkPackages[[#This Row],[Completion date serial]]&gt;tblWorkPackages[[#This Row],[Due date serial]],1,0)</f>
        <v>1</v>
      </c>
      <c r="AC2117" s="65">
        <f>MAX(0,tblWorkPackages[[#This Row],[Completion date serial]]-tblWorkPackages[[#This Row],[Due date serial]])</f>
        <v>5</v>
      </c>
      <c r="AD2117" s="65">
        <f>tblWorkPackages[[#This Row],[First labor date]]-tblWorkPackages[[#This Row],[Request date serial]]</f>
        <v>14</v>
      </c>
      <c r="AE2117" s="65">
        <f>tblWorkPackages[[#This Row],[Last labor date]]-tblWorkPackages[[#This Row],[First labor date]]</f>
        <v>1</v>
      </c>
      <c r="AF2117" s="65">
        <f>tblWorkPackages[[#This Row],[Completion date serial]]-tblWorkPackages[[#This Row],[Last labor date]]</f>
        <v>3</v>
      </c>
      <c r="AG2117" s="65">
        <f>tblWorkPackages[[#This Row],[Completion date serial]]-tblWorkPackages[[#This Row],[Request date serial]]</f>
        <v>18</v>
      </c>
      <c r="AH2117" s="65">
        <f>IFERROR(INDEX(tblParts[Delay days],MATCH(tblWorkPackages[[#This Row],[Work package ID]],tblParts[Work package ID],0)),0)</f>
        <v>0</v>
      </c>
      <c r="AI2117" s="51" t="str">
        <f>IFERROR(INDEX(tblDisruptions[Event type],MATCH(tblWorkPackages[[#This Row],[Work package ID]],tblDisruptions[Work package ID],0)),"None")</f>
        <v>None</v>
      </c>
      <c r="AJ2117" s="51" t="str">
        <f>TEXT(tblWorkPackages[[#This Row],[Due date serial]],"yyyy-mm")</f>
        <v>2024-03</v>
      </c>
    </row>
    <row r="2118" spans="1:36" ht="15" x14ac:dyDescent="0.25">
      <c r="A2118" s="53" t="s">
        <v>3031</v>
      </c>
      <c r="B2118" s="53" t="s">
        <v>141</v>
      </c>
      <c r="C2118" s="53" t="s">
        <v>2006</v>
      </c>
      <c r="D2118" s="53" t="s">
        <v>321</v>
      </c>
      <c r="E2118" s="53" t="s">
        <v>136</v>
      </c>
      <c r="F2118" s="53" t="s">
        <v>137</v>
      </c>
      <c r="G2118" s="53" t="s">
        <v>138</v>
      </c>
      <c r="H2118" s="53">
        <v>2</v>
      </c>
      <c r="I2118" s="53" t="s">
        <v>130</v>
      </c>
      <c r="J2118" s="53">
        <v>0</v>
      </c>
      <c r="K2118" s="53">
        <v>0</v>
      </c>
      <c r="L2118" s="53">
        <v>15.6</v>
      </c>
      <c r="M2118" s="53" t="s">
        <v>774</v>
      </c>
      <c r="N2118" s="53">
        <v>14.9</v>
      </c>
      <c r="O2118" s="51" t="str">
        <f>TEXT(tblWorkPackages[[#This Row],[Request date serial]]-WEEKDAY(tblWorkPackages[[#This Row],[Request date serial]],3),"yyyy-mm-dd")</f>
        <v>2024-03-18</v>
      </c>
      <c r="P2118" s="51">
        <f>ABS(tblWorkPackages[[#This Row],[Actual labor hours]]-tblWorkPackages[[#This Row],[Estimated labor hours]])</f>
        <v>0.699999999999999</v>
      </c>
      <c r="Q2118" s="51">
        <f>IF(tblWorkPackages[[#This Row],[Actual labor hours]]&gt;tblWorkPackages[[#This Row],[Estimated labor hours]],1,0)</f>
        <v>0</v>
      </c>
      <c r="R2118" s="51">
        <f>tblWorkPackages[[#This Row],[Actual labor hours]]-tblWorkPackages[[#This Row],[Estimated labor hours]]</f>
        <v>-0.699999999999999</v>
      </c>
      <c r="S2118" s="51" t="str">
        <f>IF(tblWorkPackages[[#This Row],[Request date serial]]&lt;ValidationStart,"Train 2024",IF(tblWorkPackages[[#This Row],[Request date serial]]&lt;HoldoutStart,"Validation H1","Holdout H2"))</f>
        <v>Train 2024</v>
      </c>
      <c r="T2118" s="51" t="str">
        <f>IF(tblWorkPackages[[#This Row],[Time split]]="Train 2024","",tblWorkPackages[[#This Row],[Estimated labor hours]]+VLOOKUP(tblWorkPackages[[#This Row],[Task type]],'Forecast validation'!$A$14:$E$25,IF(tblWorkPackages[[#This Row],[Time split]]="Validation H1",4,5),FALSE()))</f>
        <v/>
      </c>
      <c r="U2118" s="51" t="str">
        <f>IF(tblWorkPackages[[#This Row],[Calibrated forecast hours]]="","",ABS(tblWorkPackages[[#This Row],[Actual labor hours]]-tblWorkPackages[[#This Row],[Calibrated forecast hours]]))</f>
        <v/>
      </c>
      <c r="V2118" s="51">
        <f>IF(tblWorkPackages[[#This Row],[Time split]]="Train 2024",tblWorkPackages[[#This Row],[Estimated labor hours]],tblWorkPackages[[#This Row],[Calibrated forecast hours]])</f>
        <v>15.6</v>
      </c>
      <c r="W2118" s="64">
        <f>DATEVALUE(tblWorkPackages[[#This Row],[Request date]])</f>
        <v>45375.0</v>
      </c>
      <c r="X2118" s="64">
        <f>DATEVALUE(tblWorkPackages[[#This Row],[Due date]])</f>
        <v>45388.0</v>
      </c>
      <c r="Y2118" s="64">
        <f>DATEVALUE(tblWorkPackages[[#This Row],[Completion date]])</f>
        <v>45381.0</v>
      </c>
      <c r="Z2118" s="64">
        <f>_xlfn.MINIFS(tblLaborEntries[Work date serial],tblLaborEntries[Work package ID],tblWorkPackages[[#This Row],[Work package ID]])</f>
        <v>45379.0</v>
      </c>
      <c r="AA2118" s="64">
        <f>_xlfn.MAXIFS(tblLaborEntries[Work date serial],tblLaborEntries[Work package ID],tblWorkPackages[[#This Row],[Work package ID]])</f>
        <v>45381.0</v>
      </c>
      <c r="AB2118" s="65">
        <f>IF(tblWorkPackages[[#This Row],[Completion date serial]]&gt;tblWorkPackages[[#This Row],[Due date serial]],1,0)</f>
        <v>0</v>
      </c>
      <c r="AC2118" s="65">
        <f>MAX(0,tblWorkPackages[[#This Row],[Completion date serial]]-tblWorkPackages[[#This Row],[Due date serial]])</f>
        <v>0</v>
      </c>
      <c r="AD2118" s="65">
        <f>tblWorkPackages[[#This Row],[First labor date]]-tblWorkPackages[[#This Row],[Request date serial]]</f>
        <v>4</v>
      </c>
      <c r="AE2118" s="65">
        <f>tblWorkPackages[[#This Row],[Last labor date]]-tblWorkPackages[[#This Row],[First labor date]]</f>
        <v>2</v>
      </c>
      <c r="AF2118" s="65">
        <f>tblWorkPackages[[#This Row],[Completion date serial]]-tblWorkPackages[[#This Row],[Last labor date]]</f>
        <v>0</v>
      </c>
      <c r="AG2118" s="65">
        <f>tblWorkPackages[[#This Row],[Completion date serial]]-tblWorkPackages[[#This Row],[Request date serial]]</f>
        <v>6</v>
      </c>
      <c r="AH2118" s="65">
        <f>IFERROR(INDEX(tblParts[Delay days],MATCH(tblWorkPackages[[#This Row],[Work package ID]],tblParts[Work package ID],0)),0)</f>
        <v>0</v>
      </c>
      <c r="AI2118" s="51" t="str">
        <f>IFERROR(INDEX(tblDisruptions[Event type],MATCH(tblWorkPackages[[#This Row],[Work package ID]],tblDisruptions[Work package ID],0)),"None")</f>
        <v>None</v>
      </c>
      <c r="AJ2118" s="51" t="str">
        <f>TEXT(tblWorkPackages[[#This Row],[Due date serial]],"yyyy-mm")</f>
        <v>2024-04</v>
      </c>
    </row>
    <row r="2119" spans="1:36" ht="15" x14ac:dyDescent="0.25">
      <c r="A2119" s="53" t="s">
        <v>3032</v>
      </c>
      <c r="B2119" s="53" t="s">
        <v>235</v>
      </c>
      <c r="C2119" s="53" t="s">
        <v>587</v>
      </c>
      <c r="D2119" s="53" t="s">
        <v>281</v>
      </c>
      <c r="E2119" s="53" t="s">
        <v>127</v>
      </c>
      <c r="F2119" s="53" t="s">
        <v>128</v>
      </c>
      <c r="G2119" s="53" t="s">
        <v>129</v>
      </c>
      <c r="H2119" s="53">
        <v>1</v>
      </c>
      <c r="I2119" s="53" t="s">
        <v>130</v>
      </c>
      <c r="J2119" s="53">
        <v>0</v>
      </c>
      <c r="K2119" s="53">
        <v>1</v>
      </c>
      <c r="L2119" s="53">
        <v>4.7</v>
      </c>
      <c r="M2119" s="53" t="s">
        <v>870</v>
      </c>
      <c r="N2119" s="53">
        <v>4.0999999999999996</v>
      </c>
      <c r="O2119" s="51" t="str">
        <f>TEXT(tblWorkPackages[[#This Row],[Request date serial]]-WEEKDAY(tblWorkPackages[[#This Row],[Request date serial]],3),"yyyy-mm-dd")</f>
        <v>2025-01-13</v>
      </c>
      <c r="P2119" s="51">
        <f>ABS(tblWorkPackages[[#This Row],[Actual labor hours]]-tblWorkPackages[[#This Row],[Estimated labor hours]])</f>
        <v>0.600000000000001</v>
      </c>
      <c r="Q2119" s="51">
        <f>IF(tblWorkPackages[[#This Row],[Actual labor hours]]&gt;tblWorkPackages[[#This Row],[Estimated labor hours]],1,0)</f>
        <v>0</v>
      </c>
      <c r="R2119" s="51">
        <f>tblWorkPackages[[#This Row],[Actual labor hours]]-tblWorkPackages[[#This Row],[Estimated labor hours]]</f>
        <v>-0.600000000000001</v>
      </c>
      <c r="S2119" s="51" t="str">
        <f>IF(tblWorkPackages[[#This Row],[Request date serial]]&lt;ValidationStart,"Train 2024",IF(tblWorkPackages[[#This Row],[Request date serial]]&lt;HoldoutStart,"Validation H1","Holdout H2"))</f>
        <v>Validation H1</v>
      </c>
      <c r="T2119" s="51">
        <f>IF(tblWorkPackages[[#This Row],[Time split]]="Train 2024","",tblWorkPackages[[#This Row],[Estimated labor hours]]+VLOOKUP(tblWorkPackages[[#This Row],[Task type]],'Forecast validation'!$A$14:$E$25,IF(tblWorkPackages[[#This Row],[Time split]]="Validation H1",4,5),FALSE()))</f>
        <v>5.17564102564103</v>
      </c>
      <c r="U2119" s="51">
        <f>IF(tblWorkPackages[[#This Row],[Calibrated forecast hours]]="","",ABS(tblWorkPackages[[#This Row],[Actual labor hours]]-tblWorkPackages[[#This Row],[Calibrated forecast hours]]))</f>
        <v>1.07564102564103</v>
      </c>
      <c r="V2119" s="51">
        <f>IF(tblWorkPackages[[#This Row],[Time split]]="Train 2024",tblWorkPackages[[#This Row],[Estimated labor hours]],tblWorkPackages[[#This Row],[Calibrated forecast hours]])</f>
        <v>5.17564102564103</v>
      </c>
      <c r="W2119" s="64">
        <f>DATEVALUE(tblWorkPackages[[#This Row],[Request date]])</f>
        <v>45671.0</v>
      </c>
      <c r="X2119" s="64">
        <f>DATEVALUE(tblWorkPackages[[#This Row],[Due date]])</f>
        <v>45684.0</v>
      </c>
      <c r="Y2119" s="64">
        <f>DATEVALUE(tblWorkPackages[[#This Row],[Completion date]])</f>
        <v>45732.0</v>
      </c>
      <c r="Z2119" s="64">
        <f>_xlfn.MINIFS(tblLaborEntries[Work date serial],tblLaborEntries[Work package ID],tblWorkPackages[[#This Row],[Work package ID]])</f>
        <v>45730.0</v>
      </c>
      <c r="AA2119" s="64">
        <f>_xlfn.MAXIFS(tblLaborEntries[Work date serial],tblLaborEntries[Work package ID],tblWorkPackages[[#This Row],[Work package ID]])</f>
        <v>45731.0</v>
      </c>
      <c r="AB2119" s="65">
        <f>IF(tblWorkPackages[[#This Row],[Completion date serial]]&gt;tblWorkPackages[[#This Row],[Due date serial]],1,0)</f>
        <v>1</v>
      </c>
      <c r="AC2119" s="65">
        <f>MAX(0,tblWorkPackages[[#This Row],[Completion date serial]]-tblWorkPackages[[#This Row],[Due date serial]])</f>
        <v>48</v>
      </c>
      <c r="AD2119" s="65">
        <f>tblWorkPackages[[#This Row],[First labor date]]-tblWorkPackages[[#This Row],[Request date serial]]</f>
        <v>59</v>
      </c>
      <c r="AE2119" s="65">
        <f>tblWorkPackages[[#This Row],[Last labor date]]-tblWorkPackages[[#This Row],[First labor date]]</f>
        <v>1</v>
      </c>
      <c r="AF2119" s="65">
        <f>tblWorkPackages[[#This Row],[Completion date serial]]-tblWorkPackages[[#This Row],[Last labor date]]</f>
        <v>1</v>
      </c>
      <c r="AG2119" s="65">
        <f>tblWorkPackages[[#This Row],[Completion date serial]]-tblWorkPackages[[#This Row],[Request date serial]]</f>
        <v>61</v>
      </c>
      <c r="AH2119" s="65">
        <f>IFERROR(INDEX(tblParts[Delay days],MATCH(tblWorkPackages[[#This Row],[Work package ID]],tblParts[Work package ID],0)),0)</f>
        <v>0</v>
      </c>
      <c r="AI2119" s="51" t="str">
        <f>IFERROR(INDEX(tblDisruptions[Event type],MATCH(tblWorkPackages[[#This Row],[Work package ID]],tblDisruptions[Work package ID],0)),"None")</f>
        <v>None</v>
      </c>
      <c r="AJ2119" s="51" t="str">
        <f>TEXT(tblWorkPackages[[#This Row],[Due date serial]],"yyyy-mm")</f>
        <v>2025-01</v>
      </c>
    </row>
    <row r="2120" spans="1:36" ht="15" x14ac:dyDescent="0.25">
      <c r="A2120" s="53" t="s">
        <v>3033</v>
      </c>
      <c r="B2120" s="53" t="s">
        <v>157</v>
      </c>
      <c r="C2120" s="53" t="s">
        <v>1076</v>
      </c>
      <c r="D2120" s="53" t="s">
        <v>1036</v>
      </c>
      <c r="E2120" s="53" t="s">
        <v>136</v>
      </c>
      <c r="F2120" s="53" t="s">
        <v>137</v>
      </c>
      <c r="G2120" s="53" t="s">
        <v>138</v>
      </c>
      <c r="H2120" s="53">
        <v>2</v>
      </c>
      <c r="I2120" s="53" t="s">
        <v>130</v>
      </c>
      <c r="J2120" s="53">
        <v>0</v>
      </c>
      <c r="K2120" s="53">
        <v>0</v>
      </c>
      <c r="L2120" s="53">
        <v>14.6</v>
      </c>
      <c r="M2120" s="53" t="s">
        <v>907</v>
      </c>
      <c r="N2120" s="53">
        <v>18.5</v>
      </c>
      <c r="O2120" s="51" t="str">
        <f>TEXT(tblWorkPackages[[#This Row],[Request date serial]]-WEEKDAY(tblWorkPackages[[#This Row],[Request date serial]],3),"yyyy-mm-dd")</f>
        <v>2025-05-26</v>
      </c>
      <c r="P2120" s="51">
        <f>ABS(tblWorkPackages[[#This Row],[Actual labor hours]]-tblWorkPackages[[#This Row],[Estimated labor hours]])</f>
        <v>3.9</v>
      </c>
      <c r="Q2120" s="51">
        <f>IF(tblWorkPackages[[#This Row],[Actual labor hours]]&gt;tblWorkPackages[[#This Row],[Estimated labor hours]],1,0)</f>
        <v>1</v>
      </c>
      <c r="R2120" s="51">
        <f>tblWorkPackages[[#This Row],[Actual labor hours]]-tblWorkPackages[[#This Row],[Estimated labor hours]]</f>
        <v>3.9</v>
      </c>
      <c r="S2120" s="51" t="str">
        <f>IF(tblWorkPackages[[#This Row],[Request date serial]]&lt;ValidationStart,"Train 2024",IF(tblWorkPackages[[#This Row],[Request date serial]]&lt;HoldoutStart,"Validation H1","Holdout H2"))</f>
        <v>Validation H1</v>
      </c>
      <c r="T2120" s="51">
        <f>IF(tblWorkPackages[[#This Row],[Time split]]="Train 2024","",tblWorkPackages[[#This Row],[Estimated labor hours]]+VLOOKUP(tblWorkPackages[[#This Row],[Task type]],'Forecast validation'!$A$14:$E$25,IF(tblWorkPackages[[#This Row],[Time split]]="Validation H1",4,5),FALSE()))</f>
        <v>15.4765306122449</v>
      </c>
      <c r="U2120" s="51">
        <f>IF(tblWorkPackages[[#This Row],[Calibrated forecast hours]]="","",ABS(tblWorkPackages[[#This Row],[Actual labor hours]]-tblWorkPackages[[#This Row],[Calibrated forecast hours]]))</f>
        <v>3.0234693877551</v>
      </c>
      <c r="V2120" s="51">
        <f>IF(tblWorkPackages[[#This Row],[Time split]]="Train 2024",tblWorkPackages[[#This Row],[Estimated labor hours]],tblWorkPackages[[#This Row],[Calibrated forecast hours]])</f>
        <v>15.4765306122449</v>
      </c>
      <c r="W2120" s="64">
        <f>DATEVALUE(tblWorkPackages[[#This Row],[Request date]])</f>
        <v>45804.0</v>
      </c>
      <c r="X2120" s="64">
        <f>DATEVALUE(tblWorkPackages[[#This Row],[Due date]])</f>
        <v>45817.0</v>
      </c>
      <c r="Y2120" s="64">
        <f>DATEVALUE(tblWorkPackages[[#This Row],[Completion date]])</f>
        <v>45816.0</v>
      </c>
      <c r="Z2120" s="64">
        <f>_xlfn.MINIFS(tblLaborEntries[Work date serial],tblLaborEntries[Work package ID],tblWorkPackages[[#This Row],[Work package ID]])</f>
        <v>45813.0</v>
      </c>
      <c r="AA2120" s="64">
        <f>_xlfn.MAXIFS(tblLaborEntries[Work date serial],tblLaborEntries[Work package ID],tblWorkPackages[[#This Row],[Work package ID]])</f>
        <v>45814.0</v>
      </c>
      <c r="AB2120" s="65">
        <f>IF(tblWorkPackages[[#This Row],[Completion date serial]]&gt;tblWorkPackages[[#This Row],[Due date serial]],1,0)</f>
        <v>0</v>
      </c>
      <c r="AC2120" s="65">
        <f>MAX(0,tblWorkPackages[[#This Row],[Completion date serial]]-tblWorkPackages[[#This Row],[Due date serial]])</f>
        <v>0</v>
      </c>
      <c r="AD2120" s="65">
        <f>tblWorkPackages[[#This Row],[First labor date]]-tblWorkPackages[[#This Row],[Request date serial]]</f>
        <v>9</v>
      </c>
      <c r="AE2120" s="65">
        <f>tblWorkPackages[[#This Row],[Last labor date]]-tblWorkPackages[[#This Row],[First labor date]]</f>
        <v>1</v>
      </c>
      <c r="AF2120" s="65">
        <f>tblWorkPackages[[#This Row],[Completion date serial]]-tblWorkPackages[[#This Row],[Last labor date]]</f>
        <v>2</v>
      </c>
      <c r="AG2120" s="65">
        <f>tblWorkPackages[[#This Row],[Completion date serial]]-tblWorkPackages[[#This Row],[Request date serial]]</f>
        <v>12</v>
      </c>
      <c r="AH2120" s="65">
        <f>IFERROR(INDEX(tblParts[Delay days],MATCH(tblWorkPackages[[#This Row],[Work package ID]],tblParts[Work package ID],0)),0)</f>
        <v>0</v>
      </c>
      <c r="AI2120" s="51" t="str">
        <f>IFERROR(INDEX(tblDisruptions[Event type],MATCH(tblWorkPackages[[#This Row],[Work package ID]],tblDisruptions[Work package ID],0)),"None")</f>
        <v>None</v>
      </c>
      <c r="AJ2120" s="51" t="str">
        <f>TEXT(tblWorkPackages[[#This Row],[Due date serial]],"yyyy-mm")</f>
        <v>2025-06</v>
      </c>
    </row>
    <row r="2121" spans="1:36" ht="15" x14ac:dyDescent="0.25">
      <c r="A2121" s="53" t="s">
        <v>3034</v>
      </c>
      <c r="B2121" s="53" t="s">
        <v>133</v>
      </c>
      <c r="C2121" s="53" t="s">
        <v>2006</v>
      </c>
      <c r="D2121" s="53" t="s">
        <v>321</v>
      </c>
      <c r="E2121" s="53" t="s">
        <v>136</v>
      </c>
      <c r="F2121" s="53" t="s">
        <v>137</v>
      </c>
      <c r="G2121" s="53" t="s">
        <v>138</v>
      </c>
      <c r="H2121" s="53">
        <v>1</v>
      </c>
      <c r="I2121" s="53" t="s">
        <v>130</v>
      </c>
      <c r="J2121" s="53">
        <v>0</v>
      </c>
      <c r="K2121" s="53">
        <v>0</v>
      </c>
      <c r="L2121" s="53">
        <v>9.9</v>
      </c>
      <c r="M2121" s="53" t="s">
        <v>631</v>
      </c>
      <c r="N2121" s="53">
        <v>8.3000000000000007</v>
      </c>
      <c r="O2121" s="51" t="str">
        <f>TEXT(tblWorkPackages[[#This Row],[Request date serial]]-WEEKDAY(tblWorkPackages[[#This Row],[Request date serial]],3),"yyyy-mm-dd")</f>
        <v>2024-03-18</v>
      </c>
      <c r="P2121" s="51">
        <f>ABS(tblWorkPackages[[#This Row],[Actual labor hours]]-tblWorkPackages[[#This Row],[Estimated labor hours]])</f>
        <v>1.6</v>
      </c>
      <c r="Q2121" s="51">
        <f>IF(tblWorkPackages[[#This Row],[Actual labor hours]]&gt;tblWorkPackages[[#This Row],[Estimated labor hours]],1,0)</f>
        <v>0</v>
      </c>
      <c r="R2121" s="51">
        <f>tblWorkPackages[[#This Row],[Actual labor hours]]-tblWorkPackages[[#This Row],[Estimated labor hours]]</f>
        <v>-1.6</v>
      </c>
      <c r="S2121" s="51" t="str">
        <f>IF(tblWorkPackages[[#This Row],[Request date serial]]&lt;ValidationStart,"Train 2024",IF(tblWorkPackages[[#This Row],[Request date serial]]&lt;HoldoutStart,"Validation H1","Holdout H2"))</f>
        <v>Train 2024</v>
      </c>
      <c r="T2121" s="51" t="str">
        <f>IF(tblWorkPackages[[#This Row],[Time split]]="Train 2024","",tblWorkPackages[[#This Row],[Estimated labor hours]]+VLOOKUP(tblWorkPackages[[#This Row],[Task type]],'Forecast validation'!$A$14:$E$25,IF(tblWorkPackages[[#This Row],[Time split]]="Validation H1",4,5),FALSE()))</f>
        <v/>
      </c>
      <c r="U2121" s="51" t="str">
        <f>IF(tblWorkPackages[[#This Row],[Calibrated forecast hours]]="","",ABS(tblWorkPackages[[#This Row],[Actual labor hours]]-tblWorkPackages[[#This Row],[Calibrated forecast hours]]))</f>
        <v/>
      </c>
      <c r="V2121" s="51">
        <f>IF(tblWorkPackages[[#This Row],[Time split]]="Train 2024",tblWorkPackages[[#This Row],[Estimated labor hours]],tblWorkPackages[[#This Row],[Calibrated forecast hours]])</f>
        <v>9.9</v>
      </c>
      <c r="W2121" s="64">
        <f>DATEVALUE(tblWorkPackages[[#This Row],[Request date]])</f>
        <v>45375.0</v>
      </c>
      <c r="X2121" s="64">
        <f>DATEVALUE(tblWorkPackages[[#This Row],[Due date]])</f>
        <v>45388.0</v>
      </c>
      <c r="Y2121" s="64">
        <f>DATEVALUE(tblWorkPackages[[#This Row],[Completion date]])</f>
        <v>45382.0</v>
      </c>
      <c r="Z2121" s="64">
        <f>_xlfn.MINIFS(tblLaborEntries[Work date serial],tblLaborEntries[Work package ID],tblWorkPackages[[#This Row],[Work package ID]])</f>
        <v>45377.0</v>
      </c>
      <c r="AA2121" s="64">
        <f>_xlfn.MAXIFS(tblLaborEntries[Work date serial],tblLaborEntries[Work package ID],tblWorkPackages[[#This Row],[Work package ID]])</f>
        <v>45379.0</v>
      </c>
      <c r="AB2121" s="65">
        <f>IF(tblWorkPackages[[#This Row],[Completion date serial]]&gt;tblWorkPackages[[#This Row],[Due date serial]],1,0)</f>
        <v>0</v>
      </c>
      <c r="AC2121" s="65">
        <f>MAX(0,tblWorkPackages[[#This Row],[Completion date serial]]-tblWorkPackages[[#This Row],[Due date serial]])</f>
        <v>0</v>
      </c>
      <c r="AD2121" s="65">
        <f>tblWorkPackages[[#This Row],[First labor date]]-tblWorkPackages[[#This Row],[Request date serial]]</f>
        <v>2</v>
      </c>
      <c r="AE2121" s="65">
        <f>tblWorkPackages[[#This Row],[Last labor date]]-tblWorkPackages[[#This Row],[First labor date]]</f>
        <v>2</v>
      </c>
      <c r="AF2121" s="65">
        <f>tblWorkPackages[[#This Row],[Completion date serial]]-tblWorkPackages[[#This Row],[Last labor date]]</f>
        <v>3</v>
      </c>
      <c r="AG2121" s="65">
        <f>tblWorkPackages[[#This Row],[Completion date serial]]-tblWorkPackages[[#This Row],[Request date serial]]</f>
        <v>7</v>
      </c>
      <c r="AH2121" s="65">
        <f>IFERROR(INDEX(tblParts[Delay days],MATCH(tblWorkPackages[[#This Row],[Work package ID]],tblParts[Work package ID],0)),0)</f>
        <v>0</v>
      </c>
      <c r="AI2121" s="51" t="str">
        <f>IFERROR(INDEX(tblDisruptions[Event type],MATCH(tblWorkPackages[[#This Row],[Work package ID]],tblDisruptions[Work package ID],0)),"None")</f>
        <v>None</v>
      </c>
      <c r="AJ2121" s="51" t="str">
        <f>TEXT(tblWorkPackages[[#This Row],[Due date serial]],"yyyy-mm")</f>
        <v>2024-04</v>
      </c>
    </row>
    <row r="2122" spans="1:36" ht="15" x14ac:dyDescent="0.25">
      <c r="A2122" s="53" t="s">
        <v>3035</v>
      </c>
      <c r="B2122" s="53" t="s">
        <v>203</v>
      </c>
      <c r="C2122" s="53" t="s">
        <v>729</v>
      </c>
      <c r="D2122" s="53" t="s">
        <v>364</v>
      </c>
      <c r="E2122" s="53" t="s">
        <v>272</v>
      </c>
      <c r="F2122" s="53" t="s">
        <v>145</v>
      </c>
      <c r="G2122" s="53" t="s">
        <v>273</v>
      </c>
      <c r="H2122" s="53">
        <v>4</v>
      </c>
      <c r="I2122" s="53" t="s">
        <v>176</v>
      </c>
      <c r="J2122" s="53">
        <v>0</v>
      </c>
      <c r="K2122" s="53">
        <v>1</v>
      </c>
      <c r="L2122" s="53">
        <v>21.5</v>
      </c>
      <c r="M2122" s="53" t="s">
        <v>907</v>
      </c>
      <c r="N2122" s="53">
        <v>20.100000000000001</v>
      </c>
      <c r="O2122" s="51" t="str">
        <f>TEXT(tblWorkPackages[[#This Row],[Request date serial]]-WEEKDAY(tblWorkPackages[[#This Row],[Request date serial]],3),"yyyy-mm-dd")</f>
        <v>2025-05-05</v>
      </c>
      <c r="P2122" s="51">
        <f>ABS(tblWorkPackages[[#This Row],[Actual labor hours]]-tblWorkPackages[[#This Row],[Estimated labor hours]])</f>
        <v>1.4</v>
      </c>
      <c r="Q2122" s="51">
        <f>IF(tblWorkPackages[[#This Row],[Actual labor hours]]&gt;tblWorkPackages[[#This Row],[Estimated labor hours]],1,0)</f>
        <v>0</v>
      </c>
      <c r="R2122" s="51">
        <f>tblWorkPackages[[#This Row],[Actual labor hours]]-tblWorkPackages[[#This Row],[Estimated labor hours]]</f>
        <v>-1.4</v>
      </c>
      <c r="S2122" s="51" t="str">
        <f>IF(tblWorkPackages[[#This Row],[Request date serial]]&lt;ValidationStart,"Train 2024",IF(tblWorkPackages[[#This Row],[Request date serial]]&lt;HoldoutStart,"Validation H1","Holdout H2"))</f>
        <v>Validation H1</v>
      </c>
      <c r="T2122" s="51">
        <f>IF(tblWorkPackages[[#This Row],[Time split]]="Train 2024","",tblWorkPackages[[#This Row],[Estimated labor hours]]+VLOOKUP(tblWorkPackages[[#This Row],[Task type]],'Forecast validation'!$A$14:$E$25,IF(tblWorkPackages[[#This Row],[Time split]]="Validation H1",4,5),FALSE()))</f>
        <v>22.5320512820513</v>
      </c>
      <c r="U2122" s="51">
        <f>IF(tblWorkPackages[[#This Row],[Calibrated forecast hours]]="","",ABS(tblWorkPackages[[#This Row],[Actual labor hours]]-tblWorkPackages[[#This Row],[Calibrated forecast hours]]))</f>
        <v>2.43205128205128</v>
      </c>
      <c r="V2122" s="51">
        <f>IF(tblWorkPackages[[#This Row],[Time split]]="Train 2024",tblWorkPackages[[#This Row],[Estimated labor hours]],tblWorkPackages[[#This Row],[Calibrated forecast hours]])</f>
        <v>22.5320512820513</v>
      </c>
      <c r="W2122" s="64">
        <f>DATEVALUE(tblWorkPackages[[#This Row],[Request date]])</f>
        <v>45784.0</v>
      </c>
      <c r="X2122" s="64">
        <f>DATEVALUE(tblWorkPackages[[#This Row],[Due date]])</f>
        <v>45790.0</v>
      </c>
      <c r="Y2122" s="64">
        <f>DATEVALUE(tblWorkPackages[[#This Row],[Completion date]])</f>
        <v>45816.0</v>
      </c>
      <c r="Z2122" s="64">
        <f>_xlfn.MINIFS(tblLaborEntries[Work date serial],tblLaborEntries[Work package ID],tblWorkPackages[[#This Row],[Work package ID]])</f>
        <v>45815.0</v>
      </c>
      <c r="AA2122" s="64">
        <f>_xlfn.MAXIFS(tblLaborEntries[Work date serial],tblLaborEntries[Work package ID],tblWorkPackages[[#This Row],[Work package ID]])</f>
        <v>45816.0</v>
      </c>
      <c r="AB2122" s="65">
        <f>IF(tblWorkPackages[[#This Row],[Completion date serial]]&gt;tblWorkPackages[[#This Row],[Due date serial]],1,0)</f>
        <v>1</v>
      </c>
      <c r="AC2122" s="65">
        <f>MAX(0,tblWorkPackages[[#This Row],[Completion date serial]]-tblWorkPackages[[#This Row],[Due date serial]])</f>
        <v>26</v>
      </c>
      <c r="AD2122" s="65">
        <f>tblWorkPackages[[#This Row],[First labor date]]-tblWorkPackages[[#This Row],[Request date serial]]</f>
        <v>31</v>
      </c>
      <c r="AE2122" s="65">
        <f>tblWorkPackages[[#This Row],[Last labor date]]-tblWorkPackages[[#This Row],[First labor date]]</f>
        <v>1</v>
      </c>
      <c r="AF2122" s="65">
        <f>tblWorkPackages[[#This Row],[Completion date serial]]-tblWorkPackages[[#This Row],[Last labor date]]</f>
        <v>0</v>
      </c>
      <c r="AG2122" s="65">
        <f>tblWorkPackages[[#This Row],[Completion date serial]]-tblWorkPackages[[#This Row],[Request date serial]]</f>
        <v>32</v>
      </c>
      <c r="AH2122" s="65">
        <f>IFERROR(INDEX(tblParts[Delay days],MATCH(tblWorkPackages[[#This Row],[Work package ID]],tblParts[Work package ID],0)),0)</f>
        <v>8</v>
      </c>
      <c r="AI2122" s="51" t="str">
        <f>IFERROR(INDEX(tblDisruptions[Event type],MATCH(tblWorkPackages[[#This Row],[Work package ID]],tblDisruptions[Work package ID],0)),"None")</f>
        <v>Part delay</v>
      </c>
      <c r="AJ2122" s="51" t="str">
        <f>TEXT(tblWorkPackages[[#This Row],[Due date serial]],"yyyy-mm")</f>
        <v>2025-05</v>
      </c>
    </row>
    <row r="2123" spans="1:36" ht="15" x14ac:dyDescent="0.25">
      <c r="A2123" s="53" t="s">
        <v>3036</v>
      </c>
      <c r="B2123" s="53" t="s">
        <v>150</v>
      </c>
      <c r="C2123" s="53" t="s">
        <v>812</v>
      </c>
      <c r="D2123" s="53" t="s">
        <v>848</v>
      </c>
      <c r="E2123" s="53" t="s">
        <v>181</v>
      </c>
      <c r="F2123" s="53" t="s">
        <v>182</v>
      </c>
      <c r="G2123" s="53" t="s">
        <v>138</v>
      </c>
      <c r="H2123" s="53">
        <v>3</v>
      </c>
      <c r="I2123" s="53" t="s">
        <v>130</v>
      </c>
      <c r="J2123" s="53">
        <v>1</v>
      </c>
      <c r="K2123" s="53">
        <v>0</v>
      </c>
      <c r="L2123" s="53">
        <v>10.3</v>
      </c>
      <c r="M2123" s="53" t="s">
        <v>653</v>
      </c>
      <c r="N2123" s="53">
        <v>12.5</v>
      </c>
      <c r="O2123" s="51" t="str">
        <f>TEXT(tblWorkPackages[[#This Row],[Request date serial]]-WEEKDAY(tblWorkPackages[[#This Row],[Request date serial]],3),"yyyy-mm-dd")</f>
        <v>2025-12-01</v>
      </c>
      <c r="P2123" s="51">
        <f>ABS(tblWorkPackages[[#This Row],[Actual labor hours]]-tblWorkPackages[[#This Row],[Estimated labor hours]])</f>
        <v>2.2</v>
      </c>
      <c r="Q2123" s="51">
        <f>IF(tblWorkPackages[[#This Row],[Actual labor hours]]&gt;tblWorkPackages[[#This Row],[Estimated labor hours]],1,0)</f>
        <v>1</v>
      </c>
      <c r="R2123" s="51">
        <f>tblWorkPackages[[#This Row],[Actual labor hours]]-tblWorkPackages[[#This Row],[Estimated labor hours]]</f>
        <v>2.2</v>
      </c>
      <c r="S2123" s="51" t="str">
        <f>IF(tblWorkPackages[[#This Row],[Request date serial]]&lt;ValidationStart,"Train 2024",IF(tblWorkPackages[[#This Row],[Request date serial]]&lt;HoldoutStart,"Validation H1","Holdout H2"))</f>
        <v>Holdout H2</v>
      </c>
      <c r="T2123" s="51">
        <f>IF(tblWorkPackages[[#This Row],[Time split]]="Train 2024","",tblWorkPackages[[#This Row],[Estimated labor hours]]+VLOOKUP(tblWorkPackages[[#This Row],[Task type]],'Forecast validation'!$A$14:$E$25,IF(tblWorkPackages[[#This Row],[Time split]]="Validation H1",4,5),FALSE()))</f>
        <v>10.8916083916084</v>
      </c>
      <c r="U2123" s="51">
        <f>IF(tblWorkPackages[[#This Row],[Calibrated forecast hours]]="","",ABS(tblWorkPackages[[#This Row],[Actual labor hours]]-tblWorkPackages[[#This Row],[Calibrated forecast hours]]))</f>
        <v>1.60839160839161</v>
      </c>
      <c r="V2123" s="51">
        <f>IF(tblWorkPackages[[#This Row],[Time split]]="Train 2024",tblWorkPackages[[#This Row],[Estimated labor hours]],tblWorkPackages[[#This Row],[Calibrated forecast hours]])</f>
        <v>10.8916083916084</v>
      </c>
      <c r="W2123" s="64">
        <f>DATEVALUE(tblWorkPackages[[#This Row],[Request date]])</f>
        <v>45993.0</v>
      </c>
      <c r="X2123" s="64">
        <f>DATEVALUE(tblWorkPackages[[#This Row],[Due date]])</f>
        <v>46006.0</v>
      </c>
      <c r="Y2123" s="64">
        <f>DATEVALUE(tblWorkPackages[[#This Row],[Completion date]])</f>
        <v>46000.0</v>
      </c>
      <c r="Z2123" s="64">
        <f>_xlfn.MINIFS(tblLaborEntries[Work date serial],tblLaborEntries[Work package ID],tblWorkPackages[[#This Row],[Work package ID]])</f>
        <v>45997.0</v>
      </c>
      <c r="AA2123" s="64">
        <f>_xlfn.MAXIFS(tblLaborEntries[Work date serial],tblLaborEntries[Work package ID],tblWorkPackages[[#This Row],[Work package ID]])</f>
        <v>45999.0</v>
      </c>
      <c r="AB2123" s="65">
        <f>IF(tblWorkPackages[[#This Row],[Completion date serial]]&gt;tblWorkPackages[[#This Row],[Due date serial]],1,0)</f>
        <v>0</v>
      </c>
      <c r="AC2123" s="65">
        <f>MAX(0,tblWorkPackages[[#This Row],[Completion date serial]]-tblWorkPackages[[#This Row],[Due date serial]])</f>
        <v>0</v>
      </c>
      <c r="AD2123" s="65">
        <f>tblWorkPackages[[#This Row],[First labor date]]-tblWorkPackages[[#This Row],[Request date serial]]</f>
        <v>4</v>
      </c>
      <c r="AE2123" s="65">
        <f>tblWorkPackages[[#This Row],[Last labor date]]-tblWorkPackages[[#This Row],[First labor date]]</f>
        <v>2</v>
      </c>
      <c r="AF2123" s="65">
        <f>tblWorkPackages[[#This Row],[Completion date serial]]-tblWorkPackages[[#This Row],[Last labor date]]</f>
        <v>1</v>
      </c>
      <c r="AG2123" s="65">
        <f>tblWorkPackages[[#This Row],[Completion date serial]]-tblWorkPackages[[#This Row],[Request date serial]]</f>
        <v>7</v>
      </c>
      <c r="AH2123" s="65">
        <f>IFERROR(INDEX(tblParts[Delay days],MATCH(tblWorkPackages[[#This Row],[Work package ID]],tblParts[Work package ID],0)),0)</f>
        <v>0</v>
      </c>
      <c r="AI2123" s="51" t="str">
        <f>IFERROR(INDEX(tblDisruptions[Event type],MATCH(tblWorkPackages[[#This Row],[Work package ID]],tblDisruptions[Work package ID],0)),"None")</f>
        <v>None</v>
      </c>
      <c r="AJ2123" s="51" t="str">
        <f>TEXT(tblWorkPackages[[#This Row],[Due date serial]],"yyyy-mm")</f>
        <v>2025-12</v>
      </c>
    </row>
    <row r="2124" spans="1:36" ht="15" x14ac:dyDescent="0.25">
      <c r="A2124" s="53" t="s">
        <v>3037</v>
      </c>
      <c r="B2124" s="53" t="s">
        <v>287</v>
      </c>
      <c r="C2124" s="53" t="s">
        <v>607</v>
      </c>
      <c r="D2124" s="53" t="s">
        <v>1192</v>
      </c>
      <c r="E2124" s="53" t="s">
        <v>127</v>
      </c>
      <c r="F2124" s="53" t="s">
        <v>128</v>
      </c>
      <c r="G2124" s="53" t="s">
        <v>129</v>
      </c>
      <c r="H2124" s="53">
        <v>3</v>
      </c>
      <c r="I2124" s="53" t="s">
        <v>130</v>
      </c>
      <c r="J2124" s="53">
        <v>0</v>
      </c>
      <c r="K2124" s="53">
        <v>0</v>
      </c>
      <c r="L2124" s="53">
        <v>11</v>
      </c>
      <c r="M2124" s="53" t="s">
        <v>871</v>
      </c>
      <c r="N2124" s="53">
        <v>9.1999999999999993</v>
      </c>
      <c r="O2124" s="51" t="str">
        <f>TEXT(tblWorkPackages[[#This Row],[Request date serial]]-WEEKDAY(tblWorkPackages[[#This Row],[Request date serial]],3),"yyyy-mm-dd")</f>
        <v>2025-03-17</v>
      </c>
      <c r="P2124" s="51">
        <f>ABS(tblWorkPackages[[#This Row],[Actual labor hours]]-tblWorkPackages[[#This Row],[Estimated labor hours]])</f>
        <v>1.8</v>
      </c>
      <c r="Q2124" s="51">
        <f>IF(tblWorkPackages[[#This Row],[Actual labor hours]]&gt;tblWorkPackages[[#This Row],[Estimated labor hours]],1,0)</f>
        <v>0</v>
      </c>
      <c r="R2124" s="51">
        <f>tblWorkPackages[[#This Row],[Actual labor hours]]-tblWorkPackages[[#This Row],[Estimated labor hours]]</f>
        <v>-1.8</v>
      </c>
      <c r="S2124" s="51" t="str">
        <f>IF(tblWorkPackages[[#This Row],[Request date serial]]&lt;ValidationStart,"Train 2024",IF(tblWorkPackages[[#This Row],[Request date serial]]&lt;HoldoutStart,"Validation H1","Holdout H2"))</f>
        <v>Validation H1</v>
      </c>
      <c r="T2124" s="51">
        <f>IF(tblWorkPackages[[#This Row],[Time split]]="Train 2024","",tblWorkPackages[[#This Row],[Estimated labor hours]]+VLOOKUP(tblWorkPackages[[#This Row],[Task type]],'Forecast validation'!$A$14:$E$25,IF(tblWorkPackages[[#This Row],[Time split]]="Validation H1",4,5),FALSE()))</f>
        <v>11.475641025641</v>
      </c>
      <c r="U2124" s="51">
        <f>IF(tblWorkPackages[[#This Row],[Calibrated forecast hours]]="","",ABS(tblWorkPackages[[#This Row],[Actual labor hours]]-tblWorkPackages[[#This Row],[Calibrated forecast hours]]))</f>
        <v>2.27564102564103</v>
      </c>
      <c r="V2124" s="51">
        <f>IF(tblWorkPackages[[#This Row],[Time split]]="Train 2024",tblWorkPackages[[#This Row],[Estimated labor hours]],tblWorkPackages[[#This Row],[Calibrated forecast hours]])</f>
        <v>11.475641025641</v>
      </c>
      <c r="W2124" s="64">
        <f>DATEVALUE(tblWorkPackages[[#This Row],[Request date]])</f>
        <v>45734.0</v>
      </c>
      <c r="X2124" s="64">
        <f>DATEVALUE(tblWorkPackages[[#This Row],[Due date]])</f>
        <v>45747.0</v>
      </c>
      <c r="Y2124" s="64">
        <f>DATEVALUE(tblWorkPackages[[#This Row],[Completion date]])</f>
        <v>45738.0</v>
      </c>
      <c r="Z2124" s="64">
        <f>_xlfn.MINIFS(tblLaborEntries[Work date serial],tblLaborEntries[Work package ID],tblWorkPackages[[#This Row],[Work package ID]])</f>
        <v>45735.0</v>
      </c>
      <c r="AA2124" s="64">
        <f>_xlfn.MAXIFS(tblLaborEntries[Work date serial],tblLaborEntries[Work package ID],tblWorkPackages[[#This Row],[Work package ID]])</f>
        <v>45736.0</v>
      </c>
      <c r="AB2124" s="65">
        <f>IF(tblWorkPackages[[#This Row],[Completion date serial]]&gt;tblWorkPackages[[#This Row],[Due date serial]],1,0)</f>
        <v>0</v>
      </c>
      <c r="AC2124" s="65">
        <f>MAX(0,tblWorkPackages[[#This Row],[Completion date serial]]-tblWorkPackages[[#This Row],[Due date serial]])</f>
        <v>0</v>
      </c>
      <c r="AD2124" s="65">
        <f>tblWorkPackages[[#This Row],[First labor date]]-tblWorkPackages[[#This Row],[Request date serial]]</f>
        <v>1</v>
      </c>
      <c r="AE2124" s="65">
        <f>tblWorkPackages[[#This Row],[Last labor date]]-tblWorkPackages[[#This Row],[First labor date]]</f>
        <v>1</v>
      </c>
      <c r="AF2124" s="65">
        <f>tblWorkPackages[[#This Row],[Completion date serial]]-tblWorkPackages[[#This Row],[Last labor date]]</f>
        <v>2</v>
      </c>
      <c r="AG2124" s="65">
        <f>tblWorkPackages[[#This Row],[Completion date serial]]-tblWorkPackages[[#This Row],[Request date serial]]</f>
        <v>4</v>
      </c>
      <c r="AH2124" s="65">
        <f>IFERROR(INDEX(tblParts[Delay days],MATCH(tblWorkPackages[[#This Row],[Work package ID]],tblParts[Work package ID],0)),0)</f>
        <v>0</v>
      </c>
      <c r="AI2124" s="51" t="str">
        <f>IFERROR(INDEX(tblDisruptions[Event type],MATCH(tblWorkPackages[[#This Row],[Work package ID]],tblDisruptions[Work package ID],0)),"None")</f>
        <v>None</v>
      </c>
      <c r="AJ2124" s="51" t="str">
        <f>TEXT(tblWorkPackages[[#This Row],[Due date serial]],"yyyy-mm")</f>
        <v>2025-03</v>
      </c>
    </row>
    <row r="2125" spans="1:36" ht="15" x14ac:dyDescent="0.25">
      <c r="A2125" s="53" t="s">
        <v>3038</v>
      </c>
      <c r="B2125" s="53" t="s">
        <v>185</v>
      </c>
      <c r="C2125" s="53" t="s">
        <v>224</v>
      </c>
      <c r="D2125" s="53" t="s">
        <v>233</v>
      </c>
      <c r="E2125" s="53" t="s">
        <v>153</v>
      </c>
      <c r="F2125" s="53" t="s">
        <v>128</v>
      </c>
      <c r="G2125" s="53" t="s">
        <v>154</v>
      </c>
      <c r="H2125" s="53">
        <v>1</v>
      </c>
      <c r="I2125" s="53" t="s">
        <v>130</v>
      </c>
      <c r="J2125" s="53">
        <v>0</v>
      </c>
      <c r="K2125" s="53">
        <v>1</v>
      </c>
      <c r="L2125" s="53">
        <v>6.2</v>
      </c>
      <c r="M2125" s="53" t="s">
        <v>679</v>
      </c>
      <c r="N2125" s="53">
        <v>6.2</v>
      </c>
      <c r="O2125" s="51" t="str">
        <f>TEXT(tblWorkPackages[[#This Row],[Request date serial]]-WEEKDAY(tblWorkPackages[[#This Row],[Request date serial]],3),"yyyy-mm-dd")</f>
        <v>2024-12-16</v>
      </c>
      <c r="P2125" s="51">
        <f>ABS(tblWorkPackages[[#This Row],[Actual labor hours]]-tblWorkPackages[[#This Row],[Estimated labor hours]])</f>
        <v>0</v>
      </c>
      <c r="Q2125" s="51">
        <f>IF(tblWorkPackages[[#This Row],[Actual labor hours]]&gt;tblWorkPackages[[#This Row],[Estimated labor hours]],1,0)</f>
        <v>0</v>
      </c>
      <c r="R2125" s="51">
        <f>tblWorkPackages[[#This Row],[Actual labor hours]]-tblWorkPackages[[#This Row],[Estimated labor hours]]</f>
        <v>0</v>
      </c>
      <c r="S2125" s="51" t="str">
        <f>IF(tblWorkPackages[[#This Row],[Request date serial]]&lt;ValidationStart,"Train 2024",IF(tblWorkPackages[[#This Row],[Request date serial]]&lt;HoldoutStart,"Validation H1","Holdout H2"))</f>
        <v>Train 2024</v>
      </c>
      <c r="T2125" s="51" t="str">
        <f>IF(tblWorkPackages[[#This Row],[Time split]]="Train 2024","",tblWorkPackages[[#This Row],[Estimated labor hours]]+VLOOKUP(tblWorkPackages[[#This Row],[Task type]],'Forecast validation'!$A$14:$E$25,IF(tblWorkPackages[[#This Row],[Time split]]="Validation H1",4,5),FALSE()))</f>
        <v/>
      </c>
      <c r="U2125" s="51" t="str">
        <f>IF(tblWorkPackages[[#This Row],[Calibrated forecast hours]]="","",ABS(tblWorkPackages[[#This Row],[Actual labor hours]]-tblWorkPackages[[#This Row],[Calibrated forecast hours]]))</f>
        <v/>
      </c>
      <c r="V2125" s="51">
        <f>IF(tblWorkPackages[[#This Row],[Time split]]="Train 2024",tblWorkPackages[[#This Row],[Estimated labor hours]],tblWorkPackages[[#This Row],[Calibrated forecast hours]])</f>
        <v>6.2</v>
      </c>
      <c r="W2125" s="64">
        <f>DATEVALUE(tblWorkPackages[[#This Row],[Request date]])</f>
        <v>45648.0</v>
      </c>
      <c r="X2125" s="64">
        <f>DATEVALUE(tblWorkPackages[[#This Row],[Due date]])</f>
        <v>45661.0</v>
      </c>
      <c r="Y2125" s="64">
        <f>DATEVALUE(tblWorkPackages[[#This Row],[Completion date]])</f>
        <v>45663.0</v>
      </c>
      <c r="Z2125" s="64">
        <f>_xlfn.MINIFS(tblLaborEntries[Work date serial],tblLaborEntries[Work package ID],tblWorkPackages[[#This Row],[Work package ID]])</f>
        <v>45660.0</v>
      </c>
      <c r="AA2125" s="64">
        <f>_xlfn.MAXIFS(tblLaborEntries[Work date serial],tblLaborEntries[Work package ID],tblWorkPackages[[#This Row],[Work package ID]])</f>
        <v>45660.0</v>
      </c>
      <c r="AB2125" s="65">
        <f>IF(tblWorkPackages[[#This Row],[Completion date serial]]&gt;tblWorkPackages[[#This Row],[Due date serial]],1,0)</f>
        <v>1</v>
      </c>
      <c r="AC2125" s="65">
        <f>MAX(0,tblWorkPackages[[#This Row],[Completion date serial]]-tblWorkPackages[[#This Row],[Due date serial]])</f>
        <v>2</v>
      </c>
      <c r="AD2125" s="65">
        <f>tblWorkPackages[[#This Row],[First labor date]]-tblWorkPackages[[#This Row],[Request date serial]]</f>
        <v>12</v>
      </c>
      <c r="AE2125" s="65">
        <f>tblWorkPackages[[#This Row],[Last labor date]]-tblWorkPackages[[#This Row],[First labor date]]</f>
        <v>0</v>
      </c>
      <c r="AF2125" s="65">
        <f>tblWorkPackages[[#This Row],[Completion date serial]]-tblWorkPackages[[#This Row],[Last labor date]]</f>
        <v>3</v>
      </c>
      <c r="AG2125" s="65">
        <f>tblWorkPackages[[#This Row],[Completion date serial]]-tblWorkPackages[[#This Row],[Request date serial]]</f>
        <v>15</v>
      </c>
      <c r="AH2125" s="65">
        <f>IFERROR(INDEX(tblParts[Delay days],MATCH(tblWorkPackages[[#This Row],[Work package ID]],tblParts[Work package ID],0)),0)</f>
        <v>0</v>
      </c>
      <c r="AI2125" s="51" t="str">
        <f>IFERROR(INDEX(tblDisruptions[Event type],MATCH(tblWorkPackages[[#This Row],[Work package ID]],tblDisruptions[Work package ID],0)),"None")</f>
        <v>Equipment unavailable</v>
      </c>
      <c r="AJ2125" s="51" t="str">
        <f>TEXT(tblWorkPackages[[#This Row],[Due date serial]],"yyyy-mm")</f>
        <v>2025-01</v>
      </c>
    </row>
    <row r="2126" spans="1:36" ht="15" x14ac:dyDescent="0.25">
      <c r="A2126" s="53" t="s">
        <v>3039</v>
      </c>
      <c r="B2126" s="53" t="s">
        <v>124</v>
      </c>
      <c r="C2126" s="53" t="s">
        <v>388</v>
      </c>
      <c r="D2126" s="53" t="s">
        <v>294</v>
      </c>
      <c r="E2126" s="53" t="s">
        <v>242</v>
      </c>
      <c r="F2126" s="53" t="s">
        <v>243</v>
      </c>
      <c r="G2126" s="53" t="s">
        <v>129</v>
      </c>
      <c r="H2126" s="53">
        <v>2</v>
      </c>
      <c r="I2126" s="53" t="s">
        <v>176</v>
      </c>
      <c r="J2126" s="53">
        <v>0</v>
      </c>
      <c r="K2126" s="53">
        <v>0</v>
      </c>
      <c r="L2126" s="53">
        <v>7.8</v>
      </c>
      <c r="M2126" s="53" t="s">
        <v>787</v>
      </c>
      <c r="N2126" s="53">
        <v>7.5</v>
      </c>
      <c r="O2126" s="51" t="str">
        <f>TEXT(tblWorkPackages[[#This Row],[Request date serial]]-WEEKDAY(tblWorkPackages[[#This Row],[Request date serial]],3),"yyyy-mm-dd")</f>
        <v>2024-09-02</v>
      </c>
      <c r="P2126" s="51">
        <f>ABS(tblWorkPackages[[#This Row],[Actual labor hours]]-tblWorkPackages[[#This Row],[Estimated labor hours]])</f>
        <v>0.3</v>
      </c>
      <c r="Q2126" s="51">
        <f>IF(tblWorkPackages[[#This Row],[Actual labor hours]]&gt;tblWorkPackages[[#This Row],[Estimated labor hours]],1,0)</f>
        <v>0</v>
      </c>
      <c r="R2126" s="51">
        <f>tblWorkPackages[[#This Row],[Actual labor hours]]-tblWorkPackages[[#This Row],[Estimated labor hours]]</f>
        <v>-0.3</v>
      </c>
      <c r="S2126" s="51" t="str">
        <f>IF(tblWorkPackages[[#This Row],[Request date serial]]&lt;ValidationStart,"Train 2024",IF(tblWorkPackages[[#This Row],[Request date serial]]&lt;HoldoutStart,"Validation H1","Holdout H2"))</f>
        <v>Train 2024</v>
      </c>
      <c r="T2126" s="51" t="str">
        <f>IF(tblWorkPackages[[#This Row],[Time split]]="Train 2024","",tblWorkPackages[[#This Row],[Estimated labor hours]]+VLOOKUP(tblWorkPackages[[#This Row],[Task type]],'Forecast validation'!$A$14:$E$25,IF(tblWorkPackages[[#This Row],[Time split]]="Validation H1",4,5),FALSE()))</f>
        <v/>
      </c>
      <c r="U2126" s="51" t="str">
        <f>IF(tblWorkPackages[[#This Row],[Calibrated forecast hours]]="","",ABS(tblWorkPackages[[#This Row],[Actual labor hours]]-tblWorkPackages[[#This Row],[Calibrated forecast hours]]))</f>
        <v/>
      </c>
      <c r="V2126" s="51">
        <f>IF(tblWorkPackages[[#This Row],[Time split]]="Train 2024",tblWorkPackages[[#This Row],[Estimated labor hours]],tblWorkPackages[[#This Row],[Calibrated forecast hours]])</f>
        <v>7.8</v>
      </c>
      <c r="W2126" s="64">
        <f>DATEVALUE(tblWorkPackages[[#This Row],[Request date]])</f>
        <v>45537.0</v>
      </c>
      <c r="X2126" s="64">
        <f>DATEVALUE(tblWorkPackages[[#This Row],[Due date]])</f>
        <v>45543.0</v>
      </c>
      <c r="Y2126" s="64">
        <f>DATEVALUE(tblWorkPackages[[#This Row],[Completion date]])</f>
        <v>45541.0</v>
      </c>
      <c r="Z2126" s="64">
        <f>_xlfn.MINIFS(tblLaborEntries[Work date serial],tblLaborEntries[Work package ID],tblWorkPackages[[#This Row],[Work package ID]])</f>
        <v>45540.0</v>
      </c>
      <c r="AA2126" s="64">
        <f>_xlfn.MAXIFS(tblLaborEntries[Work date serial],tblLaborEntries[Work package ID],tblWorkPackages[[#This Row],[Work package ID]])</f>
        <v>45541.0</v>
      </c>
      <c r="AB2126" s="65">
        <f>IF(tblWorkPackages[[#This Row],[Completion date serial]]&gt;tblWorkPackages[[#This Row],[Due date serial]],1,0)</f>
        <v>0</v>
      </c>
      <c r="AC2126" s="65">
        <f>MAX(0,tblWorkPackages[[#This Row],[Completion date serial]]-tblWorkPackages[[#This Row],[Due date serial]])</f>
        <v>0</v>
      </c>
      <c r="AD2126" s="65">
        <f>tblWorkPackages[[#This Row],[First labor date]]-tblWorkPackages[[#This Row],[Request date serial]]</f>
        <v>3</v>
      </c>
      <c r="AE2126" s="65">
        <f>tblWorkPackages[[#This Row],[Last labor date]]-tblWorkPackages[[#This Row],[First labor date]]</f>
        <v>1</v>
      </c>
      <c r="AF2126" s="65">
        <f>tblWorkPackages[[#This Row],[Completion date serial]]-tblWorkPackages[[#This Row],[Last labor date]]</f>
        <v>0</v>
      </c>
      <c r="AG2126" s="65">
        <f>tblWorkPackages[[#This Row],[Completion date serial]]-tblWorkPackages[[#This Row],[Request date serial]]</f>
        <v>4</v>
      </c>
      <c r="AH2126" s="65">
        <f>IFERROR(INDEX(tblParts[Delay days],MATCH(tblWorkPackages[[#This Row],[Work package ID]],tblParts[Work package ID],0)),0)</f>
        <v>0</v>
      </c>
      <c r="AI2126" s="51" t="str">
        <f>IFERROR(INDEX(tblDisruptions[Event type],MATCH(tblWorkPackages[[#This Row],[Work package ID]],tblDisruptions[Work package ID],0)),"None")</f>
        <v>None</v>
      </c>
      <c r="AJ2126" s="51" t="str">
        <f>TEXT(tblWorkPackages[[#This Row],[Due date serial]],"yyyy-mm")</f>
        <v>2024-09</v>
      </c>
    </row>
    <row r="2127" spans="1:36" ht="15" x14ac:dyDescent="0.25">
      <c r="A2127" s="53" t="s">
        <v>3040</v>
      </c>
      <c r="B2127" s="53" t="s">
        <v>235</v>
      </c>
      <c r="C2127" s="53" t="s">
        <v>1429</v>
      </c>
      <c r="D2127" s="53" t="s">
        <v>976</v>
      </c>
      <c r="E2127" s="53" t="s">
        <v>200</v>
      </c>
      <c r="F2127" s="53" t="s">
        <v>128</v>
      </c>
      <c r="G2127" s="53" t="s">
        <v>129</v>
      </c>
      <c r="H2127" s="53">
        <v>3</v>
      </c>
      <c r="I2127" s="53" t="s">
        <v>176</v>
      </c>
      <c r="J2127" s="53">
        <v>0</v>
      </c>
      <c r="K2127" s="53">
        <v>0</v>
      </c>
      <c r="L2127" s="53">
        <v>3.9</v>
      </c>
      <c r="M2127" s="53" t="s">
        <v>3041</v>
      </c>
      <c r="N2127" s="53">
        <v>3.9</v>
      </c>
      <c r="O2127" s="51" t="str">
        <f>TEXT(tblWorkPackages[[#This Row],[Request date serial]]-WEEKDAY(tblWorkPackages[[#This Row],[Request date serial]],3),"yyyy-mm-dd")</f>
        <v>2025-12-22</v>
      </c>
      <c r="P2127" s="51">
        <f>ABS(tblWorkPackages[[#This Row],[Actual labor hours]]-tblWorkPackages[[#This Row],[Estimated labor hours]])</f>
        <v>0</v>
      </c>
      <c r="Q2127" s="51">
        <f>IF(tblWorkPackages[[#This Row],[Actual labor hours]]&gt;tblWorkPackages[[#This Row],[Estimated labor hours]],1,0)</f>
        <v>0</v>
      </c>
      <c r="R2127" s="51">
        <f>tblWorkPackages[[#This Row],[Actual labor hours]]-tblWorkPackages[[#This Row],[Estimated labor hours]]</f>
        <v>0</v>
      </c>
      <c r="S2127" s="51" t="str">
        <f>IF(tblWorkPackages[[#This Row],[Request date serial]]&lt;ValidationStart,"Train 2024",IF(tblWorkPackages[[#This Row],[Request date serial]]&lt;HoldoutStart,"Validation H1","Holdout H2"))</f>
        <v>Holdout H2</v>
      </c>
      <c r="T2127" s="51">
        <f>IF(tblWorkPackages[[#This Row],[Time split]]="Train 2024","",tblWorkPackages[[#This Row],[Estimated labor hours]]+VLOOKUP(tblWorkPackages[[#This Row],[Task type]],'Forecast validation'!$A$14:$E$25,IF(tblWorkPackages[[#This Row],[Time split]]="Validation H1",4,5),FALSE()))</f>
        <v>4.22893081761006</v>
      </c>
      <c r="U2127" s="51">
        <f>IF(tblWorkPackages[[#This Row],[Calibrated forecast hours]]="","",ABS(tblWorkPackages[[#This Row],[Actual labor hours]]-tblWorkPackages[[#This Row],[Calibrated forecast hours]]))</f>
        <v>0.328930817610063</v>
      </c>
      <c r="V2127" s="51">
        <f>IF(tblWorkPackages[[#This Row],[Time split]]="Train 2024",tblWorkPackages[[#This Row],[Estimated labor hours]],tblWorkPackages[[#This Row],[Calibrated forecast hours]])</f>
        <v>4.22893081761006</v>
      </c>
      <c r="W2127" s="64">
        <f>DATEVALUE(tblWorkPackages[[#This Row],[Request date]])</f>
        <v>46016.0</v>
      </c>
      <c r="X2127" s="64">
        <f>DATEVALUE(tblWorkPackages[[#This Row],[Due date]])</f>
        <v>46022.0</v>
      </c>
      <c r="Y2127" s="64">
        <f>DATEVALUE(tblWorkPackages[[#This Row],[Completion date]])</f>
        <v>46053.0</v>
      </c>
      <c r="Z2127" s="64">
        <f>_xlfn.MINIFS(tblLaborEntries[Work date serial],tblLaborEntries[Work package ID],tblWorkPackages[[#This Row],[Work package ID]])</f>
        <v>46051.0</v>
      </c>
      <c r="AA2127" s="64">
        <f>_xlfn.MAXIFS(tblLaborEntries[Work date serial],tblLaborEntries[Work package ID],tblWorkPackages[[#This Row],[Work package ID]])</f>
        <v>46052.0</v>
      </c>
      <c r="AB2127" s="65">
        <f>IF(tblWorkPackages[[#This Row],[Completion date serial]]&gt;tblWorkPackages[[#This Row],[Due date serial]],1,0)</f>
        <v>1</v>
      </c>
      <c r="AC2127" s="65">
        <f>MAX(0,tblWorkPackages[[#This Row],[Completion date serial]]-tblWorkPackages[[#This Row],[Due date serial]])</f>
        <v>31</v>
      </c>
      <c r="AD2127" s="65">
        <f>tblWorkPackages[[#This Row],[First labor date]]-tblWorkPackages[[#This Row],[Request date serial]]</f>
        <v>35</v>
      </c>
      <c r="AE2127" s="65">
        <f>tblWorkPackages[[#This Row],[Last labor date]]-tblWorkPackages[[#This Row],[First labor date]]</f>
        <v>1</v>
      </c>
      <c r="AF2127" s="65">
        <f>tblWorkPackages[[#This Row],[Completion date serial]]-tblWorkPackages[[#This Row],[Last labor date]]</f>
        <v>1</v>
      </c>
      <c r="AG2127" s="65">
        <f>tblWorkPackages[[#This Row],[Completion date serial]]-tblWorkPackages[[#This Row],[Request date serial]]</f>
        <v>37</v>
      </c>
      <c r="AH2127" s="65">
        <f>IFERROR(INDEX(tblParts[Delay days],MATCH(tblWorkPackages[[#This Row],[Work package ID]],tblParts[Work package ID],0)),0)</f>
        <v>0</v>
      </c>
      <c r="AI2127" s="51" t="str">
        <f>IFERROR(INDEX(tblDisruptions[Event type],MATCH(tblWorkPackages[[#This Row],[Work package ID]],tblDisruptions[Work package ID],0)),"None")</f>
        <v>None</v>
      </c>
      <c r="AJ2127" s="51" t="str">
        <f>TEXT(tblWorkPackages[[#This Row],[Due date serial]],"yyyy-mm")</f>
        <v>2025-12</v>
      </c>
    </row>
    <row r="2128" spans="1:36" ht="15" x14ac:dyDescent="0.25">
      <c r="A2128" s="53" t="s">
        <v>3042</v>
      </c>
      <c r="B2128" s="53" t="s">
        <v>287</v>
      </c>
      <c r="C2128" s="53" t="s">
        <v>522</v>
      </c>
      <c r="D2128" s="53" t="s">
        <v>885</v>
      </c>
      <c r="E2128" s="53" t="s">
        <v>136</v>
      </c>
      <c r="F2128" s="53" t="s">
        <v>137</v>
      </c>
      <c r="G2128" s="53" t="s">
        <v>138</v>
      </c>
      <c r="H2128" s="53">
        <v>2</v>
      </c>
      <c r="I2128" s="53" t="s">
        <v>176</v>
      </c>
      <c r="J2128" s="53">
        <v>0</v>
      </c>
      <c r="K2128" s="53">
        <v>0</v>
      </c>
      <c r="L2128" s="53">
        <v>13.7</v>
      </c>
      <c r="M2128" s="53" t="s">
        <v>527</v>
      </c>
      <c r="N2128" s="53">
        <v>16.8</v>
      </c>
      <c r="O2128" s="51" t="str">
        <f>TEXT(tblWorkPackages[[#This Row],[Request date serial]]-WEEKDAY(tblWorkPackages[[#This Row],[Request date serial]],3),"yyyy-mm-dd")</f>
        <v>2025-08-25</v>
      </c>
      <c r="P2128" s="51">
        <f>ABS(tblWorkPackages[[#This Row],[Actual labor hours]]-tblWorkPackages[[#This Row],[Estimated labor hours]])</f>
        <v>3.1</v>
      </c>
      <c r="Q2128" s="51">
        <f>IF(tblWorkPackages[[#This Row],[Actual labor hours]]&gt;tblWorkPackages[[#This Row],[Estimated labor hours]],1,0)</f>
        <v>1</v>
      </c>
      <c r="R2128" s="51">
        <f>tblWorkPackages[[#This Row],[Actual labor hours]]-tblWorkPackages[[#This Row],[Estimated labor hours]]</f>
        <v>3.1</v>
      </c>
      <c r="S2128" s="51" t="str">
        <f>IF(tblWorkPackages[[#This Row],[Request date serial]]&lt;ValidationStart,"Train 2024",IF(tblWorkPackages[[#This Row],[Request date serial]]&lt;HoldoutStart,"Validation H1","Holdout H2"))</f>
        <v>Holdout H2</v>
      </c>
      <c r="T2128" s="51">
        <f>IF(tblWorkPackages[[#This Row],[Time split]]="Train 2024","",tblWorkPackages[[#This Row],[Estimated labor hours]]+VLOOKUP(tblWorkPackages[[#This Row],[Task type]],'Forecast validation'!$A$14:$E$25,IF(tblWorkPackages[[#This Row],[Time split]]="Validation H1",4,5),FALSE()))</f>
        <v>14.6207547169811</v>
      </c>
      <c r="U2128" s="51">
        <f>IF(tblWorkPackages[[#This Row],[Calibrated forecast hours]]="","",ABS(tblWorkPackages[[#This Row],[Actual labor hours]]-tblWorkPackages[[#This Row],[Calibrated forecast hours]]))</f>
        <v>2.17924528301887</v>
      </c>
      <c r="V2128" s="51">
        <f>IF(tblWorkPackages[[#This Row],[Time split]]="Train 2024",tblWorkPackages[[#This Row],[Estimated labor hours]],tblWorkPackages[[#This Row],[Calibrated forecast hours]])</f>
        <v>14.6207547169811</v>
      </c>
      <c r="W2128" s="64">
        <f>DATEVALUE(tblWorkPackages[[#This Row],[Request date]])</f>
        <v>45895.0</v>
      </c>
      <c r="X2128" s="64">
        <f>DATEVALUE(tblWorkPackages[[#This Row],[Due date]])</f>
        <v>45901.0</v>
      </c>
      <c r="Y2128" s="64">
        <f>DATEVALUE(tblWorkPackages[[#This Row],[Completion date]])</f>
        <v>45906.0</v>
      </c>
      <c r="Z2128" s="64">
        <f>_xlfn.MINIFS(tblLaborEntries[Work date serial],tblLaborEntries[Work package ID],tblWorkPackages[[#This Row],[Work package ID]])</f>
        <v>45902.0</v>
      </c>
      <c r="AA2128" s="64">
        <f>_xlfn.MAXIFS(tblLaborEntries[Work date serial],tblLaborEntries[Work package ID],tblWorkPackages[[#This Row],[Work package ID]])</f>
        <v>45904.0</v>
      </c>
      <c r="AB2128" s="65">
        <f>IF(tblWorkPackages[[#This Row],[Completion date serial]]&gt;tblWorkPackages[[#This Row],[Due date serial]],1,0)</f>
        <v>1</v>
      </c>
      <c r="AC2128" s="65">
        <f>MAX(0,tblWorkPackages[[#This Row],[Completion date serial]]-tblWorkPackages[[#This Row],[Due date serial]])</f>
        <v>5</v>
      </c>
      <c r="AD2128" s="65">
        <f>tblWorkPackages[[#This Row],[First labor date]]-tblWorkPackages[[#This Row],[Request date serial]]</f>
        <v>7</v>
      </c>
      <c r="AE2128" s="65">
        <f>tblWorkPackages[[#This Row],[Last labor date]]-tblWorkPackages[[#This Row],[First labor date]]</f>
        <v>2</v>
      </c>
      <c r="AF2128" s="65">
        <f>tblWorkPackages[[#This Row],[Completion date serial]]-tblWorkPackages[[#This Row],[Last labor date]]</f>
        <v>2</v>
      </c>
      <c r="AG2128" s="65">
        <f>tblWorkPackages[[#This Row],[Completion date serial]]-tblWorkPackages[[#This Row],[Request date serial]]</f>
        <v>11</v>
      </c>
      <c r="AH2128" s="65">
        <f>IFERROR(INDEX(tblParts[Delay days],MATCH(tblWorkPackages[[#This Row],[Work package ID]],tblParts[Work package ID],0)),0)</f>
        <v>0</v>
      </c>
      <c r="AI2128" s="51" t="str">
        <f>IFERROR(INDEX(tblDisruptions[Event type],MATCH(tblWorkPackages[[#This Row],[Work package ID]],tblDisruptions[Work package ID],0)),"None")</f>
        <v>None</v>
      </c>
      <c r="AJ2128" s="51" t="str">
        <f>TEXT(tblWorkPackages[[#This Row],[Due date serial]],"yyyy-mm")</f>
        <v>2025-09</v>
      </c>
    </row>
    <row r="2129" spans="1:36" ht="15" x14ac:dyDescent="0.25">
      <c r="A2129" s="53" t="s">
        <v>3043</v>
      </c>
      <c r="B2129" s="53" t="s">
        <v>185</v>
      </c>
      <c r="C2129" s="53" t="s">
        <v>791</v>
      </c>
      <c r="D2129" s="53" t="s">
        <v>625</v>
      </c>
      <c r="E2129" s="53" t="s">
        <v>181</v>
      </c>
      <c r="F2129" s="53" t="s">
        <v>182</v>
      </c>
      <c r="G2129" s="53" t="s">
        <v>138</v>
      </c>
      <c r="H2129" s="53">
        <v>4</v>
      </c>
      <c r="I2129" s="53" t="s">
        <v>147</v>
      </c>
      <c r="J2129" s="53">
        <v>0</v>
      </c>
      <c r="K2129" s="53">
        <v>1</v>
      </c>
      <c r="L2129" s="53">
        <v>13.2</v>
      </c>
      <c r="M2129" s="53" t="s">
        <v>464</v>
      </c>
      <c r="N2129" s="53">
        <v>11.8</v>
      </c>
      <c r="O2129" s="51" t="str">
        <f>TEXT(tblWorkPackages[[#This Row],[Request date serial]]-WEEKDAY(tblWorkPackages[[#This Row],[Request date serial]],3),"yyyy-mm-dd")</f>
        <v>2025-09-22</v>
      </c>
      <c r="P2129" s="51">
        <f>ABS(tblWorkPackages[[#This Row],[Actual labor hours]]-tblWorkPackages[[#This Row],[Estimated labor hours]])</f>
        <v>1.4</v>
      </c>
      <c r="Q2129" s="51">
        <f>IF(tblWorkPackages[[#This Row],[Actual labor hours]]&gt;tblWorkPackages[[#This Row],[Estimated labor hours]],1,0)</f>
        <v>0</v>
      </c>
      <c r="R2129" s="51">
        <f>tblWorkPackages[[#This Row],[Actual labor hours]]-tblWorkPackages[[#This Row],[Estimated labor hours]]</f>
        <v>-1.4</v>
      </c>
      <c r="S2129" s="51" t="str">
        <f>IF(tblWorkPackages[[#This Row],[Request date serial]]&lt;ValidationStart,"Train 2024",IF(tblWorkPackages[[#This Row],[Request date serial]]&lt;HoldoutStart,"Validation H1","Holdout H2"))</f>
        <v>Holdout H2</v>
      </c>
      <c r="T2129" s="51">
        <f>IF(tblWorkPackages[[#This Row],[Time split]]="Train 2024","",tblWorkPackages[[#This Row],[Estimated labor hours]]+VLOOKUP(tblWorkPackages[[#This Row],[Task type]],'Forecast validation'!$A$14:$E$25,IF(tblWorkPackages[[#This Row],[Time split]]="Validation H1",4,5),FALSE()))</f>
        <v>13.7916083916084</v>
      </c>
      <c r="U2129" s="51">
        <f>IF(tblWorkPackages[[#This Row],[Calibrated forecast hours]]="","",ABS(tblWorkPackages[[#This Row],[Actual labor hours]]-tblWorkPackages[[#This Row],[Calibrated forecast hours]]))</f>
        <v>1.99160839160839</v>
      </c>
      <c r="V2129" s="51">
        <f>IF(tblWorkPackages[[#This Row],[Time split]]="Train 2024",tblWorkPackages[[#This Row],[Estimated labor hours]],tblWorkPackages[[#This Row],[Calibrated forecast hours]])</f>
        <v>13.7916083916084</v>
      </c>
      <c r="W2129" s="64">
        <f>DATEVALUE(tblWorkPackages[[#This Row],[Request date]])</f>
        <v>45922.0</v>
      </c>
      <c r="X2129" s="64">
        <f>DATEVALUE(tblWorkPackages[[#This Row],[Due date]])</f>
        <v>45924.0</v>
      </c>
      <c r="Y2129" s="64">
        <f>DATEVALUE(tblWorkPackages[[#This Row],[Completion date]])</f>
        <v>45929.0</v>
      </c>
      <c r="Z2129" s="64">
        <f>_xlfn.MINIFS(tblLaborEntries[Work date serial],tblLaborEntries[Work package ID],tblWorkPackages[[#This Row],[Work package ID]])</f>
        <v>45924.0</v>
      </c>
      <c r="AA2129" s="64">
        <f>_xlfn.MAXIFS(tblLaborEntries[Work date serial],tblLaborEntries[Work package ID],tblWorkPackages[[#This Row],[Work package ID]])</f>
        <v>45926.0</v>
      </c>
      <c r="AB2129" s="65">
        <f>IF(tblWorkPackages[[#This Row],[Completion date serial]]&gt;tblWorkPackages[[#This Row],[Due date serial]],1,0)</f>
        <v>1</v>
      </c>
      <c r="AC2129" s="65">
        <f>MAX(0,tblWorkPackages[[#This Row],[Completion date serial]]-tblWorkPackages[[#This Row],[Due date serial]])</f>
        <v>5</v>
      </c>
      <c r="AD2129" s="65">
        <f>tblWorkPackages[[#This Row],[First labor date]]-tblWorkPackages[[#This Row],[Request date serial]]</f>
        <v>2</v>
      </c>
      <c r="AE2129" s="65">
        <f>tblWorkPackages[[#This Row],[Last labor date]]-tblWorkPackages[[#This Row],[First labor date]]</f>
        <v>2</v>
      </c>
      <c r="AF2129" s="65">
        <f>tblWorkPackages[[#This Row],[Completion date serial]]-tblWorkPackages[[#This Row],[Last labor date]]</f>
        <v>3</v>
      </c>
      <c r="AG2129" s="65">
        <f>tblWorkPackages[[#This Row],[Completion date serial]]-tblWorkPackages[[#This Row],[Request date serial]]</f>
        <v>7</v>
      </c>
      <c r="AH2129" s="65">
        <f>IFERROR(INDEX(tblParts[Delay days],MATCH(tblWorkPackages[[#This Row],[Work package ID]],tblParts[Work package ID],0)),0)</f>
        <v>0</v>
      </c>
      <c r="AI2129" s="51" t="str">
        <f>IFERROR(INDEX(tblDisruptions[Event type],MATCH(tblWorkPackages[[#This Row],[Work package ID]],tblDisruptions[Work package ID],0)),"None")</f>
        <v>None</v>
      </c>
      <c r="AJ2129" s="51" t="str">
        <f>TEXT(tblWorkPackages[[#This Row],[Due date serial]],"yyyy-mm")</f>
        <v>2025-09</v>
      </c>
    </row>
    <row r="2130" spans="1:36" ht="15" x14ac:dyDescent="0.25">
      <c r="A2130" s="53" t="s">
        <v>3044</v>
      </c>
      <c r="B2130" s="53" t="s">
        <v>203</v>
      </c>
      <c r="C2130" s="53" t="s">
        <v>354</v>
      </c>
      <c r="D2130" s="53" t="s">
        <v>858</v>
      </c>
      <c r="E2130" s="53" t="s">
        <v>209</v>
      </c>
      <c r="F2130" s="53" t="s">
        <v>145</v>
      </c>
      <c r="G2130" s="53" t="s">
        <v>210</v>
      </c>
      <c r="H2130" s="53">
        <v>4</v>
      </c>
      <c r="I2130" s="53" t="s">
        <v>130</v>
      </c>
      <c r="J2130" s="53">
        <v>0</v>
      </c>
      <c r="K2130" s="53">
        <v>1</v>
      </c>
      <c r="L2130" s="53">
        <v>37.799999999999997</v>
      </c>
      <c r="M2130" s="53" t="s">
        <v>1186</v>
      </c>
      <c r="N2130" s="53">
        <v>37.200000000000003</v>
      </c>
      <c r="O2130" s="51" t="str">
        <f>TEXT(tblWorkPackages[[#This Row],[Request date serial]]-WEEKDAY(tblWorkPackages[[#This Row],[Request date serial]],3),"yyyy-mm-dd")</f>
        <v>2025-02-24</v>
      </c>
      <c r="P2130" s="51">
        <f>ABS(tblWorkPackages[[#This Row],[Actual labor hours]]-tblWorkPackages[[#This Row],[Estimated labor hours]])</f>
        <v>0.599999999999994</v>
      </c>
      <c r="Q2130" s="51">
        <f>IF(tblWorkPackages[[#This Row],[Actual labor hours]]&gt;tblWorkPackages[[#This Row],[Estimated labor hours]],1,0)</f>
        <v>0</v>
      </c>
      <c r="R2130" s="51">
        <f>tblWorkPackages[[#This Row],[Actual labor hours]]-tblWorkPackages[[#This Row],[Estimated labor hours]]</f>
        <v>-0.599999999999994</v>
      </c>
      <c r="S2130" s="51" t="str">
        <f>IF(tblWorkPackages[[#This Row],[Request date serial]]&lt;ValidationStart,"Train 2024",IF(tblWorkPackages[[#This Row],[Request date serial]]&lt;HoldoutStart,"Validation H1","Holdout H2"))</f>
        <v>Validation H1</v>
      </c>
      <c r="T2130" s="51">
        <f>IF(tblWorkPackages[[#This Row],[Time split]]="Train 2024","",tblWorkPackages[[#This Row],[Estimated labor hours]]+VLOOKUP(tblWorkPackages[[#This Row],[Task type]],'Forecast validation'!$A$14:$E$25,IF(tblWorkPackages[[#This Row],[Time split]]="Validation H1",4,5),FALSE()))</f>
        <v>38.9029850746269</v>
      </c>
      <c r="U2130" s="51">
        <f>IF(tblWorkPackages[[#This Row],[Calibrated forecast hours]]="","",ABS(tblWorkPackages[[#This Row],[Actual labor hours]]-tblWorkPackages[[#This Row],[Calibrated forecast hours]]))</f>
        <v>1.70298507462686</v>
      </c>
      <c r="V2130" s="51">
        <f>IF(tblWorkPackages[[#This Row],[Time split]]="Train 2024",tblWorkPackages[[#This Row],[Estimated labor hours]],tblWorkPackages[[#This Row],[Calibrated forecast hours]])</f>
        <v>38.9029850746269</v>
      </c>
      <c r="W2130" s="64">
        <f>DATEVALUE(tblWorkPackages[[#This Row],[Request date]])</f>
        <v>45716.0</v>
      </c>
      <c r="X2130" s="64">
        <f>DATEVALUE(tblWorkPackages[[#This Row],[Due date]])</f>
        <v>45729.0</v>
      </c>
      <c r="Y2130" s="64">
        <f>DATEVALUE(tblWorkPackages[[#This Row],[Completion date]])</f>
        <v>45731.0</v>
      </c>
      <c r="Z2130" s="64">
        <f>_xlfn.MINIFS(tblLaborEntries[Work date serial],tblLaborEntries[Work package ID],tblWorkPackages[[#This Row],[Work package ID]])</f>
        <v>45730.0</v>
      </c>
      <c r="AA2130" s="64">
        <f>_xlfn.MAXIFS(tblLaborEntries[Work date serial],tblLaborEntries[Work package ID],tblWorkPackages[[#This Row],[Work package ID]])</f>
        <v>45731.0</v>
      </c>
      <c r="AB2130" s="65">
        <f>IF(tblWorkPackages[[#This Row],[Completion date serial]]&gt;tblWorkPackages[[#This Row],[Due date serial]],1,0)</f>
        <v>1</v>
      </c>
      <c r="AC2130" s="65">
        <f>MAX(0,tblWorkPackages[[#This Row],[Completion date serial]]-tblWorkPackages[[#This Row],[Due date serial]])</f>
        <v>2</v>
      </c>
      <c r="AD2130" s="65">
        <f>tblWorkPackages[[#This Row],[First labor date]]-tblWorkPackages[[#This Row],[Request date serial]]</f>
        <v>14</v>
      </c>
      <c r="AE2130" s="65">
        <f>tblWorkPackages[[#This Row],[Last labor date]]-tblWorkPackages[[#This Row],[First labor date]]</f>
        <v>1</v>
      </c>
      <c r="AF2130" s="65">
        <f>tblWorkPackages[[#This Row],[Completion date serial]]-tblWorkPackages[[#This Row],[Last labor date]]</f>
        <v>0</v>
      </c>
      <c r="AG2130" s="65">
        <f>tblWorkPackages[[#This Row],[Completion date serial]]-tblWorkPackages[[#This Row],[Request date serial]]</f>
        <v>15</v>
      </c>
      <c r="AH2130" s="65">
        <f>IFERROR(INDEX(tblParts[Delay days],MATCH(tblWorkPackages[[#This Row],[Work package ID]],tblParts[Work package ID],0)),0)</f>
        <v>0</v>
      </c>
      <c r="AI2130" s="51" t="str">
        <f>IFERROR(INDEX(tblDisruptions[Event type],MATCH(tblWorkPackages[[#This Row],[Work package ID]],tblDisruptions[Work package ID],0)),"None")</f>
        <v>None</v>
      </c>
      <c r="AJ2130" s="51" t="str">
        <f>TEXT(tblWorkPackages[[#This Row],[Due date serial]],"yyyy-mm")</f>
        <v>2025-03</v>
      </c>
    </row>
    <row r="2131" spans="1:36" ht="15" x14ac:dyDescent="0.25">
      <c r="A2131" s="53" t="s">
        <v>3045</v>
      </c>
      <c r="B2131" s="53" t="s">
        <v>133</v>
      </c>
      <c r="C2131" s="53" t="s">
        <v>1374</v>
      </c>
      <c r="D2131" s="53" t="s">
        <v>169</v>
      </c>
      <c r="E2131" s="53" t="s">
        <v>136</v>
      </c>
      <c r="F2131" s="53" t="s">
        <v>137</v>
      </c>
      <c r="G2131" s="53" t="s">
        <v>138</v>
      </c>
      <c r="H2131" s="53">
        <v>3</v>
      </c>
      <c r="I2131" s="53" t="s">
        <v>130</v>
      </c>
      <c r="J2131" s="53">
        <v>0</v>
      </c>
      <c r="K2131" s="53">
        <v>1</v>
      </c>
      <c r="L2131" s="53">
        <v>16.399999999999999</v>
      </c>
      <c r="M2131" s="53" t="s">
        <v>952</v>
      </c>
      <c r="N2131" s="53">
        <v>13.6</v>
      </c>
      <c r="O2131" s="51" t="str">
        <f>TEXT(tblWorkPackages[[#This Row],[Request date serial]]-WEEKDAY(tblWorkPackages[[#This Row],[Request date serial]],3),"yyyy-mm-dd")</f>
        <v>2024-10-07</v>
      </c>
      <c r="P2131" s="51">
        <f>ABS(tblWorkPackages[[#This Row],[Actual labor hours]]-tblWorkPackages[[#This Row],[Estimated labor hours]])</f>
        <v>2.8</v>
      </c>
      <c r="Q2131" s="51">
        <f>IF(tblWorkPackages[[#This Row],[Actual labor hours]]&gt;tblWorkPackages[[#This Row],[Estimated labor hours]],1,0)</f>
        <v>0</v>
      </c>
      <c r="R2131" s="51">
        <f>tblWorkPackages[[#This Row],[Actual labor hours]]-tblWorkPackages[[#This Row],[Estimated labor hours]]</f>
        <v>-2.8</v>
      </c>
      <c r="S2131" s="51" t="str">
        <f>IF(tblWorkPackages[[#This Row],[Request date serial]]&lt;ValidationStart,"Train 2024",IF(tblWorkPackages[[#This Row],[Request date serial]]&lt;HoldoutStart,"Validation H1","Holdout H2"))</f>
        <v>Train 2024</v>
      </c>
      <c r="T2131" s="51" t="str">
        <f>IF(tblWorkPackages[[#This Row],[Time split]]="Train 2024","",tblWorkPackages[[#This Row],[Estimated labor hours]]+VLOOKUP(tblWorkPackages[[#This Row],[Task type]],'Forecast validation'!$A$14:$E$25,IF(tblWorkPackages[[#This Row],[Time split]]="Validation H1",4,5),FALSE()))</f>
        <v/>
      </c>
      <c r="U2131" s="51" t="str">
        <f>IF(tblWorkPackages[[#This Row],[Calibrated forecast hours]]="","",ABS(tblWorkPackages[[#This Row],[Actual labor hours]]-tblWorkPackages[[#This Row],[Calibrated forecast hours]]))</f>
        <v/>
      </c>
      <c r="V2131" s="51">
        <f>IF(tblWorkPackages[[#This Row],[Time split]]="Train 2024",tblWorkPackages[[#This Row],[Estimated labor hours]],tblWorkPackages[[#This Row],[Calibrated forecast hours]])</f>
        <v>16.4</v>
      </c>
      <c r="W2131" s="64">
        <f>DATEVALUE(tblWorkPackages[[#This Row],[Request date]])</f>
        <v>45572.0</v>
      </c>
      <c r="X2131" s="64">
        <f>DATEVALUE(tblWorkPackages[[#This Row],[Due date]])</f>
        <v>45585.0</v>
      </c>
      <c r="Y2131" s="64">
        <f>DATEVALUE(tblWorkPackages[[#This Row],[Completion date]])</f>
        <v>45578.0</v>
      </c>
      <c r="Z2131" s="64">
        <f>_xlfn.MINIFS(tblLaborEntries[Work date serial],tblLaborEntries[Work package ID],tblWorkPackages[[#This Row],[Work package ID]])</f>
        <v>45576.0</v>
      </c>
      <c r="AA2131" s="64">
        <f>_xlfn.MAXIFS(tblLaborEntries[Work date serial],tblLaborEntries[Work package ID],tblWorkPackages[[#This Row],[Work package ID]])</f>
        <v>45577.0</v>
      </c>
      <c r="AB2131" s="65">
        <f>IF(tblWorkPackages[[#This Row],[Completion date serial]]&gt;tblWorkPackages[[#This Row],[Due date serial]],1,0)</f>
        <v>0</v>
      </c>
      <c r="AC2131" s="65">
        <f>MAX(0,tblWorkPackages[[#This Row],[Completion date serial]]-tblWorkPackages[[#This Row],[Due date serial]])</f>
        <v>0</v>
      </c>
      <c r="AD2131" s="65">
        <f>tblWorkPackages[[#This Row],[First labor date]]-tblWorkPackages[[#This Row],[Request date serial]]</f>
        <v>4</v>
      </c>
      <c r="AE2131" s="65">
        <f>tblWorkPackages[[#This Row],[Last labor date]]-tblWorkPackages[[#This Row],[First labor date]]</f>
        <v>1</v>
      </c>
      <c r="AF2131" s="65">
        <f>tblWorkPackages[[#This Row],[Completion date serial]]-tblWorkPackages[[#This Row],[Last labor date]]</f>
        <v>1</v>
      </c>
      <c r="AG2131" s="65">
        <f>tblWorkPackages[[#This Row],[Completion date serial]]-tblWorkPackages[[#This Row],[Request date serial]]</f>
        <v>6</v>
      </c>
      <c r="AH2131" s="65">
        <f>IFERROR(INDEX(tblParts[Delay days],MATCH(tblWorkPackages[[#This Row],[Work package ID]],tblParts[Work package ID],0)),0)</f>
        <v>0</v>
      </c>
      <c r="AI2131" s="51" t="str">
        <f>IFERROR(INDEX(tblDisruptions[Event type],MATCH(tblWorkPackages[[#This Row],[Work package ID]],tblDisruptions[Work package ID],0)),"None")</f>
        <v>None</v>
      </c>
      <c r="AJ2131" s="51" t="str">
        <f>TEXT(tblWorkPackages[[#This Row],[Due date serial]],"yyyy-mm")</f>
        <v>2024-10</v>
      </c>
    </row>
    <row r="2132" spans="1:36" ht="15" x14ac:dyDescent="0.25">
      <c r="A2132" s="53" t="s">
        <v>3046</v>
      </c>
      <c r="B2132" s="53" t="s">
        <v>163</v>
      </c>
      <c r="C2132" s="53" t="s">
        <v>1076</v>
      </c>
      <c r="D2132" s="53" t="s">
        <v>1036</v>
      </c>
      <c r="E2132" s="53" t="s">
        <v>237</v>
      </c>
      <c r="F2132" s="53" t="s">
        <v>182</v>
      </c>
      <c r="G2132" s="53" t="s">
        <v>138</v>
      </c>
      <c r="H2132" s="53">
        <v>1</v>
      </c>
      <c r="I2132" s="53" t="s">
        <v>130</v>
      </c>
      <c r="J2132" s="53">
        <v>0</v>
      </c>
      <c r="K2132" s="53">
        <v>0</v>
      </c>
      <c r="L2132" s="53">
        <v>3.6</v>
      </c>
      <c r="M2132" s="53" t="s">
        <v>569</v>
      </c>
      <c r="N2132" s="53">
        <v>4.2</v>
      </c>
      <c r="O2132" s="51" t="str">
        <f>TEXT(tblWorkPackages[[#This Row],[Request date serial]]-WEEKDAY(tblWorkPackages[[#This Row],[Request date serial]],3),"yyyy-mm-dd")</f>
        <v>2025-05-26</v>
      </c>
      <c r="P2132" s="51">
        <f>ABS(tblWorkPackages[[#This Row],[Actual labor hours]]-tblWorkPackages[[#This Row],[Estimated labor hours]])</f>
        <v>0.6</v>
      </c>
      <c r="Q2132" s="51">
        <f>IF(tblWorkPackages[[#This Row],[Actual labor hours]]&gt;tblWorkPackages[[#This Row],[Estimated labor hours]],1,0)</f>
        <v>1</v>
      </c>
      <c r="R2132" s="51">
        <f>tblWorkPackages[[#This Row],[Actual labor hours]]-tblWorkPackages[[#This Row],[Estimated labor hours]]</f>
        <v>0.6</v>
      </c>
      <c r="S2132" s="51" t="str">
        <f>IF(tblWorkPackages[[#This Row],[Request date serial]]&lt;ValidationStart,"Train 2024",IF(tblWorkPackages[[#This Row],[Request date serial]]&lt;HoldoutStart,"Validation H1","Holdout H2"))</f>
        <v>Validation H1</v>
      </c>
      <c r="T2132" s="51">
        <f>IF(tblWorkPackages[[#This Row],[Time split]]="Train 2024","",tblWorkPackages[[#This Row],[Estimated labor hours]]+VLOOKUP(tblWorkPackages[[#This Row],[Task type]],'Forecast validation'!$A$14:$E$25,IF(tblWorkPackages[[#This Row],[Time split]]="Validation H1",4,5),FALSE()))</f>
        <v>4.1037037037037</v>
      </c>
      <c r="U2132" s="51">
        <f>IF(tblWorkPackages[[#This Row],[Calibrated forecast hours]]="","",ABS(tblWorkPackages[[#This Row],[Actual labor hours]]-tblWorkPackages[[#This Row],[Calibrated forecast hours]]))</f>
        <v>0.0962962962962966</v>
      </c>
      <c r="V2132" s="51">
        <f>IF(tblWorkPackages[[#This Row],[Time split]]="Train 2024",tblWorkPackages[[#This Row],[Estimated labor hours]],tblWorkPackages[[#This Row],[Calibrated forecast hours]])</f>
        <v>4.1037037037037</v>
      </c>
      <c r="W2132" s="64">
        <f>DATEVALUE(tblWorkPackages[[#This Row],[Request date]])</f>
        <v>45804.0</v>
      </c>
      <c r="X2132" s="64">
        <f>DATEVALUE(tblWorkPackages[[#This Row],[Due date]])</f>
        <v>45817.0</v>
      </c>
      <c r="Y2132" s="64">
        <f>DATEVALUE(tblWorkPackages[[#This Row],[Completion date]])</f>
        <v>45807.0</v>
      </c>
      <c r="Z2132" s="64">
        <f>_xlfn.MINIFS(tblLaborEntries[Work date serial],tblLaborEntries[Work package ID],tblWorkPackages[[#This Row],[Work package ID]])</f>
        <v>45805.0</v>
      </c>
      <c r="AA2132" s="64">
        <f>_xlfn.MAXIFS(tblLaborEntries[Work date serial],tblLaborEntries[Work package ID],tblWorkPackages[[#This Row],[Work package ID]])</f>
        <v>45805.0</v>
      </c>
      <c r="AB2132" s="65">
        <f>IF(tblWorkPackages[[#This Row],[Completion date serial]]&gt;tblWorkPackages[[#This Row],[Due date serial]],1,0)</f>
        <v>0</v>
      </c>
      <c r="AC2132" s="65">
        <f>MAX(0,tblWorkPackages[[#This Row],[Completion date serial]]-tblWorkPackages[[#This Row],[Due date serial]])</f>
        <v>0</v>
      </c>
      <c r="AD2132" s="65">
        <f>tblWorkPackages[[#This Row],[First labor date]]-tblWorkPackages[[#This Row],[Request date serial]]</f>
        <v>1</v>
      </c>
      <c r="AE2132" s="65">
        <f>tblWorkPackages[[#This Row],[Last labor date]]-tblWorkPackages[[#This Row],[First labor date]]</f>
        <v>0</v>
      </c>
      <c r="AF2132" s="65">
        <f>tblWorkPackages[[#This Row],[Completion date serial]]-tblWorkPackages[[#This Row],[Last labor date]]</f>
        <v>2</v>
      </c>
      <c r="AG2132" s="65">
        <f>tblWorkPackages[[#This Row],[Completion date serial]]-tblWorkPackages[[#This Row],[Request date serial]]</f>
        <v>3</v>
      </c>
      <c r="AH2132" s="65">
        <f>IFERROR(INDEX(tblParts[Delay days],MATCH(tblWorkPackages[[#This Row],[Work package ID]],tblParts[Work package ID],0)),0)</f>
        <v>0</v>
      </c>
      <c r="AI2132" s="51" t="str">
        <f>IFERROR(INDEX(tblDisruptions[Event type],MATCH(tblWorkPackages[[#This Row],[Work package ID]],tblDisruptions[Work package ID],0)),"None")</f>
        <v>None</v>
      </c>
      <c r="AJ2132" s="51" t="str">
        <f>TEXT(tblWorkPackages[[#This Row],[Due date serial]],"yyyy-mm")</f>
        <v>2025-06</v>
      </c>
    </row>
    <row r="2133" spans="1:36" ht="15" x14ac:dyDescent="0.25">
      <c r="A2133" s="53" t="s">
        <v>3047</v>
      </c>
      <c r="B2133" s="53" t="s">
        <v>133</v>
      </c>
      <c r="C2133" s="53" t="s">
        <v>381</v>
      </c>
      <c r="D2133" s="53" t="s">
        <v>981</v>
      </c>
      <c r="E2133" s="53" t="s">
        <v>200</v>
      </c>
      <c r="F2133" s="53" t="s">
        <v>128</v>
      </c>
      <c r="G2133" s="53" t="s">
        <v>129</v>
      </c>
      <c r="H2133" s="53">
        <v>4</v>
      </c>
      <c r="I2133" s="53" t="s">
        <v>130</v>
      </c>
      <c r="J2133" s="53">
        <v>0</v>
      </c>
      <c r="K2133" s="53">
        <v>0</v>
      </c>
      <c r="L2133" s="53">
        <v>4.7</v>
      </c>
      <c r="M2133" s="53" t="s">
        <v>981</v>
      </c>
      <c r="N2133" s="53">
        <v>5.5</v>
      </c>
      <c r="O2133" s="51" t="str">
        <f>TEXT(tblWorkPackages[[#This Row],[Request date serial]]-WEEKDAY(tblWorkPackages[[#This Row],[Request date serial]],3),"yyyy-mm-dd")</f>
        <v>2024-10-21</v>
      </c>
      <c r="P2133" s="51">
        <f>ABS(tblWorkPackages[[#This Row],[Actual labor hours]]-tblWorkPackages[[#This Row],[Estimated labor hours]])</f>
        <v>0.8</v>
      </c>
      <c r="Q2133" s="51">
        <f>IF(tblWorkPackages[[#This Row],[Actual labor hours]]&gt;tblWorkPackages[[#This Row],[Estimated labor hours]],1,0)</f>
        <v>1</v>
      </c>
      <c r="R2133" s="51">
        <f>tblWorkPackages[[#This Row],[Actual labor hours]]-tblWorkPackages[[#This Row],[Estimated labor hours]]</f>
        <v>0.8</v>
      </c>
      <c r="S2133" s="51" t="str">
        <f>IF(tblWorkPackages[[#This Row],[Request date serial]]&lt;ValidationStart,"Train 2024",IF(tblWorkPackages[[#This Row],[Request date serial]]&lt;HoldoutStart,"Validation H1","Holdout H2"))</f>
        <v>Train 2024</v>
      </c>
      <c r="T2133" s="51" t="str">
        <f>IF(tblWorkPackages[[#This Row],[Time split]]="Train 2024","",tblWorkPackages[[#This Row],[Estimated labor hours]]+VLOOKUP(tblWorkPackages[[#This Row],[Task type]],'Forecast validation'!$A$14:$E$25,IF(tblWorkPackages[[#This Row],[Time split]]="Validation H1",4,5),FALSE()))</f>
        <v/>
      </c>
      <c r="U2133" s="51" t="str">
        <f>IF(tblWorkPackages[[#This Row],[Calibrated forecast hours]]="","",ABS(tblWorkPackages[[#This Row],[Actual labor hours]]-tblWorkPackages[[#This Row],[Calibrated forecast hours]]))</f>
        <v/>
      </c>
      <c r="V2133" s="51">
        <f>IF(tblWorkPackages[[#This Row],[Time split]]="Train 2024",tblWorkPackages[[#This Row],[Estimated labor hours]],tblWorkPackages[[#This Row],[Calibrated forecast hours]])</f>
        <v>4.7</v>
      </c>
      <c r="W2133" s="64">
        <f>DATEVALUE(tblWorkPackages[[#This Row],[Request date]])</f>
        <v>45588.0</v>
      </c>
      <c r="X2133" s="64">
        <f>DATEVALUE(tblWorkPackages[[#This Row],[Due date]])</f>
        <v>45601.0</v>
      </c>
      <c r="Y2133" s="64">
        <f>DATEVALUE(tblWorkPackages[[#This Row],[Completion date]])</f>
        <v>45601.0</v>
      </c>
      <c r="Z2133" s="64">
        <f>_xlfn.MINIFS(tblLaborEntries[Work date serial],tblLaborEntries[Work package ID],tblWorkPackages[[#This Row],[Work package ID]])</f>
        <v>45598.0</v>
      </c>
      <c r="AA2133" s="64">
        <f>_xlfn.MAXIFS(tblLaborEntries[Work date serial],tblLaborEntries[Work package ID],tblWorkPackages[[#This Row],[Work package ID]])</f>
        <v>45598.0</v>
      </c>
      <c r="AB2133" s="65">
        <f>IF(tblWorkPackages[[#This Row],[Completion date serial]]&gt;tblWorkPackages[[#This Row],[Due date serial]],1,0)</f>
        <v>0</v>
      </c>
      <c r="AC2133" s="65">
        <f>MAX(0,tblWorkPackages[[#This Row],[Completion date serial]]-tblWorkPackages[[#This Row],[Due date serial]])</f>
        <v>0</v>
      </c>
      <c r="AD2133" s="65">
        <f>tblWorkPackages[[#This Row],[First labor date]]-tblWorkPackages[[#This Row],[Request date serial]]</f>
        <v>10</v>
      </c>
      <c r="AE2133" s="65">
        <f>tblWorkPackages[[#This Row],[Last labor date]]-tblWorkPackages[[#This Row],[First labor date]]</f>
        <v>0</v>
      </c>
      <c r="AF2133" s="65">
        <f>tblWorkPackages[[#This Row],[Completion date serial]]-tblWorkPackages[[#This Row],[Last labor date]]</f>
        <v>3</v>
      </c>
      <c r="AG2133" s="65">
        <f>tblWorkPackages[[#This Row],[Completion date serial]]-tblWorkPackages[[#This Row],[Request date serial]]</f>
        <v>13</v>
      </c>
      <c r="AH2133" s="65">
        <f>IFERROR(INDEX(tblParts[Delay days],MATCH(tblWorkPackages[[#This Row],[Work package ID]],tblParts[Work package ID],0)),0)</f>
        <v>0</v>
      </c>
      <c r="AI2133" s="51" t="str">
        <f>IFERROR(INDEX(tblDisruptions[Event type],MATCH(tblWorkPackages[[#This Row],[Work package ID]],tblDisruptions[Work package ID],0)),"None")</f>
        <v>None</v>
      </c>
      <c r="AJ2133" s="51" t="str">
        <f>TEXT(tblWorkPackages[[#This Row],[Due date serial]],"yyyy-mm")</f>
        <v>2024-11</v>
      </c>
    </row>
    <row r="2134" spans="1:36" ht="15" x14ac:dyDescent="0.25">
      <c r="A2134" s="53" t="s">
        <v>3048</v>
      </c>
      <c r="B2134" s="53" t="s">
        <v>203</v>
      </c>
      <c r="C2134" s="53" t="s">
        <v>1012</v>
      </c>
      <c r="D2134" s="53" t="s">
        <v>885</v>
      </c>
      <c r="E2134" s="53" t="s">
        <v>272</v>
      </c>
      <c r="F2134" s="53" t="s">
        <v>145</v>
      </c>
      <c r="G2134" s="53" t="s">
        <v>273</v>
      </c>
      <c r="H2134" s="53">
        <v>4</v>
      </c>
      <c r="I2134" s="53" t="s">
        <v>130</v>
      </c>
      <c r="J2134" s="53">
        <v>0</v>
      </c>
      <c r="K2134" s="53">
        <v>1</v>
      </c>
      <c r="L2134" s="53">
        <v>18.3</v>
      </c>
      <c r="M2134" s="53" t="s">
        <v>1402</v>
      </c>
      <c r="N2134" s="53">
        <v>22.4</v>
      </c>
      <c r="O2134" s="51" t="str">
        <f>TEXT(tblWorkPackages[[#This Row],[Request date serial]]-WEEKDAY(tblWorkPackages[[#This Row],[Request date serial]],3),"yyyy-mm-dd")</f>
        <v>2025-08-18</v>
      </c>
      <c r="P2134" s="51">
        <f>ABS(tblWorkPackages[[#This Row],[Actual labor hours]]-tblWorkPackages[[#This Row],[Estimated labor hours]])</f>
        <v>4.1</v>
      </c>
      <c r="Q2134" s="51">
        <f>IF(tblWorkPackages[[#This Row],[Actual labor hours]]&gt;tblWorkPackages[[#This Row],[Estimated labor hours]],1,0)</f>
        <v>1</v>
      </c>
      <c r="R2134" s="51">
        <f>tblWorkPackages[[#This Row],[Actual labor hours]]-tblWorkPackages[[#This Row],[Estimated labor hours]]</f>
        <v>4.1</v>
      </c>
      <c r="S2134" s="51" t="str">
        <f>IF(tblWorkPackages[[#This Row],[Request date serial]]&lt;ValidationStart,"Train 2024",IF(tblWorkPackages[[#This Row],[Request date serial]]&lt;HoldoutStart,"Validation H1","Holdout H2"))</f>
        <v>Holdout H2</v>
      </c>
      <c r="T2134" s="51">
        <f>IF(tblWorkPackages[[#This Row],[Time split]]="Train 2024","",tblWorkPackages[[#This Row],[Estimated labor hours]]+VLOOKUP(tblWorkPackages[[#This Row],[Task type]],'Forecast validation'!$A$14:$E$25,IF(tblWorkPackages[[#This Row],[Time split]]="Validation H1",4,5),FALSE()))</f>
        <v>19.28515625</v>
      </c>
      <c r="U2134" s="51">
        <f>IF(tblWorkPackages[[#This Row],[Calibrated forecast hours]]="","",ABS(tblWorkPackages[[#This Row],[Actual labor hours]]-tblWorkPackages[[#This Row],[Calibrated forecast hours]]))</f>
        <v>3.11484375</v>
      </c>
      <c r="V2134" s="51">
        <f>IF(tblWorkPackages[[#This Row],[Time split]]="Train 2024",tblWorkPackages[[#This Row],[Estimated labor hours]],tblWorkPackages[[#This Row],[Calibrated forecast hours]])</f>
        <v>19.28515625</v>
      </c>
      <c r="W2134" s="64">
        <f>DATEVALUE(tblWorkPackages[[#This Row],[Request date]])</f>
        <v>45888.0</v>
      </c>
      <c r="X2134" s="64">
        <f>DATEVALUE(tblWorkPackages[[#This Row],[Due date]])</f>
        <v>45901.0</v>
      </c>
      <c r="Y2134" s="64">
        <f>DATEVALUE(tblWorkPackages[[#This Row],[Completion date]])</f>
        <v>45891.0</v>
      </c>
      <c r="Z2134" s="64">
        <f>_xlfn.MINIFS(tblLaborEntries[Work date serial],tblLaborEntries[Work package ID],tblWorkPackages[[#This Row],[Work package ID]])</f>
        <v>45891.0</v>
      </c>
      <c r="AA2134" s="64">
        <f>_xlfn.MAXIFS(tblLaborEntries[Work date serial],tblLaborEntries[Work package ID],tblWorkPackages[[#This Row],[Work package ID]])</f>
        <v>45891.0</v>
      </c>
      <c r="AB2134" s="65">
        <f>IF(tblWorkPackages[[#This Row],[Completion date serial]]&gt;tblWorkPackages[[#This Row],[Due date serial]],1,0)</f>
        <v>0</v>
      </c>
      <c r="AC2134" s="65">
        <f>MAX(0,tblWorkPackages[[#This Row],[Completion date serial]]-tblWorkPackages[[#This Row],[Due date serial]])</f>
        <v>0</v>
      </c>
      <c r="AD2134" s="65">
        <f>tblWorkPackages[[#This Row],[First labor date]]-tblWorkPackages[[#This Row],[Request date serial]]</f>
        <v>3</v>
      </c>
      <c r="AE2134" s="65">
        <f>tblWorkPackages[[#This Row],[Last labor date]]-tblWorkPackages[[#This Row],[First labor date]]</f>
        <v>0</v>
      </c>
      <c r="AF2134" s="65">
        <f>tblWorkPackages[[#This Row],[Completion date serial]]-tblWorkPackages[[#This Row],[Last labor date]]</f>
        <v>0</v>
      </c>
      <c r="AG2134" s="65">
        <f>tblWorkPackages[[#This Row],[Completion date serial]]-tblWorkPackages[[#This Row],[Request date serial]]</f>
        <v>3</v>
      </c>
      <c r="AH2134" s="65">
        <f>IFERROR(INDEX(tblParts[Delay days],MATCH(tblWorkPackages[[#This Row],[Work package ID]],tblParts[Work package ID],0)),0)</f>
        <v>0</v>
      </c>
      <c r="AI2134" s="51" t="str">
        <f>IFERROR(INDEX(tblDisruptions[Event type],MATCH(tblWorkPackages[[#This Row],[Work package ID]],tblDisruptions[Work package ID],0)),"None")</f>
        <v>None</v>
      </c>
      <c r="AJ2134" s="51" t="str">
        <f>TEXT(tblWorkPackages[[#This Row],[Due date serial]],"yyyy-mm")</f>
        <v>2025-09</v>
      </c>
    </row>
    <row r="2135" spans="1:36" ht="15" x14ac:dyDescent="0.25">
      <c r="A2135" s="53" t="s">
        <v>3049</v>
      </c>
      <c r="B2135" s="53" t="s">
        <v>173</v>
      </c>
      <c r="C2135" s="53" t="s">
        <v>360</v>
      </c>
      <c r="D2135" s="53" t="s">
        <v>1024</v>
      </c>
      <c r="E2135" s="53" t="s">
        <v>242</v>
      </c>
      <c r="F2135" s="53" t="s">
        <v>243</v>
      </c>
      <c r="G2135" s="53" t="s">
        <v>129</v>
      </c>
      <c r="H2135" s="53">
        <v>4</v>
      </c>
      <c r="I2135" s="53" t="s">
        <v>147</v>
      </c>
      <c r="J2135" s="53">
        <v>0</v>
      </c>
      <c r="K2135" s="53">
        <v>1</v>
      </c>
      <c r="L2135" s="53">
        <v>15.1</v>
      </c>
      <c r="M2135" s="53" t="s">
        <v>1765</v>
      </c>
      <c r="N2135" s="53">
        <v>11.7</v>
      </c>
      <c r="O2135" s="51" t="str">
        <f>TEXT(tblWorkPackages[[#This Row],[Request date serial]]-WEEKDAY(tblWorkPackages[[#This Row],[Request date serial]],3),"yyyy-mm-dd")</f>
        <v>2024-07-15</v>
      </c>
      <c r="P2135" s="51">
        <f>ABS(tblWorkPackages[[#This Row],[Actual labor hours]]-tblWorkPackages[[#This Row],[Estimated labor hours]])</f>
        <v>3.4</v>
      </c>
      <c r="Q2135" s="51">
        <f>IF(tblWorkPackages[[#This Row],[Actual labor hours]]&gt;tblWorkPackages[[#This Row],[Estimated labor hours]],1,0)</f>
        <v>0</v>
      </c>
      <c r="R2135" s="51">
        <f>tblWorkPackages[[#This Row],[Actual labor hours]]-tblWorkPackages[[#This Row],[Estimated labor hours]]</f>
        <v>-3.4</v>
      </c>
      <c r="S2135" s="51" t="str">
        <f>IF(tblWorkPackages[[#This Row],[Request date serial]]&lt;ValidationStart,"Train 2024",IF(tblWorkPackages[[#This Row],[Request date serial]]&lt;HoldoutStart,"Validation H1","Holdout H2"))</f>
        <v>Train 2024</v>
      </c>
      <c r="T2135" s="51" t="str">
        <f>IF(tblWorkPackages[[#This Row],[Time split]]="Train 2024","",tblWorkPackages[[#This Row],[Estimated labor hours]]+VLOOKUP(tblWorkPackages[[#This Row],[Task type]],'Forecast validation'!$A$14:$E$25,IF(tblWorkPackages[[#This Row],[Time split]]="Validation H1",4,5),FALSE()))</f>
        <v/>
      </c>
      <c r="U2135" s="51" t="str">
        <f>IF(tblWorkPackages[[#This Row],[Calibrated forecast hours]]="","",ABS(tblWorkPackages[[#This Row],[Actual labor hours]]-tblWorkPackages[[#This Row],[Calibrated forecast hours]]))</f>
        <v/>
      </c>
      <c r="V2135" s="51">
        <f>IF(tblWorkPackages[[#This Row],[Time split]]="Train 2024",tblWorkPackages[[#This Row],[Estimated labor hours]],tblWorkPackages[[#This Row],[Calibrated forecast hours]])</f>
        <v>15.1</v>
      </c>
      <c r="W2135" s="64">
        <f>DATEVALUE(tblWorkPackages[[#This Row],[Request date]])</f>
        <v>45489.0</v>
      </c>
      <c r="X2135" s="64">
        <f>DATEVALUE(tblWorkPackages[[#This Row],[Due date]])</f>
        <v>45491.0</v>
      </c>
      <c r="Y2135" s="64">
        <f>DATEVALUE(tblWorkPackages[[#This Row],[Completion date]])</f>
        <v>45519.0</v>
      </c>
      <c r="Z2135" s="64">
        <f>_xlfn.MINIFS(tblLaborEntries[Work date serial],tblLaborEntries[Work package ID],tblWorkPackages[[#This Row],[Work package ID]])</f>
        <v>45516.0</v>
      </c>
      <c r="AA2135" s="64">
        <f>_xlfn.MAXIFS(tblLaborEntries[Work date serial],tblLaborEntries[Work package ID],tblWorkPackages[[#This Row],[Work package ID]])</f>
        <v>45518.0</v>
      </c>
      <c r="AB2135" s="65">
        <f>IF(tblWorkPackages[[#This Row],[Completion date serial]]&gt;tblWorkPackages[[#This Row],[Due date serial]],1,0)</f>
        <v>1</v>
      </c>
      <c r="AC2135" s="65">
        <f>MAX(0,tblWorkPackages[[#This Row],[Completion date serial]]-tblWorkPackages[[#This Row],[Due date serial]])</f>
        <v>28</v>
      </c>
      <c r="AD2135" s="65">
        <f>tblWorkPackages[[#This Row],[First labor date]]-tblWorkPackages[[#This Row],[Request date serial]]</f>
        <v>27</v>
      </c>
      <c r="AE2135" s="65">
        <f>tblWorkPackages[[#This Row],[Last labor date]]-tblWorkPackages[[#This Row],[First labor date]]</f>
        <v>2</v>
      </c>
      <c r="AF2135" s="65">
        <f>tblWorkPackages[[#This Row],[Completion date serial]]-tblWorkPackages[[#This Row],[Last labor date]]</f>
        <v>1</v>
      </c>
      <c r="AG2135" s="65">
        <f>tblWorkPackages[[#This Row],[Completion date serial]]-tblWorkPackages[[#This Row],[Request date serial]]</f>
        <v>30</v>
      </c>
      <c r="AH2135" s="65">
        <f>IFERROR(INDEX(tblParts[Delay days],MATCH(tblWorkPackages[[#This Row],[Work package ID]],tblParts[Work package ID],0)),0)</f>
        <v>0</v>
      </c>
      <c r="AI2135" s="51" t="str">
        <f>IFERROR(INDEX(tblDisruptions[Event type],MATCH(tblWorkPackages[[#This Row],[Work package ID]],tblDisruptions[Work package ID],0)),"None")</f>
        <v>None</v>
      </c>
      <c r="AJ2135" s="51" t="str">
        <f>TEXT(tblWorkPackages[[#This Row],[Due date serial]],"yyyy-mm")</f>
        <v>2024-07</v>
      </c>
    </row>
    <row r="2136" spans="1:36" ht="15" x14ac:dyDescent="0.25">
      <c r="A2136" s="53" t="s">
        <v>3050</v>
      </c>
      <c r="B2136" s="53" t="s">
        <v>133</v>
      </c>
      <c r="C2136" s="53" t="s">
        <v>1895</v>
      </c>
      <c r="D2136" s="53" t="s">
        <v>1283</v>
      </c>
      <c r="E2136" s="53" t="s">
        <v>136</v>
      </c>
      <c r="F2136" s="53" t="s">
        <v>137</v>
      </c>
      <c r="G2136" s="53" t="s">
        <v>138</v>
      </c>
      <c r="H2136" s="53">
        <v>3</v>
      </c>
      <c r="I2136" s="53" t="s">
        <v>130</v>
      </c>
      <c r="J2136" s="53">
        <v>0</v>
      </c>
      <c r="K2136" s="53">
        <v>0</v>
      </c>
      <c r="L2136" s="53">
        <v>20.9</v>
      </c>
      <c r="M2136" s="53" t="s">
        <v>1172</v>
      </c>
      <c r="N2136" s="53">
        <v>16.899999999999999</v>
      </c>
      <c r="O2136" s="51" t="str">
        <f>TEXT(tblWorkPackages[[#This Row],[Request date serial]]-WEEKDAY(tblWorkPackages[[#This Row],[Request date serial]],3),"yyyy-mm-dd")</f>
        <v>2025-04-07</v>
      </c>
      <c r="P2136" s="51">
        <f>ABS(tblWorkPackages[[#This Row],[Actual labor hours]]-tblWorkPackages[[#This Row],[Estimated labor hours]])</f>
        <v>4</v>
      </c>
      <c r="Q2136" s="51">
        <f>IF(tblWorkPackages[[#This Row],[Actual labor hours]]&gt;tblWorkPackages[[#This Row],[Estimated labor hours]],1,0)</f>
        <v>0</v>
      </c>
      <c r="R2136" s="51">
        <f>tblWorkPackages[[#This Row],[Actual labor hours]]-tblWorkPackages[[#This Row],[Estimated labor hours]]</f>
        <v>-4</v>
      </c>
      <c r="S2136" s="51" t="str">
        <f>IF(tblWorkPackages[[#This Row],[Request date serial]]&lt;ValidationStart,"Train 2024",IF(tblWorkPackages[[#This Row],[Request date serial]]&lt;HoldoutStart,"Validation H1","Holdout H2"))</f>
        <v>Validation H1</v>
      </c>
      <c r="T2136" s="51">
        <f>IF(tblWorkPackages[[#This Row],[Time split]]="Train 2024","",tblWorkPackages[[#This Row],[Estimated labor hours]]+VLOOKUP(tblWorkPackages[[#This Row],[Task type]],'Forecast validation'!$A$14:$E$25,IF(tblWorkPackages[[#This Row],[Time split]]="Validation H1",4,5),FALSE()))</f>
        <v>21.7765306122449</v>
      </c>
      <c r="U2136" s="51">
        <f>IF(tblWorkPackages[[#This Row],[Calibrated forecast hours]]="","",ABS(tblWorkPackages[[#This Row],[Actual labor hours]]-tblWorkPackages[[#This Row],[Calibrated forecast hours]]))</f>
        <v>4.8765306122449</v>
      </c>
      <c r="V2136" s="51">
        <f>IF(tblWorkPackages[[#This Row],[Time split]]="Train 2024",tblWorkPackages[[#This Row],[Estimated labor hours]],tblWorkPackages[[#This Row],[Calibrated forecast hours]])</f>
        <v>21.7765306122449</v>
      </c>
      <c r="W2136" s="64">
        <f>DATEVALUE(tblWorkPackages[[#This Row],[Request date]])</f>
        <v>45755.0</v>
      </c>
      <c r="X2136" s="64">
        <f>DATEVALUE(tblWorkPackages[[#This Row],[Due date]])</f>
        <v>45768.0</v>
      </c>
      <c r="Y2136" s="64">
        <f>DATEVALUE(tblWorkPackages[[#This Row],[Completion date]])</f>
        <v>45764.0</v>
      </c>
      <c r="Z2136" s="64">
        <f>_xlfn.MINIFS(tblLaborEntries[Work date serial],tblLaborEntries[Work package ID],tblWorkPackages[[#This Row],[Work package ID]])</f>
        <v>45760.0</v>
      </c>
      <c r="AA2136" s="64">
        <f>_xlfn.MAXIFS(tblLaborEntries[Work date serial],tblLaborEntries[Work package ID],tblWorkPackages[[#This Row],[Work package ID]])</f>
        <v>45762.0</v>
      </c>
      <c r="AB2136" s="65">
        <f>IF(tblWorkPackages[[#This Row],[Completion date serial]]&gt;tblWorkPackages[[#This Row],[Due date serial]],1,0)</f>
        <v>0</v>
      </c>
      <c r="AC2136" s="65">
        <f>MAX(0,tblWorkPackages[[#This Row],[Completion date serial]]-tblWorkPackages[[#This Row],[Due date serial]])</f>
        <v>0</v>
      </c>
      <c r="AD2136" s="65">
        <f>tblWorkPackages[[#This Row],[First labor date]]-tblWorkPackages[[#This Row],[Request date serial]]</f>
        <v>5</v>
      </c>
      <c r="AE2136" s="65">
        <f>tblWorkPackages[[#This Row],[Last labor date]]-tblWorkPackages[[#This Row],[First labor date]]</f>
        <v>2</v>
      </c>
      <c r="AF2136" s="65">
        <f>tblWorkPackages[[#This Row],[Completion date serial]]-tblWorkPackages[[#This Row],[Last labor date]]</f>
        <v>2</v>
      </c>
      <c r="AG2136" s="65">
        <f>tblWorkPackages[[#This Row],[Completion date serial]]-tblWorkPackages[[#This Row],[Request date serial]]</f>
        <v>9</v>
      </c>
      <c r="AH2136" s="65">
        <f>IFERROR(INDEX(tblParts[Delay days],MATCH(tblWorkPackages[[#This Row],[Work package ID]],tblParts[Work package ID],0)),0)</f>
        <v>0</v>
      </c>
      <c r="AI2136" s="51" t="str">
        <f>IFERROR(INDEX(tblDisruptions[Event type],MATCH(tblWorkPackages[[#This Row],[Work package ID]],tblDisruptions[Work package ID],0)),"None")</f>
        <v>None</v>
      </c>
      <c r="AJ2136" s="51" t="str">
        <f>TEXT(tblWorkPackages[[#This Row],[Due date serial]],"yyyy-mm")</f>
        <v>2025-04</v>
      </c>
    </row>
    <row r="2137" spans="1:36" ht="15" x14ac:dyDescent="0.25">
      <c r="A2137" s="53" t="s">
        <v>3051</v>
      </c>
      <c r="B2137" s="53" t="s">
        <v>250</v>
      </c>
      <c r="C2137" s="53" t="s">
        <v>743</v>
      </c>
      <c r="D2137" s="53" t="s">
        <v>1473</v>
      </c>
      <c r="E2137" s="53" t="s">
        <v>200</v>
      </c>
      <c r="F2137" s="53" t="s">
        <v>128</v>
      </c>
      <c r="G2137" s="53" t="s">
        <v>129</v>
      </c>
      <c r="H2137" s="53">
        <v>4</v>
      </c>
      <c r="I2137" s="53" t="s">
        <v>130</v>
      </c>
      <c r="J2137" s="53">
        <v>0</v>
      </c>
      <c r="K2137" s="53">
        <v>0</v>
      </c>
      <c r="L2137" s="53">
        <v>5.5</v>
      </c>
      <c r="M2137" s="53" t="s">
        <v>343</v>
      </c>
      <c r="N2137" s="53">
        <v>6.3</v>
      </c>
      <c r="O2137" s="51" t="str">
        <f>TEXT(tblWorkPackages[[#This Row],[Request date serial]]-WEEKDAY(tblWorkPackages[[#This Row],[Request date serial]],3),"yyyy-mm-dd")</f>
        <v>2025-07-14</v>
      </c>
      <c r="P2137" s="51">
        <f>ABS(tblWorkPackages[[#This Row],[Actual labor hours]]-tblWorkPackages[[#This Row],[Estimated labor hours]])</f>
        <v>0.8</v>
      </c>
      <c r="Q2137" s="51">
        <f>IF(tblWorkPackages[[#This Row],[Actual labor hours]]&gt;tblWorkPackages[[#This Row],[Estimated labor hours]],1,0)</f>
        <v>1</v>
      </c>
      <c r="R2137" s="51">
        <f>tblWorkPackages[[#This Row],[Actual labor hours]]-tblWorkPackages[[#This Row],[Estimated labor hours]]</f>
        <v>0.8</v>
      </c>
      <c r="S2137" s="51" t="str">
        <f>IF(tblWorkPackages[[#This Row],[Request date serial]]&lt;ValidationStart,"Train 2024",IF(tblWorkPackages[[#This Row],[Request date serial]]&lt;HoldoutStart,"Validation H1","Holdout H2"))</f>
        <v>Holdout H2</v>
      </c>
      <c r="T2137" s="51">
        <f>IF(tblWorkPackages[[#This Row],[Time split]]="Train 2024","",tblWorkPackages[[#This Row],[Estimated labor hours]]+VLOOKUP(tblWorkPackages[[#This Row],[Task type]],'Forecast validation'!$A$14:$E$25,IF(tblWorkPackages[[#This Row],[Time split]]="Validation H1",4,5),FALSE()))</f>
        <v>5.82893081761006</v>
      </c>
      <c r="U2137" s="51">
        <f>IF(tblWorkPackages[[#This Row],[Calibrated forecast hours]]="","",ABS(tblWorkPackages[[#This Row],[Actual labor hours]]-tblWorkPackages[[#This Row],[Calibrated forecast hours]]))</f>
        <v>0.471069182389937</v>
      </c>
      <c r="V2137" s="51">
        <f>IF(tblWorkPackages[[#This Row],[Time split]]="Train 2024",tblWorkPackages[[#This Row],[Estimated labor hours]],tblWorkPackages[[#This Row],[Calibrated forecast hours]])</f>
        <v>5.82893081761006</v>
      </c>
      <c r="W2137" s="64">
        <f>DATEVALUE(tblWorkPackages[[#This Row],[Request date]])</f>
        <v>45856.0</v>
      </c>
      <c r="X2137" s="64">
        <f>DATEVALUE(tblWorkPackages[[#This Row],[Due date]])</f>
        <v>45869.0</v>
      </c>
      <c r="Y2137" s="64">
        <f>DATEVALUE(tblWorkPackages[[#This Row],[Completion date]])</f>
        <v>45862.0</v>
      </c>
      <c r="Z2137" s="64">
        <f>_xlfn.MINIFS(tblLaborEntries[Work date serial],tblLaborEntries[Work package ID],tblWorkPackages[[#This Row],[Work package ID]])</f>
        <v>45857.0</v>
      </c>
      <c r="AA2137" s="64">
        <f>_xlfn.MAXIFS(tblLaborEntries[Work date serial],tblLaborEntries[Work package ID],tblWorkPackages[[#This Row],[Work package ID]])</f>
        <v>45859.0</v>
      </c>
      <c r="AB2137" s="65">
        <f>IF(tblWorkPackages[[#This Row],[Completion date serial]]&gt;tblWorkPackages[[#This Row],[Due date serial]],1,0)</f>
        <v>0</v>
      </c>
      <c r="AC2137" s="65">
        <f>MAX(0,tblWorkPackages[[#This Row],[Completion date serial]]-tblWorkPackages[[#This Row],[Due date serial]])</f>
        <v>0</v>
      </c>
      <c r="AD2137" s="65">
        <f>tblWorkPackages[[#This Row],[First labor date]]-tblWorkPackages[[#This Row],[Request date serial]]</f>
        <v>1</v>
      </c>
      <c r="AE2137" s="65">
        <f>tblWorkPackages[[#This Row],[Last labor date]]-tblWorkPackages[[#This Row],[First labor date]]</f>
        <v>2</v>
      </c>
      <c r="AF2137" s="65">
        <f>tblWorkPackages[[#This Row],[Completion date serial]]-tblWorkPackages[[#This Row],[Last labor date]]</f>
        <v>3</v>
      </c>
      <c r="AG2137" s="65">
        <f>tblWorkPackages[[#This Row],[Completion date serial]]-tblWorkPackages[[#This Row],[Request date serial]]</f>
        <v>6</v>
      </c>
      <c r="AH2137" s="65">
        <f>IFERROR(INDEX(tblParts[Delay days],MATCH(tblWorkPackages[[#This Row],[Work package ID]],tblParts[Work package ID],0)),0)</f>
        <v>0</v>
      </c>
      <c r="AI2137" s="51" t="str">
        <f>IFERROR(INDEX(tblDisruptions[Event type],MATCH(tblWorkPackages[[#This Row],[Work package ID]],tblDisruptions[Work package ID],0)),"None")</f>
        <v>Equipment unavailable</v>
      </c>
      <c r="AJ2137" s="51" t="str">
        <f>TEXT(tblWorkPackages[[#This Row],[Due date serial]],"yyyy-mm")</f>
        <v>2025-07</v>
      </c>
    </row>
    <row r="2138" spans="1:36" ht="15" x14ac:dyDescent="0.25">
      <c r="A2138" s="53" t="s">
        <v>3052</v>
      </c>
      <c r="B2138" s="53" t="s">
        <v>150</v>
      </c>
      <c r="C2138" s="53" t="s">
        <v>187</v>
      </c>
      <c r="D2138" s="53" t="s">
        <v>1318</v>
      </c>
      <c r="E2138" s="53" t="s">
        <v>200</v>
      </c>
      <c r="F2138" s="53" t="s">
        <v>128</v>
      </c>
      <c r="G2138" s="53" t="s">
        <v>129</v>
      </c>
      <c r="H2138" s="53">
        <v>2</v>
      </c>
      <c r="I2138" s="53" t="s">
        <v>130</v>
      </c>
      <c r="J2138" s="53">
        <v>0</v>
      </c>
      <c r="K2138" s="53">
        <v>1</v>
      </c>
      <c r="L2138" s="53">
        <v>3.4</v>
      </c>
      <c r="M2138" s="53" t="s">
        <v>900</v>
      </c>
      <c r="N2138" s="53">
        <v>3.7</v>
      </c>
      <c r="O2138" s="51" t="str">
        <f>TEXT(tblWorkPackages[[#This Row],[Request date serial]]-WEEKDAY(tblWorkPackages[[#This Row],[Request date serial]],3),"yyyy-mm-dd")</f>
        <v>2025-02-24</v>
      </c>
      <c r="P2138" s="51">
        <f>ABS(tblWorkPackages[[#This Row],[Actual labor hours]]-tblWorkPackages[[#This Row],[Estimated labor hours]])</f>
        <v>0.3</v>
      </c>
      <c r="Q2138" s="51">
        <f>IF(tblWorkPackages[[#This Row],[Actual labor hours]]&gt;tblWorkPackages[[#This Row],[Estimated labor hours]],1,0)</f>
        <v>1</v>
      </c>
      <c r="R2138" s="51">
        <f>tblWorkPackages[[#This Row],[Actual labor hours]]-tblWorkPackages[[#This Row],[Estimated labor hours]]</f>
        <v>0.3</v>
      </c>
      <c r="S2138" s="51" t="str">
        <f>IF(tblWorkPackages[[#This Row],[Request date serial]]&lt;ValidationStart,"Train 2024",IF(tblWorkPackages[[#This Row],[Request date serial]]&lt;HoldoutStart,"Validation H1","Holdout H2"))</f>
        <v>Validation H1</v>
      </c>
      <c r="T2138" s="51">
        <f>IF(tblWorkPackages[[#This Row],[Time split]]="Train 2024","",tblWorkPackages[[#This Row],[Estimated labor hours]]+VLOOKUP(tblWorkPackages[[#This Row],[Task type]],'Forecast validation'!$A$14:$E$25,IF(tblWorkPackages[[#This Row],[Time split]]="Validation H1",4,5),FALSE()))</f>
        <v>3.73069306930693</v>
      </c>
      <c r="U2138" s="51">
        <f>IF(tblWorkPackages[[#This Row],[Calibrated forecast hours]]="","",ABS(tblWorkPackages[[#This Row],[Actual labor hours]]-tblWorkPackages[[#This Row],[Calibrated forecast hours]]))</f>
        <v>0.0306930693069303</v>
      </c>
      <c r="V2138" s="51">
        <f>IF(tblWorkPackages[[#This Row],[Time split]]="Train 2024",tblWorkPackages[[#This Row],[Estimated labor hours]],tblWorkPackages[[#This Row],[Calibrated forecast hours]])</f>
        <v>3.73069306930693</v>
      </c>
      <c r="W2138" s="64">
        <f>DATEVALUE(tblWorkPackages[[#This Row],[Request date]])</f>
        <v>45713.0</v>
      </c>
      <c r="X2138" s="64">
        <f>DATEVALUE(tblWorkPackages[[#This Row],[Due date]])</f>
        <v>45726.0</v>
      </c>
      <c r="Y2138" s="64">
        <f>DATEVALUE(tblWorkPackages[[#This Row],[Completion date]])</f>
        <v>45728.0</v>
      </c>
      <c r="Z2138" s="64">
        <f>_xlfn.MINIFS(tblLaborEntries[Work date serial],tblLaborEntries[Work package ID],tblWorkPackages[[#This Row],[Work package ID]])</f>
        <v>45726.0</v>
      </c>
      <c r="AA2138" s="64">
        <f>_xlfn.MAXIFS(tblLaborEntries[Work date serial],tblLaborEntries[Work package ID],tblWorkPackages[[#This Row],[Work package ID]])</f>
        <v>45728.0</v>
      </c>
      <c r="AB2138" s="65">
        <f>IF(tblWorkPackages[[#This Row],[Completion date serial]]&gt;tblWorkPackages[[#This Row],[Due date serial]],1,0)</f>
        <v>1</v>
      </c>
      <c r="AC2138" s="65">
        <f>MAX(0,tblWorkPackages[[#This Row],[Completion date serial]]-tblWorkPackages[[#This Row],[Due date serial]])</f>
        <v>2</v>
      </c>
      <c r="AD2138" s="65">
        <f>tblWorkPackages[[#This Row],[First labor date]]-tblWorkPackages[[#This Row],[Request date serial]]</f>
        <v>13</v>
      </c>
      <c r="AE2138" s="65">
        <f>tblWorkPackages[[#This Row],[Last labor date]]-tblWorkPackages[[#This Row],[First labor date]]</f>
        <v>2</v>
      </c>
      <c r="AF2138" s="65">
        <f>tblWorkPackages[[#This Row],[Completion date serial]]-tblWorkPackages[[#This Row],[Last labor date]]</f>
        <v>0</v>
      </c>
      <c r="AG2138" s="65">
        <f>tblWorkPackages[[#This Row],[Completion date serial]]-tblWorkPackages[[#This Row],[Request date serial]]</f>
        <v>15</v>
      </c>
      <c r="AH2138" s="65">
        <f>IFERROR(INDEX(tblParts[Delay days],MATCH(tblWorkPackages[[#This Row],[Work package ID]],tblParts[Work package ID],0)),0)</f>
        <v>0</v>
      </c>
      <c r="AI2138" s="51" t="str">
        <f>IFERROR(INDEX(tblDisruptions[Event type],MATCH(tblWorkPackages[[#This Row],[Work package ID]],tblDisruptions[Work package ID],0)),"None")</f>
        <v>None</v>
      </c>
      <c r="AJ2138" s="51" t="str">
        <f>TEXT(tblWorkPackages[[#This Row],[Due date serial]],"yyyy-mm")</f>
        <v>2025-03</v>
      </c>
    </row>
    <row r="2139" spans="1:36" ht="15" x14ac:dyDescent="0.25">
      <c r="A2139" s="53" t="s">
        <v>3053</v>
      </c>
      <c r="B2139" s="53" t="s">
        <v>203</v>
      </c>
      <c r="C2139" s="53" t="s">
        <v>454</v>
      </c>
      <c r="D2139" s="53" t="s">
        <v>1223</v>
      </c>
      <c r="E2139" s="53" t="s">
        <v>181</v>
      </c>
      <c r="F2139" s="53" t="s">
        <v>182</v>
      </c>
      <c r="G2139" s="53" t="s">
        <v>138</v>
      </c>
      <c r="H2139" s="53">
        <v>2</v>
      </c>
      <c r="I2139" s="53" t="s">
        <v>130</v>
      </c>
      <c r="J2139" s="53">
        <v>0</v>
      </c>
      <c r="K2139" s="53">
        <v>0</v>
      </c>
      <c r="L2139" s="53">
        <v>7</v>
      </c>
      <c r="M2139" s="53" t="s">
        <v>142</v>
      </c>
      <c r="N2139" s="53">
        <v>5.6</v>
      </c>
      <c r="O2139" s="51" t="str">
        <f>TEXT(tblWorkPackages[[#This Row],[Request date serial]]-WEEKDAY(tblWorkPackages[[#This Row],[Request date serial]],3),"yyyy-mm-dd")</f>
        <v>2024-01-22</v>
      </c>
      <c r="P2139" s="51">
        <f>ABS(tblWorkPackages[[#This Row],[Actual labor hours]]-tblWorkPackages[[#This Row],[Estimated labor hours]])</f>
        <v>1.4</v>
      </c>
      <c r="Q2139" s="51">
        <f>IF(tblWorkPackages[[#This Row],[Actual labor hours]]&gt;tblWorkPackages[[#This Row],[Estimated labor hours]],1,0)</f>
        <v>0</v>
      </c>
      <c r="R2139" s="51">
        <f>tblWorkPackages[[#This Row],[Actual labor hours]]-tblWorkPackages[[#This Row],[Estimated labor hours]]</f>
        <v>-1.4</v>
      </c>
      <c r="S2139" s="51" t="str">
        <f>IF(tblWorkPackages[[#This Row],[Request date serial]]&lt;ValidationStart,"Train 2024",IF(tblWorkPackages[[#This Row],[Request date serial]]&lt;HoldoutStart,"Validation H1","Holdout H2"))</f>
        <v>Train 2024</v>
      </c>
      <c r="T2139" s="51" t="str">
        <f>IF(tblWorkPackages[[#This Row],[Time split]]="Train 2024","",tblWorkPackages[[#This Row],[Estimated labor hours]]+VLOOKUP(tblWorkPackages[[#This Row],[Task type]],'Forecast validation'!$A$14:$E$25,IF(tblWorkPackages[[#This Row],[Time split]]="Validation H1",4,5),FALSE()))</f>
        <v/>
      </c>
      <c r="U2139" s="51" t="str">
        <f>IF(tblWorkPackages[[#This Row],[Calibrated forecast hours]]="","",ABS(tblWorkPackages[[#This Row],[Actual labor hours]]-tblWorkPackages[[#This Row],[Calibrated forecast hours]]))</f>
        <v/>
      </c>
      <c r="V2139" s="51">
        <f>IF(tblWorkPackages[[#This Row],[Time split]]="Train 2024",tblWorkPackages[[#This Row],[Estimated labor hours]],tblWorkPackages[[#This Row],[Calibrated forecast hours]])</f>
        <v>7</v>
      </c>
      <c r="W2139" s="64">
        <f>DATEVALUE(tblWorkPackages[[#This Row],[Request date]])</f>
        <v>45318.0</v>
      </c>
      <c r="X2139" s="64">
        <f>DATEVALUE(tblWorkPackages[[#This Row],[Due date]])</f>
        <v>45331.0</v>
      </c>
      <c r="Y2139" s="64">
        <f>DATEVALUE(tblWorkPackages[[#This Row],[Completion date]])</f>
        <v>45322.0</v>
      </c>
      <c r="Z2139" s="64">
        <f>_xlfn.MINIFS(tblLaborEntries[Work date serial],tblLaborEntries[Work package ID],tblWorkPackages[[#This Row],[Work package ID]])</f>
        <v>45321.0</v>
      </c>
      <c r="AA2139" s="64">
        <f>_xlfn.MAXIFS(tblLaborEntries[Work date serial],tblLaborEntries[Work package ID],tblWorkPackages[[#This Row],[Work package ID]])</f>
        <v>45321.0</v>
      </c>
      <c r="AB2139" s="65">
        <f>IF(tblWorkPackages[[#This Row],[Completion date serial]]&gt;tblWorkPackages[[#This Row],[Due date serial]],1,0)</f>
        <v>0</v>
      </c>
      <c r="AC2139" s="65">
        <f>MAX(0,tblWorkPackages[[#This Row],[Completion date serial]]-tblWorkPackages[[#This Row],[Due date serial]])</f>
        <v>0</v>
      </c>
      <c r="AD2139" s="65">
        <f>tblWorkPackages[[#This Row],[First labor date]]-tblWorkPackages[[#This Row],[Request date serial]]</f>
        <v>3</v>
      </c>
      <c r="AE2139" s="65">
        <f>tblWorkPackages[[#This Row],[Last labor date]]-tblWorkPackages[[#This Row],[First labor date]]</f>
        <v>0</v>
      </c>
      <c r="AF2139" s="65">
        <f>tblWorkPackages[[#This Row],[Completion date serial]]-tblWorkPackages[[#This Row],[Last labor date]]</f>
        <v>1</v>
      </c>
      <c r="AG2139" s="65">
        <f>tblWorkPackages[[#This Row],[Completion date serial]]-tblWorkPackages[[#This Row],[Request date serial]]</f>
        <v>4</v>
      </c>
      <c r="AH2139" s="65">
        <f>IFERROR(INDEX(tblParts[Delay days],MATCH(tblWorkPackages[[#This Row],[Work package ID]],tblParts[Work package ID],0)),0)</f>
        <v>0</v>
      </c>
      <c r="AI2139" s="51" t="str">
        <f>IFERROR(INDEX(tblDisruptions[Event type],MATCH(tblWorkPackages[[#This Row],[Work package ID]],tblDisruptions[Work package ID],0)),"None")</f>
        <v>None</v>
      </c>
      <c r="AJ2139" s="51" t="str">
        <f>TEXT(tblWorkPackages[[#This Row],[Due date serial]],"yyyy-mm")</f>
        <v>2024-02</v>
      </c>
    </row>
    <row r="2140" spans="1:36" ht="15" x14ac:dyDescent="0.25">
      <c r="A2140" s="53" t="s">
        <v>3054</v>
      </c>
      <c r="B2140" s="53" t="s">
        <v>150</v>
      </c>
      <c r="C2140" s="53" t="s">
        <v>485</v>
      </c>
      <c r="D2140" s="53" t="s">
        <v>253</v>
      </c>
      <c r="E2140" s="53" t="s">
        <v>160</v>
      </c>
      <c r="F2140" s="53" t="s">
        <v>128</v>
      </c>
      <c r="G2140" s="53" t="s">
        <v>138</v>
      </c>
      <c r="H2140" s="53">
        <v>4</v>
      </c>
      <c r="I2140" s="53" t="s">
        <v>147</v>
      </c>
      <c r="J2140" s="53">
        <v>0</v>
      </c>
      <c r="K2140" s="53">
        <v>0</v>
      </c>
      <c r="L2140" s="53">
        <v>8.9</v>
      </c>
      <c r="M2140" s="53" t="s">
        <v>1063</v>
      </c>
      <c r="N2140" s="53">
        <v>9.6999999999999993</v>
      </c>
      <c r="O2140" s="51" t="str">
        <f>TEXT(tblWorkPackages[[#This Row],[Request date serial]]-WEEKDAY(tblWorkPackages[[#This Row],[Request date serial]],3),"yyyy-mm-dd")</f>
        <v>2025-01-13</v>
      </c>
      <c r="P2140" s="51">
        <f>ABS(tblWorkPackages[[#This Row],[Actual labor hours]]-tblWorkPackages[[#This Row],[Estimated labor hours]])</f>
        <v>0.799999999999999</v>
      </c>
      <c r="Q2140" s="51">
        <f>IF(tblWorkPackages[[#This Row],[Actual labor hours]]&gt;tblWorkPackages[[#This Row],[Estimated labor hours]],1,0)</f>
        <v>1</v>
      </c>
      <c r="R2140" s="51">
        <f>tblWorkPackages[[#This Row],[Actual labor hours]]-tblWorkPackages[[#This Row],[Estimated labor hours]]</f>
        <v>0.799999999999999</v>
      </c>
      <c r="S2140" s="51" t="str">
        <f>IF(tblWorkPackages[[#This Row],[Request date serial]]&lt;ValidationStart,"Train 2024",IF(tblWorkPackages[[#This Row],[Request date serial]]&lt;HoldoutStart,"Validation H1","Holdout H2"))</f>
        <v>Validation H1</v>
      </c>
      <c r="T2140" s="51">
        <f>IF(tblWorkPackages[[#This Row],[Time split]]="Train 2024","",tblWorkPackages[[#This Row],[Estimated labor hours]]+VLOOKUP(tblWorkPackages[[#This Row],[Task type]],'Forecast validation'!$A$14:$E$25,IF(tblWorkPackages[[#This Row],[Time split]]="Validation H1",4,5),FALSE()))</f>
        <v>9.34146341463415</v>
      </c>
      <c r="U2140" s="51">
        <f>IF(tblWorkPackages[[#This Row],[Calibrated forecast hours]]="","",ABS(tblWorkPackages[[#This Row],[Actual labor hours]]-tblWorkPackages[[#This Row],[Calibrated forecast hours]]))</f>
        <v>0.358536585365853</v>
      </c>
      <c r="V2140" s="51">
        <f>IF(tblWorkPackages[[#This Row],[Time split]]="Train 2024",tblWorkPackages[[#This Row],[Estimated labor hours]],tblWorkPackages[[#This Row],[Calibrated forecast hours]])</f>
        <v>9.34146341463415</v>
      </c>
      <c r="W2140" s="64">
        <f>DATEVALUE(tblWorkPackages[[#This Row],[Request date]])</f>
        <v>45675.0</v>
      </c>
      <c r="X2140" s="64">
        <f>DATEVALUE(tblWorkPackages[[#This Row],[Due date]])</f>
        <v>45677.0</v>
      </c>
      <c r="Y2140" s="64">
        <f>DATEVALUE(tblWorkPackages[[#This Row],[Completion date]])</f>
        <v>45727.0</v>
      </c>
      <c r="Z2140" s="64">
        <f>_xlfn.MINIFS(tblLaborEntries[Work date serial],tblLaborEntries[Work package ID],tblWorkPackages[[#This Row],[Work package ID]])</f>
        <v>45724.0</v>
      </c>
      <c r="AA2140" s="64">
        <f>_xlfn.MAXIFS(tblLaborEntries[Work date serial],tblLaborEntries[Work package ID],tblWorkPackages[[#This Row],[Work package ID]])</f>
        <v>45725.0</v>
      </c>
      <c r="AB2140" s="65">
        <f>IF(tblWorkPackages[[#This Row],[Completion date serial]]&gt;tblWorkPackages[[#This Row],[Due date serial]],1,0)</f>
        <v>1</v>
      </c>
      <c r="AC2140" s="65">
        <f>MAX(0,tblWorkPackages[[#This Row],[Completion date serial]]-tblWorkPackages[[#This Row],[Due date serial]])</f>
        <v>50</v>
      </c>
      <c r="AD2140" s="65">
        <f>tblWorkPackages[[#This Row],[First labor date]]-tblWorkPackages[[#This Row],[Request date serial]]</f>
        <v>49</v>
      </c>
      <c r="AE2140" s="65">
        <f>tblWorkPackages[[#This Row],[Last labor date]]-tblWorkPackages[[#This Row],[First labor date]]</f>
        <v>1</v>
      </c>
      <c r="AF2140" s="65">
        <f>tblWorkPackages[[#This Row],[Completion date serial]]-tblWorkPackages[[#This Row],[Last labor date]]</f>
        <v>2</v>
      </c>
      <c r="AG2140" s="65">
        <f>tblWorkPackages[[#This Row],[Completion date serial]]-tblWorkPackages[[#This Row],[Request date serial]]</f>
        <v>52</v>
      </c>
      <c r="AH2140" s="65">
        <f>IFERROR(INDEX(tblParts[Delay days],MATCH(tblWorkPackages[[#This Row],[Work package ID]],tblParts[Work package ID],0)),0)</f>
        <v>0</v>
      </c>
      <c r="AI2140" s="51" t="str">
        <f>IFERROR(INDEX(tblDisruptions[Event type],MATCH(tblWorkPackages[[#This Row],[Work package ID]],tblDisruptions[Work package ID],0)),"None")</f>
        <v>None</v>
      </c>
      <c r="AJ2140" s="51" t="str">
        <f>TEXT(tblWorkPackages[[#This Row],[Due date serial]],"yyyy-mm")</f>
        <v>2025-01</v>
      </c>
    </row>
    <row r="2141" spans="1:36" ht="15" x14ac:dyDescent="0.25">
      <c r="A2141" s="53" t="s">
        <v>3055</v>
      </c>
      <c r="B2141" s="53" t="s">
        <v>185</v>
      </c>
      <c r="C2141" s="53" t="s">
        <v>630</v>
      </c>
      <c r="D2141" s="53" t="s">
        <v>691</v>
      </c>
      <c r="E2141" s="53" t="s">
        <v>127</v>
      </c>
      <c r="F2141" s="53" t="s">
        <v>128</v>
      </c>
      <c r="G2141" s="53" t="s">
        <v>129</v>
      </c>
      <c r="H2141" s="53">
        <v>2</v>
      </c>
      <c r="I2141" s="53" t="s">
        <v>130</v>
      </c>
      <c r="J2141" s="53">
        <v>0</v>
      </c>
      <c r="K2141" s="53">
        <v>0</v>
      </c>
      <c r="L2141" s="53">
        <v>8.3000000000000007</v>
      </c>
      <c r="M2141" s="53" t="s">
        <v>1685</v>
      </c>
      <c r="N2141" s="53">
        <v>8.4</v>
      </c>
      <c r="O2141" s="51" t="str">
        <f>TEXT(tblWorkPackages[[#This Row],[Request date serial]]-WEEKDAY(tblWorkPackages[[#This Row],[Request date serial]],3),"yyyy-mm-dd")</f>
        <v>2024-03-25</v>
      </c>
      <c r="P2141" s="51">
        <f>ABS(tblWorkPackages[[#This Row],[Actual labor hours]]-tblWorkPackages[[#This Row],[Estimated labor hours]])</f>
        <v>0.0999999999999996</v>
      </c>
      <c r="Q2141" s="51">
        <f>IF(tblWorkPackages[[#This Row],[Actual labor hours]]&gt;tblWorkPackages[[#This Row],[Estimated labor hours]],1,0)</f>
        <v>1</v>
      </c>
      <c r="R2141" s="51">
        <f>tblWorkPackages[[#This Row],[Actual labor hours]]-tblWorkPackages[[#This Row],[Estimated labor hours]]</f>
        <v>0.0999999999999996</v>
      </c>
      <c r="S2141" s="51" t="str">
        <f>IF(tblWorkPackages[[#This Row],[Request date serial]]&lt;ValidationStart,"Train 2024",IF(tblWorkPackages[[#This Row],[Request date serial]]&lt;HoldoutStart,"Validation H1","Holdout H2"))</f>
        <v>Train 2024</v>
      </c>
      <c r="T2141" s="51" t="str">
        <f>IF(tblWorkPackages[[#This Row],[Time split]]="Train 2024","",tblWorkPackages[[#This Row],[Estimated labor hours]]+VLOOKUP(tblWorkPackages[[#This Row],[Task type]],'Forecast validation'!$A$14:$E$25,IF(tblWorkPackages[[#This Row],[Time split]]="Validation H1",4,5),FALSE()))</f>
        <v/>
      </c>
      <c r="U2141" s="51" t="str">
        <f>IF(tblWorkPackages[[#This Row],[Calibrated forecast hours]]="","",ABS(tblWorkPackages[[#This Row],[Actual labor hours]]-tblWorkPackages[[#This Row],[Calibrated forecast hours]]))</f>
        <v/>
      </c>
      <c r="V2141" s="51">
        <f>IF(tblWorkPackages[[#This Row],[Time split]]="Train 2024",tblWorkPackages[[#This Row],[Estimated labor hours]],tblWorkPackages[[#This Row],[Calibrated forecast hours]])</f>
        <v>8.3</v>
      </c>
      <c r="W2141" s="64">
        <f>DATEVALUE(tblWorkPackages[[#This Row],[Request date]])</f>
        <v>45376.0</v>
      </c>
      <c r="X2141" s="64">
        <f>DATEVALUE(tblWorkPackages[[#This Row],[Due date]])</f>
        <v>45389.0</v>
      </c>
      <c r="Y2141" s="64">
        <f>DATEVALUE(tblWorkPackages[[#This Row],[Completion date]])</f>
        <v>45387.0</v>
      </c>
      <c r="Z2141" s="64">
        <f>_xlfn.MINIFS(tblLaborEntries[Work date serial],tblLaborEntries[Work package ID],tblWorkPackages[[#This Row],[Work package ID]])</f>
        <v>45384.0</v>
      </c>
      <c r="AA2141" s="64">
        <f>_xlfn.MAXIFS(tblLaborEntries[Work date serial],tblLaborEntries[Work package ID],tblWorkPackages[[#This Row],[Work package ID]])</f>
        <v>45384.0</v>
      </c>
      <c r="AB2141" s="65">
        <f>IF(tblWorkPackages[[#This Row],[Completion date serial]]&gt;tblWorkPackages[[#This Row],[Due date serial]],1,0)</f>
        <v>0</v>
      </c>
      <c r="AC2141" s="65">
        <f>MAX(0,tblWorkPackages[[#This Row],[Completion date serial]]-tblWorkPackages[[#This Row],[Due date serial]])</f>
        <v>0</v>
      </c>
      <c r="AD2141" s="65">
        <f>tblWorkPackages[[#This Row],[First labor date]]-tblWorkPackages[[#This Row],[Request date serial]]</f>
        <v>8</v>
      </c>
      <c r="AE2141" s="65">
        <f>tblWorkPackages[[#This Row],[Last labor date]]-tblWorkPackages[[#This Row],[First labor date]]</f>
        <v>0</v>
      </c>
      <c r="AF2141" s="65">
        <f>tblWorkPackages[[#This Row],[Completion date serial]]-tblWorkPackages[[#This Row],[Last labor date]]</f>
        <v>3</v>
      </c>
      <c r="AG2141" s="65">
        <f>tblWorkPackages[[#This Row],[Completion date serial]]-tblWorkPackages[[#This Row],[Request date serial]]</f>
        <v>11</v>
      </c>
      <c r="AH2141" s="65">
        <f>IFERROR(INDEX(tblParts[Delay days],MATCH(tblWorkPackages[[#This Row],[Work package ID]],tblParts[Work package ID],0)),0)</f>
        <v>0</v>
      </c>
      <c r="AI2141" s="51" t="str">
        <f>IFERROR(INDEX(tblDisruptions[Event type],MATCH(tblWorkPackages[[#This Row],[Work package ID]],tblDisruptions[Work package ID],0)),"None")</f>
        <v>None</v>
      </c>
      <c r="AJ2141" s="51" t="str">
        <f>TEXT(tblWorkPackages[[#This Row],[Due date serial]],"yyyy-mm")</f>
        <v>2024-04</v>
      </c>
    </row>
    <row r="2142" spans="1:36" ht="15" x14ac:dyDescent="0.25">
      <c r="A2142" s="53" t="s">
        <v>3056</v>
      </c>
      <c r="B2142" s="53" t="s">
        <v>133</v>
      </c>
      <c r="C2142" s="53" t="s">
        <v>517</v>
      </c>
      <c r="D2142" s="53" t="s">
        <v>1560</v>
      </c>
      <c r="E2142" s="53" t="s">
        <v>200</v>
      </c>
      <c r="F2142" s="53" t="s">
        <v>128</v>
      </c>
      <c r="G2142" s="53" t="s">
        <v>129</v>
      </c>
      <c r="H2142" s="53">
        <v>1</v>
      </c>
      <c r="I2142" s="53" t="s">
        <v>130</v>
      </c>
      <c r="J2142" s="53">
        <v>1</v>
      </c>
      <c r="K2142" s="53">
        <v>1</v>
      </c>
      <c r="L2142" s="53">
        <v>2.1</v>
      </c>
      <c r="M2142" s="53" t="s">
        <v>364</v>
      </c>
      <c r="N2142" s="53">
        <v>3.3</v>
      </c>
      <c r="O2142" s="51" t="str">
        <f>TEXT(tblWorkPackages[[#This Row],[Request date serial]]-WEEKDAY(tblWorkPackages[[#This Row],[Request date serial]],3),"yyyy-mm-dd")</f>
        <v>2025-05-05</v>
      </c>
      <c r="P2142" s="51">
        <f>ABS(tblWorkPackages[[#This Row],[Actual labor hours]]-tblWorkPackages[[#This Row],[Estimated labor hours]])</f>
        <v>1.2</v>
      </c>
      <c r="Q2142" s="51">
        <f>IF(tblWorkPackages[[#This Row],[Actual labor hours]]&gt;tblWorkPackages[[#This Row],[Estimated labor hours]],1,0)</f>
        <v>1</v>
      </c>
      <c r="R2142" s="51">
        <f>tblWorkPackages[[#This Row],[Actual labor hours]]-tblWorkPackages[[#This Row],[Estimated labor hours]]</f>
        <v>1.2</v>
      </c>
      <c r="S2142" s="51" t="str">
        <f>IF(tblWorkPackages[[#This Row],[Request date serial]]&lt;ValidationStart,"Train 2024",IF(tblWorkPackages[[#This Row],[Request date serial]]&lt;HoldoutStart,"Validation H1","Holdout H2"))</f>
        <v>Validation H1</v>
      </c>
      <c r="T2142" s="51">
        <f>IF(tblWorkPackages[[#This Row],[Time split]]="Train 2024","",tblWorkPackages[[#This Row],[Estimated labor hours]]+VLOOKUP(tblWorkPackages[[#This Row],[Task type]],'Forecast validation'!$A$14:$E$25,IF(tblWorkPackages[[#This Row],[Time split]]="Validation H1",4,5),FALSE()))</f>
        <v>2.43069306930693</v>
      </c>
      <c r="U2142" s="51">
        <f>IF(tblWorkPackages[[#This Row],[Calibrated forecast hours]]="","",ABS(tblWorkPackages[[#This Row],[Actual labor hours]]-tblWorkPackages[[#This Row],[Calibrated forecast hours]]))</f>
        <v>0.869306930693069</v>
      </c>
      <c r="V2142" s="51">
        <f>IF(tblWorkPackages[[#This Row],[Time split]]="Train 2024",tblWorkPackages[[#This Row],[Estimated labor hours]],tblWorkPackages[[#This Row],[Calibrated forecast hours]])</f>
        <v>2.43069306930693</v>
      </c>
      <c r="W2142" s="64">
        <f>DATEVALUE(tblWorkPackages[[#This Row],[Request date]])</f>
        <v>45788.0</v>
      </c>
      <c r="X2142" s="64">
        <f>DATEVALUE(tblWorkPackages[[#This Row],[Due date]])</f>
        <v>45801.0</v>
      </c>
      <c r="Y2142" s="64">
        <f>DATEVALUE(tblWorkPackages[[#This Row],[Completion date]])</f>
        <v>45790.0</v>
      </c>
      <c r="Z2142" s="64">
        <f>_xlfn.MINIFS(tblLaborEntries[Work date serial],tblLaborEntries[Work package ID],tblWorkPackages[[#This Row],[Work package ID]])</f>
        <v>45790.0</v>
      </c>
      <c r="AA2142" s="64">
        <f>_xlfn.MAXIFS(tblLaborEntries[Work date serial],tblLaborEntries[Work package ID],tblWorkPackages[[#This Row],[Work package ID]])</f>
        <v>45790.0</v>
      </c>
      <c r="AB2142" s="65">
        <f>IF(tblWorkPackages[[#This Row],[Completion date serial]]&gt;tblWorkPackages[[#This Row],[Due date serial]],1,0)</f>
        <v>0</v>
      </c>
      <c r="AC2142" s="65">
        <f>MAX(0,tblWorkPackages[[#This Row],[Completion date serial]]-tblWorkPackages[[#This Row],[Due date serial]])</f>
        <v>0</v>
      </c>
      <c r="AD2142" s="65">
        <f>tblWorkPackages[[#This Row],[First labor date]]-tblWorkPackages[[#This Row],[Request date serial]]</f>
        <v>2</v>
      </c>
      <c r="AE2142" s="65">
        <f>tblWorkPackages[[#This Row],[Last labor date]]-tblWorkPackages[[#This Row],[First labor date]]</f>
        <v>0</v>
      </c>
      <c r="AF2142" s="65">
        <f>tblWorkPackages[[#This Row],[Completion date serial]]-tblWorkPackages[[#This Row],[Last labor date]]</f>
        <v>0</v>
      </c>
      <c r="AG2142" s="65">
        <f>tblWorkPackages[[#This Row],[Completion date serial]]-tblWorkPackages[[#This Row],[Request date serial]]</f>
        <v>2</v>
      </c>
      <c r="AH2142" s="65">
        <f>IFERROR(INDEX(tblParts[Delay days],MATCH(tblWorkPackages[[#This Row],[Work package ID]],tblParts[Work package ID],0)),0)</f>
        <v>0</v>
      </c>
      <c r="AI2142" s="51" t="str">
        <f>IFERROR(INDEX(tblDisruptions[Event type],MATCH(tblWorkPackages[[#This Row],[Work package ID]],tblDisruptions[Work package ID],0)),"None")</f>
        <v>None</v>
      </c>
      <c r="AJ2142" s="51" t="str">
        <f>TEXT(tblWorkPackages[[#This Row],[Due date serial]],"yyyy-mm")</f>
        <v>2025-05</v>
      </c>
    </row>
    <row r="2143" spans="1:36" ht="15" x14ac:dyDescent="0.25">
      <c r="A2143" s="53" t="s">
        <v>3057</v>
      </c>
      <c r="B2143" s="53" t="s">
        <v>287</v>
      </c>
      <c r="C2143" s="53" t="s">
        <v>334</v>
      </c>
      <c r="D2143" s="53" t="s">
        <v>1400</v>
      </c>
      <c r="E2143" s="53" t="s">
        <v>242</v>
      </c>
      <c r="F2143" s="53" t="s">
        <v>243</v>
      </c>
      <c r="G2143" s="53" t="s">
        <v>129</v>
      </c>
      <c r="H2143" s="53">
        <v>4</v>
      </c>
      <c r="I2143" s="53" t="s">
        <v>176</v>
      </c>
      <c r="J2143" s="53">
        <v>0</v>
      </c>
      <c r="K2143" s="53">
        <v>0</v>
      </c>
      <c r="L2143" s="53">
        <v>14.4</v>
      </c>
      <c r="M2143" s="53" t="s">
        <v>914</v>
      </c>
      <c r="N2143" s="53">
        <v>16.100000000000001</v>
      </c>
      <c r="O2143" s="51" t="str">
        <f>TEXT(tblWorkPackages[[#This Row],[Request date serial]]-WEEKDAY(tblWorkPackages[[#This Row],[Request date serial]],3),"yyyy-mm-dd")</f>
        <v>2025-11-24</v>
      </c>
      <c r="P2143" s="51">
        <f>ABS(tblWorkPackages[[#This Row],[Actual labor hours]]-tblWorkPackages[[#This Row],[Estimated labor hours]])</f>
        <v>1.7</v>
      </c>
      <c r="Q2143" s="51">
        <f>IF(tblWorkPackages[[#This Row],[Actual labor hours]]&gt;tblWorkPackages[[#This Row],[Estimated labor hours]],1,0)</f>
        <v>1</v>
      </c>
      <c r="R2143" s="51">
        <f>tblWorkPackages[[#This Row],[Actual labor hours]]-tblWorkPackages[[#This Row],[Estimated labor hours]]</f>
        <v>1.7</v>
      </c>
      <c r="S2143" s="51" t="str">
        <f>IF(tblWorkPackages[[#This Row],[Request date serial]]&lt;ValidationStart,"Train 2024",IF(tblWorkPackages[[#This Row],[Request date serial]]&lt;HoldoutStart,"Validation H1","Holdout H2"))</f>
        <v>Holdout H2</v>
      </c>
      <c r="T2143" s="51">
        <f>IF(tblWorkPackages[[#This Row],[Time split]]="Train 2024","",tblWorkPackages[[#This Row],[Estimated labor hours]]+VLOOKUP(tblWorkPackages[[#This Row],[Task type]],'Forecast validation'!$A$14:$E$25,IF(tblWorkPackages[[#This Row],[Time split]]="Validation H1",4,5),FALSE()))</f>
        <v>15.2254545454545</v>
      </c>
      <c r="U2143" s="51">
        <f>IF(tblWorkPackages[[#This Row],[Calibrated forecast hours]]="","",ABS(tblWorkPackages[[#This Row],[Actual labor hours]]-tblWorkPackages[[#This Row],[Calibrated forecast hours]]))</f>
        <v>0.874545454545455</v>
      </c>
      <c r="V2143" s="51">
        <f>IF(tblWorkPackages[[#This Row],[Time split]]="Train 2024",tblWorkPackages[[#This Row],[Estimated labor hours]],tblWorkPackages[[#This Row],[Calibrated forecast hours]])</f>
        <v>15.2254545454545</v>
      </c>
      <c r="W2143" s="64">
        <f>DATEVALUE(tblWorkPackages[[#This Row],[Request date]])</f>
        <v>45990.0</v>
      </c>
      <c r="X2143" s="64">
        <f>DATEVALUE(tblWorkPackages[[#This Row],[Due date]])</f>
        <v>45996.0</v>
      </c>
      <c r="Y2143" s="64">
        <f>DATEVALUE(tblWorkPackages[[#This Row],[Completion date]])</f>
        <v>46013.0</v>
      </c>
      <c r="Z2143" s="64">
        <f>_xlfn.MINIFS(tblLaborEntries[Work date serial],tblLaborEntries[Work package ID],tblWorkPackages[[#This Row],[Work package ID]])</f>
        <v>46010.0</v>
      </c>
      <c r="AA2143" s="64">
        <f>_xlfn.MAXIFS(tblLaborEntries[Work date serial],tblLaborEntries[Work package ID],tblWorkPackages[[#This Row],[Work package ID]])</f>
        <v>46012.0</v>
      </c>
      <c r="AB2143" s="65">
        <f>IF(tblWorkPackages[[#This Row],[Completion date serial]]&gt;tblWorkPackages[[#This Row],[Due date serial]],1,0)</f>
        <v>1</v>
      </c>
      <c r="AC2143" s="65">
        <f>MAX(0,tblWorkPackages[[#This Row],[Completion date serial]]-tblWorkPackages[[#This Row],[Due date serial]])</f>
        <v>17</v>
      </c>
      <c r="AD2143" s="65">
        <f>tblWorkPackages[[#This Row],[First labor date]]-tblWorkPackages[[#This Row],[Request date serial]]</f>
        <v>20</v>
      </c>
      <c r="AE2143" s="65">
        <f>tblWorkPackages[[#This Row],[Last labor date]]-tblWorkPackages[[#This Row],[First labor date]]</f>
        <v>2</v>
      </c>
      <c r="AF2143" s="65">
        <f>tblWorkPackages[[#This Row],[Completion date serial]]-tblWorkPackages[[#This Row],[Last labor date]]</f>
        <v>1</v>
      </c>
      <c r="AG2143" s="65">
        <f>tblWorkPackages[[#This Row],[Completion date serial]]-tblWorkPackages[[#This Row],[Request date serial]]</f>
        <v>23</v>
      </c>
      <c r="AH2143" s="65">
        <f>IFERROR(INDEX(tblParts[Delay days],MATCH(tblWorkPackages[[#This Row],[Work package ID]],tblParts[Work package ID],0)),0)</f>
        <v>0</v>
      </c>
      <c r="AI2143" s="51" t="str">
        <f>IFERROR(INDEX(tblDisruptions[Event type],MATCH(tblWorkPackages[[#This Row],[Work package ID]],tblDisruptions[Work package ID],0)),"None")</f>
        <v>None</v>
      </c>
      <c r="AJ2143" s="51" t="str">
        <f>TEXT(tblWorkPackages[[#This Row],[Due date serial]],"yyyy-mm")</f>
        <v>2025-12</v>
      </c>
    </row>
    <row r="2144" spans="1:36" ht="15" x14ac:dyDescent="0.25">
      <c r="A2144" s="53" t="s">
        <v>3058</v>
      </c>
      <c r="B2144" s="53" t="s">
        <v>185</v>
      </c>
      <c r="C2144" s="53" t="s">
        <v>211</v>
      </c>
      <c r="D2144" s="53" t="s">
        <v>522</v>
      </c>
      <c r="E2144" s="53" t="s">
        <v>237</v>
      </c>
      <c r="F2144" s="53" t="s">
        <v>182</v>
      </c>
      <c r="G2144" s="53" t="s">
        <v>138</v>
      </c>
      <c r="H2144" s="53">
        <v>3</v>
      </c>
      <c r="I2144" s="53" t="s">
        <v>130</v>
      </c>
      <c r="J2144" s="53">
        <v>0</v>
      </c>
      <c r="K2144" s="53">
        <v>0</v>
      </c>
      <c r="L2144" s="53">
        <v>7.1</v>
      </c>
      <c r="M2144" s="53" t="s">
        <v>1361</v>
      </c>
      <c r="N2144" s="53">
        <v>8.1999999999999993</v>
      </c>
      <c r="O2144" s="51" t="str">
        <f>TEXT(tblWorkPackages[[#This Row],[Request date serial]]-WEEKDAY(tblWorkPackages[[#This Row],[Request date serial]],3),"yyyy-mm-dd")</f>
        <v>2025-08-11</v>
      </c>
      <c r="P2144" s="51">
        <f>ABS(tblWorkPackages[[#This Row],[Actual labor hours]]-tblWorkPackages[[#This Row],[Estimated labor hours]])</f>
        <v>1.1</v>
      </c>
      <c r="Q2144" s="51">
        <f>IF(tblWorkPackages[[#This Row],[Actual labor hours]]&gt;tblWorkPackages[[#This Row],[Estimated labor hours]],1,0)</f>
        <v>1</v>
      </c>
      <c r="R2144" s="51">
        <f>tblWorkPackages[[#This Row],[Actual labor hours]]-tblWorkPackages[[#This Row],[Estimated labor hours]]</f>
        <v>1.1</v>
      </c>
      <c r="S2144" s="51" t="str">
        <f>IF(tblWorkPackages[[#This Row],[Request date serial]]&lt;ValidationStart,"Train 2024",IF(tblWorkPackages[[#This Row],[Request date serial]]&lt;HoldoutStart,"Validation H1","Holdout H2"))</f>
        <v>Holdout H2</v>
      </c>
      <c r="T2144" s="51">
        <f>IF(tblWorkPackages[[#This Row],[Time split]]="Train 2024","",tblWorkPackages[[#This Row],[Estimated labor hours]]+VLOOKUP(tblWorkPackages[[#This Row],[Task type]],'Forecast validation'!$A$14:$E$25,IF(tblWorkPackages[[#This Row],[Time split]]="Validation H1",4,5),FALSE()))</f>
        <v>7.553125</v>
      </c>
      <c r="U2144" s="51">
        <f>IF(tblWorkPackages[[#This Row],[Calibrated forecast hours]]="","",ABS(tblWorkPackages[[#This Row],[Actual labor hours]]-tblWorkPackages[[#This Row],[Calibrated forecast hours]]))</f>
        <v>0.646875</v>
      </c>
      <c r="V2144" s="51">
        <f>IF(tblWorkPackages[[#This Row],[Time split]]="Train 2024",tblWorkPackages[[#This Row],[Estimated labor hours]],tblWorkPackages[[#This Row],[Calibrated forecast hours]])</f>
        <v>7.553125</v>
      </c>
      <c r="W2144" s="64">
        <f>DATEVALUE(tblWorkPackages[[#This Row],[Request date]])</f>
        <v>45882.0</v>
      </c>
      <c r="X2144" s="64">
        <f>DATEVALUE(tblWorkPackages[[#This Row],[Due date]])</f>
        <v>45895.0</v>
      </c>
      <c r="Y2144" s="64">
        <f>DATEVALUE(tblWorkPackages[[#This Row],[Completion date]])</f>
        <v>45889.0</v>
      </c>
      <c r="Z2144" s="64">
        <f>_xlfn.MINIFS(tblLaborEntries[Work date serial],tblLaborEntries[Work package ID],tblWorkPackages[[#This Row],[Work package ID]])</f>
        <v>45886.0</v>
      </c>
      <c r="AA2144" s="64">
        <f>_xlfn.MAXIFS(tblLaborEntries[Work date serial],tblLaborEntries[Work package ID],tblWorkPackages[[#This Row],[Work package ID]])</f>
        <v>45887.0</v>
      </c>
      <c r="AB2144" s="65">
        <f>IF(tblWorkPackages[[#This Row],[Completion date serial]]&gt;tblWorkPackages[[#This Row],[Due date serial]],1,0)</f>
        <v>0</v>
      </c>
      <c r="AC2144" s="65">
        <f>MAX(0,tblWorkPackages[[#This Row],[Completion date serial]]-tblWorkPackages[[#This Row],[Due date serial]])</f>
        <v>0</v>
      </c>
      <c r="AD2144" s="65">
        <f>tblWorkPackages[[#This Row],[First labor date]]-tblWorkPackages[[#This Row],[Request date serial]]</f>
        <v>4</v>
      </c>
      <c r="AE2144" s="65">
        <f>tblWorkPackages[[#This Row],[Last labor date]]-tblWorkPackages[[#This Row],[First labor date]]</f>
        <v>1</v>
      </c>
      <c r="AF2144" s="65">
        <f>tblWorkPackages[[#This Row],[Completion date serial]]-tblWorkPackages[[#This Row],[Last labor date]]</f>
        <v>2</v>
      </c>
      <c r="AG2144" s="65">
        <f>tblWorkPackages[[#This Row],[Completion date serial]]-tblWorkPackages[[#This Row],[Request date serial]]</f>
        <v>7</v>
      </c>
      <c r="AH2144" s="65">
        <f>IFERROR(INDEX(tblParts[Delay days],MATCH(tblWorkPackages[[#This Row],[Work package ID]],tblParts[Work package ID],0)),0)</f>
        <v>0</v>
      </c>
      <c r="AI2144" s="51" t="str">
        <f>IFERROR(INDEX(tblDisruptions[Event type],MATCH(tblWorkPackages[[#This Row],[Work package ID]],tblDisruptions[Work package ID],0)),"None")</f>
        <v>None</v>
      </c>
      <c r="AJ2144" s="51" t="str">
        <f>TEXT(tblWorkPackages[[#This Row],[Due date serial]],"yyyy-mm")</f>
        <v>2025-08</v>
      </c>
    </row>
    <row r="2145" spans="1:36" ht="15" x14ac:dyDescent="0.25">
      <c r="A2145" s="53" t="s">
        <v>3059</v>
      </c>
      <c r="B2145" s="53" t="s">
        <v>250</v>
      </c>
      <c r="C2145" s="53" t="s">
        <v>765</v>
      </c>
      <c r="D2145" s="53" t="s">
        <v>358</v>
      </c>
      <c r="E2145" s="53" t="s">
        <v>237</v>
      </c>
      <c r="F2145" s="53" t="s">
        <v>182</v>
      </c>
      <c r="G2145" s="53" t="s">
        <v>138</v>
      </c>
      <c r="H2145" s="53">
        <v>2</v>
      </c>
      <c r="I2145" s="53" t="s">
        <v>176</v>
      </c>
      <c r="J2145" s="53">
        <v>0</v>
      </c>
      <c r="K2145" s="53">
        <v>0</v>
      </c>
      <c r="L2145" s="53">
        <v>4.9000000000000004</v>
      </c>
      <c r="M2145" s="53" t="s">
        <v>358</v>
      </c>
      <c r="N2145" s="53">
        <v>5.2</v>
      </c>
      <c r="O2145" s="51" t="str">
        <f>TEXT(tblWorkPackages[[#This Row],[Request date serial]]-WEEKDAY(tblWorkPackages[[#This Row],[Request date serial]],3),"yyyy-mm-dd")</f>
        <v>2025-12-29</v>
      </c>
      <c r="P2145" s="51">
        <f>ABS(tblWorkPackages[[#This Row],[Actual labor hours]]-tblWorkPackages[[#This Row],[Estimated labor hours]])</f>
        <v>0.3</v>
      </c>
      <c r="Q2145" s="51">
        <f>IF(tblWorkPackages[[#This Row],[Actual labor hours]]&gt;tblWorkPackages[[#This Row],[Estimated labor hours]],1,0)</f>
        <v>1</v>
      </c>
      <c r="R2145" s="51">
        <f>tblWorkPackages[[#This Row],[Actual labor hours]]-tblWorkPackages[[#This Row],[Estimated labor hours]]</f>
        <v>0.3</v>
      </c>
      <c r="S2145" s="51" t="str">
        <f>IF(tblWorkPackages[[#This Row],[Request date serial]]&lt;ValidationStart,"Train 2024",IF(tblWorkPackages[[#This Row],[Request date serial]]&lt;HoldoutStart,"Validation H1","Holdout H2"))</f>
        <v>Holdout H2</v>
      </c>
      <c r="T2145" s="51">
        <f>IF(tblWorkPackages[[#This Row],[Time split]]="Train 2024","",tblWorkPackages[[#This Row],[Estimated labor hours]]+VLOOKUP(tblWorkPackages[[#This Row],[Task type]],'Forecast validation'!$A$14:$E$25,IF(tblWorkPackages[[#This Row],[Time split]]="Validation H1",4,5),FALSE()))</f>
        <v>5.353125</v>
      </c>
      <c r="U2145" s="51">
        <f>IF(tblWorkPackages[[#This Row],[Calibrated forecast hours]]="","",ABS(tblWorkPackages[[#This Row],[Actual labor hours]]-tblWorkPackages[[#This Row],[Calibrated forecast hours]]))</f>
        <v>0.153125</v>
      </c>
      <c r="V2145" s="51">
        <f>IF(tblWorkPackages[[#This Row],[Time split]]="Train 2024",tblWorkPackages[[#This Row],[Estimated labor hours]],tblWorkPackages[[#This Row],[Calibrated forecast hours]])</f>
        <v>5.353125</v>
      </c>
      <c r="W2145" s="64">
        <f>DATEVALUE(tblWorkPackages[[#This Row],[Request date]])</f>
        <v>46020.0</v>
      </c>
      <c r="X2145" s="64">
        <f>DATEVALUE(tblWorkPackages[[#This Row],[Due date]])</f>
        <v>46026.0</v>
      </c>
      <c r="Y2145" s="64">
        <f>DATEVALUE(tblWorkPackages[[#This Row],[Completion date]])</f>
        <v>46026.0</v>
      </c>
      <c r="Z2145" s="64">
        <f>_xlfn.MINIFS(tblLaborEntries[Work date serial],tblLaborEntries[Work package ID],tblWorkPackages[[#This Row],[Work package ID]])</f>
        <v>46021.0</v>
      </c>
      <c r="AA2145" s="64">
        <f>_xlfn.MAXIFS(tblLaborEntries[Work date serial],tblLaborEntries[Work package ID],tblWorkPackages[[#This Row],[Work package ID]])</f>
        <v>46023.0</v>
      </c>
      <c r="AB2145" s="65">
        <f>IF(tblWorkPackages[[#This Row],[Completion date serial]]&gt;tblWorkPackages[[#This Row],[Due date serial]],1,0)</f>
        <v>0</v>
      </c>
      <c r="AC2145" s="65">
        <f>MAX(0,tblWorkPackages[[#This Row],[Completion date serial]]-tblWorkPackages[[#This Row],[Due date serial]])</f>
        <v>0</v>
      </c>
      <c r="AD2145" s="65">
        <f>tblWorkPackages[[#This Row],[First labor date]]-tblWorkPackages[[#This Row],[Request date serial]]</f>
        <v>1</v>
      </c>
      <c r="AE2145" s="65">
        <f>tblWorkPackages[[#This Row],[Last labor date]]-tblWorkPackages[[#This Row],[First labor date]]</f>
        <v>2</v>
      </c>
      <c r="AF2145" s="65">
        <f>tblWorkPackages[[#This Row],[Completion date serial]]-tblWorkPackages[[#This Row],[Last labor date]]</f>
        <v>3</v>
      </c>
      <c r="AG2145" s="65">
        <f>tblWorkPackages[[#This Row],[Completion date serial]]-tblWorkPackages[[#This Row],[Request date serial]]</f>
        <v>6</v>
      </c>
      <c r="AH2145" s="65">
        <f>IFERROR(INDEX(tblParts[Delay days],MATCH(tblWorkPackages[[#This Row],[Work package ID]],tblParts[Work package ID],0)),0)</f>
        <v>0</v>
      </c>
      <c r="AI2145" s="51" t="str">
        <f>IFERROR(INDEX(tblDisruptions[Event type],MATCH(tblWorkPackages[[#This Row],[Work package ID]],tblDisruptions[Work package ID],0)),"None")</f>
        <v>None</v>
      </c>
      <c r="AJ2145" s="51" t="str">
        <f>TEXT(tblWorkPackages[[#This Row],[Due date serial]],"yyyy-mm")</f>
        <v>2026-01</v>
      </c>
    </row>
    <row r="2146" spans="1:36" ht="15" x14ac:dyDescent="0.25">
      <c r="A2146" s="53" t="s">
        <v>3060</v>
      </c>
      <c r="B2146" s="53" t="s">
        <v>250</v>
      </c>
      <c r="C2146" s="53" t="s">
        <v>1230</v>
      </c>
      <c r="D2146" s="53" t="s">
        <v>515</v>
      </c>
      <c r="E2146" s="53" t="s">
        <v>272</v>
      </c>
      <c r="F2146" s="53" t="s">
        <v>145</v>
      </c>
      <c r="G2146" s="53" t="s">
        <v>273</v>
      </c>
      <c r="H2146" s="53">
        <v>3</v>
      </c>
      <c r="I2146" s="53" t="s">
        <v>176</v>
      </c>
      <c r="J2146" s="53">
        <v>1</v>
      </c>
      <c r="K2146" s="53">
        <v>1</v>
      </c>
      <c r="L2146" s="53">
        <v>13.8</v>
      </c>
      <c r="M2146" s="53" t="s">
        <v>891</v>
      </c>
      <c r="N2146" s="53">
        <v>13.2</v>
      </c>
      <c r="O2146" s="51" t="str">
        <f>TEXT(tblWorkPackages[[#This Row],[Request date serial]]-WEEKDAY(tblWorkPackages[[#This Row],[Request date serial]],3),"yyyy-mm-dd")</f>
        <v>2024-11-18</v>
      </c>
      <c r="P2146" s="51">
        <f>ABS(tblWorkPackages[[#This Row],[Actual labor hours]]-tblWorkPackages[[#This Row],[Estimated labor hours]])</f>
        <v>0.600000000000001</v>
      </c>
      <c r="Q2146" s="51">
        <f>IF(tblWorkPackages[[#This Row],[Actual labor hours]]&gt;tblWorkPackages[[#This Row],[Estimated labor hours]],1,0)</f>
        <v>0</v>
      </c>
      <c r="R2146" s="51">
        <f>tblWorkPackages[[#This Row],[Actual labor hours]]-tblWorkPackages[[#This Row],[Estimated labor hours]]</f>
        <v>-0.600000000000001</v>
      </c>
      <c r="S2146" s="51" t="str">
        <f>IF(tblWorkPackages[[#This Row],[Request date serial]]&lt;ValidationStart,"Train 2024",IF(tblWorkPackages[[#This Row],[Request date serial]]&lt;HoldoutStart,"Validation H1","Holdout H2"))</f>
        <v>Train 2024</v>
      </c>
      <c r="T2146" s="51" t="str">
        <f>IF(tblWorkPackages[[#This Row],[Time split]]="Train 2024","",tblWorkPackages[[#This Row],[Estimated labor hours]]+VLOOKUP(tblWorkPackages[[#This Row],[Task type]],'Forecast validation'!$A$14:$E$25,IF(tblWorkPackages[[#This Row],[Time split]]="Validation H1",4,5),FALSE()))</f>
        <v/>
      </c>
      <c r="U2146" s="51" t="str">
        <f>IF(tblWorkPackages[[#This Row],[Calibrated forecast hours]]="","",ABS(tblWorkPackages[[#This Row],[Actual labor hours]]-tblWorkPackages[[#This Row],[Calibrated forecast hours]]))</f>
        <v/>
      </c>
      <c r="V2146" s="51">
        <f>IF(tblWorkPackages[[#This Row],[Time split]]="Train 2024",tblWorkPackages[[#This Row],[Estimated labor hours]],tblWorkPackages[[#This Row],[Calibrated forecast hours]])</f>
        <v>13.8</v>
      </c>
      <c r="W2146" s="64">
        <f>DATEVALUE(tblWorkPackages[[#This Row],[Request date]])</f>
        <v>45615.0</v>
      </c>
      <c r="X2146" s="64">
        <f>DATEVALUE(tblWorkPackages[[#This Row],[Due date]])</f>
        <v>45621.0</v>
      </c>
      <c r="Y2146" s="64">
        <f>DATEVALUE(tblWorkPackages[[#This Row],[Completion date]])</f>
        <v>45626.0</v>
      </c>
      <c r="Z2146" s="64">
        <f>_xlfn.MINIFS(tblLaborEntries[Work date serial],tblLaborEntries[Work package ID],tblWorkPackages[[#This Row],[Work package ID]])</f>
        <v>45626.0</v>
      </c>
      <c r="AA2146" s="64">
        <f>_xlfn.MAXIFS(tblLaborEntries[Work date serial],tblLaborEntries[Work package ID],tblWorkPackages[[#This Row],[Work package ID]])</f>
        <v>45626.0</v>
      </c>
      <c r="AB2146" s="65">
        <f>IF(tblWorkPackages[[#This Row],[Completion date serial]]&gt;tblWorkPackages[[#This Row],[Due date serial]],1,0)</f>
        <v>1</v>
      </c>
      <c r="AC2146" s="65">
        <f>MAX(0,tblWorkPackages[[#This Row],[Completion date serial]]-tblWorkPackages[[#This Row],[Due date serial]])</f>
        <v>5</v>
      </c>
      <c r="AD2146" s="65">
        <f>tblWorkPackages[[#This Row],[First labor date]]-tblWorkPackages[[#This Row],[Request date serial]]</f>
        <v>11</v>
      </c>
      <c r="AE2146" s="65">
        <f>tblWorkPackages[[#This Row],[Last labor date]]-tblWorkPackages[[#This Row],[First labor date]]</f>
        <v>0</v>
      </c>
      <c r="AF2146" s="65">
        <f>tblWorkPackages[[#This Row],[Completion date serial]]-tblWorkPackages[[#This Row],[Last labor date]]</f>
        <v>0</v>
      </c>
      <c r="AG2146" s="65">
        <f>tblWorkPackages[[#This Row],[Completion date serial]]-tblWorkPackages[[#This Row],[Request date serial]]</f>
        <v>11</v>
      </c>
      <c r="AH2146" s="65">
        <f>IFERROR(INDEX(tblParts[Delay days],MATCH(tblWorkPackages[[#This Row],[Work package ID]],tblParts[Work package ID],0)),0)</f>
        <v>0</v>
      </c>
      <c r="AI2146" s="51" t="str">
        <f>IFERROR(INDEX(tblDisruptions[Event type],MATCH(tblWorkPackages[[#This Row],[Work package ID]],tblDisruptions[Work package ID],0)),"None")</f>
        <v>None</v>
      </c>
      <c r="AJ2146" s="51" t="str">
        <f>TEXT(tblWorkPackages[[#This Row],[Due date serial]],"yyyy-mm")</f>
        <v>2024-11</v>
      </c>
    </row>
    <row r="2147" spans="1:36" ht="15" x14ac:dyDescent="0.25">
      <c r="A2147" s="53" t="s">
        <v>3061</v>
      </c>
      <c r="B2147" s="53" t="s">
        <v>133</v>
      </c>
      <c r="C2147" s="53" t="s">
        <v>3062</v>
      </c>
      <c r="D2147" s="53" t="s">
        <v>1667</v>
      </c>
      <c r="E2147" s="53" t="s">
        <v>127</v>
      </c>
      <c r="F2147" s="53" t="s">
        <v>128</v>
      </c>
      <c r="G2147" s="53" t="s">
        <v>129</v>
      </c>
      <c r="H2147" s="53">
        <v>3</v>
      </c>
      <c r="I2147" s="53" t="s">
        <v>176</v>
      </c>
      <c r="J2147" s="53">
        <v>0</v>
      </c>
      <c r="K2147" s="53">
        <v>0</v>
      </c>
      <c r="L2147" s="53">
        <v>9.3000000000000007</v>
      </c>
      <c r="M2147" s="53" t="s">
        <v>1236</v>
      </c>
      <c r="N2147" s="53">
        <v>10.1</v>
      </c>
      <c r="O2147" s="51" t="str">
        <f>TEXT(tblWorkPackages[[#This Row],[Request date serial]]-WEEKDAY(tblWorkPackages[[#This Row],[Request date serial]],3),"yyyy-mm-dd")</f>
        <v>2024-01-01</v>
      </c>
      <c r="P2147" s="51">
        <f>ABS(tblWorkPackages[[#This Row],[Actual labor hours]]-tblWorkPackages[[#This Row],[Estimated labor hours]])</f>
        <v>0.799999999999999</v>
      </c>
      <c r="Q2147" s="51">
        <f>IF(tblWorkPackages[[#This Row],[Actual labor hours]]&gt;tblWorkPackages[[#This Row],[Estimated labor hours]],1,0)</f>
        <v>1</v>
      </c>
      <c r="R2147" s="51">
        <f>tblWorkPackages[[#This Row],[Actual labor hours]]-tblWorkPackages[[#This Row],[Estimated labor hours]]</f>
        <v>0.799999999999999</v>
      </c>
      <c r="S2147" s="51" t="str">
        <f>IF(tblWorkPackages[[#This Row],[Request date serial]]&lt;ValidationStart,"Train 2024",IF(tblWorkPackages[[#This Row],[Request date serial]]&lt;HoldoutStart,"Validation H1","Holdout H2"))</f>
        <v>Train 2024</v>
      </c>
      <c r="T2147" s="51" t="str">
        <f>IF(tblWorkPackages[[#This Row],[Time split]]="Train 2024","",tblWorkPackages[[#This Row],[Estimated labor hours]]+VLOOKUP(tblWorkPackages[[#This Row],[Task type]],'Forecast validation'!$A$14:$E$25,IF(tblWorkPackages[[#This Row],[Time split]]="Validation H1",4,5),FALSE()))</f>
        <v/>
      </c>
      <c r="U2147" s="51" t="str">
        <f>IF(tblWorkPackages[[#This Row],[Calibrated forecast hours]]="","",ABS(tblWorkPackages[[#This Row],[Actual labor hours]]-tblWorkPackages[[#This Row],[Calibrated forecast hours]]))</f>
        <v/>
      </c>
      <c r="V2147" s="51">
        <f>IF(tblWorkPackages[[#This Row],[Time split]]="Train 2024",tblWorkPackages[[#This Row],[Estimated labor hours]],tblWorkPackages[[#This Row],[Calibrated forecast hours]])</f>
        <v>9.3</v>
      </c>
      <c r="W2147" s="64">
        <f>DATEVALUE(tblWorkPackages[[#This Row],[Request date]])</f>
        <v>45295.0</v>
      </c>
      <c r="X2147" s="64">
        <f>DATEVALUE(tblWorkPackages[[#This Row],[Due date]])</f>
        <v>45301.0</v>
      </c>
      <c r="Y2147" s="64">
        <f>DATEVALUE(tblWorkPackages[[#This Row],[Completion date]])</f>
        <v>45299.0</v>
      </c>
      <c r="Z2147" s="64">
        <f>_xlfn.MINIFS(tblLaborEntries[Work date serial],tblLaborEntries[Work package ID],tblWorkPackages[[#This Row],[Work package ID]])</f>
        <v>45298.0</v>
      </c>
      <c r="AA2147" s="64">
        <f>_xlfn.MAXIFS(tblLaborEntries[Work date serial],tblLaborEntries[Work package ID],tblWorkPackages[[#This Row],[Work package ID]])</f>
        <v>45298.0</v>
      </c>
      <c r="AB2147" s="65">
        <f>IF(tblWorkPackages[[#This Row],[Completion date serial]]&gt;tblWorkPackages[[#This Row],[Due date serial]],1,0)</f>
        <v>0</v>
      </c>
      <c r="AC2147" s="65">
        <f>MAX(0,tblWorkPackages[[#This Row],[Completion date serial]]-tblWorkPackages[[#This Row],[Due date serial]])</f>
        <v>0</v>
      </c>
      <c r="AD2147" s="65">
        <f>tblWorkPackages[[#This Row],[First labor date]]-tblWorkPackages[[#This Row],[Request date serial]]</f>
        <v>3</v>
      </c>
      <c r="AE2147" s="65">
        <f>tblWorkPackages[[#This Row],[Last labor date]]-tblWorkPackages[[#This Row],[First labor date]]</f>
        <v>0</v>
      </c>
      <c r="AF2147" s="65">
        <f>tblWorkPackages[[#This Row],[Completion date serial]]-tblWorkPackages[[#This Row],[Last labor date]]</f>
        <v>1</v>
      </c>
      <c r="AG2147" s="65">
        <f>tblWorkPackages[[#This Row],[Completion date serial]]-tblWorkPackages[[#This Row],[Request date serial]]</f>
        <v>4</v>
      </c>
      <c r="AH2147" s="65">
        <f>IFERROR(INDEX(tblParts[Delay days],MATCH(tblWorkPackages[[#This Row],[Work package ID]],tblParts[Work package ID],0)),0)</f>
        <v>0</v>
      </c>
      <c r="AI2147" s="51" t="str">
        <f>IFERROR(INDEX(tblDisruptions[Event type],MATCH(tblWorkPackages[[#This Row],[Work package ID]],tblDisruptions[Work package ID],0)),"None")</f>
        <v>None</v>
      </c>
      <c r="AJ2147" s="51" t="str">
        <f>TEXT(tblWorkPackages[[#This Row],[Due date serial]],"yyyy-mm")</f>
        <v>2024-01</v>
      </c>
    </row>
    <row r="2148" spans="1:36" ht="15" x14ac:dyDescent="0.25">
      <c r="A2148" s="53" t="s">
        <v>3063</v>
      </c>
      <c r="B2148" s="53" t="s">
        <v>124</v>
      </c>
      <c r="C2148" s="53" t="s">
        <v>1427</v>
      </c>
      <c r="D2148" s="53" t="s">
        <v>653</v>
      </c>
      <c r="E2148" s="53" t="s">
        <v>127</v>
      </c>
      <c r="F2148" s="53" t="s">
        <v>128</v>
      </c>
      <c r="G2148" s="53" t="s">
        <v>129</v>
      </c>
      <c r="H2148" s="53">
        <v>2</v>
      </c>
      <c r="I2148" s="53" t="s">
        <v>130</v>
      </c>
      <c r="J2148" s="53">
        <v>0</v>
      </c>
      <c r="K2148" s="53">
        <v>1</v>
      </c>
      <c r="L2148" s="53">
        <v>6.5</v>
      </c>
      <c r="M2148" s="53" t="s">
        <v>1162</v>
      </c>
      <c r="N2148" s="53">
        <v>8.1</v>
      </c>
      <c r="O2148" s="51" t="str">
        <f>TEXT(tblWorkPackages[[#This Row],[Request date serial]]-WEEKDAY(tblWorkPackages[[#This Row],[Request date serial]],3),"yyyy-mm-dd")</f>
        <v>2025-11-24</v>
      </c>
      <c r="P2148" s="51">
        <f>ABS(tblWorkPackages[[#This Row],[Actual labor hours]]-tblWorkPackages[[#This Row],[Estimated labor hours]])</f>
        <v>1.6</v>
      </c>
      <c r="Q2148" s="51">
        <f>IF(tblWorkPackages[[#This Row],[Actual labor hours]]&gt;tblWorkPackages[[#This Row],[Estimated labor hours]],1,0)</f>
        <v>1</v>
      </c>
      <c r="R2148" s="51">
        <f>tblWorkPackages[[#This Row],[Actual labor hours]]-tblWorkPackages[[#This Row],[Estimated labor hours]]</f>
        <v>1.6</v>
      </c>
      <c r="S2148" s="51" t="str">
        <f>IF(tblWorkPackages[[#This Row],[Request date serial]]&lt;ValidationStart,"Train 2024",IF(tblWorkPackages[[#This Row],[Request date serial]]&lt;HoldoutStart,"Validation H1","Holdout H2"))</f>
        <v>Holdout H2</v>
      </c>
      <c r="T2148" s="51">
        <f>IF(tblWorkPackages[[#This Row],[Time split]]="Train 2024","",tblWorkPackages[[#This Row],[Estimated labor hours]]+VLOOKUP(tblWorkPackages[[#This Row],[Task type]],'Forecast validation'!$A$14:$E$25,IF(tblWorkPackages[[#This Row],[Time split]]="Validation H1",4,5),FALSE()))</f>
        <v>7.04341085271318</v>
      </c>
      <c r="U2148" s="51">
        <f>IF(tblWorkPackages[[#This Row],[Calibrated forecast hours]]="","",ABS(tblWorkPackages[[#This Row],[Actual labor hours]]-tblWorkPackages[[#This Row],[Calibrated forecast hours]]))</f>
        <v>1.05658914728682</v>
      </c>
      <c r="V2148" s="51">
        <f>IF(tblWorkPackages[[#This Row],[Time split]]="Train 2024",tblWorkPackages[[#This Row],[Estimated labor hours]],tblWorkPackages[[#This Row],[Calibrated forecast hours]])</f>
        <v>7.04341085271318</v>
      </c>
      <c r="W2148" s="64">
        <f>DATEVALUE(tblWorkPackages[[#This Row],[Request date]])</f>
        <v>45987.0</v>
      </c>
      <c r="X2148" s="64">
        <f>DATEVALUE(tblWorkPackages[[#This Row],[Due date]])</f>
        <v>46000.0</v>
      </c>
      <c r="Y2148" s="64">
        <f>DATEVALUE(tblWorkPackages[[#This Row],[Completion date]])</f>
        <v>46023.0</v>
      </c>
      <c r="Z2148" s="64">
        <f>_xlfn.MINIFS(tblLaborEntries[Work date serial],tblLaborEntries[Work package ID],tblWorkPackages[[#This Row],[Work package ID]])</f>
        <v>46019.0</v>
      </c>
      <c r="AA2148" s="64">
        <f>_xlfn.MAXIFS(tblLaborEntries[Work date serial],tblLaborEntries[Work package ID],tblWorkPackages[[#This Row],[Work package ID]])</f>
        <v>46021.0</v>
      </c>
      <c r="AB2148" s="65">
        <f>IF(tblWorkPackages[[#This Row],[Completion date serial]]&gt;tblWorkPackages[[#This Row],[Due date serial]],1,0)</f>
        <v>1</v>
      </c>
      <c r="AC2148" s="65">
        <f>MAX(0,tblWorkPackages[[#This Row],[Completion date serial]]-tblWorkPackages[[#This Row],[Due date serial]])</f>
        <v>23</v>
      </c>
      <c r="AD2148" s="65">
        <f>tblWorkPackages[[#This Row],[First labor date]]-tblWorkPackages[[#This Row],[Request date serial]]</f>
        <v>32</v>
      </c>
      <c r="AE2148" s="65">
        <f>tblWorkPackages[[#This Row],[Last labor date]]-tblWorkPackages[[#This Row],[First labor date]]</f>
        <v>2</v>
      </c>
      <c r="AF2148" s="65">
        <f>tblWorkPackages[[#This Row],[Completion date serial]]-tblWorkPackages[[#This Row],[Last labor date]]</f>
        <v>2</v>
      </c>
      <c r="AG2148" s="65">
        <f>tblWorkPackages[[#This Row],[Completion date serial]]-tblWorkPackages[[#This Row],[Request date serial]]</f>
        <v>36</v>
      </c>
      <c r="AH2148" s="65">
        <f>IFERROR(INDEX(tblParts[Delay days],MATCH(tblWorkPackages[[#This Row],[Work package ID]],tblParts[Work package ID],0)),0)</f>
        <v>0</v>
      </c>
      <c r="AI2148" s="51" t="str">
        <f>IFERROR(INDEX(tblDisruptions[Event type],MATCH(tblWorkPackages[[#This Row],[Work package ID]],tblDisruptions[Work package ID],0)),"None")</f>
        <v>None</v>
      </c>
      <c r="AJ2148" s="51" t="str">
        <f>TEXT(tblWorkPackages[[#This Row],[Due date serial]],"yyyy-mm")</f>
        <v>2025-12</v>
      </c>
    </row>
    <row r="2149" spans="1:36" ht="15" x14ac:dyDescent="0.25">
      <c r="A2149" s="53" t="s">
        <v>3064</v>
      </c>
      <c r="B2149" s="53" t="s">
        <v>230</v>
      </c>
      <c r="C2149" s="53" t="s">
        <v>1118</v>
      </c>
      <c r="D2149" s="53" t="s">
        <v>673</v>
      </c>
      <c r="E2149" s="53" t="s">
        <v>209</v>
      </c>
      <c r="F2149" s="53" t="s">
        <v>145</v>
      </c>
      <c r="G2149" s="53" t="s">
        <v>210</v>
      </c>
      <c r="H2149" s="53">
        <v>1</v>
      </c>
      <c r="I2149" s="53" t="s">
        <v>176</v>
      </c>
      <c r="J2149" s="53">
        <v>0</v>
      </c>
      <c r="K2149" s="53">
        <v>0</v>
      </c>
      <c r="L2149" s="53">
        <v>15.4</v>
      </c>
      <c r="M2149" s="53" t="s">
        <v>201</v>
      </c>
      <c r="N2149" s="53">
        <v>17.5</v>
      </c>
      <c r="O2149" s="51" t="str">
        <f>TEXT(tblWorkPackages[[#This Row],[Request date serial]]-WEEKDAY(tblWorkPackages[[#This Row],[Request date serial]],3),"yyyy-mm-dd")</f>
        <v>2025-06-16</v>
      </c>
      <c r="P2149" s="51">
        <f>ABS(tblWorkPackages[[#This Row],[Actual labor hours]]-tblWorkPackages[[#This Row],[Estimated labor hours]])</f>
        <v>2.1</v>
      </c>
      <c r="Q2149" s="51">
        <f>IF(tblWorkPackages[[#This Row],[Actual labor hours]]&gt;tblWorkPackages[[#This Row],[Estimated labor hours]],1,0)</f>
        <v>1</v>
      </c>
      <c r="R2149" s="51">
        <f>tblWorkPackages[[#This Row],[Actual labor hours]]-tblWorkPackages[[#This Row],[Estimated labor hours]]</f>
        <v>2.1</v>
      </c>
      <c r="S2149" s="51" t="str">
        <f>IF(tblWorkPackages[[#This Row],[Request date serial]]&lt;ValidationStart,"Train 2024",IF(tblWorkPackages[[#This Row],[Request date serial]]&lt;HoldoutStart,"Validation H1","Holdout H2"))</f>
        <v>Validation H1</v>
      </c>
      <c r="T2149" s="51">
        <f>IF(tblWorkPackages[[#This Row],[Time split]]="Train 2024","",tblWorkPackages[[#This Row],[Estimated labor hours]]+VLOOKUP(tblWorkPackages[[#This Row],[Task type]],'Forecast validation'!$A$14:$E$25,IF(tblWorkPackages[[#This Row],[Time split]]="Validation H1",4,5),FALSE()))</f>
        <v>16.5029850746269</v>
      </c>
      <c r="U2149" s="51">
        <f>IF(tblWorkPackages[[#This Row],[Calibrated forecast hours]]="","",ABS(tblWorkPackages[[#This Row],[Actual labor hours]]-tblWorkPackages[[#This Row],[Calibrated forecast hours]]))</f>
        <v>0.997014925373133</v>
      </c>
      <c r="V2149" s="51">
        <f>IF(tblWorkPackages[[#This Row],[Time split]]="Train 2024",tblWorkPackages[[#This Row],[Estimated labor hours]],tblWorkPackages[[#This Row],[Calibrated forecast hours]])</f>
        <v>16.5029850746269</v>
      </c>
      <c r="W2149" s="64">
        <f>DATEVALUE(tblWorkPackages[[#This Row],[Request date]])</f>
        <v>45824.0</v>
      </c>
      <c r="X2149" s="64">
        <f>DATEVALUE(tblWorkPackages[[#This Row],[Due date]])</f>
        <v>45830.0</v>
      </c>
      <c r="Y2149" s="64">
        <f>DATEVALUE(tblWorkPackages[[#This Row],[Completion date]])</f>
        <v>45835.0</v>
      </c>
      <c r="Z2149" s="64">
        <f>_xlfn.MINIFS(tblLaborEntries[Work date serial],tblLaborEntries[Work package ID],tblWorkPackages[[#This Row],[Work package ID]])</f>
        <v>45830.0</v>
      </c>
      <c r="AA2149" s="64">
        <f>_xlfn.MAXIFS(tblLaborEntries[Work date serial],tblLaborEntries[Work package ID],tblWorkPackages[[#This Row],[Work package ID]])</f>
        <v>45832.0</v>
      </c>
      <c r="AB2149" s="65">
        <f>IF(tblWorkPackages[[#This Row],[Completion date serial]]&gt;tblWorkPackages[[#This Row],[Due date serial]],1,0)</f>
        <v>1</v>
      </c>
      <c r="AC2149" s="65">
        <f>MAX(0,tblWorkPackages[[#This Row],[Completion date serial]]-tblWorkPackages[[#This Row],[Due date serial]])</f>
        <v>5</v>
      </c>
      <c r="AD2149" s="65">
        <f>tblWorkPackages[[#This Row],[First labor date]]-tblWorkPackages[[#This Row],[Request date serial]]</f>
        <v>6</v>
      </c>
      <c r="AE2149" s="65">
        <f>tblWorkPackages[[#This Row],[Last labor date]]-tblWorkPackages[[#This Row],[First labor date]]</f>
        <v>2</v>
      </c>
      <c r="AF2149" s="65">
        <f>tblWorkPackages[[#This Row],[Completion date serial]]-tblWorkPackages[[#This Row],[Last labor date]]</f>
        <v>3</v>
      </c>
      <c r="AG2149" s="65">
        <f>tblWorkPackages[[#This Row],[Completion date serial]]-tblWorkPackages[[#This Row],[Request date serial]]</f>
        <v>11</v>
      </c>
      <c r="AH2149" s="65">
        <f>IFERROR(INDEX(tblParts[Delay days],MATCH(tblWorkPackages[[#This Row],[Work package ID]],tblParts[Work package ID],0)),0)</f>
        <v>0</v>
      </c>
      <c r="AI2149" s="51" t="str">
        <f>IFERROR(INDEX(tblDisruptions[Event type],MATCH(tblWorkPackages[[#This Row],[Work package ID]],tblDisruptions[Work package ID],0)),"None")</f>
        <v>None</v>
      </c>
      <c r="AJ2149" s="51" t="str">
        <f>TEXT(tblWorkPackages[[#This Row],[Due date serial]],"yyyy-mm")</f>
        <v>2025-06</v>
      </c>
    </row>
    <row r="2150" spans="1:36" ht="15" x14ac:dyDescent="0.25">
      <c r="A2150" s="53" t="s">
        <v>3065</v>
      </c>
      <c r="B2150" s="53" t="s">
        <v>185</v>
      </c>
      <c r="C2150" s="53" t="s">
        <v>1004</v>
      </c>
      <c r="D2150" s="53" t="s">
        <v>1087</v>
      </c>
      <c r="E2150" s="53" t="s">
        <v>160</v>
      </c>
      <c r="F2150" s="53" t="s">
        <v>128</v>
      </c>
      <c r="G2150" s="53" t="s">
        <v>138</v>
      </c>
      <c r="H2150" s="53">
        <v>4</v>
      </c>
      <c r="I2150" s="53" t="s">
        <v>147</v>
      </c>
      <c r="J2150" s="53">
        <v>0</v>
      </c>
      <c r="K2150" s="53">
        <v>0</v>
      </c>
      <c r="L2150" s="53">
        <v>9.8000000000000007</v>
      </c>
      <c r="M2150" s="53" t="s">
        <v>924</v>
      </c>
      <c r="N2150" s="53">
        <v>8.8000000000000007</v>
      </c>
      <c r="O2150" s="51" t="str">
        <f>TEXT(tblWorkPackages[[#This Row],[Request date serial]]-WEEKDAY(tblWorkPackages[[#This Row],[Request date serial]],3),"yyyy-mm-dd")</f>
        <v>2025-05-05</v>
      </c>
      <c r="P2150" s="51">
        <f>ABS(tblWorkPackages[[#This Row],[Actual labor hours]]-tblWorkPackages[[#This Row],[Estimated labor hours]])</f>
        <v>1</v>
      </c>
      <c r="Q2150" s="51">
        <f>IF(tblWorkPackages[[#This Row],[Actual labor hours]]&gt;tblWorkPackages[[#This Row],[Estimated labor hours]],1,0)</f>
        <v>0</v>
      </c>
      <c r="R2150" s="51">
        <f>tblWorkPackages[[#This Row],[Actual labor hours]]-tblWorkPackages[[#This Row],[Estimated labor hours]]</f>
        <v>-1</v>
      </c>
      <c r="S2150" s="51" t="str">
        <f>IF(tblWorkPackages[[#This Row],[Request date serial]]&lt;ValidationStart,"Train 2024",IF(tblWorkPackages[[#This Row],[Request date serial]]&lt;HoldoutStart,"Validation H1","Holdout H2"))</f>
        <v>Validation H1</v>
      </c>
      <c r="T2150" s="51">
        <f>IF(tblWorkPackages[[#This Row],[Time split]]="Train 2024","",tblWorkPackages[[#This Row],[Estimated labor hours]]+VLOOKUP(tblWorkPackages[[#This Row],[Task type]],'Forecast validation'!$A$14:$E$25,IF(tblWorkPackages[[#This Row],[Time split]]="Validation H1",4,5),FALSE()))</f>
        <v>10.2414634146341</v>
      </c>
      <c r="U2150" s="51">
        <f>IF(tblWorkPackages[[#This Row],[Calibrated forecast hours]]="","",ABS(tblWorkPackages[[#This Row],[Actual labor hours]]-tblWorkPackages[[#This Row],[Calibrated forecast hours]]))</f>
        <v>1.44146341463415</v>
      </c>
      <c r="V2150" s="51">
        <f>IF(tblWorkPackages[[#This Row],[Time split]]="Train 2024",tblWorkPackages[[#This Row],[Estimated labor hours]],tblWorkPackages[[#This Row],[Calibrated forecast hours]])</f>
        <v>10.2414634146341</v>
      </c>
      <c r="W2150" s="64">
        <f>DATEVALUE(tblWorkPackages[[#This Row],[Request date]])</f>
        <v>45785.0</v>
      </c>
      <c r="X2150" s="64">
        <f>DATEVALUE(tblWorkPackages[[#This Row],[Due date]])</f>
        <v>45787.0</v>
      </c>
      <c r="Y2150" s="64">
        <f>DATEVALUE(tblWorkPackages[[#This Row],[Completion date]])</f>
        <v>45789.0</v>
      </c>
      <c r="Z2150" s="64">
        <f>_xlfn.MINIFS(tblLaborEntries[Work date serial],tblLaborEntries[Work package ID],tblWorkPackages[[#This Row],[Work package ID]])</f>
        <v>45787.0</v>
      </c>
      <c r="AA2150" s="64">
        <f>_xlfn.MAXIFS(tblLaborEntries[Work date serial],tblLaborEntries[Work package ID],tblWorkPackages[[#This Row],[Work package ID]])</f>
        <v>45789.0</v>
      </c>
      <c r="AB2150" s="65">
        <f>IF(tblWorkPackages[[#This Row],[Completion date serial]]&gt;tblWorkPackages[[#This Row],[Due date serial]],1,0)</f>
        <v>1</v>
      </c>
      <c r="AC2150" s="65">
        <f>MAX(0,tblWorkPackages[[#This Row],[Completion date serial]]-tblWorkPackages[[#This Row],[Due date serial]])</f>
        <v>2</v>
      </c>
      <c r="AD2150" s="65">
        <f>tblWorkPackages[[#This Row],[First labor date]]-tblWorkPackages[[#This Row],[Request date serial]]</f>
        <v>2</v>
      </c>
      <c r="AE2150" s="65">
        <f>tblWorkPackages[[#This Row],[Last labor date]]-tblWorkPackages[[#This Row],[First labor date]]</f>
        <v>2</v>
      </c>
      <c r="AF2150" s="65">
        <f>tblWorkPackages[[#This Row],[Completion date serial]]-tblWorkPackages[[#This Row],[Last labor date]]</f>
        <v>0</v>
      </c>
      <c r="AG2150" s="65">
        <f>tblWorkPackages[[#This Row],[Completion date serial]]-tblWorkPackages[[#This Row],[Request date serial]]</f>
        <v>4</v>
      </c>
      <c r="AH2150" s="65">
        <f>IFERROR(INDEX(tblParts[Delay days],MATCH(tblWorkPackages[[#This Row],[Work package ID]],tblParts[Work package ID],0)),0)</f>
        <v>0</v>
      </c>
      <c r="AI2150" s="51" t="str">
        <f>IFERROR(INDEX(tblDisruptions[Event type],MATCH(tblWorkPackages[[#This Row],[Work package ID]],tblDisruptions[Work package ID],0)),"None")</f>
        <v>None</v>
      </c>
      <c r="AJ2150" s="51" t="str">
        <f>TEXT(tblWorkPackages[[#This Row],[Due date serial]],"yyyy-mm")</f>
        <v>2025-05</v>
      </c>
    </row>
    <row r="2151" spans="1:36" ht="15" x14ac:dyDescent="0.25">
      <c r="A2151" s="53" t="s">
        <v>3066</v>
      </c>
      <c r="B2151" s="53" t="s">
        <v>157</v>
      </c>
      <c r="C2151" s="53" t="s">
        <v>1095</v>
      </c>
      <c r="D2151" s="53" t="s">
        <v>839</v>
      </c>
      <c r="E2151" s="53" t="s">
        <v>223</v>
      </c>
      <c r="F2151" s="53" t="s">
        <v>182</v>
      </c>
      <c r="G2151" s="53" t="s">
        <v>154</v>
      </c>
      <c r="H2151" s="53">
        <v>4</v>
      </c>
      <c r="I2151" s="53" t="s">
        <v>147</v>
      </c>
      <c r="J2151" s="53">
        <v>0</v>
      </c>
      <c r="K2151" s="53">
        <v>0</v>
      </c>
      <c r="L2151" s="53">
        <v>22.3</v>
      </c>
      <c r="M2151" s="53" t="s">
        <v>328</v>
      </c>
      <c r="N2151" s="53">
        <v>28.4</v>
      </c>
      <c r="O2151" s="51" t="str">
        <f>TEXT(tblWorkPackages[[#This Row],[Request date serial]]-WEEKDAY(tblWorkPackages[[#This Row],[Request date serial]],3),"yyyy-mm-dd")</f>
        <v>2024-02-19</v>
      </c>
      <c r="P2151" s="51">
        <f>ABS(tblWorkPackages[[#This Row],[Actual labor hours]]-tblWorkPackages[[#This Row],[Estimated labor hours]])</f>
        <v>6.1</v>
      </c>
      <c r="Q2151" s="51">
        <f>IF(tblWorkPackages[[#This Row],[Actual labor hours]]&gt;tblWorkPackages[[#This Row],[Estimated labor hours]],1,0)</f>
        <v>1</v>
      </c>
      <c r="R2151" s="51">
        <f>tblWorkPackages[[#This Row],[Actual labor hours]]-tblWorkPackages[[#This Row],[Estimated labor hours]]</f>
        <v>6.1</v>
      </c>
      <c r="S2151" s="51" t="str">
        <f>IF(tblWorkPackages[[#This Row],[Request date serial]]&lt;ValidationStart,"Train 2024",IF(tblWorkPackages[[#This Row],[Request date serial]]&lt;HoldoutStart,"Validation H1","Holdout H2"))</f>
        <v>Train 2024</v>
      </c>
      <c r="T2151" s="51" t="str">
        <f>IF(tblWorkPackages[[#This Row],[Time split]]="Train 2024","",tblWorkPackages[[#This Row],[Estimated labor hours]]+VLOOKUP(tblWorkPackages[[#This Row],[Task type]],'Forecast validation'!$A$14:$E$25,IF(tblWorkPackages[[#This Row],[Time split]]="Validation H1",4,5),FALSE()))</f>
        <v/>
      </c>
      <c r="U2151" s="51" t="str">
        <f>IF(tblWorkPackages[[#This Row],[Calibrated forecast hours]]="","",ABS(tblWorkPackages[[#This Row],[Actual labor hours]]-tblWorkPackages[[#This Row],[Calibrated forecast hours]]))</f>
        <v/>
      </c>
      <c r="V2151" s="51">
        <f>IF(tblWorkPackages[[#This Row],[Time split]]="Train 2024",tblWorkPackages[[#This Row],[Estimated labor hours]],tblWorkPackages[[#This Row],[Calibrated forecast hours]])</f>
        <v>22.3</v>
      </c>
      <c r="W2151" s="64">
        <f>DATEVALUE(tblWorkPackages[[#This Row],[Request date]])</f>
        <v>45344.0</v>
      </c>
      <c r="X2151" s="64">
        <f>DATEVALUE(tblWorkPackages[[#This Row],[Due date]])</f>
        <v>45346.0</v>
      </c>
      <c r="Y2151" s="64">
        <f>DATEVALUE(tblWorkPackages[[#This Row],[Completion date]])</f>
        <v>45361.0</v>
      </c>
      <c r="Z2151" s="64">
        <f>_xlfn.MINIFS(tblLaborEntries[Work date serial],tblLaborEntries[Work package ID],tblWorkPackages[[#This Row],[Work package ID]])</f>
        <v>45359.0</v>
      </c>
      <c r="AA2151" s="64">
        <f>_xlfn.MAXIFS(tblLaborEntries[Work date serial],tblLaborEntries[Work package ID],tblWorkPackages[[#This Row],[Work package ID]])</f>
        <v>45360.0</v>
      </c>
      <c r="AB2151" s="65">
        <f>IF(tblWorkPackages[[#This Row],[Completion date serial]]&gt;tblWorkPackages[[#This Row],[Due date serial]],1,0)</f>
        <v>1</v>
      </c>
      <c r="AC2151" s="65">
        <f>MAX(0,tblWorkPackages[[#This Row],[Completion date serial]]-tblWorkPackages[[#This Row],[Due date serial]])</f>
        <v>15</v>
      </c>
      <c r="AD2151" s="65">
        <f>tblWorkPackages[[#This Row],[First labor date]]-tblWorkPackages[[#This Row],[Request date serial]]</f>
        <v>15</v>
      </c>
      <c r="AE2151" s="65">
        <f>tblWorkPackages[[#This Row],[Last labor date]]-tblWorkPackages[[#This Row],[First labor date]]</f>
        <v>1</v>
      </c>
      <c r="AF2151" s="65">
        <f>tblWorkPackages[[#This Row],[Completion date serial]]-tblWorkPackages[[#This Row],[Last labor date]]</f>
        <v>1</v>
      </c>
      <c r="AG2151" s="65">
        <f>tblWorkPackages[[#This Row],[Completion date serial]]-tblWorkPackages[[#This Row],[Request date serial]]</f>
        <v>17</v>
      </c>
      <c r="AH2151" s="65">
        <f>IFERROR(INDEX(tblParts[Delay days],MATCH(tblWorkPackages[[#This Row],[Work package ID]],tblParts[Work package ID],0)),0)</f>
        <v>0</v>
      </c>
      <c r="AI2151" s="51" t="str">
        <f>IFERROR(INDEX(tblDisruptions[Event type],MATCH(tblWorkPackages[[#This Row],[Work package ID]],tblDisruptions[Work package ID],0)),"None")</f>
        <v>None</v>
      </c>
      <c r="AJ2151" s="51" t="str">
        <f>TEXT(tblWorkPackages[[#This Row],[Due date serial]],"yyyy-mm")</f>
        <v>2024-02</v>
      </c>
    </row>
    <row r="2152" spans="1:36" ht="15" x14ac:dyDescent="0.25">
      <c r="A2152" s="53" t="s">
        <v>3067</v>
      </c>
      <c r="B2152" s="53" t="s">
        <v>173</v>
      </c>
      <c r="C2152" s="53" t="s">
        <v>434</v>
      </c>
      <c r="D2152" s="53" t="s">
        <v>1546</v>
      </c>
      <c r="E2152" s="53" t="s">
        <v>136</v>
      </c>
      <c r="F2152" s="53" t="s">
        <v>137</v>
      </c>
      <c r="G2152" s="53" t="s">
        <v>138</v>
      </c>
      <c r="H2152" s="53">
        <v>1</v>
      </c>
      <c r="I2152" s="53" t="s">
        <v>176</v>
      </c>
      <c r="J2152" s="53">
        <v>0</v>
      </c>
      <c r="K2152" s="53">
        <v>1</v>
      </c>
      <c r="L2152" s="53">
        <v>8.1</v>
      </c>
      <c r="M2152" s="53" t="s">
        <v>1136</v>
      </c>
      <c r="N2152" s="53">
        <v>6.6</v>
      </c>
      <c r="O2152" s="51" t="str">
        <f>TEXT(tblWorkPackages[[#This Row],[Request date serial]]-WEEKDAY(tblWorkPackages[[#This Row],[Request date serial]],3),"yyyy-mm-dd")</f>
        <v>2024-09-09</v>
      </c>
      <c r="P2152" s="51">
        <f>ABS(tblWorkPackages[[#This Row],[Actual labor hours]]-tblWorkPackages[[#This Row],[Estimated labor hours]])</f>
        <v>1.5</v>
      </c>
      <c r="Q2152" s="51">
        <f>IF(tblWorkPackages[[#This Row],[Actual labor hours]]&gt;tblWorkPackages[[#This Row],[Estimated labor hours]],1,0)</f>
        <v>0</v>
      </c>
      <c r="R2152" s="51">
        <f>tblWorkPackages[[#This Row],[Actual labor hours]]-tblWorkPackages[[#This Row],[Estimated labor hours]]</f>
        <v>-1.5</v>
      </c>
      <c r="S2152" s="51" t="str">
        <f>IF(tblWorkPackages[[#This Row],[Request date serial]]&lt;ValidationStart,"Train 2024",IF(tblWorkPackages[[#This Row],[Request date serial]]&lt;HoldoutStart,"Validation H1","Holdout H2"))</f>
        <v>Train 2024</v>
      </c>
      <c r="T2152" s="51" t="str">
        <f>IF(tblWorkPackages[[#This Row],[Time split]]="Train 2024","",tblWorkPackages[[#This Row],[Estimated labor hours]]+VLOOKUP(tblWorkPackages[[#This Row],[Task type]],'Forecast validation'!$A$14:$E$25,IF(tblWorkPackages[[#This Row],[Time split]]="Validation H1",4,5),FALSE()))</f>
        <v/>
      </c>
      <c r="U2152" s="51" t="str">
        <f>IF(tblWorkPackages[[#This Row],[Calibrated forecast hours]]="","",ABS(tblWorkPackages[[#This Row],[Actual labor hours]]-tblWorkPackages[[#This Row],[Calibrated forecast hours]]))</f>
        <v/>
      </c>
      <c r="V2152" s="51">
        <f>IF(tblWorkPackages[[#This Row],[Time split]]="Train 2024",tblWorkPackages[[#This Row],[Estimated labor hours]],tblWorkPackages[[#This Row],[Calibrated forecast hours]])</f>
        <v>8.1</v>
      </c>
      <c r="W2152" s="64">
        <f>DATEVALUE(tblWorkPackages[[#This Row],[Request date]])</f>
        <v>45545.0</v>
      </c>
      <c r="X2152" s="64">
        <f>DATEVALUE(tblWorkPackages[[#This Row],[Due date]])</f>
        <v>45551.0</v>
      </c>
      <c r="Y2152" s="64">
        <f>DATEVALUE(tblWorkPackages[[#This Row],[Completion date]])</f>
        <v>45552.0</v>
      </c>
      <c r="Z2152" s="64">
        <f>_xlfn.MINIFS(tblLaborEntries[Work date serial],tblLaborEntries[Work package ID],tblWorkPackages[[#This Row],[Work package ID]])</f>
        <v>45549.0</v>
      </c>
      <c r="AA2152" s="64">
        <f>_xlfn.MAXIFS(tblLaborEntries[Work date serial],tblLaborEntries[Work package ID],tblWorkPackages[[#This Row],[Work package ID]])</f>
        <v>45550.0</v>
      </c>
      <c r="AB2152" s="65">
        <f>IF(tblWorkPackages[[#This Row],[Completion date serial]]&gt;tblWorkPackages[[#This Row],[Due date serial]],1,0)</f>
        <v>1</v>
      </c>
      <c r="AC2152" s="65">
        <f>MAX(0,tblWorkPackages[[#This Row],[Completion date serial]]-tblWorkPackages[[#This Row],[Due date serial]])</f>
        <v>1</v>
      </c>
      <c r="AD2152" s="65">
        <f>tblWorkPackages[[#This Row],[First labor date]]-tblWorkPackages[[#This Row],[Request date serial]]</f>
        <v>4</v>
      </c>
      <c r="AE2152" s="65">
        <f>tblWorkPackages[[#This Row],[Last labor date]]-tblWorkPackages[[#This Row],[First labor date]]</f>
        <v>1</v>
      </c>
      <c r="AF2152" s="65">
        <f>tblWorkPackages[[#This Row],[Completion date serial]]-tblWorkPackages[[#This Row],[Last labor date]]</f>
        <v>2</v>
      </c>
      <c r="AG2152" s="65">
        <f>tblWorkPackages[[#This Row],[Completion date serial]]-tblWorkPackages[[#This Row],[Request date serial]]</f>
        <v>7</v>
      </c>
      <c r="AH2152" s="65">
        <f>IFERROR(INDEX(tblParts[Delay days],MATCH(tblWorkPackages[[#This Row],[Work package ID]],tblParts[Work package ID],0)),0)</f>
        <v>0</v>
      </c>
      <c r="AI2152" s="51" t="str">
        <f>IFERROR(INDEX(tblDisruptions[Event type],MATCH(tblWorkPackages[[#This Row],[Work package ID]],tblDisruptions[Work package ID],0)),"None")</f>
        <v>None</v>
      </c>
      <c r="AJ2152" s="51" t="str">
        <f>TEXT(tblWorkPackages[[#This Row],[Due date serial]],"yyyy-mm")</f>
        <v>2024-09</v>
      </c>
    </row>
    <row r="2153" spans="1:36" ht="15" x14ac:dyDescent="0.25">
      <c r="A2153" s="53" t="s">
        <v>3068</v>
      </c>
      <c r="B2153" s="53" t="s">
        <v>163</v>
      </c>
      <c r="C2153" s="53" t="s">
        <v>198</v>
      </c>
      <c r="D2153" s="53" t="s">
        <v>323</v>
      </c>
      <c r="E2153" s="53" t="s">
        <v>181</v>
      </c>
      <c r="F2153" s="53" t="s">
        <v>182</v>
      </c>
      <c r="G2153" s="53" t="s">
        <v>138</v>
      </c>
      <c r="H2153" s="53">
        <v>1</v>
      </c>
      <c r="I2153" s="53" t="s">
        <v>130</v>
      </c>
      <c r="J2153" s="53">
        <v>0</v>
      </c>
      <c r="K2153" s="53">
        <v>1</v>
      </c>
      <c r="L2153" s="53">
        <v>5.0999999999999996</v>
      </c>
      <c r="M2153" s="53" t="s">
        <v>863</v>
      </c>
      <c r="N2153" s="53">
        <v>4.8</v>
      </c>
      <c r="O2153" s="51" t="str">
        <f>TEXT(tblWorkPackages[[#This Row],[Request date serial]]-WEEKDAY(tblWorkPackages[[#This Row],[Request date serial]],3),"yyyy-mm-dd")</f>
        <v>2025-06-23</v>
      </c>
      <c r="P2153" s="51">
        <f>ABS(tblWorkPackages[[#This Row],[Actual labor hours]]-tblWorkPackages[[#This Row],[Estimated labor hours]])</f>
        <v>0.3</v>
      </c>
      <c r="Q2153" s="51">
        <f>IF(tblWorkPackages[[#This Row],[Actual labor hours]]&gt;tblWorkPackages[[#This Row],[Estimated labor hours]],1,0)</f>
        <v>0</v>
      </c>
      <c r="R2153" s="51">
        <f>tblWorkPackages[[#This Row],[Actual labor hours]]-tblWorkPackages[[#This Row],[Estimated labor hours]]</f>
        <v>-0.3</v>
      </c>
      <c r="S2153" s="51" t="str">
        <f>IF(tblWorkPackages[[#This Row],[Request date serial]]&lt;ValidationStart,"Train 2024",IF(tblWorkPackages[[#This Row],[Request date serial]]&lt;HoldoutStart,"Validation H1","Holdout H2"))</f>
        <v>Validation H1</v>
      </c>
      <c r="T2153" s="51">
        <f>IF(tblWorkPackages[[#This Row],[Time split]]="Train 2024","",tblWorkPackages[[#This Row],[Estimated labor hours]]+VLOOKUP(tblWorkPackages[[#This Row],[Task type]],'Forecast validation'!$A$14:$E$25,IF(tblWorkPackages[[#This Row],[Time split]]="Validation H1",4,5),FALSE()))</f>
        <v>5.68409090909091</v>
      </c>
      <c r="U2153" s="51">
        <f>IF(tblWorkPackages[[#This Row],[Calibrated forecast hours]]="","",ABS(tblWorkPackages[[#This Row],[Actual labor hours]]-tblWorkPackages[[#This Row],[Calibrated forecast hours]]))</f>
        <v>0.884090909090909</v>
      </c>
      <c r="V2153" s="51">
        <f>IF(tblWorkPackages[[#This Row],[Time split]]="Train 2024",tblWorkPackages[[#This Row],[Estimated labor hours]],tblWorkPackages[[#This Row],[Calibrated forecast hours]])</f>
        <v>5.68409090909091</v>
      </c>
      <c r="W2153" s="64">
        <f>DATEVALUE(tblWorkPackages[[#This Row],[Request date]])</f>
        <v>45832.0</v>
      </c>
      <c r="X2153" s="64">
        <f>DATEVALUE(tblWorkPackages[[#This Row],[Due date]])</f>
        <v>45845.0</v>
      </c>
      <c r="Y2153" s="64">
        <f>DATEVALUE(tblWorkPackages[[#This Row],[Completion date]])</f>
        <v>45837.0</v>
      </c>
      <c r="Z2153" s="64">
        <f>_xlfn.MINIFS(tblLaborEntries[Work date serial],tblLaborEntries[Work package ID],tblWorkPackages[[#This Row],[Work package ID]])</f>
        <v>45833.0</v>
      </c>
      <c r="AA2153" s="64">
        <f>_xlfn.MAXIFS(tblLaborEntries[Work date serial],tblLaborEntries[Work package ID],tblWorkPackages[[#This Row],[Work package ID]])</f>
        <v>45834.0</v>
      </c>
      <c r="AB2153" s="65">
        <f>IF(tblWorkPackages[[#This Row],[Completion date serial]]&gt;tblWorkPackages[[#This Row],[Due date serial]],1,0)</f>
        <v>0</v>
      </c>
      <c r="AC2153" s="65">
        <f>MAX(0,tblWorkPackages[[#This Row],[Completion date serial]]-tblWorkPackages[[#This Row],[Due date serial]])</f>
        <v>0</v>
      </c>
      <c r="AD2153" s="65">
        <f>tblWorkPackages[[#This Row],[First labor date]]-tblWorkPackages[[#This Row],[Request date serial]]</f>
        <v>1</v>
      </c>
      <c r="AE2153" s="65">
        <f>tblWorkPackages[[#This Row],[Last labor date]]-tblWorkPackages[[#This Row],[First labor date]]</f>
        <v>1</v>
      </c>
      <c r="AF2153" s="65">
        <f>tblWorkPackages[[#This Row],[Completion date serial]]-tblWorkPackages[[#This Row],[Last labor date]]</f>
        <v>3</v>
      </c>
      <c r="AG2153" s="65">
        <f>tblWorkPackages[[#This Row],[Completion date serial]]-tblWorkPackages[[#This Row],[Request date serial]]</f>
        <v>5</v>
      </c>
      <c r="AH2153" s="65">
        <f>IFERROR(INDEX(tblParts[Delay days],MATCH(tblWorkPackages[[#This Row],[Work package ID]],tblParts[Work package ID],0)),0)</f>
        <v>0</v>
      </c>
      <c r="AI2153" s="51" t="str">
        <f>IFERROR(INDEX(tblDisruptions[Event type],MATCH(tblWorkPackages[[#This Row],[Work package ID]],tblDisruptions[Work package ID],0)),"None")</f>
        <v>None</v>
      </c>
      <c r="AJ2153" s="51" t="str">
        <f>TEXT(tblWorkPackages[[#This Row],[Due date serial]],"yyyy-mm")</f>
        <v>2025-07</v>
      </c>
    </row>
    <row r="2154" spans="1:36" ht="15" x14ac:dyDescent="0.25">
      <c r="A2154" s="53" t="s">
        <v>3069</v>
      </c>
      <c r="B2154" s="53" t="s">
        <v>230</v>
      </c>
      <c r="C2154" s="53" t="s">
        <v>434</v>
      </c>
      <c r="D2154" s="53" t="s">
        <v>894</v>
      </c>
      <c r="E2154" s="53" t="s">
        <v>127</v>
      </c>
      <c r="F2154" s="53" t="s">
        <v>128</v>
      </c>
      <c r="G2154" s="53" t="s">
        <v>129</v>
      </c>
      <c r="H2154" s="53">
        <v>2</v>
      </c>
      <c r="I2154" s="53" t="s">
        <v>147</v>
      </c>
      <c r="J2154" s="53">
        <v>0</v>
      </c>
      <c r="K2154" s="53">
        <v>0</v>
      </c>
      <c r="L2154" s="53">
        <v>6.7</v>
      </c>
      <c r="M2154" s="53" t="s">
        <v>660</v>
      </c>
      <c r="N2154" s="53">
        <v>7.6</v>
      </c>
      <c r="O2154" s="51" t="str">
        <f>TEXT(tblWorkPackages[[#This Row],[Request date serial]]-WEEKDAY(tblWorkPackages[[#This Row],[Request date serial]],3),"yyyy-mm-dd")</f>
        <v>2024-09-09</v>
      </c>
      <c r="P2154" s="51">
        <f>ABS(tblWorkPackages[[#This Row],[Actual labor hours]]-tblWorkPackages[[#This Row],[Estimated labor hours]])</f>
        <v>0.9</v>
      </c>
      <c r="Q2154" s="51">
        <f>IF(tblWorkPackages[[#This Row],[Actual labor hours]]&gt;tblWorkPackages[[#This Row],[Estimated labor hours]],1,0)</f>
        <v>1</v>
      </c>
      <c r="R2154" s="51">
        <f>tblWorkPackages[[#This Row],[Actual labor hours]]-tblWorkPackages[[#This Row],[Estimated labor hours]]</f>
        <v>0.9</v>
      </c>
      <c r="S2154" s="51" t="str">
        <f>IF(tblWorkPackages[[#This Row],[Request date serial]]&lt;ValidationStart,"Train 2024",IF(tblWorkPackages[[#This Row],[Request date serial]]&lt;HoldoutStart,"Validation H1","Holdout H2"))</f>
        <v>Train 2024</v>
      </c>
      <c r="T2154" s="51" t="str">
        <f>IF(tblWorkPackages[[#This Row],[Time split]]="Train 2024","",tblWorkPackages[[#This Row],[Estimated labor hours]]+VLOOKUP(tblWorkPackages[[#This Row],[Task type]],'Forecast validation'!$A$14:$E$25,IF(tblWorkPackages[[#This Row],[Time split]]="Validation H1",4,5),FALSE()))</f>
        <v/>
      </c>
      <c r="U2154" s="51" t="str">
        <f>IF(tblWorkPackages[[#This Row],[Calibrated forecast hours]]="","",ABS(tblWorkPackages[[#This Row],[Actual labor hours]]-tblWorkPackages[[#This Row],[Calibrated forecast hours]]))</f>
        <v/>
      </c>
      <c r="V2154" s="51">
        <f>IF(tblWorkPackages[[#This Row],[Time split]]="Train 2024",tblWorkPackages[[#This Row],[Estimated labor hours]],tblWorkPackages[[#This Row],[Calibrated forecast hours]])</f>
        <v>6.7</v>
      </c>
      <c r="W2154" s="64">
        <f>DATEVALUE(tblWorkPackages[[#This Row],[Request date]])</f>
        <v>45545.0</v>
      </c>
      <c r="X2154" s="64">
        <f>DATEVALUE(tblWorkPackages[[#This Row],[Due date]])</f>
        <v>45547.0</v>
      </c>
      <c r="Y2154" s="64">
        <f>DATEVALUE(tblWorkPackages[[#This Row],[Completion date]])</f>
        <v>45556.0</v>
      </c>
      <c r="Z2154" s="64">
        <f>_xlfn.MINIFS(tblLaborEntries[Work date serial],tblLaborEntries[Work package ID],tblWorkPackages[[#This Row],[Work package ID]])</f>
        <v>45554.0</v>
      </c>
      <c r="AA2154" s="64">
        <f>_xlfn.MAXIFS(tblLaborEntries[Work date serial],tblLaborEntries[Work package ID],tblWorkPackages[[#This Row],[Work package ID]])</f>
        <v>45556.0</v>
      </c>
      <c r="AB2154" s="65">
        <f>IF(tblWorkPackages[[#This Row],[Completion date serial]]&gt;tblWorkPackages[[#This Row],[Due date serial]],1,0)</f>
        <v>1</v>
      </c>
      <c r="AC2154" s="65">
        <f>MAX(0,tblWorkPackages[[#This Row],[Completion date serial]]-tblWorkPackages[[#This Row],[Due date serial]])</f>
        <v>9</v>
      </c>
      <c r="AD2154" s="65">
        <f>tblWorkPackages[[#This Row],[First labor date]]-tblWorkPackages[[#This Row],[Request date serial]]</f>
        <v>9</v>
      </c>
      <c r="AE2154" s="65">
        <f>tblWorkPackages[[#This Row],[Last labor date]]-tblWorkPackages[[#This Row],[First labor date]]</f>
        <v>2</v>
      </c>
      <c r="AF2154" s="65">
        <f>tblWorkPackages[[#This Row],[Completion date serial]]-tblWorkPackages[[#This Row],[Last labor date]]</f>
        <v>0</v>
      </c>
      <c r="AG2154" s="65">
        <f>tblWorkPackages[[#This Row],[Completion date serial]]-tblWorkPackages[[#This Row],[Request date serial]]</f>
        <v>11</v>
      </c>
      <c r="AH2154" s="65">
        <f>IFERROR(INDEX(tblParts[Delay days],MATCH(tblWorkPackages[[#This Row],[Work package ID]],tblParts[Work package ID],0)),0)</f>
        <v>0</v>
      </c>
      <c r="AI2154" s="51" t="str">
        <f>IFERROR(INDEX(tblDisruptions[Event type],MATCH(tblWorkPackages[[#This Row],[Work package ID]],tblDisruptions[Work package ID],0)),"None")</f>
        <v>None</v>
      </c>
      <c r="AJ2154" s="51" t="str">
        <f>TEXT(tblWorkPackages[[#This Row],[Due date serial]],"yyyy-mm")</f>
        <v>2024-09</v>
      </c>
    </row>
    <row r="2155" spans="1:36" ht="15" x14ac:dyDescent="0.25">
      <c r="A2155" s="53" t="s">
        <v>3070</v>
      </c>
      <c r="B2155" s="53" t="s">
        <v>150</v>
      </c>
      <c r="C2155" s="53" t="s">
        <v>567</v>
      </c>
      <c r="D2155" s="53" t="s">
        <v>568</v>
      </c>
      <c r="E2155" s="53" t="s">
        <v>136</v>
      </c>
      <c r="F2155" s="53" t="s">
        <v>137</v>
      </c>
      <c r="G2155" s="53" t="s">
        <v>138</v>
      </c>
      <c r="H2155" s="53">
        <v>1</v>
      </c>
      <c r="I2155" s="53" t="s">
        <v>130</v>
      </c>
      <c r="J2155" s="53">
        <v>1</v>
      </c>
      <c r="K2155" s="53">
        <v>0</v>
      </c>
      <c r="L2155" s="53">
        <v>10.9</v>
      </c>
      <c r="M2155" s="53" t="s">
        <v>1076</v>
      </c>
      <c r="N2155" s="53">
        <v>16.899999999999999</v>
      </c>
      <c r="O2155" s="51" t="str">
        <f>TEXT(tblWorkPackages[[#This Row],[Request date serial]]-WEEKDAY(tblWorkPackages[[#This Row],[Request date serial]],3),"yyyy-mm-dd")</f>
        <v>2025-05-19</v>
      </c>
      <c r="P2155" s="51">
        <f>ABS(tblWorkPackages[[#This Row],[Actual labor hours]]-tblWorkPackages[[#This Row],[Estimated labor hours]])</f>
        <v>6</v>
      </c>
      <c r="Q2155" s="51">
        <f>IF(tblWorkPackages[[#This Row],[Actual labor hours]]&gt;tblWorkPackages[[#This Row],[Estimated labor hours]],1,0)</f>
        <v>1</v>
      </c>
      <c r="R2155" s="51">
        <f>tblWorkPackages[[#This Row],[Actual labor hours]]-tblWorkPackages[[#This Row],[Estimated labor hours]]</f>
        <v>6</v>
      </c>
      <c r="S2155" s="51" t="str">
        <f>IF(tblWorkPackages[[#This Row],[Request date serial]]&lt;ValidationStart,"Train 2024",IF(tblWorkPackages[[#This Row],[Request date serial]]&lt;HoldoutStart,"Validation H1","Holdout H2"))</f>
        <v>Validation H1</v>
      </c>
      <c r="T2155" s="51">
        <f>IF(tblWorkPackages[[#This Row],[Time split]]="Train 2024","",tblWorkPackages[[#This Row],[Estimated labor hours]]+VLOOKUP(tblWorkPackages[[#This Row],[Task type]],'Forecast validation'!$A$14:$E$25,IF(tblWorkPackages[[#This Row],[Time split]]="Validation H1",4,5),FALSE()))</f>
        <v>11.7765306122449</v>
      </c>
      <c r="U2155" s="51">
        <f>IF(tblWorkPackages[[#This Row],[Calibrated forecast hours]]="","",ABS(tblWorkPackages[[#This Row],[Actual labor hours]]-tblWorkPackages[[#This Row],[Calibrated forecast hours]]))</f>
        <v>5.1234693877551</v>
      </c>
      <c r="V2155" s="51">
        <f>IF(tblWorkPackages[[#This Row],[Time split]]="Train 2024",tblWorkPackages[[#This Row],[Estimated labor hours]],tblWorkPackages[[#This Row],[Calibrated forecast hours]])</f>
        <v>11.7765306122449</v>
      </c>
      <c r="W2155" s="64">
        <f>DATEVALUE(tblWorkPackages[[#This Row],[Request date]])</f>
        <v>45800.0</v>
      </c>
      <c r="X2155" s="64">
        <f>DATEVALUE(tblWorkPackages[[#This Row],[Due date]])</f>
        <v>45813.0</v>
      </c>
      <c r="Y2155" s="64">
        <f>DATEVALUE(tblWorkPackages[[#This Row],[Completion date]])</f>
        <v>45804.0</v>
      </c>
      <c r="Z2155" s="64">
        <f>_xlfn.MINIFS(tblLaborEntries[Work date serial],tblLaborEntries[Work package ID],tblWorkPackages[[#This Row],[Work package ID]])</f>
        <v>45802.0</v>
      </c>
      <c r="AA2155" s="64">
        <f>_xlfn.MAXIFS(tblLaborEntries[Work date serial],tblLaborEntries[Work package ID],tblWorkPackages[[#This Row],[Work package ID]])</f>
        <v>45803.0</v>
      </c>
      <c r="AB2155" s="65">
        <f>IF(tblWorkPackages[[#This Row],[Completion date serial]]&gt;tblWorkPackages[[#This Row],[Due date serial]],1,0)</f>
        <v>0</v>
      </c>
      <c r="AC2155" s="65">
        <f>MAX(0,tblWorkPackages[[#This Row],[Completion date serial]]-tblWorkPackages[[#This Row],[Due date serial]])</f>
        <v>0</v>
      </c>
      <c r="AD2155" s="65">
        <f>tblWorkPackages[[#This Row],[First labor date]]-tblWorkPackages[[#This Row],[Request date serial]]</f>
        <v>2</v>
      </c>
      <c r="AE2155" s="65">
        <f>tblWorkPackages[[#This Row],[Last labor date]]-tblWorkPackages[[#This Row],[First labor date]]</f>
        <v>1</v>
      </c>
      <c r="AF2155" s="65">
        <f>tblWorkPackages[[#This Row],[Completion date serial]]-tblWorkPackages[[#This Row],[Last labor date]]</f>
        <v>1</v>
      </c>
      <c r="AG2155" s="65">
        <f>tblWorkPackages[[#This Row],[Completion date serial]]-tblWorkPackages[[#This Row],[Request date serial]]</f>
        <v>4</v>
      </c>
      <c r="AH2155" s="65">
        <f>IFERROR(INDEX(tblParts[Delay days],MATCH(tblWorkPackages[[#This Row],[Work package ID]],tblParts[Work package ID],0)),0)</f>
        <v>0</v>
      </c>
      <c r="AI2155" s="51" t="str">
        <f>IFERROR(INDEX(tblDisruptions[Event type],MATCH(tblWorkPackages[[#This Row],[Work package ID]],tblDisruptions[Work package ID],0)),"None")</f>
        <v>Scope change</v>
      </c>
      <c r="AJ2155" s="51" t="str">
        <f>TEXT(tblWorkPackages[[#This Row],[Due date serial]],"yyyy-mm")</f>
        <v>2025-06</v>
      </c>
    </row>
    <row r="2156" spans="1:36" ht="15" x14ac:dyDescent="0.25">
      <c r="A2156" s="53" t="s">
        <v>3071</v>
      </c>
      <c r="B2156" s="53" t="s">
        <v>124</v>
      </c>
      <c r="C2156" s="53" t="s">
        <v>788</v>
      </c>
      <c r="D2156" s="53" t="s">
        <v>1374</v>
      </c>
      <c r="E2156" s="53" t="s">
        <v>136</v>
      </c>
      <c r="F2156" s="53" t="s">
        <v>137</v>
      </c>
      <c r="G2156" s="53" t="s">
        <v>138</v>
      </c>
      <c r="H2156" s="53">
        <v>4</v>
      </c>
      <c r="I2156" s="53" t="s">
        <v>176</v>
      </c>
      <c r="J2156" s="53">
        <v>0</v>
      </c>
      <c r="K2156" s="53">
        <v>0</v>
      </c>
      <c r="L2156" s="53">
        <v>23.6</v>
      </c>
      <c r="M2156" s="53" t="s">
        <v>594</v>
      </c>
      <c r="N2156" s="53">
        <v>21.3</v>
      </c>
      <c r="O2156" s="51" t="str">
        <f>TEXT(tblWorkPackages[[#This Row],[Request date serial]]-WEEKDAY(tblWorkPackages[[#This Row],[Request date serial]],3),"yyyy-mm-dd")</f>
        <v>2024-09-30</v>
      </c>
      <c r="P2156" s="51">
        <f>ABS(tblWorkPackages[[#This Row],[Actual labor hours]]-tblWorkPackages[[#This Row],[Estimated labor hours]])</f>
        <v>2.3</v>
      </c>
      <c r="Q2156" s="51">
        <f>IF(tblWorkPackages[[#This Row],[Actual labor hours]]&gt;tblWorkPackages[[#This Row],[Estimated labor hours]],1,0)</f>
        <v>0</v>
      </c>
      <c r="R2156" s="51">
        <f>tblWorkPackages[[#This Row],[Actual labor hours]]-tblWorkPackages[[#This Row],[Estimated labor hours]]</f>
        <v>-2.3</v>
      </c>
      <c r="S2156" s="51" t="str">
        <f>IF(tblWorkPackages[[#This Row],[Request date serial]]&lt;ValidationStart,"Train 2024",IF(tblWorkPackages[[#This Row],[Request date serial]]&lt;HoldoutStart,"Validation H1","Holdout H2"))</f>
        <v>Train 2024</v>
      </c>
      <c r="T2156" s="51" t="str">
        <f>IF(tblWorkPackages[[#This Row],[Time split]]="Train 2024","",tblWorkPackages[[#This Row],[Estimated labor hours]]+VLOOKUP(tblWorkPackages[[#This Row],[Task type]],'Forecast validation'!$A$14:$E$25,IF(tblWorkPackages[[#This Row],[Time split]]="Validation H1",4,5),FALSE()))</f>
        <v/>
      </c>
      <c r="U2156" s="51" t="str">
        <f>IF(tblWorkPackages[[#This Row],[Calibrated forecast hours]]="","",ABS(tblWorkPackages[[#This Row],[Actual labor hours]]-tblWorkPackages[[#This Row],[Calibrated forecast hours]]))</f>
        <v/>
      </c>
      <c r="V2156" s="51">
        <f>IF(tblWorkPackages[[#This Row],[Time split]]="Train 2024",tblWorkPackages[[#This Row],[Estimated labor hours]],tblWorkPackages[[#This Row],[Calibrated forecast hours]])</f>
        <v>23.6</v>
      </c>
      <c r="W2156" s="64">
        <f>DATEVALUE(tblWorkPackages[[#This Row],[Request date]])</f>
        <v>45566.0</v>
      </c>
      <c r="X2156" s="64">
        <f>DATEVALUE(tblWorkPackages[[#This Row],[Due date]])</f>
        <v>45572.0</v>
      </c>
      <c r="Y2156" s="64">
        <f>DATEVALUE(tblWorkPackages[[#This Row],[Completion date]])</f>
        <v>45593.0</v>
      </c>
      <c r="Z2156" s="64">
        <f>_xlfn.MINIFS(tblLaborEntries[Work date serial],tblLaborEntries[Work package ID],tblWorkPackages[[#This Row],[Work package ID]])</f>
        <v>45590.0</v>
      </c>
      <c r="AA2156" s="64">
        <f>_xlfn.MAXIFS(tblLaborEntries[Work date serial],tblLaborEntries[Work package ID],tblWorkPackages[[#This Row],[Work package ID]])</f>
        <v>45591.0</v>
      </c>
      <c r="AB2156" s="65">
        <f>IF(tblWorkPackages[[#This Row],[Completion date serial]]&gt;tblWorkPackages[[#This Row],[Due date serial]],1,0)</f>
        <v>1</v>
      </c>
      <c r="AC2156" s="65">
        <f>MAX(0,tblWorkPackages[[#This Row],[Completion date serial]]-tblWorkPackages[[#This Row],[Due date serial]])</f>
        <v>21</v>
      </c>
      <c r="AD2156" s="65">
        <f>tblWorkPackages[[#This Row],[First labor date]]-tblWorkPackages[[#This Row],[Request date serial]]</f>
        <v>24</v>
      </c>
      <c r="AE2156" s="65">
        <f>tblWorkPackages[[#This Row],[Last labor date]]-tblWorkPackages[[#This Row],[First labor date]]</f>
        <v>1</v>
      </c>
      <c r="AF2156" s="65">
        <f>tblWorkPackages[[#This Row],[Completion date serial]]-tblWorkPackages[[#This Row],[Last labor date]]</f>
        <v>2</v>
      </c>
      <c r="AG2156" s="65">
        <f>tblWorkPackages[[#This Row],[Completion date serial]]-tblWorkPackages[[#This Row],[Request date serial]]</f>
        <v>27</v>
      </c>
      <c r="AH2156" s="65">
        <f>IFERROR(INDEX(tblParts[Delay days],MATCH(tblWorkPackages[[#This Row],[Work package ID]],tblParts[Work package ID],0)),0)</f>
        <v>0</v>
      </c>
      <c r="AI2156" s="51" t="str">
        <f>IFERROR(INDEX(tblDisruptions[Event type],MATCH(tblWorkPackages[[#This Row],[Work package ID]],tblDisruptions[Work package ID],0)),"None")</f>
        <v>None</v>
      </c>
      <c r="AJ2156" s="51" t="str">
        <f>TEXT(tblWorkPackages[[#This Row],[Due date serial]],"yyyy-mm")</f>
        <v>2024-10</v>
      </c>
    </row>
    <row r="2157" spans="1:36" ht="15" x14ac:dyDescent="0.25">
      <c r="A2157" s="53" t="s">
        <v>3072</v>
      </c>
      <c r="B2157" s="53" t="s">
        <v>235</v>
      </c>
      <c r="C2157" s="53" t="s">
        <v>289</v>
      </c>
      <c r="D2157" s="53" t="s">
        <v>941</v>
      </c>
      <c r="E2157" s="53" t="s">
        <v>200</v>
      </c>
      <c r="F2157" s="53" t="s">
        <v>128</v>
      </c>
      <c r="G2157" s="53" t="s">
        <v>129</v>
      </c>
      <c r="H2157" s="53">
        <v>3</v>
      </c>
      <c r="I2157" s="53" t="s">
        <v>130</v>
      </c>
      <c r="J2157" s="53">
        <v>0</v>
      </c>
      <c r="K2157" s="53">
        <v>0</v>
      </c>
      <c r="L2157" s="53">
        <v>3.7</v>
      </c>
      <c r="M2157" s="53" t="s">
        <v>464</v>
      </c>
      <c r="N2157" s="53">
        <v>3.3</v>
      </c>
      <c r="O2157" s="51" t="str">
        <f>TEXT(tblWorkPackages[[#This Row],[Request date serial]]-WEEKDAY(tblWorkPackages[[#This Row],[Request date serial]],3),"yyyy-mm-dd")</f>
        <v>2025-09-15</v>
      </c>
      <c r="P2157" s="51">
        <f>ABS(tblWorkPackages[[#This Row],[Actual labor hours]]-tblWorkPackages[[#This Row],[Estimated labor hours]])</f>
        <v>0.4</v>
      </c>
      <c r="Q2157" s="51">
        <f>IF(tblWorkPackages[[#This Row],[Actual labor hours]]&gt;tblWorkPackages[[#This Row],[Estimated labor hours]],1,0)</f>
        <v>0</v>
      </c>
      <c r="R2157" s="51">
        <f>tblWorkPackages[[#This Row],[Actual labor hours]]-tblWorkPackages[[#This Row],[Estimated labor hours]]</f>
        <v>-0.4</v>
      </c>
      <c r="S2157" s="51" t="str">
        <f>IF(tblWorkPackages[[#This Row],[Request date serial]]&lt;ValidationStart,"Train 2024",IF(tblWorkPackages[[#This Row],[Request date serial]]&lt;HoldoutStart,"Validation H1","Holdout H2"))</f>
        <v>Holdout H2</v>
      </c>
      <c r="T2157" s="51">
        <f>IF(tblWorkPackages[[#This Row],[Time split]]="Train 2024","",tblWorkPackages[[#This Row],[Estimated labor hours]]+VLOOKUP(tblWorkPackages[[#This Row],[Task type]],'Forecast validation'!$A$14:$E$25,IF(tblWorkPackages[[#This Row],[Time split]]="Validation H1",4,5),FALSE()))</f>
        <v>4.02893081761006</v>
      </c>
      <c r="U2157" s="51">
        <f>IF(tblWorkPackages[[#This Row],[Calibrated forecast hours]]="","",ABS(tblWorkPackages[[#This Row],[Actual labor hours]]-tblWorkPackages[[#This Row],[Calibrated forecast hours]]))</f>
        <v>0.728930817610063</v>
      </c>
      <c r="V2157" s="51">
        <f>IF(tblWorkPackages[[#This Row],[Time split]]="Train 2024",tblWorkPackages[[#This Row],[Estimated labor hours]],tblWorkPackages[[#This Row],[Calibrated forecast hours]])</f>
        <v>4.02893081761006</v>
      </c>
      <c r="W2157" s="64">
        <f>DATEVALUE(tblWorkPackages[[#This Row],[Request date]])</f>
        <v>45920.0</v>
      </c>
      <c r="X2157" s="64">
        <f>DATEVALUE(tblWorkPackages[[#This Row],[Due date]])</f>
        <v>45933.0</v>
      </c>
      <c r="Y2157" s="64">
        <f>DATEVALUE(tblWorkPackages[[#This Row],[Completion date]])</f>
        <v>45929.0</v>
      </c>
      <c r="Z2157" s="64">
        <f>_xlfn.MINIFS(tblLaborEntries[Work date serial],tblLaborEntries[Work package ID],tblWorkPackages[[#This Row],[Work package ID]])</f>
        <v>45924.0</v>
      </c>
      <c r="AA2157" s="64">
        <f>_xlfn.MAXIFS(tblLaborEntries[Work date serial],tblLaborEntries[Work package ID],tblWorkPackages[[#This Row],[Work package ID]])</f>
        <v>45926.0</v>
      </c>
      <c r="AB2157" s="65">
        <f>IF(tblWorkPackages[[#This Row],[Completion date serial]]&gt;tblWorkPackages[[#This Row],[Due date serial]],1,0)</f>
        <v>0</v>
      </c>
      <c r="AC2157" s="65">
        <f>MAX(0,tblWorkPackages[[#This Row],[Completion date serial]]-tblWorkPackages[[#This Row],[Due date serial]])</f>
        <v>0</v>
      </c>
      <c r="AD2157" s="65">
        <f>tblWorkPackages[[#This Row],[First labor date]]-tblWorkPackages[[#This Row],[Request date serial]]</f>
        <v>4</v>
      </c>
      <c r="AE2157" s="65">
        <f>tblWorkPackages[[#This Row],[Last labor date]]-tblWorkPackages[[#This Row],[First labor date]]</f>
        <v>2</v>
      </c>
      <c r="AF2157" s="65">
        <f>tblWorkPackages[[#This Row],[Completion date serial]]-tblWorkPackages[[#This Row],[Last labor date]]</f>
        <v>3</v>
      </c>
      <c r="AG2157" s="65">
        <f>tblWorkPackages[[#This Row],[Completion date serial]]-tblWorkPackages[[#This Row],[Request date serial]]</f>
        <v>9</v>
      </c>
      <c r="AH2157" s="65">
        <f>IFERROR(INDEX(tblParts[Delay days],MATCH(tblWorkPackages[[#This Row],[Work package ID]],tblParts[Work package ID],0)),0)</f>
        <v>0</v>
      </c>
      <c r="AI2157" s="51" t="str">
        <f>IFERROR(INDEX(tblDisruptions[Event type],MATCH(tblWorkPackages[[#This Row],[Work package ID]],tblDisruptions[Work package ID],0)),"None")</f>
        <v>None</v>
      </c>
      <c r="AJ2157" s="51" t="str">
        <f>TEXT(tblWorkPackages[[#This Row],[Due date serial]],"yyyy-mm")</f>
        <v>2025-10</v>
      </c>
    </row>
    <row r="2158" spans="1:36" ht="15" x14ac:dyDescent="0.25">
      <c r="A2158" s="53" t="s">
        <v>3073</v>
      </c>
      <c r="B2158" s="53" t="s">
        <v>124</v>
      </c>
      <c r="C2158" s="53" t="s">
        <v>1393</v>
      </c>
      <c r="D2158" s="53" t="s">
        <v>1392</v>
      </c>
      <c r="E2158" s="53" t="s">
        <v>153</v>
      </c>
      <c r="F2158" s="53" t="s">
        <v>128</v>
      </c>
      <c r="G2158" s="53" t="s">
        <v>154</v>
      </c>
      <c r="H2158" s="53">
        <v>1</v>
      </c>
      <c r="I2158" s="53" t="s">
        <v>147</v>
      </c>
      <c r="J2158" s="53">
        <v>0</v>
      </c>
      <c r="K2158" s="53">
        <v>0</v>
      </c>
      <c r="L2158" s="53">
        <v>6</v>
      </c>
      <c r="M2158" s="53" t="s">
        <v>1138</v>
      </c>
      <c r="N2158" s="53">
        <v>5.7</v>
      </c>
      <c r="O2158" s="51" t="str">
        <f>TEXT(tblWorkPackages[[#This Row],[Request date serial]]-WEEKDAY(tblWorkPackages[[#This Row],[Request date serial]],3),"yyyy-mm-dd")</f>
        <v>2024-07-29</v>
      </c>
      <c r="P2158" s="51">
        <f>ABS(tblWorkPackages[[#This Row],[Actual labor hours]]-tblWorkPackages[[#This Row],[Estimated labor hours]])</f>
        <v>0.3</v>
      </c>
      <c r="Q2158" s="51">
        <f>IF(tblWorkPackages[[#This Row],[Actual labor hours]]&gt;tblWorkPackages[[#This Row],[Estimated labor hours]],1,0)</f>
        <v>0</v>
      </c>
      <c r="R2158" s="51">
        <f>tblWorkPackages[[#This Row],[Actual labor hours]]-tblWorkPackages[[#This Row],[Estimated labor hours]]</f>
        <v>-0.3</v>
      </c>
      <c r="S2158" s="51" t="str">
        <f>IF(tblWorkPackages[[#This Row],[Request date serial]]&lt;ValidationStart,"Train 2024",IF(tblWorkPackages[[#This Row],[Request date serial]]&lt;HoldoutStart,"Validation H1","Holdout H2"))</f>
        <v>Train 2024</v>
      </c>
      <c r="T2158" s="51" t="str">
        <f>IF(tblWorkPackages[[#This Row],[Time split]]="Train 2024","",tblWorkPackages[[#This Row],[Estimated labor hours]]+VLOOKUP(tblWorkPackages[[#This Row],[Task type]],'Forecast validation'!$A$14:$E$25,IF(tblWorkPackages[[#This Row],[Time split]]="Validation H1",4,5),FALSE()))</f>
        <v/>
      </c>
      <c r="U2158" s="51" t="str">
        <f>IF(tblWorkPackages[[#This Row],[Calibrated forecast hours]]="","",ABS(tblWorkPackages[[#This Row],[Actual labor hours]]-tblWorkPackages[[#This Row],[Calibrated forecast hours]]))</f>
        <v/>
      </c>
      <c r="V2158" s="51">
        <f>IF(tblWorkPackages[[#This Row],[Time split]]="Train 2024",tblWorkPackages[[#This Row],[Estimated labor hours]],tblWorkPackages[[#This Row],[Calibrated forecast hours]])</f>
        <v>6</v>
      </c>
      <c r="W2158" s="64">
        <f>DATEVALUE(tblWorkPackages[[#This Row],[Request date]])</f>
        <v>45506.0</v>
      </c>
      <c r="X2158" s="64">
        <f>DATEVALUE(tblWorkPackages[[#This Row],[Due date]])</f>
        <v>45508.0</v>
      </c>
      <c r="Y2158" s="64">
        <f>DATEVALUE(tblWorkPackages[[#This Row],[Completion date]])</f>
        <v>45509.0</v>
      </c>
      <c r="Z2158" s="64">
        <f>_xlfn.MINIFS(tblLaborEntries[Work date serial],tblLaborEntries[Work package ID],tblWorkPackages[[#This Row],[Work package ID]])</f>
        <v>45507.0</v>
      </c>
      <c r="AA2158" s="64">
        <f>_xlfn.MAXIFS(tblLaborEntries[Work date serial],tblLaborEntries[Work package ID],tblWorkPackages[[#This Row],[Work package ID]])</f>
        <v>45509.0</v>
      </c>
      <c r="AB2158" s="65">
        <f>IF(tblWorkPackages[[#This Row],[Completion date serial]]&gt;tblWorkPackages[[#This Row],[Due date serial]],1,0)</f>
        <v>1</v>
      </c>
      <c r="AC2158" s="65">
        <f>MAX(0,tblWorkPackages[[#This Row],[Completion date serial]]-tblWorkPackages[[#This Row],[Due date serial]])</f>
        <v>1</v>
      </c>
      <c r="AD2158" s="65">
        <f>tblWorkPackages[[#This Row],[First labor date]]-tblWorkPackages[[#This Row],[Request date serial]]</f>
        <v>1</v>
      </c>
      <c r="AE2158" s="65">
        <f>tblWorkPackages[[#This Row],[Last labor date]]-tblWorkPackages[[#This Row],[First labor date]]</f>
        <v>2</v>
      </c>
      <c r="AF2158" s="65">
        <f>tblWorkPackages[[#This Row],[Completion date serial]]-tblWorkPackages[[#This Row],[Last labor date]]</f>
        <v>0</v>
      </c>
      <c r="AG2158" s="65">
        <f>tblWorkPackages[[#This Row],[Completion date serial]]-tblWorkPackages[[#This Row],[Request date serial]]</f>
        <v>3</v>
      </c>
      <c r="AH2158" s="65">
        <f>IFERROR(INDEX(tblParts[Delay days],MATCH(tblWorkPackages[[#This Row],[Work package ID]],tblParts[Work package ID],0)),0)</f>
        <v>0</v>
      </c>
      <c r="AI2158" s="51" t="str">
        <f>IFERROR(INDEX(tblDisruptions[Event type],MATCH(tblWorkPackages[[#This Row],[Work package ID]],tblDisruptions[Work package ID],0)),"None")</f>
        <v>Technician absence</v>
      </c>
      <c r="AJ2158" s="51" t="str">
        <f>TEXT(tblWorkPackages[[#This Row],[Due date serial]],"yyyy-mm")</f>
        <v>2024-08</v>
      </c>
    </row>
    <row r="2159" spans="1:36" ht="15" x14ac:dyDescent="0.25">
      <c r="A2159" s="53" t="s">
        <v>3074</v>
      </c>
      <c r="B2159" s="53" t="s">
        <v>168</v>
      </c>
      <c r="C2159" s="53" t="s">
        <v>552</v>
      </c>
      <c r="D2159" s="53" t="s">
        <v>553</v>
      </c>
      <c r="E2159" s="53" t="s">
        <v>209</v>
      </c>
      <c r="F2159" s="53" t="s">
        <v>145</v>
      </c>
      <c r="G2159" s="53" t="s">
        <v>210</v>
      </c>
      <c r="H2159" s="53">
        <v>3</v>
      </c>
      <c r="I2159" s="53" t="s">
        <v>130</v>
      </c>
      <c r="J2159" s="53">
        <v>0</v>
      </c>
      <c r="K2159" s="53">
        <v>1</v>
      </c>
      <c r="L2159" s="53">
        <v>29.2</v>
      </c>
      <c r="M2159" s="53" t="s">
        <v>553</v>
      </c>
      <c r="N2159" s="53">
        <v>27.6</v>
      </c>
      <c r="O2159" s="51" t="str">
        <f>TEXT(tblWorkPackages[[#This Row],[Request date serial]]-WEEKDAY(tblWorkPackages[[#This Row],[Request date serial]],3),"yyyy-mm-dd")</f>
        <v>2024-07-22</v>
      </c>
      <c r="P2159" s="51">
        <f>ABS(tblWorkPackages[[#This Row],[Actual labor hours]]-tblWorkPackages[[#This Row],[Estimated labor hours]])</f>
        <v>1.6</v>
      </c>
      <c r="Q2159" s="51">
        <f>IF(tblWorkPackages[[#This Row],[Actual labor hours]]&gt;tblWorkPackages[[#This Row],[Estimated labor hours]],1,0)</f>
        <v>0</v>
      </c>
      <c r="R2159" s="51">
        <f>tblWorkPackages[[#This Row],[Actual labor hours]]-tblWorkPackages[[#This Row],[Estimated labor hours]]</f>
        <v>-1.6</v>
      </c>
      <c r="S2159" s="51" t="str">
        <f>IF(tblWorkPackages[[#This Row],[Request date serial]]&lt;ValidationStart,"Train 2024",IF(tblWorkPackages[[#This Row],[Request date serial]]&lt;HoldoutStart,"Validation H1","Holdout H2"))</f>
        <v>Train 2024</v>
      </c>
      <c r="T2159" s="51" t="str">
        <f>IF(tblWorkPackages[[#This Row],[Time split]]="Train 2024","",tblWorkPackages[[#This Row],[Estimated labor hours]]+VLOOKUP(tblWorkPackages[[#This Row],[Task type]],'Forecast validation'!$A$14:$E$25,IF(tblWorkPackages[[#This Row],[Time split]]="Validation H1",4,5),FALSE()))</f>
        <v/>
      </c>
      <c r="U2159" s="51" t="str">
        <f>IF(tblWorkPackages[[#This Row],[Calibrated forecast hours]]="","",ABS(tblWorkPackages[[#This Row],[Actual labor hours]]-tblWorkPackages[[#This Row],[Calibrated forecast hours]]))</f>
        <v/>
      </c>
      <c r="V2159" s="51">
        <f>IF(tblWorkPackages[[#This Row],[Time split]]="Train 2024",tblWorkPackages[[#This Row],[Estimated labor hours]],tblWorkPackages[[#This Row],[Calibrated forecast hours]])</f>
        <v>29.2</v>
      </c>
      <c r="W2159" s="64">
        <f>DATEVALUE(tblWorkPackages[[#This Row],[Request date]])</f>
        <v>45498.0</v>
      </c>
      <c r="X2159" s="64">
        <f>DATEVALUE(tblWorkPackages[[#This Row],[Due date]])</f>
        <v>45511.0</v>
      </c>
      <c r="Y2159" s="64">
        <f>DATEVALUE(tblWorkPackages[[#This Row],[Completion date]])</f>
        <v>45511.0</v>
      </c>
      <c r="Z2159" s="64">
        <f>_xlfn.MINIFS(tblLaborEntries[Work date serial],tblLaborEntries[Work package ID],tblWorkPackages[[#This Row],[Work package ID]])</f>
        <v>45510.0</v>
      </c>
      <c r="AA2159" s="64">
        <f>_xlfn.MAXIFS(tblLaborEntries[Work date serial],tblLaborEntries[Work package ID],tblWorkPackages[[#This Row],[Work package ID]])</f>
        <v>45510.0</v>
      </c>
      <c r="AB2159" s="65">
        <f>IF(tblWorkPackages[[#This Row],[Completion date serial]]&gt;tblWorkPackages[[#This Row],[Due date serial]],1,0)</f>
        <v>0</v>
      </c>
      <c r="AC2159" s="65">
        <f>MAX(0,tblWorkPackages[[#This Row],[Completion date serial]]-tblWorkPackages[[#This Row],[Due date serial]])</f>
        <v>0</v>
      </c>
      <c r="AD2159" s="65">
        <f>tblWorkPackages[[#This Row],[First labor date]]-tblWorkPackages[[#This Row],[Request date serial]]</f>
        <v>12</v>
      </c>
      <c r="AE2159" s="65">
        <f>tblWorkPackages[[#This Row],[Last labor date]]-tblWorkPackages[[#This Row],[First labor date]]</f>
        <v>0</v>
      </c>
      <c r="AF2159" s="65">
        <f>tblWorkPackages[[#This Row],[Completion date serial]]-tblWorkPackages[[#This Row],[Last labor date]]</f>
        <v>1</v>
      </c>
      <c r="AG2159" s="65">
        <f>tblWorkPackages[[#This Row],[Completion date serial]]-tblWorkPackages[[#This Row],[Request date serial]]</f>
        <v>13</v>
      </c>
      <c r="AH2159" s="65">
        <f>IFERROR(INDEX(tblParts[Delay days],MATCH(tblWorkPackages[[#This Row],[Work package ID]],tblParts[Work package ID],0)),0)</f>
        <v>0</v>
      </c>
      <c r="AI2159" s="51" t="str">
        <f>IFERROR(INDEX(tblDisruptions[Event type],MATCH(tblWorkPackages[[#This Row],[Work package ID]],tblDisruptions[Work package ID],0)),"None")</f>
        <v>None</v>
      </c>
      <c r="AJ2159" s="51" t="str">
        <f>TEXT(tblWorkPackages[[#This Row],[Due date serial]],"yyyy-mm")</f>
        <v>2024-08</v>
      </c>
    </row>
    <row r="2160" spans="1:36" ht="15" x14ac:dyDescent="0.25">
      <c r="A2160" s="53" t="s">
        <v>3075</v>
      </c>
      <c r="B2160" s="53" t="s">
        <v>235</v>
      </c>
      <c r="C2160" s="53" t="s">
        <v>467</v>
      </c>
      <c r="D2160" s="53" t="s">
        <v>784</v>
      </c>
      <c r="E2160" s="53" t="s">
        <v>153</v>
      </c>
      <c r="F2160" s="53" t="s">
        <v>128</v>
      </c>
      <c r="G2160" s="53" t="s">
        <v>154</v>
      </c>
      <c r="H2160" s="53">
        <v>1</v>
      </c>
      <c r="I2160" s="53" t="s">
        <v>130</v>
      </c>
      <c r="J2160" s="53">
        <v>0</v>
      </c>
      <c r="K2160" s="53">
        <v>1</v>
      </c>
      <c r="L2160" s="53">
        <v>7</v>
      </c>
      <c r="M2160" s="53" t="s">
        <v>592</v>
      </c>
      <c r="N2160" s="53">
        <v>5.4</v>
      </c>
      <c r="O2160" s="51" t="str">
        <f>TEXT(tblWorkPackages[[#This Row],[Request date serial]]-WEEKDAY(tblWorkPackages[[#This Row],[Request date serial]],3),"yyyy-mm-dd")</f>
        <v>2025-03-31</v>
      </c>
      <c r="P2160" s="51">
        <f>ABS(tblWorkPackages[[#This Row],[Actual labor hours]]-tblWorkPackages[[#This Row],[Estimated labor hours]])</f>
        <v>1.6</v>
      </c>
      <c r="Q2160" s="51">
        <f>IF(tblWorkPackages[[#This Row],[Actual labor hours]]&gt;tblWorkPackages[[#This Row],[Estimated labor hours]],1,0)</f>
        <v>0</v>
      </c>
      <c r="R2160" s="51">
        <f>tblWorkPackages[[#This Row],[Actual labor hours]]-tblWorkPackages[[#This Row],[Estimated labor hours]]</f>
        <v>-1.6</v>
      </c>
      <c r="S2160" s="51" t="str">
        <f>IF(tblWorkPackages[[#This Row],[Request date serial]]&lt;ValidationStart,"Train 2024",IF(tblWorkPackages[[#This Row],[Request date serial]]&lt;HoldoutStart,"Validation H1","Holdout H2"))</f>
        <v>Validation H1</v>
      </c>
      <c r="T2160" s="51">
        <f>IF(tblWorkPackages[[#This Row],[Time split]]="Train 2024","",tblWorkPackages[[#This Row],[Estimated labor hours]]+VLOOKUP(tblWorkPackages[[#This Row],[Task type]],'Forecast validation'!$A$14:$E$25,IF(tblWorkPackages[[#This Row],[Time split]]="Validation H1",4,5),FALSE()))</f>
        <v>7.54622641509434</v>
      </c>
      <c r="U2160" s="51">
        <f>IF(tblWorkPackages[[#This Row],[Calibrated forecast hours]]="","",ABS(tblWorkPackages[[#This Row],[Actual labor hours]]-tblWorkPackages[[#This Row],[Calibrated forecast hours]]))</f>
        <v>2.14622641509434</v>
      </c>
      <c r="V2160" s="51">
        <f>IF(tblWorkPackages[[#This Row],[Time split]]="Train 2024",tblWorkPackages[[#This Row],[Estimated labor hours]],tblWorkPackages[[#This Row],[Calibrated forecast hours]])</f>
        <v>7.54622641509434</v>
      </c>
      <c r="W2160" s="64">
        <f>DATEVALUE(tblWorkPackages[[#This Row],[Request date]])</f>
        <v>45752.0</v>
      </c>
      <c r="X2160" s="64">
        <f>DATEVALUE(tblWorkPackages[[#This Row],[Due date]])</f>
        <v>45765.0</v>
      </c>
      <c r="Y2160" s="64">
        <f>DATEVALUE(tblWorkPackages[[#This Row],[Completion date]])</f>
        <v>45757.0</v>
      </c>
      <c r="Z2160" s="64">
        <f>_xlfn.MINIFS(tblLaborEntries[Work date serial],tblLaborEntries[Work package ID],tblWorkPackages[[#This Row],[Work package ID]])</f>
        <v>45755.0</v>
      </c>
      <c r="AA2160" s="64">
        <f>_xlfn.MAXIFS(tblLaborEntries[Work date serial],tblLaborEntries[Work package ID],tblWorkPackages[[#This Row],[Work package ID]])</f>
        <v>45755.0</v>
      </c>
      <c r="AB2160" s="65">
        <f>IF(tblWorkPackages[[#This Row],[Completion date serial]]&gt;tblWorkPackages[[#This Row],[Due date serial]],1,0)</f>
        <v>0</v>
      </c>
      <c r="AC2160" s="65">
        <f>MAX(0,tblWorkPackages[[#This Row],[Completion date serial]]-tblWorkPackages[[#This Row],[Due date serial]])</f>
        <v>0</v>
      </c>
      <c r="AD2160" s="65">
        <f>tblWorkPackages[[#This Row],[First labor date]]-tblWorkPackages[[#This Row],[Request date serial]]</f>
        <v>3</v>
      </c>
      <c r="AE2160" s="65">
        <f>tblWorkPackages[[#This Row],[Last labor date]]-tblWorkPackages[[#This Row],[First labor date]]</f>
        <v>0</v>
      </c>
      <c r="AF2160" s="65">
        <f>tblWorkPackages[[#This Row],[Completion date serial]]-tblWorkPackages[[#This Row],[Last labor date]]</f>
        <v>2</v>
      </c>
      <c r="AG2160" s="65">
        <f>tblWorkPackages[[#This Row],[Completion date serial]]-tblWorkPackages[[#This Row],[Request date serial]]</f>
        <v>5</v>
      </c>
      <c r="AH2160" s="65">
        <f>IFERROR(INDEX(tblParts[Delay days],MATCH(tblWorkPackages[[#This Row],[Work package ID]],tblParts[Work package ID],0)),0)</f>
        <v>0</v>
      </c>
      <c r="AI2160" s="51" t="str">
        <f>IFERROR(INDEX(tblDisruptions[Event type],MATCH(tblWorkPackages[[#This Row],[Work package ID]],tblDisruptions[Work package ID],0)),"None")</f>
        <v>None</v>
      </c>
      <c r="AJ2160" s="51" t="str">
        <f>TEXT(tblWorkPackages[[#This Row],[Due date serial]],"yyyy-mm")</f>
        <v>2025-04</v>
      </c>
    </row>
    <row r="2161" spans="1:36" ht="15" x14ac:dyDescent="0.25">
      <c r="A2161" s="53" t="s">
        <v>3076</v>
      </c>
      <c r="B2161" s="53" t="s">
        <v>133</v>
      </c>
      <c r="C2161" s="53" t="s">
        <v>1281</v>
      </c>
      <c r="D2161" s="53" t="s">
        <v>217</v>
      </c>
      <c r="E2161" s="53" t="s">
        <v>242</v>
      </c>
      <c r="F2161" s="53" t="s">
        <v>243</v>
      </c>
      <c r="G2161" s="53" t="s">
        <v>129</v>
      </c>
      <c r="H2161" s="53">
        <v>2</v>
      </c>
      <c r="I2161" s="53" t="s">
        <v>130</v>
      </c>
      <c r="J2161" s="53">
        <v>0</v>
      </c>
      <c r="K2161" s="53">
        <v>1</v>
      </c>
      <c r="L2161" s="53">
        <v>7.3</v>
      </c>
      <c r="M2161" s="53" t="s">
        <v>3077</v>
      </c>
      <c r="N2161" s="53">
        <v>11.3</v>
      </c>
      <c r="O2161" s="51" t="str">
        <f>TEXT(tblWorkPackages[[#This Row],[Request date serial]]-WEEKDAY(tblWorkPackages[[#This Row],[Request date serial]],3),"yyyy-mm-dd")</f>
        <v>2025-11-24</v>
      </c>
      <c r="P2161" s="51">
        <f>ABS(tblWorkPackages[[#This Row],[Actual labor hours]]-tblWorkPackages[[#This Row],[Estimated labor hours]])</f>
        <v>4</v>
      </c>
      <c r="Q2161" s="51">
        <f>IF(tblWorkPackages[[#This Row],[Actual labor hours]]&gt;tblWorkPackages[[#This Row],[Estimated labor hours]],1,0)</f>
        <v>1</v>
      </c>
      <c r="R2161" s="51">
        <f>tblWorkPackages[[#This Row],[Actual labor hours]]-tblWorkPackages[[#This Row],[Estimated labor hours]]</f>
        <v>4</v>
      </c>
      <c r="S2161" s="51" t="str">
        <f>IF(tblWorkPackages[[#This Row],[Request date serial]]&lt;ValidationStart,"Train 2024",IF(tblWorkPackages[[#This Row],[Request date serial]]&lt;HoldoutStart,"Validation H1","Holdout H2"))</f>
        <v>Holdout H2</v>
      </c>
      <c r="T2161" s="51">
        <f>IF(tblWorkPackages[[#This Row],[Time split]]="Train 2024","",tblWorkPackages[[#This Row],[Estimated labor hours]]+VLOOKUP(tblWorkPackages[[#This Row],[Task type]],'Forecast validation'!$A$14:$E$25,IF(tblWorkPackages[[#This Row],[Time split]]="Validation H1",4,5),FALSE()))</f>
        <v>8.12545454545455</v>
      </c>
      <c r="U2161" s="51">
        <f>IF(tblWorkPackages[[#This Row],[Calibrated forecast hours]]="","",ABS(tblWorkPackages[[#This Row],[Actual labor hours]]-tblWorkPackages[[#This Row],[Calibrated forecast hours]]))</f>
        <v>3.17454545454546</v>
      </c>
      <c r="V2161" s="51">
        <f>IF(tblWorkPackages[[#This Row],[Time split]]="Train 2024",tblWorkPackages[[#This Row],[Estimated labor hours]],tblWorkPackages[[#This Row],[Calibrated forecast hours]])</f>
        <v>8.12545454545455</v>
      </c>
      <c r="W2161" s="64">
        <f>DATEVALUE(tblWorkPackages[[#This Row],[Request date]])</f>
        <v>45991.0</v>
      </c>
      <c r="X2161" s="64">
        <f>DATEVALUE(tblWorkPackages[[#This Row],[Due date]])</f>
        <v>46004.0</v>
      </c>
      <c r="Y2161" s="64">
        <f>DATEVALUE(tblWorkPackages[[#This Row],[Completion date]])</f>
        <v>46040.0</v>
      </c>
      <c r="Z2161" s="64">
        <f>_xlfn.MINIFS(tblLaborEntries[Work date serial],tblLaborEntries[Work package ID],tblWorkPackages[[#This Row],[Work package ID]])</f>
        <v>46037.0</v>
      </c>
      <c r="AA2161" s="64">
        <f>_xlfn.MAXIFS(tblLaborEntries[Work date serial],tblLaborEntries[Work package ID],tblWorkPackages[[#This Row],[Work package ID]])</f>
        <v>46037.0</v>
      </c>
      <c r="AB2161" s="65">
        <f>IF(tblWorkPackages[[#This Row],[Completion date serial]]&gt;tblWorkPackages[[#This Row],[Due date serial]],1,0)</f>
        <v>1</v>
      </c>
      <c r="AC2161" s="65">
        <f>MAX(0,tblWorkPackages[[#This Row],[Completion date serial]]-tblWorkPackages[[#This Row],[Due date serial]])</f>
        <v>36</v>
      </c>
      <c r="AD2161" s="65">
        <f>tblWorkPackages[[#This Row],[First labor date]]-tblWorkPackages[[#This Row],[Request date serial]]</f>
        <v>46</v>
      </c>
      <c r="AE2161" s="65">
        <f>tblWorkPackages[[#This Row],[Last labor date]]-tblWorkPackages[[#This Row],[First labor date]]</f>
        <v>0</v>
      </c>
      <c r="AF2161" s="65">
        <f>tblWorkPackages[[#This Row],[Completion date serial]]-tblWorkPackages[[#This Row],[Last labor date]]</f>
        <v>3</v>
      </c>
      <c r="AG2161" s="65">
        <f>tblWorkPackages[[#This Row],[Completion date serial]]-tblWorkPackages[[#This Row],[Request date serial]]</f>
        <v>49</v>
      </c>
      <c r="AH2161" s="65">
        <f>IFERROR(INDEX(tblParts[Delay days],MATCH(tblWorkPackages[[#This Row],[Work package ID]],tblParts[Work package ID],0)),0)</f>
        <v>8</v>
      </c>
      <c r="AI2161" s="51" t="str">
        <f>IFERROR(INDEX(tblDisruptions[Event type],MATCH(tblWorkPackages[[#This Row],[Work package ID]],tblDisruptions[Work package ID],0)),"None")</f>
        <v>Part delay</v>
      </c>
      <c r="AJ2161" s="51" t="str">
        <f>TEXT(tblWorkPackages[[#This Row],[Due date serial]],"yyyy-mm")</f>
        <v>2025-12</v>
      </c>
    </row>
    <row r="2162" spans="1:36" ht="15" x14ac:dyDescent="0.25">
      <c r="A2162" s="53" t="s">
        <v>3078</v>
      </c>
      <c r="B2162" s="53" t="s">
        <v>150</v>
      </c>
      <c r="C2162" s="53" t="s">
        <v>135</v>
      </c>
      <c r="D2162" s="53" t="s">
        <v>625</v>
      </c>
      <c r="E2162" s="53" t="s">
        <v>153</v>
      </c>
      <c r="F2162" s="53" t="s">
        <v>128</v>
      </c>
      <c r="G2162" s="53" t="s">
        <v>154</v>
      </c>
      <c r="H2162" s="53">
        <v>4</v>
      </c>
      <c r="I2162" s="53" t="s">
        <v>176</v>
      </c>
      <c r="J2162" s="53">
        <v>0</v>
      </c>
      <c r="K2162" s="53">
        <v>0</v>
      </c>
      <c r="L2162" s="53">
        <v>16.5</v>
      </c>
      <c r="M2162" s="53" t="s">
        <v>670</v>
      </c>
      <c r="N2162" s="53">
        <v>17.100000000000001</v>
      </c>
      <c r="O2162" s="51" t="str">
        <f>TEXT(tblWorkPackages[[#This Row],[Request date serial]]-WEEKDAY(tblWorkPackages[[#This Row],[Request date serial]],3),"yyyy-mm-dd")</f>
        <v>2025-09-15</v>
      </c>
      <c r="P2162" s="51">
        <f>ABS(tblWorkPackages[[#This Row],[Actual labor hours]]-tblWorkPackages[[#This Row],[Estimated labor hours]])</f>
        <v>0.600000000000001</v>
      </c>
      <c r="Q2162" s="51">
        <f>IF(tblWorkPackages[[#This Row],[Actual labor hours]]&gt;tblWorkPackages[[#This Row],[Estimated labor hours]],1,0)</f>
        <v>1</v>
      </c>
      <c r="R2162" s="51">
        <f>tblWorkPackages[[#This Row],[Actual labor hours]]-tblWorkPackages[[#This Row],[Estimated labor hours]]</f>
        <v>0.600000000000001</v>
      </c>
      <c r="S2162" s="51" t="str">
        <f>IF(tblWorkPackages[[#This Row],[Request date serial]]&lt;ValidationStart,"Train 2024",IF(tblWorkPackages[[#This Row],[Request date serial]]&lt;HoldoutStart,"Validation H1","Holdout H2"))</f>
        <v>Holdout H2</v>
      </c>
      <c r="T2162" s="51">
        <f>IF(tblWorkPackages[[#This Row],[Time split]]="Train 2024","",tblWorkPackages[[#This Row],[Estimated labor hours]]+VLOOKUP(tblWorkPackages[[#This Row],[Task type]],'Forecast validation'!$A$14:$E$25,IF(tblWorkPackages[[#This Row],[Time split]]="Validation H1",4,5),FALSE()))</f>
        <v>17.1026666666667</v>
      </c>
      <c r="U2162" s="51">
        <f>IF(tblWorkPackages[[#This Row],[Calibrated forecast hours]]="","",ABS(tblWorkPackages[[#This Row],[Actual labor hours]]-tblWorkPackages[[#This Row],[Calibrated forecast hours]]))</f>
        <v>0.00266666666666637</v>
      </c>
      <c r="V2162" s="51">
        <f>IF(tblWorkPackages[[#This Row],[Time split]]="Train 2024",tblWorkPackages[[#This Row],[Estimated labor hours]],tblWorkPackages[[#This Row],[Calibrated forecast hours]])</f>
        <v>17.1026666666667</v>
      </c>
      <c r="W2162" s="64">
        <f>DATEVALUE(tblWorkPackages[[#This Row],[Request date]])</f>
        <v>45918.0</v>
      </c>
      <c r="X2162" s="64">
        <f>DATEVALUE(tblWorkPackages[[#This Row],[Due date]])</f>
        <v>45924.0</v>
      </c>
      <c r="Y2162" s="64">
        <f>DATEVALUE(tblWorkPackages[[#This Row],[Completion date]])</f>
        <v>45926.0</v>
      </c>
      <c r="Z2162" s="64">
        <f>_xlfn.MINIFS(tblLaborEntries[Work date serial],tblLaborEntries[Work package ID],tblWorkPackages[[#This Row],[Work package ID]])</f>
        <v>45925.0</v>
      </c>
      <c r="AA2162" s="64">
        <f>_xlfn.MAXIFS(tblLaborEntries[Work date serial],tblLaborEntries[Work package ID],tblWorkPackages[[#This Row],[Work package ID]])</f>
        <v>45926.0</v>
      </c>
      <c r="AB2162" s="65">
        <f>IF(tblWorkPackages[[#This Row],[Completion date serial]]&gt;tblWorkPackages[[#This Row],[Due date serial]],1,0)</f>
        <v>1</v>
      </c>
      <c r="AC2162" s="65">
        <f>MAX(0,tblWorkPackages[[#This Row],[Completion date serial]]-tblWorkPackages[[#This Row],[Due date serial]])</f>
        <v>2</v>
      </c>
      <c r="AD2162" s="65">
        <f>tblWorkPackages[[#This Row],[First labor date]]-tblWorkPackages[[#This Row],[Request date serial]]</f>
        <v>7</v>
      </c>
      <c r="AE2162" s="65">
        <f>tblWorkPackages[[#This Row],[Last labor date]]-tblWorkPackages[[#This Row],[First labor date]]</f>
        <v>1</v>
      </c>
      <c r="AF2162" s="65">
        <f>tblWorkPackages[[#This Row],[Completion date serial]]-tblWorkPackages[[#This Row],[Last labor date]]</f>
        <v>0</v>
      </c>
      <c r="AG2162" s="65">
        <f>tblWorkPackages[[#This Row],[Completion date serial]]-tblWorkPackages[[#This Row],[Request date serial]]</f>
        <v>8</v>
      </c>
      <c r="AH2162" s="65">
        <f>IFERROR(INDEX(tblParts[Delay days],MATCH(tblWorkPackages[[#This Row],[Work package ID]],tblParts[Work package ID],0)),0)</f>
        <v>0</v>
      </c>
      <c r="AI2162" s="51" t="str">
        <f>IFERROR(INDEX(tblDisruptions[Event type],MATCH(tblWorkPackages[[#This Row],[Work package ID]],tblDisruptions[Work package ID],0)),"None")</f>
        <v>None</v>
      </c>
      <c r="AJ2162" s="51" t="str">
        <f>TEXT(tblWorkPackages[[#This Row],[Due date serial]],"yyyy-mm")</f>
        <v>2025-09</v>
      </c>
    </row>
    <row r="2163" spans="1:36" ht="15" x14ac:dyDescent="0.25">
      <c r="A2163" s="53" t="s">
        <v>3079</v>
      </c>
      <c r="B2163" s="53" t="s">
        <v>133</v>
      </c>
      <c r="C2163" s="53" t="s">
        <v>592</v>
      </c>
      <c r="D2163" s="53" t="s">
        <v>375</v>
      </c>
      <c r="E2163" s="53" t="s">
        <v>272</v>
      </c>
      <c r="F2163" s="53" t="s">
        <v>145</v>
      </c>
      <c r="G2163" s="53" t="s">
        <v>273</v>
      </c>
      <c r="H2163" s="53">
        <v>1</v>
      </c>
      <c r="I2163" s="53" t="s">
        <v>130</v>
      </c>
      <c r="J2163" s="53">
        <v>0</v>
      </c>
      <c r="K2163" s="53">
        <v>0</v>
      </c>
      <c r="L2163" s="53">
        <v>8.1</v>
      </c>
      <c r="M2163" s="53" t="s">
        <v>2509</v>
      </c>
      <c r="N2163" s="53">
        <v>8.5</v>
      </c>
      <c r="O2163" s="51" t="str">
        <f>TEXT(tblWorkPackages[[#This Row],[Request date serial]]-WEEKDAY(tblWorkPackages[[#This Row],[Request date serial]],3),"yyyy-mm-dd")</f>
        <v>2025-04-07</v>
      </c>
      <c r="P2163" s="51">
        <f>ABS(tblWorkPackages[[#This Row],[Actual labor hours]]-tblWorkPackages[[#This Row],[Estimated labor hours]])</f>
        <v>0.4</v>
      </c>
      <c r="Q2163" s="51">
        <f>IF(tblWorkPackages[[#This Row],[Actual labor hours]]&gt;tblWorkPackages[[#This Row],[Estimated labor hours]],1,0)</f>
        <v>1</v>
      </c>
      <c r="R2163" s="51">
        <f>tblWorkPackages[[#This Row],[Actual labor hours]]-tblWorkPackages[[#This Row],[Estimated labor hours]]</f>
        <v>0.4</v>
      </c>
      <c r="S2163" s="51" t="str">
        <f>IF(tblWorkPackages[[#This Row],[Request date serial]]&lt;ValidationStart,"Train 2024",IF(tblWorkPackages[[#This Row],[Request date serial]]&lt;HoldoutStart,"Validation H1","Holdout H2"))</f>
        <v>Validation H1</v>
      </c>
      <c r="T2163" s="51">
        <f>IF(tblWorkPackages[[#This Row],[Time split]]="Train 2024","",tblWorkPackages[[#This Row],[Estimated labor hours]]+VLOOKUP(tblWorkPackages[[#This Row],[Task type]],'Forecast validation'!$A$14:$E$25,IF(tblWorkPackages[[#This Row],[Time split]]="Validation H1",4,5),FALSE()))</f>
        <v>9.13205128205128</v>
      </c>
      <c r="U2163" s="51">
        <f>IF(tblWorkPackages[[#This Row],[Calibrated forecast hours]]="","",ABS(tblWorkPackages[[#This Row],[Actual labor hours]]-tblWorkPackages[[#This Row],[Calibrated forecast hours]]))</f>
        <v>0.632051282051283</v>
      </c>
      <c r="V2163" s="51">
        <f>IF(tblWorkPackages[[#This Row],[Time split]]="Train 2024",tblWorkPackages[[#This Row],[Estimated labor hours]],tblWorkPackages[[#This Row],[Calibrated forecast hours]])</f>
        <v>9.13205128205128</v>
      </c>
      <c r="W2163" s="64">
        <f>DATEVALUE(tblWorkPackages[[#This Row],[Request date]])</f>
        <v>45757.0</v>
      </c>
      <c r="X2163" s="64">
        <f>DATEVALUE(tblWorkPackages[[#This Row],[Due date]])</f>
        <v>45770.0</v>
      </c>
      <c r="Y2163" s="64">
        <f>DATEVALUE(tblWorkPackages[[#This Row],[Completion date]])</f>
        <v>45760.0</v>
      </c>
      <c r="Z2163" s="64">
        <f>_xlfn.MINIFS(tblLaborEntries[Work date serial],tblLaborEntries[Work package ID],tblWorkPackages[[#This Row],[Work package ID]])</f>
        <v>45759.0</v>
      </c>
      <c r="AA2163" s="64">
        <f>_xlfn.MAXIFS(tblLaborEntries[Work date serial],tblLaborEntries[Work package ID],tblWorkPackages[[#This Row],[Work package ID]])</f>
        <v>45759.0</v>
      </c>
      <c r="AB2163" s="65">
        <f>IF(tblWorkPackages[[#This Row],[Completion date serial]]&gt;tblWorkPackages[[#This Row],[Due date serial]],1,0)</f>
        <v>0</v>
      </c>
      <c r="AC2163" s="65">
        <f>MAX(0,tblWorkPackages[[#This Row],[Completion date serial]]-tblWorkPackages[[#This Row],[Due date serial]])</f>
        <v>0</v>
      </c>
      <c r="AD2163" s="65">
        <f>tblWorkPackages[[#This Row],[First labor date]]-tblWorkPackages[[#This Row],[Request date serial]]</f>
        <v>2</v>
      </c>
      <c r="AE2163" s="65">
        <f>tblWorkPackages[[#This Row],[Last labor date]]-tblWorkPackages[[#This Row],[First labor date]]</f>
        <v>0</v>
      </c>
      <c r="AF2163" s="65">
        <f>tblWorkPackages[[#This Row],[Completion date serial]]-tblWorkPackages[[#This Row],[Last labor date]]</f>
        <v>1</v>
      </c>
      <c r="AG2163" s="65">
        <f>tblWorkPackages[[#This Row],[Completion date serial]]-tblWorkPackages[[#This Row],[Request date serial]]</f>
        <v>3</v>
      </c>
      <c r="AH2163" s="65">
        <f>IFERROR(INDEX(tblParts[Delay days],MATCH(tblWorkPackages[[#This Row],[Work package ID]],tblParts[Work package ID],0)),0)</f>
        <v>0</v>
      </c>
      <c r="AI2163" s="51" t="str">
        <f>IFERROR(INDEX(tblDisruptions[Event type],MATCH(tblWorkPackages[[#This Row],[Work package ID]],tblDisruptions[Work package ID],0)),"None")</f>
        <v>None</v>
      </c>
      <c r="AJ2163" s="51" t="str">
        <f>TEXT(tblWorkPackages[[#This Row],[Due date serial]],"yyyy-mm")</f>
        <v>2025-04</v>
      </c>
    </row>
    <row r="2164" spans="1:36" ht="15" x14ac:dyDescent="0.25">
      <c r="A2164" s="53" t="s">
        <v>3080</v>
      </c>
      <c r="B2164" s="53" t="s">
        <v>168</v>
      </c>
      <c r="C2164" s="53" t="s">
        <v>1063</v>
      </c>
      <c r="D2164" s="53" t="s">
        <v>1191</v>
      </c>
      <c r="E2164" s="53" t="s">
        <v>181</v>
      </c>
      <c r="F2164" s="53" t="s">
        <v>182</v>
      </c>
      <c r="G2164" s="53" t="s">
        <v>138</v>
      </c>
      <c r="H2164" s="53">
        <v>3</v>
      </c>
      <c r="I2164" s="53" t="s">
        <v>130</v>
      </c>
      <c r="J2164" s="53">
        <v>0</v>
      </c>
      <c r="K2164" s="53">
        <v>0</v>
      </c>
      <c r="L2164" s="53">
        <v>11.7</v>
      </c>
      <c r="M2164" s="53" t="s">
        <v>270</v>
      </c>
      <c r="N2164" s="53">
        <v>13.5</v>
      </c>
      <c r="O2164" s="51" t="str">
        <f>TEXT(tblWorkPackages[[#This Row],[Request date serial]]-WEEKDAY(tblWorkPackages[[#This Row],[Request date serial]],3),"yyyy-mm-dd")</f>
        <v>2025-03-10</v>
      </c>
      <c r="P2164" s="51">
        <f>ABS(tblWorkPackages[[#This Row],[Actual labor hours]]-tblWorkPackages[[#This Row],[Estimated labor hours]])</f>
        <v>1.8</v>
      </c>
      <c r="Q2164" s="51">
        <f>IF(tblWorkPackages[[#This Row],[Actual labor hours]]&gt;tblWorkPackages[[#This Row],[Estimated labor hours]],1,0)</f>
        <v>1</v>
      </c>
      <c r="R2164" s="51">
        <f>tblWorkPackages[[#This Row],[Actual labor hours]]-tblWorkPackages[[#This Row],[Estimated labor hours]]</f>
        <v>1.8</v>
      </c>
      <c r="S2164" s="51" t="str">
        <f>IF(tblWorkPackages[[#This Row],[Request date serial]]&lt;ValidationStart,"Train 2024",IF(tblWorkPackages[[#This Row],[Request date serial]]&lt;HoldoutStart,"Validation H1","Holdout H2"))</f>
        <v>Validation H1</v>
      </c>
      <c r="T2164" s="51">
        <f>IF(tblWorkPackages[[#This Row],[Time split]]="Train 2024","",tblWorkPackages[[#This Row],[Estimated labor hours]]+VLOOKUP(tblWorkPackages[[#This Row],[Task type]],'Forecast validation'!$A$14:$E$25,IF(tblWorkPackages[[#This Row],[Time split]]="Validation H1",4,5),FALSE()))</f>
        <v>12.2840909090909</v>
      </c>
      <c r="U2164" s="51">
        <f>IF(tblWorkPackages[[#This Row],[Calibrated forecast hours]]="","",ABS(tblWorkPackages[[#This Row],[Actual labor hours]]-tblWorkPackages[[#This Row],[Calibrated forecast hours]]))</f>
        <v>1.21590909090909</v>
      </c>
      <c r="V2164" s="51">
        <f>IF(tblWorkPackages[[#This Row],[Time split]]="Train 2024",tblWorkPackages[[#This Row],[Estimated labor hours]],tblWorkPackages[[#This Row],[Calibrated forecast hours]])</f>
        <v>12.2840909090909</v>
      </c>
      <c r="W2164" s="64">
        <f>DATEVALUE(tblWorkPackages[[#This Row],[Request date]])</f>
        <v>45727.0</v>
      </c>
      <c r="X2164" s="64">
        <f>DATEVALUE(tblWorkPackages[[#This Row],[Due date]])</f>
        <v>45740.0</v>
      </c>
      <c r="Y2164" s="64">
        <f>DATEVALUE(tblWorkPackages[[#This Row],[Completion date]])</f>
        <v>45748.0</v>
      </c>
      <c r="Z2164" s="64">
        <f>_xlfn.MINIFS(tblLaborEntries[Work date serial],tblLaborEntries[Work package ID],tblWorkPackages[[#This Row],[Work package ID]])</f>
        <v>45744.0</v>
      </c>
      <c r="AA2164" s="64">
        <f>_xlfn.MAXIFS(tblLaborEntries[Work date serial],tblLaborEntries[Work package ID],tblWorkPackages[[#This Row],[Work package ID]])</f>
        <v>45746.0</v>
      </c>
      <c r="AB2164" s="65">
        <f>IF(tblWorkPackages[[#This Row],[Completion date serial]]&gt;tblWorkPackages[[#This Row],[Due date serial]],1,0)</f>
        <v>1</v>
      </c>
      <c r="AC2164" s="65">
        <f>MAX(0,tblWorkPackages[[#This Row],[Completion date serial]]-tblWorkPackages[[#This Row],[Due date serial]])</f>
        <v>8</v>
      </c>
      <c r="AD2164" s="65">
        <f>tblWorkPackages[[#This Row],[First labor date]]-tblWorkPackages[[#This Row],[Request date serial]]</f>
        <v>17</v>
      </c>
      <c r="AE2164" s="65">
        <f>tblWorkPackages[[#This Row],[Last labor date]]-tblWorkPackages[[#This Row],[First labor date]]</f>
        <v>2</v>
      </c>
      <c r="AF2164" s="65">
        <f>tblWorkPackages[[#This Row],[Completion date serial]]-tblWorkPackages[[#This Row],[Last labor date]]</f>
        <v>2</v>
      </c>
      <c r="AG2164" s="65">
        <f>tblWorkPackages[[#This Row],[Completion date serial]]-tblWorkPackages[[#This Row],[Request date serial]]</f>
        <v>21</v>
      </c>
      <c r="AH2164" s="65">
        <f>IFERROR(INDEX(tblParts[Delay days],MATCH(tblWorkPackages[[#This Row],[Work package ID]],tblParts[Work package ID],0)),0)</f>
        <v>0</v>
      </c>
      <c r="AI2164" s="51" t="str">
        <f>IFERROR(INDEX(tblDisruptions[Event type],MATCH(tblWorkPackages[[#This Row],[Work package ID]],tblDisruptions[Work package ID],0)),"None")</f>
        <v>None</v>
      </c>
      <c r="AJ2164" s="51" t="str">
        <f>TEXT(tblWorkPackages[[#This Row],[Due date serial]],"yyyy-mm")</f>
        <v>2025-03</v>
      </c>
    </row>
    <row r="2165" spans="1:36" ht="15" x14ac:dyDescent="0.25">
      <c r="A2165" s="53" t="s">
        <v>3081</v>
      </c>
      <c r="B2165" s="53" t="s">
        <v>133</v>
      </c>
      <c r="C2165" s="53" t="s">
        <v>1148</v>
      </c>
      <c r="D2165" s="53" t="s">
        <v>1166</v>
      </c>
      <c r="E2165" s="53" t="s">
        <v>237</v>
      </c>
      <c r="F2165" s="53" t="s">
        <v>182</v>
      </c>
      <c r="G2165" s="53" t="s">
        <v>138</v>
      </c>
      <c r="H2165" s="53">
        <v>1</v>
      </c>
      <c r="I2165" s="53" t="s">
        <v>130</v>
      </c>
      <c r="J2165" s="53">
        <v>0</v>
      </c>
      <c r="K2165" s="53">
        <v>0</v>
      </c>
      <c r="L2165" s="53">
        <v>3.3</v>
      </c>
      <c r="M2165" s="53" t="s">
        <v>1455</v>
      </c>
      <c r="N2165" s="53">
        <v>2.6</v>
      </c>
      <c r="O2165" s="51" t="str">
        <f>TEXT(tblWorkPackages[[#This Row],[Request date serial]]-WEEKDAY(tblWorkPackages[[#This Row],[Request date serial]],3),"yyyy-mm-dd")</f>
        <v>2025-01-20</v>
      </c>
      <c r="P2165" s="51">
        <f>ABS(tblWorkPackages[[#This Row],[Actual labor hours]]-tblWorkPackages[[#This Row],[Estimated labor hours]])</f>
        <v>0.7</v>
      </c>
      <c r="Q2165" s="51">
        <f>IF(tblWorkPackages[[#This Row],[Actual labor hours]]&gt;tblWorkPackages[[#This Row],[Estimated labor hours]],1,0)</f>
        <v>0</v>
      </c>
      <c r="R2165" s="51">
        <f>tblWorkPackages[[#This Row],[Actual labor hours]]-tblWorkPackages[[#This Row],[Estimated labor hours]]</f>
        <v>-0.7</v>
      </c>
      <c r="S2165" s="51" t="str">
        <f>IF(tblWorkPackages[[#This Row],[Request date serial]]&lt;ValidationStart,"Train 2024",IF(tblWorkPackages[[#This Row],[Request date serial]]&lt;HoldoutStart,"Validation H1","Holdout H2"))</f>
        <v>Validation H1</v>
      </c>
      <c r="T2165" s="51">
        <f>IF(tblWorkPackages[[#This Row],[Time split]]="Train 2024","",tblWorkPackages[[#This Row],[Estimated labor hours]]+VLOOKUP(tblWorkPackages[[#This Row],[Task type]],'Forecast validation'!$A$14:$E$25,IF(tblWorkPackages[[#This Row],[Time split]]="Validation H1",4,5),FALSE()))</f>
        <v>3.8037037037037</v>
      </c>
      <c r="U2165" s="51">
        <f>IF(tblWorkPackages[[#This Row],[Calibrated forecast hours]]="","",ABS(tblWorkPackages[[#This Row],[Actual labor hours]]-tblWorkPackages[[#This Row],[Calibrated forecast hours]]))</f>
        <v>1.2037037037037</v>
      </c>
      <c r="V2165" s="51">
        <f>IF(tblWorkPackages[[#This Row],[Time split]]="Train 2024",tblWorkPackages[[#This Row],[Estimated labor hours]],tblWorkPackages[[#This Row],[Calibrated forecast hours]])</f>
        <v>3.8037037037037</v>
      </c>
      <c r="W2165" s="64">
        <f>DATEVALUE(tblWorkPackages[[#This Row],[Request date]])</f>
        <v>45678.0</v>
      </c>
      <c r="X2165" s="64">
        <f>DATEVALUE(tblWorkPackages[[#This Row],[Due date]])</f>
        <v>45691.0</v>
      </c>
      <c r="Y2165" s="64">
        <f>DATEVALUE(tblWorkPackages[[#This Row],[Completion date]])</f>
        <v>45687.0</v>
      </c>
      <c r="Z2165" s="64">
        <f>_xlfn.MINIFS(tblLaborEntries[Work date serial],tblLaborEntries[Work package ID],tblWorkPackages[[#This Row],[Work package ID]])</f>
        <v>45682.0</v>
      </c>
      <c r="AA2165" s="64">
        <f>_xlfn.MAXIFS(tblLaborEntries[Work date serial],tblLaborEntries[Work package ID],tblWorkPackages[[#This Row],[Work package ID]])</f>
        <v>45684.0</v>
      </c>
      <c r="AB2165" s="65">
        <f>IF(tblWorkPackages[[#This Row],[Completion date serial]]&gt;tblWorkPackages[[#This Row],[Due date serial]],1,0)</f>
        <v>0</v>
      </c>
      <c r="AC2165" s="65">
        <f>MAX(0,tblWorkPackages[[#This Row],[Completion date serial]]-tblWorkPackages[[#This Row],[Due date serial]])</f>
        <v>0</v>
      </c>
      <c r="AD2165" s="65">
        <f>tblWorkPackages[[#This Row],[First labor date]]-tblWorkPackages[[#This Row],[Request date serial]]</f>
        <v>4</v>
      </c>
      <c r="AE2165" s="65">
        <f>tblWorkPackages[[#This Row],[Last labor date]]-tblWorkPackages[[#This Row],[First labor date]]</f>
        <v>2</v>
      </c>
      <c r="AF2165" s="65">
        <f>tblWorkPackages[[#This Row],[Completion date serial]]-tblWorkPackages[[#This Row],[Last labor date]]</f>
        <v>3</v>
      </c>
      <c r="AG2165" s="65">
        <f>tblWorkPackages[[#This Row],[Completion date serial]]-tblWorkPackages[[#This Row],[Request date serial]]</f>
        <v>9</v>
      </c>
      <c r="AH2165" s="65">
        <f>IFERROR(INDEX(tblParts[Delay days],MATCH(tblWorkPackages[[#This Row],[Work package ID]],tblParts[Work package ID],0)),0)</f>
        <v>0</v>
      </c>
      <c r="AI2165" s="51" t="str">
        <f>IFERROR(INDEX(tblDisruptions[Event type],MATCH(tblWorkPackages[[#This Row],[Work package ID]],tblDisruptions[Work package ID],0)),"None")</f>
        <v>None</v>
      </c>
      <c r="AJ2165" s="51" t="str">
        <f>TEXT(tblWorkPackages[[#This Row],[Due date serial]],"yyyy-mm")</f>
        <v>2025-02</v>
      </c>
    </row>
    <row r="2166" spans="1:36" ht="15" x14ac:dyDescent="0.25">
      <c r="A2166" s="53" t="s">
        <v>3082</v>
      </c>
      <c r="B2166" s="53" t="s">
        <v>150</v>
      </c>
      <c r="C2166" s="53" t="s">
        <v>689</v>
      </c>
      <c r="D2166" s="53" t="s">
        <v>690</v>
      </c>
      <c r="E2166" s="53" t="s">
        <v>144</v>
      </c>
      <c r="F2166" s="53" t="s">
        <v>145</v>
      </c>
      <c r="G2166" s="53" t="s">
        <v>146</v>
      </c>
      <c r="H2166" s="53">
        <v>2</v>
      </c>
      <c r="I2166" s="53" t="s">
        <v>130</v>
      </c>
      <c r="J2166" s="53">
        <v>1</v>
      </c>
      <c r="K2166" s="53">
        <v>1</v>
      </c>
      <c r="L2166" s="53">
        <v>12.4</v>
      </c>
      <c r="M2166" s="53" t="s">
        <v>1685</v>
      </c>
      <c r="N2166" s="53">
        <v>16.3</v>
      </c>
      <c r="O2166" s="51" t="str">
        <f>TEXT(tblWorkPackages[[#This Row],[Request date serial]]-WEEKDAY(tblWorkPackages[[#This Row],[Request date serial]],3),"yyyy-mm-dd")</f>
        <v>2024-04-01</v>
      </c>
      <c r="P2166" s="51">
        <f>ABS(tblWorkPackages[[#This Row],[Actual labor hours]]-tblWorkPackages[[#This Row],[Estimated labor hours]])</f>
        <v>3.9</v>
      </c>
      <c r="Q2166" s="51">
        <f>IF(tblWorkPackages[[#This Row],[Actual labor hours]]&gt;tblWorkPackages[[#This Row],[Estimated labor hours]],1,0)</f>
        <v>1</v>
      </c>
      <c r="R2166" s="51">
        <f>tblWorkPackages[[#This Row],[Actual labor hours]]-tblWorkPackages[[#This Row],[Estimated labor hours]]</f>
        <v>3.9</v>
      </c>
      <c r="S2166" s="51" t="str">
        <f>IF(tblWorkPackages[[#This Row],[Request date serial]]&lt;ValidationStart,"Train 2024",IF(tblWorkPackages[[#This Row],[Request date serial]]&lt;HoldoutStart,"Validation H1","Holdout H2"))</f>
        <v>Train 2024</v>
      </c>
      <c r="T2166" s="51" t="str">
        <f>IF(tblWorkPackages[[#This Row],[Time split]]="Train 2024","",tblWorkPackages[[#This Row],[Estimated labor hours]]+VLOOKUP(tblWorkPackages[[#This Row],[Task type]],'Forecast validation'!$A$14:$E$25,IF(tblWorkPackages[[#This Row],[Time split]]="Validation H1",4,5),FALSE()))</f>
        <v/>
      </c>
      <c r="U2166" s="51" t="str">
        <f>IF(tblWorkPackages[[#This Row],[Calibrated forecast hours]]="","",ABS(tblWorkPackages[[#This Row],[Actual labor hours]]-tblWorkPackages[[#This Row],[Calibrated forecast hours]]))</f>
        <v/>
      </c>
      <c r="V2166" s="51">
        <f>IF(tblWorkPackages[[#This Row],[Time split]]="Train 2024",tblWorkPackages[[#This Row],[Estimated labor hours]],tblWorkPackages[[#This Row],[Calibrated forecast hours]])</f>
        <v>12.4</v>
      </c>
      <c r="W2166" s="64">
        <f>DATEVALUE(tblWorkPackages[[#This Row],[Request date]])</f>
        <v>45385.0</v>
      </c>
      <c r="X2166" s="64">
        <f>DATEVALUE(tblWorkPackages[[#This Row],[Due date]])</f>
        <v>45398.0</v>
      </c>
      <c r="Y2166" s="64">
        <f>DATEVALUE(tblWorkPackages[[#This Row],[Completion date]])</f>
        <v>45387.0</v>
      </c>
      <c r="Z2166" s="64">
        <f>_xlfn.MINIFS(tblLaborEntries[Work date serial],tblLaborEntries[Work package ID],tblWorkPackages[[#This Row],[Work package ID]])</f>
        <v>45386.0</v>
      </c>
      <c r="AA2166" s="64">
        <f>_xlfn.MAXIFS(tblLaborEntries[Work date serial],tblLaborEntries[Work package ID],tblWorkPackages[[#This Row],[Work package ID]])</f>
        <v>45387.0</v>
      </c>
      <c r="AB2166" s="65">
        <f>IF(tblWorkPackages[[#This Row],[Completion date serial]]&gt;tblWorkPackages[[#This Row],[Due date serial]],1,0)</f>
        <v>0</v>
      </c>
      <c r="AC2166" s="65">
        <f>MAX(0,tblWorkPackages[[#This Row],[Completion date serial]]-tblWorkPackages[[#This Row],[Due date serial]])</f>
        <v>0</v>
      </c>
      <c r="AD2166" s="65">
        <f>tblWorkPackages[[#This Row],[First labor date]]-tblWorkPackages[[#This Row],[Request date serial]]</f>
        <v>1</v>
      </c>
      <c r="AE2166" s="65">
        <f>tblWorkPackages[[#This Row],[Last labor date]]-tblWorkPackages[[#This Row],[First labor date]]</f>
        <v>1</v>
      </c>
      <c r="AF2166" s="65">
        <f>tblWorkPackages[[#This Row],[Completion date serial]]-tblWorkPackages[[#This Row],[Last labor date]]</f>
        <v>0</v>
      </c>
      <c r="AG2166" s="65">
        <f>tblWorkPackages[[#This Row],[Completion date serial]]-tblWorkPackages[[#This Row],[Request date serial]]</f>
        <v>2</v>
      </c>
      <c r="AH2166" s="65">
        <f>IFERROR(INDEX(tblParts[Delay days],MATCH(tblWorkPackages[[#This Row],[Work package ID]],tblParts[Work package ID],0)),0)</f>
        <v>0</v>
      </c>
      <c r="AI2166" s="51" t="str">
        <f>IFERROR(INDEX(tblDisruptions[Event type],MATCH(tblWorkPackages[[#This Row],[Work package ID]],tblDisruptions[Work package ID],0)),"None")</f>
        <v>None</v>
      </c>
      <c r="AJ2166" s="51" t="str">
        <f>TEXT(tblWorkPackages[[#This Row],[Due date serial]],"yyyy-mm")</f>
        <v>2024-04</v>
      </c>
    </row>
    <row r="2167" spans="1:36" ht="15" x14ac:dyDescent="0.25">
      <c r="A2167" s="53" t="s">
        <v>3083</v>
      </c>
      <c r="B2167" s="53" t="s">
        <v>157</v>
      </c>
      <c r="C2167" s="53" t="s">
        <v>386</v>
      </c>
      <c r="D2167" s="53" t="s">
        <v>433</v>
      </c>
      <c r="E2167" s="53" t="s">
        <v>237</v>
      </c>
      <c r="F2167" s="53" t="s">
        <v>182</v>
      </c>
      <c r="G2167" s="53" t="s">
        <v>138</v>
      </c>
      <c r="H2167" s="53">
        <v>1</v>
      </c>
      <c r="I2167" s="53" t="s">
        <v>176</v>
      </c>
      <c r="J2167" s="53">
        <v>0</v>
      </c>
      <c r="K2167" s="53">
        <v>1</v>
      </c>
      <c r="L2167" s="53">
        <v>3</v>
      </c>
      <c r="M2167" s="53" t="s">
        <v>387</v>
      </c>
      <c r="N2167" s="53">
        <v>3.5</v>
      </c>
      <c r="O2167" s="51" t="str">
        <f>TEXT(tblWorkPackages[[#This Row],[Request date serial]]-WEEKDAY(tblWorkPackages[[#This Row],[Request date serial]],3),"yyyy-mm-dd")</f>
        <v>2024-08-26</v>
      </c>
      <c r="P2167" s="51">
        <f>ABS(tblWorkPackages[[#This Row],[Actual labor hours]]-tblWorkPackages[[#This Row],[Estimated labor hours]])</f>
        <v>0.5</v>
      </c>
      <c r="Q2167" s="51">
        <f>IF(tblWorkPackages[[#This Row],[Actual labor hours]]&gt;tblWorkPackages[[#This Row],[Estimated labor hours]],1,0)</f>
        <v>1</v>
      </c>
      <c r="R2167" s="51">
        <f>tblWorkPackages[[#This Row],[Actual labor hours]]-tblWorkPackages[[#This Row],[Estimated labor hours]]</f>
        <v>0.5</v>
      </c>
      <c r="S2167" s="51" t="str">
        <f>IF(tblWorkPackages[[#This Row],[Request date serial]]&lt;ValidationStart,"Train 2024",IF(tblWorkPackages[[#This Row],[Request date serial]]&lt;HoldoutStart,"Validation H1","Holdout H2"))</f>
        <v>Train 2024</v>
      </c>
      <c r="T2167" s="51" t="str">
        <f>IF(tblWorkPackages[[#This Row],[Time split]]="Train 2024","",tblWorkPackages[[#This Row],[Estimated labor hours]]+VLOOKUP(tblWorkPackages[[#This Row],[Task type]],'Forecast validation'!$A$14:$E$25,IF(tblWorkPackages[[#This Row],[Time split]]="Validation H1",4,5),FALSE()))</f>
        <v/>
      </c>
      <c r="U2167" s="51" t="str">
        <f>IF(tblWorkPackages[[#This Row],[Calibrated forecast hours]]="","",ABS(tblWorkPackages[[#This Row],[Actual labor hours]]-tblWorkPackages[[#This Row],[Calibrated forecast hours]]))</f>
        <v/>
      </c>
      <c r="V2167" s="51">
        <f>IF(tblWorkPackages[[#This Row],[Time split]]="Train 2024",tblWorkPackages[[#This Row],[Estimated labor hours]],tblWorkPackages[[#This Row],[Calibrated forecast hours]])</f>
        <v>3</v>
      </c>
      <c r="W2167" s="64">
        <f>DATEVALUE(tblWorkPackages[[#This Row],[Request date]])</f>
        <v>45533.0</v>
      </c>
      <c r="X2167" s="64">
        <f>DATEVALUE(tblWorkPackages[[#This Row],[Due date]])</f>
        <v>45539.0</v>
      </c>
      <c r="Y2167" s="64">
        <f>DATEVALUE(tblWorkPackages[[#This Row],[Completion date]])</f>
        <v>45546.0</v>
      </c>
      <c r="Z2167" s="64">
        <f>_xlfn.MINIFS(tblLaborEntries[Work date serial],tblLaborEntries[Work package ID],tblWorkPackages[[#This Row],[Work package ID]])</f>
        <v>45543.0</v>
      </c>
      <c r="AA2167" s="64">
        <f>_xlfn.MAXIFS(tblLaborEntries[Work date serial],tblLaborEntries[Work package ID],tblWorkPackages[[#This Row],[Work package ID]])</f>
        <v>45545.0</v>
      </c>
      <c r="AB2167" s="65">
        <f>IF(tblWorkPackages[[#This Row],[Completion date serial]]&gt;tblWorkPackages[[#This Row],[Due date serial]],1,0)</f>
        <v>1</v>
      </c>
      <c r="AC2167" s="65">
        <f>MAX(0,tblWorkPackages[[#This Row],[Completion date serial]]-tblWorkPackages[[#This Row],[Due date serial]])</f>
        <v>7</v>
      </c>
      <c r="AD2167" s="65">
        <f>tblWorkPackages[[#This Row],[First labor date]]-tblWorkPackages[[#This Row],[Request date serial]]</f>
        <v>10</v>
      </c>
      <c r="AE2167" s="65">
        <f>tblWorkPackages[[#This Row],[Last labor date]]-tblWorkPackages[[#This Row],[First labor date]]</f>
        <v>2</v>
      </c>
      <c r="AF2167" s="65">
        <f>tblWorkPackages[[#This Row],[Completion date serial]]-tblWorkPackages[[#This Row],[Last labor date]]</f>
        <v>1</v>
      </c>
      <c r="AG2167" s="65">
        <f>tblWorkPackages[[#This Row],[Completion date serial]]-tblWorkPackages[[#This Row],[Request date serial]]</f>
        <v>13</v>
      </c>
      <c r="AH2167" s="65">
        <f>IFERROR(INDEX(tblParts[Delay days],MATCH(tblWorkPackages[[#This Row],[Work package ID]],tblParts[Work package ID],0)),0)</f>
        <v>0</v>
      </c>
      <c r="AI2167" s="51" t="str">
        <f>IFERROR(INDEX(tblDisruptions[Event type],MATCH(tblWorkPackages[[#This Row],[Work package ID]],tblDisruptions[Work package ID],0)),"None")</f>
        <v>None</v>
      </c>
      <c r="AJ2167" s="51" t="str">
        <f>TEXT(tblWorkPackages[[#This Row],[Due date serial]],"yyyy-mm")</f>
        <v>2024-09</v>
      </c>
    </row>
    <row r="2168" spans="1:36" ht="15" x14ac:dyDescent="0.25">
      <c r="A2168" s="53" t="s">
        <v>3084</v>
      </c>
      <c r="B2168" s="53" t="s">
        <v>133</v>
      </c>
      <c r="C2168" s="53" t="s">
        <v>1473</v>
      </c>
      <c r="D2168" s="53" t="s">
        <v>1409</v>
      </c>
      <c r="E2168" s="53" t="s">
        <v>242</v>
      </c>
      <c r="F2168" s="53" t="s">
        <v>243</v>
      </c>
      <c r="G2168" s="53" t="s">
        <v>129</v>
      </c>
      <c r="H2168" s="53">
        <v>1</v>
      </c>
      <c r="I2168" s="53" t="s">
        <v>176</v>
      </c>
      <c r="J2168" s="53">
        <v>0</v>
      </c>
      <c r="K2168" s="53">
        <v>0</v>
      </c>
      <c r="L2168" s="53">
        <v>5.4</v>
      </c>
      <c r="M2168" s="53" t="s">
        <v>844</v>
      </c>
      <c r="N2168" s="53">
        <v>5.6</v>
      </c>
      <c r="O2168" s="51" t="str">
        <f>TEXT(tblWorkPackages[[#This Row],[Request date serial]]-WEEKDAY(tblWorkPackages[[#This Row],[Request date serial]],3),"yyyy-mm-dd")</f>
        <v>2025-07-28</v>
      </c>
      <c r="P2168" s="51">
        <f>ABS(tblWorkPackages[[#This Row],[Actual labor hours]]-tblWorkPackages[[#This Row],[Estimated labor hours]])</f>
        <v>0.199999999999999</v>
      </c>
      <c r="Q2168" s="51">
        <f>IF(tblWorkPackages[[#This Row],[Actual labor hours]]&gt;tblWorkPackages[[#This Row],[Estimated labor hours]],1,0)</f>
        <v>1</v>
      </c>
      <c r="R2168" s="51">
        <f>tblWorkPackages[[#This Row],[Actual labor hours]]-tblWorkPackages[[#This Row],[Estimated labor hours]]</f>
        <v>0.199999999999999</v>
      </c>
      <c r="S2168" s="51" t="str">
        <f>IF(tblWorkPackages[[#This Row],[Request date serial]]&lt;ValidationStart,"Train 2024",IF(tblWorkPackages[[#This Row],[Request date serial]]&lt;HoldoutStart,"Validation H1","Holdout H2"))</f>
        <v>Holdout H2</v>
      </c>
      <c r="T2168" s="51">
        <f>IF(tblWorkPackages[[#This Row],[Time split]]="Train 2024","",tblWorkPackages[[#This Row],[Estimated labor hours]]+VLOOKUP(tblWorkPackages[[#This Row],[Task type]],'Forecast validation'!$A$14:$E$25,IF(tblWorkPackages[[#This Row],[Time split]]="Validation H1",4,5),FALSE()))</f>
        <v>6.22545454545455</v>
      </c>
      <c r="U2168" s="51">
        <f>IF(tblWorkPackages[[#This Row],[Calibrated forecast hours]]="","",ABS(tblWorkPackages[[#This Row],[Actual labor hours]]-tblWorkPackages[[#This Row],[Calibrated forecast hours]]))</f>
        <v>0.625454545454546</v>
      </c>
      <c r="V2168" s="51">
        <f>IF(tblWorkPackages[[#This Row],[Time split]]="Train 2024",tblWorkPackages[[#This Row],[Estimated labor hours]],tblWorkPackages[[#This Row],[Calibrated forecast hours]])</f>
        <v>6.22545454545455</v>
      </c>
      <c r="W2168" s="64">
        <f>DATEVALUE(tblWorkPackages[[#This Row],[Request date]])</f>
        <v>45869.0</v>
      </c>
      <c r="X2168" s="64">
        <f>DATEVALUE(tblWorkPackages[[#This Row],[Due date]])</f>
        <v>45875.0</v>
      </c>
      <c r="Y2168" s="64">
        <f>DATEVALUE(tblWorkPackages[[#This Row],[Completion date]])</f>
        <v>45874.0</v>
      </c>
      <c r="Z2168" s="64">
        <f>_xlfn.MINIFS(tblLaborEntries[Work date serial],tblLaborEntries[Work package ID],tblWorkPackages[[#This Row],[Work package ID]])</f>
        <v>45872.0</v>
      </c>
      <c r="AA2168" s="64">
        <f>_xlfn.MAXIFS(tblLaborEntries[Work date serial],tblLaborEntries[Work package ID],tblWorkPackages[[#This Row],[Work package ID]])</f>
        <v>45872.0</v>
      </c>
      <c r="AB2168" s="65">
        <f>IF(tblWorkPackages[[#This Row],[Completion date serial]]&gt;tblWorkPackages[[#This Row],[Due date serial]],1,0)</f>
        <v>0</v>
      </c>
      <c r="AC2168" s="65">
        <f>MAX(0,tblWorkPackages[[#This Row],[Completion date serial]]-tblWorkPackages[[#This Row],[Due date serial]])</f>
        <v>0</v>
      </c>
      <c r="AD2168" s="65">
        <f>tblWorkPackages[[#This Row],[First labor date]]-tblWorkPackages[[#This Row],[Request date serial]]</f>
        <v>3</v>
      </c>
      <c r="AE2168" s="65">
        <f>tblWorkPackages[[#This Row],[Last labor date]]-tblWorkPackages[[#This Row],[First labor date]]</f>
        <v>0</v>
      </c>
      <c r="AF2168" s="65">
        <f>tblWorkPackages[[#This Row],[Completion date serial]]-tblWorkPackages[[#This Row],[Last labor date]]</f>
        <v>2</v>
      </c>
      <c r="AG2168" s="65">
        <f>tblWorkPackages[[#This Row],[Completion date serial]]-tblWorkPackages[[#This Row],[Request date serial]]</f>
        <v>5</v>
      </c>
      <c r="AH2168" s="65">
        <f>IFERROR(INDEX(tblParts[Delay days],MATCH(tblWorkPackages[[#This Row],[Work package ID]],tblParts[Work package ID],0)),0)</f>
        <v>0</v>
      </c>
      <c r="AI2168" s="51" t="str">
        <f>IFERROR(INDEX(tblDisruptions[Event type],MATCH(tblWorkPackages[[#This Row],[Work package ID]],tblDisruptions[Work package ID],0)),"None")</f>
        <v>None</v>
      </c>
      <c r="AJ2168" s="51" t="str">
        <f>TEXT(tblWorkPackages[[#This Row],[Due date serial]],"yyyy-mm")</f>
        <v>2025-08</v>
      </c>
    </row>
    <row r="2169" spans="1:36" ht="15" x14ac:dyDescent="0.25">
      <c r="A2169" s="53" t="s">
        <v>3085</v>
      </c>
      <c r="B2169" s="53" t="s">
        <v>168</v>
      </c>
      <c r="C2169" s="53" t="s">
        <v>342</v>
      </c>
      <c r="D2169" s="53" t="s">
        <v>208</v>
      </c>
      <c r="E2169" s="53" t="s">
        <v>153</v>
      </c>
      <c r="F2169" s="53" t="s">
        <v>128</v>
      </c>
      <c r="G2169" s="53" t="s">
        <v>154</v>
      </c>
      <c r="H2169" s="53">
        <v>1</v>
      </c>
      <c r="I2169" s="53" t="s">
        <v>176</v>
      </c>
      <c r="J2169" s="53">
        <v>0</v>
      </c>
      <c r="K2169" s="53">
        <v>1</v>
      </c>
      <c r="L2169" s="53">
        <v>6</v>
      </c>
      <c r="M2169" s="53" t="s">
        <v>134</v>
      </c>
      <c r="N2169" s="53">
        <v>7.6</v>
      </c>
      <c r="O2169" s="51" t="str">
        <f>TEXT(tblWorkPackages[[#This Row],[Request date serial]]-WEEKDAY(tblWorkPackages[[#This Row],[Request date serial]],3),"yyyy-mm-dd")</f>
        <v>2025-07-28</v>
      </c>
      <c r="P2169" s="51">
        <f>ABS(tblWorkPackages[[#This Row],[Actual labor hours]]-tblWorkPackages[[#This Row],[Estimated labor hours]])</f>
        <v>1.6</v>
      </c>
      <c r="Q2169" s="51">
        <f>IF(tblWorkPackages[[#This Row],[Actual labor hours]]&gt;tblWorkPackages[[#This Row],[Estimated labor hours]],1,0)</f>
        <v>1</v>
      </c>
      <c r="R2169" s="51">
        <f>tblWorkPackages[[#This Row],[Actual labor hours]]-tblWorkPackages[[#This Row],[Estimated labor hours]]</f>
        <v>1.6</v>
      </c>
      <c r="S2169" s="51" t="str">
        <f>IF(tblWorkPackages[[#This Row],[Request date serial]]&lt;ValidationStart,"Train 2024",IF(tblWorkPackages[[#This Row],[Request date serial]]&lt;HoldoutStart,"Validation H1","Holdout H2"))</f>
        <v>Holdout H2</v>
      </c>
      <c r="T2169" s="51">
        <f>IF(tblWorkPackages[[#This Row],[Time split]]="Train 2024","",tblWorkPackages[[#This Row],[Estimated labor hours]]+VLOOKUP(tblWorkPackages[[#This Row],[Task type]],'Forecast validation'!$A$14:$E$25,IF(tblWorkPackages[[#This Row],[Time split]]="Validation H1",4,5),FALSE()))</f>
        <v>6.60266666666667</v>
      </c>
      <c r="U2169" s="51">
        <f>IF(tblWorkPackages[[#This Row],[Calibrated forecast hours]]="","",ABS(tblWorkPackages[[#This Row],[Actual labor hours]]-tblWorkPackages[[#This Row],[Calibrated forecast hours]]))</f>
        <v>0.997333333333333</v>
      </c>
      <c r="V2169" s="51">
        <f>IF(tblWorkPackages[[#This Row],[Time split]]="Train 2024",tblWorkPackages[[#This Row],[Estimated labor hours]],tblWorkPackages[[#This Row],[Calibrated forecast hours]])</f>
        <v>6.60266666666667</v>
      </c>
      <c r="W2169" s="64">
        <f>DATEVALUE(tblWorkPackages[[#This Row],[Request date]])</f>
        <v>45871.0</v>
      </c>
      <c r="X2169" s="64">
        <f>DATEVALUE(tblWorkPackages[[#This Row],[Due date]])</f>
        <v>45877.0</v>
      </c>
      <c r="Y2169" s="64">
        <f>DATEVALUE(tblWorkPackages[[#This Row],[Completion date]])</f>
        <v>45905.0</v>
      </c>
      <c r="Z2169" s="64">
        <f>_xlfn.MINIFS(tblLaborEntries[Work date serial],tblLaborEntries[Work package ID],tblWorkPackages[[#This Row],[Work package ID]])</f>
        <v>45900.0</v>
      </c>
      <c r="AA2169" s="64">
        <f>_xlfn.MAXIFS(tblLaborEntries[Work date serial],tblLaborEntries[Work package ID],tblWorkPackages[[#This Row],[Work package ID]])</f>
        <v>45902.0</v>
      </c>
      <c r="AB2169" s="65">
        <f>IF(tblWorkPackages[[#This Row],[Completion date serial]]&gt;tblWorkPackages[[#This Row],[Due date serial]],1,0)</f>
        <v>1</v>
      </c>
      <c r="AC2169" s="65">
        <f>MAX(0,tblWorkPackages[[#This Row],[Completion date serial]]-tblWorkPackages[[#This Row],[Due date serial]])</f>
        <v>28</v>
      </c>
      <c r="AD2169" s="65">
        <f>tblWorkPackages[[#This Row],[First labor date]]-tblWorkPackages[[#This Row],[Request date serial]]</f>
        <v>29</v>
      </c>
      <c r="AE2169" s="65">
        <f>tblWorkPackages[[#This Row],[Last labor date]]-tblWorkPackages[[#This Row],[First labor date]]</f>
        <v>2</v>
      </c>
      <c r="AF2169" s="65">
        <f>tblWorkPackages[[#This Row],[Completion date serial]]-tblWorkPackages[[#This Row],[Last labor date]]</f>
        <v>3</v>
      </c>
      <c r="AG2169" s="65">
        <f>tblWorkPackages[[#This Row],[Completion date serial]]-tblWorkPackages[[#This Row],[Request date serial]]</f>
        <v>34</v>
      </c>
      <c r="AH2169" s="65">
        <f>IFERROR(INDEX(tblParts[Delay days],MATCH(tblWorkPackages[[#This Row],[Work package ID]],tblParts[Work package ID],0)),0)</f>
        <v>0</v>
      </c>
      <c r="AI2169" s="51" t="str">
        <f>IFERROR(INDEX(tblDisruptions[Event type],MATCH(tblWorkPackages[[#This Row],[Work package ID]],tblDisruptions[Work package ID],0)),"None")</f>
        <v>None</v>
      </c>
      <c r="AJ2169" s="51" t="str">
        <f>TEXT(tblWorkPackages[[#This Row],[Due date serial]],"yyyy-mm")</f>
        <v>2025-08</v>
      </c>
    </row>
    <row r="2170" spans="1:36" ht="15" x14ac:dyDescent="0.25">
      <c r="A2170" s="53" t="s">
        <v>3086</v>
      </c>
      <c r="B2170" s="53" t="s">
        <v>235</v>
      </c>
      <c r="C2170" s="53" t="s">
        <v>668</v>
      </c>
      <c r="D2170" s="53" t="s">
        <v>880</v>
      </c>
      <c r="E2170" s="53" t="s">
        <v>272</v>
      </c>
      <c r="F2170" s="53" t="s">
        <v>145</v>
      </c>
      <c r="G2170" s="53" t="s">
        <v>273</v>
      </c>
      <c r="H2170" s="53">
        <v>4</v>
      </c>
      <c r="I2170" s="53" t="s">
        <v>130</v>
      </c>
      <c r="J2170" s="53">
        <v>0</v>
      </c>
      <c r="K2170" s="53">
        <v>1</v>
      </c>
      <c r="L2170" s="53">
        <v>23</v>
      </c>
      <c r="M2170" s="53" t="s">
        <v>689</v>
      </c>
      <c r="N2170" s="53">
        <v>22.4</v>
      </c>
      <c r="O2170" s="51" t="str">
        <f>TEXT(tblWorkPackages[[#This Row],[Request date serial]]-WEEKDAY(tblWorkPackages[[#This Row],[Request date serial]],3),"yyyy-mm-dd")</f>
        <v>2024-03-25</v>
      </c>
      <c r="P2170" s="51">
        <f>ABS(tblWorkPackages[[#This Row],[Actual labor hours]]-tblWorkPackages[[#This Row],[Estimated labor hours]])</f>
        <v>0.600000000000001</v>
      </c>
      <c r="Q2170" s="51">
        <f>IF(tblWorkPackages[[#This Row],[Actual labor hours]]&gt;tblWorkPackages[[#This Row],[Estimated labor hours]],1,0)</f>
        <v>0</v>
      </c>
      <c r="R2170" s="51">
        <f>tblWorkPackages[[#This Row],[Actual labor hours]]-tblWorkPackages[[#This Row],[Estimated labor hours]]</f>
        <v>-0.600000000000001</v>
      </c>
      <c r="S2170" s="51" t="str">
        <f>IF(tblWorkPackages[[#This Row],[Request date serial]]&lt;ValidationStart,"Train 2024",IF(tblWorkPackages[[#This Row],[Request date serial]]&lt;HoldoutStart,"Validation H1","Holdout H2"))</f>
        <v>Train 2024</v>
      </c>
      <c r="T2170" s="51" t="str">
        <f>IF(tblWorkPackages[[#This Row],[Time split]]="Train 2024","",tblWorkPackages[[#This Row],[Estimated labor hours]]+VLOOKUP(tblWorkPackages[[#This Row],[Task type]],'Forecast validation'!$A$14:$E$25,IF(tblWorkPackages[[#This Row],[Time split]]="Validation H1",4,5),FALSE()))</f>
        <v/>
      </c>
      <c r="U2170" s="51" t="str">
        <f>IF(tblWorkPackages[[#This Row],[Calibrated forecast hours]]="","",ABS(tblWorkPackages[[#This Row],[Actual labor hours]]-tblWorkPackages[[#This Row],[Calibrated forecast hours]]))</f>
        <v/>
      </c>
      <c r="V2170" s="51">
        <f>IF(tblWorkPackages[[#This Row],[Time split]]="Train 2024",tblWorkPackages[[#This Row],[Estimated labor hours]],tblWorkPackages[[#This Row],[Calibrated forecast hours]])</f>
        <v>23</v>
      </c>
      <c r="W2170" s="64">
        <f>DATEVALUE(tblWorkPackages[[#This Row],[Request date]])</f>
        <v>45379.0</v>
      </c>
      <c r="X2170" s="64">
        <f>DATEVALUE(tblWorkPackages[[#This Row],[Due date]])</f>
        <v>45392.0</v>
      </c>
      <c r="Y2170" s="64">
        <f>DATEVALUE(tblWorkPackages[[#This Row],[Completion date]])</f>
        <v>45385.0</v>
      </c>
      <c r="Z2170" s="64">
        <f>_xlfn.MINIFS(tblLaborEntries[Work date serial],tblLaborEntries[Work package ID],tblWorkPackages[[#This Row],[Work package ID]])</f>
        <v>45384.0</v>
      </c>
      <c r="AA2170" s="64">
        <f>_xlfn.MAXIFS(tblLaborEntries[Work date serial],tblLaborEntries[Work package ID],tblWorkPackages[[#This Row],[Work package ID]])</f>
        <v>45385.0</v>
      </c>
      <c r="AB2170" s="65">
        <f>IF(tblWorkPackages[[#This Row],[Completion date serial]]&gt;tblWorkPackages[[#This Row],[Due date serial]],1,0)</f>
        <v>0</v>
      </c>
      <c r="AC2170" s="65">
        <f>MAX(0,tblWorkPackages[[#This Row],[Completion date serial]]-tblWorkPackages[[#This Row],[Due date serial]])</f>
        <v>0</v>
      </c>
      <c r="AD2170" s="65">
        <f>tblWorkPackages[[#This Row],[First labor date]]-tblWorkPackages[[#This Row],[Request date serial]]</f>
        <v>5</v>
      </c>
      <c r="AE2170" s="65">
        <f>tblWorkPackages[[#This Row],[Last labor date]]-tblWorkPackages[[#This Row],[First labor date]]</f>
        <v>1</v>
      </c>
      <c r="AF2170" s="65">
        <f>tblWorkPackages[[#This Row],[Completion date serial]]-tblWorkPackages[[#This Row],[Last labor date]]</f>
        <v>0</v>
      </c>
      <c r="AG2170" s="65">
        <f>tblWorkPackages[[#This Row],[Completion date serial]]-tblWorkPackages[[#This Row],[Request date serial]]</f>
        <v>6</v>
      </c>
      <c r="AH2170" s="65">
        <f>IFERROR(INDEX(tblParts[Delay days],MATCH(tblWorkPackages[[#This Row],[Work package ID]],tblParts[Work package ID],0)),0)</f>
        <v>0</v>
      </c>
      <c r="AI2170" s="51" t="str">
        <f>IFERROR(INDEX(tblDisruptions[Event type],MATCH(tblWorkPackages[[#This Row],[Work package ID]],tblDisruptions[Work package ID],0)),"None")</f>
        <v>None</v>
      </c>
      <c r="AJ2170" s="51" t="str">
        <f>TEXT(tblWorkPackages[[#This Row],[Due date serial]],"yyyy-mm")</f>
        <v>2024-04</v>
      </c>
    </row>
    <row r="2171" spans="1:36" ht="15" x14ac:dyDescent="0.25">
      <c r="A2171" s="53" t="s">
        <v>3087</v>
      </c>
      <c r="B2171" s="53" t="s">
        <v>203</v>
      </c>
      <c r="C2171" s="53" t="s">
        <v>143</v>
      </c>
      <c r="D2171" s="53" t="s">
        <v>1262</v>
      </c>
      <c r="E2171" s="53" t="s">
        <v>242</v>
      </c>
      <c r="F2171" s="53" t="s">
        <v>243</v>
      </c>
      <c r="G2171" s="53" t="s">
        <v>129</v>
      </c>
      <c r="H2171" s="53">
        <v>2</v>
      </c>
      <c r="I2171" s="53" t="s">
        <v>130</v>
      </c>
      <c r="J2171" s="53">
        <v>0</v>
      </c>
      <c r="K2171" s="53">
        <v>0</v>
      </c>
      <c r="L2171" s="53">
        <v>8.4</v>
      </c>
      <c r="M2171" s="53" t="s">
        <v>488</v>
      </c>
      <c r="N2171" s="53">
        <v>7</v>
      </c>
      <c r="O2171" s="51" t="str">
        <f>TEXT(tblWorkPackages[[#This Row],[Request date serial]]-WEEKDAY(tblWorkPackages[[#This Row],[Request date serial]],3),"yyyy-mm-dd")</f>
        <v>2024-01-29</v>
      </c>
      <c r="P2171" s="51">
        <f>ABS(tblWorkPackages[[#This Row],[Actual labor hours]]-tblWorkPackages[[#This Row],[Estimated labor hours]])</f>
        <v>1.4</v>
      </c>
      <c r="Q2171" s="51">
        <f>IF(tblWorkPackages[[#This Row],[Actual labor hours]]&gt;tblWorkPackages[[#This Row],[Estimated labor hours]],1,0)</f>
        <v>0</v>
      </c>
      <c r="R2171" s="51">
        <f>tblWorkPackages[[#This Row],[Actual labor hours]]-tblWorkPackages[[#This Row],[Estimated labor hours]]</f>
        <v>-1.4</v>
      </c>
      <c r="S2171" s="51" t="str">
        <f>IF(tblWorkPackages[[#This Row],[Request date serial]]&lt;ValidationStart,"Train 2024",IF(tblWorkPackages[[#This Row],[Request date serial]]&lt;HoldoutStart,"Validation H1","Holdout H2"))</f>
        <v>Train 2024</v>
      </c>
      <c r="T2171" s="51" t="str">
        <f>IF(tblWorkPackages[[#This Row],[Time split]]="Train 2024","",tblWorkPackages[[#This Row],[Estimated labor hours]]+VLOOKUP(tblWorkPackages[[#This Row],[Task type]],'Forecast validation'!$A$14:$E$25,IF(tblWorkPackages[[#This Row],[Time split]]="Validation H1",4,5),FALSE()))</f>
        <v/>
      </c>
      <c r="U2171" s="51" t="str">
        <f>IF(tblWorkPackages[[#This Row],[Calibrated forecast hours]]="","",ABS(tblWorkPackages[[#This Row],[Actual labor hours]]-tblWorkPackages[[#This Row],[Calibrated forecast hours]]))</f>
        <v/>
      </c>
      <c r="V2171" s="51">
        <f>IF(tblWorkPackages[[#This Row],[Time split]]="Train 2024",tblWorkPackages[[#This Row],[Estimated labor hours]],tblWorkPackages[[#This Row],[Calibrated forecast hours]])</f>
        <v>8.4</v>
      </c>
      <c r="W2171" s="64">
        <f>DATEVALUE(tblWorkPackages[[#This Row],[Request date]])</f>
        <v>45324.0</v>
      </c>
      <c r="X2171" s="64">
        <f>DATEVALUE(tblWorkPackages[[#This Row],[Due date]])</f>
        <v>45337.0</v>
      </c>
      <c r="Y2171" s="64">
        <f>DATEVALUE(tblWorkPackages[[#This Row],[Completion date]])</f>
        <v>45328.0</v>
      </c>
      <c r="Z2171" s="64">
        <f>_xlfn.MINIFS(tblLaborEntries[Work date serial],tblLaborEntries[Work package ID],tblWorkPackages[[#This Row],[Work package ID]])</f>
        <v>45326.0</v>
      </c>
      <c r="AA2171" s="64">
        <f>_xlfn.MAXIFS(tblLaborEntries[Work date serial],tblLaborEntries[Work package ID],tblWorkPackages[[#This Row],[Work package ID]])</f>
        <v>45327.0</v>
      </c>
      <c r="AB2171" s="65">
        <f>IF(tblWorkPackages[[#This Row],[Completion date serial]]&gt;tblWorkPackages[[#This Row],[Due date serial]],1,0)</f>
        <v>0</v>
      </c>
      <c r="AC2171" s="65">
        <f>MAX(0,tblWorkPackages[[#This Row],[Completion date serial]]-tblWorkPackages[[#This Row],[Due date serial]])</f>
        <v>0</v>
      </c>
      <c r="AD2171" s="65">
        <f>tblWorkPackages[[#This Row],[First labor date]]-tblWorkPackages[[#This Row],[Request date serial]]</f>
        <v>2</v>
      </c>
      <c r="AE2171" s="65">
        <f>tblWorkPackages[[#This Row],[Last labor date]]-tblWorkPackages[[#This Row],[First labor date]]</f>
        <v>1</v>
      </c>
      <c r="AF2171" s="65">
        <f>tblWorkPackages[[#This Row],[Completion date serial]]-tblWorkPackages[[#This Row],[Last labor date]]</f>
        <v>1</v>
      </c>
      <c r="AG2171" s="65">
        <f>tblWorkPackages[[#This Row],[Completion date serial]]-tblWorkPackages[[#This Row],[Request date serial]]</f>
        <v>4</v>
      </c>
      <c r="AH2171" s="65">
        <f>IFERROR(INDEX(tblParts[Delay days],MATCH(tblWorkPackages[[#This Row],[Work package ID]],tblParts[Work package ID],0)),0)</f>
        <v>0</v>
      </c>
      <c r="AI2171" s="51" t="str">
        <f>IFERROR(INDEX(tblDisruptions[Event type],MATCH(tblWorkPackages[[#This Row],[Work package ID]],tblDisruptions[Work package ID],0)),"None")</f>
        <v>None</v>
      </c>
      <c r="AJ2171" s="51" t="str">
        <f>TEXT(tblWorkPackages[[#This Row],[Due date serial]],"yyyy-mm")</f>
        <v>2024-02</v>
      </c>
    </row>
    <row r="2172" spans="1:36" ht="15" x14ac:dyDescent="0.25">
      <c r="A2172" s="53" t="s">
        <v>3088</v>
      </c>
      <c r="B2172" s="53" t="s">
        <v>235</v>
      </c>
      <c r="C2172" s="53" t="s">
        <v>259</v>
      </c>
      <c r="D2172" s="53" t="s">
        <v>279</v>
      </c>
      <c r="E2172" s="53" t="s">
        <v>237</v>
      </c>
      <c r="F2172" s="53" t="s">
        <v>182</v>
      </c>
      <c r="G2172" s="53" t="s">
        <v>138</v>
      </c>
      <c r="H2172" s="53">
        <v>2</v>
      </c>
      <c r="I2172" s="53" t="s">
        <v>176</v>
      </c>
      <c r="J2172" s="53">
        <v>1</v>
      </c>
      <c r="K2172" s="53">
        <v>0</v>
      </c>
      <c r="L2172" s="53">
        <v>5.2</v>
      </c>
      <c r="M2172" s="53" t="s">
        <v>696</v>
      </c>
      <c r="N2172" s="53">
        <v>6.6</v>
      </c>
      <c r="O2172" s="51" t="str">
        <f>TEXT(tblWorkPackages[[#This Row],[Request date serial]]-WEEKDAY(tblWorkPackages[[#This Row],[Request date serial]],3),"yyyy-mm-dd")</f>
        <v>2025-01-13</v>
      </c>
      <c r="P2172" s="51">
        <f>ABS(tblWorkPackages[[#This Row],[Actual labor hours]]-tblWorkPackages[[#This Row],[Estimated labor hours]])</f>
        <v>1.4</v>
      </c>
      <c r="Q2172" s="51">
        <f>IF(tblWorkPackages[[#This Row],[Actual labor hours]]&gt;tblWorkPackages[[#This Row],[Estimated labor hours]],1,0)</f>
        <v>1</v>
      </c>
      <c r="R2172" s="51">
        <f>tblWorkPackages[[#This Row],[Actual labor hours]]-tblWorkPackages[[#This Row],[Estimated labor hours]]</f>
        <v>1.4</v>
      </c>
      <c r="S2172" s="51" t="str">
        <f>IF(tblWorkPackages[[#This Row],[Request date serial]]&lt;ValidationStart,"Train 2024",IF(tblWorkPackages[[#This Row],[Request date serial]]&lt;HoldoutStart,"Validation H1","Holdout H2"))</f>
        <v>Validation H1</v>
      </c>
      <c r="T2172" s="51">
        <f>IF(tblWorkPackages[[#This Row],[Time split]]="Train 2024","",tblWorkPackages[[#This Row],[Estimated labor hours]]+VLOOKUP(tblWorkPackages[[#This Row],[Task type]],'Forecast validation'!$A$14:$E$25,IF(tblWorkPackages[[#This Row],[Time split]]="Validation H1",4,5),FALSE()))</f>
        <v>5.7037037037037</v>
      </c>
      <c r="U2172" s="51">
        <f>IF(tblWorkPackages[[#This Row],[Calibrated forecast hours]]="","",ABS(tblWorkPackages[[#This Row],[Actual labor hours]]-tblWorkPackages[[#This Row],[Calibrated forecast hours]]))</f>
        <v>0.896296296296296</v>
      </c>
      <c r="V2172" s="51">
        <f>IF(tblWorkPackages[[#This Row],[Time split]]="Train 2024",tblWorkPackages[[#This Row],[Estimated labor hours]],tblWorkPackages[[#This Row],[Calibrated forecast hours]])</f>
        <v>5.7037037037037</v>
      </c>
      <c r="W2172" s="64">
        <f>DATEVALUE(tblWorkPackages[[#This Row],[Request date]])</f>
        <v>45673.0</v>
      </c>
      <c r="X2172" s="64">
        <f>DATEVALUE(tblWorkPackages[[#This Row],[Due date]])</f>
        <v>45679.0</v>
      </c>
      <c r="Y2172" s="64">
        <f>DATEVALUE(tblWorkPackages[[#This Row],[Completion date]])</f>
        <v>45690.0</v>
      </c>
      <c r="Z2172" s="64">
        <f>_xlfn.MINIFS(tblLaborEntries[Work date serial],tblLaborEntries[Work package ID],tblWorkPackages[[#This Row],[Work package ID]])</f>
        <v>45687.0</v>
      </c>
      <c r="AA2172" s="64">
        <f>_xlfn.MAXIFS(tblLaborEntries[Work date serial],tblLaborEntries[Work package ID],tblWorkPackages[[#This Row],[Work package ID]])</f>
        <v>45688.0</v>
      </c>
      <c r="AB2172" s="65">
        <f>IF(tblWorkPackages[[#This Row],[Completion date serial]]&gt;tblWorkPackages[[#This Row],[Due date serial]],1,0)</f>
        <v>1</v>
      </c>
      <c r="AC2172" s="65">
        <f>MAX(0,tblWorkPackages[[#This Row],[Completion date serial]]-tblWorkPackages[[#This Row],[Due date serial]])</f>
        <v>11</v>
      </c>
      <c r="AD2172" s="65">
        <f>tblWorkPackages[[#This Row],[First labor date]]-tblWorkPackages[[#This Row],[Request date serial]]</f>
        <v>14</v>
      </c>
      <c r="AE2172" s="65">
        <f>tblWorkPackages[[#This Row],[Last labor date]]-tblWorkPackages[[#This Row],[First labor date]]</f>
        <v>1</v>
      </c>
      <c r="AF2172" s="65">
        <f>tblWorkPackages[[#This Row],[Completion date serial]]-tblWorkPackages[[#This Row],[Last labor date]]</f>
        <v>2</v>
      </c>
      <c r="AG2172" s="65">
        <f>tblWorkPackages[[#This Row],[Completion date serial]]-tblWorkPackages[[#This Row],[Request date serial]]</f>
        <v>17</v>
      </c>
      <c r="AH2172" s="65">
        <f>IFERROR(INDEX(tblParts[Delay days],MATCH(tblWorkPackages[[#This Row],[Work package ID]],tblParts[Work package ID],0)),0)</f>
        <v>0</v>
      </c>
      <c r="AI2172" s="51" t="str">
        <f>IFERROR(INDEX(tblDisruptions[Event type],MATCH(tblWorkPackages[[#This Row],[Work package ID]],tblDisruptions[Work package ID],0)),"None")</f>
        <v>None</v>
      </c>
      <c r="AJ2172" s="51" t="str">
        <f>TEXT(tblWorkPackages[[#This Row],[Due date serial]],"yyyy-mm")</f>
        <v>2025-01</v>
      </c>
    </row>
    <row r="2173" spans="1:36" ht="15" x14ac:dyDescent="0.25">
      <c r="A2173" s="53" t="s">
        <v>3089</v>
      </c>
      <c r="B2173" s="53" t="s">
        <v>133</v>
      </c>
      <c r="C2173" s="53" t="s">
        <v>297</v>
      </c>
      <c r="D2173" s="53" t="s">
        <v>540</v>
      </c>
      <c r="E2173" s="53" t="s">
        <v>200</v>
      </c>
      <c r="F2173" s="53" t="s">
        <v>128</v>
      </c>
      <c r="G2173" s="53" t="s">
        <v>129</v>
      </c>
      <c r="H2173" s="53">
        <v>3</v>
      </c>
      <c r="I2173" s="53" t="s">
        <v>130</v>
      </c>
      <c r="J2173" s="53">
        <v>1</v>
      </c>
      <c r="K2173" s="53">
        <v>0</v>
      </c>
      <c r="L2173" s="53">
        <v>3.7</v>
      </c>
      <c r="M2173" s="53" t="s">
        <v>1640</v>
      </c>
      <c r="N2173" s="53">
        <v>4.2</v>
      </c>
      <c r="O2173" s="51" t="str">
        <f>TEXT(tblWorkPackages[[#This Row],[Request date serial]]-WEEKDAY(tblWorkPackages[[#This Row],[Request date serial]],3),"yyyy-mm-dd")</f>
        <v>2024-08-19</v>
      </c>
      <c r="P2173" s="51">
        <f>ABS(tblWorkPackages[[#This Row],[Actual labor hours]]-tblWorkPackages[[#This Row],[Estimated labor hours]])</f>
        <v>0.5</v>
      </c>
      <c r="Q2173" s="51">
        <f>IF(tblWorkPackages[[#This Row],[Actual labor hours]]&gt;tblWorkPackages[[#This Row],[Estimated labor hours]],1,0)</f>
        <v>1</v>
      </c>
      <c r="R2173" s="51">
        <f>tblWorkPackages[[#This Row],[Actual labor hours]]-tblWorkPackages[[#This Row],[Estimated labor hours]]</f>
        <v>0.5</v>
      </c>
      <c r="S2173" s="51" t="str">
        <f>IF(tblWorkPackages[[#This Row],[Request date serial]]&lt;ValidationStart,"Train 2024",IF(tblWorkPackages[[#This Row],[Request date serial]]&lt;HoldoutStart,"Validation H1","Holdout H2"))</f>
        <v>Train 2024</v>
      </c>
      <c r="T2173" s="51" t="str">
        <f>IF(tblWorkPackages[[#This Row],[Time split]]="Train 2024","",tblWorkPackages[[#This Row],[Estimated labor hours]]+VLOOKUP(tblWorkPackages[[#This Row],[Task type]],'Forecast validation'!$A$14:$E$25,IF(tblWorkPackages[[#This Row],[Time split]]="Validation H1",4,5),FALSE()))</f>
        <v/>
      </c>
      <c r="U2173" s="51" t="str">
        <f>IF(tblWorkPackages[[#This Row],[Calibrated forecast hours]]="","",ABS(tblWorkPackages[[#This Row],[Actual labor hours]]-tblWorkPackages[[#This Row],[Calibrated forecast hours]]))</f>
        <v/>
      </c>
      <c r="V2173" s="51">
        <f>IF(tblWorkPackages[[#This Row],[Time split]]="Train 2024",tblWorkPackages[[#This Row],[Estimated labor hours]],tblWorkPackages[[#This Row],[Calibrated forecast hours]])</f>
        <v>3.7</v>
      </c>
      <c r="W2173" s="64">
        <f>DATEVALUE(tblWorkPackages[[#This Row],[Request date]])</f>
        <v>45525.0</v>
      </c>
      <c r="X2173" s="64">
        <f>DATEVALUE(tblWorkPackages[[#This Row],[Due date]])</f>
        <v>45538.0</v>
      </c>
      <c r="Y2173" s="64">
        <f>DATEVALUE(tblWorkPackages[[#This Row],[Completion date]])</f>
        <v>45531.0</v>
      </c>
      <c r="Z2173" s="64">
        <f>_xlfn.MINIFS(tblLaborEntries[Work date serial],tblLaborEntries[Work package ID],tblWorkPackages[[#This Row],[Work package ID]])</f>
        <v>45528.0</v>
      </c>
      <c r="AA2173" s="64">
        <f>_xlfn.MAXIFS(tblLaborEntries[Work date serial],tblLaborEntries[Work package ID],tblWorkPackages[[#This Row],[Work package ID]])</f>
        <v>45528.0</v>
      </c>
      <c r="AB2173" s="65">
        <f>IF(tblWorkPackages[[#This Row],[Completion date serial]]&gt;tblWorkPackages[[#This Row],[Due date serial]],1,0)</f>
        <v>0</v>
      </c>
      <c r="AC2173" s="65">
        <f>MAX(0,tblWorkPackages[[#This Row],[Completion date serial]]-tblWorkPackages[[#This Row],[Due date serial]])</f>
        <v>0</v>
      </c>
      <c r="AD2173" s="65">
        <f>tblWorkPackages[[#This Row],[First labor date]]-tblWorkPackages[[#This Row],[Request date serial]]</f>
        <v>3</v>
      </c>
      <c r="AE2173" s="65">
        <f>tblWorkPackages[[#This Row],[Last labor date]]-tblWorkPackages[[#This Row],[First labor date]]</f>
        <v>0</v>
      </c>
      <c r="AF2173" s="65">
        <f>tblWorkPackages[[#This Row],[Completion date serial]]-tblWorkPackages[[#This Row],[Last labor date]]</f>
        <v>3</v>
      </c>
      <c r="AG2173" s="65">
        <f>tblWorkPackages[[#This Row],[Completion date serial]]-tblWorkPackages[[#This Row],[Request date serial]]</f>
        <v>6</v>
      </c>
      <c r="AH2173" s="65">
        <f>IFERROR(INDEX(tblParts[Delay days],MATCH(tblWorkPackages[[#This Row],[Work package ID]],tblParts[Work package ID],0)),0)</f>
        <v>0</v>
      </c>
      <c r="AI2173" s="51" t="str">
        <f>IFERROR(INDEX(tblDisruptions[Event type],MATCH(tblWorkPackages[[#This Row],[Work package ID]],tblDisruptions[Work package ID],0)),"None")</f>
        <v>None</v>
      </c>
      <c r="AJ2173" s="51" t="str">
        <f>TEXT(tblWorkPackages[[#This Row],[Due date serial]],"yyyy-mm")</f>
        <v>2024-09</v>
      </c>
    </row>
    <row r="2174" spans="1:36" ht="15" x14ac:dyDescent="0.25">
      <c r="A2174" s="53" t="s">
        <v>3090</v>
      </c>
      <c r="B2174" s="53" t="s">
        <v>150</v>
      </c>
      <c r="C2174" s="53" t="s">
        <v>373</v>
      </c>
      <c r="D2174" s="53" t="s">
        <v>381</v>
      </c>
      <c r="E2174" s="53" t="s">
        <v>223</v>
      </c>
      <c r="F2174" s="53" t="s">
        <v>182</v>
      </c>
      <c r="G2174" s="53" t="s">
        <v>154</v>
      </c>
      <c r="H2174" s="53">
        <v>1</v>
      </c>
      <c r="I2174" s="53" t="s">
        <v>130</v>
      </c>
      <c r="J2174" s="53">
        <v>0</v>
      </c>
      <c r="K2174" s="53">
        <v>1</v>
      </c>
      <c r="L2174" s="53">
        <v>7.6</v>
      </c>
      <c r="M2174" s="53" t="s">
        <v>1128</v>
      </c>
      <c r="N2174" s="53">
        <v>8.4</v>
      </c>
      <c r="O2174" s="51" t="str">
        <f>TEXT(tblWorkPackages[[#This Row],[Request date serial]]-WEEKDAY(tblWorkPackages[[#This Row],[Request date serial]],3),"yyyy-mm-dd")</f>
        <v>2024-10-07</v>
      </c>
      <c r="P2174" s="51">
        <f>ABS(tblWorkPackages[[#This Row],[Actual labor hours]]-tblWorkPackages[[#This Row],[Estimated labor hours]])</f>
        <v>0.800000000000001</v>
      </c>
      <c r="Q2174" s="51">
        <f>IF(tblWorkPackages[[#This Row],[Actual labor hours]]&gt;tblWorkPackages[[#This Row],[Estimated labor hours]],1,0)</f>
        <v>1</v>
      </c>
      <c r="R2174" s="51">
        <f>tblWorkPackages[[#This Row],[Actual labor hours]]-tblWorkPackages[[#This Row],[Estimated labor hours]]</f>
        <v>0.800000000000001</v>
      </c>
      <c r="S2174" s="51" t="str">
        <f>IF(tblWorkPackages[[#This Row],[Request date serial]]&lt;ValidationStart,"Train 2024",IF(tblWorkPackages[[#This Row],[Request date serial]]&lt;HoldoutStart,"Validation H1","Holdout H2"))</f>
        <v>Train 2024</v>
      </c>
      <c r="T2174" s="51" t="str">
        <f>IF(tblWorkPackages[[#This Row],[Time split]]="Train 2024","",tblWorkPackages[[#This Row],[Estimated labor hours]]+VLOOKUP(tblWorkPackages[[#This Row],[Task type]],'Forecast validation'!$A$14:$E$25,IF(tblWorkPackages[[#This Row],[Time split]]="Validation H1",4,5),FALSE()))</f>
        <v/>
      </c>
      <c r="U2174" s="51" t="str">
        <f>IF(tblWorkPackages[[#This Row],[Calibrated forecast hours]]="","",ABS(tblWorkPackages[[#This Row],[Actual labor hours]]-tblWorkPackages[[#This Row],[Calibrated forecast hours]]))</f>
        <v/>
      </c>
      <c r="V2174" s="51">
        <f>IF(tblWorkPackages[[#This Row],[Time split]]="Train 2024",tblWorkPackages[[#This Row],[Estimated labor hours]],tblWorkPackages[[#This Row],[Calibrated forecast hours]])</f>
        <v>7.6</v>
      </c>
      <c r="W2174" s="64">
        <f>DATEVALUE(tblWorkPackages[[#This Row],[Request date]])</f>
        <v>45575.0</v>
      </c>
      <c r="X2174" s="64">
        <f>DATEVALUE(tblWorkPackages[[#This Row],[Due date]])</f>
        <v>45588.0</v>
      </c>
      <c r="Y2174" s="64">
        <f>DATEVALUE(tblWorkPackages[[#This Row],[Completion date]])</f>
        <v>45639.0</v>
      </c>
      <c r="Z2174" s="64">
        <f>_xlfn.MINIFS(tblLaborEntries[Work date serial],tblLaborEntries[Work package ID],tblWorkPackages[[#This Row],[Work package ID]])</f>
        <v>45638.0</v>
      </c>
      <c r="AA2174" s="64">
        <f>_xlfn.MAXIFS(tblLaborEntries[Work date serial],tblLaborEntries[Work package ID],tblWorkPackages[[#This Row],[Work package ID]])</f>
        <v>45639.0</v>
      </c>
      <c r="AB2174" s="65">
        <f>IF(tblWorkPackages[[#This Row],[Completion date serial]]&gt;tblWorkPackages[[#This Row],[Due date serial]],1,0)</f>
        <v>1</v>
      </c>
      <c r="AC2174" s="65">
        <f>MAX(0,tblWorkPackages[[#This Row],[Completion date serial]]-tblWorkPackages[[#This Row],[Due date serial]])</f>
        <v>51</v>
      </c>
      <c r="AD2174" s="65">
        <f>tblWorkPackages[[#This Row],[First labor date]]-tblWorkPackages[[#This Row],[Request date serial]]</f>
        <v>63</v>
      </c>
      <c r="AE2174" s="65">
        <f>tblWorkPackages[[#This Row],[Last labor date]]-tblWorkPackages[[#This Row],[First labor date]]</f>
        <v>1</v>
      </c>
      <c r="AF2174" s="65">
        <f>tblWorkPackages[[#This Row],[Completion date serial]]-tblWorkPackages[[#This Row],[Last labor date]]</f>
        <v>0</v>
      </c>
      <c r="AG2174" s="65">
        <f>tblWorkPackages[[#This Row],[Completion date serial]]-tblWorkPackages[[#This Row],[Request date serial]]</f>
        <v>64</v>
      </c>
      <c r="AH2174" s="65">
        <f>IFERROR(INDEX(tblParts[Delay days],MATCH(tblWorkPackages[[#This Row],[Work package ID]],tblParts[Work package ID],0)),0)</f>
        <v>8</v>
      </c>
      <c r="AI2174" s="51" t="str">
        <f>IFERROR(INDEX(tblDisruptions[Event type],MATCH(tblWorkPackages[[#This Row],[Work package ID]],tblDisruptions[Work package ID],0)),"None")</f>
        <v>Part delay</v>
      </c>
      <c r="AJ2174" s="51" t="str">
        <f>TEXT(tblWorkPackages[[#This Row],[Due date serial]],"yyyy-mm")</f>
        <v>2024-10</v>
      </c>
    </row>
    <row r="2175" spans="1:36" ht="15" x14ac:dyDescent="0.25">
      <c r="A2175" s="53" t="s">
        <v>3091</v>
      </c>
      <c r="B2175" s="53" t="s">
        <v>124</v>
      </c>
      <c r="C2175" s="53" t="s">
        <v>1274</v>
      </c>
      <c r="D2175" s="53" t="s">
        <v>332</v>
      </c>
      <c r="E2175" s="53" t="s">
        <v>272</v>
      </c>
      <c r="F2175" s="53" t="s">
        <v>145</v>
      </c>
      <c r="G2175" s="53" t="s">
        <v>273</v>
      </c>
      <c r="H2175" s="53">
        <v>2</v>
      </c>
      <c r="I2175" s="53" t="s">
        <v>130</v>
      </c>
      <c r="J2175" s="53">
        <v>0</v>
      </c>
      <c r="K2175" s="53">
        <v>0</v>
      </c>
      <c r="L2175" s="53">
        <v>10.3</v>
      </c>
      <c r="M2175" s="53" t="s">
        <v>1016</v>
      </c>
      <c r="N2175" s="53">
        <v>9.1</v>
      </c>
      <c r="O2175" s="51" t="str">
        <f>TEXT(tblWorkPackages[[#This Row],[Request date serial]]-WEEKDAY(tblWorkPackages[[#This Row],[Request date serial]],3),"yyyy-mm-dd")</f>
        <v>2025-10-06</v>
      </c>
      <c r="P2175" s="51">
        <f>ABS(tblWorkPackages[[#This Row],[Actual labor hours]]-tblWorkPackages[[#This Row],[Estimated labor hours]])</f>
        <v>1.2</v>
      </c>
      <c r="Q2175" s="51">
        <f>IF(tblWorkPackages[[#This Row],[Actual labor hours]]&gt;tblWorkPackages[[#This Row],[Estimated labor hours]],1,0)</f>
        <v>0</v>
      </c>
      <c r="R2175" s="51">
        <f>tblWorkPackages[[#This Row],[Actual labor hours]]-tblWorkPackages[[#This Row],[Estimated labor hours]]</f>
        <v>-1.2</v>
      </c>
      <c r="S2175" s="51" t="str">
        <f>IF(tblWorkPackages[[#This Row],[Request date serial]]&lt;ValidationStart,"Train 2024",IF(tblWorkPackages[[#This Row],[Request date serial]]&lt;HoldoutStart,"Validation H1","Holdout H2"))</f>
        <v>Holdout H2</v>
      </c>
      <c r="T2175" s="51">
        <f>IF(tblWorkPackages[[#This Row],[Time split]]="Train 2024","",tblWorkPackages[[#This Row],[Estimated labor hours]]+VLOOKUP(tblWorkPackages[[#This Row],[Task type]],'Forecast validation'!$A$14:$E$25,IF(tblWorkPackages[[#This Row],[Time split]]="Validation H1",4,5),FALSE()))</f>
        <v>11.28515625</v>
      </c>
      <c r="U2175" s="51">
        <f>IF(tblWorkPackages[[#This Row],[Calibrated forecast hours]]="","",ABS(tblWorkPackages[[#This Row],[Actual labor hours]]-tblWorkPackages[[#This Row],[Calibrated forecast hours]]))</f>
        <v>2.18515625</v>
      </c>
      <c r="V2175" s="51">
        <f>IF(tblWorkPackages[[#This Row],[Time split]]="Train 2024",tblWorkPackages[[#This Row],[Estimated labor hours]],tblWorkPackages[[#This Row],[Calibrated forecast hours]])</f>
        <v>11.28515625</v>
      </c>
      <c r="W2175" s="64">
        <f>DATEVALUE(tblWorkPackages[[#This Row],[Request date]])</f>
        <v>45941.0</v>
      </c>
      <c r="X2175" s="64">
        <f>DATEVALUE(tblWorkPackages[[#This Row],[Due date]])</f>
        <v>45954.0</v>
      </c>
      <c r="Y2175" s="64">
        <f>DATEVALUE(tblWorkPackages[[#This Row],[Completion date]])</f>
        <v>45952.0</v>
      </c>
      <c r="Z2175" s="64">
        <f>_xlfn.MINIFS(tblLaborEntries[Work date serial],tblLaborEntries[Work package ID],tblWorkPackages[[#This Row],[Work package ID]])</f>
        <v>45949.0</v>
      </c>
      <c r="AA2175" s="64">
        <f>_xlfn.MAXIFS(tblLaborEntries[Work date serial],tblLaborEntries[Work package ID],tblWorkPackages[[#This Row],[Work package ID]])</f>
        <v>45951.0</v>
      </c>
      <c r="AB2175" s="65">
        <f>IF(tblWorkPackages[[#This Row],[Completion date serial]]&gt;tblWorkPackages[[#This Row],[Due date serial]],1,0)</f>
        <v>0</v>
      </c>
      <c r="AC2175" s="65">
        <f>MAX(0,tblWorkPackages[[#This Row],[Completion date serial]]-tblWorkPackages[[#This Row],[Due date serial]])</f>
        <v>0</v>
      </c>
      <c r="AD2175" s="65">
        <f>tblWorkPackages[[#This Row],[First labor date]]-tblWorkPackages[[#This Row],[Request date serial]]</f>
        <v>8</v>
      </c>
      <c r="AE2175" s="65">
        <f>tblWorkPackages[[#This Row],[Last labor date]]-tblWorkPackages[[#This Row],[First labor date]]</f>
        <v>2</v>
      </c>
      <c r="AF2175" s="65">
        <f>tblWorkPackages[[#This Row],[Completion date serial]]-tblWorkPackages[[#This Row],[Last labor date]]</f>
        <v>1</v>
      </c>
      <c r="AG2175" s="65">
        <f>tblWorkPackages[[#This Row],[Completion date serial]]-tblWorkPackages[[#This Row],[Request date serial]]</f>
        <v>11</v>
      </c>
      <c r="AH2175" s="65">
        <f>IFERROR(INDEX(tblParts[Delay days],MATCH(tblWorkPackages[[#This Row],[Work package ID]],tblParts[Work package ID],0)),0)</f>
        <v>0</v>
      </c>
      <c r="AI2175" s="51" t="str">
        <f>IFERROR(INDEX(tblDisruptions[Event type],MATCH(tblWorkPackages[[#This Row],[Work package ID]],tblDisruptions[Work package ID],0)),"None")</f>
        <v>None</v>
      </c>
      <c r="AJ2175" s="51" t="str">
        <f>TEXT(tblWorkPackages[[#This Row],[Due date serial]],"yyyy-mm")</f>
        <v>2025-10</v>
      </c>
    </row>
    <row r="2176" spans="1:36" ht="15" x14ac:dyDescent="0.25">
      <c r="A2176" s="53" t="s">
        <v>3092</v>
      </c>
      <c r="B2176" s="53" t="s">
        <v>124</v>
      </c>
      <c r="C2176" s="53" t="s">
        <v>195</v>
      </c>
      <c r="D2176" s="53" t="s">
        <v>594</v>
      </c>
      <c r="E2176" s="53" t="s">
        <v>223</v>
      </c>
      <c r="F2176" s="53" t="s">
        <v>182</v>
      </c>
      <c r="G2176" s="53" t="s">
        <v>154</v>
      </c>
      <c r="H2176" s="53">
        <v>4</v>
      </c>
      <c r="I2176" s="53" t="s">
        <v>130</v>
      </c>
      <c r="J2176" s="53">
        <v>0</v>
      </c>
      <c r="K2176" s="53">
        <v>0</v>
      </c>
      <c r="L2176" s="53">
        <v>20.5</v>
      </c>
      <c r="M2176" s="53" t="s">
        <v>169</v>
      </c>
      <c r="N2176" s="53">
        <v>25.4</v>
      </c>
      <c r="O2176" s="51" t="str">
        <f>TEXT(tblWorkPackages[[#This Row],[Request date serial]]-WEEKDAY(tblWorkPackages[[#This Row],[Request date serial]],3),"yyyy-mm-dd")</f>
        <v>2024-10-14</v>
      </c>
      <c r="P2176" s="51">
        <f>ABS(tblWorkPackages[[#This Row],[Actual labor hours]]-tblWorkPackages[[#This Row],[Estimated labor hours]])</f>
        <v>4.9</v>
      </c>
      <c r="Q2176" s="51">
        <f>IF(tblWorkPackages[[#This Row],[Actual labor hours]]&gt;tblWorkPackages[[#This Row],[Estimated labor hours]],1,0)</f>
        <v>1</v>
      </c>
      <c r="R2176" s="51">
        <f>tblWorkPackages[[#This Row],[Actual labor hours]]-tblWorkPackages[[#This Row],[Estimated labor hours]]</f>
        <v>4.9</v>
      </c>
      <c r="S2176" s="51" t="str">
        <f>IF(tblWorkPackages[[#This Row],[Request date serial]]&lt;ValidationStart,"Train 2024",IF(tblWorkPackages[[#This Row],[Request date serial]]&lt;HoldoutStart,"Validation H1","Holdout H2"))</f>
        <v>Train 2024</v>
      </c>
      <c r="T2176" s="51" t="str">
        <f>IF(tblWorkPackages[[#This Row],[Time split]]="Train 2024","",tblWorkPackages[[#This Row],[Estimated labor hours]]+VLOOKUP(tblWorkPackages[[#This Row],[Task type]],'Forecast validation'!$A$14:$E$25,IF(tblWorkPackages[[#This Row],[Time split]]="Validation H1",4,5),FALSE()))</f>
        <v/>
      </c>
      <c r="U2176" s="51" t="str">
        <f>IF(tblWorkPackages[[#This Row],[Calibrated forecast hours]]="","",ABS(tblWorkPackages[[#This Row],[Actual labor hours]]-tblWorkPackages[[#This Row],[Calibrated forecast hours]]))</f>
        <v/>
      </c>
      <c r="V2176" s="51">
        <f>IF(tblWorkPackages[[#This Row],[Time split]]="Train 2024",tblWorkPackages[[#This Row],[Estimated labor hours]],tblWorkPackages[[#This Row],[Calibrated forecast hours]])</f>
        <v>20.5</v>
      </c>
      <c r="W2176" s="64">
        <f>DATEVALUE(tblWorkPackages[[#This Row],[Request date]])</f>
        <v>45580.0</v>
      </c>
      <c r="X2176" s="64">
        <f>DATEVALUE(tblWorkPackages[[#This Row],[Due date]])</f>
        <v>45593.0</v>
      </c>
      <c r="Y2176" s="64">
        <f>DATEVALUE(tblWorkPackages[[#This Row],[Completion date]])</f>
        <v>45585.0</v>
      </c>
      <c r="Z2176" s="64">
        <f>_xlfn.MINIFS(tblLaborEntries[Work date serial],tblLaborEntries[Work package ID],tblWorkPackages[[#This Row],[Work package ID]])</f>
        <v>45582.0</v>
      </c>
      <c r="AA2176" s="64">
        <f>_xlfn.MAXIFS(tblLaborEntries[Work date serial],tblLaborEntries[Work package ID],tblWorkPackages[[#This Row],[Work package ID]])</f>
        <v>45583.0</v>
      </c>
      <c r="AB2176" s="65">
        <f>IF(tblWorkPackages[[#This Row],[Completion date serial]]&gt;tblWorkPackages[[#This Row],[Due date serial]],1,0)</f>
        <v>0</v>
      </c>
      <c r="AC2176" s="65">
        <f>MAX(0,tblWorkPackages[[#This Row],[Completion date serial]]-tblWorkPackages[[#This Row],[Due date serial]])</f>
        <v>0</v>
      </c>
      <c r="AD2176" s="65">
        <f>tblWorkPackages[[#This Row],[First labor date]]-tblWorkPackages[[#This Row],[Request date serial]]</f>
        <v>2</v>
      </c>
      <c r="AE2176" s="65">
        <f>tblWorkPackages[[#This Row],[Last labor date]]-tblWorkPackages[[#This Row],[First labor date]]</f>
        <v>1</v>
      </c>
      <c r="AF2176" s="65">
        <f>tblWorkPackages[[#This Row],[Completion date serial]]-tblWorkPackages[[#This Row],[Last labor date]]</f>
        <v>2</v>
      </c>
      <c r="AG2176" s="65">
        <f>tblWorkPackages[[#This Row],[Completion date serial]]-tblWorkPackages[[#This Row],[Request date serial]]</f>
        <v>5</v>
      </c>
      <c r="AH2176" s="65">
        <f>IFERROR(INDEX(tblParts[Delay days],MATCH(tblWorkPackages[[#This Row],[Work package ID]],tblParts[Work package ID],0)),0)</f>
        <v>0</v>
      </c>
      <c r="AI2176" s="51" t="str">
        <f>IFERROR(INDEX(tblDisruptions[Event type],MATCH(tblWorkPackages[[#This Row],[Work package ID]],tblDisruptions[Work package ID],0)),"None")</f>
        <v>None</v>
      </c>
      <c r="AJ2176" s="51" t="str">
        <f>TEXT(tblWorkPackages[[#This Row],[Due date serial]],"yyyy-mm")</f>
        <v>2024-10</v>
      </c>
    </row>
    <row r="2177" spans="1:36" ht="15" x14ac:dyDescent="0.25">
      <c r="A2177" s="53" t="s">
        <v>3093</v>
      </c>
      <c r="B2177" s="53" t="s">
        <v>168</v>
      </c>
      <c r="C2177" s="53" t="s">
        <v>489</v>
      </c>
      <c r="D2177" s="53" t="s">
        <v>719</v>
      </c>
      <c r="E2177" s="53" t="s">
        <v>237</v>
      </c>
      <c r="F2177" s="53" t="s">
        <v>182</v>
      </c>
      <c r="G2177" s="53" t="s">
        <v>138</v>
      </c>
      <c r="H2177" s="53">
        <v>2</v>
      </c>
      <c r="I2177" s="53" t="s">
        <v>130</v>
      </c>
      <c r="J2177" s="53">
        <v>0</v>
      </c>
      <c r="K2177" s="53">
        <v>0</v>
      </c>
      <c r="L2177" s="53">
        <v>5.7</v>
      </c>
      <c r="M2177" s="53" t="s">
        <v>329</v>
      </c>
      <c r="N2177" s="53">
        <v>7</v>
      </c>
      <c r="O2177" s="51" t="str">
        <f>TEXT(tblWorkPackages[[#This Row],[Request date serial]]-WEEKDAY(tblWorkPackages[[#This Row],[Request date serial]],3),"yyyy-mm-dd")</f>
        <v>2024-02-19</v>
      </c>
      <c r="P2177" s="51">
        <f>ABS(tblWorkPackages[[#This Row],[Actual labor hours]]-tblWorkPackages[[#This Row],[Estimated labor hours]])</f>
        <v>1.3</v>
      </c>
      <c r="Q2177" s="51">
        <f>IF(tblWorkPackages[[#This Row],[Actual labor hours]]&gt;tblWorkPackages[[#This Row],[Estimated labor hours]],1,0)</f>
        <v>1</v>
      </c>
      <c r="R2177" s="51">
        <f>tblWorkPackages[[#This Row],[Actual labor hours]]-tblWorkPackages[[#This Row],[Estimated labor hours]]</f>
        <v>1.3</v>
      </c>
      <c r="S2177" s="51" t="str">
        <f>IF(tblWorkPackages[[#This Row],[Request date serial]]&lt;ValidationStart,"Train 2024",IF(tblWorkPackages[[#This Row],[Request date serial]]&lt;HoldoutStart,"Validation H1","Holdout H2"))</f>
        <v>Train 2024</v>
      </c>
      <c r="T2177" s="51" t="str">
        <f>IF(tblWorkPackages[[#This Row],[Time split]]="Train 2024","",tblWorkPackages[[#This Row],[Estimated labor hours]]+VLOOKUP(tblWorkPackages[[#This Row],[Task type]],'Forecast validation'!$A$14:$E$25,IF(tblWorkPackages[[#This Row],[Time split]]="Validation H1",4,5),FALSE()))</f>
        <v/>
      </c>
      <c r="U2177" s="51" t="str">
        <f>IF(tblWorkPackages[[#This Row],[Calibrated forecast hours]]="","",ABS(tblWorkPackages[[#This Row],[Actual labor hours]]-tblWorkPackages[[#This Row],[Calibrated forecast hours]]))</f>
        <v/>
      </c>
      <c r="V2177" s="51">
        <f>IF(tblWorkPackages[[#This Row],[Time split]]="Train 2024",tblWorkPackages[[#This Row],[Estimated labor hours]],tblWorkPackages[[#This Row],[Calibrated forecast hours]])</f>
        <v>5.7</v>
      </c>
      <c r="W2177" s="64">
        <f>DATEVALUE(tblWorkPackages[[#This Row],[Request date]])</f>
        <v>45341.0</v>
      </c>
      <c r="X2177" s="64">
        <f>DATEVALUE(tblWorkPackages[[#This Row],[Due date]])</f>
        <v>45354.0</v>
      </c>
      <c r="Y2177" s="64">
        <f>DATEVALUE(tblWorkPackages[[#This Row],[Completion date]])</f>
        <v>45367.0</v>
      </c>
      <c r="Z2177" s="64">
        <f>_xlfn.MINIFS(tblLaborEntries[Work date serial],tblLaborEntries[Work package ID],tblWorkPackages[[#This Row],[Work package ID]])</f>
        <v>45362.0</v>
      </c>
      <c r="AA2177" s="64">
        <f>_xlfn.MAXIFS(tblLaborEntries[Work date serial],tblLaborEntries[Work package ID],tblWorkPackages[[#This Row],[Work package ID]])</f>
        <v>45364.0</v>
      </c>
      <c r="AB2177" s="65">
        <f>IF(tblWorkPackages[[#This Row],[Completion date serial]]&gt;tblWorkPackages[[#This Row],[Due date serial]],1,0)</f>
        <v>1</v>
      </c>
      <c r="AC2177" s="65">
        <f>MAX(0,tblWorkPackages[[#This Row],[Completion date serial]]-tblWorkPackages[[#This Row],[Due date serial]])</f>
        <v>13</v>
      </c>
      <c r="AD2177" s="65">
        <f>tblWorkPackages[[#This Row],[First labor date]]-tblWorkPackages[[#This Row],[Request date serial]]</f>
        <v>21</v>
      </c>
      <c r="AE2177" s="65">
        <f>tblWorkPackages[[#This Row],[Last labor date]]-tblWorkPackages[[#This Row],[First labor date]]</f>
        <v>2</v>
      </c>
      <c r="AF2177" s="65">
        <f>tblWorkPackages[[#This Row],[Completion date serial]]-tblWorkPackages[[#This Row],[Last labor date]]</f>
        <v>3</v>
      </c>
      <c r="AG2177" s="65">
        <f>tblWorkPackages[[#This Row],[Completion date serial]]-tblWorkPackages[[#This Row],[Request date serial]]</f>
        <v>26</v>
      </c>
      <c r="AH2177" s="65">
        <f>IFERROR(INDEX(tblParts[Delay days],MATCH(tblWorkPackages[[#This Row],[Work package ID]],tblParts[Work package ID],0)),0)</f>
        <v>0</v>
      </c>
      <c r="AI2177" s="51" t="str">
        <f>IFERROR(INDEX(tblDisruptions[Event type],MATCH(tblWorkPackages[[#This Row],[Work package ID]],tblDisruptions[Work package ID],0)),"None")</f>
        <v>None</v>
      </c>
      <c r="AJ2177" s="51" t="str">
        <f>TEXT(tblWorkPackages[[#This Row],[Due date serial]],"yyyy-mm")</f>
        <v>2024-03</v>
      </c>
    </row>
    <row r="2178" spans="1:36" ht="15" x14ac:dyDescent="0.25">
      <c r="A2178" s="53" t="s">
        <v>3094</v>
      </c>
      <c r="B2178" s="53" t="s">
        <v>203</v>
      </c>
      <c r="C2178" s="53" t="s">
        <v>540</v>
      </c>
      <c r="D2178" s="53" t="s">
        <v>1546</v>
      </c>
      <c r="E2178" s="53" t="s">
        <v>209</v>
      </c>
      <c r="F2178" s="53" t="s">
        <v>145</v>
      </c>
      <c r="G2178" s="53" t="s">
        <v>210</v>
      </c>
      <c r="H2178" s="53">
        <v>2</v>
      </c>
      <c r="I2178" s="53" t="s">
        <v>130</v>
      </c>
      <c r="J2178" s="53">
        <v>0</v>
      </c>
      <c r="K2178" s="53">
        <v>0</v>
      </c>
      <c r="L2178" s="53">
        <v>17.3</v>
      </c>
      <c r="M2178" s="53" t="s">
        <v>294</v>
      </c>
      <c r="N2178" s="53">
        <v>18.7</v>
      </c>
      <c r="O2178" s="51" t="str">
        <f>TEXT(tblWorkPackages[[#This Row],[Request date serial]]-WEEKDAY(tblWorkPackages[[#This Row],[Request date serial]],3),"yyyy-mm-dd")</f>
        <v>2024-09-02</v>
      </c>
      <c r="P2178" s="51">
        <f>ABS(tblWorkPackages[[#This Row],[Actual labor hours]]-tblWorkPackages[[#This Row],[Estimated labor hours]])</f>
        <v>1.4</v>
      </c>
      <c r="Q2178" s="51">
        <f>IF(tblWorkPackages[[#This Row],[Actual labor hours]]&gt;tblWorkPackages[[#This Row],[Estimated labor hours]],1,0)</f>
        <v>1</v>
      </c>
      <c r="R2178" s="51">
        <f>tblWorkPackages[[#This Row],[Actual labor hours]]-tblWorkPackages[[#This Row],[Estimated labor hours]]</f>
        <v>1.4</v>
      </c>
      <c r="S2178" s="51" t="str">
        <f>IF(tblWorkPackages[[#This Row],[Request date serial]]&lt;ValidationStart,"Train 2024",IF(tblWorkPackages[[#This Row],[Request date serial]]&lt;HoldoutStart,"Validation H1","Holdout H2"))</f>
        <v>Train 2024</v>
      </c>
      <c r="T2178" s="51" t="str">
        <f>IF(tblWorkPackages[[#This Row],[Time split]]="Train 2024","",tblWorkPackages[[#This Row],[Estimated labor hours]]+VLOOKUP(tblWorkPackages[[#This Row],[Task type]],'Forecast validation'!$A$14:$E$25,IF(tblWorkPackages[[#This Row],[Time split]]="Validation H1",4,5),FALSE()))</f>
        <v/>
      </c>
      <c r="U2178" s="51" t="str">
        <f>IF(tblWorkPackages[[#This Row],[Calibrated forecast hours]]="","",ABS(tblWorkPackages[[#This Row],[Actual labor hours]]-tblWorkPackages[[#This Row],[Calibrated forecast hours]]))</f>
        <v/>
      </c>
      <c r="V2178" s="51">
        <f>IF(tblWorkPackages[[#This Row],[Time split]]="Train 2024",tblWorkPackages[[#This Row],[Estimated labor hours]],tblWorkPackages[[#This Row],[Calibrated forecast hours]])</f>
        <v>17.3</v>
      </c>
      <c r="W2178" s="64">
        <f>DATEVALUE(tblWorkPackages[[#This Row],[Request date]])</f>
        <v>45538.0</v>
      </c>
      <c r="X2178" s="64">
        <f>DATEVALUE(tblWorkPackages[[#This Row],[Due date]])</f>
        <v>45551.0</v>
      </c>
      <c r="Y2178" s="64">
        <f>DATEVALUE(tblWorkPackages[[#This Row],[Completion date]])</f>
        <v>45543.0</v>
      </c>
      <c r="Z2178" s="64">
        <f>_xlfn.MINIFS(tblLaborEntries[Work date serial],tblLaborEntries[Work package ID],tblWorkPackages[[#This Row],[Work package ID]])</f>
        <v>45542.0</v>
      </c>
      <c r="AA2178" s="64">
        <f>_xlfn.MAXIFS(tblLaborEntries[Work date serial],tblLaborEntries[Work package ID],tblWorkPackages[[#This Row],[Work package ID]])</f>
        <v>45543.0</v>
      </c>
      <c r="AB2178" s="65">
        <f>IF(tblWorkPackages[[#This Row],[Completion date serial]]&gt;tblWorkPackages[[#This Row],[Due date serial]],1,0)</f>
        <v>0</v>
      </c>
      <c r="AC2178" s="65">
        <f>MAX(0,tblWorkPackages[[#This Row],[Completion date serial]]-tblWorkPackages[[#This Row],[Due date serial]])</f>
        <v>0</v>
      </c>
      <c r="AD2178" s="65">
        <f>tblWorkPackages[[#This Row],[First labor date]]-tblWorkPackages[[#This Row],[Request date serial]]</f>
        <v>4</v>
      </c>
      <c r="AE2178" s="65">
        <f>tblWorkPackages[[#This Row],[Last labor date]]-tblWorkPackages[[#This Row],[First labor date]]</f>
        <v>1</v>
      </c>
      <c r="AF2178" s="65">
        <f>tblWorkPackages[[#This Row],[Completion date serial]]-tblWorkPackages[[#This Row],[Last labor date]]</f>
        <v>0</v>
      </c>
      <c r="AG2178" s="65">
        <f>tblWorkPackages[[#This Row],[Completion date serial]]-tblWorkPackages[[#This Row],[Request date serial]]</f>
        <v>5</v>
      </c>
      <c r="AH2178" s="65">
        <f>IFERROR(INDEX(tblParts[Delay days],MATCH(tblWorkPackages[[#This Row],[Work package ID]],tblParts[Work package ID],0)),0)</f>
        <v>0</v>
      </c>
      <c r="AI2178" s="51" t="str">
        <f>IFERROR(INDEX(tblDisruptions[Event type],MATCH(tblWorkPackages[[#This Row],[Work package ID]],tblDisruptions[Work package ID],0)),"None")</f>
        <v>None</v>
      </c>
      <c r="AJ2178" s="51" t="str">
        <f>TEXT(tblWorkPackages[[#This Row],[Due date serial]],"yyyy-mm")</f>
        <v>2024-09</v>
      </c>
    </row>
    <row r="2179" spans="1:36" ht="15" x14ac:dyDescent="0.25">
      <c r="A2179" s="53" t="s">
        <v>3095</v>
      </c>
      <c r="B2179" s="53" t="s">
        <v>124</v>
      </c>
      <c r="C2179" s="53" t="s">
        <v>486</v>
      </c>
      <c r="D2179" s="53" t="s">
        <v>259</v>
      </c>
      <c r="E2179" s="53" t="s">
        <v>181</v>
      </c>
      <c r="F2179" s="53" t="s">
        <v>182</v>
      </c>
      <c r="G2179" s="53" t="s">
        <v>138</v>
      </c>
      <c r="H2179" s="53">
        <v>3</v>
      </c>
      <c r="I2179" s="53" t="s">
        <v>176</v>
      </c>
      <c r="J2179" s="53">
        <v>0</v>
      </c>
      <c r="K2179" s="53">
        <v>0</v>
      </c>
      <c r="L2179" s="53">
        <v>10.6</v>
      </c>
      <c r="M2179" s="53" t="s">
        <v>587</v>
      </c>
      <c r="N2179" s="53">
        <v>12.9</v>
      </c>
      <c r="O2179" s="51" t="str">
        <f>TEXT(tblWorkPackages[[#This Row],[Request date serial]]-WEEKDAY(tblWorkPackages[[#This Row],[Request date serial]],3),"yyyy-mm-dd")</f>
        <v>2025-01-06</v>
      </c>
      <c r="P2179" s="51">
        <f>ABS(tblWorkPackages[[#This Row],[Actual labor hours]]-tblWorkPackages[[#This Row],[Estimated labor hours]])</f>
        <v>2.3</v>
      </c>
      <c r="Q2179" s="51">
        <f>IF(tblWorkPackages[[#This Row],[Actual labor hours]]&gt;tblWorkPackages[[#This Row],[Estimated labor hours]],1,0)</f>
        <v>1</v>
      </c>
      <c r="R2179" s="51">
        <f>tblWorkPackages[[#This Row],[Actual labor hours]]-tblWorkPackages[[#This Row],[Estimated labor hours]]</f>
        <v>2.3</v>
      </c>
      <c r="S2179" s="51" t="str">
        <f>IF(tblWorkPackages[[#This Row],[Request date serial]]&lt;ValidationStart,"Train 2024",IF(tblWorkPackages[[#This Row],[Request date serial]]&lt;HoldoutStart,"Validation H1","Holdout H2"))</f>
        <v>Validation H1</v>
      </c>
      <c r="T2179" s="51">
        <f>IF(tblWorkPackages[[#This Row],[Time split]]="Train 2024","",tblWorkPackages[[#This Row],[Estimated labor hours]]+VLOOKUP(tblWorkPackages[[#This Row],[Task type]],'Forecast validation'!$A$14:$E$25,IF(tblWorkPackages[[#This Row],[Time split]]="Validation H1",4,5),FALSE()))</f>
        <v>11.1840909090909</v>
      </c>
      <c r="U2179" s="51">
        <f>IF(tblWorkPackages[[#This Row],[Calibrated forecast hours]]="","",ABS(tblWorkPackages[[#This Row],[Actual labor hours]]-tblWorkPackages[[#This Row],[Calibrated forecast hours]]))</f>
        <v>1.71590909090909</v>
      </c>
      <c r="V2179" s="51">
        <f>IF(tblWorkPackages[[#This Row],[Time split]]="Train 2024",tblWorkPackages[[#This Row],[Estimated labor hours]],tblWorkPackages[[#This Row],[Calibrated forecast hours]])</f>
        <v>11.1840909090909</v>
      </c>
      <c r="W2179" s="64">
        <f>DATEVALUE(tblWorkPackages[[#This Row],[Request date]])</f>
        <v>45667.0</v>
      </c>
      <c r="X2179" s="64">
        <f>DATEVALUE(tblWorkPackages[[#This Row],[Due date]])</f>
        <v>45673.0</v>
      </c>
      <c r="Y2179" s="64">
        <f>DATEVALUE(tblWorkPackages[[#This Row],[Completion date]])</f>
        <v>45671.0</v>
      </c>
      <c r="Z2179" s="64">
        <f>_xlfn.MINIFS(tblLaborEntries[Work date serial],tblLaborEntries[Work package ID],tblWorkPackages[[#This Row],[Work package ID]])</f>
        <v>45668.0</v>
      </c>
      <c r="AA2179" s="64">
        <f>_xlfn.MAXIFS(tblLaborEntries[Work date serial],tblLaborEntries[Work package ID],tblWorkPackages[[#This Row],[Work package ID]])</f>
        <v>45670.0</v>
      </c>
      <c r="AB2179" s="65">
        <f>IF(tblWorkPackages[[#This Row],[Completion date serial]]&gt;tblWorkPackages[[#This Row],[Due date serial]],1,0)</f>
        <v>0</v>
      </c>
      <c r="AC2179" s="65">
        <f>MAX(0,tblWorkPackages[[#This Row],[Completion date serial]]-tblWorkPackages[[#This Row],[Due date serial]])</f>
        <v>0</v>
      </c>
      <c r="AD2179" s="65">
        <f>tblWorkPackages[[#This Row],[First labor date]]-tblWorkPackages[[#This Row],[Request date serial]]</f>
        <v>1</v>
      </c>
      <c r="AE2179" s="65">
        <f>tblWorkPackages[[#This Row],[Last labor date]]-tblWorkPackages[[#This Row],[First labor date]]</f>
        <v>2</v>
      </c>
      <c r="AF2179" s="65">
        <f>tblWorkPackages[[#This Row],[Completion date serial]]-tblWorkPackages[[#This Row],[Last labor date]]</f>
        <v>1</v>
      </c>
      <c r="AG2179" s="65">
        <f>tblWorkPackages[[#This Row],[Completion date serial]]-tblWorkPackages[[#This Row],[Request date serial]]</f>
        <v>4</v>
      </c>
      <c r="AH2179" s="65">
        <f>IFERROR(INDEX(tblParts[Delay days],MATCH(tblWorkPackages[[#This Row],[Work package ID]],tblParts[Work package ID],0)),0)</f>
        <v>0</v>
      </c>
      <c r="AI2179" s="51" t="str">
        <f>IFERROR(INDEX(tblDisruptions[Event type],MATCH(tblWorkPackages[[#This Row],[Work package ID]],tblDisruptions[Work package ID],0)),"None")</f>
        <v>Equipment unavailable</v>
      </c>
      <c r="AJ2179" s="51" t="str">
        <f>TEXT(tblWorkPackages[[#This Row],[Due date serial]],"yyyy-mm")</f>
        <v>2025-01</v>
      </c>
    </row>
    <row r="2180" spans="1:36" ht="15" x14ac:dyDescent="0.25">
      <c r="A2180" s="53" t="s">
        <v>3096</v>
      </c>
      <c r="B2180" s="53" t="s">
        <v>203</v>
      </c>
      <c r="C2180" s="53" t="s">
        <v>228</v>
      </c>
      <c r="D2180" s="53" t="s">
        <v>583</v>
      </c>
      <c r="E2180" s="53" t="s">
        <v>136</v>
      </c>
      <c r="F2180" s="53" t="s">
        <v>137</v>
      </c>
      <c r="G2180" s="53" t="s">
        <v>138</v>
      </c>
      <c r="H2180" s="53">
        <v>3</v>
      </c>
      <c r="I2180" s="53" t="s">
        <v>130</v>
      </c>
      <c r="J2180" s="53">
        <v>0</v>
      </c>
      <c r="K2180" s="53">
        <v>0</v>
      </c>
      <c r="L2180" s="53">
        <v>16.899999999999999</v>
      </c>
      <c r="M2180" s="53" t="s">
        <v>1012</v>
      </c>
      <c r="N2180" s="53">
        <v>21</v>
      </c>
      <c r="O2180" s="51" t="str">
        <f>TEXT(tblWorkPackages[[#This Row],[Request date serial]]-WEEKDAY(tblWorkPackages[[#This Row],[Request date serial]],3),"yyyy-mm-dd")</f>
        <v>2025-07-28</v>
      </c>
      <c r="P2180" s="51">
        <f>ABS(tblWorkPackages[[#This Row],[Actual labor hours]]-tblWorkPackages[[#This Row],[Estimated labor hours]])</f>
        <v>4.1</v>
      </c>
      <c r="Q2180" s="51">
        <f>IF(tblWorkPackages[[#This Row],[Actual labor hours]]&gt;tblWorkPackages[[#This Row],[Estimated labor hours]],1,0)</f>
        <v>1</v>
      </c>
      <c r="R2180" s="51">
        <f>tblWorkPackages[[#This Row],[Actual labor hours]]-tblWorkPackages[[#This Row],[Estimated labor hours]]</f>
        <v>4.1</v>
      </c>
      <c r="S2180" s="51" t="str">
        <f>IF(tblWorkPackages[[#This Row],[Request date serial]]&lt;ValidationStart,"Train 2024",IF(tblWorkPackages[[#This Row],[Request date serial]]&lt;HoldoutStart,"Validation H1","Holdout H2"))</f>
        <v>Holdout H2</v>
      </c>
      <c r="T2180" s="51">
        <f>IF(tblWorkPackages[[#This Row],[Time split]]="Train 2024","",tblWorkPackages[[#This Row],[Estimated labor hours]]+VLOOKUP(tblWorkPackages[[#This Row],[Task type]],'Forecast validation'!$A$14:$E$25,IF(tblWorkPackages[[#This Row],[Time split]]="Validation H1",4,5),FALSE()))</f>
        <v>17.8207547169811</v>
      </c>
      <c r="U2180" s="51">
        <f>IF(tblWorkPackages[[#This Row],[Calibrated forecast hours]]="","",ABS(tblWorkPackages[[#This Row],[Actual labor hours]]-tblWorkPackages[[#This Row],[Calibrated forecast hours]]))</f>
        <v>3.17924528301887</v>
      </c>
      <c r="V2180" s="51">
        <f>IF(tblWorkPackages[[#This Row],[Time split]]="Train 2024",tblWorkPackages[[#This Row],[Estimated labor hours]],tblWorkPackages[[#This Row],[Calibrated forecast hours]])</f>
        <v>17.8207547169811</v>
      </c>
      <c r="W2180" s="64">
        <f>DATEVALUE(tblWorkPackages[[#This Row],[Request date]])</f>
        <v>45872.0</v>
      </c>
      <c r="X2180" s="64">
        <f>DATEVALUE(tblWorkPackages[[#This Row],[Due date]])</f>
        <v>45885.0</v>
      </c>
      <c r="Y2180" s="64">
        <f>DATEVALUE(tblWorkPackages[[#This Row],[Completion date]])</f>
        <v>45888.0</v>
      </c>
      <c r="Z2180" s="64">
        <f>_xlfn.MINIFS(tblLaborEntries[Work date serial],tblLaborEntries[Work package ID],tblWorkPackages[[#This Row],[Work package ID]])</f>
        <v>45884.0</v>
      </c>
      <c r="AA2180" s="64">
        <f>_xlfn.MAXIFS(tblLaborEntries[Work date serial],tblLaborEntries[Work package ID],tblWorkPackages[[#This Row],[Work package ID]])</f>
        <v>45886.0</v>
      </c>
      <c r="AB2180" s="65">
        <f>IF(tblWorkPackages[[#This Row],[Completion date serial]]&gt;tblWorkPackages[[#This Row],[Due date serial]],1,0)</f>
        <v>1</v>
      </c>
      <c r="AC2180" s="65">
        <f>MAX(0,tblWorkPackages[[#This Row],[Completion date serial]]-tblWorkPackages[[#This Row],[Due date serial]])</f>
        <v>3</v>
      </c>
      <c r="AD2180" s="65">
        <f>tblWorkPackages[[#This Row],[First labor date]]-tblWorkPackages[[#This Row],[Request date serial]]</f>
        <v>12</v>
      </c>
      <c r="AE2180" s="65">
        <f>tblWorkPackages[[#This Row],[Last labor date]]-tblWorkPackages[[#This Row],[First labor date]]</f>
        <v>2</v>
      </c>
      <c r="AF2180" s="65">
        <f>tblWorkPackages[[#This Row],[Completion date serial]]-tblWorkPackages[[#This Row],[Last labor date]]</f>
        <v>2</v>
      </c>
      <c r="AG2180" s="65">
        <f>tblWorkPackages[[#This Row],[Completion date serial]]-tblWorkPackages[[#This Row],[Request date serial]]</f>
        <v>16</v>
      </c>
      <c r="AH2180" s="65">
        <f>IFERROR(INDEX(tblParts[Delay days],MATCH(tblWorkPackages[[#This Row],[Work package ID]],tblParts[Work package ID],0)),0)</f>
        <v>0</v>
      </c>
      <c r="AI2180" s="51" t="str">
        <f>IFERROR(INDEX(tblDisruptions[Event type],MATCH(tblWorkPackages[[#This Row],[Work package ID]],tblDisruptions[Work package ID],0)),"None")</f>
        <v>None</v>
      </c>
      <c r="AJ2180" s="51" t="str">
        <f>TEXT(tblWorkPackages[[#This Row],[Due date serial]],"yyyy-mm")</f>
        <v>2025-08</v>
      </c>
    </row>
    <row r="2181" spans="1:36" ht="15" x14ac:dyDescent="0.25">
      <c r="A2181" s="53" t="s">
        <v>3097</v>
      </c>
      <c r="B2181" s="53" t="s">
        <v>173</v>
      </c>
      <c r="C2181" s="53" t="s">
        <v>183</v>
      </c>
      <c r="D2181" s="53" t="s">
        <v>1285</v>
      </c>
      <c r="E2181" s="53" t="s">
        <v>209</v>
      </c>
      <c r="F2181" s="53" t="s">
        <v>145</v>
      </c>
      <c r="G2181" s="53" t="s">
        <v>210</v>
      </c>
      <c r="H2181" s="53">
        <v>1</v>
      </c>
      <c r="I2181" s="53" t="s">
        <v>130</v>
      </c>
      <c r="J2181" s="53">
        <v>0</v>
      </c>
      <c r="K2181" s="53">
        <v>0</v>
      </c>
      <c r="L2181" s="53">
        <v>14.6</v>
      </c>
      <c r="M2181" s="53" t="s">
        <v>618</v>
      </c>
      <c r="N2181" s="53">
        <v>17.2</v>
      </c>
      <c r="O2181" s="51" t="str">
        <f>TEXT(tblWorkPackages[[#This Row],[Request date serial]]-WEEKDAY(tblWorkPackages[[#This Row],[Request date serial]],3),"yyyy-mm-dd")</f>
        <v>2025-05-19</v>
      </c>
      <c r="P2181" s="51">
        <f>ABS(tblWorkPackages[[#This Row],[Actual labor hours]]-tblWorkPackages[[#This Row],[Estimated labor hours]])</f>
        <v>2.6</v>
      </c>
      <c r="Q2181" s="51">
        <f>IF(tblWorkPackages[[#This Row],[Actual labor hours]]&gt;tblWorkPackages[[#This Row],[Estimated labor hours]],1,0)</f>
        <v>1</v>
      </c>
      <c r="R2181" s="51">
        <f>tblWorkPackages[[#This Row],[Actual labor hours]]-tblWorkPackages[[#This Row],[Estimated labor hours]]</f>
        <v>2.6</v>
      </c>
      <c r="S2181" s="51" t="str">
        <f>IF(tblWorkPackages[[#This Row],[Request date serial]]&lt;ValidationStart,"Train 2024",IF(tblWorkPackages[[#This Row],[Request date serial]]&lt;HoldoutStart,"Validation H1","Holdout H2"))</f>
        <v>Validation H1</v>
      </c>
      <c r="T2181" s="51">
        <f>IF(tblWorkPackages[[#This Row],[Time split]]="Train 2024","",tblWorkPackages[[#This Row],[Estimated labor hours]]+VLOOKUP(tblWorkPackages[[#This Row],[Task type]],'Forecast validation'!$A$14:$E$25,IF(tblWorkPackages[[#This Row],[Time split]]="Validation H1",4,5),FALSE()))</f>
        <v>15.7029850746269</v>
      </c>
      <c r="U2181" s="51">
        <f>IF(tblWorkPackages[[#This Row],[Calibrated forecast hours]]="","",ABS(tblWorkPackages[[#This Row],[Actual labor hours]]-tblWorkPackages[[#This Row],[Calibrated forecast hours]]))</f>
        <v>1.49701492537313</v>
      </c>
      <c r="V2181" s="51">
        <f>IF(tblWorkPackages[[#This Row],[Time split]]="Train 2024",tblWorkPackages[[#This Row],[Estimated labor hours]],tblWorkPackages[[#This Row],[Calibrated forecast hours]])</f>
        <v>15.7029850746269</v>
      </c>
      <c r="W2181" s="64">
        <f>DATEVALUE(tblWorkPackages[[#This Row],[Request date]])</f>
        <v>45799.0</v>
      </c>
      <c r="X2181" s="64">
        <f>DATEVALUE(tblWorkPackages[[#This Row],[Due date]])</f>
        <v>45812.0</v>
      </c>
      <c r="Y2181" s="64">
        <f>DATEVALUE(tblWorkPackages[[#This Row],[Completion date]])</f>
        <v>45806.0</v>
      </c>
      <c r="Z2181" s="64">
        <f>_xlfn.MINIFS(tblLaborEntries[Work date serial],tblLaborEntries[Work package ID],tblWorkPackages[[#This Row],[Work package ID]])</f>
        <v>45802.0</v>
      </c>
      <c r="AA2181" s="64">
        <f>_xlfn.MAXIFS(tblLaborEntries[Work date serial],tblLaborEntries[Work package ID],tblWorkPackages[[#This Row],[Work package ID]])</f>
        <v>45803.0</v>
      </c>
      <c r="AB2181" s="65">
        <f>IF(tblWorkPackages[[#This Row],[Completion date serial]]&gt;tblWorkPackages[[#This Row],[Due date serial]],1,0)</f>
        <v>0</v>
      </c>
      <c r="AC2181" s="65">
        <f>MAX(0,tblWorkPackages[[#This Row],[Completion date serial]]-tblWorkPackages[[#This Row],[Due date serial]])</f>
        <v>0</v>
      </c>
      <c r="AD2181" s="65">
        <f>tblWorkPackages[[#This Row],[First labor date]]-tblWorkPackages[[#This Row],[Request date serial]]</f>
        <v>3</v>
      </c>
      <c r="AE2181" s="65">
        <f>tblWorkPackages[[#This Row],[Last labor date]]-tblWorkPackages[[#This Row],[First labor date]]</f>
        <v>1</v>
      </c>
      <c r="AF2181" s="65">
        <f>tblWorkPackages[[#This Row],[Completion date serial]]-tblWorkPackages[[#This Row],[Last labor date]]</f>
        <v>3</v>
      </c>
      <c r="AG2181" s="65">
        <f>tblWorkPackages[[#This Row],[Completion date serial]]-tblWorkPackages[[#This Row],[Request date serial]]</f>
        <v>7</v>
      </c>
      <c r="AH2181" s="65">
        <f>IFERROR(INDEX(tblParts[Delay days],MATCH(tblWorkPackages[[#This Row],[Work package ID]],tblParts[Work package ID],0)),0)</f>
        <v>0</v>
      </c>
      <c r="AI2181" s="51" t="str">
        <f>IFERROR(INDEX(tblDisruptions[Event type],MATCH(tblWorkPackages[[#This Row],[Work package ID]],tblDisruptions[Work package ID],0)),"None")</f>
        <v>None</v>
      </c>
      <c r="AJ2181" s="51" t="str">
        <f>TEXT(tblWorkPackages[[#This Row],[Due date serial]],"yyyy-mm")</f>
        <v>2025-06</v>
      </c>
    </row>
    <row r="2182" spans="1:36" ht="15" x14ac:dyDescent="0.25">
      <c r="A2182" s="53" t="s">
        <v>3098</v>
      </c>
      <c r="B2182" s="53" t="s">
        <v>163</v>
      </c>
      <c r="C2182" s="53" t="s">
        <v>663</v>
      </c>
      <c r="D2182" s="53" t="s">
        <v>668</v>
      </c>
      <c r="E2182" s="53" t="s">
        <v>272</v>
      </c>
      <c r="F2182" s="53" t="s">
        <v>145</v>
      </c>
      <c r="G2182" s="53" t="s">
        <v>273</v>
      </c>
      <c r="H2182" s="53">
        <v>2</v>
      </c>
      <c r="I2182" s="53" t="s">
        <v>130</v>
      </c>
      <c r="J2182" s="53">
        <v>0</v>
      </c>
      <c r="K2182" s="53">
        <v>1</v>
      </c>
      <c r="L2182" s="53">
        <v>12.1</v>
      </c>
      <c r="M2182" s="53" t="s">
        <v>470</v>
      </c>
      <c r="N2182" s="53">
        <v>11.9</v>
      </c>
      <c r="O2182" s="51" t="str">
        <f>TEXT(tblWorkPackages[[#This Row],[Request date serial]]-WEEKDAY(tblWorkPackages[[#This Row],[Request date serial]],3),"yyyy-mm-dd")</f>
        <v>2024-03-11</v>
      </c>
      <c r="P2182" s="51">
        <f>ABS(tblWorkPackages[[#This Row],[Actual labor hours]]-tblWorkPackages[[#This Row],[Estimated labor hours]])</f>
        <v>0.199999999999999</v>
      </c>
      <c r="Q2182" s="51">
        <f>IF(tblWorkPackages[[#This Row],[Actual labor hours]]&gt;tblWorkPackages[[#This Row],[Estimated labor hours]],1,0)</f>
        <v>0</v>
      </c>
      <c r="R2182" s="51">
        <f>tblWorkPackages[[#This Row],[Actual labor hours]]-tblWorkPackages[[#This Row],[Estimated labor hours]]</f>
        <v>-0.199999999999999</v>
      </c>
      <c r="S2182" s="51" t="str">
        <f>IF(tblWorkPackages[[#This Row],[Request date serial]]&lt;ValidationStart,"Train 2024",IF(tblWorkPackages[[#This Row],[Request date serial]]&lt;HoldoutStart,"Validation H1","Holdout H2"))</f>
        <v>Train 2024</v>
      </c>
      <c r="T2182" s="51" t="str">
        <f>IF(tblWorkPackages[[#This Row],[Time split]]="Train 2024","",tblWorkPackages[[#This Row],[Estimated labor hours]]+VLOOKUP(tblWorkPackages[[#This Row],[Task type]],'Forecast validation'!$A$14:$E$25,IF(tblWorkPackages[[#This Row],[Time split]]="Validation H1",4,5),FALSE()))</f>
        <v/>
      </c>
      <c r="U2182" s="51" t="str">
        <f>IF(tblWorkPackages[[#This Row],[Calibrated forecast hours]]="","",ABS(tblWorkPackages[[#This Row],[Actual labor hours]]-tblWorkPackages[[#This Row],[Calibrated forecast hours]]))</f>
        <v/>
      </c>
      <c r="V2182" s="51">
        <f>IF(tblWorkPackages[[#This Row],[Time split]]="Train 2024",tblWorkPackages[[#This Row],[Estimated labor hours]],tblWorkPackages[[#This Row],[Calibrated forecast hours]])</f>
        <v>12.1</v>
      </c>
      <c r="W2182" s="64">
        <f>DATEVALUE(tblWorkPackages[[#This Row],[Request date]])</f>
        <v>45366.0</v>
      </c>
      <c r="X2182" s="64">
        <f>DATEVALUE(tblWorkPackages[[#This Row],[Due date]])</f>
        <v>45379.0</v>
      </c>
      <c r="Y2182" s="64">
        <f>DATEVALUE(tblWorkPackages[[#This Row],[Completion date]])</f>
        <v>45400.0</v>
      </c>
      <c r="Z2182" s="64">
        <f>_xlfn.MINIFS(tblLaborEntries[Work date serial],tblLaborEntries[Work package ID],tblWorkPackages[[#This Row],[Work package ID]])</f>
        <v>45400.0</v>
      </c>
      <c r="AA2182" s="64">
        <f>_xlfn.MAXIFS(tblLaborEntries[Work date serial],tblLaborEntries[Work package ID],tblWorkPackages[[#This Row],[Work package ID]])</f>
        <v>45400.0</v>
      </c>
      <c r="AB2182" s="65">
        <f>IF(tblWorkPackages[[#This Row],[Completion date serial]]&gt;tblWorkPackages[[#This Row],[Due date serial]],1,0)</f>
        <v>1</v>
      </c>
      <c r="AC2182" s="65">
        <f>MAX(0,tblWorkPackages[[#This Row],[Completion date serial]]-tblWorkPackages[[#This Row],[Due date serial]])</f>
        <v>21</v>
      </c>
      <c r="AD2182" s="65">
        <f>tblWorkPackages[[#This Row],[First labor date]]-tblWorkPackages[[#This Row],[Request date serial]]</f>
        <v>34</v>
      </c>
      <c r="AE2182" s="65">
        <f>tblWorkPackages[[#This Row],[Last labor date]]-tblWorkPackages[[#This Row],[First labor date]]</f>
        <v>0</v>
      </c>
      <c r="AF2182" s="65">
        <f>tblWorkPackages[[#This Row],[Completion date serial]]-tblWorkPackages[[#This Row],[Last labor date]]</f>
        <v>0</v>
      </c>
      <c r="AG2182" s="65">
        <f>tblWorkPackages[[#This Row],[Completion date serial]]-tblWorkPackages[[#This Row],[Request date serial]]</f>
        <v>34</v>
      </c>
      <c r="AH2182" s="65">
        <f>IFERROR(INDEX(tblParts[Delay days],MATCH(tblWorkPackages[[#This Row],[Work package ID]],tblParts[Work package ID],0)),0)</f>
        <v>0</v>
      </c>
      <c r="AI2182" s="51" t="str">
        <f>IFERROR(INDEX(tblDisruptions[Event type],MATCH(tblWorkPackages[[#This Row],[Work package ID]],tblDisruptions[Work package ID],0)),"None")</f>
        <v>None</v>
      </c>
      <c r="AJ2182" s="51" t="str">
        <f>TEXT(tblWorkPackages[[#This Row],[Due date serial]],"yyyy-mm")</f>
        <v>2024-03</v>
      </c>
    </row>
    <row r="2183" spans="1:36" ht="15" x14ac:dyDescent="0.25">
      <c r="A2183" s="53" t="s">
        <v>3099</v>
      </c>
      <c r="B2183" s="53" t="s">
        <v>150</v>
      </c>
      <c r="C2183" s="53" t="s">
        <v>338</v>
      </c>
      <c r="D2183" s="53" t="s">
        <v>398</v>
      </c>
      <c r="E2183" s="53" t="s">
        <v>181</v>
      </c>
      <c r="F2183" s="53" t="s">
        <v>182</v>
      </c>
      <c r="G2183" s="53" t="s">
        <v>138</v>
      </c>
      <c r="H2183" s="53">
        <v>3</v>
      </c>
      <c r="I2183" s="53" t="s">
        <v>130</v>
      </c>
      <c r="J2183" s="53">
        <v>0</v>
      </c>
      <c r="K2183" s="53">
        <v>0</v>
      </c>
      <c r="L2183" s="53">
        <v>12.1</v>
      </c>
      <c r="M2183" s="53" t="s">
        <v>822</v>
      </c>
      <c r="N2183" s="53">
        <v>15.4</v>
      </c>
      <c r="O2183" s="51" t="str">
        <f>TEXT(tblWorkPackages[[#This Row],[Request date serial]]-WEEKDAY(tblWorkPackages[[#This Row],[Request date serial]],3),"yyyy-mm-dd")</f>
        <v>2024-04-29</v>
      </c>
      <c r="P2183" s="51">
        <f>ABS(tblWorkPackages[[#This Row],[Actual labor hours]]-tblWorkPackages[[#This Row],[Estimated labor hours]])</f>
        <v>3.3</v>
      </c>
      <c r="Q2183" s="51">
        <f>IF(tblWorkPackages[[#This Row],[Actual labor hours]]&gt;tblWorkPackages[[#This Row],[Estimated labor hours]],1,0)</f>
        <v>1</v>
      </c>
      <c r="R2183" s="51">
        <f>tblWorkPackages[[#This Row],[Actual labor hours]]-tblWorkPackages[[#This Row],[Estimated labor hours]]</f>
        <v>3.3</v>
      </c>
      <c r="S2183" s="51" t="str">
        <f>IF(tblWorkPackages[[#This Row],[Request date serial]]&lt;ValidationStart,"Train 2024",IF(tblWorkPackages[[#This Row],[Request date serial]]&lt;HoldoutStart,"Validation H1","Holdout H2"))</f>
        <v>Train 2024</v>
      </c>
      <c r="T2183" s="51" t="str">
        <f>IF(tblWorkPackages[[#This Row],[Time split]]="Train 2024","",tblWorkPackages[[#This Row],[Estimated labor hours]]+VLOOKUP(tblWorkPackages[[#This Row],[Task type]],'Forecast validation'!$A$14:$E$25,IF(tblWorkPackages[[#This Row],[Time split]]="Validation H1",4,5),FALSE()))</f>
        <v/>
      </c>
      <c r="U2183" s="51" t="str">
        <f>IF(tblWorkPackages[[#This Row],[Calibrated forecast hours]]="","",ABS(tblWorkPackages[[#This Row],[Actual labor hours]]-tblWorkPackages[[#This Row],[Calibrated forecast hours]]))</f>
        <v/>
      </c>
      <c r="V2183" s="51">
        <f>IF(tblWorkPackages[[#This Row],[Time split]]="Train 2024",tblWorkPackages[[#This Row],[Estimated labor hours]],tblWorkPackages[[#This Row],[Calibrated forecast hours]])</f>
        <v>12.1</v>
      </c>
      <c r="W2183" s="64">
        <f>DATEVALUE(tblWorkPackages[[#This Row],[Request date]])</f>
        <v>45417.0</v>
      </c>
      <c r="X2183" s="64">
        <f>DATEVALUE(tblWorkPackages[[#This Row],[Due date]])</f>
        <v>45430.0</v>
      </c>
      <c r="Y2183" s="64">
        <f>DATEVALUE(tblWorkPackages[[#This Row],[Completion date]])</f>
        <v>45425.0</v>
      </c>
      <c r="Z2183" s="64">
        <f>_xlfn.MINIFS(tblLaborEntries[Work date serial],tblLaborEntries[Work package ID],tblWorkPackages[[#This Row],[Work package ID]])</f>
        <v>45423.0</v>
      </c>
      <c r="AA2183" s="64">
        <f>_xlfn.MAXIFS(tblLaborEntries[Work date serial],tblLaborEntries[Work package ID],tblWorkPackages[[#This Row],[Work package ID]])</f>
        <v>45424.0</v>
      </c>
      <c r="AB2183" s="65">
        <f>IF(tblWorkPackages[[#This Row],[Completion date serial]]&gt;tblWorkPackages[[#This Row],[Due date serial]],1,0)</f>
        <v>0</v>
      </c>
      <c r="AC2183" s="65">
        <f>MAX(0,tblWorkPackages[[#This Row],[Completion date serial]]-tblWorkPackages[[#This Row],[Due date serial]])</f>
        <v>0</v>
      </c>
      <c r="AD2183" s="65">
        <f>tblWorkPackages[[#This Row],[First labor date]]-tblWorkPackages[[#This Row],[Request date serial]]</f>
        <v>6</v>
      </c>
      <c r="AE2183" s="65">
        <f>tblWorkPackages[[#This Row],[Last labor date]]-tblWorkPackages[[#This Row],[First labor date]]</f>
        <v>1</v>
      </c>
      <c r="AF2183" s="65">
        <f>tblWorkPackages[[#This Row],[Completion date serial]]-tblWorkPackages[[#This Row],[Last labor date]]</f>
        <v>1</v>
      </c>
      <c r="AG2183" s="65">
        <f>tblWorkPackages[[#This Row],[Completion date serial]]-tblWorkPackages[[#This Row],[Request date serial]]</f>
        <v>8</v>
      </c>
      <c r="AH2183" s="65">
        <f>IFERROR(INDEX(tblParts[Delay days],MATCH(tblWorkPackages[[#This Row],[Work package ID]],tblParts[Work package ID],0)),0)</f>
        <v>0</v>
      </c>
      <c r="AI2183" s="51" t="str">
        <f>IFERROR(INDEX(tblDisruptions[Event type],MATCH(tblWorkPackages[[#This Row],[Work package ID]],tblDisruptions[Work package ID],0)),"None")</f>
        <v>None</v>
      </c>
      <c r="AJ2183" s="51" t="str">
        <f>TEXT(tblWorkPackages[[#This Row],[Due date serial]],"yyyy-mm")</f>
        <v>2024-05</v>
      </c>
    </row>
    <row r="2184" spans="1:36" ht="15" x14ac:dyDescent="0.25">
      <c r="A2184" s="53" t="s">
        <v>3100</v>
      </c>
      <c r="B2184" s="53" t="s">
        <v>287</v>
      </c>
      <c r="C2184" s="53" t="s">
        <v>894</v>
      </c>
      <c r="D2184" s="53" t="s">
        <v>895</v>
      </c>
      <c r="E2184" s="53" t="s">
        <v>200</v>
      </c>
      <c r="F2184" s="53" t="s">
        <v>128</v>
      </c>
      <c r="G2184" s="53" t="s">
        <v>129</v>
      </c>
      <c r="H2184" s="53">
        <v>2</v>
      </c>
      <c r="I2184" s="53" t="s">
        <v>176</v>
      </c>
      <c r="J2184" s="53">
        <v>0</v>
      </c>
      <c r="K2184" s="53">
        <v>0</v>
      </c>
      <c r="L2184" s="53">
        <v>2.8</v>
      </c>
      <c r="M2184" s="53" t="s">
        <v>1136</v>
      </c>
      <c r="N2184" s="53">
        <v>3.3</v>
      </c>
      <c r="O2184" s="51" t="str">
        <f>TEXT(tblWorkPackages[[#This Row],[Request date serial]]-WEEKDAY(tblWorkPackages[[#This Row],[Request date serial]],3),"yyyy-mm-dd")</f>
        <v>2024-09-09</v>
      </c>
      <c r="P2184" s="51">
        <f>ABS(tblWorkPackages[[#This Row],[Actual labor hours]]-tblWorkPackages[[#This Row],[Estimated labor hours]])</f>
        <v>0.5</v>
      </c>
      <c r="Q2184" s="51">
        <f>IF(tblWorkPackages[[#This Row],[Actual labor hours]]&gt;tblWorkPackages[[#This Row],[Estimated labor hours]],1,0)</f>
        <v>1</v>
      </c>
      <c r="R2184" s="51">
        <f>tblWorkPackages[[#This Row],[Actual labor hours]]-tblWorkPackages[[#This Row],[Estimated labor hours]]</f>
        <v>0.5</v>
      </c>
      <c r="S2184" s="51" t="str">
        <f>IF(tblWorkPackages[[#This Row],[Request date serial]]&lt;ValidationStart,"Train 2024",IF(tblWorkPackages[[#This Row],[Request date serial]]&lt;HoldoutStart,"Validation H1","Holdout H2"))</f>
        <v>Train 2024</v>
      </c>
      <c r="T2184" s="51" t="str">
        <f>IF(tblWorkPackages[[#This Row],[Time split]]="Train 2024","",tblWorkPackages[[#This Row],[Estimated labor hours]]+VLOOKUP(tblWorkPackages[[#This Row],[Task type]],'Forecast validation'!$A$14:$E$25,IF(tblWorkPackages[[#This Row],[Time split]]="Validation H1",4,5),FALSE()))</f>
        <v/>
      </c>
      <c r="U2184" s="51" t="str">
        <f>IF(tblWorkPackages[[#This Row],[Calibrated forecast hours]]="","",ABS(tblWorkPackages[[#This Row],[Actual labor hours]]-tblWorkPackages[[#This Row],[Calibrated forecast hours]]))</f>
        <v/>
      </c>
      <c r="V2184" s="51">
        <f>IF(tblWorkPackages[[#This Row],[Time split]]="Train 2024",tblWorkPackages[[#This Row],[Estimated labor hours]],tblWorkPackages[[#This Row],[Calibrated forecast hours]])</f>
        <v>2.8</v>
      </c>
      <c r="W2184" s="64">
        <f>DATEVALUE(tblWorkPackages[[#This Row],[Request date]])</f>
        <v>45547.0</v>
      </c>
      <c r="X2184" s="64">
        <f>DATEVALUE(tblWorkPackages[[#This Row],[Due date]])</f>
        <v>45553.0</v>
      </c>
      <c r="Y2184" s="64">
        <f>DATEVALUE(tblWorkPackages[[#This Row],[Completion date]])</f>
        <v>45552.0</v>
      </c>
      <c r="Z2184" s="64">
        <f>_xlfn.MINIFS(tblLaborEntries[Work date serial],tblLaborEntries[Work package ID],tblWorkPackages[[#This Row],[Work package ID]])</f>
        <v>45549.0</v>
      </c>
      <c r="AA2184" s="64">
        <f>_xlfn.MAXIFS(tblLaborEntries[Work date serial],tblLaborEntries[Work package ID],tblWorkPackages[[#This Row],[Work package ID]])</f>
        <v>45550.0</v>
      </c>
      <c r="AB2184" s="65">
        <f>IF(tblWorkPackages[[#This Row],[Completion date serial]]&gt;tblWorkPackages[[#This Row],[Due date serial]],1,0)</f>
        <v>0</v>
      </c>
      <c r="AC2184" s="65">
        <f>MAX(0,tblWorkPackages[[#This Row],[Completion date serial]]-tblWorkPackages[[#This Row],[Due date serial]])</f>
        <v>0</v>
      </c>
      <c r="AD2184" s="65">
        <f>tblWorkPackages[[#This Row],[First labor date]]-tblWorkPackages[[#This Row],[Request date serial]]</f>
        <v>2</v>
      </c>
      <c r="AE2184" s="65">
        <f>tblWorkPackages[[#This Row],[Last labor date]]-tblWorkPackages[[#This Row],[First labor date]]</f>
        <v>1</v>
      </c>
      <c r="AF2184" s="65">
        <f>tblWorkPackages[[#This Row],[Completion date serial]]-tblWorkPackages[[#This Row],[Last labor date]]</f>
        <v>2</v>
      </c>
      <c r="AG2184" s="65">
        <f>tblWorkPackages[[#This Row],[Completion date serial]]-tblWorkPackages[[#This Row],[Request date serial]]</f>
        <v>5</v>
      </c>
      <c r="AH2184" s="65">
        <f>IFERROR(INDEX(tblParts[Delay days],MATCH(tblWorkPackages[[#This Row],[Work package ID]],tblParts[Work package ID],0)),0)</f>
        <v>0</v>
      </c>
      <c r="AI2184" s="51" t="str">
        <f>IFERROR(INDEX(tblDisruptions[Event type],MATCH(tblWorkPackages[[#This Row],[Work package ID]],tblDisruptions[Work package ID],0)),"None")</f>
        <v>None</v>
      </c>
      <c r="AJ2184" s="51" t="str">
        <f>TEXT(tblWorkPackages[[#This Row],[Due date serial]],"yyyy-mm")</f>
        <v>2024-09</v>
      </c>
    </row>
    <row r="2185" spans="1:36" ht="15" x14ac:dyDescent="0.25">
      <c r="A2185" s="53" t="s">
        <v>3101</v>
      </c>
      <c r="B2185" s="53" t="s">
        <v>168</v>
      </c>
      <c r="C2185" s="53" t="s">
        <v>1221</v>
      </c>
      <c r="D2185" s="53" t="s">
        <v>125</v>
      </c>
      <c r="E2185" s="53" t="s">
        <v>242</v>
      </c>
      <c r="F2185" s="53" t="s">
        <v>243</v>
      </c>
      <c r="G2185" s="53" t="s">
        <v>129</v>
      </c>
      <c r="H2185" s="53">
        <v>3</v>
      </c>
      <c r="I2185" s="53" t="s">
        <v>176</v>
      </c>
      <c r="J2185" s="53">
        <v>0</v>
      </c>
      <c r="K2185" s="53">
        <v>0</v>
      </c>
      <c r="L2185" s="53">
        <v>13.4</v>
      </c>
      <c r="M2185" s="53" t="s">
        <v>126</v>
      </c>
      <c r="N2185" s="53">
        <v>16.399999999999999</v>
      </c>
      <c r="O2185" s="51" t="str">
        <f>TEXT(tblWorkPackages[[#This Row],[Request date serial]]-WEEKDAY(tblWorkPackages[[#This Row],[Request date serial]],3),"yyyy-mm-dd")</f>
        <v>2025-04-21</v>
      </c>
      <c r="P2185" s="51">
        <f>ABS(tblWorkPackages[[#This Row],[Actual labor hours]]-tblWorkPackages[[#This Row],[Estimated labor hours]])</f>
        <v>3</v>
      </c>
      <c r="Q2185" s="51">
        <f>IF(tblWorkPackages[[#This Row],[Actual labor hours]]&gt;tblWorkPackages[[#This Row],[Estimated labor hours]],1,0)</f>
        <v>1</v>
      </c>
      <c r="R2185" s="51">
        <f>tblWorkPackages[[#This Row],[Actual labor hours]]-tblWorkPackages[[#This Row],[Estimated labor hours]]</f>
        <v>3</v>
      </c>
      <c r="S2185" s="51" t="str">
        <f>IF(tblWorkPackages[[#This Row],[Request date serial]]&lt;ValidationStart,"Train 2024",IF(tblWorkPackages[[#This Row],[Request date serial]]&lt;HoldoutStart,"Validation H1","Holdout H2"))</f>
        <v>Validation H1</v>
      </c>
      <c r="T2185" s="51">
        <f>IF(tblWorkPackages[[#This Row],[Time split]]="Train 2024","",tblWorkPackages[[#This Row],[Estimated labor hours]]+VLOOKUP(tblWorkPackages[[#This Row],[Task type]],'Forecast validation'!$A$14:$E$25,IF(tblWorkPackages[[#This Row],[Time split]]="Validation H1",4,5),FALSE()))</f>
        <v>13.9561224489796</v>
      </c>
      <c r="U2185" s="51">
        <f>IF(tblWorkPackages[[#This Row],[Calibrated forecast hours]]="","",ABS(tblWorkPackages[[#This Row],[Actual labor hours]]-tblWorkPackages[[#This Row],[Calibrated forecast hours]]))</f>
        <v>2.44387755102041</v>
      </c>
      <c r="V2185" s="51">
        <f>IF(tblWorkPackages[[#This Row],[Time split]]="Train 2024",tblWorkPackages[[#This Row],[Estimated labor hours]],tblWorkPackages[[#This Row],[Calibrated forecast hours]])</f>
        <v>13.9561224489796</v>
      </c>
      <c r="W2185" s="64">
        <f>DATEVALUE(tblWorkPackages[[#This Row],[Request date]])</f>
        <v>45774.0</v>
      </c>
      <c r="X2185" s="64">
        <f>DATEVALUE(tblWorkPackages[[#This Row],[Due date]])</f>
        <v>45780.0</v>
      </c>
      <c r="Y2185" s="64">
        <f>DATEVALUE(tblWorkPackages[[#This Row],[Completion date]])</f>
        <v>45793.0</v>
      </c>
      <c r="Z2185" s="64">
        <f>_xlfn.MINIFS(tblLaborEntries[Work date serial],tblLaborEntries[Work package ID],tblWorkPackages[[#This Row],[Work package ID]])</f>
        <v>45789.0</v>
      </c>
      <c r="AA2185" s="64">
        <f>_xlfn.MAXIFS(tblLaborEntries[Work date serial],tblLaborEntries[Work package ID],tblWorkPackages[[#This Row],[Work package ID]])</f>
        <v>45790.0</v>
      </c>
      <c r="AB2185" s="65">
        <f>IF(tblWorkPackages[[#This Row],[Completion date serial]]&gt;tblWorkPackages[[#This Row],[Due date serial]],1,0)</f>
        <v>1</v>
      </c>
      <c r="AC2185" s="65">
        <f>MAX(0,tblWorkPackages[[#This Row],[Completion date serial]]-tblWorkPackages[[#This Row],[Due date serial]])</f>
        <v>13</v>
      </c>
      <c r="AD2185" s="65">
        <f>tblWorkPackages[[#This Row],[First labor date]]-tblWorkPackages[[#This Row],[Request date serial]]</f>
        <v>15</v>
      </c>
      <c r="AE2185" s="65">
        <f>tblWorkPackages[[#This Row],[Last labor date]]-tblWorkPackages[[#This Row],[First labor date]]</f>
        <v>1</v>
      </c>
      <c r="AF2185" s="65">
        <f>tblWorkPackages[[#This Row],[Completion date serial]]-tblWorkPackages[[#This Row],[Last labor date]]</f>
        <v>3</v>
      </c>
      <c r="AG2185" s="65">
        <f>tblWorkPackages[[#This Row],[Completion date serial]]-tblWorkPackages[[#This Row],[Request date serial]]</f>
        <v>19</v>
      </c>
      <c r="AH2185" s="65">
        <f>IFERROR(INDEX(tblParts[Delay days],MATCH(tblWorkPackages[[#This Row],[Work package ID]],tblParts[Work package ID],0)),0)</f>
        <v>0</v>
      </c>
      <c r="AI2185" s="51" t="str">
        <f>IFERROR(INDEX(tblDisruptions[Event type],MATCH(tblWorkPackages[[#This Row],[Work package ID]],tblDisruptions[Work package ID],0)),"None")</f>
        <v>None</v>
      </c>
      <c r="AJ2185" s="51" t="str">
        <f>TEXT(tblWorkPackages[[#This Row],[Due date serial]],"yyyy-mm")</f>
        <v>2025-05</v>
      </c>
    </row>
    <row r="2186" spans="1:36" ht="15" x14ac:dyDescent="0.25">
      <c r="A2186" s="53" t="s">
        <v>3102</v>
      </c>
      <c r="B2186" s="53" t="s">
        <v>157</v>
      </c>
      <c r="C2186" s="53" t="s">
        <v>837</v>
      </c>
      <c r="D2186" s="53" t="s">
        <v>587</v>
      </c>
      <c r="E2186" s="53" t="s">
        <v>127</v>
      </c>
      <c r="F2186" s="53" t="s">
        <v>128</v>
      </c>
      <c r="G2186" s="53" t="s">
        <v>129</v>
      </c>
      <c r="H2186" s="53">
        <v>1</v>
      </c>
      <c r="I2186" s="53" t="s">
        <v>176</v>
      </c>
      <c r="J2186" s="53">
        <v>0</v>
      </c>
      <c r="K2186" s="53">
        <v>0</v>
      </c>
      <c r="L2186" s="53">
        <v>4.4000000000000004</v>
      </c>
      <c r="M2186" s="53" t="s">
        <v>587</v>
      </c>
      <c r="N2186" s="53">
        <v>5.5</v>
      </c>
      <c r="O2186" s="51" t="str">
        <f>TEXT(tblWorkPackages[[#This Row],[Request date serial]]-WEEKDAY(tblWorkPackages[[#This Row],[Request date serial]],3),"yyyy-mm-dd")</f>
        <v>2025-01-06</v>
      </c>
      <c r="P2186" s="51">
        <f>ABS(tblWorkPackages[[#This Row],[Actual labor hours]]-tblWorkPackages[[#This Row],[Estimated labor hours]])</f>
        <v>1.1</v>
      </c>
      <c r="Q2186" s="51">
        <f>IF(tblWorkPackages[[#This Row],[Actual labor hours]]&gt;tblWorkPackages[[#This Row],[Estimated labor hours]],1,0)</f>
        <v>1</v>
      </c>
      <c r="R2186" s="51">
        <f>tblWorkPackages[[#This Row],[Actual labor hours]]-tblWorkPackages[[#This Row],[Estimated labor hours]]</f>
        <v>1.1</v>
      </c>
      <c r="S2186" s="51" t="str">
        <f>IF(tblWorkPackages[[#This Row],[Request date serial]]&lt;ValidationStart,"Train 2024",IF(tblWorkPackages[[#This Row],[Request date serial]]&lt;HoldoutStart,"Validation H1","Holdout H2"))</f>
        <v>Validation H1</v>
      </c>
      <c r="T2186" s="51">
        <f>IF(tblWorkPackages[[#This Row],[Time split]]="Train 2024","",tblWorkPackages[[#This Row],[Estimated labor hours]]+VLOOKUP(tblWorkPackages[[#This Row],[Task type]],'Forecast validation'!$A$14:$E$25,IF(tblWorkPackages[[#This Row],[Time split]]="Validation H1",4,5),FALSE()))</f>
        <v>4.87564102564103</v>
      </c>
      <c r="U2186" s="51">
        <f>IF(tblWorkPackages[[#This Row],[Calibrated forecast hours]]="","",ABS(tblWorkPackages[[#This Row],[Actual labor hours]]-tblWorkPackages[[#This Row],[Calibrated forecast hours]]))</f>
        <v>0.624358974358974</v>
      </c>
      <c r="V2186" s="51">
        <f>IF(tblWorkPackages[[#This Row],[Time split]]="Train 2024",tblWorkPackages[[#This Row],[Estimated labor hours]],tblWorkPackages[[#This Row],[Calibrated forecast hours]])</f>
        <v>4.87564102564103</v>
      </c>
      <c r="W2186" s="64">
        <f>DATEVALUE(tblWorkPackages[[#This Row],[Request date]])</f>
        <v>45665.0</v>
      </c>
      <c r="X2186" s="64">
        <f>DATEVALUE(tblWorkPackages[[#This Row],[Due date]])</f>
        <v>45671.0</v>
      </c>
      <c r="Y2186" s="64">
        <f>DATEVALUE(tblWorkPackages[[#This Row],[Completion date]])</f>
        <v>45671.0</v>
      </c>
      <c r="Z2186" s="64">
        <f>_xlfn.MINIFS(tblLaborEntries[Work date serial],tblLaborEntries[Work package ID],tblWorkPackages[[#This Row],[Work package ID]])</f>
        <v>45669.0</v>
      </c>
      <c r="AA2186" s="64">
        <f>_xlfn.MAXIFS(tblLaborEntries[Work date serial],tblLaborEntries[Work package ID],tblWorkPackages[[#This Row],[Work package ID]])</f>
        <v>45671.0</v>
      </c>
      <c r="AB2186" s="65">
        <f>IF(tblWorkPackages[[#This Row],[Completion date serial]]&gt;tblWorkPackages[[#This Row],[Due date serial]],1,0)</f>
        <v>0</v>
      </c>
      <c r="AC2186" s="65">
        <f>MAX(0,tblWorkPackages[[#This Row],[Completion date serial]]-tblWorkPackages[[#This Row],[Due date serial]])</f>
        <v>0</v>
      </c>
      <c r="AD2186" s="65">
        <f>tblWorkPackages[[#This Row],[First labor date]]-tblWorkPackages[[#This Row],[Request date serial]]</f>
        <v>4</v>
      </c>
      <c r="AE2186" s="65">
        <f>tblWorkPackages[[#This Row],[Last labor date]]-tblWorkPackages[[#This Row],[First labor date]]</f>
        <v>2</v>
      </c>
      <c r="AF2186" s="65">
        <f>tblWorkPackages[[#This Row],[Completion date serial]]-tblWorkPackages[[#This Row],[Last labor date]]</f>
        <v>0</v>
      </c>
      <c r="AG2186" s="65">
        <f>tblWorkPackages[[#This Row],[Completion date serial]]-tblWorkPackages[[#This Row],[Request date serial]]</f>
        <v>6</v>
      </c>
      <c r="AH2186" s="65">
        <f>IFERROR(INDEX(tblParts[Delay days],MATCH(tblWorkPackages[[#This Row],[Work package ID]],tblParts[Work package ID],0)),0)</f>
        <v>0</v>
      </c>
      <c r="AI2186" s="51" t="str">
        <f>IFERROR(INDEX(tblDisruptions[Event type],MATCH(tblWorkPackages[[#This Row],[Work package ID]],tblDisruptions[Work package ID],0)),"None")</f>
        <v>None</v>
      </c>
      <c r="AJ2186" s="51" t="str">
        <f>TEXT(tblWorkPackages[[#This Row],[Due date serial]],"yyyy-mm")</f>
        <v>2025-01</v>
      </c>
    </row>
    <row r="2187" spans="1:36" ht="15" x14ac:dyDescent="0.25">
      <c r="A2187" s="53" t="s">
        <v>3103</v>
      </c>
      <c r="B2187" s="53" t="s">
        <v>230</v>
      </c>
      <c r="C2187" s="53" t="s">
        <v>274</v>
      </c>
      <c r="D2187" s="53" t="s">
        <v>924</v>
      </c>
      <c r="E2187" s="53" t="s">
        <v>223</v>
      </c>
      <c r="F2187" s="53" t="s">
        <v>182</v>
      </c>
      <c r="G2187" s="53" t="s">
        <v>154</v>
      </c>
      <c r="H2187" s="53">
        <v>1</v>
      </c>
      <c r="I2187" s="53" t="s">
        <v>176</v>
      </c>
      <c r="J2187" s="53">
        <v>0</v>
      </c>
      <c r="K2187" s="53">
        <v>0</v>
      </c>
      <c r="L2187" s="53">
        <v>9.5</v>
      </c>
      <c r="M2187" s="53" t="s">
        <v>1838</v>
      </c>
      <c r="N2187" s="53">
        <v>11.7</v>
      </c>
      <c r="O2187" s="51" t="str">
        <f>TEXT(tblWorkPackages[[#This Row],[Request date serial]]-WEEKDAY(tblWorkPackages[[#This Row],[Request date serial]],3),"yyyy-mm-dd")</f>
        <v>2025-05-05</v>
      </c>
      <c r="P2187" s="51">
        <f>ABS(tblWorkPackages[[#This Row],[Actual labor hours]]-tblWorkPackages[[#This Row],[Estimated labor hours]])</f>
        <v>2.2</v>
      </c>
      <c r="Q2187" s="51">
        <f>IF(tblWorkPackages[[#This Row],[Actual labor hours]]&gt;tblWorkPackages[[#This Row],[Estimated labor hours]],1,0)</f>
        <v>1</v>
      </c>
      <c r="R2187" s="51">
        <f>tblWorkPackages[[#This Row],[Actual labor hours]]-tblWorkPackages[[#This Row],[Estimated labor hours]]</f>
        <v>2.2</v>
      </c>
      <c r="S2187" s="51" t="str">
        <f>IF(tblWorkPackages[[#This Row],[Request date serial]]&lt;ValidationStart,"Train 2024",IF(tblWorkPackages[[#This Row],[Request date serial]]&lt;HoldoutStart,"Validation H1","Holdout H2"))</f>
        <v>Validation H1</v>
      </c>
      <c r="T2187" s="51">
        <f>IF(tblWorkPackages[[#This Row],[Time split]]="Train 2024","",tblWorkPackages[[#This Row],[Estimated labor hours]]+VLOOKUP(tblWorkPackages[[#This Row],[Task type]],'Forecast validation'!$A$14:$E$25,IF(tblWorkPackages[[#This Row],[Time split]]="Validation H1",4,5),FALSE()))</f>
        <v>10.3824175824176</v>
      </c>
      <c r="U2187" s="51">
        <f>IF(tblWorkPackages[[#This Row],[Calibrated forecast hours]]="","",ABS(tblWorkPackages[[#This Row],[Actual labor hours]]-tblWorkPackages[[#This Row],[Calibrated forecast hours]]))</f>
        <v>1.31758241758242</v>
      </c>
      <c r="V2187" s="51">
        <f>IF(tblWorkPackages[[#This Row],[Time split]]="Train 2024",tblWorkPackages[[#This Row],[Estimated labor hours]],tblWorkPackages[[#This Row],[Calibrated forecast hours]])</f>
        <v>10.3824175824176</v>
      </c>
      <c r="W2187" s="64">
        <f>DATEVALUE(tblWorkPackages[[#This Row],[Request date]])</f>
        <v>45783.0</v>
      </c>
      <c r="X2187" s="64">
        <f>DATEVALUE(tblWorkPackages[[#This Row],[Due date]])</f>
        <v>45789.0</v>
      </c>
      <c r="Y2187" s="64">
        <f>DATEVALUE(tblWorkPackages[[#This Row],[Completion date]])</f>
        <v>45786.0</v>
      </c>
      <c r="Z2187" s="64">
        <f>_xlfn.MINIFS(tblLaborEntries[Work date serial],tblLaborEntries[Work package ID],tblWorkPackages[[#This Row],[Work package ID]])</f>
        <v>45784.0</v>
      </c>
      <c r="AA2187" s="64">
        <f>_xlfn.MAXIFS(tblLaborEntries[Work date serial],tblLaborEntries[Work package ID],tblWorkPackages[[#This Row],[Work package ID]])</f>
        <v>45785.0</v>
      </c>
      <c r="AB2187" s="65">
        <f>IF(tblWorkPackages[[#This Row],[Completion date serial]]&gt;tblWorkPackages[[#This Row],[Due date serial]],1,0)</f>
        <v>0</v>
      </c>
      <c r="AC2187" s="65">
        <f>MAX(0,tblWorkPackages[[#This Row],[Completion date serial]]-tblWorkPackages[[#This Row],[Due date serial]])</f>
        <v>0</v>
      </c>
      <c r="AD2187" s="65">
        <f>tblWorkPackages[[#This Row],[First labor date]]-tblWorkPackages[[#This Row],[Request date serial]]</f>
        <v>1</v>
      </c>
      <c r="AE2187" s="65">
        <f>tblWorkPackages[[#This Row],[Last labor date]]-tblWorkPackages[[#This Row],[First labor date]]</f>
        <v>1</v>
      </c>
      <c r="AF2187" s="65">
        <f>tblWorkPackages[[#This Row],[Completion date serial]]-tblWorkPackages[[#This Row],[Last labor date]]</f>
        <v>1</v>
      </c>
      <c r="AG2187" s="65">
        <f>tblWorkPackages[[#This Row],[Completion date serial]]-tblWorkPackages[[#This Row],[Request date serial]]</f>
        <v>3</v>
      </c>
      <c r="AH2187" s="65">
        <f>IFERROR(INDEX(tblParts[Delay days],MATCH(tblWorkPackages[[#This Row],[Work package ID]],tblParts[Work package ID],0)),0)</f>
        <v>0</v>
      </c>
      <c r="AI2187" s="51" t="str">
        <f>IFERROR(INDEX(tblDisruptions[Event type],MATCH(tblWorkPackages[[#This Row],[Work package ID]],tblDisruptions[Work package ID],0)),"None")</f>
        <v>None</v>
      </c>
      <c r="AJ2187" s="51" t="str">
        <f>TEXT(tblWorkPackages[[#This Row],[Due date serial]],"yyyy-mm")</f>
        <v>2025-05</v>
      </c>
    </row>
    <row r="2188" spans="1:36" ht="15" x14ac:dyDescent="0.25">
      <c r="A2188" s="53" t="s">
        <v>3104</v>
      </c>
      <c r="B2188" s="53" t="s">
        <v>163</v>
      </c>
      <c r="C2188" s="53" t="s">
        <v>1141</v>
      </c>
      <c r="D2188" s="53" t="s">
        <v>822</v>
      </c>
      <c r="E2188" s="53" t="s">
        <v>181</v>
      </c>
      <c r="F2188" s="53" t="s">
        <v>182</v>
      </c>
      <c r="G2188" s="53" t="s">
        <v>138</v>
      </c>
      <c r="H2188" s="53">
        <v>2</v>
      </c>
      <c r="I2188" s="53" t="s">
        <v>130</v>
      </c>
      <c r="J2188" s="53">
        <v>0</v>
      </c>
      <c r="K2188" s="53">
        <v>0</v>
      </c>
      <c r="L2188" s="53">
        <v>8.1999999999999993</v>
      </c>
      <c r="M2188" s="53" t="s">
        <v>822</v>
      </c>
      <c r="N2188" s="53">
        <v>7</v>
      </c>
      <c r="O2188" s="51" t="str">
        <f>TEXT(tblWorkPackages[[#This Row],[Request date serial]]-WEEKDAY(tblWorkPackages[[#This Row],[Request date serial]],3),"yyyy-mm-dd")</f>
        <v>2024-04-29</v>
      </c>
      <c r="P2188" s="51">
        <f>ABS(tblWorkPackages[[#This Row],[Actual labor hours]]-tblWorkPackages[[#This Row],[Estimated labor hours]])</f>
        <v>1.2</v>
      </c>
      <c r="Q2188" s="51">
        <f>IF(tblWorkPackages[[#This Row],[Actual labor hours]]&gt;tblWorkPackages[[#This Row],[Estimated labor hours]],1,0)</f>
        <v>0</v>
      </c>
      <c r="R2188" s="51">
        <f>tblWorkPackages[[#This Row],[Actual labor hours]]-tblWorkPackages[[#This Row],[Estimated labor hours]]</f>
        <v>-1.2</v>
      </c>
      <c r="S2188" s="51" t="str">
        <f>IF(tblWorkPackages[[#This Row],[Request date serial]]&lt;ValidationStart,"Train 2024",IF(tblWorkPackages[[#This Row],[Request date serial]]&lt;HoldoutStart,"Validation H1","Holdout H2"))</f>
        <v>Train 2024</v>
      </c>
      <c r="T2188" s="51" t="str">
        <f>IF(tblWorkPackages[[#This Row],[Time split]]="Train 2024","",tblWorkPackages[[#This Row],[Estimated labor hours]]+VLOOKUP(tblWorkPackages[[#This Row],[Task type]],'Forecast validation'!$A$14:$E$25,IF(tblWorkPackages[[#This Row],[Time split]]="Validation H1",4,5),FALSE()))</f>
        <v/>
      </c>
      <c r="U2188" s="51" t="str">
        <f>IF(tblWorkPackages[[#This Row],[Calibrated forecast hours]]="","",ABS(tblWorkPackages[[#This Row],[Actual labor hours]]-tblWorkPackages[[#This Row],[Calibrated forecast hours]]))</f>
        <v/>
      </c>
      <c r="V2188" s="51">
        <f>IF(tblWorkPackages[[#This Row],[Time split]]="Train 2024",tblWorkPackages[[#This Row],[Estimated labor hours]],tblWorkPackages[[#This Row],[Calibrated forecast hours]])</f>
        <v>8.2</v>
      </c>
      <c r="W2188" s="64">
        <f>DATEVALUE(tblWorkPackages[[#This Row],[Request date]])</f>
        <v>45412.0</v>
      </c>
      <c r="X2188" s="64">
        <f>DATEVALUE(tblWorkPackages[[#This Row],[Due date]])</f>
        <v>45425.0</v>
      </c>
      <c r="Y2188" s="64">
        <f>DATEVALUE(tblWorkPackages[[#This Row],[Completion date]])</f>
        <v>45425.0</v>
      </c>
      <c r="Z2188" s="64">
        <f>_xlfn.MINIFS(tblLaborEntries[Work date serial],tblLaborEntries[Work package ID],tblWorkPackages[[#This Row],[Work package ID]])</f>
        <v>45422.0</v>
      </c>
      <c r="AA2188" s="64">
        <f>_xlfn.MAXIFS(tblLaborEntries[Work date serial],tblLaborEntries[Work package ID],tblWorkPackages[[#This Row],[Work package ID]])</f>
        <v>45423.0</v>
      </c>
      <c r="AB2188" s="65">
        <f>IF(tblWorkPackages[[#This Row],[Completion date serial]]&gt;tblWorkPackages[[#This Row],[Due date serial]],1,0)</f>
        <v>0</v>
      </c>
      <c r="AC2188" s="65">
        <f>MAX(0,tblWorkPackages[[#This Row],[Completion date serial]]-tblWorkPackages[[#This Row],[Due date serial]])</f>
        <v>0</v>
      </c>
      <c r="AD2188" s="65">
        <f>tblWorkPackages[[#This Row],[First labor date]]-tblWorkPackages[[#This Row],[Request date serial]]</f>
        <v>10</v>
      </c>
      <c r="AE2188" s="65">
        <f>tblWorkPackages[[#This Row],[Last labor date]]-tblWorkPackages[[#This Row],[First labor date]]</f>
        <v>1</v>
      </c>
      <c r="AF2188" s="65">
        <f>tblWorkPackages[[#This Row],[Completion date serial]]-tblWorkPackages[[#This Row],[Last labor date]]</f>
        <v>2</v>
      </c>
      <c r="AG2188" s="65">
        <f>tblWorkPackages[[#This Row],[Completion date serial]]-tblWorkPackages[[#This Row],[Request date serial]]</f>
        <v>13</v>
      </c>
      <c r="AH2188" s="65">
        <f>IFERROR(INDEX(tblParts[Delay days],MATCH(tblWorkPackages[[#This Row],[Work package ID]],tblParts[Work package ID],0)),0)</f>
        <v>0</v>
      </c>
      <c r="AI2188" s="51" t="str">
        <f>IFERROR(INDEX(tblDisruptions[Event type],MATCH(tblWorkPackages[[#This Row],[Work package ID]],tblDisruptions[Work package ID],0)),"None")</f>
        <v>None</v>
      </c>
      <c r="AJ2188" s="51" t="str">
        <f>TEXT(tblWorkPackages[[#This Row],[Due date serial]],"yyyy-mm")</f>
        <v>2024-05</v>
      </c>
    </row>
    <row r="2189" spans="1:36" ht="15" x14ac:dyDescent="0.25">
      <c r="A2189" s="53" t="s">
        <v>3105</v>
      </c>
      <c r="B2189" s="53" t="s">
        <v>133</v>
      </c>
      <c r="C2189" s="53" t="s">
        <v>606</v>
      </c>
      <c r="D2189" s="53" t="s">
        <v>607</v>
      </c>
      <c r="E2189" s="53" t="s">
        <v>242</v>
      </c>
      <c r="F2189" s="53" t="s">
        <v>243</v>
      </c>
      <c r="G2189" s="53" t="s">
        <v>129</v>
      </c>
      <c r="H2189" s="53">
        <v>4</v>
      </c>
      <c r="I2189" s="53" t="s">
        <v>130</v>
      </c>
      <c r="J2189" s="53">
        <v>0</v>
      </c>
      <c r="K2189" s="53">
        <v>0</v>
      </c>
      <c r="L2189" s="53">
        <v>16.7</v>
      </c>
      <c r="M2189" s="53" t="s">
        <v>900</v>
      </c>
      <c r="N2189" s="53">
        <v>19.399999999999999</v>
      </c>
      <c r="O2189" s="51" t="str">
        <f>TEXT(tblWorkPackages[[#This Row],[Request date serial]]-WEEKDAY(tblWorkPackages[[#This Row],[Request date serial]],3),"yyyy-mm-dd")</f>
        <v>2025-03-03</v>
      </c>
      <c r="P2189" s="51">
        <f>ABS(tblWorkPackages[[#This Row],[Actual labor hours]]-tblWorkPackages[[#This Row],[Estimated labor hours]])</f>
        <v>2.7</v>
      </c>
      <c r="Q2189" s="51">
        <f>IF(tblWorkPackages[[#This Row],[Actual labor hours]]&gt;tblWorkPackages[[#This Row],[Estimated labor hours]],1,0)</f>
        <v>1</v>
      </c>
      <c r="R2189" s="51">
        <f>tblWorkPackages[[#This Row],[Actual labor hours]]-tblWorkPackages[[#This Row],[Estimated labor hours]]</f>
        <v>2.7</v>
      </c>
      <c r="S2189" s="51" t="str">
        <f>IF(tblWorkPackages[[#This Row],[Request date serial]]&lt;ValidationStart,"Train 2024",IF(tblWorkPackages[[#This Row],[Request date serial]]&lt;HoldoutStart,"Validation H1","Holdout H2"))</f>
        <v>Validation H1</v>
      </c>
      <c r="T2189" s="51">
        <f>IF(tblWorkPackages[[#This Row],[Time split]]="Train 2024","",tblWorkPackages[[#This Row],[Estimated labor hours]]+VLOOKUP(tblWorkPackages[[#This Row],[Task type]],'Forecast validation'!$A$14:$E$25,IF(tblWorkPackages[[#This Row],[Time split]]="Validation H1",4,5),FALSE()))</f>
        <v>17.2561224489796</v>
      </c>
      <c r="U2189" s="51">
        <f>IF(tblWorkPackages[[#This Row],[Calibrated forecast hours]]="","",ABS(tblWorkPackages[[#This Row],[Actual labor hours]]-tblWorkPackages[[#This Row],[Calibrated forecast hours]]))</f>
        <v>2.14387755102041</v>
      </c>
      <c r="V2189" s="51">
        <f>IF(tblWorkPackages[[#This Row],[Time split]]="Train 2024",tblWorkPackages[[#This Row],[Estimated labor hours]],tblWorkPackages[[#This Row],[Calibrated forecast hours]])</f>
        <v>17.2561224489796</v>
      </c>
      <c r="W2189" s="64">
        <f>DATEVALUE(tblWorkPackages[[#This Row],[Request date]])</f>
        <v>45721.0</v>
      </c>
      <c r="X2189" s="64">
        <f>DATEVALUE(tblWorkPackages[[#This Row],[Due date]])</f>
        <v>45734.0</v>
      </c>
      <c r="Y2189" s="64">
        <f>DATEVALUE(tblWorkPackages[[#This Row],[Completion date]])</f>
        <v>45728.0</v>
      </c>
      <c r="Z2189" s="64">
        <f>_xlfn.MINIFS(tblLaborEntries[Work date serial],tblLaborEntries[Work package ID],tblWorkPackages[[#This Row],[Work package ID]])</f>
        <v>45724.0</v>
      </c>
      <c r="AA2189" s="64">
        <f>_xlfn.MAXIFS(tblLaborEntries[Work date serial],tblLaborEntries[Work package ID],tblWorkPackages[[#This Row],[Work package ID]])</f>
        <v>45725.0</v>
      </c>
      <c r="AB2189" s="65">
        <f>IF(tblWorkPackages[[#This Row],[Completion date serial]]&gt;tblWorkPackages[[#This Row],[Due date serial]],1,0)</f>
        <v>0</v>
      </c>
      <c r="AC2189" s="65">
        <f>MAX(0,tblWorkPackages[[#This Row],[Completion date serial]]-tblWorkPackages[[#This Row],[Due date serial]])</f>
        <v>0</v>
      </c>
      <c r="AD2189" s="65">
        <f>tblWorkPackages[[#This Row],[First labor date]]-tblWorkPackages[[#This Row],[Request date serial]]</f>
        <v>3</v>
      </c>
      <c r="AE2189" s="65">
        <f>tblWorkPackages[[#This Row],[Last labor date]]-tblWorkPackages[[#This Row],[First labor date]]</f>
        <v>1</v>
      </c>
      <c r="AF2189" s="65">
        <f>tblWorkPackages[[#This Row],[Completion date serial]]-tblWorkPackages[[#This Row],[Last labor date]]</f>
        <v>3</v>
      </c>
      <c r="AG2189" s="65">
        <f>tblWorkPackages[[#This Row],[Completion date serial]]-tblWorkPackages[[#This Row],[Request date serial]]</f>
        <v>7</v>
      </c>
      <c r="AH2189" s="65">
        <f>IFERROR(INDEX(tblParts[Delay days],MATCH(tblWorkPackages[[#This Row],[Work package ID]],tblParts[Work package ID],0)),0)</f>
        <v>0</v>
      </c>
      <c r="AI2189" s="51" t="str">
        <f>IFERROR(INDEX(tblDisruptions[Event type],MATCH(tblWorkPackages[[#This Row],[Work package ID]],tblDisruptions[Work package ID],0)),"None")</f>
        <v>None</v>
      </c>
      <c r="AJ2189" s="51" t="str">
        <f>TEXT(tblWorkPackages[[#This Row],[Due date serial]],"yyyy-mm")</f>
        <v>2025-03</v>
      </c>
    </row>
    <row r="2190" spans="1:36" ht="15" x14ac:dyDescent="0.25">
      <c r="A2190" s="53" t="s">
        <v>3106</v>
      </c>
      <c r="B2190" s="53" t="s">
        <v>230</v>
      </c>
      <c r="C2190" s="53" t="s">
        <v>415</v>
      </c>
      <c r="D2190" s="53" t="s">
        <v>285</v>
      </c>
      <c r="E2190" s="53" t="s">
        <v>127</v>
      </c>
      <c r="F2190" s="53" t="s">
        <v>128</v>
      </c>
      <c r="G2190" s="53" t="s">
        <v>129</v>
      </c>
      <c r="H2190" s="53">
        <v>2</v>
      </c>
      <c r="I2190" s="53" t="s">
        <v>130</v>
      </c>
      <c r="J2190" s="53">
        <v>0</v>
      </c>
      <c r="K2190" s="53">
        <v>0</v>
      </c>
      <c r="L2190" s="53">
        <v>6.7</v>
      </c>
      <c r="M2190" s="53" t="s">
        <v>464</v>
      </c>
      <c r="N2190" s="53">
        <v>5.8</v>
      </c>
      <c r="O2190" s="51" t="str">
        <f>TEXT(tblWorkPackages[[#This Row],[Request date serial]]-WEEKDAY(tblWorkPackages[[#This Row],[Request date serial]],3),"yyyy-mm-dd")</f>
        <v>2025-09-01</v>
      </c>
      <c r="P2190" s="51">
        <f>ABS(tblWorkPackages[[#This Row],[Actual labor hours]]-tblWorkPackages[[#This Row],[Estimated labor hours]])</f>
        <v>0.9</v>
      </c>
      <c r="Q2190" s="51">
        <f>IF(tblWorkPackages[[#This Row],[Actual labor hours]]&gt;tblWorkPackages[[#This Row],[Estimated labor hours]],1,0)</f>
        <v>0</v>
      </c>
      <c r="R2190" s="51">
        <f>tblWorkPackages[[#This Row],[Actual labor hours]]-tblWorkPackages[[#This Row],[Estimated labor hours]]</f>
        <v>-0.9</v>
      </c>
      <c r="S2190" s="51" t="str">
        <f>IF(tblWorkPackages[[#This Row],[Request date serial]]&lt;ValidationStart,"Train 2024",IF(tblWorkPackages[[#This Row],[Request date serial]]&lt;HoldoutStart,"Validation H1","Holdout H2"))</f>
        <v>Holdout H2</v>
      </c>
      <c r="T2190" s="51">
        <f>IF(tblWorkPackages[[#This Row],[Time split]]="Train 2024","",tblWorkPackages[[#This Row],[Estimated labor hours]]+VLOOKUP(tblWorkPackages[[#This Row],[Task type]],'Forecast validation'!$A$14:$E$25,IF(tblWorkPackages[[#This Row],[Time split]]="Validation H1",4,5),FALSE()))</f>
        <v>7.24341085271318</v>
      </c>
      <c r="U2190" s="51">
        <f>IF(tblWorkPackages[[#This Row],[Calibrated forecast hours]]="","",ABS(tblWorkPackages[[#This Row],[Actual labor hours]]-tblWorkPackages[[#This Row],[Calibrated forecast hours]]))</f>
        <v>1.44341085271318</v>
      </c>
      <c r="V2190" s="51">
        <f>IF(tblWorkPackages[[#This Row],[Time split]]="Train 2024",tblWorkPackages[[#This Row],[Estimated labor hours]],tblWorkPackages[[#This Row],[Calibrated forecast hours]])</f>
        <v>7.24341085271318</v>
      </c>
      <c r="W2190" s="64">
        <f>DATEVALUE(tblWorkPackages[[#This Row],[Request date]])</f>
        <v>45902.0</v>
      </c>
      <c r="X2190" s="64">
        <f>DATEVALUE(tblWorkPackages[[#This Row],[Due date]])</f>
        <v>45915.0</v>
      </c>
      <c r="Y2190" s="64">
        <f>DATEVALUE(tblWorkPackages[[#This Row],[Completion date]])</f>
        <v>45929.0</v>
      </c>
      <c r="Z2190" s="64">
        <f>_xlfn.MINIFS(tblLaborEntries[Work date serial],tblLaborEntries[Work package ID],tblWorkPackages[[#This Row],[Work package ID]])</f>
        <v>45928.0</v>
      </c>
      <c r="AA2190" s="64">
        <f>_xlfn.MAXIFS(tblLaborEntries[Work date serial],tblLaborEntries[Work package ID],tblWorkPackages[[#This Row],[Work package ID]])</f>
        <v>45929.0</v>
      </c>
      <c r="AB2190" s="65">
        <f>IF(tblWorkPackages[[#This Row],[Completion date serial]]&gt;tblWorkPackages[[#This Row],[Due date serial]],1,0)</f>
        <v>1</v>
      </c>
      <c r="AC2190" s="65">
        <f>MAX(0,tblWorkPackages[[#This Row],[Completion date serial]]-tblWorkPackages[[#This Row],[Due date serial]])</f>
        <v>14</v>
      </c>
      <c r="AD2190" s="65">
        <f>tblWorkPackages[[#This Row],[First labor date]]-tblWorkPackages[[#This Row],[Request date serial]]</f>
        <v>26</v>
      </c>
      <c r="AE2190" s="65">
        <f>tblWorkPackages[[#This Row],[Last labor date]]-tblWorkPackages[[#This Row],[First labor date]]</f>
        <v>1</v>
      </c>
      <c r="AF2190" s="65">
        <f>tblWorkPackages[[#This Row],[Completion date serial]]-tblWorkPackages[[#This Row],[Last labor date]]</f>
        <v>0</v>
      </c>
      <c r="AG2190" s="65">
        <f>tblWorkPackages[[#This Row],[Completion date serial]]-tblWorkPackages[[#This Row],[Request date serial]]</f>
        <v>27</v>
      </c>
      <c r="AH2190" s="65">
        <f>IFERROR(INDEX(tblParts[Delay days],MATCH(tblWorkPackages[[#This Row],[Work package ID]],tblParts[Work package ID],0)),0)</f>
        <v>0</v>
      </c>
      <c r="AI2190" s="51" t="str">
        <f>IFERROR(INDEX(tblDisruptions[Event type],MATCH(tblWorkPackages[[#This Row],[Work package ID]],tblDisruptions[Work package ID],0)),"None")</f>
        <v>None</v>
      </c>
      <c r="AJ2190" s="51" t="str">
        <f>TEXT(tblWorkPackages[[#This Row],[Due date serial]],"yyyy-mm")</f>
        <v>2025-09</v>
      </c>
    </row>
    <row r="2191" spans="1:36" ht="15" x14ac:dyDescent="0.25">
      <c r="A2191" s="53" t="s">
        <v>3107</v>
      </c>
      <c r="B2191" s="53" t="s">
        <v>133</v>
      </c>
      <c r="C2191" s="53" t="s">
        <v>863</v>
      </c>
      <c r="D2191" s="53" t="s">
        <v>796</v>
      </c>
      <c r="E2191" s="53" t="s">
        <v>127</v>
      </c>
      <c r="F2191" s="53" t="s">
        <v>128</v>
      </c>
      <c r="G2191" s="53" t="s">
        <v>129</v>
      </c>
      <c r="H2191" s="53">
        <v>2</v>
      </c>
      <c r="I2191" s="53" t="s">
        <v>130</v>
      </c>
      <c r="J2191" s="53">
        <v>0</v>
      </c>
      <c r="K2191" s="53">
        <v>0</v>
      </c>
      <c r="L2191" s="53">
        <v>7.2</v>
      </c>
      <c r="M2191" s="53" t="s">
        <v>175</v>
      </c>
      <c r="N2191" s="53">
        <v>6.8</v>
      </c>
      <c r="O2191" s="51" t="str">
        <f>TEXT(tblWorkPackages[[#This Row],[Request date serial]]-WEEKDAY(tblWorkPackages[[#This Row],[Request date serial]],3),"yyyy-mm-dd")</f>
        <v>2025-06-23</v>
      </c>
      <c r="P2191" s="51">
        <f>ABS(tblWorkPackages[[#This Row],[Actual labor hours]]-tblWorkPackages[[#This Row],[Estimated labor hours]])</f>
        <v>0.4</v>
      </c>
      <c r="Q2191" s="51">
        <f>IF(tblWorkPackages[[#This Row],[Actual labor hours]]&gt;tblWorkPackages[[#This Row],[Estimated labor hours]],1,0)</f>
        <v>0</v>
      </c>
      <c r="R2191" s="51">
        <f>tblWorkPackages[[#This Row],[Actual labor hours]]-tblWorkPackages[[#This Row],[Estimated labor hours]]</f>
        <v>-0.4</v>
      </c>
      <c r="S2191" s="51" t="str">
        <f>IF(tblWorkPackages[[#This Row],[Request date serial]]&lt;ValidationStart,"Train 2024",IF(tblWorkPackages[[#This Row],[Request date serial]]&lt;HoldoutStart,"Validation H1","Holdout H2"))</f>
        <v>Validation H1</v>
      </c>
      <c r="T2191" s="51">
        <f>IF(tblWorkPackages[[#This Row],[Time split]]="Train 2024","",tblWorkPackages[[#This Row],[Estimated labor hours]]+VLOOKUP(tblWorkPackages[[#This Row],[Task type]],'Forecast validation'!$A$14:$E$25,IF(tblWorkPackages[[#This Row],[Time split]]="Validation H1",4,5),FALSE()))</f>
        <v>7.67564102564103</v>
      </c>
      <c r="U2191" s="51">
        <f>IF(tblWorkPackages[[#This Row],[Calibrated forecast hours]]="","",ABS(tblWorkPackages[[#This Row],[Actual labor hours]]-tblWorkPackages[[#This Row],[Calibrated forecast hours]]))</f>
        <v>0.875641025641026</v>
      </c>
      <c r="V2191" s="51">
        <f>IF(tblWorkPackages[[#This Row],[Time split]]="Train 2024",tblWorkPackages[[#This Row],[Estimated labor hours]],tblWorkPackages[[#This Row],[Calibrated forecast hours]])</f>
        <v>7.67564102564103</v>
      </c>
      <c r="W2191" s="64">
        <f>DATEVALUE(tblWorkPackages[[#This Row],[Request date]])</f>
        <v>45837.0</v>
      </c>
      <c r="X2191" s="64">
        <f>DATEVALUE(tblWorkPackages[[#This Row],[Due date]])</f>
        <v>45850.0</v>
      </c>
      <c r="Y2191" s="64">
        <f>DATEVALUE(tblWorkPackages[[#This Row],[Completion date]])</f>
        <v>45842.0</v>
      </c>
      <c r="Z2191" s="64">
        <f>_xlfn.MINIFS(tblLaborEntries[Work date serial],tblLaborEntries[Work package ID],tblWorkPackages[[#This Row],[Work package ID]])</f>
        <v>45841.0</v>
      </c>
      <c r="AA2191" s="64">
        <f>_xlfn.MAXIFS(tblLaborEntries[Work date serial],tblLaborEntries[Work package ID],tblWorkPackages[[#This Row],[Work package ID]])</f>
        <v>45841.0</v>
      </c>
      <c r="AB2191" s="65">
        <f>IF(tblWorkPackages[[#This Row],[Completion date serial]]&gt;tblWorkPackages[[#This Row],[Due date serial]],1,0)</f>
        <v>0</v>
      </c>
      <c r="AC2191" s="65">
        <f>MAX(0,tblWorkPackages[[#This Row],[Completion date serial]]-tblWorkPackages[[#This Row],[Due date serial]])</f>
        <v>0</v>
      </c>
      <c r="AD2191" s="65">
        <f>tblWorkPackages[[#This Row],[First labor date]]-tblWorkPackages[[#This Row],[Request date serial]]</f>
        <v>4</v>
      </c>
      <c r="AE2191" s="65">
        <f>tblWorkPackages[[#This Row],[Last labor date]]-tblWorkPackages[[#This Row],[First labor date]]</f>
        <v>0</v>
      </c>
      <c r="AF2191" s="65">
        <f>tblWorkPackages[[#This Row],[Completion date serial]]-tblWorkPackages[[#This Row],[Last labor date]]</f>
        <v>1</v>
      </c>
      <c r="AG2191" s="65">
        <f>tblWorkPackages[[#This Row],[Completion date serial]]-tblWorkPackages[[#This Row],[Request date serial]]</f>
        <v>5</v>
      </c>
      <c r="AH2191" s="65">
        <f>IFERROR(INDEX(tblParts[Delay days],MATCH(tblWorkPackages[[#This Row],[Work package ID]],tblParts[Work package ID],0)),0)</f>
        <v>0</v>
      </c>
      <c r="AI2191" s="51" t="str">
        <f>IFERROR(INDEX(tblDisruptions[Event type],MATCH(tblWorkPackages[[#This Row],[Work package ID]],tblDisruptions[Work package ID],0)),"None")</f>
        <v>None</v>
      </c>
      <c r="AJ2191" s="51" t="str">
        <f>TEXT(tblWorkPackages[[#This Row],[Due date serial]],"yyyy-mm")</f>
        <v>2025-07</v>
      </c>
    </row>
    <row r="2192" spans="1:36" ht="15" x14ac:dyDescent="0.25">
      <c r="A2192" s="53" t="s">
        <v>3108</v>
      </c>
      <c r="B2192" s="53" t="s">
        <v>163</v>
      </c>
      <c r="C2192" s="53" t="s">
        <v>1534</v>
      </c>
      <c r="D2192" s="53" t="s">
        <v>1133</v>
      </c>
      <c r="E2192" s="53" t="s">
        <v>127</v>
      </c>
      <c r="F2192" s="53" t="s">
        <v>128</v>
      </c>
      <c r="G2192" s="53" t="s">
        <v>129</v>
      </c>
      <c r="H2192" s="53">
        <v>4</v>
      </c>
      <c r="I2192" s="53" t="s">
        <v>176</v>
      </c>
      <c r="J2192" s="53">
        <v>0</v>
      </c>
      <c r="K2192" s="53">
        <v>0</v>
      </c>
      <c r="L2192" s="53">
        <v>11.1</v>
      </c>
      <c r="M2192" s="53" t="s">
        <v>480</v>
      </c>
      <c r="N2192" s="53">
        <v>10.5</v>
      </c>
      <c r="O2192" s="51" t="str">
        <f>TEXT(tblWorkPackages[[#This Row],[Request date serial]]-WEEKDAY(tblWorkPackages[[#This Row],[Request date serial]],3),"yyyy-mm-dd")</f>
        <v>2025-10-20</v>
      </c>
      <c r="P2192" s="51">
        <f>ABS(tblWorkPackages[[#This Row],[Actual labor hours]]-tblWorkPackages[[#This Row],[Estimated labor hours]])</f>
        <v>0.6</v>
      </c>
      <c r="Q2192" s="51">
        <f>IF(tblWorkPackages[[#This Row],[Actual labor hours]]&gt;tblWorkPackages[[#This Row],[Estimated labor hours]],1,0)</f>
        <v>0</v>
      </c>
      <c r="R2192" s="51">
        <f>tblWorkPackages[[#This Row],[Actual labor hours]]-tblWorkPackages[[#This Row],[Estimated labor hours]]</f>
        <v>-0.6</v>
      </c>
      <c r="S2192" s="51" t="str">
        <f>IF(tblWorkPackages[[#This Row],[Request date serial]]&lt;ValidationStart,"Train 2024",IF(tblWorkPackages[[#This Row],[Request date serial]]&lt;HoldoutStart,"Validation H1","Holdout H2"))</f>
        <v>Holdout H2</v>
      </c>
      <c r="T2192" s="51">
        <f>IF(tblWorkPackages[[#This Row],[Time split]]="Train 2024","",tblWorkPackages[[#This Row],[Estimated labor hours]]+VLOOKUP(tblWorkPackages[[#This Row],[Task type]],'Forecast validation'!$A$14:$E$25,IF(tblWorkPackages[[#This Row],[Time split]]="Validation H1",4,5),FALSE()))</f>
        <v>11.6434108527132</v>
      </c>
      <c r="U2192" s="51">
        <f>IF(tblWorkPackages[[#This Row],[Calibrated forecast hours]]="","",ABS(tblWorkPackages[[#This Row],[Actual labor hours]]-tblWorkPackages[[#This Row],[Calibrated forecast hours]]))</f>
        <v>1.14341085271318</v>
      </c>
      <c r="V2192" s="51">
        <f>IF(tblWorkPackages[[#This Row],[Time split]]="Train 2024",tblWorkPackages[[#This Row],[Estimated labor hours]],tblWorkPackages[[#This Row],[Calibrated forecast hours]])</f>
        <v>11.6434108527132</v>
      </c>
      <c r="W2192" s="64">
        <f>DATEVALUE(tblWorkPackages[[#This Row],[Request date]])</f>
        <v>45951.0</v>
      </c>
      <c r="X2192" s="64">
        <f>DATEVALUE(tblWorkPackages[[#This Row],[Due date]])</f>
        <v>45957.0</v>
      </c>
      <c r="Y2192" s="64">
        <f>DATEVALUE(tblWorkPackages[[#This Row],[Completion date]])</f>
        <v>45955.0</v>
      </c>
      <c r="Z2192" s="64">
        <f>_xlfn.MINIFS(tblLaborEntries[Work date serial],tblLaborEntries[Work package ID],tblWorkPackages[[#This Row],[Work package ID]])</f>
        <v>45952.0</v>
      </c>
      <c r="AA2192" s="64">
        <f>_xlfn.MAXIFS(tblLaborEntries[Work date serial],tblLaborEntries[Work package ID],tblWorkPackages[[#This Row],[Work package ID]])</f>
        <v>45953.0</v>
      </c>
      <c r="AB2192" s="65">
        <f>IF(tblWorkPackages[[#This Row],[Completion date serial]]&gt;tblWorkPackages[[#This Row],[Due date serial]],1,0)</f>
        <v>0</v>
      </c>
      <c r="AC2192" s="65">
        <f>MAX(0,tblWorkPackages[[#This Row],[Completion date serial]]-tblWorkPackages[[#This Row],[Due date serial]])</f>
        <v>0</v>
      </c>
      <c r="AD2192" s="65">
        <f>tblWorkPackages[[#This Row],[First labor date]]-tblWorkPackages[[#This Row],[Request date serial]]</f>
        <v>1</v>
      </c>
      <c r="AE2192" s="65">
        <f>tblWorkPackages[[#This Row],[Last labor date]]-tblWorkPackages[[#This Row],[First labor date]]</f>
        <v>1</v>
      </c>
      <c r="AF2192" s="65">
        <f>tblWorkPackages[[#This Row],[Completion date serial]]-tblWorkPackages[[#This Row],[Last labor date]]</f>
        <v>2</v>
      </c>
      <c r="AG2192" s="65">
        <f>tblWorkPackages[[#This Row],[Completion date serial]]-tblWorkPackages[[#This Row],[Request date serial]]</f>
        <v>4</v>
      </c>
      <c r="AH2192" s="65">
        <f>IFERROR(INDEX(tblParts[Delay days],MATCH(tblWorkPackages[[#This Row],[Work package ID]],tblParts[Work package ID],0)),0)</f>
        <v>0</v>
      </c>
      <c r="AI2192" s="51" t="str">
        <f>IFERROR(INDEX(tblDisruptions[Event type],MATCH(tblWorkPackages[[#This Row],[Work package ID]],tblDisruptions[Work package ID],0)),"None")</f>
        <v>None</v>
      </c>
      <c r="AJ2192" s="51" t="str">
        <f>TEXT(tblWorkPackages[[#This Row],[Due date serial]],"yyyy-mm")</f>
        <v>2025-10</v>
      </c>
    </row>
    <row r="2193" spans="1:36" ht="15" x14ac:dyDescent="0.25">
      <c r="A2193" s="53" t="s">
        <v>3109</v>
      </c>
      <c r="B2193" s="53" t="s">
        <v>250</v>
      </c>
      <c r="C2193" s="53" t="s">
        <v>628</v>
      </c>
      <c r="D2193" s="53" t="s">
        <v>343</v>
      </c>
      <c r="E2193" s="53" t="s">
        <v>144</v>
      </c>
      <c r="F2193" s="53" t="s">
        <v>145</v>
      </c>
      <c r="G2193" s="53" t="s">
        <v>146</v>
      </c>
      <c r="H2193" s="53">
        <v>4</v>
      </c>
      <c r="I2193" s="53" t="s">
        <v>130</v>
      </c>
      <c r="J2193" s="53">
        <v>1</v>
      </c>
      <c r="K2193" s="53">
        <v>1</v>
      </c>
      <c r="L2193" s="53">
        <v>19.100000000000001</v>
      </c>
      <c r="M2193" s="53" t="s">
        <v>797</v>
      </c>
      <c r="N2193" s="53">
        <v>28.9</v>
      </c>
      <c r="O2193" s="51" t="str">
        <f>TEXT(tblWorkPackages[[#This Row],[Request date serial]]-WEEKDAY(tblWorkPackages[[#This Row],[Request date serial]],3),"yyyy-mm-dd")</f>
        <v>2025-07-07</v>
      </c>
      <c r="P2193" s="51">
        <f>ABS(tblWorkPackages[[#This Row],[Actual labor hours]]-tblWorkPackages[[#This Row],[Estimated labor hours]])</f>
        <v>9.8</v>
      </c>
      <c r="Q2193" s="51">
        <f>IF(tblWorkPackages[[#This Row],[Actual labor hours]]&gt;tblWorkPackages[[#This Row],[Estimated labor hours]],1,0)</f>
        <v>1</v>
      </c>
      <c r="R2193" s="51">
        <f>tblWorkPackages[[#This Row],[Actual labor hours]]-tblWorkPackages[[#This Row],[Estimated labor hours]]</f>
        <v>9.8</v>
      </c>
      <c r="S2193" s="51" t="str">
        <f>IF(tblWorkPackages[[#This Row],[Request date serial]]&lt;ValidationStart,"Train 2024",IF(tblWorkPackages[[#This Row],[Request date serial]]&lt;HoldoutStart,"Validation H1","Holdout H2"))</f>
        <v>Holdout H2</v>
      </c>
      <c r="T2193" s="51">
        <f>IF(tblWorkPackages[[#This Row],[Time split]]="Train 2024","",tblWorkPackages[[#This Row],[Estimated labor hours]]+VLOOKUP(tblWorkPackages[[#This Row],[Task type]],'Forecast validation'!$A$14:$E$25,IF(tblWorkPackages[[#This Row],[Time split]]="Validation H1",4,5),FALSE()))</f>
        <v>20.0735483870968</v>
      </c>
      <c r="U2193" s="51">
        <f>IF(tblWorkPackages[[#This Row],[Calibrated forecast hours]]="","",ABS(tblWorkPackages[[#This Row],[Actual labor hours]]-tblWorkPackages[[#This Row],[Calibrated forecast hours]]))</f>
        <v>8.82645161290322</v>
      </c>
      <c r="V2193" s="51">
        <f>IF(tblWorkPackages[[#This Row],[Time split]]="Train 2024",tblWorkPackages[[#This Row],[Estimated labor hours]],tblWorkPackages[[#This Row],[Calibrated forecast hours]])</f>
        <v>20.0735483870968</v>
      </c>
      <c r="W2193" s="64">
        <f>DATEVALUE(tblWorkPackages[[#This Row],[Request date]])</f>
        <v>45849.0</v>
      </c>
      <c r="X2193" s="64">
        <f>DATEVALUE(tblWorkPackages[[#This Row],[Due date]])</f>
        <v>45862.0</v>
      </c>
      <c r="Y2193" s="64">
        <f>DATEVALUE(tblWorkPackages[[#This Row],[Completion date]])</f>
        <v>45867.0</v>
      </c>
      <c r="Z2193" s="64">
        <f>_xlfn.MINIFS(tblLaborEntries[Work date serial],tblLaborEntries[Work package ID],tblWorkPackages[[#This Row],[Work package ID]])</f>
        <v>45862.0</v>
      </c>
      <c r="AA2193" s="64">
        <f>_xlfn.MAXIFS(tblLaborEntries[Work date serial],tblLaborEntries[Work package ID],tblWorkPackages[[#This Row],[Work package ID]])</f>
        <v>45864.0</v>
      </c>
      <c r="AB2193" s="65">
        <f>IF(tblWorkPackages[[#This Row],[Completion date serial]]&gt;tblWorkPackages[[#This Row],[Due date serial]],1,0)</f>
        <v>1</v>
      </c>
      <c r="AC2193" s="65">
        <f>MAX(0,tblWorkPackages[[#This Row],[Completion date serial]]-tblWorkPackages[[#This Row],[Due date serial]])</f>
        <v>5</v>
      </c>
      <c r="AD2193" s="65">
        <f>tblWorkPackages[[#This Row],[First labor date]]-tblWorkPackages[[#This Row],[Request date serial]]</f>
        <v>13</v>
      </c>
      <c r="AE2193" s="65">
        <f>tblWorkPackages[[#This Row],[Last labor date]]-tblWorkPackages[[#This Row],[First labor date]]</f>
        <v>2</v>
      </c>
      <c r="AF2193" s="65">
        <f>tblWorkPackages[[#This Row],[Completion date serial]]-tblWorkPackages[[#This Row],[Last labor date]]</f>
        <v>3</v>
      </c>
      <c r="AG2193" s="65">
        <f>tblWorkPackages[[#This Row],[Completion date serial]]-tblWorkPackages[[#This Row],[Request date serial]]</f>
        <v>18</v>
      </c>
      <c r="AH2193" s="65">
        <f>IFERROR(INDEX(tblParts[Delay days],MATCH(tblWorkPackages[[#This Row],[Work package ID]],tblParts[Work package ID],0)),0)</f>
        <v>0</v>
      </c>
      <c r="AI2193" s="51" t="str">
        <f>IFERROR(INDEX(tblDisruptions[Event type],MATCH(tblWorkPackages[[#This Row],[Work package ID]],tblDisruptions[Work package ID],0)),"None")</f>
        <v>None</v>
      </c>
      <c r="AJ2193" s="51" t="str">
        <f>TEXT(tblWorkPackages[[#This Row],[Due date serial]],"yyyy-mm")</f>
        <v>2025-07</v>
      </c>
    </row>
    <row r="2194" spans="1:36" ht="15" x14ac:dyDescent="0.25">
      <c r="A2194" s="53" t="s">
        <v>3110</v>
      </c>
      <c r="B2194" s="53" t="s">
        <v>124</v>
      </c>
      <c r="C2194" s="53" t="s">
        <v>768</v>
      </c>
      <c r="D2194" s="53" t="s">
        <v>856</v>
      </c>
      <c r="E2194" s="53" t="s">
        <v>127</v>
      </c>
      <c r="F2194" s="53" t="s">
        <v>128</v>
      </c>
      <c r="G2194" s="53" t="s">
        <v>129</v>
      </c>
      <c r="H2194" s="53">
        <v>3</v>
      </c>
      <c r="I2194" s="53" t="s">
        <v>130</v>
      </c>
      <c r="J2194" s="53">
        <v>0</v>
      </c>
      <c r="K2194" s="53">
        <v>0</v>
      </c>
      <c r="L2194" s="53">
        <v>9.3000000000000007</v>
      </c>
      <c r="M2194" s="53" t="s">
        <v>217</v>
      </c>
      <c r="N2194" s="53">
        <v>7.4</v>
      </c>
      <c r="O2194" s="51" t="str">
        <f>TEXT(tblWorkPackages[[#This Row],[Request date serial]]-WEEKDAY(tblWorkPackages[[#This Row],[Request date serial]],3),"yyyy-mm-dd")</f>
        <v>2025-12-08</v>
      </c>
      <c r="P2194" s="51">
        <f>ABS(tblWorkPackages[[#This Row],[Actual labor hours]]-tblWorkPackages[[#This Row],[Estimated labor hours]])</f>
        <v>1.9</v>
      </c>
      <c r="Q2194" s="51">
        <f>IF(tblWorkPackages[[#This Row],[Actual labor hours]]&gt;tblWorkPackages[[#This Row],[Estimated labor hours]],1,0)</f>
        <v>0</v>
      </c>
      <c r="R2194" s="51">
        <f>tblWorkPackages[[#This Row],[Actual labor hours]]-tblWorkPackages[[#This Row],[Estimated labor hours]]</f>
        <v>-1.9</v>
      </c>
      <c r="S2194" s="51" t="str">
        <f>IF(tblWorkPackages[[#This Row],[Request date serial]]&lt;ValidationStart,"Train 2024",IF(tblWorkPackages[[#This Row],[Request date serial]]&lt;HoldoutStart,"Validation H1","Holdout H2"))</f>
        <v>Holdout H2</v>
      </c>
      <c r="T2194" s="51">
        <f>IF(tblWorkPackages[[#This Row],[Time split]]="Train 2024","",tblWorkPackages[[#This Row],[Estimated labor hours]]+VLOOKUP(tblWorkPackages[[#This Row],[Task type]],'Forecast validation'!$A$14:$E$25,IF(tblWorkPackages[[#This Row],[Time split]]="Validation H1",4,5),FALSE()))</f>
        <v>9.84341085271318</v>
      </c>
      <c r="U2194" s="51">
        <f>IF(tblWorkPackages[[#This Row],[Calibrated forecast hours]]="","",ABS(tblWorkPackages[[#This Row],[Actual labor hours]]-tblWorkPackages[[#This Row],[Calibrated forecast hours]]))</f>
        <v>2.44341085271318</v>
      </c>
      <c r="V2194" s="51">
        <f>IF(tblWorkPackages[[#This Row],[Time split]]="Train 2024",tblWorkPackages[[#This Row],[Estimated labor hours]],tblWorkPackages[[#This Row],[Calibrated forecast hours]])</f>
        <v>9.84341085271318</v>
      </c>
      <c r="W2194" s="64">
        <f>DATEVALUE(tblWorkPackages[[#This Row],[Request date]])</f>
        <v>46001.0</v>
      </c>
      <c r="X2194" s="64">
        <f>DATEVALUE(tblWorkPackages[[#This Row],[Due date]])</f>
        <v>46014.0</v>
      </c>
      <c r="Y2194" s="64">
        <f>DATEVALUE(tblWorkPackages[[#This Row],[Completion date]])</f>
        <v>46004.0</v>
      </c>
      <c r="Z2194" s="64">
        <f>_xlfn.MINIFS(tblLaborEntries[Work date serial],tblLaborEntries[Work package ID],tblWorkPackages[[#This Row],[Work package ID]])</f>
        <v>46004.0</v>
      </c>
      <c r="AA2194" s="64">
        <f>_xlfn.MAXIFS(tblLaborEntries[Work date serial],tblLaborEntries[Work package ID],tblWorkPackages[[#This Row],[Work package ID]])</f>
        <v>46004.0</v>
      </c>
      <c r="AB2194" s="65">
        <f>IF(tblWorkPackages[[#This Row],[Completion date serial]]&gt;tblWorkPackages[[#This Row],[Due date serial]],1,0)</f>
        <v>0</v>
      </c>
      <c r="AC2194" s="65">
        <f>MAX(0,tblWorkPackages[[#This Row],[Completion date serial]]-tblWorkPackages[[#This Row],[Due date serial]])</f>
        <v>0</v>
      </c>
      <c r="AD2194" s="65">
        <f>tblWorkPackages[[#This Row],[First labor date]]-tblWorkPackages[[#This Row],[Request date serial]]</f>
        <v>3</v>
      </c>
      <c r="AE2194" s="65">
        <f>tblWorkPackages[[#This Row],[Last labor date]]-tblWorkPackages[[#This Row],[First labor date]]</f>
        <v>0</v>
      </c>
      <c r="AF2194" s="65">
        <f>tblWorkPackages[[#This Row],[Completion date serial]]-tblWorkPackages[[#This Row],[Last labor date]]</f>
        <v>0</v>
      </c>
      <c r="AG2194" s="65">
        <f>tblWorkPackages[[#This Row],[Completion date serial]]-tblWorkPackages[[#This Row],[Request date serial]]</f>
        <v>3</v>
      </c>
      <c r="AH2194" s="65">
        <f>IFERROR(INDEX(tblParts[Delay days],MATCH(tblWorkPackages[[#This Row],[Work package ID]],tblParts[Work package ID],0)),0)</f>
        <v>0</v>
      </c>
      <c r="AI2194" s="51" t="str">
        <f>IFERROR(INDEX(tblDisruptions[Event type],MATCH(tblWorkPackages[[#This Row],[Work package ID]],tblDisruptions[Work package ID],0)),"None")</f>
        <v>None</v>
      </c>
      <c r="AJ2194" s="51" t="str">
        <f>TEXT(tblWorkPackages[[#This Row],[Due date serial]],"yyyy-mm")</f>
        <v>2025-12</v>
      </c>
    </row>
    <row r="2195" spans="1:36" ht="15" x14ac:dyDescent="0.25">
      <c r="A2195" s="53" t="s">
        <v>3111</v>
      </c>
      <c r="B2195" s="53" t="s">
        <v>230</v>
      </c>
      <c r="C2195" s="53" t="s">
        <v>935</v>
      </c>
      <c r="D2195" s="53" t="s">
        <v>963</v>
      </c>
      <c r="E2195" s="53" t="s">
        <v>272</v>
      </c>
      <c r="F2195" s="53" t="s">
        <v>145</v>
      </c>
      <c r="G2195" s="53" t="s">
        <v>273</v>
      </c>
      <c r="H2195" s="53">
        <v>4</v>
      </c>
      <c r="I2195" s="53" t="s">
        <v>147</v>
      </c>
      <c r="J2195" s="53">
        <v>0</v>
      </c>
      <c r="K2195" s="53">
        <v>0</v>
      </c>
      <c r="L2195" s="53">
        <v>23.5</v>
      </c>
      <c r="M2195" s="53" t="s">
        <v>590</v>
      </c>
      <c r="N2195" s="53">
        <v>25.5</v>
      </c>
      <c r="O2195" s="51" t="str">
        <f>TEXT(tblWorkPackages[[#This Row],[Request date serial]]-WEEKDAY(tblWorkPackages[[#This Row],[Request date serial]],3),"yyyy-mm-dd")</f>
        <v>2025-02-10</v>
      </c>
      <c r="P2195" s="51">
        <f>ABS(tblWorkPackages[[#This Row],[Actual labor hours]]-tblWorkPackages[[#This Row],[Estimated labor hours]])</f>
        <v>2</v>
      </c>
      <c r="Q2195" s="51">
        <f>IF(tblWorkPackages[[#This Row],[Actual labor hours]]&gt;tblWorkPackages[[#This Row],[Estimated labor hours]],1,0)</f>
        <v>1</v>
      </c>
      <c r="R2195" s="51">
        <f>tblWorkPackages[[#This Row],[Actual labor hours]]-tblWorkPackages[[#This Row],[Estimated labor hours]]</f>
        <v>2</v>
      </c>
      <c r="S2195" s="51" t="str">
        <f>IF(tblWorkPackages[[#This Row],[Request date serial]]&lt;ValidationStart,"Train 2024",IF(tblWorkPackages[[#This Row],[Request date serial]]&lt;HoldoutStart,"Validation H1","Holdout H2"))</f>
        <v>Validation H1</v>
      </c>
      <c r="T2195" s="51">
        <f>IF(tblWorkPackages[[#This Row],[Time split]]="Train 2024","",tblWorkPackages[[#This Row],[Estimated labor hours]]+VLOOKUP(tblWorkPackages[[#This Row],[Task type]],'Forecast validation'!$A$14:$E$25,IF(tblWorkPackages[[#This Row],[Time split]]="Validation H1",4,5),FALSE()))</f>
        <v>24.5320512820513</v>
      </c>
      <c r="U2195" s="51">
        <f>IF(tblWorkPackages[[#This Row],[Calibrated forecast hours]]="","",ABS(tblWorkPackages[[#This Row],[Actual labor hours]]-tblWorkPackages[[#This Row],[Calibrated forecast hours]]))</f>
        <v>0.967948717948719</v>
      </c>
      <c r="V2195" s="51">
        <f>IF(tblWorkPackages[[#This Row],[Time split]]="Train 2024",tblWorkPackages[[#This Row],[Estimated labor hours]],tblWorkPackages[[#This Row],[Calibrated forecast hours]])</f>
        <v>24.5320512820513</v>
      </c>
      <c r="W2195" s="64">
        <f>DATEVALUE(tblWorkPackages[[#This Row],[Request date]])</f>
        <v>45698.0</v>
      </c>
      <c r="X2195" s="64">
        <f>DATEVALUE(tblWorkPackages[[#This Row],[Due date]])</f>
        <v>45700.0</v>
      </c>
      <c r="Y2195" s="64">
        <f>DATEVALUE(tblWorkPackages[[#This Row],[Completion date]])</f>
        <v>45745.0</v>
      </c>
      <c r="Z2195" s="64">
        <f>_xlfn.MINIFS(tblLaborEntries[Work date serial],tblLaborEntries[Work package ID],tblWorkPackages[[#This Row],[Work package ID]])</f>
        <v>45743.0</v>
      </c>
      <c r="AA2195" s="64">
        <f>_xlfn.MAXIFS(tblLaborEntries[Work date serial],tblLaborEntries[Work package ID],tblWorkPackages[[#This Row],[Work package ID]])</f>
        <v>45744.0</v>
      </c>
      <c r="AB2195" s="65">
        <f>IF(tblWorkPackages[[#This Row],[Completion date serial]]&gt;tblWorkPackages[[#This Row],[Due date serial]],1,0)</f>
        <v>1</v>
      </c>
      <c r="AC2195" s="65">
        <f>MAX(0,tblWorkPackages[[#This Row],[Completion date serial]]-tblWorkPackages[[#This Row],[Due date serial]])</f>
        <v>45</v>
      </c>
      <c r="AD2195" s="65">
        <f>tblWorkPackages[[#This Row],[First labor date]]-tblWorkPackages[[#This Row],[Request date serial]]</f>
        <v>45</v>
      </c>
      <c r="AE2195" s="65">
        <f>tblWorkPackages[[#This Row],[Last labor date]]-tblWorkPackages[[#This Row],[First labor date]]</f>
        <v>1</v>
      </c>
      <c r="AF2195" s="65">
        <f>tblWorkPackages[[#This Row],[Completion date serial]]-tblWorkPackages[[#This Row],[Last labor date]]</f>
        <v>1</v>
      </c>
      <c r="AG2195" s="65">
        <f>tblWorkPackages[[#This Row],[Completion date serial]]-tblWorkPackages[[#This Row],[Request date serial]]</f>
        <v>47</v>
      </c>
      <c r="AH2195" s="65">
        <f>IFERROR(INDEX(tblParts[Delay days],MATCH(tblWorkPackages[[#This Row],[Work package ID]],tblParts[Work package ID],0)),0)</f>
        <v>0</v>
      </c>
      <c r="AI2195" s="51" t="str">
        <f>IFERROR(INDEX(tblDisruptions[Event type],MATCH(tblWorkPackages[[#This Row],[Work package ID]],tblDisruptions[Work package ID],0)),"None")</f>
        <v>None</v>
      </c>
      <c r="AJ2195" s="51" t="str">
        <f>TEXT(tblWorkPackages[[#This Row],[Due date serial]],"yyyy-mm")</f>
        <v>2025-02</v>
      </c>
    </row>
    <row r="2196" spans="1:36" ht="15" x14ac:dyDescent="0.25">
      <c r="A2196" s="53" t="s">
        <v>3112</v>
      </c>
      <c r="B2196" s="53" t="s">
        <v>124</v>
      </c>
      <c r="C2196" s="53" t="s">
        <v>643</v>
      </c>
      <c r="D2196" s="53" t="s">
        <v>1392</v>
      </c>
      <c r="E2196" s="53" t="s">
        <v>223</v>
      </c>
      <c r="F2196" s="53" t="s">
        <v>182</v>
      </c>
      <c r="G2196" s="53" t="s">
        <v>154</v>
      </c>
      <c r="H2196" s="53">
        <v>4</v>
      </c>
      <c r="I2196" s="53" t="s">
        <v>130</v>
      </c>
      <c r="J2196" s="53">
        <v>0</v>
      </c>
      <c r="K2196" s="53">
        <v>0</v>
      </c>
      <c r="L2196" s="53">
        <v>23.3</v>
      </c>
      <c r="M2196" s="53" t="s">
        <v>1370</v>
      </c>
      <c r="N2196" s="53">
        <v>21.1</v>
      </c>
      <c r="O2196" s="51" t="str">
        <f>TEXT(tblWorkPackages[[#This Row],[Request date serial]]-WEEKDAY(tblWorkPackages[[#This Row],[Request date serial]],3),"yyyy-mm-dd")</f>
        <v>2024-07-22</v>
      </c>
      <c r="P2196" s="51">
        <f>ABS(tblWorkPackages[[#This Row],[Actual labor hours]]-tblWorkPackages[[#This Row],[Estimated labor hours]])</f>
        <v>2.2</v>
      </c>
      <c r="Q2196" s="51">
        <f>IF(tblWorkPackages[[#This Row],[Actual labor hours]]&gt;tblWorkPackages[[#This Row],[Estimated labor hours]],1,0)</f>
        <v>0</v>
      </c>
      <c r="R2196" s="51">
        <f>tblWorkPackages[[#This Row],[Actual labor hours]]-tblWorkPackages[[#This Row],[Estimated labor hours]]</f>
        <v>-2.2</v>
      </c>
      <c r="S2196" s="51" t="str">
        <f>IF(tblWorkPackages[[#This Row],[Request date serial]]&lt;ValidationStart,"Train 2024",IF(tblWorkPackages[[#This Row],[Request date serial]]&lt;HoldoutStart,"Validation H1","Holdout H2"))</f>
        <v>Train 2024</v>
      </c>
      <c r="T2196" s="51" t="str">
        <f>IF(tblWorkPackages[[#This Row],[Time split]]="Train 2024","",tblWorkPackages[[#This Row],[Estimated labor hours]]+VLOOKUP(tblWorkPackages[[#This Row],[Task type]],'Forecast validation'!$A$14:$E$25,IF(tblWorkPackages[[#This Row],[Time split]]="Validation H1",4,5),FALSE()))</f>
        <v/>
      </c>
      <c r="U2196" s="51" t="str">
        <f>IF(tblWorkPackages[[#This Row],[Calibrated forecast hours]]="","",ABS(tblWorkPackages[[#This Row],[Actual labor hours]]-tblWorkPackages[[#This Row],[Calibrated forecast hours]]))</f>
        <v/>
      </c>
      <c r="V2196" s="51">
        <f>IF(tblWorkPackages[[#This Row],[Time split]]="Train 2024",tblWorkPackages[[#This Row],[Estimated labor hours]],tblWorkPackages[[#This Row],[Calibrated forecast hours]])</f>
        <v>23.3</v>
      </c>
      <c r="W2196" s="64">
        <f>DATEVALUE(tblWorkPackages[[#This Row],[Request date]])</f>
        <v>45495.0</v>
      </c>
      <c r="X2196" s="64">
        <f>DATEVALUE(tblWorkPackages[[#This Row],[Due date]])</f>
        <v>45508.0</v>
      </c>
      <c r="Y2196" s="64">
        <f>DATEVALUE(tblWorkPackages[[#This Row],[Completion date]])</f>
        <v>45507.0</v>
      </c>
      <c r="Z2196" s="64">
        <f>_xlfn.MINIFS(tblLaborEntries[Work date serial],tblLaborEntries[Work package ID],tblWorkPackages[[#This Row],[Work package ID]])</f>
        <v>45503.0</v>
      </c>
      <c r="AA2196" s="64">
        <f>_xlfn.MAXIFS(tblLaborEntries[Work date serial],tblLaborEntries[Work package ID],tblWorkPackages[[#This Row],[Work package ID]])</f>
        <v>45505.0</v>
      </c>
      <c r="AB2196" s="65">
        <f>IF(tblWorkPackages[[#This Row],[Completion date serial]]&gt;tblWorkPackages[[#This Row],[Due date serial]],1,0)</f>
        <v>0</v>
      </c>
      <c r="AC2196" s="65">
        <f>MAX(0,tblWorkPackages[[#This Row],[Completion date serial]]-tblWorkPackages[[#This Row],[Due date serial]])</f>
        <v>0</v>
      </c>
      <c r="AD2196" s="65">
        <f>tblWorkPackages[[#This Row],[First labor date]]-tblWorkPackages[[#This Row],[Request date serial]]</f>
        <v>8</v>
      </c>
      <c r="AE2196" s="65">
        <f>tblWorkPackages[[#This Row],[Last labor date]]-tblWorkPackages[[#This Row],[First labor date]]</f>
        <v>2</v>
      </c>
      <c r="AF2196" s="65">
        <f>tblWorkPackages[[#This Row],[Completion date serial]]-tblWorkPackages[[#This Row],[Last labor date]]</f>
        <v>2</v>
      </c>
      <c r="AG2196" s="65">
        <f>tblWorkPackages[[#This Row],[Completion date serial]]-tblWorkPackages[[#This Row],[Request date serial]]</f>
        <v>12</v>
      </c>
      <c r="AH2196" s="65">
        <f>IFERROR(INDEX(tblParts[Delay days],MATCH(tblWorkPackages[[#This Row],[Work package ID]],tblParts[Work package ID],0)),0)</f>
        <v>0</v>
      </c>
      <c r="AI2196" s="51" t="str">
        <f>IFERROR(INDEX(tblDisruptions[Event type],MATCH(tblWorkPackages[[#This Row],[Work package ID]],tblDisruptions[Work package ID],0)),"None")</f>
        <v>None</v>
      </c>
      <c r="AJ2196" s="51" t="str">
        <f>TEXT(tblWorkPackages[[#This Row],[Due date serial]],"yyyy-mm")</f>
        <v>2024-08</v>
      </c>
    </row>
    <row r="2197" spans="1:36" ht="15" x14ac:dyDescent="0.25">
      <c r="A2197" s="53" t="s">
        <v>3113</v>
      </c>
      <c r="B2197" s="53" t="s">
        <v>173</v>
      </c>
      <c r="C2197" s="53" t="s">
        <v>270</v>
      </c>
      <c r="D2197" s="53" t="s">
        <v>271</v>
      </c>
      <c r="E2197" s="53" t="s">
        <v>160</v>
      </c>
      <c r="F2197" s="53" t="s">
        <v>128</v>
      </c>
      <c r="G2197" s="53" t="s">
        <v>138</v>
      </c>
      <c r="H2197" s="53">
        <v>1</v>
      </c>
      <c r="I2197" s="53" t="s">
        <v>130</v>
      </c>
      <c r="J2197" s="53">
        <v>0</v>
      </c>
      <c r="K2197" s="53">
        <v>1</v>
      </c>
      <c r="L2197" s="53">
        <v>3.2</v>
      </c>
      <c r="M2197" s="53" t="s">
        <v>1895</v>
      </c>
      <c r="N2197" s="53">
        <v>4</v>
      </c>
      <c r="O2197" s="51" t="str">
        <f>TEXT(tblWorkPackages[[#This Row],[Request date serial]]-WEEKDAY(tblWorkPackages[[#This Row],[Request date serial]],3),"yyyy-mm-dd")</f>
        <v>2025-03-31</v>
      </c>
      <c r="P2197" s="51">
        <f>ABS(tblWorkPackages[[#This Row],[Actual labor hours]]-tblWorkPackages[[#This Row],[Estimated labor hours]])</f>
        <v>0.8</v>
      </c>
      <c r="Q2197" s="51">
        <f>IF(tblWorkPackages[[#This Row],[Actual labor hours]]&gt;tblWorkPackages[[#This Row],[Estimated labor hours]],1,0)</f>
        <v>1</v>
      </c>
      <c r="R2197" s="51">
        <f>tblWorkPackages[[#This Row],[Actual labor hours]]-tblWorkPackages[[#This Row],[Estimated labor hours]]</f>
        <v>0.8</v>
      </c>
      <c r="S2197" s="51" t="str">
        <f>IF(tblWorkPackages[[#This Row],[Request date serial]]&lt;ValidationStart,"Train 2024",IF(tblWorkPackages[[#This Row],[Request date serial]]&lt;HoldoutStart,"Validation H1","Holdout H2"))</f>
        <v>Validation H1</v>
      </c>
      <c r="T2197" s="51">
        <f>IF(tblWorkPackages[[#This Row],[Time split]]="Train 2024","",tblWorkPackages[[#This Row],[Estimated labor hours]]+VLOOKUP(tblWorkPackages[[#This Row],[Task type]],'Forecast validation'!$A$14:$E$25,IF(tblWorkPackages[[#This Row],[Time split]]="Validation H1",4,5),FALSE()))</f>
        <v>3.64146341463415</v>
      </c>
      <c r="U2197" s="51">
        <f>IF(tblWorkPackages[[#This Row],[Calibrated forecast hours]]="","",ABS(tblWorkPackages[[#This Row],[Actual labor hours]]-tblWorkPackages[[#This Row],[Calibrated forecast hours]]))</f>
        <v>0.358536585365854</v>
      </c>
      <c r="V2197" s="51">
        <f>IF(tblWorkPackages[[#This Row],[Time split]]="Train 2024",tblWorkPackages[[#This Row],[Estimated labor hours]],tblWorkPackages[[#This Row],[Calibrated forecast hours]])</f>
        <v>3.64146341463415</v>
      </c>
      <c r="W2197" s="64">
        <f>DATEVALUE(tblWorkPackages[[#This Row],[Request date]])</f>
        <v>45748.0</v>
      </c>
      <c r="X2197" s="64">
        <f>DATEVALUE(tblWorkPackages[[#This Row],[Due date]])</f>
        <v>45761.0</v>
      </c>
      <c r="Y2197" s="64">
        <f>DATEVALUE(tblWorkPackages[[#This Row],[Completion date]])</f>
        <v>45755.0</v>
      </c>
      <c r="Z2197" s="64">
        <f>_xlfn.MINIFS(tblLaborEntries[Work date serial],tblLaborEntries[Work package ID],tblWorkPackages[[#This Row],[Work package ID]])</f>
        <v>45750.0</v>
      </c>
      <c r="AA2197" s="64">
        <f>_xlfn.MAXIFS(tblLaborEntries[Work date serial],tblLaborEntries[Work package ID],tblWorkPackages[[#This Row],[Work package ID]])</f>
        <v>45752.0</v>
      </c>
      <c r="AB2197" s="65">
        <f>IF(tblWorkPackages[[#This Row],[Completion date serial]]&gt;tblWorkPackages[[#This Row],[Due date serial]],1,0)</f>
        <v>0</v>
      </c>
      <c r="AC2197" s="65">
        <f>MAX(0,tblWorkPackages[[#This Row],[Completion date serial]]-tblWorkPackages[[#This Row],[Due date serial]])</f>
        <v>0</v>
      </c>
      <c r="AD2197" s="65">
        <f>tblWorkPackages[[#This Row],[First labor date]]-tblWorkPackages[[#This Row],[Request date serial]]</f>
        <v>2</v>
      </c>
      <c r="AE2197" s="65">
        <f>tblWorkPackages[[#This Row],[Last labor date]]-tblWorkPackages[[#This Row],[First labor date]]</f>
        <v>2</v>
      </c>
      <c r="AF2197" s="65">
        <f>tblWorkPackages[[#This Row],[Completion date serial]]-tblWorkPackages[[#This Row],[Last labor date]]</f>
        <v>3</v>
      </c>
      <c r="AG2197" s="65">
        <f>tblWorkPackages[[#This Row],[Completion date serial]]-tblWorkPackages[[#This Row],[Request date serial]]</f>
        <v>7</v>
      </c>
      <c r="AH2197" s="65">
        <f>IFERROR(INDEX(tblParts[Delay days],MATCH(tblWorkPackages[[#This Row],[Work package ID]],tblParts[Work package ID],0)),0)</f>
        <v>0</v>
      </c>
      <c r="AI2197" s="51" t="str">
        <f>IFERROR(INDEX(tblDisruptions[Event type],MATCH(tblWorkPackages[[#This Row],[Work package ID]],tblDisruptions[Work package ID],0)),"None")</f>
        <v>None</v>
      </c>
      <c r="AJ2197" s="51" t="str">
        <f>TEXT(tblWorkPackages[[#This Row],[Due date serial]],"yyyy-mm")</f>
        <v>2025-04</v>
      </c>
    </row>
    <row r="2198" spans="1:36" ht="15" x14ac:dyDescent="0.25">
      <c r="A2198" s="53" t="s">
        <v>3114</v>
      </c>
      <c r="B2198" s="53" t="s">
        <v>150</v>
      </c>
      <c r="C2198" s="53" t="s">
        <v>398</v>
      </c>
      <c r="D2198" s="53" t="s">
        <v>1728</v>
      </c>
      <c r="E2198" s="53" t="s">
        <v>153</v>
      </c>
      <c r="F2198" s="53" t="s">
        <v>128</v>
      </c>
      <c r="G2198" s="53" t="s">
        <v>154</v>
      </c>
      <c r="H2198" s="53">
        <v>4</v>
      </c>
      <c r="I2198" s="53" t="s">
        <v>130</v>
      </c>
      <c r="J2198" s="53">
        <v>0</v>
      </c>
      <c r="K2198" s="53">
        <v>0</v>
      </c>
      <c r="L2198" s="53">
        <v>20.399999999999999</v>
      </c>
      <c r="M2198" s="53" t="s">
        <v>2744</v>
      </c>
      <c r="N2198" s="53">
        <v>21.9</v>
      </c>
      <c r="O2198" s="51" t="str">
        <f>TEXT(tblWorkPackages[[#This Row],[Request date serial]]-WEEKDAY(tblWorkPackages[[#This Row],[Request date serial]],3),"yyyy-mm-dd")</f>
        <v>2024-05-13</v>
      </c>
      <c r="P2198" s="51">
        <f>ABS(tblWorkPackages[[#This Row],[Actual labor hours]]-tblWorkPackages[[#This Row],[Estimated labor hours]])</f>
        <v>1.5</v>
      </c>
      <c r="Q2198" s="51">
        <f>IF(tblWorkPackages[[#This Row],[Actual labor hours]]&gt;tblWorkPackages[[#This Row],[Estimated labor hours]],1,0)</f>
        <v>1</v>
      </c>
      <c r="R2198" s="51">
        <f>tblWorkPackages[[#This Row],[Actual labor hours]]-tblWorkPackages[[#This Row],[Estimated labor hours]]</f>
        <v>1.5</v>
      </c>
      <c r="S2198" s="51" t="str">
        <f>IF(tblWorkPackages[[#This Row],[Request date serial]]&lt;ValidationStart,"Train 2024",IF(tblWorkPackages[[#This Row],[Request date serial]]&lt;HoldoutStart,"Validation H1","Holdout H2"))</f>
        <v>Train 2024</v>
      </c>
      <c r="T2198" s="51" t="str">
        <f>IF(tblWorkPackages[[#This Row],[Time split]]="Train 2024","",tblWorkPackages[[#This Row],[Estimated labor hours]]+VLOOKUP(tblWorkPackages[[#This Row],[Task type]],'Forecast validation'!$A$14:$E$25,IF(tblWorkPackages[[#This Row],[Time split]]="Validation H1",4,5),FALSE()))</f>
        <v/>
      </c>
      <c r="U2198" s="51" t="str">
        <f>IF(tblWorkPackages[[#This Row],[Calibrated forecast hours]]="","",ABS(tblWorkPackages[[#This Row],[Actual labor hours]]-tblWorkPackages[[#This Row],[Calibrated forecast hours]]))</f>
        <v/>
      </c>
      <c r="V2198" s="51">
        <f>IF(tblWorkPackages[[#This Row],[Time split]]="Train 2024",tblWorkPackages[[#This Row],[Estimated labor hours]],tblWorkPackages[[#This Row],[Calibrated forecast hours]])</f>
        <v>20.4</v>
      </c>
      <c r="W2198" s="64">
        <f>DATEVALUE(tblWorkPackages[[#This Row],[Request date]])</f>
        <v>45430.0</v>
      </c>
      <c r="X2198" s="64">
        <f>DATEVALUE(tblWorkPackages[[#This Row],[Due date]])</f>
        <v>45443.0</v>
      </c>
      <c r="Y2198" s="64">
        <f>DATEVALUE(tblWorkPackages[[#This Row],[Completion date]])</f>
        <v>45450.0</v>
      </c>
      <c r="Z2198" s="64">
        <f>_xlfn.MINIFS(tblLaborEntries[Work date serial],tblLaborEntries[Work package ID],tblWorkPackages[[#This Row],[Work package ID]])</f>
        <v>45448.0</v>
      </c>
      <c r="AA2198" s="64">
        <f>_xlfn.MAXIFS(tblLaborEntries[Work date serial],tblLaborEntries[Work package ID],tblWorkPackages[[#This Row],[Work package ID]])</f>
        <v>45450.0</v>
      </c>
      <c r="AB2198" s="65">
        <f>IF(tblWorkPackages[[#This Row],[Completion date serial]]&gt;tblWorkPackages[[#This Row],[Due date serial]],1,0)</f>
        <v>1</v>
      </c>
      <c r="AC2198" s="65">
        <f>MAX(0,tblWorkPackages[[#This Row],[Completion date serial]]-tblWorkPackages[[#This Row],[Due date serial]])</f>
        <v>7</v>
      </c>
      <c r="AD2198" s="65">
        <f>tblWorkPackages[[#This Row],[First labor date]]-tblWorkPackages[[#This Row],[Request date serial]]</f>
        <v>18</v>
      </c>
      <c r="AE2198" s="65">
        <f>tblWorkPackages[[#This Row],[Last labor date]]-tblWorkPackages[[#This Row],[First labor date]]</f>
        <v>2</v>
      </c>
      <c r="AF2198" s="65">
        <f>tblWorkPackages[[#This Row],[Completion date serial]]-tblWorkPackages[[#This Row],[Last labor date]]</f>
        <v>0</v>
      </c>
      <c r="AG2198" s="65">
        <f>tblWorkPackages[[#This Row],[Completion date serial]]-tblWorkPackages[[#This Row],[Request date serial]]</f>
        <v>20</v>
      </c>
      <c r="AH2198" s="65">
        <f>IFERROR(INDEX(tblParts[Delay days],MATCH(tblWorkPackages[[#This Row],[Work package ID]],tblParts[Work package ID],0)),0)</f>
        <v>0</v>
      </c>
      <c r="AI2198" s="51" t="str">
        <f>IFERROR(INDEX(tblDisruptions[Event type],MATCH(tblWorkPackages[[#This Row],[Work package ID]],tblDisruptions[Work package ID],0)),"None")</f>
        <v>None</v>
      </c>
      <c r="AJ2198" s="51" t="str">
        <f>TEXT(tblWorkPackages[[#This Row],[Due date serial]],"yyyy-mm")</f>
        <v>2024-05</v>
      </c>
    </row>
    <row r="2199" spans="1:36" ht="15" x14ac:dyDescent="0.25">
      <c r="A2199" s="53" t="s">
        <v>3115</v>
      </c>
      <c r="B2199" s="53" t="s">
        <v>168</v>
      </c>
      <c r="C2199" s="53" t="s">
        <v>646</v>
      </c>
      <c r="D2199" s="53" t="s">
        <v>579</v>
      </c>
      <c r="E2199" s="53" t="s">
        <v>237</v>
      </c>
      <c r="F2199" s="53" t="s">
        <v>182</v>
      </c>
      <c r="G2199" s="53" t="s">
        <v>138</v>
      </c>
      <c r="H2199" s="53">
        <v>4</v>
      </c>
      <c r="I2199" s="53" t="s">
        <v>176</v>
      </c>
      <c r="J2199" s="53">
        <v>0</v>
      </c>
      <c r="K2199" s="53">
        <v>1</v>
      </c>
      <c r="L2199" s="53">
        <v>9.3000000000000007</v>
      </c>
      <c r="M2199" s="53" t="s">
        <v>976</v>
      </c>
      <c r="N2199" s="53">
        <v>7.3</v>
      </c>
      <c r="O2199" s="51" t="str">
        <f>TEXT(tblWorkPackages[[#This Row],[Request date serial]]-WEEKDAY(tblWorkPackages[[#This Row],[Request date serial]],3),"yyyy-mm-dd")</f>
        <v>2025-12-22</v>
      </c>
      <c r="P2199" s="51">
        <f>ABS(tblWorkPackages[[#This Row],[Actual labor hours]]-tblWorkPackages[[#This Row],[Estimated labor hours]])</f>
        <v>2</v>
      </c>
      <c r="Q2199" s="51">
        <f>IF(tblWorkPackages[[#This Row],[Actual labor hours]]&gt;tblWorkPackages[[#This Row],[Estimated labor hours]],1,0)</f>
        <v>0</v>
      </c>
      <c r="R2199" s="51">
        <f>tblWorkPackages[[#This Row],[Actual labor hours]]-tblWorkPackages[[#This Row],[Estimated labor hours]]</f>
        <v>-2</v>
      </c>
      <c r="S2199" s="51" t="str">
        <f>IF(tblWorkPackages[[#This Row],[Request date serial]]&lt;ValidationStart,"Train 2024",IF(tblWorkPackages[[#This Row],[Request date serial]]&lt;HoldoutStart,"Validation H1","Holdout H2"))</f>
        <v>Holdout H2</v>
      </c>
      <c r="T2199" s="51">
        <f>IF(tblWorkPackages[[#This Row],[Time split]]="Train 2024","",tblWorkPackages[[#This Row],[Estimated labor hours]]+VLOOKUP(tblWorkPackages[[#This Row],[Task type]],'Forecast validation'!$A$14:$E$25,IF(tblWorkPackages[[#This Row],[Time split]]="Validation H1",4,5),FALSE()))</f>
        <v>9.753125</v>
      </c>
      <c r="U2199" s="51">
        <f>IF(tblWorkPackages[[#This Row],[Calibrated forecast hours]]="","",ABS(tblWorkPackages[[#This Row],[Actual labor hours]]-tblWorkPackages[[#This Row],[Calibrated forecast hours]]))</f>
        <v>2.453125</v>
      </c>
      <c r="V2199" s="51">
        <f>IF(tblWorkPackages[[#This Row],[Time split]]="Train 2024",tblWorkPackages[[#This Row],[Estimated labor hours]],tblWorkPackages[[#This Row],[Calibrated forecast hours]])</f>
        <v>9.753125</v>
      </c>
      <c r="W2199" s="64">
        <f>DATEVALUE(tblWorkPackages[[#This Row],[Request date]])</f>
        <v>46015.0</v>
      </c>
      <c r="X2199" s="64">
        <f>DATEVALUE(tblWorkPackages[[#This Row],[Due date]])</f>
        <v>46021.0</v>
      </c>
      <c r="Y2199" s="64">
        <f>DATEVALUE(tblWorkPackages[[#This Row],[Completion date]])</f>
        <v>46022.0</v>
      </c>
      <c r="Z2199" s="64">
        <f>_xlfn.MINIFS(tblLaborEntries[Work date serial],tblLaborEntries[Work package ID],tblWorkPackages[[#This Row],[Work package ID]])</f>
        <v>46019.0</v>
      </c>
      <c r="AA2199" s="64">
        <f>_xlfn.MAXIFS(tblLaborEntries[Work date serial],tblLaborEntries[Work package ID],tblWorkPackages[[#This Row],[Work package ID]])</f>
        <v>46021.0</v>
      </c>
      <c r="AB2199" s="65">
        <f>IF(tblWorkPackages[[#This Row],[Completion date serial]]&gt;tblWorkPackages[[#This Row],[Due date serial]],1,0)</f>
        <v>1</v>
      </c>
      <c r="AC2199" s="65">
        <f>MAX(0,tblWorkPackages[[#This Row],[Completion date serial]]-tblWorkPackages[[#This Row],[Due date serial]])</f>
        <v>1</v>
      </c>
      <c r="AD2199" s="65">
        <f>tblWorkPackages[[#This Row],[First labor date]]-tblWorkPackages[[#This Row],[Request date serial]]</f>
        <v>4</v>
      </c>
      <c r="AE2199" s="65">
        <f>tblWorkPackages[[#This Row],[Last labor date]]-tblWorkPackages[[#This Row],[First labor date]]</f>
        <v>2</v>
      </c>
      <c r="AF2199" s="65">
        <f>tblWorkPackages[[#This Row],[Completion date serial]]-tblWorkPackages[[#This Row],[Last labor date]]</f>
        <v>1</v>
      </c>
      <c r="AG2199" s="65">
        <f>tblWorkPackages[[#This Row],[Completion date serial]]-tblWorkPackages[[#This Row],[Request date serial]]</f>
        <v>7</v>
      </c>
      <c r="AH2199" s="65">
        <f>IFERROR(INDEX(tblParts[Delay days],MATCH(tblWorkPackages[[#This Row],[Work package ID]],tblParts[Work package ID],0)),0)</f>
        <v>0</v>
      </c>
      <c r="AI2199" s="51" t="str">
        <f>IFERROR(INDEX(tblDisruptions[Event type],MATCH(tblWorkPackages[[#This Row],[Work package ID]],tblDisruptions[Work package ID],0)),"None")</f>
        <v>None</v>
      </c>
      <c r="AJ2199" s="51" t="str">
        <f>TEXT(tblWorkPackages[[#This Row],[Due date serial]],"yyyy-mm")</f>
        <v>2025-12</v>
      </c>
    </row>
    <row r="2200" spans="1:36" ht="15" x14ac:dyDescent="0.25">
      <c r="A2200" s="53" t="s">
        <v>3116</v>
      </c>
      <c r="B2200" s="53" t="s">
        <v>185</v>
      </c>
      <c r="C2200" s="53" t="s">
        <v>668</v>
      </c>
      <c r="D2200" s="53" t="s">
        <v>880</v>
      </c>
      <c r="E2200" s="53" t="s">
        <v>237</v>
      </c>
      <c r="F2200" s="53" t="s">
        <v>182</v>
      </c>
      <c r="G2200" s="53" t="s">
        <v>138</v>
      </c>
      <c r="H2200" s="53">
        <v>3</v>
      </c>
      <c r="I2200" s="53" t="s">
        <v>130</v>
      </c>
      <c r="J2200" s="53">
        <v>0</v>
      </c>
      <c r="K2200" s="53">
        <v>0</v>
      </c>
      <c r="L2200" s="53">
        <v>8.3000000000000007</v>
      </c>
      <c r="M2200" s="53" t="s">
        <v>436</v>
      </c>
      <c r="N2200" s="53">
        <v>7.5</v>
      </c>
      <c r="O2200" s="51" t="str">
        <f>TEXT(tblWorkPackages[[#This Row],[Request date serial]]-WEEKDAY(tblWorkPackages[[#This Row],[Request date serial]],3),"yyyy-mm-dd")</f>
        <v>2024-03-25</v>
      </c>
      <c r="P2200" s="51">
        <f>ABS(tblWorkPackages[[#This Row],[Actual labor hours]]-tblWorkPackages[[#This Row],[Estimated labor hours]])</f>
        <v>0.800000000000001</v>
      </c>
      <c r="Q2200" s="51">
        <f>IF(tblWorkPackages[[#This Row],[Actual labor hours]]&gt;tblWorkPackages[[#This Row],[Estimated labor hours]],1,0)</f>
        <v>0</v>
      </c>
      <c r="R2200" s="51">
        <f>tblWorkPackages[[#This Row],[Actual labor hours]]-tblWorkPackages[[#This Row],[Estimated labor hours]]</f>
        <v>-0.800000000000001</v>
      </c>
      <c r="S2200" s="51" t="str">
        <f>IF(tblWorkPackages[[#This Row],[Request date serial]]&lt;ValidationStart,"Train 2024",IF(tblWorkPackages[[#This Row],[Request date serial]]&lt;HoldoutStart,"Validation H1","Holdout H2"))</f>
        <v>Train 2024</v>
      </c>
      <c r="T2200" s="51" t="str">
        <f>IF(tblWorkPackages[[#This Row],[Time split]]="Train 2024","",tblWorkPackages[[#This Row],[Estimated labor hours]]+VLOOKUP(tblWorkPackages[[#This Row],[Task type]],'Forecast validation'!$A$14:$E$25,IF(tblWorkPackages[[#This Row],[Time split]]="Validation H1",4,5),FALSE()))</f>
        <v/>
      </c>
      <c r="U2200" s="51" t="str">
        <f>IF(tblWorkPackages[[#This Row],[Calibrated forecast hours]]="","",ABS(tblWorkPackages[[#This Row],[Actual labor hours]]-tblWorkPackages[[#This Row],[Calibrated forecast hours]]))</f>
        <v/>
      </c>
      <c r="V2200" s="51">
        <f>IF(tblWorkPackages[[#This Row],[Time split]]="Train 2024",tblWorkPackages[[#This Row],[Estimated labor hours]],tblWorkPackages[[#This Row],[Calibrated forecast hours]])</f>
        <v>8.3</v>
      </c>
      <c r="W2200" s="64">
        <f>DATEVALUE(tblWorkPackages[[#This Row],[Request date]])</f>
        <v>45379.0</v>
      </c>
      <c r="X2200" s="64">
        <f>DATEVALUE(tblWorkPackages[[#This Row],[Due date]])</f>
        <v>45392.0</v>
      </c>
      <c r="Y2200" s="64">
        <f>DATEVALUE(tblWorkPackages[[#This Row],[Completion date]])</f>
        <v>45383.0</v>
      </c>
      <c r="Z2200" s="64">
        <f>_xlfn.MINIFS(tblLaborEntries[Work date serial],tblLaborEntries[Work package ID],tblWorkPackages[[#This Row],[Work package ID]])</f>
        <v>45380.0</v>
      </c>
      <c r="AA2200" s="64">
        <f>_xlfn.MAXIFS(tblLaborEntries[Work date serial],tblLaborEntries[Work package ID],tblWorkPackages[[#This Row],[Work package ID]])</f>
        <v>45381.0</v>
      </c>
      <c r="AB2200" s="65">
        <f>IF(tblWorkPackages[[#This Row],[Completion date serial]]&gt;tblWorkPackages[[#This Row],[Due date serial]],1,0)</f>
        <v>0</v>
      </c>
      <c r="AC2200" s="65">
        <f>MAX(0,tblWorkPackages[[#This Row],[Completion date serial]]-tblWorkPackages[[#This Row],[Due date serial]])</f>
        <v>0</v>
      </c>
      <c r="AD2200" s="65">
        <f>tblWorkPackages[[#This Row],[First labor date]]-tblWorkPackages[[#This Row],[Request date serial]]</f>
        <v>1</v>
      </c>
      <c r="AE2200" s="65">
        <f>tblWorkPackages[[#This Row],[Last labor date]]-tblWorkPackages[[#This Row],[First labor date]]</f>
        <v>1</v>
      </c>
      <c r="AF2200" s="65">
        <f>tblWorkPackages[[#This Row],[Completion date serial]]-tblWorkPackages[[#This Row],[Last labor date]]</f>
        <v>2</v>
      </c>
      <c r="AG2200" s="65">
        <f>tblWorkPackages[[#This Row],[Completion date serial]]-tblWorkPackages[[#This Row],[Request date serial]]</f>
        <v>4</v>
      </c>
      <c r="AH2200" s="65">
        <f>IFERROR(INDEX(tblParts[Delay days],MATCH(tblWorkPackages[[#This Row],[Work package ID]],tblParts[Work package ID],0)),0)</f>
        <v>0</v>
      </c>
      <c r="AI2200" s="51" t="str">
        <f>IFERROR(INDEX(tblDisruptions[Event type],MATCH(tblWorkPackages[[#This Row],[Work package ID]],tblDisruptions[Work package ID],0)),"None")</f>
        <v>None</v>
      </c>
      <c r="AJ2200" s="51" t="str">
        <f>TEXT(tblWorkPackages[[#This Row],[Due date serial]],"yyyy-mm")</f>
        <v>2024-04</v>
      </c>
    </row>
    <row r="2201" spans="1:36" ht="15" x14ac:dyDescent="0.25">
      <c r="A2201" s="53" t="s">
        <v>3117</v>
      </c>
      <c r="B2201" s="53" t="s">
        <v>133</v>
      </c>
      <c r="C2201" s="53" t="s">
        <v>755</v>
      </c>
      <c r="D2201" s="53" t="s">
        <v>756</v>
      </c>
      <c r="E2201" s="53" t="s">
        <v>209</v>
      </c>
      <c r="F2201" s="53" t="s">
        <v>145</v>
      </c>
      <c r="G2201" s="53" t="s">
        <v>210</v>
      </c>
      <c r="H2201" s="53">
        <v>3</v>
      </c>
      <c r="I2201" s="53" t="s">
        <v>130</v>
      </c>
      <c r="J2201" s="53">
        <v>0</v>
      </c>
      <c r="K2201" s="53">
        <v>1</v>
      </c>
      <c r="L2201" s="53">
        <v>24.5</v>
      </c>
      <c r="M2201" s="53" t="s">
        <v>771</v>
      </c>
      <c r="N2201" s="53">
        <v>27.4</v>
      </c>
      <c r="O2201" s="51" t="str">
        <f>TEXT(tblWorkPackages[[#This Row],[Request date serial]]-WEEKDAY(tblWorkPackages[[#This Row],[Request date serial]],3),"yyyy-mm-dd")</f>
        <v>2024-09-09</v>
      </c>
      <c r="P2201" s="51">
        <f>ABS(tblWorkPackages[[#This Row],[Actual labor hours]]-tblWorkPackages[[#This Row],[Estimated labor hours]])</f>
        <v>2.9</v>
      </c>
      <c r="Q2201" s="51">
        <f>IF(tblWorkPackages[[#This Row],[Actual labor hours]]&gt;tblWorkPackages[[#This Row],[Estimated labor hours]],1,0)</f>
        <v>1</v>
      </c>
      <c r="R2201" s="51">
        <f>tblWorkPackages[[#This Row],[Actual labor hours]]-tblWorkPackages[[#This Row],[Estimated labor hours]]</f>
        <v>2.9</v>
      </c>
      <c r="S2201" s="51" t="str">
        <f>IF(tblWorkPackages[[#This Row],[Request date serial]]&lt;ValidationStart,"Train 2024",IF(tblWorkPackages[[#This Row],[Request date serial]]&lt;HoldoutStart,"Validation H1","Holdout H2"))</f>
        <v>Train 2024</v>
      </c>
      <c r="T2201" s="51" t="str">
        <f>IF(tblWorkPackages[[#This Row],[Time split]]="Train 2024","",tblWorkPackages[[#This Row],[Estimated labor hours]]+VLOOKUP(tblWorkPackages[[#This Row],[Task type]],'Forecast validation'!$A$14:$E$25,IF(tblWorkPackages[[#This Row],[Time split]]="Validation H1",4,5),FALSE()))</f>
        <v/>
      </c>
      <c r="U2201" s="51" t="str">
        <f>IF(tblWorkPackages[[#This Row],[Calibrated forecast hours]]="","",ABS(tblWorkPackages[[#This Row],[Actual labor hours]]-tblWorkPackages[[#This Row],[Calibrated forecast hours]]))</f>
        <v/>
      </c>
      <c r="V2201" s="51">
        <f>IF(tblWorkPackages[[#This Row],[Time split]]="Train 2024",tblWorkPackages[[#This Row],[Estimated labor hours]],tblWorkPackages[[#This Row],[Calibrated forecast hours]])</f>
        <v>24.5</v>
      </c>
      <c r="W2201" s="64">
        <f>DATEVALUE(tblWorkPackages[[#This Row],[Request date]])</f>
        <v>45550.0</v>
      </c>
      <c r="X2201" s="64">
        <f>DATEVALUE(tblWorkPackages[[#This Row],[Due date]])</f>
        <v>45563.0</v>
      </c>
      <c r="Y2201" s="64">
        <f>DATEVALUE(tblWorkPackages[[#This Row],[Completion date]])</f>
        <v>45571.0</v>
      </c>
      <c r="Z2201" s="64">
        <f>_xlfn.MINIFS(tblLaborEntries[Work date serial],tblLaborEntries[Work package ID],tblWorkPackages[[#This Row],[Work package ID]])</f>
        <v>45567.0</v>
      </c>
      <c r="AA2201" s="64">
        <f>_xlfn.MAXIFS(tblLaborEntries[Work date serial],tblLaborEntries[Work package ID],tblWorkPackages[[#This Row],[Work package ID]])</f>
        <v>45568.0</v>
      </c>
      <c r="AB2201" s="65">
        <f>IF(tblWorkPackages[[#This Row],[Completion date serial]]&gt;tblWorkPackages[[#This Row],[Due date serial]],1,0)</f>
        <v>1</v>
      </c>
      <c r="AC2201" s="65">
        <f>MAX(0,tblWorkPackages[[#This Row],[Completion date serial]]-tblWorkPackages[[#This Row],[Due date serial]])</f>
        <v>8</v>
      </c>
      <c r="AD2201" s="65">
        <f>tblWorkPackages[[#This Row],[First labor date]]-tblWorkPackages[[#This Row],[Request date serial]]</f>
        <v>17</v>
      </c>
      <c r="AE2201" s="65">
        <f>tblWorkPackages[[#This Row],[Last labor date]]-tblWorkPackages[[#This Row],[First labor date]]</f>
        <v>1</v>
      </c>
      <c r="AF2201" s="65">
        <f>tblWorkPackages[[#This Row],[Completion date serial]]-tblWorkPackages[[#This Row],[Last labor date]]</f>
        <v>3</v>
      </c>
      <c r="AG2201" s="65">
        <f>tblWorkPackages[[#This Row],[Completion date serial]]-tblWorkPackages[[#This Row],[Request date serial]]</f>
        <v>21</v>
      </c>
      <c r="AH2201" s="65">
        <f>IFERROR(INDEX(tblParts[Delay days],MATCH(tblWorkPackages[[#This Row],[Work package ID]],tblParts[Work package ID],0)),0)</f>
        <v>6</v>
      </c>
      <c r="AI2201" s="51" t="str">
        <f>IFERROR(INDEX(tblDisruptions[Event type],MATCH(tblWorkPackages[[#This Row],[Work package ID]],tblDisruptions[Work package ID],0)),"None")</f>
        <v>Part delay</v>
      </c>
      <c r="AJ2201" s="51" t="str">
        <f>TEXT(tblWorkPackages[[#This Row],[Due date serial]],"yyyy-mm")</f>
        <v>2024-09</v>
      </c>
    </row>
    <row r="2202" spans="1:36" ht="15" x14ac:dyDescent="0.25">
      <c r="A2202" s="53" t="s">
        <v>3118</v>
      </c>
      <c r="B2202" s="53" t="s">
        <v>173</v>
      </c>
      <c r="C2202" s="53" t="s">
        <v>484</v>
      </c>
      <c r="D2202" s="53" t="s">
        <v>485</v>
      </c>
      <c r="E2202" s="53" t="s">
        <v>181</v>
      </c>
      <c r="F2202" s="53" t="s">
        <v>182</v>
      </c>
      <c r="G2202" s="53" t="s">
        <v>138</v>
      </c>
      <c r="H2202" s="53">
        <v>3</v>
      </c>
      <c r="I2202" s="53" t="s">
        <v>130</v>
      </c>
      <c r="J2202" s="53">
        <v>0</v>
      </c>
      <c r="K2202" s="53">
        <v>0</v>
      </c>
      <c r="L2202" s="53">
        <v>9.9</v>
      </c>
      <c r="M2202" s="53" t="s">
        <v>892</v>
      </c>
      <c r="N2202" s="53">
        <v>9.6</v>
      </c>
      <c r="O2202" s="51" t="str">
        <f>TEXT(tblWorkPackages[[#This Row],[Request date serial]]-WEEKDAY(tblWorkPackages[[#This Row],[Request date serial]],3),"yyyy-mm-dd")</f>
        <v>2024-12-30</v>
      </c>
      <c r="P2202" s="51">
        <f>ABS(tblWorkPackages[[#This Row],[Actual labor hours]]-tblWorkPackages[[#This Row],[Estimated labor hours]])</f>
        <v>0.300000000000001</v>
      </c>
      <c r="Q2202" s="51">
        <f>IF(tblWorkPackages[[#This Row],[Actual labor hours]]&gt;tblWorkPackages[[#This Row],[Estimated labor hours]],1,0)</f>
        <v>0</v>
      </c>
      <c r="R2202" s="51">
        <f>tblWorkPackages[[#This Row],[Actual labor hours]]-tblWorkPackages[[#This Row],[Estimated labor hours]]</f>
        <v>-0.300000000000001</v>
      </c>
      <c r="S2202" s="51" t="str">
        <f>IF(tblWorkPackages[[#This Row],[Request date serial]]&lt;ValidationStart,"Train 2024",IF(tblWorkPackages[[#This Row],[Request date serial]]&lt;HoldoutStart,"Validation H1","Holdout H2"))</f>
        <v>Validation H1</v>
      </c>
      <c r="T2202" s="51">
        <f>IF(tblWorkPackages[[#This Row],[Time split]]="Train 2024","",tblWorkPackages[[#This Row],[Estimated labor hours]]+VLOOKUP(tblWorkPackages[[#This Row],[Task type]],'Forecast validation'!$A$14:$E$25,IF(tblWorkPackages[[#This Row],[Time split]]="Validation H1",4,5),FALSE()))</f>
        <v>10.4840909090909</v>
      </c>
      <c r="U2202" s="51">
        <f>IF(tblWorkPackages[[#This Row],[Calibrated forecast hours]]="","",ABS(tblWorkPackages[[#This Row],[Actual labor hours]]-tblWorkPackages[[#This Row],[Calibrated forecast hours]]))</f>
        <v>0.88409090909091</v>
      </c>
      <c r="V2202" s="51">
        <f>IF(tblWorkPackages[[#This Row],[Time split]]="Train 2024",tblWorkPackages[[#This Row],[Estimated labor hours]],tblWorkPackages[[#This Row],[Calibrated forecast hours]])</f>
        <v>10.4840909090909</v>
      </c>
      <c r="W2202" s="64">
        <f>DATEVALUE(tblWorkPackages[[#This Row],[Request date]])</f>
        <v>45662.0</v>
      </c>
      <c r="X2202" s="64">
        <f>DATEVALUE(tblWorkPackages[[#This Row],[Due date]])</f>
        <v>45675.0</v>
      </c>
      <c r="Y2202" s="64">
        <f>DATEVALUE(tblWorkPackages[[#This Row],[Completion date]])</f>
        <v>45666.0</v>
      </c>
      <c r="Z2202" s="64">
        <f>_xlfn.MINIFS(tblLaborEntries[Work date serial],tblLaborEntries[Work package ID],tblWorkPackages[[#This Row],[Work package ID]])</f>
        <v>45665.0</v>
      </c>
      <c r="AA2202" s="64">
        <f>_xlfn.MAXIFS(tblLaborEntries[Work date serial],tblLaborEntries[Work package ID],tblWorkPackages[[#This Row],[Work package ID]])</f>
        <v>45666.0</v>
      </c>
      <c r="AB2202" s="65">
        <f>IF(tblWorkPackages[[#This Row],[Completion date serial]]&gt;tblWorkPackages[[#This Row],[Due date serial]],1,0)</f>
        <v>0</v>
      </c>
      <c r="AC2202" s="65">
        <f>MAX(0,tblWorkPackages[[#This Row],[Completion date serial]]-tblWorkPackages[[#This Row],[Due date serial]])</f>
        <v>0</v>
      </c>
      <c r="AD2202" s="65">
        <f>tblWorkPackages[[#This Row],[First labor date]]-tblWorkPackages[[#This Row],[Request date serial]]</f>
        <v>3</v>
      </c>
      <c r="AE2202" s="65">
        <f>tblWorkPackages[[#This Row],[Last labor date]]-tblWorkPackages[[#This Row],[First labor date]]</f>
        <v>1</v>
      </c>
      <c r="AF2202" s="65">
        <f>tblWorkPackages[[#This Row],[Completion date serial]]-tblWorkPackages[[#This Row],[Last labor date]]</f>
        <v>0</v>
      </c>
      <c r="AG2202" s="65">
        <f>tblWorkPackages[[#This Row],[Completion date serial]]-tblWorkPackages[[#This Row],[Request date serial]]</f>
        <v>4</v>
      </c>
      <c r="AH2202" s="65">
        <f>IFERROR(INDEX(tblParts[Delay days],MATCH(tblWorkPackages[[#This Row],[Work package ID]],tblParts[Work package ID],0)),0)</f>
        <v>0</v>
      </c>
      <c r="AI2202" s="51" t="str">
        <f>IFERROR(INDEX(tblDisruptions[Event type],MATCH(tblWorkPackages[[#This Row],[Work package ID]],tblDisruptions[Work package ID],0)),"None")</f>
        <v>None</v>
      </c>
      <c r="AJ2202" s="51" t="str">
        <f>TEXT(tblWorkPackages[[#This Row],[Due date serial]],"yyyy-mm")</f>
        <v>2025-01</v>
      </c>
    </row>
    <row r="2203" spans="1:36" ht="15" x14ac:dyDescent="0.25">
      <c r="A2203" s="53" t="s">
        <v>3119</v>
      </c>
      <c r="B2203" s="53" t="s">
        <v>185</v>
      </c>
      <c r="C2203" s="53" t="s">
        <v>529</v>
      </c>
      <c r="D2203" s="53" t="s">
        <v>810</v>
      </c>
      <c r="E2203" s="53" t="s">
        <v>272</v>
      </c>
      <c r="F2203" s="53" t="s">
        <v>145</v>
      </c>
      <c r="G2203" s="53" t="s">
        <v>273</v>
      </c>
      <c r="H2203" s="53">
        <v>4</v>
      </c>
      <c r="I2203" s="53" t="s">
        <v>176</v>
      </c>
      <c r="J2203" s="53">
        <v>0</v>
      </c>
      <c r="K2203" s="53">
        <v>1</v>
      </c>
      <c r="L2203" s="53">
        <v>19.899999999999999</v>
      </c>
      <c r="M2203" s="53" t="s">
        <v>991</v>
      </c>
      <c r="N2203" s="53">
        <v>15.3</v>
      </c>
      <c r="O2203" s="51" t="str">
        <f>TEXT(tblWorkPackages[[#This Row],[Request date serial]]-WEEKDAY(tblWorkPackages[[#This Row],[Request date serial]],3),"yyyy-mm-dd")</f>
        <v>2025-09-08</v>
      </c>
      <c r="P2203" s="51">
        <f>ABS(tblWorkPackages[[#This Row],[Actual labor hours]]-tblWorkPackages[[#This Row],[Estimated labor hours]])</f>
        <v>4.6</v>
      </c>
      <c r="Q2203" s="51">
        <f>IF(tblWorkPackages[[#This Row],[Actual labor hours]]&gt;tblWorkPackages[[#This Row],[Estimated labor hours]],1,0)</f>
        <v>0</v>
      </c>
      <c r="R2203" s="51">
        <f>tblWorkPackages[[#This Row],[Actual labor hours]]-tblWorkPackages[[#This Row],[Estimated labor hours]]</f>
        <v>-4.6</v>
      </c>
      <c r="S2203" s="51" t="str">
        <f>IF(tblWorkPackages[[#This Row],[Request date serial]]&lt;ValidationStart,"Train 2024",IF(tblWorkPackages[[#This Row],[Request date serial]]&lt;HoldoutStart,"Validation H1","Holdout H2"))</f>
        <v>Holdout H2</v>
      </c>
      <c r="T2203" s="51">
        <f>IF(tblWorkPackages[[#This Row],[Time split]]="Train 2024","",tblWorkPackages[[#This Row],[Estimated labor hours]]+VLOOKUP(tblWorkPackages[[#This Row],[Task type]],'Forecast validation'!$A$14:$E$25,IF(tblWorkPackages[[#This Row],[Time split]]="Validation H1",4,5),FALSE()))</f>
        <v>20.88515625</v>
      </c>
      <c r="U2203" s="51">
        <f>IF(tblWorkPackages[[#This Row],[Calibrated forecast hours]]="","",ABS(tblWorkPackages[[#This Row],[Actual labor hours]]-tblWorkPackages[[#This Row],[Calibrated forecast hours]]))</f>
        <v>5.58515625</v>
      </c>
      <c r="V2203" s="51">
        <f>IF(tblWorkPackages[[#This Row],[Time split]]="Train 2024",tblWorkPackages[[#This Row],[Estimated labor hours]],tblWorkPackages[[#This Row],[Calibrated forecast hours]])</f>
        <v>20.88515625</v>
      </c>
      <c r="W2203" s="64">
        <f>DATEVALUE(tblWorkPackages[[#This Row],[Request date]])</f>
        <v>45911.0</v>
      </c>
      <c r="X2203" s="64">
        <f>DATEVALUE(tblWorkPackages[[#This Row],[Due date]])</f>
        <v>45917.0</v>
      </c>
      <c r="Y2203" s="64">
        <f>DATEVALUE(tblWorkPackages[[#This Row],[Completion date]])</f>
        <v>45945.0</v>
      </c>
      <c r="Z2203" s="64">
        <f>_xlfn.MINIFS(tblLaborEntries[Work date serial],tblLaborEntries[Work package ID],tblWorkPackages[[#This Row],[Work package ID]])</f>
        <v>45942.0</v>
      </c>
      <c r="AA2203" s="64">
        <f>_xlfn.MAXIFS(tblLaborEntries[Work date serial],tblLaborEntries[Work package ID],tblWorkPackages[[#This Row],[Work package ID]])</f>
        <v>45944.0</v>
      </c>
      <c r="AB2203" s="65">
        <f>IF(tblWorkPackages[[#This Row],[Completion date serial]]&gt;tblWorkPackages[[#This Row],[Due date serial]],1,0)</f>
        <v>1</v>
      </c>
      <c r="AC2203" s="65">
        <f>MAX(0,tblWorkPackages[[#This Row],[Completion date serial]]-tblWorkPackages[[#This Row],[Due date serial]])</f>
        <v>28</v>
      </c>
      <c r="AD2203" s="65">
        <f>tblWorkPackages[[#This Row],[First labor date]]-tblWorkPackages[[#This Row],[Request date serial]]</f>
        <v>31</v>
      </c>
      <c r="AE2203" s="65">
        <f>tblWorkPackages[[#This Row],[Last labor date]]-tblWorkPackages[[#This Row],[First labor date]]</f>
        <v>2</v>
      </c>
      <c r="AF2203" s="65">
        <f>tblWorkPackages[[#This Row],[Completion date serial]]-tblWorkPackages[[#This Row],[Last labor date]]</f>
        <v>1</v>
      </c>
      <c r="AG2203" s="65">
        <f>tblWorkPackages[[#This Row],[Completion date serial]]-tblWorkPackages[[#This Row],[Request date serial]]</f>
        <v>34</v>
      </c>
      <c r="AH2203" s="65">
        <f>IFERROR(INDEX(tblParts[Delay days],MATCH(tblWorkPackages[[#This Row],[Work package ID]],tblParts[Work package ID],0)),0)</f>
        <v>0</v>
      </c>
      <c r="AI2203" s="51" t="str">
        <f>IFERROR(INDEX(tblDisruptions[Event type],MATCH(tblWorkPackages[[#This Row],[Work package ID]],tblDisruptions[Work package ID],0)),"None")</f>
        <v>None</v>
      </c>
      <c r="AJ2203" s="51" t="str">
        <f>TEXT(tblWorkPackages[[#This Row],[Due date serial]],"yyyy-mm")</f>
        <v>2025-09</v>
      </c>
    </row>
    <row r="2204" spans="1:36" ht="15" x14ac:dyDescent="0.25">
      <c r="A2204" s="53" t="s">
        <v>3120</v>
      </c>
      <c r="B2204" s="53" t="s">
        <v>287</v>
      </c>
      <c r="C2204" s="53" t="s">
        <v>757</v>
      </c>
      <c r="D2204" s="53" t="s">
        <v>947</v>
      </c>
      <c r="E2204" s="53" t="s">
        <v>127</v>
      </c>
      <c r="F2204" s="53" t="s">
        <v>128</v>
      </c>
      <c r="G2204" s="53" t="s">
        <v>129</v>
      </c>
      <c r="H2204" s="53">
        <v>1</v>
      </c>
      <c r="I2204" s="53" t="s">
        <v>130</v>
      </c>
      <c r="J2204" s="53">
        <v>0</v>
      </c>
      <c r="K2204" s="53">
        <v>1</v>
      </c>
      <c r="L2204" s="53">
        <v>4.3</v>
      </c>
      <c r="M2204" s="53" t="s">
        <v>951</v>
      </c>
      <c r="N2204" s="53">
        <v>5.4</v>
      </c>
      <c r="O2204" s="51" t="str">
        <f>TEXT(tblWorkPackages[[#This Row],[Request date serial]]-WEEKDAY(tblWorkPackages[[#This Row],[Request date serial]],3),"yyyy-mm-dd")</f>
        <v>2024-09-16</v>
      </c>
      <c r="P2204" s="51">
        <f>ABS(tblWorkPackages[[#This Row],[Actual labor hours]]-tblWorkPackages[[#This Row],[Estimated labor hours]])</f>
        <v>1.1</v>
      </c>
      <c r="Q2204" s="51">
        <f>IF(tblWorkPackages[[#This Row],[Actual labor hours]]&gt;tblWorkPackages[[#This Row],[Estimated labor hours]],1,0)</f>
        <v>1</v>
      </c>
      <c r="R2204" s="51">
        <f>tblWorkPackages[[#This Row],[Actual labor hours]]-tblWorkPackages[[#This Row],[Estimated labor hours]]</f>
        <v>1.1</v>
      </c>
      <c r="S2204" s="51" t="str">
        <f>IF(tblWorkPackages[[#This Row],[Request date serial]]&lt;ValidationStart,"Train 2024",IF(tblWorkPackages[[#This Row],[Request date serial]]&lt;HoldoutStart,"Validation H1","Holdout H2"))</f>
        <v>Train 2024</v>
      </c>
      <c r="T2204" s="51" t="str">
        <f>IF(tblWorkPackages[[#This Row],[Time split]]="Train 2024","",tblWorkPackages[[#This Row],[Estimated labor hours]]+VLOOKUP(tblWorkPackages[[#This Row],[Task type]],'Forecast validation'!$A$14:$E$25,IF(tblWorkPackages[[#This Row],[Time split]]="Validation H1",4,5),FALSE()))</f>
        <v/>
      </c>
      <c r="U2204" s="51" t="str">
        <f>IF(tblWorkPackages[[#This Row],[Calibrated forecast hours]]="","",ABS(tblWorkPackages[[#This Row],[Actual labor hours]]-tblWorkPackages[[#This Row],[Calibrated forecast hours]]))</f>
        <v/>
      </c>
      <c r="V2204" s="51">
        <f>IF(tblWorkPackages[[#This Row],[Time split]]="Train 2024",tblWorkPackages[[#This Row],[Estimated labor hours]],tblWorkPackages[[#This Row],[Calibrated forecast hours]])</f>
        <v>4.3</v>
      </c>
      <c r="W2204" s="64">
        <f>DATEVALUE(tblWorkPackages[[#This Row],[Request date]])</f>
        <v>45557.0</v>
      </c>
      <c r="X2204" s="64">
        <f>DATEVALUE(tblWorkPackages[[#This Row],[Due date]])</f>
        <v>45570.0</v>
      </c>
      <c r="Y2204" s="64">
        <f>DATEVALUE(tblWorkPackages[[#This Row],[Completion date]])</f>
        <v>45565.0</v>
      </c>
      <c r="Z2204" s="64">
        <f>_xlfn.MINIFS(tblLaborEntries[Work date serial],tblLaborEntries[Work package ID],tblWorkPackages[[#This Row],[Work package ID]])</f>
        <v>45563.0</v>
      </c>
      <c r="AA2204" s="64">
        <f>_xlfn.MAXIFS(tblLaborEntries[Work date serial],tblLaborEntries[Work package ID],tblWorkPackages[[#This Row],[Work package ID]])</f>
        <v>45563.0</v>
      </c>
      <c r="AB2204" s="65">
        <f>IF(tblWorkPackages[[#This Row],[Completion date serial]]&gt;tblWorkPackages[[#This Row],[Due date serial]],1,0)</f>
        <v>0</v>
      </c>
      <c r="AC2204" s="65">
        <f>MAX(0,tblWorkPackages[[#This Row],[Completion date serial]]-tblWorkPackages[[#This Row],[Due date serial]])</f>
        <v>0</v>
      </c>
      <c r="AD2204" s="65">
        <f>tblWorkPackages[[#This Row],[First labor date]]-tblWorkPackages[[#This Row],[Request date serial]]</f>
        <v>6</v>
      </c>
      <c r="AE2204" s="65">
        <f>tblWorkPackages[[#This Row],[Last labor date]]-tblWorkPackages[[#This Row],[First labor date]]</f>
        <v>0</v>
      </c>
      <c r="AF2204" s="65">
        <f>tblWorkPackages[[#This Row],[Completion date serial]]-tblWorkPackages[[#This Row],[Last labor date]]</f>
        <v>2</v>
      </c>
      <c r="AG2204" s="65">
        <f>tblWorkPackages[[#This Row],[Completion date serial]]-tblWorkPackages[[#This Row],[Request date serial]]</f>
        <v>8</v>
      </c>
      <c r="AH2204" s="65">
        <f>IFERROR(INDEX(tblParts[Delay days],MATCH(tblWorkPackages[[#This Row],[Work package ID]],tblParts[Work package ID],0)),0)</f>
        <v>0</v>
      </c>
      <c r="AI2204" s="51" t="str">
        <f>IFERROR(INDEX(tblDisruptions[Event type],MATCH(tblWorkPackages[[#This Row],[Work package ID]],tblDisruptions[Work package ID],0)),"None")</f>
        <v>None</v>
      </c>
      <c r="AJ2204" s="51" t="str">
        <f>TEXT(tblWorkPackages[[#This Row],[Due date serial]],"yyyy-mm")</f>
        <v>2024-10</v>
      </c>
    </row>
    <row r="2205" spans="1:36" ht="15" x14ac:dyDescent="0.25">
      <c r="A2205" s="53" t="s">
        <v>3121</v>
      </c>
      <c r="B2205" s="53" t="s">
        <v>124</v>
      </c>
      <c r="C2205" s="53" t="s">
        <v>627</v>
      </c>
      <c r="D2205" s="53" t="s">
        <v>743</v>
      </c>
      <c r="E2205" s="53" t="s">
        <v>223</v>
      </c>
      <c r="F2205" s="53" t="s">
        <v>182</v>
      </c>
      <c r="G2205" s="53" t="s">
        <v>154</v>
      </c>
      <c r="H2205" s="53">
        <v>1</v>
      </c>
      <c r="I2205" s="53" t="s">
        <v>130</v>
      </c>
      <c r="J2205" s="53">
        <v>0</v>
      </c>
      <c r="K2205" s="53">
        <v>0</v>
      </c>
      <c r="L2205" s="53">
        <v>8.3000000000000007</v>
      </c>
      <c r="M2205" s="53" t="s">
        <v>628</v>
      </c>
      <c r="N2205" s="53">
        <v>10.5</v>
      </c>
      <c r="O2205" s="51" t="str">
        <f>TEXT(tblWorkPackages[[#This Row],[Request date serial]]-WEEKDAY(tblWorkPackages[[#This Row],[Request date serial]],3),"yyyy-mm-dd")</f>
        <v>2025-06-30</v>
      </c>
      <c r="P2205" s="51">
        <f>ABS(tblWorkPackages[[#This Row],[Actual labor hours]]-tblWorkPackages[[#This Row],[Estimated labor hours]])</f>
        <v>2.2</v>
      </c>
      <c r="Q2205" s="51">
        <f>IF(tblWorkPackages[[#This Row],[Actual labor hours]]&gt;tblWorkPackages[[#This Row],[Estimated labor hours]],1,0)</f>
        <v>1</v>
      </c>
      <c r="R2205" s="51">
        <f>tblWorkPackages[[#This Row],[Actual labor hours]]-tblWorkPackages[[#This Row],[Estimated labor hours]]</f>
        <v>2.2</v>
      </c>
      <c r="S2205" s="51" t="str">
        <f>IF(tblWorkPackages[[#This Row],[Request date serial]]&lt;ValidationStart,"Train 2024",IF(tblWorkPackages[[#This Row],[Request date serial]]&lt;HoldoutStart,"Validation H1","Holdout H2"))</f>
        <v>Holdout H2</v>
      </c>
      <c r="T2205" s="51">
        <f>IF(tblWorkPackages[[#This Row],[Time split]]="Train 2024","",tblWorkPackages[[#This Row],[Estimated labor hours]]+VLOOKUP(tblWorkPackages[[#This Row],[Task type]],'Forecast validation'!$A$14:$E$25,IF(tblWorkPackages[[#This Row],[Time split]]="Validation H1",4,5),FALSE()))</f>
        <v>9.22465753424658</v>
      </c>
      <c r="U2205" s="51">
        <f>IF(tblWorkPackages[[#This Row],[Calibrated forecast hours]]="","",ABS(tblWorkPackages[[#This Row],[Actual labor hours]]-tblWorkPackages[[#This Row],[Calibrated forecast hours]]))</f>
        <v>1.27534246575342</v>
      </c>
      <c r="V2205" s="51">
        <f>IF(tblWorkPackages[[#This Row],[Time split]]="Train 2024",tblWorkPackages[[#This Row],[Estimated labor hours]],tblWorkPackages[[#This Row],[Calibrated forecast hours]])</f>
        <v>9.22465753424658</v>
      </c>
      <c r="W2205" s="64">
        <f>DATEVALUE(tblWorkPackages[[#This Row],[Request date]])</f>
        <v>45843.0</v>
      </c>
      <c r="X2205" s="64">
        <f>DATEVALUE(tblWorkPackages[[#This Row],[Due date]])</f>
        <v>45856.0</v>
      </c>
      <c r="Y2205" s="64">
        <f>DATEVALUE(tblWorkPackages[[#This Row],[Completion date]])</f>
        <v>45849.0</v>
      </c>
      <c r="Z2205" s="64">
        <f>_xlfn.MINIFS(tblLaborEntries[Work date serial],tblLaborEntries[Work package ID],tblWorkPackages[[#This Row],[Work package ID]])</f>
        <v>45845.0</v>
      </c>
      <c r="AA2205" s="64">
        <f>_xlfn.MAXIFS(tblLaborEntries[Work date serial],tblLaborEntries[Work package ID],tblWorkPackages[[#This Row],[Work package ID]])</f>
        <v>45846.0</v>
      </c>
      <c r="AB2205" s="65">
        <f>IF(tblWorkPackages[[#This Row],[Completion date serial]]&gt;tblWorkPackages[[#This Row],[Due date serial]],1,0)</f>
        <v>0</v>
      </c>
      <c r="AC2205" s="65">
        <f>MAX(0,tblWorkPackages[[#This Row],[Completion date serial]]-tblWorkPackages[[#This Row],[Due date serial]])</f>
        <v>0</v>
      </c>
      <c r="AD2205" s="65">
        <f>tblWorkPackages[[#This Row],[First labor date]]-tblWorkPackages[[#This Row],[Request date serial]]</f>
        <v>2</v>
      </c>
      <c r="AE2205" s="65">
        <f>tblWorkPackages[[#This Row],[Last labor date]]-tblWorkPackages[[#This Row],[First labor date]]</f>
        <v>1</v>
      </c>
      <c r="AF2205" s="65">
        <f>tblWorkPackages[[#This Row],[Completion date serial]]-tblWorkPackages[[#This Row],[Last labor date]]</f>
        <v>3</v>
      </c>
      <c r="AG2205" s="65">
        <f>tblWorkPackages[[#This Row],[Completion date serial]]-tblWorkPackages[[#This Row],[Request date serial]]</f>
        <v>6</v>
      </c>
      <c r="AH2205" s="65">
        <f>IFERROR(INDEX(tblParts[Delay days],MATCH(tblWorkPackages[[#This Row],[Work package ID]],tblParts[Work package ID],0)),0)</f>
        <v>0</v>
      </c>
      <c r="AI2205" s="51" t="str">
        <f>IFERROR(INDEX(tblDisruptions[Event type],MATCH(tblWorkPackages[[#This Row],[Work package ID]],tblDisruptions[Work package ID],0)),"None")</f>
        <v>None</v>
      </c>
      <c r="AJ2205" s="51" t="str">
        <f>TEXT(tblWorkPackages[[#This Row],[Due date serial]],"yyyy-mm")</f>
        <v>2025-07</v>
      </c>
    </row>
    <row r="2206" spans="1:36" ht="15" x14ac:dyDescent="0.25">
      <c r="A2206" s="53" t="s">
        <v>3122</v>
      </c>
      <c r="B2206" s="53" t="s">
        <v>124</v>
      </c>
      <c r="C2206" s="53" t="s">
        <v>398</v>
      </c>
      <c r="D2206" s="53" t="s">
        <v>399</v>
      </c>
      <c r="E2206" s="53" t="s">
        <v>200</v>
      </c>
      <c r="F2206" s="53" t="s">
        <v>128</v>
      </c>
      <c r="G2206" s="53" t="s">
        <v>129</v>
      </c>
      <c r="H2206" s="53">
        <v>1</v>
      </c>
      <c r="I2206" s="53" t="s">
        <v>176</v>
      </c>
      <c r="J2206" s="53">
        <v>0</v>
      </c>
      <c r="K2206" s="53">
        <v>1</v>
      </c>
      <c r="L2206" s="53">
        <v>2.2999999999999998</v>
      </c>
      <c r="M2206" s="53" t="s">
        <v>406</v>
      </c>
      <c r="N2206" s="53">
        <v>2.9</v>
      </c>
      <c r="O2206" s="51" t="str">
        <f>TEXT(tblWorkPackages[[#This Row],[Request date serial]]-WEEKDAY(tblWorkPackages[[#This Row],[Request date serial]],3),"yyyy-mm-dd")</f>
        <v>2024-05-13</v>
      </c>
      <c r="P2206" s="51">
        <f>ABS(tblWorkPackages[[#This Row],[Actual labor hours]]-tblWorkPackages[[#This Row],[Estimated labor hours]])</f>
        <v>0.6</v>
      </c>
      <c r="Q2206" s="51">
        <f>IF(tblWorkPackages[[#This Row],[Actual labor hours]]&gt;tblWorkPackages[[#This Row],[Estimated labor hours]],1,0)</f>
        <v>1</v>
      </c>
      <c r="R2206" s="51">
        <f>tblWorkPackages[[#This Row],[Actual labor hours]]-tblWorkPackages[[#This Row],[Estimated labor hours]]</f>
        <v>0.6</v>
      </c>
      <c r="S2206" s="51" t="str">
        <f>IF(tblWorkPackages[[#This Row],[Request date serial]]&lt;ValidationStart,"Train 2024",IF(tblWorkPackages[[#This Row],[Request date serial]]&lt;HoldoutStart,"Validation H1","Holdout H2"))</f>
        <v>Train 2024</v>
      </c>
      <c r="T2206" s="51" t="str">
        <f>IF(tblWorkPackages[[#This Row],[Time split]]="Train 2024","",tblWorkPackages[[#This Row],[Estimated labor hours]]+VLOOKUP(tblWorkPackages[[#This Row],[Task type]],'Forecast validation'!$A$14:$E$25,IF(tblWorkPackages[[#This Row],[Time split]]="Validation H1",4,5),FALSE()))</f>
        <v/>
      </c>
      <c r="U2206" s="51" t="str">
        <f>IF(tblWorkPackages[[#This Row],[Calibrated forecast hours]]="","",ABS(tblWorkPackages[[#This Row],[Actual labor hours]]-tblWorkPackages[[#This Row],[Calibrated forecast hours]]))</f>
        <v/>
      </c>
      <c r="V2206" s="51">
        <f>IF(tblWorkPackages[[#This Row],[Time split]]="Train 2024",tblWorkPackages[[#This Row],[Estimated labor hours]],tblWorkPackages[[#This Row],[Calibrated forecast hours]])</f>
        <v>2.3</v>
      </c>
      <c r="W2206" s="64">
        <f>DATEVALUE(tblWorkPackages[[#This Row],[Request date]])</f>
        <v>45430.0</v>
      </c>
      <c r="X2206" s="64">
        <f>DATEVALUE(tblWorkPackages[[#This Row],[Due date]])</f>
        <v>45436.0</v>
      </c>
      <c r="Y2206" s="64">
        <f>DATEVALUE(tblWorkPackages[[#This Row],[Completion date]])</f>
        <v>45446.0</v>
      </c>
      <c r="Z2206" s="64">
        <f>_xlfn.MINIFS(tblLaborEntries[Work date serial],tblLaborEntries[Work package ID],tblWorkPackages[[#This Row],[Work package ID]])</f>
        <v>45444.0</v>
      </c>
      <c r="AA2206" s="64">
        <f>_xlfn.MAXIFS(tblLaborEntries[Work date serial],tblLaborEntries[Work package ID],tblWorkPackages[[#This Row],[Work package ID]])</f>
        <v>45446.0</v>
      </c>
      <c r="AB2206" s="65">
        <f>IF(tblWorkPackages[[#This Row],[Completion date serial]]&gt;tblWorkPackages[[#This Row],[Due date serial]],1,0)</f>
        <v>1</v>
      </c>
      <c r="AC2206" s="65">
        <f>MAX(0,tblWorkPackages[[#This Row],[Completion date serial]]-tblWorkPackages[[#This Row],[Due date serial]])</f>
        <v>10</v>
      </c>
      <c r="AD2206" s="65">
        <f>tblWorkPackages[[#This Row],[First labor date]]-tblWorkPackages[[#This Row],[Request date serial]]</f>
        <v>14</v>
      </c>
      <c r="AE2206" s="65">
        <f>tblWorkPackages[[#This Row],[Last labor date]]-tblWorkPackages[[#This Row],[First labor date]]</f>
        <v>2</v>
      </c>
      <c r="AF2206" s="65">
        <f>tblWorkPackages[[#This Row],[Completion date serial]]-tblWorkPackages[[#This Row],[Last labor date]]</f>
        <v>0</v>
      </c>
      <c r="AG2206" s="65">
        <f>tblWorkPackages[[#This Row],[Completion date serial]]-tblWorkPackages[[#This Row],[Request date serial]]</f>
        <v>16</v>
      </c>
      <c r="AH2206" s="65">
        <f>IFERROR(INDEX(tblParts[Delay days],MATCH(tblWorkPackages[[#This Row],[Work package ID]],tblParts[Work package ID],0)),0)</f>
        <v>0</v>
      </c>
      <c r="AI2206" s="51" t="str">
        <f>IFERROR(INDEX(tblDisruptions[Event type],MATCH(tblWorkPackages[[#This Row],[Work package ID]],tblDisruptions[Work package ID],0)),"None")</f>
        <v>None</v>
      </c>
      <c r="AJ2206" s="51" t="str">
        <f>TEXT(tblWorkPackages[[#This Row],[Due date serial]],"yyyy-mm")</f>
        <v>2024-05</v>
      </c>
    </row>
    <row r="2207" spans="1:36" ht="15" x14ac:dyDescent="0.25">
      <c r="A2207" s="53" t="s">
        <v>3123</v>
      </c>
      <c r="B2207" s="53" t="s">
        <v>168</v>
      </c>
      <c r="C2207" s="53" t="s">
        <v>1036</v>
      </c>
      <c r="D2207" s="53" t="s">
        <v>673</v>
      </c>
      <c r="E2207" s="53" t="s">
        <v>223</v>
      </c>
      <c r="F2207" s="53" t="s">
        <v>182</v>
      </c>
      <c r="G2207" s="53" t="s">
        <v>154</v>
      </c>
      <c r="H2207" s="53">
        <v>3</v>
      </c>
      <c r="I2207" s="53" t="s">
        <v>130</v>
      </c>
      <c r="J2207" s="53">
        <v>0</v>
      </c>
      <c r="K2207" s="53">
        <v>0</v>
      </c>
      <c r="L2207" s="53">
        <v>18.3</v>
      </c>
      <c r="M2207" s="53" t="s">
        <v>1118</v>
      </c>
      <c r="N2207" s="53">
        <v>22.1</v>
      </c>
      <c r="O2207" s="51" t="str">
        <f>TEXT(tblWorkPackages[[#This Row],[Request date serial]]-WEEKDAY(tblWorkPackages[[#This Row],[Request date serial]],3),"yyyy-mm-dd")</f>
        <v>2025-06-09</v>
      </c>
      <c r="P2207" s="51">
        <f>ABS(tblWorkPackages[[#This Row],[Actual labor hours]]-tblWorkPackages[[#This Row],[Estimated labor hours]])</f>
        <v>3.8</v>
      </c>
      <c r="Q2207" s="51">
        <f>IF(tblWorkPackages[[#This Row],[Actual labor hours]]&gt;tblWorkPackages[[#This Row],[Estimated labor hours]],1,0)</f>
        <v>1</v>
      </c>
      <c r="R2207" s="51">
        <f>tblWorkPackages[[#This Row],[Actual labor hours]]-tblWorkPackages[[#This Row],[Estimated labor hours]]</f>
        <v>3.8</v>
      </c>
      <c r="S2207" s="51" t="str">
        <f>IF(tblWorkPackages[[#This Row],[Request date serial]]&lt;ValidationStart,"Train 2024",IF(tblWorkPackages[[#This Row],[Request date serial]]&lt;HoldoutStart,"Validation H1","Holdout H2"))</f>
        <v>Validation H1</v>
      </c>
      <c r="T2207" s="51">
        <f>IF(tblWorkPackages[[#This Row],[Time split]]="Train 2024","",tblWorkPackages[[#This Row],[Estimated labor hours]]+VLOOKUP(tblWorkPackages[[#This Row],[Task type]],'Forecast validation'!$A$14:$E$25,IF(tblWorkPackages[[#This Row],[Time split]]="Validation H1",4,5),FALSE()))</f>
        <v>19.1824175824176</v>
      </c>
      <c r="U2207" s="51">
        <f>IF(tblWorkPackages[[#This Row],[Calibrated forecast hours]]="","",ABS(tblWorkPackages[[#This Row],[Actual labor hours]]-tblWorkPackages[[#This Row],[Calibrated forecast hours]]))</f>
        <v>2.91758241758242</v>
      </c>
      <c r="V2207" s="51">
        <f>IF(tblWorkPackages[[#This Row],[Time split]]="Train 2024",tblWorkPackages[[#This Row],[Estimated labor hours]],tblWorkPackages[[#This Row],[Calibrated forecast hours]])</f>
        <v>19.1824175824176</v>
      </c>
      <c r="W2207" s="64">
        <f>DATEVALUE(tblWorkPackages[[#This Row],[Request date]])</f>
        <v>45817.0</v>
      </c>
      <c r="X2207" s="64">
        <f>DATEVALUE(tblWorkPackages[[#This Row],[Due date]])</f>
        <v>45830.0</v>
      </c>
      <c r="Y2207" s="64">
        <f>DATEVALUE(tblWorkPackages[[#This Row],[Completion date]])</f>
        <v>45824.0</v>
      </c>
      <c r="Z2207" s="64">
        <f>_xlfn.MINIFS(tblLaborEntries[Work date serial],tblLaborEntries[Work package ID],tblWorkPackages[[#This Row],[Work package ID]])</f>
        <v>45821.0</v>
      </c>
      <c r="AA2207" s="64">
        <f>_xlfn.MAXIFS(tblLaborEntries[Work date serial],tblLaborEntries[Work package ID],tblWorkPackages[[#This Row],[Work package ID]])</f>
        <v>45823.0</v>
      </c>
      <c r="AB2207" s="65">
        <f>IF(tblWorkPackages[[#This Row],[Completion date serial]]&gt;tblWorkPackages[[#This Row],[Due date serial]],1,0)</f>
        <v>0</v>
      </c>
      <c r="AC2207" s="65">
        <f>MAX(0,tblWorkPackages[[#This Row],[Completion date serial]]-tblWorkPackages[[#This Row],[Due date serial]])</f>
        <v>0</v>
      </c>
      <c r="AD2207" s="65">
        <f>tblWorkPackages[[#This Row],[First labor date]]-tblWorkPackages[[#This Row],[Request date serial]]</f>
        <v>4</v>
      </c>
      <c r="AE2207" s="65">
        <f>tblWorkPackages[[#This Row],[Last labor date]]-tblWorkPackages[[#This Row],[First labor date]]</f>
        <v>2</v>
      </c>
      <c r="AF2207" s="65">
        <f>tblWorkPackages[[#This Row],[Completion date serial]]-tblWorkPackages[[#This Row],[Last labor date]]</f>
        <v>1</v>
      </c>
      <c r="AG2207" s="65">
        <f>tblWorkPackages[[#This Row],[Completion date serial]]-tblWorkPackages[[#This Row],[Request date serial]]</f>
        <v>7</v>
      </c>
      <c r="AH2207" s="65">
        <f>IFERROR(INDEX(tblParts[Delay days],MATCH(tblWorkPackages[[#This Row],[Work package ID]],tblParts[Work package ID],0)),0)</f>
        <v>0</v>
      </c>
      <c r="AI2207" s="51" t="str">
        <f>IFERROR(INDEX(tblDisruptions[Event type],MATCH(tblWorkPackages[[#This Row],[Work package ID]],tblDisruptions[Work package ID],0)),"None")</f>
        <v>None</v>
      </c>
      <c r="AJ2207" s="51" t="str">
        <f>TEXT(tblWorkPackages[[#This Row],[Due date serial]],"yyyy-mm")</f>
        <v>2025-06</v>
      </c>
    </row>
    <row r="2208" spans="1:36" ht="15" x14ac:dyDescent="0.25">
      <c r="A2208" s="53" t="s">
        <v>3124</v>
      </c>
      <c r="B2208" s="53" t="s">
        <v>124</v>
      </c>
      <c r="C2208" s="53" t="s">
        <v>979</v>
      </c>
      <c r="D2208" s="53" t="s">
        <v>937</v>
      </c>
      <c r="E2208" s="53" t="s">
        <v>181</v>
      </c>
      <c r="F2208" s="53" t="s">
        <v>182</v>
      </c>
      <c r="G2208" s="53" t="s">
        <v>138</v>
      </c>
      <c r="H2208" s="53">
        <v>3</v>
      </c>
      <c r="I2208" s="53" t="s">
        <v>176</v>
      </c>
      <c r="J2208" s="53">
        <v>0</v>
      </c>
      <c r="K2208" s="53">
        <v>0</v>
      </c>
      <c r="L2208" s="53">
        <v>9.5</v>
      </c>
      <c r="M2208" s="53" t="s">
        <v>1103</v>
      </c>
      <c r="N2208" s="53">
        <v>12.6</v>
      </c>
      <c r="O2208" s="51" t="str">
        <f>TEXT(tblWorkPackages[[#This Row],[Request date serial]]-WEEKDAY(tblWorkPackages[[#This Row],[Request date serial]],3),"yyyy-mm-dd")</f>
        <v>2025-11-03</v>
      </c>
      <c r="P2208" s="51">
        <f>ABS(tblWorkPackages[[#This Row],[Actual labor hours]]-tblWorkPackages[[#This Row],[Estimated labor hours]])</f>
        <v>3.1</v>
      </c>
      <c r="Q2208" s="51">
        <f>IF(tblWorkPackages[[#This Row],[Actual labor hours]]&gt;tblWorkPackages[[#This Row],[Estimated labor hours]],1,0)</f>
        <v>1</v>
      </c>
      <c r="R2208" s="51">
        <f>tblWorkPackages[[#This Row],[Actual labor hours]]-tblWorkPackages[[#This Row],[Estimated labor hours]]</f>
        <v>3.1</v>
      </c>
      <c r="S2208" s="51" t="str">
        <f>IF(tblWorkPackages[[#This Row],[Request date serial]]&lt;ValidationStart,"Train 2024",IF(tblWorkPackages[[#This Row],[Request date serial]]&lt;HoldoutStart,"Validation H1","Holdout H2"))</f>
        <v>Holdout H2</v>
      </c>
      <c r="T2208" s="51">
        <f>IF(tblWorkPackages[[#This Row],[Time split]]="Train 2024","",tblWorkPackages[[#This Row],[Estimated labor hours]]+VLOOKUP(tblWorkPackages[[#This Row],[Task type]],'Forecast validation'!$A$14:$E$25,IF(tblWorkPackages[[#This Row],[Time split]]="Validation H1",4,5),FALSE()))</f>
        <v>10.0916083916084</v>
      </c>
      <c r="U2208" s="51">
        <f>IF(tblWorkPackages[[#This Row],[Calibrated forecast hours]]="","",ABS(tblWorkPackages[[#This Row],[Actual labor hours]]-tblWorkPackages[[#This Row],[Calibrated forecast hours]]))</f>
        <v>2.50839160839161</v>
      </c>
      <c r="V2208" s="51">
        <f>IF(tblWorkPackages[[#This Row],[Time split]]="Train 2024",tblWorkPackages[[#This Row],[Estimated labor hours]],tblWorkPackages[[#This Row],[Calibrated forecast hours]])</f>
        <v>10.0916083916084</v>
      </c>
      <c r="W2208" s="64">
        <f>DATEVALUE(tblWorkPackages[[#This Row],[Request date]])</f>
        <v>45965.0</v>
      </c>
      <c r="X2208" s="64">
        <f>DATEVALUE(tblWorkPackages[[#This Row],[Due date]])</f>
        <v>45971.0</v>
      </c>
      <c r="Y2208" s="64">
        <f>DATEVALUE(tblWorkPackages[[#This Row],[Completion date]])</f>
        <v>45969.0</v>
      </c>
      <c r="Z2208" s="64">
        <f>_xlfn.MINIFS(tblLaborEntries[Work date serial],tblLaborEntries[Work package ID],tblWorkPackages[[#This Row],[Work package ID]])</f>
        <v>45966.0</v>
      </c>
      <c r="AA2208" s="64">
        <f>_xlfn.MAXIFS(tblLaborEntries[Work date serial],tblLaborEntries[Work package ID],tblWorkPackages[[#This Row],[Work package ID]])</f>
        <v>45967.0</v>
      </c>
      <c r="AB2208" s="65">
        <f>IF(tblWorkPackages[[#This Row],[Completion date serial]]&gt;tblWorkPackages[[#This Row],[Due date serial]],1,0)</f>
        <v>0</v>
      </c>
      <c r="AC2208" s="65">
        <f>MAX(0,tblWorkPackages[[#This Row],[Completion date serial]]-tblWorkPackages[[#This Row],[Due date serial]])</f>
        <v>0</v>
      </c>
      <c r="AD2208" s="65">
        <f>tblWorkPackages[[#This Row],[First labor date]]-tblWorkPackages[[#This Row],[Request date serial]]</f>
        <v>1</v>
      </c>
      <c r="AE2208" s="65">
        <f>tblWorkPackages[[#This Row],[Last labor date]]-tblWorkPackages[[#This Row],[First labor date]]</f>
        <v>1</v>
      </c>
      <c r="AF2208" s="65">
        <f>tblWorkPackages[[#This Row],[Completion date serial]]-tblWorkPackages[[#This Row],[Last labor date]]</f>
        <v>2</v>
      </c>
      <c r="AG2208" s="65">
        <f>tblWorkPackages[[#This Row],[Completion date serial]]-tblWorkPackages[[#This Row],[Request date serial]]</f>
        <v>4</v>
      </c>
      <c r="AH2208" s="65">
        <f>IFERROR(INDEX(tblParts[Delay days],MATCH(tblWorkPackages[[#This Row],[Work package ID]],tblParts[Work package ID],0)),0)</f>
        <v>0</v>
      </c>
      <c r="AI2208" s="51" t="str">
        <f>IFERROR(INDEX(tblDisruptions[Event type],MATCH(tblWorkPackages[[#This Row],[Work package ID]],tblDisruptions[Work package ID],0)),"None")</f>
        <v>Technician absence</v>
      </c>
      <c r="AJ2208" s="51" t="str">
        <f>TEXT(tblWorkPackages[[#This Row],[Due date serial]],"yyyy-mm")</f>
        <v>2025-11</v>
      </c>
    </row>
    <row r="2209" spans="1:36" ht="15" x14ac:dyDescent="0.25">
      <c r="A2209" s="53" t="s">
        <v>3125</v>
      </c>
      <c r="B2209" s="53" t="s">
        <v>230</v>
      </c>
      <c r="C2209" s="53" t="s">
        <v>900</v>
      </c>
      <c r="D2209" s="53" t="s">
        <v>1620</v>
      </c>
      <c r="E2209" s="53" t="s">
        <v>237</v>
      </c>
      <c r="F2209" s="53" t="s">
        <v>182</v>
      </c>
      <c r="G2209" s="53" t="s">
        <v>138</v>
      </c>
      <c r="H2209" s="53">
        <v>4</v>
      </c>
      <c r="I2209" s="53" t="s">
        <v>130</v>
      </c>
      <c r="J2209" s="53">
        <v>0</v>
      </c>
      <c r="K2209" s="53">
        <v>0</v>
      </c>
      <c r="L2209" s="53">
        <v>11.2</v>
      </c>
      <c r="M2209" s="53" t="s">
        <v>993</v>
      </c>
      <c r="N2209" s="53">
        <v>9.4</v>
      </c>
      <c r="O2209" s="51" t="str">
        <f>TEXT(tblWorkPackages[[#This Row],[Request date serial]]-WEEKDAY(tblWorkPackages[[#This Row],[Request date serial]],3),"yyyy-mm-dd")</f>
        <v>2025-03-10</v>
      </c>
      <c r="P2209" s="51">
        <f>ABS(tblWorkPackages[[#This Row],[Actual labor hours]]-tblWorkPackages[[#This Row],[Estimated labor hours]])</f>
        <v>1.8</v>
      </c>
      <c r="Q2209" s="51">
        <f>IF(tblWorkPackages[[#This Row],[Actual labor hours]]&gt;tblWorkPackages[[#This Row],[Estimated labor hours]],1,0)</f>
        <v>0</v>
      </c>
      <c r="R2209" s="51">
        <f>tblWorkPackages[[#This Row],[Actual labor hours]]-tblWorkPackages[[#This Row],[Estimated labor hours]]</f>
        <v>-1.8</v>
      </c>
      <c r="S2209" s="51" t="str">
        <f>IF(tblWorkPackages[[#This Row],[Request date serial]]&lt;ValidationStart,"Train 2024",IF(tblWorkPackages[[#This Row],[Request date serial]]&lt;HoldoutStart,"Validation H1","Holdout H2"))</f>
        <v>Validation H1</v>
      </c>
      <c r="T2209" s="51">
        <f>IF(tblWorkPackages[[#This Row],[Time split]]="Train 2024","",tblWorkPackages[[#This Row],[Estimated labor hours]]+VLOOKUP(tblWorkPackages[[#This Row],[Task type]],'Forecast validation'!$A$14:$E$25,IF(tblWorkPackages[[#This Row],[Time split]]="Validation H1",4,5),FALSE()))</f>
        <v>11.7037037037037</v>
      </c>
      <c r="U2209" s="51">
        <f>IF(tblWorkPackages[[#This Row],[Calibrated forecast hours]]="","",ABS(tblWorkPackages[[#This Row],[Actual labor hours]]-tblWorkPackages[[#This Row],[Calibrated forecast hours]]))</f>
        <v>2.3037037037037</v>
      </c>
      <c r="V2209" s="51">
        <f>IF(tblWorkPackages[[#This Row],[Time split]]="Train 2024",tblWorkPackages[[#This Row],[Estimated labor hours]],tblWorkPackages[[#This Row],[Calibrated forecast hours]])</f>
        <v>11.7037037037037</v>
      </c>
      <c r="W2209" s="64">
        <f>DATEVALUE(tblWorkPackages[[#This Row],[Request date]])</f>
        <v>45728.0</v>
      </c>
      <c r="X2209" s="64">
        <f>DATEVALUE(tblWorkPackages[[#This Row],[Due date]])</f>
        <v>45741.0</v>
      </c>
      <c r="Y2209" s="64">
        <f>DATEVALUE(tblWorkPackages[[#This Row],[Completion date]])</f>
        <v>45742.0</v>
      </c>
      <c r="Z2209" s="64">
        <f>_xlfn.MINIFS(tblLaborEntries[Work date serial],tblLaborEntries[Work package ID],tblWorkPackages[[#This Row],[Work package ID]])</f>
        <v>45737.0</v>
      </c>
      <c r="AA2209" s="64">
        <f>_xlfn.MAXIFS(tblLaborEntries[Work date serial],tblLaborEntries[Work package ID],tblWorkPackages[[#This Row],[Work package ID]])</f>
        <v>45739.0</v>
      </c>
      <c r="AB2209" s="65">
        <f>IF(tblWorkPackages[[#This Row],[Completion date serial]]&gt;tblWorkPackages[[#This Row],[Due date serial]],1,0)</f>
        <v>1</v>
      </c>
      <c r="AC2209" s="65">
        <f>MAX(0,tblWorkPackages[[#This Row],[Completion date serial]]-tblWorkPackages[[#This Row],[Due date serial]])</f>
        <v>1</v>
      </c>
      <c r="AD2209" s="65">
        <f>tblWorkPackages[[#This Row],[First labor date]]-tblWorkPackages[[#This Row],[Request date serial]]</f>
        <v>9</v>
      </c>
      <c r="AE2209" s="65">
        <f>tblWorkPackages[[#This Row],[Last labor date]]-tblWorkPackages[[#This Row],[First labor date]]</f>
        <v>2</v>
      </c>
      <c r="AF2209" s="65">
        <f>tblWorkPackages[[#This Row],[Completion date serial]]-tblWorkPackages[[#This Row],[Last labor date]]</f>
        <v>3</v>
      </c>
      <c r="AG2209" s="65">
        <f>tblWorkPackages[[#This Row],[Completion date serial]]-tblWorkPackages[[#This Row],[Request date serial]]</f>
        <v>14</v>
      </c>
      <c r="AH2209" s="65">
        <f>IFERROR(INDEX(tblParts[Delay days],MATCH(tblWorkPackages[[#This Row],[Work package ID]],tblParts[Work package ID],0)),0)</f>
        <v>0</v>
      </c>
      <c r="AI2209" s="51" t="str">
        <f>IFERROR(INDEX(tblDisruptions[Event type],MATCH(tblWorkPackages[[#This Row],[Work package ID]],tblDisruptions[Work package ID],0)),"None")</f>
        <v>None</v>
      </c>
      <c r="AJ2209" s="51" t="str">
        <f>TEXT(tblWorkPackages[[#This Row],[Due date serial]],"yyyy-mm")</f>
        <v>2025-03</v>
      </c>
    </row>
    <row r="2210" spans="1:36" ht="15" x14ac:dyDescent="0.25">
      <c r="A2210" s="53" t="s">
        <v>3126</v>
      </c>
      <c r="B2210" s="53" t="s">
        <v>150</v>
      </c>
      <c r="C2210" s="53" t="s">
        <v>419</v>
      </c>
      <c r="D2210" s="53" t="s">
        <v>1092</v>
      </c>
      <c r="E2210" s="53" t="s">
        <v>237</v>
      </c>
      <c r="F2210" s="53" t="s">
        <v>182</v>
      </c>
      <c r="G2210" s="53" t="s">
        <v>138</v>
      </c>
      <c r="H2210" s="53">
        <v>3</v>
      </c>
      <c r="I2210" s="53" t="s">
        <v>147</v>
      </c>
      <c r="J2210" s="53">
        <v>0</v>
      </c>
      <c r="K2210" s="53">
        <v>0</v>
      </c>
      <c r="L2210" s="53">
        <v>8</v>
      </c>
      <c r="M2210" s="53" t="s">
        <v>761</v>
      </c>
      <c r="N2210" s="53">
        <v>9.4</v>
      </c>
      <c r="O2210" s="51" t="str">
        <f>TEXT(tblWorkPackages[[#This Row],[Request date serial]]-WEEKDAY(tblWorkPackages[[#This Row],[Request date serial]],3),"yyyy-mm-dd")</f>
        <v>2024-06-10</v>
      </c>
      <c r="P2210" s="51">
        <f>ABS(tblWorkPackages[[#This Row],[Actual labor hours]]-tblWorkPackages[[#This Row],[Estimated labor hours]])</f>
        <v>1.4</v>
      </c>
      <c r="Q2210" s="51">
        <f>IF(tblWorkPackages[[#This Row],[Actual labor hours]]&gt;tblWorkPackages[[#This Row],[Estimated labor hours]],1,0)</f>
        <v>1</v>
      </c>
      <c r="R2210" s="51">
        <f>tblWorkPackages[[#This Row],[Actual labor hours]]-tblWorkPackages[[#This Row],[Estimated labor hours]]</f>
        <v>1.4</v>
      </c>
      <c r="S2210" s="51" t="str">
        <f>IF(tblWorkPackages[[#This Row],[Request date serial]]&lt;ValidationStart,"Train 2024",IF(tblWorkPackages[[#This Row],[Request date serial]]&lt;HoldoutStart,"Validation H1","Holdout H2"))</f>
        <v>Train 2024</v>
      </c>
      <c r="T2210" s="51" t="str">
        <f>IF(tblWorkPackages[[#This Row],[Time split]]="Train 2024","",tblWorkPackages[[#This Row],[Estimated labor hours]]+VLOOKUP(tblWorkPackages[[#This Row],[Task type]],'Forecast validation'!$A$14:$E$25,IF(tblWorkPackages[[#This Row],[Time split]]="Validation H1",4,5),FALSE()))</f>
        <v/>
      </c>
      <c r="U2210" s="51" t="str">
        <f>IF(tblWorkPackages[[#This Row],[Calibrated forecast hours]]="","",ABS(tblWorkPackages[[#This Row],[Actual labor hours]]-tblWorkPackages[[#This Row],[Calibrated forecast hours]]))</f>
        <v/>
      </c>
      <c r="V2210" s="51">
        <f>IF(tblWorkPackages[[#This Row],[Time split]]="Train 2024",tblWorkPackages[[#This Row],[Estimated labor hours]],tblWorkPackages[[#This Row],[Calibrated forecast hours]])</f>
        <v>8</v>
      </c>
      <c r="W2210" s="64">
        <f>DATEVALUE(tblWorkPackages[[#This Row],[Request date]])</f>
        <v>45457.0</v>
      </c>
      <c r="X2210" s="64">
        <f>DATEVALUE(tblWorkPackages[[#This Row],[Due date]])</f>
        <v>45459.0</v>
      </c>
      <c r="Y2210" s="64">
        <f>DATEVALUE(tblWorkPackages[[#This Row],[Completion date]])</f>
        <v>45460.0</v>
      </c>
      <c r="Z2210" s="64">
        <f>_xlfn.MINIFS(tblLaborEntries[Work date serial],tblLaborEntries[Work package ID],tblWorkPackages[[#This Row],[Work package ID]])</f>
        <v>45459.0</v>
      </c>
      <c r="AA2210" s="64">
        <f>_xlfn.MAXIFS(tblLaborEntries[Work date serial],tblLaborEntries[Work package ID],tblWorkPackages[[#This Row],[Work package ID]])</f>
        <v>45460.0</v>
      </c>
      <c r="AB2210" s="65">
        <f>IF(tblWorkPackages[[#This Row],[Completion date serial]]&gt;tblWorkPackages[[#This Row],[Due date serial]],1,0)</f>
        <v>1</v>
      </c>
      <c r="AC2210" s="65">
        <f>MAX(0,tblWorkPackages[[#This Row],[Completion date serial]]-tblWorkPackages[[#This Row],[Due date serial]])</f>
        <v>1</v>
      </c>
      <c r="AD2210" s="65">
        <f>tblWorkPackages[[#This Row],[First labor date]]-tblWorkPackages[[#This Row],[Request date serial]]</f>
        <v>2</v>
      </c>
      <c r="AE2210" s="65">
        <f>tblWorkPackages[[#This Row],[Last labor date]]-tblWorkPackages[[#This Row],[First labor date]]</f>
        <v>1</v>
      </c>
      <c r="AF2210" s="65">
        <f>tblWorkPackages[[#This Row],[Completion date serial]]-tblWorkPackages[[#This Row],[Last labor date]]</f>
        <v>0</v>
      </c>
      <c r="AG2210" s="65">
        <f>tblWorkPackages[[#This Row],[Completion date serial]]-tblWorkPackages[[#This Row],[Request date serial]]</f>
        <v>3</v>
      </c>
      <c r="AH2210" s="65">
        <f>IFERROR(INDEX(tblParts[Delay days],MATCH(tblWorkPackages[[#This Row],[Work package ID]],tblParts[Work package ID],0)),0)</f>
        <v>0</v>
      </c>
      <c r="AI2210" s="51" t="str">
        <f>IFERROR(INDEX(tblDisruptions[Event type],MATCH(tblWorkPackages[[#This Row],[Work package ID]],tblDisruptions[Work package ID],0)),"None")</f>
        <v>None</v>
      </c>
      <c r="AJ2210" s="51" t="str">
        <f>TEXT(tblWorkPackages[[#This Row],[Due date serial]],"yyyy-mm")</f>
        <v>2024-06</v>
      </c>
    </row>
    <row r="2211" spans="1:36" ht="15" x14ac:dyDescent="0.25">
      <c r="A2211" s="53" t="s">
        <v>3127</v>
      </c>
      <c r="B2211" s="53" t="s">
        <v>203</v>
      </c>
      <c r="C2211" s="53" t="s">
        <v>1041</v>
      </c>
      <c r="D2211" s="53" t="s">
        <v>1042</v>
      </c>
      <c r="E2211" s="53" t="s">
        <v>153</v>
      </c>
      <c r="F2211" s="53" t="s">
        <v>128</v>
      </c>
      <c r="G2211" s="53" t="s">
        <v>154</v>
      </c>
      <c r="H2211" s="53">
        <v>4</v>
      </c>
      <c r="I2211" s="53" t="s">
        <v>176</v>
      </c>
      <c r="J2211" s="53">
        <v>0</v>
      </c>
      <c r="K2211" s="53">
        <v>0</v>
      </c>
      <c r="L2211" s="53">
        <v>15.2</v>
      </c>
      <c r="M2211" s="53" t="s">
        <v>388</v>
      </c>
      <c r="N2211" s="53">
        <v>13.7</v>
      </c>
      <c r="O2211" s="51" t="str">
        <f>TEXT(tblWorkPackages[[#This Row],[Request date serial]]-WEEKDAY(tblWorkPackages[[#This Row],[Request date serial]],3),"yyyy-mm-dd")</f>
        <v>2024-08-05</v>
      </c>
      <c r="P2211" s="51">
        <f>ABS(tblWorkPackages[[#This Row],[Actual labor hours]]-tblWorkPackages[[#This Row],[Estimated labor hours]])</f>
        <v>1.5</v>
      </c>
      <c r="Q2211" s="51">
        <f>IF(tblWorkPackages[[#This Row],[Actual labor hours]]&gt;tblWorkPackages[[#This Row],[Estimated labor hours]],1,0)</f>
        <v>0</v>
      </c>
      <c r="R2211" s="51">
        <f>tblWorkPackages[[#This Row],[Actual labor hours]]-tblWorkPackages[[#This Row],[Estimated labor hours]]</f>
        <v>-1.5</v>
      </c>
      <c r="S2211" s="51" t="str">
        <f>IF(tblWorkPackages[[#This Row],[Request date serial]]&lt;ValidationStart,"Train 2024",IF(tblWorkPackages[[#This Row],[Request date serial]]&lt;HoldoutStart,"Validation H1","Holdout H2"))</f>
        <v>Train 2024</v>
      </c>
      <c r="T2211" s="51" t="str">
        <f>IF(tblWorkPackages[[#This Row],[Time split]]="Train 2024","",tblWorkPackages[[#This Row],[Estimated labor hours]]+VLOOKUP(tblWorkPackages[[#This Row],[Task type]],'Forecast validation'!$A$14:$E$25,IF(tblWorkPackages[[#This Row],[Time split]]="Validation H1",4,5),FALSE()))</f>
        <v/>
      </c>
      <c r="U2211" s="51" t="str">
        <f>IF(tblWorkPackages[[#This Row],[Calibrated forecast hours]]="","",ABS(tblWorkPackages[[#This Row],[Actual labor hours]]-tblWorkPackages[[#This Row],[Calibrated forecast hours]]))</f>
        <v/>
      </c>
      <c r="V2211" s="51">
        <f>IF(tblWorkPackages[[#This Row],[Time split]]="Train 2024",tblWorkPackages[[#This Row],[Estimated labor hours]],tblWorkPackages[[#This Row],[Calibrated forecast hours]])</f>
        <v>15.2</v>
      </c>
      <c r="W2211" s="64">
        <f>DATEVALUE(tblWorkPackages[[#This Row],[Request date]])</f>
        <v>45512.0</v>
      </c>
      <c r="X2211" s="64">
        <f>DATEVALUE(tblWorkPackages[[#This Row],[Due date]])</f>
        <v>45518.0</v>
      </c>
      <c r="Y2211" s="64">
        <f>DATEVALUE(tblWorkPackages[[#This Row],[Completion date]])</f>
        <v>45537.0</v>
      </c>
      <c r="Z2211" s="64">
        <f>_xlfn.MINIFS(tblLaborEntries[Work date serial],tblLaborEntries[Work package ID],tblWorkPackages[[#This Row],[Work package ID]])</f>
        <v>45535.0</v>
      </c>
      <c r="AA2211" s="64">
        <f>_xlfn.MAXIFS(tblLaborEntries[Work date serial],tblLaborEntries[Work package ID],tblWorkPackages[[#This Row],[Work package ID]])</f>
        <v>45536.0</v>
      </c>
      <c r="AB2211" s="65">
        <f>IF(tblWorkPackages[[#This Row],[Completion date serial]]&gt;tblWorkPackages[[#This Row],[Due date serial]],1,0)</f>
        <v>1</v>
      </c>
      <c r="AC2211" s="65">
        <f>MAX(0,tblWorkPackages[[#This Row],[Completion date serial]]-tblWorkPackages[[#This Row],[Due date serial]])</f>
        <v>19</v>
      </c>
      <c r="AD2211" s="65">
        <f>tblWorkPackages[[#This Row],[First labor date]]-tblWorkPackages[[#This Row],[Request date serial]]</f>
        <v>23</v>
      </c>
      <c r="AE2211" s="65">
        <f>tblWorkPackages[[#This Row],[Last labor date]]-tblWorkPackages[[#This Row],[First labor date]]</f>
        <v>1</v>
      </c>
      <c r="AF2211" s="65">
        <f>tblWorkPackages[[#This Row],[Completion date serial]]-tblWorkPackages[[#This Row],[Last labor date]]</f>
        <v>1</v>
      </c>
      <c r="AG2211" s="65">
        <f>tblWorkPackages[[#This Row],[Completion date serial]]-tblWorkPackages[[#This Row],[Request date serial]]</f>
        <v>25</v>
      </c>
      <c r="AH2211" s="65">
        <f>IFERROR(INDEX(tblParts[Delay days],MATCH(tblWorkPackages[[#This Row],[Work package ID]],tblParts[Work package ID],0)),0)</f>
        <v>0</v>
      </c>
      <c r="AI2211" s="51" t="str">
        <f>IFERROR(INDEX(tblDisruptions[Event type],MATCH(tblWorkPackages[[#This Row],[Work package ID]],tblDisruptions[Work package ID],0)),"None")</f>
        <v>None</v>
      </c>
      <c r="AJ2211" s="51" t="str">
        <f>TEXT(tblWorkPackages[[#This Row],[Due date serial]],"yyyy-mm")</f>
        <v>2024-08</v>
      </c>
    </row>
    <row r="2212" spans="1:36" ht="15" x14ac:dyDescent="0.25">
      <c r="A2212" s="53" t="s">
        <v>3128</v>
      </c>
      <c r="B2212" s="53" t="s">
        <v>235</v>
      </c>
      <c r="C2212" s="53" t="s">
        <v>922</v>
      </c>
      <c r="D2212" s="53" t="s">
        <v>396</v>
      </c>
      <c r="E2212" s="53" t="s">
        <v>181</v>
      </c>
      <c r="F2212" s="53" t="s">
        <v>182</v>
      </c>
      <c r="G2212" s="53" t="s">
        <v>138</v>
      </c>
      <c r="H2212" s="53">
        <v>1</v>
      </c>
      <c r="I2212" s="53" t="s">
        <v>176</v>
      </c>
      <c r="J2212" s="53">
        <v>0</v>
      </c>
      <c r="K2212" s="53">
        <v>0</v>
      </c>
      <c r="L2212" s="53">
        <v>4.7</v>
      </c>
      <c r="M2212" s="53" t="s">
        <v>586</v>
      </c>
      <c r="N2212" s="53">
        <v>5.4</v>
      </c>
      <c r="O2212" s="51" t="str">
        <f>TEXT(tblWorkPackages[[#This Row],[Request date serial]]-WEEKDAY(tblWorkPackages[[#This Row],[Request date serial]],3),"yyyy-mm-dd")</f>
        <v>2024-12-23</v>
      </c>
      <c r="P2212" s="51">
        <f>ABS(tblWorkPackages[[#This Row],[Actual labor hours]]-tblWorkPackages[[#This Row],[Estimated labor hours]])</f>
        <v>0.7</v>
      </c>
      <c r="Q2212" s="51">
        <f>IF(tblWorkPackages[[#This Row],[Actual labor hours]]&gt;tblWorkPackages[[#This Row],[Estimated labor hours]],1,0)</f>
        <v>1</v>
      </c>
      <c r="R2212" s="51">
        <f>tblWorkPackages[[#This Row],[Actual labor hours]]-tblWorkPackages[[#This Row],[Estimated labor hours]]</f>
        <v>0.7</v>
      </c>
      <c r="S2212" s="51" t="str">
        <f>IF(tblWorkPackages[[#This Row],[Request date serial]]&lt;ValidationStart,"Train 2024",IF(tblWorkPackages[[#This Row],[Request date serial]]&lt;HoldoutStart,"Validation H1","Holdout H2"))</f>
        <v>Train 2024</v>
      </c>
      <c r="T2212" s="51" t="str">
        <f>IF(tblWorkPackages[[#This Row],[Time split]]="Train 2024","",tblWorkPackages[[#This Row],[Estimated labor hours]]+VLOOKUP(tblWorkPackages[[#This Row],[Task type]],'Forecast validation'!$A$14:$E$25,IF(tblWorkPackages[[#This Row],[Time split]]="Validation H1",4,5),FALSE()))</f>
        <v/>
      </c>
      <c r="U2212" s="51" t="str">
        <f>IF(tblWorkPackages[[#This Row],[Calibrated forecast hours]]="","",ABS(tblWorkPackages[[#This Row],[Actual labor hours]]-tblWorkPackages[[#This Row],[Calibrated forecast hours]]))</f>
        <v/>
      </c>
      <c r="V2212" s="51">
        <f>IF(tblWorkPackages[[#This Row],[Time split]]="Train 2024",tblWorkPackages[[#This Row],[Estimated labor hours]],tblWorkPackages[[#This Row],[Calibrated forecast hours]])</f>
        <v>4.7</v>
      </c>
      <c r="W2212" s="64">
        <f>DATEVALUE(tblWorkPackages[[#This Row],[Request date]])</f>
        <v>45651.0</v>
      </c>
      <c r="X2212" s="64">
        <f>DATEVALUE(tblWorkPackages[[#This Row],[Due date]])</f>
        <v>45657.0</v>
      </c>
      <c r="Y2212" s="64">
        <f>DATEVALUE(tblWorkPackages[[#This Row],[Completion date]])</f>
        <v>45658.0</v>
      </c>
      <c r="Z2212" s="64">
        <f>_xlfn.MINIFS(tblLaborEntries[Work date serial],tblLaborEntries[Work package ID],tblWorkPackages[[#This Row],[Work package ID]])</f>
        <v>45655.0</v>
      </c>
      <c r="AA2212" s="64">
        <f>_xlfn.MAXIFS(tblLaborEntries[Work date serial],tblLaborEntries[Work package ID],tblWorkPackages[[#This Row],[Work package ID]])</f>
        <v>45656.0</v>
      </c>
      <c r="AB2212" s="65">
        <f>IF(tblWorkPackages[[#This Row],[Completion date serial]]&gt;tblWorkPackages[[#This Row],[Due date serial]],1,0)</f>
        <v>1</v>
      </c>
      <c r="AC2212" s="65">
        <f>MAX(0,tblWorkPackages[[#This Row],[Completion date serial]]-tblWorkPackages[[#This Row],[Due date serial]])</f>
        <v>1</v>
      </c>
      <c r="AD2212" s="65">
        <f>tblWorkPackages[[#This Row],[First labor date]]-tblWorkPackages[[#This Row],[Request date serial]]</f>
        <v>4</v>
      </c>
      <c r="AE2212" s="65">
        <f>tblWorkPackages[[#This Row],[Last labor date]]-tblWorkPackages[[#This Row],[First labor date]]</f>
        <v>1</v>
      </c>
      <c r="AF2212" s="65">
        <f>tblWorkPackages[[#This Row],[Completion date serial]]-tblWorkPackages[[#This Row],[Last labor date]]</f>
        <v>2</v>
      </c>
      <c r="AG2212" s="65">
        <f>tblWorkPackages[[#This Row],[Completion date serial]]-tblWorkPackages[[#This Row],[Request date serial]]</f>
        <v>7</v>
      </c>
      <c r="AH2212" s="65">
        <f>IFERROR(INDEX(tblParts[Delay days],MATCH(tblWorkPackages[[#This Row],[Work package ID]],tblParts[Work package ID],0)),0)</f>
        <v>0</v>
      </c>
      <c r="AI2212" s="51" t="str">
        <f>IFERROR(INDEX(tblDisruptions[Event type],MATCH(tblWorkPackages[[#This Row],[Work package ID]],tblDisruptions[Work package ID],0)),"None")</f>
        <v>None</v>
      </c>
      <c r="AJ2212" s="51" t="str">
        <f>TEXT(tblWorkPackages[[#This Row],[Due date serial]],"yyyy-mm")</f>
        <v>2024-12</v>
      </c>
    </row>
    <row r="2213" spans="1:36" ht="15" x14ac:dyDescent="0.25">
      <c r="A2213" s="53" t="s">
        <v>3129</v>
      </c>
      <c r="B2213" s="53" t="s">
        <v>163</v>
      </c>
      <c r="C2213" s="53" t="s">
        <v>1124</v>
      </c>
      <c r="D2213" s="53" t="s">
        <v>1125</v>
      </c>
      <c r="E2213" s="53" t="s">
        <v>127</v>
      </c>
      <c r="F2213" s="53" t="s">
        <v>128</v>
      </c>
      <c r="G2213" s="53" t="s">
        <v>129</v>
      </c>
      <c r="H2213" s="53">
        <v>4</v>
      </c>
      <c r="I2213" s="53" t="s">
        <v>130</v>
      </c>
      <c r="J2213" s="53">
        <v>0</v>
      </c>
      <c r="K2213" s="53">
        <v>0</v>
      </c>
      <c r="L2213" s="53">
        <v>13.9</v>
      </c>
      <c r="M2213" s="53" t="s">
        <v>726</v>
      </c>
      <c r="N2213" s="53">
        <v>15.9</v>
      </c>
      <c r="O2213" s="51" t="str">
        <f>TEXT(tblWorkPackages[[#This Row],[Request date serial]]-WEEKDAY(tblWorkPackages[[#This Row],[Request date serial]],3),"yyyy-mm-dd")</f>
        <v>2024-05-13</v>
      </c>
      <c r="P2213" s="51">
        <f>ABS(tblWorkPackages[[#This Row],[Actual labor hours]]-tblWorkPackages[[#This Row],[Estimated labor hours]])</f>
        <v>2</v>
      </c>
      <c r="Q2213" s="51">
        <f>IF(tblWorkPackages[[#This Row],[Actual labor hours]]&gt;tblWorkPackages[[#This Row],[Estimated labor hours]],1,0)</f>
        <v>1</v>
      </c>
      <c r="R2213" s="51">
        <f>tblWorkPackages[[#This Row],[Actual labor hours]]-tblWorkPackages[[#This Row],[Estimated labor hours]]</f>
        <v>2</v>
      </c>
      <c r="S2213" s="51" t="str">
        <f>IF(tblWorkPackages[[#This Row],[Request date serial]]&lt;ValidationStart,"Train 2024",IF(tblWorkPackages[[#This Row],[Request date serial]]&lt;HoldoutStart,"Validation H1","Holdout H2"))</f>
        <v>Train 2024</v>
      </c>
      <c r="T2213" s="51" t="str">
        <f>IF(tblWorkPackages[[#This Row],[Time split]]="Train 2024","",tblWorkPackages[[#This Row],[Estimated labor hours]]+VLOOKUP(tblWorkPackages[[#This Row],[Task type]],'Forecast validation'!$A$14:$E$25,IF(tblWorkPackages[[#This Row],[Time split]]="Validation H1",4,5),FALSE()))</f>
        <v/>
      </c>
      <c r="U2213" s="51" t="str">
        <f>IF(tblWorkPackages[[#This Row],[Calibrated forecast hours]]="","",ABS(tblWorkPackages[[#This Row],[Actual labor hours]]-tblWorkPackages[[#This Row],[Calibrated forecast hours]]))</f>
        <v/>
      </c>
      <c r="V2213" s="51">
        <f>IF(tblWorkPackages[[#This Row],[Time split]]="Train 2024",tblWorkPackages[[#This Row],[Estimated labor hours]],tblWorkPackages[[#This Row],[Calibrated forecast hours]])</f>
        <v>13.9</v>
      </c>
      <c r="W2213" s="64">
        <f>DATEVALUE(tblWorkPackages[[#This Row],[Request date]])</f>
        <v>45427.0</v>
      </c>
      <c r="X2213" s="64">
        <f>DATEVALUE(tblWorkPackages[[#This Row],[Due date]])</f>
        <v>45440.0</v>
      </c>
      <c r="Y2213" s="64">
        <f>DATEVALUE(tblWorkPackages[[#This Row],[Completion date]])</f>
        <v>45432.0</v>
      </c>
      <c r="Z2213" s="64">
        <f>_xlfn.MINIFS(tblLaborEntries[Work date serial],tblLaborEntries[Work package ID],tblWorkPackages[[#This Row],[Work package ID]])</f>
        <v>45428.0</v>
      </c>
      <c r="AA2213" s="64">
        <f>_xlfn.MAXIFS(tblLaborEntries[Work date serial],tblLaborEntries[Work package ID],tblWorkPackages[[#This Row],[Work package ID]])</f>
        <v>45429.0</v>
      </c>
      <c r="AB2213" s="65">
        <f>IF(tblWorkPackages[[#This Row],[Completion date serial]]&gt;tblWorkPackages[[#This Row],[Due date serial]],1,0)</f>
        <v>0</v>
      </c>
      <c r="AC2213" s="65">
        <f>MAX(0,tblWorkPackages[[#This Row],[Completion date serial]]-tblWorkPackages[[#This Row],[Due date serial]])</f>
        <v>0</v>
      </c>
      <c r="AD2213" s="65">
        <f>tblWorkPackages[[#This Row],[First labor date]]-tblWorkPackages[[#This Row],[Request date serial]]</f>
        <v>1</v>
      </c>
      <c r="AE2213" s="65">
        <f>tblWorkPackages[[#This Row],[Last labor date]]-tblWorkPackages[[#This Row],[First labor date]]</f>
        <v>1</v>
      </c>
      <c r="AF2213" s="65">
        <f>tblWorkPackages[[#This Row],[Completion date serial]]-tblWorkPackages[[#This Row],[Last labor date]]</f>
        <v>3</v>
      </c>
      <c r="AG2213" s="65">
        <f>tblWorkPackages[[#This Row],[Completion date serial]]-tblWorkPackages[[#This Row],[Request date serial]]</f>
        <v>5</v>
      </c>
      <c r="AH2213" s="65">
        <f>IFERROR(INDEX(tblParts[Delay days],MATCH(tblWorkPackages[[#This Row],[Work package ID]],tblParts[Work package ID],0)),0)</f>
        <v>0</v>
      </c>
      <c r="AI2213" s="51" t="str">
        <f>IFERROR(INDEX(tblDisruptions[Event type],MATCH(tblWorkPackages[[#This Row],[Work package ID]],tblDisruptions[Work package ID],0)),"None")</f>
        <v>None</v>
      </c>
      <c r="AJ2213" s="51" t="str">
        <f>TEXT(tblWorkPackages[[#This Row],[Due date serial]],"yyyy-mm")</f>
        <v>2024-05</v>
      </c>
    </row>
    <row r="2214" spans="1:36" ht="15" x14ac:dyDescent="0.25">
      <c r="A2214" s="53" t="s">
        <v>3130</v>
      </c>
      <c r="B2214" s="53" t="s">
        <v>203</v>
      </c>
      <c r="C2214" s="53" t="s">
        <v>339</v>
      </c>
      <c r="D2214" s="53" t="s">
        <v>1311</v>
      </c>
      <c r="E2214" s="53" t="s">
        <v>136</v>
      </c>
      <c r="F2214" s="53" t="s">
        <v>137</v>
      </c>
      <c r="G2214" s="53" t="s">
        <v>138</v>
      </c>
      <c r="H2214" s="53">
        <v>1</v>
      </c>
      <c r="I2214" s="53" t="s">
        <v>130</v>
      </c>
      <c r="J2214" s="53">
        <v>0</v>
      </c>
      <c r="K2214" s="53">
        <v>0</v>
      </c>
      <c r="L2214" s="53">
        <v>9.6</v>
      </c>
      <c r="M2214" s="53" t="s">
        <v>1311</v>
      </c>
      <c r="N2214" s="53">
        <v>11.6</v>
      </c>
      <c r="O2214" s="51" t="str">
        <f>TEXT(tblWorkPackages[[#This Row],[Request date serial]]-WEEKDAY(tblWorkPackages[[#This Row],[Request date serial]],3),"yyyy-mm-dd")</f>
        <v>2024-05-13</v>
      </c>
      <c r="P2214" s="51">
        <f>ABS(tblWorkPackages[[#This Row],[Actual labor hours]]-tblWorkPackages[[#This Row],[Estimated labor hours]])</f>
        <v>2</v>
      </c>
      <c r="Q2214" s="51">
        <f>IF(tblWorkPackages[[#This Row],[Actual labor hours]]&gt;tblWorkPackages[[#This Row],[Estimated labor hours]],1,0)</f>
        <v>1</v>
      </c>
      <c r="R2214" s="51">
        <f>tblWorkPackages[[#This Row],[Actual labor hours]]-tblWorkPackages[[#This Row],[Estimated labor hours]]</f>
        <v>2</v>
      </c>
      <c r="S2214" s="51" t="str">
        <f>IF(tblWorkPackages[[#This Row],[Request date serial]]&lt;ValidationStart,"Train 2024",IF(tblWorkPackages[[#This Row],[Request date serial]]&lt;HoldoutStart,"Validation H1","Holdout H2"))</f>
        <v>Train 2024</v>
      </c>
      <c r="T2214" s="51" t="str">
        <f>IF(tblWorkPackages[[#This Row],[Time split]]="Train 2024","",tblWorkPackages[[#This Row],[Estimated labor hours]]+VLOOKUP(tblWorkPackages[[#This Row],[Task type]],'Forecast validation'!$A$14:$E$25,IF(tblWorkPackages[[#This Row],[Time split]]="Validation H1",4,5),FALSE()))</f>
        <v/>
      </c>
      <c r="U2214" s="51" t="str">
        <f>IF(tblWorkPackages[[#This Row],[Calibrated forecast hours]]="","",ABS(tblWorkPackages[[#This Row],[Actual labor hours]]-tblWorkPackages[[#This Row],[Calibrated forecast hours]]))</f>
        <v/>
      </c>
      <c r="V2214" s="51">
        <f>IF(tblWorkPackages[[#This Row],[Time split]]="Train 2024",tblWorkPackages[[#This Row],[Estimated labor hours]],tblWorkPackages[[#This Row],[Calibrated forecast hours]])</f>
        <v>9.6</v>
      </c>
      <c r="W2214" s="64">
        <f>DATEVALUE(tblWorkPackages[[#This Row],[Request date]])</f>
        <v>45426.0</v>
      </c>
      <c r="X2214" s="64">
        <f>DATEVALUE(tblWorkPackages[[#This Row],[Due date]])</f>
        <v>45439.0</v>
      </c>
      <c r="Y2214" s="64">
        <f>DATEVALUE(tblWorkPackages[[#This Row],[Completion date]])</f>
        <v>45439.0</v>
      </c>
      <c r="Z2214" s="64">
        <f>_xlfn.MINIFS(tblLaborEntries[Work date serial],tblLaborEntries[Work package ID],tblWorkPackages[[#This Row],[Work package ID]])</f>
        <v>45438.0</v>
      </c>
      <c r="AA2214" s="64">
        <f>_xlfn.MAXIFS(tblLaborEntries[Work date serial],tblLaborEntries[Work package ID],tblWorkPackages[[#This Row],[Work package ID]])</f>
        <v>45439.0</v>
      </c>
      <c r="AB2214" s="65">
        <f>IF(tblWorkPackages[[#This Row],[Completion date serial]]&gt;tblWorkPackages[[#This Row],[Due date serial]],1,0)</f>
        <v>0</v>
      </c>
      <c r="AC2214" s="65">
        <f>MAX(0,tblWorkPackages[[#This Row],[Completion date serial]]-tblWorkPackages[[#This Row],[Due date serial]])</f>
        <v>0</v>
      </c>
      <c r="AD2214" s="65">
        <f>tblWorkPackages[[#This Row],[First labor date]]-tblWorkPackages[[#This Row],[Request date serial]]</f>
        <v>12</v>
      </c>
      <c r="AE2214" s="65">
        <f>tblWorkPackages[[#This Row],[Last labor date]]-tblWorkPackages[[#This Row],[First labor date]]</f>
        <v>1</v>
      </c>
      <c r="AF2214" s="65">
        <f>tblWorkPackages[[#This Row],[Completion date serial]]-tblWorkPackages[[#This Row],[Last labor date]]</f>
        <v>0</v>
      </c>
      <c r="AG2214" s="65">
        <f>tblWorkPackages[[#This Row],[Completion date serial]]-tblWorkPackages[[#This Row],[Request date serial]]</f>
        <v>13</v>
      </c>
      <c r="AH2214" s="65">
        <f>IFERROR(INDEX(tblParts[Delay days],MATCH(tblWorkPackages[[#This Row],[Work package ID]],tblParts[Work package ID],0)),0)</f>
        <v>0</v>
      </c>
      <c r="AI2214" s="51" t="str">
        <f>IFERROR(INDEX(tblDisruptions[Event type],MATCH(tblWorkPackages[[#This Row],[Work package ID]],tblDisruptions[Work package ID],0)),"None")</f>
        <v>None</v>
      </c>
      <c r="AJ2214" s="51" t="str">
        <f>TEXT(tblWorkPackages[[#This Row],[Due date serial]],"yyyy-mm")</f>
        <v>2024-05</v>
      </c>
    </row>
    <row r="2215" spans="1:36" ht="15" x14ac:dyDescent="0.25">
      <c r="A2215" s="53" t="s">
        <v>3131</v>
      </c>
      <c r="B2215" s="53" t="s">
        <v>133</v>
      </c>
      <c r="C2215" s="53" t="s">
        <v>1191</v>
      </c>
      <c r="D2215" s="53" t="s">
        <v>687</v>
      </c>
      <c r="E2215" s="53" t="s">
        <v>136</v>
      </c>
      <c r="F2215" s="53" t="s">
        <v>137</v>
      </c>
      <c r="G2215" s="53" t="s">
        <v>138</v>
      </c>
      <c r="H2215" s="53">
        <v>1</v>
      </c>
      <c r="I2215" s="53" t="s">
        <v>130</v>
      </c>
      <c r="J2215" s="53">
        <v>0</v>
      </c>
      <c r="K2215" s="53">
        <v>0</v>
      </c>
      <c r="L2215" s="53">
        <v>9.9</v>
      </c>
      <c r="M2215" s="53" t="s">
        <v>590</v>
      </c>
      <c r="N2215" s="53">
        <v>8.6999999999999993</v>
      </c>
      <c r="O2215" s="51" t="str">
        <f>TEXT(tblWorkPackages[[#This Row],[Request date serial]]-WEEKDAY(tblWorkPackages[[#This Row],[Request date serial]],3),"yyyy-mm-dd")</f>
        <v>2025-03-24</v>
      </c>
      <c r="P2215" s="51">
        <f>ABS(tblWorkPackages[[#This Row],[Actual labor hours]]-tblWorkPackages[[#This Row],[Estimated labor hours]])</f>
        <v>1.2</v>
      </c>
      <c r="Q2215" s="51">
        <f>IF(tblWorkPackages[[#This Row],[Actual labor hours]]&gt;tblWorkPackages[[#This Row],[Estimated labor hours]],1,0)</f>
        <v>0</v>
      </c>
      <c r="R2215" s="51">
        <f>tblWorkPackages[[#This Row],[Actual labor hours]]-tblWorkPackages[[#This Row],[Estimated labor hours]]</f>
        <v>-1.2</v>
      </c>
      <c r="S2215" s="51" t="str">
        <f>IF(tblWorkPackages[[#This Row],[Request date serial]]&lt;ValidationStart,"Train 2024",IF(tblWorkPackages[[#This Row],[Request date serial]]&lt;HoldoutStart,"Validation H1","Holdout H2"))</f>
        <v>Validation H1</v>
      </c>
      <c r="T2215" s="51">
        <f>IF(tblWorkPackages[[#This Row],[Time split]]="Train 2024","",tblWorkPackages[[#This Row],[Estimated labor hours]]+VLOOKUP(tblWorkPackages[[#This Row],[Task type]],'Forecast validation'!$A$14:$E$25,IF(tblWorkPackages[[#This Row],[Time split]]="Validation H1",4,5),FALSE()))</f>
        <v>10.7765306122449</v>
      </c>
      <c r="U2215" s="51">
        <f>IF(tblWorkPackages[[#This Row],[Calibrated forecast hours]]="","",ABS(tblWorkPackages[[#This Row],[Actual labor hours]]-tblWorkPackages[[#This Row],[Calibrated forecast hours]]))</f>
        <v>2.0765306122449</v>
      </c>
      <c r="V2215" s="51">
        <f>IF(tblWorkPackages[[#This Row],[Time split]]="Train 2024",tblWorkPackages[[#This Row],[Estimated labor hours]],tblWorkPackages[[#This Row],[Calibrated forecast hours]])</f>
        <v>10.7765306122449</v>
      </c>
      <c r="W2215" s="64">
        <f>DATEVALUE(tblWorkPackages[[#This Row],[Request date]])</f>
        <v>45740.0</v>
      </c>
      <c r="X2215" s="64">
        <f>DATEVALUE(tblWorkPackages[[#This Row],[Due date]])</f>
        <v>45753.0</v>
      </c>
      <c r="Y2215" s="64">
        <f>DATEVALUE(tblWorkPackages[[#This Row],[Completion date]])</f>
        <v>45745.0</v>
      </c>
      <c r="Z2215" s="64">
        <f>_xlfn.MINIFS(tblLaborEntries[Work date serial],tblLaborEntries[Work package ID],tblWorkPackages[[#This Row],[Work package ID]])</f>
        <v>45743.0</v>
      </c>
      <c r="AA2215" s="64">
        <f>_xlfn.MAXIFS(tblLaborEntries[Work date serial],tblLaborEntries[Work package ID],tblWorkPackages[[#This Row],[Work package ID]])</f>
        <v>45744.0</v>
      </c>
      <c r="AB2215" s="65">
        <f>IF(tblWorkPackages[[#This Row],[Completion date serial]]&gt;tblWorkPackages[[#This Row],[Due date serial]],1,0)</f>
        <v>0</v>
      </c>
      <c r="AC2215" s="65">
        <f>MAX(0,tblWorkPackages[[#This Row],[Completion date serial]]-tblWorkPackages[[#This Row],[Due date serial]])</f>
        <v>0</v>
      </c>
      <c r="AD2215" s="65">
        <f>tblWorkPackages[[#This Row],[First labor date]]-tblWorkPackages[[#This Row],[Request date serial]]</f>
        <v>3</v>
      </c>
      <c r="AE2215" s="65">
        <f>tblWorkPackages[[#This Row],[Last labor date]]-tblWorkPackages[[#This Row],[First labor date]]</f>
        <v>1</v>
      </c>
      <c r="AF2215" s="65">
        <f>tblWorkPackages[[#This Row],[Completion date serial]]-tblWorkPackages[[#This Row],[Last labor date]]</f>
        <v>1</v>
      </c>
      <c r="AG2215" s="65">
        <f>tblWorkPackages[[#This Row],[Completion date serial]]-tblWorkPackages[[#This Row],[Request date serial]]</f>
        <v>5</v>
      </c>
      <c r="AH2215" s="65">
        <f>IFERROR(INDEX(tblParts[Delay days],MATCH(tblWorkPackages[[#This Row],[Work package ID]],tblParts[Work package ID],0)),0)</f>
        <v>0</v>
      </c>
      <c r="AI2215" s="51" t="str">
        <f>IFERROR(INDEX(tblDisruptions[Event type],MATCH(tblWorkPackages[[#This Row],[Work package ID]],tblDisruptions[Work package ID],0)),"None")</f>
        <v>None</v>
      </c>
      <c r="AJ2215" s="51" t="str">
        <f>TEXT(tblWorkPackages[[#This Row],[Due date serial]],"yyyy-mm")</f>
        <v>2025-04</v>
      </c>
    </row>
    <row r="2216" spans="1:36" ht="15" x14ac:dyDescent="0.25">
      <c r="A2216" s="53" t="s">
        <v>3132</v>
      </c>
      <c r="B2216" s="53" t="s">
        <v>287</v>
      </c>
      <c r="C2216" s="53" t="s">
        <v>720</v>
      </c>
      <c r="D2216" s="53" t="s">
        <v>328</v>
      </c>
      <c r="E2216" s="53" t="s">
        <v>181</v>
      </c>
      <c r="F2216" s="53" t="s">
        <v>182</v>
      </c>
      <c r="G2216" s="53" t="s">
        <v>138</v>
      </c>
      <c r="H2216" s="53">
        <v>2</v>
      </c>
      <c r="I2216" s="53" t="s">
        <v>147</v>
      </c>
      <c r="J2216" s="53">
        <v>0</v>
      </c>
      <c r="K2216" s="53">
        <v>1</v>
      </c>
      <c r="L2216" s="53">
        <v>8.6</v>
      </c>
      <c r="M2216" s="53" t="s">
        <v>675</v>
      </c>
      <c r="N2216" s="53">
        <v>7</v>
      </c>
      <c r="O2216" s="51" t="str">
        <f>TEXT(tblWorkPackages[[#This Row],[Request date serial]]-WEEKDAY(tblWorkPackages[[#This Row],[Request date serial]],3),"yyyy-mm-dd")</f>
        <v>2024-03-04</v>
      </c>
      <c r="P2216" s="51">
        <f>ABS(tblWorkPackages[[#This Row],[Actual labor hours]]-tblWorkPackages[[#This Row],[Estimated labor hours]])</f>
        <v>1.6</v>
      </c>
      <c r="Q2216" s="51">
        <f>IF(tblWorkPackages[[#This Row],[Actual labor hours]]&gt;tblWorkPackages[[#This Row],[Estimated labor hours]],1,0)</f>
        <v>0</v>
      </c>
      <c r="R2216" s="51">
        <f>tblWorkPackages[[#This Row],[Actual labor hours]]-tblWorkPackages[[#This Row],[Estimated labor hours]]</f>
        <v>-1.6</v>
      </c>
      <c r="S2216" s="51" t="str">
        <f>IF(tblWorkPackages[[#This Row],[Request date serial]]&lt;ValidationStart,"Train 2024",IF(tblWorkPackages[[#This Row],[Request date serial]]&lt;HoldoutStart,"Validation H1","Holdout H2"))</f>
        <v>Train 2024</v>
      </c>
      <c r="T2216" s="51" t="str">
        <f>IF(tblWorkPackages[[#This Row],[Time split]]="Train 2024","",tblWorkPackages[[#This Row],[Estimated labor hours]]+VLOOKUP(tblWorkPackages[[#This Row],[Task type]],'Forecast validation'!$A$14:$E$25,IF(tblWorkPackages[[#This Row],[Time split]]="Validation H1",4,5),FALSE()))</f>
        <v/>
      </c>
      <c r="U2216" s="51" t="str">
        <f>IF(tblWorkPackages[[#This Row],[Calibrated forecast hours]]="","",ABS(tblWorkPackages[[#This Row],[Actual labor hours]]-tblWorkPackages[[#This Row],[Calibrated forecast hours]]))</f>
        <v/>
      </c>
      <c r="V2216" s="51">
        <f>IF(tblWorkPackages[[#This Row],[Time split]]="Train 2024",tblWorkPackages[[#This Row],[Estimated labor hours]],tblWorkPackages[[#This Row],[Calibrated forecast hours]])</f>
        <v>8.6</v>
      </c>
      <c r="W2216" s="64">
        <f>DATEVALUE(tblWorkPackages[[#This Row],[Request date]])</f>
        <v>45359.0</v>
      </c>
      <c r="X2216" s="64">
        <f>DATEVALUE(tblWorkPackages[[#This Row],[Due date]])</f>
        <v>45361.0</v>
      </c>
      <c r="Y2216" s="64">
        <f>DATEVALUE(tblWorkPackages[[#This Row],[Completion date]])</f>
        <v>45399.0</v>
      </c>
      <c r="Z2216" s="64">
        <f>_xlfn.MINIFS(tblLaborEntries[Work date serial],tblLaborEntries[Work package ID],tblWorkPackages[[#This Row],[Work package ID]])</f>
        <v>45395.0</v>
      </c>
      <c r="AA2216" s="64">
        <f>_xlfn.MAXIFS(tblLaborEntries[Work date serial],tblLaborEntries[Work package ID],tblWorkPackages[[#This Row],[Work package ID]])</f>
        <v>45397.0</v>
      </c>
      <c r="AB2216" s="65">
        <f>IF(tblWorkPackages[[#This Row],[Completion date serial]]&gt;tblWorkPackages[[#This Row],[Due date serial]],1,0)</f>
        <v>1</v>
      </c>
      <c r="AC2216" s="65">
        <f>MAX(0,tblWorkPackages[[#This Row],[Completion date serial]]-tblWorkPackages[[#This Row],[Due date serial]])</f>
        <v>38</v>
      </c>
      <c r="AD2216" s="65">
        <f>tblWorkPackages[[#This Row],[First labor date]]-tblWorkPackages[[#This Row],[Request date serial]]</f>
        <v>36</v>
      </c>
      <c r="AE2216" s="65">
        <f>tblWorkPackages[[#This Row],[Last labor date]]-tblWorkPackages[[#This Row],[First labor date]]</f>
        <v>2</v>
      </c>
      <c r="AF2216" s="65">
        <f>tblWorkPackages[[#This Row],[Completion date serial]]-tblWorkPackages[[#This Row],[Last labor date]]</f>
        <v>2</v>
      </c>
      <c r="AG2216" s="65">
        <f>tblWorkPackages[[#This Row],[Completion date serial]]-tblWorkPackages[[#This Row],[Request date serial]]</f>
        <v>40</v>
      </c>
      <c r="AH2216" s="65">
        <f>IFERROR(INDEX(tblParts[Delay days],MATCH(tblWorkPackages[[#This Row],[Work package ID]],tblParts[Work package ID],0)),0)</f>
        <v>0</v>
      </c>
      <c r="AI2216" s="51" t="str">
        <f>IFERROR(INDEX(tblDisruptions[Event type],MATCH(tblWorkPackages[[#This Row],[Work package ID]],tblDisruptions[Work package ID],0)),"None")</f>
        <v>None</v>
      </c>
      <c r="AJ2216" s="51" t="str">
        <f>TEXT(tblWorkPackages[[#This Row],[Due date serial]],"yyyy-mm")</f>
        <v>2024-03</v>
      </c>
    </row>
    <row r="2217" spans="1:36" ht="15" x14ac:dyDescent="0.25">
      <c r="A2217" s="53" t="s">
        <v>3133</v>
      </c>
      <c r="B2217" s="53" t="s">
        <v>124</v>
      </c>
      <c r="C2217" s="53" t="s">
        <v>317</v>
      </c>
      <c r="D2217" s="53" t="s">
        <v>1202</v>
      </c>
      <c r="E2217" s="53" t="s">
        <v>153</v>
      </c>
      <c r="F2217" s="53" t="s">
        <v>128</v>
      </c>
      <c r="G2217" s="53" t="s">
        <v>154</v>
      </c>
      <c r="H2217" s="53">
        <v>3</v>
      </c>
      <c r="I2217" s="53" t="s">
        <v>130</v>
      </c>
      <c r="J2217" s="53">
        <v>0</v>
      </c>
      <c r="K2217" s="53">
        <v>0</v>
      </c>
      <c r="L2217" s="53">
        <v>14.9</v>
      </c>
      <c r="M2217" s="53" t="s">
        <v>676</v>
      </c>
      <c r="N2217" s="53">
        <v>15.2</v>
      </c>
      <c r="O2217" s="51" t="str">
        <f>TEXT(tblWorkPackages[[#This Row],[Request date serial]]-WEEKDAY(tblWorkPackages[[#This Row],[Request date serial]],3),"yyyy-mm-dd")</f>
        <v>2024-04-08</v>
      </c>
      <c r="P2217" s="51">
        <f>ABS(tblWorkPackages[[#This Row],[Actual labor hours]]-tblWorkPackages[[#This Row],[Estimated labor hours]])</f>
        <v>0.299999999999999</v>
      </c>
      <c r="Q2217" s="51">
        <f>IF(tblWorkPackages[[#This Row],[Actual labor hours]]&gt;tblWorkPackages[[#This Row],[Estimated labor hours]],1,0)</f>
        <v>1</v>
      </c>
      <c r="R2217" s="51">
        <f>tblWorkPackages[[#This Row],[Actual labor hours]]-tblWorkPackages[[#This Row],[Estimated labor hours]]</f>
        <v>0.299999999999999</v>
      </c>
      <c r="S2217" s="51" t="str">
        <f>IF(tblWorkPackages[[#This Row],[Request date serial]]&lt;ValidationStart,"Train 2024",IF(tblWorkPackages[[#This Row],[Request date serial]]&lt;HoldoutStart,"Validation H1","Holdout H2"))</f>
        <v>Train 2024</v>
      </c>
      <c r="T2217" s="51" t="str">
        <f>IF(tblWorkPackages[[#This Row],[Time split]]="Train 2024","",tblWorkPackages[[#This Row],[Estimated labor hours]]+VLOOKUP(tblWorkPackages[[#This Row],[Task type]],'Forecast validation'!$A$14:$E$25,IF(tblWorkPackages[[#This Row],[Time split]]="Validation H1",4,5),FALSE()))</f>
        <v/>
      </c>
      <c r="U2217" s="51" t="str">
        <f>IF(tblWorkPackages[[#This Row],[Calibrated forecast hours]]="","",ABS(tblWorkPackages[[#This Row],[Actual labor hours]]-tblWorkPackages[[#This Row],[Calibrated forecast hours]]))</f>
        <v/>
      </c>
      <c r="V2217" s="51">
        <f>IF(tblWorkPackages[[#This Row],[Time split]]="Train 2024",tblWorkPackages[[#This Row],[Estimated labor hours]],tblWorkPackages[[#This Row],[Calibrated forecast hours]])</f>
        <v>14.9</v>
      </c>
      <c r="W2217" s="64">
        <f>DATEVALUE(tblWorkPackages[[#This Row],[Request date]])</f>
        <v>45394.0</v>
      </c>
      <c r="X2217" s="64">
        <f>DATEVALUE(tblWorkPackages[[#This Row],[Due date]])</f>
        <v>45407.0</v>
      </c>
      <c r="Y2217" s="64">
        <f>DATEVALUE(tblWorkPackages[[#This Row],[Completion date]])</f>
        <v>45405.0</v>
      </c>
      <c r="Z2217" s="64">
        <f>_xlfn.MINIFS(tblLaborEntries[Work date serial],tblLaborEntries[Work package ID],tblWorkPackages[[#This Row],[Work package ID]])</f>
        <v>45401.0</v>
      </c>
      <c r="AA2217" s="64">
        <f>_xlfn.MAXIFS(tblLaborEntries[Work date serial],tblLaborEntries[Work package ID],tblWorkPackages[[#This Row],[Work package ID]])</f>
        <v>45402.0</v>
      </c>
      <c r="AB2217" s="65">
        <f>IF(tblWorkPackages[[#This Row],[Completion date serial]]&gt;tblWorkPackages[[#This Row],[Due date serial]],1,0)</f>
        <v>0</v>
      </c>
      <c r="AC2217" s="65">
        <f>MAX(0,tblWorkPackages[[#This Row],[Completion date serial]]-tblWorkPackages[[#This Row],[Due date serial]])</f>
        <v>0</v>
      </c>
      <c r="AD2217" s="65">
        <f>tblWorkPackages[[#This Row],[First labor date]]-tblWorkPackages[[#This Row],[Request date serial]]</f>
        <v>7</v>
      </c>
      <c r="AE2217" s="65">
        <f>tblWorkPackages[[#This Row],[Last labor date]]-tblWorkPackages[[#This Row],[First labor date]]</f>
        <v>1</v>
      </c>
      <c r="AF2217" s="65">
        <f>tblWorkPackages[[#This Row],[Completion date serial]]-tblWorkPackages[[#This Row],[Last labor date]]</f>
        <v>3</v>
      </c>
      <c r="AG2217" s="65">
        <f>tblWorkPackages[[#This Row],[Completion date serial]]-tblWorkPackages[[#This Row],[Request date serial]]</f>
        <v>11</v>
      </c>
      <c r="AH2217" s="65">
        <f>IFERROR(INDEX(tblParts[Delay days],MATCH(tblWorkPackages[[#This Row],[Work package ID]],tblParts[Work package ID],0)),0)</f>
        <v>0</v>
      </c>
      <c r="AI2217" s="51" t="str">
        <f>IFERROR(INDEX(tblDisruptions[Event type],MATCH(tblWorkPackages[[#This Row],[Work package ID]],tblDisruptions[Work package ID],0)),"None")</f>
        <v>None</v>
      </c>
      <c r="AJ2217" s="51" t="str">
        <f>TEXT(tblWorkPackages[[#This Row],[Due date serial]],"yyyy-mm")</f>
        <v>2024-04</v>
      </c>
    </row>
    <row r="2218" spans="1:36" ht="15" x14ac:dyDescent="0.25">
      <c r="A2218" s="53" t="s">
        <v>3134</v>
      </c>
      <c r="B2218" s="53" t="s">
        <v>235</v>
      </c>
      <c r="C2218" s="53" t="s">
        <v>434</v>
      </c>
      <c r="D2218" s="53" t="s">
        <v>770</v>
      </c>
      <c r="E2218" s="53" t="s">
        <v>160</v>
      </c>
      <c r="F2218" s="53" t="s">
        <v>128</v>
      </c>
      <c r="G2218" s="53" t="s">
        <v>138</v>
      </c>
      <c r="H2218" s="53">
        <v>2</v>
      </c>
      <c r="I2218" s="53" t="s">
        <v>130</v>
      </c>
      <c r="J2218" s="53">
        <v>0</v>
      </c>
      <c r="K2218" s="53">
        <v>1</v>
      </c>
      <c r="L2218" s="53">
        <v>4</v>
      </c>
      <c r="M2218" s="53" t="s">
        <v>874</v>
      </c>
      <c r="N2218" s="53">
        <v>5.9</v>
      </c>
      <c r="O2218" s="51" t="str">
        <f>TEXT(tblWorkPackages[[#This Row],[Request date serial]]-WEEKDAY(tblWorkPackages[[#This Row],[Request date serial]],3),"yyyy-mm-dd")</f>
        <v>2024-09-09</v>
      </c>
      <c r="P2218" s="51">
        <f>ABS(tblWorkPackages[[#This Row],[Actual labor hours]]-tblWorkPackages[[#This Row],[Estimated labor hours]])</f>
        <v>1.9</v>
      </c>
      <c r="Q2218" s="51">
        <f>IF(tblWorkPackages[[#This Row],[Actual labor hours]]&gt;tblWorkPackages[[#This Row],[Estimated labor hours]],1,0)</f>
        <v>1</v>
      </c>
      <c r="R2218" s="51">
        <f>tblWorkPackages[[#This Row],[Actual labor hours]]-tblWorkPackages[[#This Row],[Estimated labor hours]]</f>
        <v>1.9</v>
      </c>
      <c r="S2218" s="51" t="str">
        <f>IF(tblWorkPackages[[#This Row],[Request date serial]]&lt;ValidationStart,"Train 2024",IF(tblWorkPackages[[#This Row],[Request date serial]]&lt;HoldoutStart,"Validation H1","Holdout H2"))</f>
        <v>Train 2024</v>
      </c>
      <c r="T2218" s="51" t="str">
        <f>IF(tblWorkPackages[[#This Row],[Time split]]="Train 2024","",tblWorkPackages[[#This Row],[Estimated labor hours]]+VLOOKUP(tblWorkPackages[[#This Row],[Task type]],'Forecast validation'!$A$14:$E$25,IF(tblWorkPackages[[#This Row],[Time split]]="Validation H1",4,5),FALSE()))</f>
        <v/>
      </c>
      <c r="U2218" s="51" t="str">
        <f>IF(tblWorkPackages[[#This Row],[Calibrated forecast hours]]="","",ABS(tblWorkPackages[[#This Row],[Actual labor hours]]-tblWorkPackages[[#This Row],[Calibrated forecast hours]]))</f>
        <v/>
      </c>
      <c r="V2218" s="51">
        <f>IF(tblWorkPackages[[#This Row],[Time split]]="Train 2024",tblWorkPackages[[#This Row],[Estimated labor hours]],tblWorkPackages[[#This Row],[Calibrated forecast hours]])</f>
        <v>4</v>
      </c>
      <c r="W2218" s="64">
        <f>DATEVALUE(tblWorkPackages[[#This Row],[Request date]])</f>
        <v>45545.0</v>
      </c>
      <c r="X2218" s="64">
        <f>DATEVALUE(tblWorkPackages[[#This Row],[Due date]])</f>
        <v>45558.0</v>
      </c>
      <c r="Y2218" s="64">
        <f>DATEVALUE(tblWorkPackages[[#This Row],[Completion date]])</f>
        <v>45548.0</v>
      </c>
      <c r="Z2218" s="64">
        <f>_xlfn.MINIFS(tblLaborEntries[Work date serial],tblLaborEntries[Work package ID],tblWorkPackages[[#This Row],[Work package ID]])</f>
        <v>45547.0</v>
      </c>
      <c r="AA2218" s="64">
        <f>_xlfn.MAXIFS(tblLaborEntries[Work date serial],tblLaborEntries[Work package ID],tblWorkPackages[[#This Row],[Work package ID]])</f>
        <v>45548.0</v>
      </c>
      <c r="AB2218" s="65">
        <f>IF(tblWorkPackages[[#This Row],[Completion date serial]]&gt;tblWorkPackages[[#This Row],[Due date serial]],1,0)</f>
        <v>0</v>
      </c>
      <c r="AC2218" s="65">
        <f>MAX(0,tblWorkPackages[[#This Row],[Completion date serial]]-tblWorkPackages[[#This Row],[Due date serial]])</f>
        <v>0</v>
      </c>
      <c r="AD2218" s="65">
        <f>tblWorkPackages[[#This Row],[First labor date]]-tblWorkPackages[[#This Row],[Request date serial]]</f>
        <v>2</v>
      </c>
      <c r="AE2218" s="65">
        <f>tblWorkPackages[[#This Row],[Last labor date]]-tblWorkPackages[[#This Row],[First labor date]]</f>
        <v>1</v>
      </c>
      <c r="AF2218" s="65">
        <f>tblWorkPackages[[#This Row],[Completion date serial]]-tblWorkPackages[[#This Row],[Last labor date]]</f>
        <v>0</v>
      </c>
      <c r="AG2218" s="65">
        <f>tblWorkPackages[[#This Row],[Completion date serial]]-tblWorkPackages[[#This Row],[Request date serial]]</f>
        <v>3</v>
      </c>
      <c r="AH2218" s="65">
        <f>IFERROR(INDEX(tblParts[Delay days],MATCH(tblWorkPackages[[#This Row],[Work package ID]],tblParts[Work package ID],0)),0)</f>
        <v>0</v>
      </c>
      <c r="AI2218" s="51" t="str">
        <f>IFERROR(INDEX(tblDisruptions[Event type],MATCH(tblWorkPackages[[#This Row],[Work package ID]],tblDisruptions[Work package ID],0)),"None")</f>
        <v>Equipment unavailable</v>
      </c>
      <c r="AJ2218" s="51" t="str">
        <f>TEXT(tblWorkPackages[[#This Row],[Due date serial]],"yyyy-mm")</f>
        <v>2024-09</v>
      </c>
    </row>
    <row r="2219" spans="1:36" ht="15" x14ac:dyDescent="0.25">
      <c r="A2219" s="53" t="s">
        <v>3135</v>
      </c>
      <c r="B2219" s="53" t="s">
        <v>124</v>
      </c>
      <c r="C2219" s="53" t="s">
        <v>2048</v>
      </c>
      <c r="D2219" s="53" t="s">
        <v>349</v>
      </c>
      <c r="E2219" s="53" t="s">
        <v>181</v>
      </c>
      <c r="F2219" s="53" t="s">
        <v>182</v>
      </c>
      <c r="G2219" s="53" t="s">
        <v>138</v>
      </c>
      <c r="H2219" s="53">
        <v>3</v>
      </c>
      <c r="I2219" s="53" t="s">
        <v>130</v>
      </c>
      <c r="J2219" s="53">
        <v>0</v>
      </c>
      <c r="K2219" s="53">
        <v>0</v>
      </c>
      <c r="L2219" s="53">
        <v>10.6</v>
      </c>
      <c r="M2219" s="53" t="s">
        <v>1668</v>
      </c>
      <c r="N2219" s="53">
        <v>13.4</v>
      </c>
      <c r="O2219" s="51" t="str">
        <f>TEXT(tblWorkPackages[[#This Row],[Request date serial]]-WEEKDAY(tblWorkPackages[[#This Row],[Request date serial]],3),"yyyy-mm-dd")</f>
        <v>2024-01-01</v>
      </c>
      <c r="P2219" s="51">
        <f>ABS(tblWorkPackages[[#This Row],[Actual labor hours]]-tblWorkPackages[[#This Row],[Estimated labor hours]])</f>
        <v>2.8</v>
      </c>
      <c r="Q2219" s="51">
        <f>IF(tblWorkPackages[[#This Row],[Actual labor hours]]&gt;tblWorkPackages[[#This Row],[Estimated labor hours]],1,0)</f>
        <v>1</v>
      </c>
      <c r="R2219" s="51">
        <f>tblWorkPackages[[#This Row],[Actual labor hours]]-tblWorkPackages[[#This Row],[Estimated labor hours]]</f>
        <v>2.8</v>
      </c>
      <c r="S2219" s="51" t="str">
        <f>IF(tblWorkPackages[[#This Row],[Request date serial]]&lt;ValidationStart,"Train 2024",IF(tblWorkPackages[[#This Row],[Request date serial]]&lt;HoldoutStart,"Validation H1","Holdout H2"))</f>
        <v>Train 2024</v>
      </c>
      <c r="T2219" s="51" t="str">
        <f>IF(tblWorkPackages[[#This Row],[Time split]]="Train 2024","",tblWorkPackages[[#This Row],[Estimated labor hours]]+VLOOKUP(tblWorkPackages[[#This Row],[Task type]],'Forecast validation'!$A$14:$E$25,IF(tblWorkPackages[[#This Row],[Time split]]="Validation H1",4,5),FALSE()))</f>
        <v/>
      </c>
      <c r="U2219" s="51" t="str">
        <f>IF(tblWorkPackages[[#This Row],[Calibrated forecast hours]]="","",ABS(tblWorkPackages[[#This Row],[Actual labor hours]]-tblWorkPackages[[#This Row],[Calibrated forecast hours]]))</f>
        <v/>
      </c>
      <c r="V2219" s="51">
        <f>IF(tblWorkPackages[[#This Row],[Time split]]="Train 2024",tblWorkPackages[[#This Row],[Estimated labor hours]],tblWorkPackages[[#This Row],[Calibrated forecast hours]])</f>
        <v>10.6</v>
      </c>
      <c r="W2219" s="64">
        <f>DATEVALUE(tblWorkPackages[[#This Row],[Request date]])</f>
        <v>45297.0</v>
      </c>
      <c r="X2219" s="64">
        <f>DATEVALUE(tblWorkPackages[[#This Row],[Due date]])</f>
        <v>45310.0</v>
      </c>
      <c r="Y2219" s="64">
        <f>DATEVALUE(tblWorkPackages[[#This Row],[Completion date]])</f>
        <v>45314.0</v>
      </c>
      <c r="Z2219" s="64">
        <f>_xlfn.MINIFS(tblLaborEntries[Work date serial],tblLaborEntries[Work package ID],tblWorkPackages[[#This Row],[Work package ID]])</f>
        <v>45312.0</v>
      </c>
      <c r="AA2219" s="64">
        <f>_xlfn.MAXIFS(tblLaborEntries[Work date serial],tblLaborEntries[Work package ID],tblWorkPackages[[#This Row],[Work package ID]])</f>
        <v>45313.0</v>
      </c>
      <c r="AB2219" s="65">
        <f>IF(tblWorkPackages[[#This Row],[Completion date serial]]&gt;tblWorkPackages[[#This Row],[Due date serial]],1,0)</f>
        <v>1</v>
      </c>
      <c r="AC2219" s="65">
        <f>MAX(0,tblWorkPackages[[#This Row],[Completion date serial]]-tblWorkPackages[[#This Row],[Due date serial]])</f>
        <v>4</v>
      </c>
      <c r="AD2219" s="65">
        <f>tblWorkPackages[[#This Row],[First labor date]]-tblWorkPackages[[#This Row],[Request date serial]]</f>
        <v>15</v>
      </c>
      <c r="AE2219" s="65">
        <f>tblWorkPackages[[#This Row],[Last labor date]]-tblWorkPackages[[#This Row],[First labor date]]</f>
        <v>1</v>
      </c>
      <c r="AF2219" s="65">
        <f>tblWorkPackages[[#This Row],[Completion date serial]]-tblWorkPackages[[#This Row],[Last labor date]]</f>
        <v>1</v>
      </c>
      <c r="AG2219" s="65">
        <f>tblWorkPackages[[#This Row],[Completion date serial]]-tblWorkPackages[[#This Row],[Request date serial]]</f>
        <v>17</v>
      </c>
      <c r="AH2219" s="65">
        <f>IFERROR(INDEX(tblParts[Delay days],MATCH(tblWorkPackages[[#This Row],[Work package ID]],tblParts[Work package ID],0)),0)</f>
        <v>0</v>
      </c>
      <c r="AI2219" s="51" t="str">
        <f>IFERROR(INDEX(tblDisruptions[Event type],MATCH(tblWorkPackages[[#This Row],[Work package ID]],tblDisruptions[Work package ID],0)),"None")</f>
        <v>None</v>
      </c>
      <c r="AJ2219" s="51" t="str">
        <f>TEXT(tblWorkPackages[[#This Row],[Due date serial]],"yyyy-mm")</f>
        <v>2024-01</v>
      </c>
    </row>
    <row r="2220" spans="1:36" ht="15" x14ac:dyDescent="0.25">
      <c r="A2220" s="53" t="s">
        <v>3136</v>
      </c>
      <c r="B2220" s="53" t="s">
        <v>124</v>
      </c>
      <c r="C2220" s="53" t="s">
        <v>378</v>
      </c>
      <c r="D2220" s="53" t="s">
        <v>331</v>
      </c>
      <c r="E2220" s="53" t="s">
        <v>242</v>
      </c>
      <c r="F2220" s="53" t="s">
        <v>243</v>
      </c>
      <c r="G2220" s="53" t="s">
        <v>129</v>
      </c>
      <c r="H2220" s="53">
        <v>2</v>
      </c>
      <c r="I2220" s="53" t="s">
        <v>176</v>
      </c>
      <c r="J2220" s="53">
        <v>0</v>
      </c>
      <c r="K2220" s="53">
        <v>1</v>
      </c>
      <c r="L2220" s="53">
        <v>7.7</v>
      </c>
      <c r="M2220" s="53" t="s">
        <v>1534</v>
      </c>
      <c r="N2220" s="53">
        <v>9.1</v>
      </c>
      <c r="O2220" s="51" t="str">
        <f>TEXT(tblWorkPackages[[#This Row],[Request date serial]]-WEEKDAY(tblWorkPackages[[#This Row],[Request date serial]],3),"yyyy-mm-dd")</f>
        <v>2025-10-13</v>
      </c>
      <c r="P2220" s="51">
        <f>ABS(tblWorkPackages[[#This Row],[Actual labor hours]]-tblWorkPackages[[#This Row],[Estimated labor hours]])</f>
        <v>1.4</v>
      </c>
      <c r="Q2220" s="51">
        <f>IF(tblWorkPackages[[#This Row],[Actual labor hours]]&gt;tblWorkPackages[[#This Row],[Estimated labor hours]],1,0)</f>
        <v>1</v>
      </c>
      <c r="R2220" s="51">
        <f>tblWorkPackages[[#This Row],[Actual labor hours]]-tblWorkPackages[[#This Row],[Estimated labor hours]]</f>
        <v>1.4</v>
      </c>
      <c r="S2220" s="51" t="str">
        <f>IF(tblWorkPackages[[#This Row],[Request date serial]]&lt;ValidationStart,"Train 2024",IF(tblWorkPackages[[#This Row],[Request date serial]]&lt;HoldoutStart,"Validation H1","Holdout H2"))</f>
        <v>Holdout H2</v>
      </c>
      <c r="T2220" s="51">
        <f>IF(tblWorkPackages[[#This Row],[Time split]]="Train 2024","",tblWorkPackages[[#This Row],[Estimated labor hours]]+VLOOKUP(tblWorkPackages[[#This Row],[Task type]],'Forecast validation'!$A$14:$E$25,IF(tblWorkPackages[[#This Row],[Time split]]="Validation H1",4,5),FALSE()))</f>
        <v>8.52545454545455</v>
      </c>
      <c r="U2220" s="51">
        <f>IF(tblWorkPackages[[#This Row],[Calibrated forecast hours]]="","",ABS(tblWorkPackages[[#This Row],[Actual labor hours]]-tblWorkPackages[[#This Row],[Calibrated forecast hours]]))</f>
        <v>0.574545454545454</v>
      </c>
      <c r="V2220" s="51">
        <f>IF(tblWorkPackages[[#This Row],[Time split]]="Train 2024",tblWorkPackages[[#This Row],[Estimated labor hours]],tblWorkPackages[[#This Row],[Calibrated forecast hours]])</f>
        <v>8.52545454545455</v>
      </c>
      <c r="W2220" s="64">
        <f>DATEVALUE(tblWorkPackages[[#This Row],[Request date]])</f>
        <v>45943.0</v>
      </c>
      <c r="X2220" s="64">
        <f>DATEVALUE(tblWorkPackages[[#This Row],[Due date]])</f>
        <v>45949.0</v>
      </c>
      <c r="Y2220" s="64">
        <f>DATEVALUE(tblWorkPackages[[#This Row],[Completion date]])</f>
        <v>45951.0</v>
      </c>
      <c r="Z2220" s="64">
        <f>_xlfn.MINIFS(tblLaborEntries[Work date serial],tblLaborEntries[Work package ID],tblWorkPackages[[#This Row],[Work package ID]])</f>
        <v>45947.0</v>
      </c>
      <c r="AA2220" s="64">
        <f>_xlfn.MAXIFS(tblLaborEntries[Work date serial],tblLaborEntries[Work package ID],tblWorkPackages[[#This Row],[Work package ID]])</f>
        <v>45949.0</v>
      </c>
      <c r="AB2220" s="65">
        <f>IF(tblWorkPackages[[#This Row],[Completion date serial]]&gt;tblWorkPackages[[#This Row],[Due date serial]],1,0)</f>
        <v>1</v>
      </c>
      <c r="AC2220" s="65">
        <f>MAX(0,tblWorkPackages[[#This Row],[Completion date serial]]-tblWorkPackages[[#This Row],[Due date serial]])</f>
        <v>2</v>
      </c>
      <c r="AD2220" s="65">
        <f>tblWorkPackages[[#This Row],[First labor date]]-tblWorkPackages[[#This Row],[Request date serial]]</f>
        <v>4</v>
      </c>
      <c r="AE2220" s="65">
        <f>tblWorkPackages[[#This Row],[Last labor date]]-tblWorkPackages[[#This Row],[First labor date]]</f>
        <v>2</v>
      </c>
      <c r="AF2220" s="65">
        <f>tblWorkPackages[[#This Row],[Completion date serial]]-tblWorkPackages[[#This Row],[Last labor date]]</f>
        <v>2</v>
      </c>
      <c r="AG2220" s="65">
        <f>tblWorkPackages[[#This Row],[Completion date serial]]-tblWorkPackages[[#This Row],[Request date serial]]</f>
        <v>8</v>
      </c>
      <c r="AH2220" s="65">
        <f>IFERROR(INDEX(tblParts[Delay days],MATCH(tblWorkPackages[[#This Row],[Work package ID]],tblParts[Work package ID],0)),0)</f>
        <v>0</v>
      </c>
      <c r="AI2220" s="51" t="str">
        <f>IFERROR(INDEX(tblDisruptions[Event type],MATCH(tblWorkPackages[[#This Row],[Work package ID]],tblDisruptions[Work package ID],0)),"None")</f>
        <v>Technician absence</v>
      </c>
      <c r="AJ2220" s="51" t="str">
        <f>TEXT(tblWorkPackages[[#This Row],[Due date serial]],"yyyy-mm")</f>
        <v>2025-10</v>
      </c>
    </row>
    <row r="2221" spans="1:36" ht="15" x14ac:dyDescent="0.25">
      <c r="A2221" s="53" t="s">
        <v>3137</v>
      </c>
      <c r="B2221" s="53" t="s">
        <v>250</v>
      </c>
      <c r="C2221" s="53" t="s">
        <v>805</v>
      </c>
      <c r="D2221" s="53" t="s">
        <v>489</v>
      </c>
      <c r="E2221" s="53" t="s">
        <v>153</v>
      </c>
      <c r="F2221" s="53" t="s">
        <v>128</v>
      </c>
      <c r="G2221" s="53" t="s">
        <v>154</v>
      </c>
      <c r="H2221" s="53">
        <v>2</v>
      </c>
      <c r="I2221" s="53" t="s">
        <v>176</v>
      </c>
      <c r="J2221" s="53">
        <v>0</v>
      </c>
      <c r="K2221" s="53">
        <v>1</v>
      </c>
      <c r="L2221" s="53">
        <v>10</v>
      </c>
      <c r="M2221" s="53" t="s">
        <v>489</v>
      </c>
      <c r="N2221" s="53">
        <v>11.8</v>
      </c>
      <c r="O2221" s="51" t="str">
        <f>TEXT(tblWorkPackages[[#This Row],[Request date serial]]-WEEKDAY(tblWorkPackages[[#This Row],[Request date serial]],3),"yyyy-mm-dd")</f>
        <v>2024-02-12</v>
      </c>
      <c r="P2221" s="51">
        <f>ABS(tblWorkPackages[[#This Row],[Actual labor hours]]-tblWorkPackages[[#This Row],[Estimated labor hours]])</f>
        <v>1.8</v>
      </c>
      <c r="Q2221" s="51">
        <f>IF(tblWorkPackages[[#This Row],[Actual labor hours]]&gt;tblWorkPackages[[#This Row],[Estimated labor hours]],1,0)</f>
        <v>1</v>
      </c>
      <c r="R2221" s="51">
        <f>tblWorkPackages[[#This Row],[Actual labor hours]]-tblWorkPackages[[#This Row],[Estimated labor hours]]</f>
        <v>1.8</v>
      </c>
      <c r="S2221" s="51" t="str">
        <f>IF(tblWorkPackages[[#This Row],[Request date serial]]&lt;ValidationStart,"Train 2024",IF(tblWorkPackages[[#This Row],[Request date serial]]&lt;HoldoutStart,"Validation H1","Holdout H2"))</f>
        <v>Train 2024</v>
      </c>
      <c r="T2221" s="51" t="str">
        <f>IF(tblWorkPackages[[#This Row],[Time split]]="Train 2024","",tblWorkPackages[[#This Row],[Estimated labor hours]]+VLOOKUP(tblWorkPackages[[#This Row],[Task type]],'Forecast validation'!$A$14:$E$25,IF(tblWorkPackages[[#This Row],[Time split]]="Validation H1",4,5),FALSE()))</f>
        <v/>
      </c>
      <c r="U2221" s="51" t="str">
        <f>IF(tblWorkPackages[[#This Row],[Calibrated forecast hours]]="","",ABS(tblWorkPackages[[#This Row],[Actual labor hours]]-tblWorkPackages[[#This Row],[Calibrated forecast hours]]))</f>
        <v/>
      </c>
      <c r="V2221" s="51">
        <f>IF(tblWorkPackages[[#This Row],[Time split]]="Train 2024",tblWorkPackages[[#This Row],[Estimated labor hours]],tblWorkPackages[[#This Row],[Calibrated forecast hours]])</f>
        <v>10</v>
      </c>
      <c r="W2221" s="64">
        <f>DATEVALUE(tblWorkPackages[[#This Row],[Request date]])</f>
        <v>45335.0</v>
      </c>
      <c r="X2221" s="64">
        <f>DATEVALUE(tblWorkPackages[[#This Row],[Due date]])</f>
        <v>45341.0</v>
      </c>
      <c r="Y2221" s="64">
        <f>DATEVALUE(tblWorkPackages[[#This Row],[Completion date]])</f>
        <v>45341.0</v>
      </c>
      <c r="Z2221" s="64">
        <f>_xlfn.MINIFS(tblLaborEntries[Work date serial],tblLaborEntries[Work package ID],tblWorkPackages[[#This Row],[Work package ID]])</f>
        <v>45336.0</v>
      </c>
      <c r="AA2221" s="64">
        <f>_xlfn.MAXIFS(tblLaborEntries[Work date serial],tblLaborEntries[Work package ID],tblWorkPackages[[#This Row],[Work package ID]])</f>
        <v>45338.0</v>
      </c>
      <c r="AB2221" s="65">
        <f>IF(tblWorkPackages[[#This Row],[Completion date serial]]&gt;tblWorkPackages[[#This Row],[Due date serial]],1,0)</f>
        <v>0</v>
      </c>
      <c r="AC2221" s="65">
        <f>MAX(0,tblWorkPackages[[#This Row],[Completion date serial]]-tblWorkPackages[[#This Row],[Due date serial]])</f>
        <v>0</v>
      </c>
      <c r="AD2221" s="65">
        <f>tblWorkPackages[[#This Row],[First labor date]]-tblWorkPackages[[#This Row],[Request date serial]]</f>
        <v>1</v>
      </c>
      <c r="AE2221" s="65">
        <f>tblWorkPackages[[#This Row],[Last labor date]]-tblWorkPackages[[#This Row],[First labor date]]</f>
        <v>2</v>
      </c>
      <c r="AF2221" s="65">
        <f>tblWorkPackages[[#This Row],[Completion date serial]]-tblWorkPackages[[#This Row],[Last labor date]]</f>
        <v>3</v>
      </c>
      <c r="AG2221" s="65">
        <f>tblWorkPackages[[#This Row],[Completion date serial]]-tblWorkPackages[[#This Row],[Request date serial]]</f>
        <v>6</v>
      </c>
      <c r="AH2221" s="65">
        <f>IFERROR(INDEX(tblParts[Delay days],MATCH(tblWorkPackages[[#This Row],[Work package ID]],tblParts[Work package ID],0)),0)</f>
        <v>0</v>
      </c>
      <c r="AI2221" s="51" t="str">
        <f>IFERROR(INDEX(tblDisruptions[Event type],MATCH(tblWorkPackages[[#This Row],[Work package ID]],tblDisruptions[Work package ID],0)),"None")</f>
        <v>None</v>
      </c>
      <c r="AJ2221" s="51" t="str">
        <f>TEXT(tblWorkPackages[[#This Row],[Due date serial]],"yyyy-mm")</f>
        <v>2024-02</v>
      </c>
    </row>
    <row r="2222" spans="1:36" ht="15" x14ac:dyDescent="0.25">
      <c r="A2222" s="53" t="s">
        <v>3138</v>
      </c>
      <c r="B2222" s="53" t="s">
        <v>230</v>
      </c>
      <c r="C2222" s="53" t="s">
        <v>613</v>
      </c>
      <c r="D2222" s="53" t="s">
        <v>879</v>
      </c>
      <c r="E2222" s="53" t="s">
        <v>209</v>
      </c>
      <c r="F2222" s="53" t="s">
        <v>145</v>
      </c>
      <c r="G2222" s="53" t="s">
        <v>210</v>
      </c>
      <c r="H2222" s="53">
        <v>4</v>
      </c>
      <c r="I2222" s="53" t="s">
        <v>176</v>
      </c>
      <c r="J2222" s="53">
        <v>0</v>
      </c>
      <c r="K2222" s="53">
        <v>1</v>
      </c>
      <c r="L2222" s="53">
        <v>44.9</v>
      </c>
      <c r="M2222" s="53" t="s">
        <v>1007</v>
      </c>
      <c r="N2222" s="53">
        <v>51.9</v>
      </c>
      <c r="O2222" s="51" t="str">
        <f>TEXT(tblWorkPackages[[#This Row],[Request date serial]]-WEEKDAY(tblWorkPackages[[#This Row],[Request date serial]],3),"yyyy-mm-dd")</f>
        <v>2024-03-25</v>
      </c>
      <c r="P2222" s="51">
        <f>ABS(tblWorkPackages[[#This Row],[Actual labor hours]]-tblWorkPackages[[#This Row],[Estimated labor hours]])</f>
        <v>7</v>
      </c>
      <c r="Q2222" s="51">
        <f>IF(tblWorkPackages[[#This Row],[Actual labor hours]]&gt;tblWorkPackages[[#This Row],[Estimated labor hours]],1,0)</f>
        <v>1</v>
      </c>
      <c r="R2222" s="51">
        <f>tblWorkPackages[[#This Row],[Actual labor hours]]-tblWorkPackages[[#This Row],[Estimated labor hours]]</f>
        <v>7</v>
      </c>
      <c r="S2222" s="51" t="str">
        <f>IF(tblWorkPackages[[#This Row],[Request date serial]]&lt;ValidationStart,"Train 2024",IF(tblWorkPackages[[#This Row],[Request date serial]]&lt;HoldoutStart,"Validation H1","Holdout H2"))</f>
        <v>Train 2024</v>
      </c>
      <c r="T2222" s="51" t="str">
        <f>IF(tblWorkPackages[[#This Row],[Time split]]="Train 2024","",tblWorkPackages[[#This Row],[Estimated labor hours]]+VLOOKUP(tblWorkPackages[[#This Row],[Task type]],'Forecast validation'!$A$14:$E$25,IF(tblWorkPackages[[#This Row],[Time split]]="Validation H1",4,5),FALSE()))</f>
        <v/>
      </c>
      <c r="U2222" s="51" t="str">
        <f>IF(tblWorkPackages[[#This Row],[Calibrated forecast hours]]="","",ABS(tblWorkPackages[[#This Row],[Actual labor hours]]-tblWorkPackages[[#This Row],[Calibrated forecast hours]]))</f>
        <v/>
      </c>
      <c r="V2222" s="51">
        <f>IF(tblWorkPackages[[#This Row],[Time split]]="Train 2024",tblWorkPackages[[#This Row],[Estimated labor hours]],tblWorkPackages[[#This Row],[Calibrated forecast hours]])</f>
        <v>44.9</v>
      </c>
      <c r="W2222" s="64">
        <f>DATEVALUE(tblWorkPackages[[#This Row],[Request date]])</f>
        <v>45380.0</v>
      </c>
      <c r="X2222" s="64">
        <f>DATEVALUE(tblWorkPackages[[#This Row],[Due date]])</f>
        <v>45386.0</v>
      </c>
      <c r="Y2222" s="64">
        <f>DATEVALUE(tblWorkPackages[[#This Row],[Completion date]])</f>
        <v>45391.0</v>
      </c>
      <c r="Z2222" s="64">
        <f>_xlfn.MINIFS(tblLaborEntries[Work date serial],tblLaborEntries[Work package ID],tblWorkPackages[[#This Row],[Work package ID]])</f>
        <v>45390.0</v>
      </c>
      <c r="AA2222" s="64">
        <f>_xlfn.MAXIFS(tblLaborEntries[Work date serial],tblLaborEntries[Work package ID],tblWorkPackages[[#This Row],[Work package ID]])</f>
        <v>45391.0</v>
      </c>
      <c r="AB2222" s="65">
        <f>IF(tblWorkPackages[[#This Row],[Completion date serial]]&gt;tblWorkPackages[[#This Row],[Due date serial]],1,0)</f>
        <v>1</v>
      </c>
      <c r="AC2222" s="65">
        <f>MAX(0,tblWorkPackages[[#This Row],[Completion date serial]]-tblWorkPackages[[#This Row],[Due date serial]])</f>
        <v>5</v>
      </c>
      <c r="AD2222" s="65">
        <f>tblWorkPackages[[#This Row],[First labor date]]-tblWorkPackages[[#This Row],[Request date serial]]</f>
        <v>10</v>
      </c>
      <c r="AE2222" s="65">
        <f>tblWorkPackages[[#This Row],[Last labor date]]-tblWorkPackages[[#This Row],[First labor date]]</f>
        <v>1</v>
      </c>
      <c r="AF2222" s="65">
        <f>tblWorkPackages[[#This Row],[Completion date serial]]-tblWorkPackages[[#This Row],[Last labor date]]</f>
        <v>0</v>
      </c>
      <c r="AG2222" s="65">
        <f>tblWorkPackages[[#This Row],[Completion date serial]]-tblWorkPackages[[#This Row],[Request date serial]]</f>
        <v>11</v>
      </c>
      <c r="AH2222" s="65">
        <f>IFERROR(INDEX(tblParts[Delay days],MATCH(tblWorkPackages[[#This Row],[Work package ID]],tblParts[Work package ID],0)),0)</f>
        <v>0</v>
      </c>
      <c r="AI2222" s="51" t="str">
        <f>IFERROR(INDEX(tblDisruptions[Event type],MATCH(tblWorkPackages[[#This Row],[Work package ID]],tblDisruptions[Work package ID],0)),"None")</f>
        <v>None</v>
      </c>
      <c r="AJ2222" s="51" t="str">
        <f>TEXT(tblWorkPackages[[#This Row],[Due date serial]],"yyyy-mm")</f>
        <v>2024-04</v>
      </c>
    </row>
    <row r="2223" spans="1:36" ht="15" x14ac:dyDescent="0.25">
      <c r="A2223" s="53" t="s">
        <v>3139</v>
      </c>
      <c r="B2223" s="53" t="s">
        <v>150</v>
      </c>
      <c r="C2223" s="53" t="s">
        <v>535</v>
      </c>
      <c r="D2223" s="53" t="s">
        <v>240</v>
      </c>
      <c r="E2223" s="53" t="s">
        <v>144</v>
      </c>
      <c r="F2223" s="53" t="s">
        <v>145</v>
      </c>
      <c r="G2223" s="53" t="s">
        <v>146</v>
      </c>
      <c r="H2223" s="53">
        <v>1</v>
      </c>
      <c r="I2223" s="53" t="s">
        <v>147</v>
      </c>
      <c r="J2223" s="53">
        <v>0</v>
      </c>
      <c r="K2223" s="53">
        <v>1</v>
      </c>
      <c r="L2223" s="53">
        <v>6.5</v>
      </c>
      <c r="M2223" s="53" t="s">
        <v>793</v>
      </c>
      <c r="N2223" s="53">
        <v>7.7</v>
      </c>
      <c r="O2223" s="51" t="str">
        <f>TEXT(tblWorkPackages[[#This Row],[Request date serial]]-WEEKDAY(tblWorkPackages[[#This Row],[Request date serial]],3),"yyyy-mm-dd")</f>
        <v>2024-11-04</v>
      </c>
      <c r="P2223" s="51">
        <f>ABS(tblWorkPackages[[#This Row],[Actual labor hours]]-tblWorkPackages[[#This Row],[Estimated labor hours]])</f>
        <v>1.2</v>
      </c>
      <c r="Q2223" s="51">
        <f>IF(tblWorkPackages[[#This Row],[Actual labor hours]]&gt;tblWorkPackages[[#This Row],[Estimated labor hours]],1,0)</f>
        <v>1</v>
      </c>
      <c r="R2223" s="51">
        <f>tblWorkPackages[[#This Row],[Actual labor hours]]-tblWorkPackages[[#This Row],[Estimated labor hours]]</f>
        <v>1.2</v>
      </c>
      <c r="S2223" s="51" t="str">
        <f>IF(tblWorkPackages[[#This Row],[Request date serial]]&lt;ValidationStart,"Train 2024",IF(tblWorkPackages[[#This Row],[Request date serial]]&lt;HoldoutStart,"Validation H1","Holdout H2"))</f>
        <v>Train 2024</v>
      </c>
      <c r="T2223" s="51" t="str">
        <f>IF(tblWorkPackages[[#This Row],[Time split]]="Train 2024","",tblWorkPackages[[#This Row],[Estimated labor hours]]+VLOOKUP(tblWorkPackages[[#This Row],[Task type]],'Forecast validation'!$A$14:$E$25,IF(tblWorkPackages[[#This Row],[Time split]]="Validation H1",4,5),FALSE()))</f>
        <v/>
      </c>
      <c r="U2223" s="51" t="str">
        <f>IF(tblWorkPackages[[#This Row],[Calibrated forecast hours]]="","",ABS(tblWorkPackages[[#This Row],[Actual labor hours]]-tblWorkPackages[[#This Row],[Calibrated forecast hours]]))</f>
        <v/>
      </c>
      <c r="V2223" s="51">
        <f>IF(tblWorkPackages[[#This Row],[Time split]]="Train 2024",tblWorkPackages[[#This Row],[Estimated labor hours]],tblWorkPackages[[#This Row],[Calibrated forecast hours]])</f>
        <v>6.5</v>
      </c>
      <c r="W2223" s="64">
        <f>DATEVALUE(tblWorkPackages[[#This Row],[Request date]])</f>
        <v>45602.0</v>
      </c>
      <c r="X2223" s="64">
        <f>DATEVALUE(tblWorkPackages[[#This Row],[Due date]])</f>
        <v>45604.0</v>
      </c>
      <c r="Y2223" s="64">
        <f>DATEVALUE(tblWorkPackages[[#This Row],[Completion date]])</f>
        <v>45608.0</v>
      </c>
      <c r="Z2223" s="64">
        <f>_xlfn.MINIFS(tblLaborEntries[Work date serial],tblLaborEntries[Work package ID],tblWorkPackages[[#This Row],[Work package ID]])</f>
        <v>45605.0</v>
      </c>
      <c r="AA2223" s="64">
        <f>_xlfn.MAXIFS(tblLaborEntries[Work date serial],tblLaborEntries[Work package ID],tblWorkPackages[[#This Row],[Work package ID]])</f>
        <v>45607.0</v>
      </c>
      <c r="AB2223" s="65">
        <f>IF(tblWorkPackages[[#This Row],[Completion date serial]]&gt;tblWorkPackages[[#This Row],[Due date serial]],1,0)</f>
        <v>1</v>
      </c>
      <c r="AC2223" s="65">
        <f>MAX(0,tblWorkPackages[[#This Row],[Completion date serial]]-tblWorkPackages[[#This Row],[Due date serial]])</f>
        <v>4</v>
      </c>
      <c r="AD2223" s="65">
        <f>tblWorkPackages[[#This Row],[First labor date]]-tblWorkPackages[[#This Row],[Request date serial]]</f>
        <v>3</v>
      </c>
      <c r="AE2223" s="65">
        <f>tblWorkPackages[[#This Row],[Last labor date]]-tblWorkPackages[[#This Row],[First labor date]]</f>
        <v>2</v>
      </c>
      <c r="AF2223" s="65">
        <f>tblWorkPackages[[#This Row],[Completion date serial]]-tblWorkPackages[[#This Row],[Last labor date]]</f>
        <v>1</v>
      </c>
      <c r="AG2223" s="65">
        <f>tblWorkPackages[[#This Row],[Completion date serial]]-tblWorkPackages[[#This Row],[Request date serial]]</f>
        <v>6</v>
      </c>
      <c r="AH2223" s="65">
        <f>IFERROR(INDEX(tblParts[Delay days],MATCH(tblWorkPackages[[#This Row],[Work package ID]],tblParts[Work package ID],0)),0)</f>
        <v>0</v>
      </c>
      <c r="AI2223" s="51" t="str">
        <f>IFERROR(INDEX(tblDisruptions[Event type],MATCH(tblWorkPackages[[#This Row],[Work package ID]],tblDisruptions[Work package ID],0)),"None")</f>
        <v>None</v>
      </c>
      <c r="AJ2223" s="51" t="str">
        <f>TEXT(tblWorkPackages[[#This Row],[Due date serial]],"yyyy-mm")</f>
        <v>2024-11</v>
      </c>
    </row>
    <row r="2224" spans="1:36" ht="15" x14ac:dyDescent="0.25">
      <c r="A2224" s="53" t="s">
        <v>3140</v>
      </c>
      <c r="B2224" s="53" t="s">
        <v>230</v>
      </c>
      <c r="C2224" s="53" t="s">
        <v>291</v>
      </c>
      <c r="D2224" s="53" t="s">
        <v>188</v>
      </c>
      <c r="E2224" s="53" t="s">
        <v>127</v>
      </c>
      <c r="F2224" s="53" t="s">
        <v>128</v>
      </c>
      <c r="G2224" s="53" t="s">
        <v>129</v>
      </c>
      <c r="H2224" s="53">
        <v>3</v>
      </c>
      <c r="I2224" s="53" t="s">
        <v>147</v>
      </c>
      <c r="J2224" s="53">
        <v>0</v>
      </c>
      <c r="K2224" s="53">
        <v>0</v>
      </c>
      <c r="L2224" s="53">
        <v>10.9</v>
      </c>
      <c r="M2224" s="53" t="s">
        <v>1620</v>
      </c>
      <c r="N2224" s="53">
        <v>12.4</v>
      </c>
      <c r="O2224" s="51" t="str">
        <f>TEXT(tblWorkPackages[[#This Row],[Request date serial]]-WEEKDAY(tblWorkPackages[[#This Row],[Request date serial]],3),"yyyy-mm-dd")</f>
        <v>2025-02-17</v>
      </c>
      <c r="P2224" s="51">
        <f>ABS(tblWorkPackages[[#This Row],[Actual labor hours]]-tblWorkPackages[[#This Row],[Estimated labor hours]])</f>
        <v>1.5</v>
      </c>
      <c r="Q2224" s="51">
        <f>IF(tblWorkPackages[[#This Row],[Actual labor hours]]&gt;tblWorkPackages[[#This Row],[Estimated labor hours]],1,0)</f>
        <v>1</v>
      </c>
      <c r="R2224" s="51">
        <f>tblWorkPackages[[#This Row],[Actual labor hours]]-tblWorkPackages[[#This Row],[Estimated labor hours]]</f>
        <v>1.5</v>
      </c>
      <c r="S2224" s="51" t="str">
        <f>IF(tblWorkPackages[[#This Row],[Request date serial]]&lt;ValidationStart,"Train 2024",IF(tblWorkPackages[[#This Row],[Request date serial]]&lt;HoldoutStart,"Validation H1","Holdout H2"))</f>
        <v>Validation H1</v>
      </c>
      <c r="T2224" s="51">
        <f>IF(tblWorkPackages[[#This Row],[Time split]]="Train 2024","",tblWorkPackages[[#This Row],[Estimated labor hours]]+VLOOKUP(tblWorkPackages[[#This Row],[Task type]],'Forecast validation'!$A$14:$E$25,IF(tblWorkPackages[[#This Row],[Time split]]="Validation H1",4,5),FALSE()))</f>
        <v>11.375641025641</v>
      </c>
      <c r="U2224" s="51">
        <f>IF(tblWorkPackages[[#This Row],[Calibrated forecast hours]]="","",ABS(tblWorkPackages[[#This Row],[Actual labor hours]]-tblWorkPackages[[#This Row],[Calibrated forecast hours]]))</f>
        <v>1.02435897435898</v>
      </c>
      <c r="V2224" s="51">
        <f>IF(tblWorkPackages[[#This Row],[Time split]]="Train 2024",tblWorkPackages[[#This Row],[Estimated labor hours]],tblWorkPackages[[#This Row],[Calibrated forecast hours]])</f>
        <v>11.375641025641</v>
      </c>
      <c r="W2224" s="64">
        <f>DATEVALUE(tblWorkPackages[[#This Row],[Request date]])</f>
        <v>45709.0</v>
      </c>
      <c r="X2224" s="64">
        <f>DATEVALUE(tblWorkPackages[[#This Row],[Due date]])</f>
        <v>45711.0</v>
      </c>
      <c r="Y2224" s="64">
        <f>DATEVALUE(tblWorkPackages[[#This Row],[Completion date]])</f>
        <v>45741.0</v>
      </c>
      <c r="Z2224" s="64">
        <f>_xlfn.MINIFS(tblLaborEntries[Work date serial],tblLaborEntries[Work package ID],tblWorkPackages[[#This Row],[Work package ID]])</f>
        <v>45737.0</v>
      </c>
      <c r="AA2224" s="64">
        <f>_xlfn.MAXIFS(tblLaborEntries[Work date serial],tblLaborEntries[Work package ID],tblWorkPackages[[#This Row],[Work package ID]])</f>
        <v>45739.0</v>
      </c>
      <c r="AB2224" s="65">
        <f>IF(tblWorkPackages[[#This Row],[Completion date serial]]&gt;tblWorkPackages[[#This Row],[Due date serial]],1,0)</f>
        <v>1</v>
      </c>
      <c r="AC2224" s="65">
        <f>MAX(0,tblWorkPackages[[#This Row],[Completion date serial]]-tblWorkPackages[[#This Row],[Due date serial]])</f>
        <v>30</v>
      </c>
      <c r="AD2224" s="65">
        <f>tblWorkPackages[[#This Row],[First labor date]]-tblWorkPackages[[#This Row],[Request date serial]]</f>
        <v>28</v>
      </c>
      <c r="AE2224" s="65">
        <f>tblWorkPackages[[#This Row],[Last labor date]]-tblWorkPackages[[#This Row],[First labor date]]</f>
        <v>2</v>
      </c>
      <c r="AF2224" s="65">
        <f>tblWorkPackages[[#This Row],[Completion date serial]]-tblWorkPackages[[#This Row],[Last labor date]]</f>
        <v>2</v>
      </c>
      <c r="AG2224" s="65">
        <f>tblWorkPackages[[#This Row],[Completion date serial]]-tblWorkPackages[[#This Row],[Request date serial]]</f>
        <v>32</v>
      </c>
      <c r="AH2224" s="65">
        <f>IFERROR(INDEX(tblParts[Delay days],MATCH(tblWorkPackages[[#This Row],[Work package ID]],tblParts[Work package ID],0)),0)</f>
        <v>0</v>
      </c>
      <c r="AI2224" s="51" t="str">
        <f>IFERROR(INDEX(tblDisruptions[Event type],MATCH(tblWorkPackages[[#This Row],[Work package ID]],tblDisruptions[Work package ID],0)),"None")</f>
        <v>None</v>
      </c>
      <c r="AJ2224" s="51" t="str">
        <f>TEXT(tblWorkPackages[[#This Row],[Due date serial]],"yyyy-mm")</f>
        <v>2025-02</v>
      </c>
    </row>
    <row r="2225" spans="1:36" ht="15" x14ac:dyDescent="0.25">
      <c r="A2225" s="53" t="s">
        <v>3141</v>
      </c>
      <c r="B2225" s="53" t="s">
        <v>235</v>
      </c>
      <c r="C2225" s="53" t="s">
        <v>542</v>
      </c>
      <c r="D2225" s="53" t="s">
        <v>558</v>
      </c>
      <c r="E2225" s="53" t="s">
        <v>209</v>
      </c>
      <c r="F2225" s="53" t="s">
        <v>145</v>
      </c>
      <c r="G2225" s="53" t="s">
        <v>210</v>
      </c>
      <c r="H2225" s="53">
        <v>4</v>
      </c>
      <c r="I2225" s="53" t="s">
        <v>130</v>
      </c>
      <c r="J2225" s="53">
        <v>0</v>
      </c>
      <c r="K2225" s="53">
        <v>1</v>
      </c>
      <c r="L2225" s="53">
        <v>33.6</v>
      </c>
      <c r="M2225" s="53" t="s">
        <v>1133</v>
      </c>
      <c r="N2225" s="53">
        <v>32.799999999999997</v>
      </c>
      <c r="O2225" s="51" t="str">
        <f>TEXT(tblWorkPackages[[#This Row],[Request date serial]]-WEEKDAY(tblWorkPackages[[#This Row],[Request date serial]],3),"yyyy-mm-dd")</f>
        <v>2025-10-13</v>
      </c>
      <c r="P2225" s="51">
        <f>ABS(tblWorkPackages[[#This Row],[Actual labor hours]]-tblWorkPackages[[#This Row],[Estimated labor hours]])</f>
        <v>0.800000000000004</v>
      </c>
      <c r="Q2225" s="51">
        <f>IF(tblWorkPackages[[#This Row],[Actual labor hours]]&gt;tblWorkPackages[[#This Row],[Estimated labor hours]],1,0)</f>
        <v>0</v>
      </c>
      <c r="R2225" s="51">
        <f>tblWorkPackages[[#This Row],[Actual labor hours]]-tblWorkPackages[[#This Row],[Estimated labor hours]]</f>
        <v>-0.800000000000004</v>
      </c>
      <c r="S2225" s="51" t="str">
        <f>IF(tblWorkPackages[[#This Row],[Request date serial]]&lt;ValidationStart,"Train 2024",IF(tblWorkPackages[[#This Row],[Request date serial]]&lt;HoldoutStart,"Validation H1","Holdout H2"))</f>
        <v>Holdout H2</v>
      </c>
      <c r="T2225" s="51">
        <f>IF(tblWorkPackages[[#This Row],[Time split]]="Train 2024","",tblWorkPackages[[#This Row],[Estimated labor hours]]+VLOOKUP(tblWorkPackages[[#This Row],[Task type]],'Forecast validation'!$A$14:$E$25,IF(tblWorkPackages[[#This Row],[Time split]]="Validation H1",4,5),FALSE()))</f>
        <v>35.395652173913</v>
      </c>
      <c r="U2225" s="51">
        <f>IF(tblWorkPackages[[#This Row],[Calibrated forecast hours]]="","",ABS(tblWorkPackages[[#This Row],[Actual labor hours]]-tblWorkPackages[[#This Row],[Calibrated forecast hours]]))</f>
        <v>2.59565217391305</v>
      </c>
      <c r="V2225" s="51">
        <f>IF(tblWorkPackages[[#This Row],[Time split]]="Train 2024",tblWorkPackages[[#This Row],[Estimated labor hours]],tblWorkPackages[[#This Row],[Calibrated forecast hours]])</f>
        <v>35.395652173913</v>
      </c>
      <c r="W2225" s="64">
        <f>DATEVALUE(tblWorkPackages[[#This Row],[Request date]])</f>
        <v>45948.0</v>
      </c>
      <c r="X2225" s="64">
        <f>DATEVALUE(tblWorkPackages[[#This Row],[Due date]])</f>
        <v>45961.0</v>
      </c>
      <c r="Y2225" s="64">
        <f>DATEVALUE(tblWorkPackages[[#This Row],[Completion date]])</f>
        <v>45957.0</v>
      </c>
      <c r="Z2225" s="64">
        <f>_xlfn.MINIFS(tblLaborEntries[Work date serial],tblLaborEntries[Work package ID],tblWorkPackages[[#This Row],[Work package ID]])</f>
        <v>45953.0</v>
      </c>
      <c r="AA2225" s="64">
        <f>_xlfn.MAXIFS(tblLaborEntries[Work date serial],tblLaborEntries[Work package ID],tblWorkPackages[[#This Row],[Work package ID]])</f>
        <v>45954.0</v>
      </c>
      <c r="AB2225" s="65">
        <f>IF(tblWorkPackages[[#This Row],[Completion date serial]]&gt;tblWorkPackages[[#This Row],[Due date serial]],1,0)</f>
        <v>0</v>
      </c>
      <c r="AC2225" s="65">
        <f>MAX(0,tblWorkPackages[[#This Row],[Completion date serial]]-tblWorkPackages[[#This Row],[Due date serial]])</f>
        <v>0</v>
      </c>
      <c r="AD2225" s="65">
        <f>tblWorkPackages[[#This Row],[First labor date]]-tblWorkPackages[[#This Row],[Request date serial]]</f>
        <v>5</v>
      </c>
      <c r="AE2225" s="65">
        <f>tblWorkPackages[[#This Row],[Last labor date]]-tblWorkPackages[[#This Row],[First labor date]]</f>
        <v>1</v>
      </c>
      <c r="AF2225" s="65">
        <f>tblWorkPackages[[#This Row],[Completion date serial]]-tblWorkPackages[[#This Row],[Last labor date]]</f>
        <v>3</v>
      </c>
      <c r="AG2225" s="65">
        <f>tblWorkPackages[[#This Row],[Completion date serial]]-tblWorkPackages[[#This Row],[Request date serial]]</f>
        <v>9</v>
      </c>
      <c r="AH2225" s="65">
        <f>IFERROR(INDEX(tblParts[Delay days],MATCH(tblWorkPackages[[#This Row],[Work package ID]],tblParts[Work package ID],0)),0)</f>
        <v>0</v>
      </c>
      <c r="AI2225" s="51" t="str">
        <f>IFERROR(INDEX(tblDisruptions[Event type],MATCH(tblWorkPackages[[#This Row],[Work package ID]],tblDisruptions[Work package ID],0)),"None")</f>
        <v>None</v>
      </c>
      <c r="AJ2225" s="51" t="str">
        <f>TEXT(tblWorkPackages[[#This Row],[Due date serial]],"yyyy-mm")</f>
        <v>2025-10</v>
      </c>
    </row>
    <row r="2226" spans="1:36" ht="15" x14ac:dyDescent="0.25">
      <c r="A2226" s="53" t="s">
        <v>3142</v>
      </c>
      <c r="B2226" s="53" t="s">
        <v>173</v>
      </c>
      <c r="C2226" s="53" t="s">
        <v>1299</v>
      </c>
      <c r="D2226" s="53" t="s">
        <v>1393</v>
      </c>
      <c r="E2226" s="53" t="s">
        <v>181</v>
      </c>
      <c r="F2226" s="53" t="s">
        <v>182</v>
      </c>
      <c r="G2226" s="53" t="s">
        <v>138</v>
      </c>
      <c r="H2226" s="53">
        <v>3</v>
      </c>
      <c r="I2226" s="53" t="s">
        <v>130</v>
      </c>
      <c r="J2226" s="53">
        <v>0</v>
      </c>
      <c r="K2226" s="53">
        <v>1</v>
      </c>
      <c r="L2226" s="53">
        <v>9.9</v>
      </c>
      <c r="M2226" s="53" t="s">
        <v>390</v>
      </c>
      <c r="N2226" s="53">
        <v>11</v>
      </c>
      <c r="O2226" s="51" t="str">
        <f>TEXT(tblWorkPackages[[#This Row],[Request date serial]]-WEEKDAY(tblWorkPackages[[#This Row],[Request date serial]],3),"yyyy-mm-dd")</f>
        <v>2024-07-15</v>
      </c>
      <c r="P2226" s="51">
        <f>ABS(tblWorkPackages[[#This Row],[Actual labor hours]]-tblWorkPackages[[#This Row],[Estimated labor hours]])</f>
        <v>1.1</v>
      </c>
      <c r="Q2226" s="51">
        <f>IF(tblWorkPackages[[#This Row],[Actual labor hours]]&gt;tblWorkPackages[[#This Row],[Estimated labor hours]],1,0)</f>
        <v>1</v>
      </c>
      <c r="R2226" s="51">
        <f>tblWorkPackages[[#This Row],[Actual labor hours]]-tblWorkPackages[[#This Row],[Estimated labor hours]]</f>
        <v>1.1</v>
      </c>
      <c r="S2226" s="51" t="str">
        <f>IF(tblWorkPackages[[#This Row],[Request date serial]]&lt;ValidationStart,"Train 2024",IF(tblWorkPackages[[#This Row],[Request date serial]]&lt;HoldoutStart,"Validation H1","Holdout H2"))</f>
        <v>Train 2024</v>
      </c>
      <c r="T2226" s="51" t="str">
        <f>IF(tblWorkPackages[[#This Row],[Time split]]="Train 2024","",tblWorkPackages[[#This Row],[Estimated labor hours]]+VLOOKUP(tblWorkPackages[[#This Row],[Task type]],'Forecast validation'!$A$14:$E$25,IF(tblWorkPackages[[#This Row],[Time split]]="Validation H1",4,5),FALSE()))</f>
        <v/>
      </c>
      <c r="U2226" s="51" t="str">
        <f>IF(tblWorkPackages[[#This Row],[Calibrated forecast hours]]="","",ABS(tblWorkPackages[[#This Row],[Actual labor hours]]-tblWorkPackages[[#This Row],[Calibrated forecast hours]]))</f>
        <v/>
      </c>
      <c r="V2226" s="51">
        <f>IF(tblWorkPackages[[#This Row],[Time split]]="Train 2024",tblWorkPackages[[#This Row],[Estimated labor hours]],tblWorkPackages[[#This Row],[Calibrated forecast hours]])</f>
        <v>9.9</v>
      </c>
      <c r="W2226" s="64">
        <f>DATEVALUE(tblWorkPackages[[#This Row],[Request date]])</f>
        <v>45493.0</v>
      </c>
      <c r="X2226" s="64">
        <f>DATEVALUE(tblWorkPackages[[#This Row],[Due date]])</f>
        <v>45506.0</v>
      </c>
      <c r="Y2226" s="64">
        <f>DATEVALUE(tblWorkPackages[[#This Row],[Completion date]])</f>
        <v>45497.0</v>
      </c>
      <c r="Z2226" s="64">
        <f>_xlfn.MINIFS(tblLaborEntries[Work date serial],tblLaborEntries[Work package ID],tblWorkPackages[[#This Row],[Work package ID]])</f>
        <v>45495.0</v>
      </c>
      <c r="AA2226" s="64">
        <f>_xlfn.MAXIFS(tblLaborEntries[Work date serial],tblLaborEntries[Work package ID],tblWorkPackages[[#This Row],[Work package ID]])</f>
        <v>45497.0</v>
      </c>
      <c r="AB2226" s="65">
        <f>IF(tblWorkPackages[[#This Row],[Completion date serial]]&gt;tblWorkPackages[[#This Row],[Due date serial]],1,0)</f>
        <v>0</v>
      </c>
      <c r="AC2226" s="65">
        <f>MAX(0,tblWorkPackages[[#This Row],[Completion date serial]]-tblWorkPackages[[#This Row],[Due date serial]])</f>
        <v>0</v>
      </c>
      <c r="AD2226" s="65">
        <f>tblWorkPackages[[#This Row],[First labor date]]-tblWorkPackages[[#This Row],[Request date serial]]</f>
        <v>2</v>
      </c>
      <c r="AE2226" s="65">
        <f>tblWorkPackages[[#This Row],[Last labor date]]-tblWorkPackages[[#This Row],[First labor date]]</f>
        <v>2</v>
      </c>
      <c r="AF2226" s="65">
        <f>tblWorkPackages[[#This Row],[Completion date serial]]-tblWorkPackages[[#This Row],[Last labor date]]</f>
        <v>0</v>
      </c>
      <c r="AG2226" s="65">
        <f>tblWorkPackages[[#This Row],[Completion date serial]]-tblWorkPackages[[#This Row],[Request date serial]]</f>
        <v>4</v>
      </c>
      <c r="AH2226" s="65">
        <f>IFERROR(INDEX(tblParts[Delay days],MATCH(tblWorkPackages[[#This Row],[Work package ID]],tblParts[Work package ID],0)),0)</f>
        <v>0</v>
      </c>
      <c r="AI2226" s="51" t="str">
        <f>IFERROR(INDEX(tblDisruptions[Event type],MATCH(tblWorkPackages[[#This Row],[Work package ID]],tblDisruptions[Work package ID],0)),"None")</f>
        <v>None</v>
      </c>
      <c r="AJ2226" s="51" t="str">
        <f>TEXT(tblWorkPackages[[#This Row],[Due date serial]],"yyyy-mm")</f>
        <v>2024-08</v>
      </c>
    </row>
    <row r="2227" spans="1:36" ht="15" x14ac:dyDescent="0.25">
      <c r="A2227" s="53" t="s">
        <v>3143</v>
      </c>
      <c r="B2227" s="53" t="s">
        <v>168</v>
      </c>
      <c r="C2227" s="53" t="s">
        <v>1192</v>
      </c>
      <c r="D2227" s="53" t="s">
        <v>2509</v>
      </c>
      <c r="E2227" s="53" t="s">
        <v>160</v>
      </c>
      <c r="F2227" s="53" t="s">
        <v>128</v>
      </c>
      <c r="G2227" s="53" t="s">
        <v>138</v>
      </c>
      <c r="H2227" s="53">
        <v>4</v>
      </c>
      <c r="I2227" s="53" t="s">
        <v>130</v>
      </c>
      <c r="J2227" s="53">
        <v>0</v>
      </c>
      <c r="K2227" s="53">
        <v>1</v>
      </c>
      <c r="L2227" s="53">
        <v>9.5</v>
      </c>
      <c r="M2227" s="53" t="s">
        <v>1081</v>
      </c>
      <c r="N2227" s="53">
        <v>11.2</v>
      </c>
      <c r="O2227" s="51" t="str">
        <f>TEXT(tblWorkPackages[[#This Row],[Request date serial]]-WEEKDAY(tblWorkPackages[[#This Row],[Request date serial]],3),"yyyy-mm-dd")</f>
        <v>2025-03-31</v>
      </c>
      <c r="P2227" s="51">
        <f>ABS(tblWorkPackages[[#This Row],[Actual labor hours]]-tblWorkPackages[[#This Row],[Estimated labor hours]])</f>
        <v>1.7</v>
      </c>
      <c r="Q2227" s="51">
        <f>IF(tblWorkPackages[[#This Row],[Actual labor hours]]&gt;tblWorkPackages[[#This Row],[Estimated labor hours]],1,0)</f>
        <v>1</v>
      </c>
      <c r="R2227" s="51">
        <f>tblWorkPackages[[#This Row],[Actual labor hours]]-tblWorkPackages[[#This Row],[Estimated labor hours]]</f>
        <v>1.7</v>
      </c>
      <c r="S2227" s="51" t="str">
        <f>IF(tblWorkPackages[[#This Row],[Request date serial]]&lt;ValidationStart,"Train 2024",IF(tblWorkPackages[[#This Row],[Request date serial]]&lt;HoldoutStart,"Validation H1","Holdout H2"))</f>
        <v>Validation H1</v>
      </c>
      <c r="T2227" s="51">
        <f>IF(tblWorkPackages[[#This Row],[Time split]]="Train 2024","",tblWorkPackages[[#This Row],[Estimated labor hours]]+VLOOKUP(tblWorkPackages[[#This Row],[Task type]],'Forecast validation'!$A$14:$E$25,IF(tblWorkPackages[[#This Row],[Time split]]="Validation H1",4,5),FALSE()))</f>
        <v>9.94146341463415</v>
      </c>
      <c r="U2227" s="51">
        <f>IF(tblWorkPackages[[#This Row],[Calibrated forecast hours]]="","",ABS(tblWorkPackages[[#This Row],[Actual labor hours]]-tblWorkPackages[[#This Row],[Calibrated forecast hours]]))</f>
        <v>1.25853658536585</v>
      </c>
      <c r="V2227" s="51">
        <f>IF(tblWorkPackages[[#This Row],[Time split]]="Train 2024",tblWorkPackages[[#This Row],[Estimated labor hours]],tblWorkPackages[[#This Row],[Calibrated forecast hours]])</f>
        <v>9.94146341463415</v>
      </c>
      <c r="W2227" s="64">
        <f>DATEVALUE(tblWorkPackages[[#This Row],[Request date]])</f>
        <v>45747.0</v>
      </c>
      <c r="X2227" s="64">
        <f>DATEVALUE(tblWorkPackages[[#This Row],[Due date]])</f>
        <v>45760.0</v>
      </c>
      <c r="Y2227" s="64">
        <f>DATEVALUE(tblWorkPackages[[#This Row],[Completion date]])</f>
        <v>45769.0</v>
      </c>
      <c r="Z2227" s="64">
        <f>_xlfn.MINIFS(tblLaborEntries[Work date serial],tblLaborEntries[Work package ID],tblWorkPackages[[#This Row],[Work package ID]])</f>
        <v>45767.0</v>
      </c>
      <c r="AA2227" s="64">
        <f>_xlfn.MAXIFS(tblLaborEntries[Work date serial],tblLaborEntries[Work package ID],tblWorkPackages[[#This Row],[Work package ID]])</f>
        <v>45768.0</v>
      </c>
      <c r="AB2227" s="65">
        <f>IF(tblWorkPackages[[#This Row],[Completion date serial]]&gt;tblWorkPackages[[#This Row],[Due date serial]],1,0)</f>
        <v>1</v>
      </c>
      <c r="AC2227" s="65">
        <f>MAX(0,tblWorkPackages[[#This Row],[Completion date serial]]-tblWorkPackages[[#This Row],[Due date serial]])</f>
        <v>9</v>
      </c>
      <c r="AD2227" s="65">
        <f>tblWorkPackages[[#This Row],[First labor date]]-tblWorkPackages[[#This Row],[Request date serial]]</f>
        <v>20</v>
      </c>
      <c r="AE2227" s="65">
        <f>tblWorkPackages[[#This Row],[Last labor date]]-tblWorkPackages[[#This Row],[First labor date]]</f>
        <v>1</v>
      </c>
      <c r="AF2227" s="65">
        <f>tblWorkPackages[[#This Row],[Completion date serial]]-tblWorkPackages[[#This Row],[Last labor date]]</f>
        <v>1</v>
      </c>
      <c r="AG2227" s="65">
        <f>tblWorkPackages[[#This Row],[Completion date serial]]-tblWorkPackages[[#This Row],[Request date serial]]</f>
        <v>22</v>
      </c>
      <c r="AH2227" s="65">
        <f>IFERROR(INDEX(tblParts[Delay days],MATCH(tblWorkPackages[[#This Row],[Work package ID]],tblParts[Work package ID],0)),0)</f>
        <v>7</v>
      </c>
      <c r="AI2227" s="51" t="str">
        <f>IFERROR(INDEX(tblDisruptions[Event type],MATCH(tblWorkPackages[[#This Row],[Work package ID]],tblDisruptions[Work package ID],0)),"None")</f>
        <v>Part delay</v>
      </c>
      <c r="AJ2227" s="51" t="str">
        <f>TEXT(tblWorkPackages[[#This Row],[Due date serial]],"yyyy-mm")</f>
        <v>2025-04</v>
      </c>
    </row>
    <row r="2228" spans="1:36" ht="15" x14ac:dyDescent="0.25">
      <c r="A2228" s="53" t="s">
        <v>3144</v>
      </c>
      <c r="B2228" s="53" t="s">
        <v>168</v>
      </c>
      <c r="C2228" s="53" t="s">
        <v>1012</v>
      </c>
      <c r="D2228" s="53" t="s">
        <v>885</v>
      </c>
      <c r="E2228" s="53" t="s">
        <v>181</v>
      </c>
      <c r="F2228" s="53" t="s">
        <v>182</v>
      </c>
      <c r="G2228" s="53" t="s">
        <v>138</v>
      </c>
      <c r="H2228" s="53">
        <v>3</v>
      </c>
      <c r="I2228" s="53" t="s">
        <v>130</v>
      </c>
      <c r="J2228" s="53">
        <v>0</v>
      </c>
      <c r="K2228" s="53">
        <v>0</v>
      </c>
      <c r="L2228" s="53">
        <v>10</v>
      </c>
      <c r="M2228" s="53" t="s">
        <v>492</v>
      </c>
      <c r="N2228" s="53">
        <v>12.1</v>
      </c>
      <c r="O2228" s="51" t="str">
        <f>TEXT(tblWorkPackages[[#This Row],[Request date serial]]-WEEKDAY(tblWorkPackages[[#This Row],[Request date serial]],3),"yyyy-mm-dd")</f>
        <v>2025-08-18</v>
      </c>
      <c r="P2228" s="51">
        <f>ABS(tblWorkPackages[[#This Row],[Actual labor hours]]-tblWorkPackages[[#This Row],[Estimated labor hours]])</f>
        <v>2.1</v>
      </c>
      <c r="Q2228" s="51">
        <f>IF(tblWorkPackages[[#This Row],[Actual labor hours]]&gt;tblWorkPackages[[#This Row],[Estimated labor hours]],1,0)</f>
        <v>1</v>
      </c>
      <c r="R2228" s="51">
        <f>tblWorkPackages[[#This Row],[Actual labor hours]]-tblWorkPackages[[#This Row],[Estimated labor hours]]</f>
        <v>2.1</v>
      </c>
      <c r="S2228" s="51" t="str">
        <f>IF(tblWorkPackages[[#This Row],[Request date serial]]&lt;ValidationStart,"Train 2024",IF(tblWorkPackages[[#This Row],[Request date serial]]&lt;HoldoutStart,"Validation H1","Holdout H2"))</f>
        <v>Holdout H2</v>
      </c>
      <c r="T2228" s="51">
        <f>IF(tblWorkPackages[[#This Row],[Time split]]="Train 2024","",tblWorkPackages[[#This Row],[Estimated labor hours]]+VLOOKUP(tblWorkPackages[[#This Row],[Task type]],'Forecast validation'!$A$14:$E$25,IF(tblWorkPackages[[#This Row],[Time split]]="Validation H1",4,5),FALSE()))</f>
        <v>10.5916083916084</v>
      </c>
      <c r="U2228" s="51">
        <f>IF(tblWorkPackages[[#This Row],[Calibrated forecast hours]]="","",ABS(tblWorkPackages[[#This Row],[Actual labor hours]]-tblWorkPackages[[#This Row],[Calibrated forecast hours]]))</f>
        <v>1.50839160839161</v>
      </c>
      <c r="V2228" s="51">
        <f>IF(tblWorkPackages[[#This Row],[Time split]]="Train 2024",tblWorkPackages[[#This Row],[Estimated labor hours]],tblWorkPackages[[#This Row],[Calibrated forecast hours]])</f>
        <v>10.5916083916084</v>
      </c>
      <c r="W2228" s="64">
        <f>DATEVALUE(tblWorkPackages[[#This Row],[Request date]])</f>
        <v>45888.0</v>
      </c>
      <c r="X2228" s="64">
        <f>DATEVALUE(tblWorkPackages[[#This Row],[Due date]])</f>
        <v>45901.0</v>
      </c>
      <c r="Y2228" s="64">
        <f>DATEVALUE(tblWorkPackages[[#This Row],[Completion date]])</f>
        <v>45894.0</v>
      </c>
      <c r="Z2228" s="64">
        <f>_xlfn.MINIFS(tblLaborEntries[Work date serial],tblLaborEntries[Work package ID],tblWorkPackages[[#This Row],[Work package ID]])</f>
        <v>45891.0</v>
      </c>
      <c r="AA2228" s="64">
        <f>_xlfn.MAXIFS(tblLaborEntries[Work date serial],tblLaborEntries[Work package ID],tblWorkPackages[[#This Row],[Work package ID]])</f>
        <v>45892.0</v>
      </c>
      <c r="AB2228" s="65">
        <f>IF(tblWorkPackages[[#This Row],[Completion date serial]]&gt;tblWorkPackages[[#This Row],[Due date serial]],1,0)</f>
        <v>0</v>
      </c>
      <c r="AC2228" s="65">
        <f>MAX(0,tblWorkPackages[[#This Row],[Completion date serial]]-tblWorkPackages[[#This Row],[Due date serial]])</f>
        <v>0</v>
      </c>
      <c r="AD2228" s="65">
        <f>tblWorkPackages[[#This Row],[First labor date]]-tblWorkPackages[[#This Row],[Request date serial]]</f>
        <v>3</v>
      </c>
      <c r="AE2228" s="65">
        <f>tblWorkPackages[[#This Row],[Last labor date]]-tblWorkPackages[[#This Row],[First labor date]]</f>
        <v>1</v>
      </c>
      <c r="AF2228" s="65">
        <f>tblWorkPackages[[#This Row],[Completion date serial]]-tblWorkPackages[[#This Row],[Last labor date]]</f>
        <v>2</v>
      </c>
      <c r="AG2228" s="65">
        <f>tblWorkPackages[[#This Row],[Completion date serial]]-tblWorkPackages[[#This Row],[Request date serial]]</f>
        <v>6</v>
      </c>
      <c r="AH2228" s="65">
        <f>IFERROR(INDEX(tblParts[Delay days],MATCH(tblWorkPackages[[#This Row],[Work package ID]],tblParts[Work package ID],0)),0)</f>
        <v>0</v>
      </c>
      <c r="AI2228" s="51" t="str">
        <f>IFERROR(INDEX(tblDisruptions[Event type],MATCH(tblWorkPackages[[#This Row],[Work package ID]],tblDisruptions[Work package ID],0)),"None")</f>
        <v>None</v>
      </c>
      <c r="AJ2228" s="51" t="str">
        <f>TEXT(tblWorkPackages[[#This Row],[Due date serial]],"yyyy-mm")</f>
        <v>2025-09</v>
      </c>
    </row>
    <row r="2229" spans="1:36" ht="15" x14ac:dyDescent="0.25">
      <c r="A2229" s="53" t="s">
        <v>3145</v>
      </c>
      <c r="B2229" s="53" t="s">
        <v>141</v>
      </c>
      <c r="C2229" s="53" t="s">
        <v>431</v>
      </c>
      <c r="D2229" s="53" t="s">
        <v>842</v>
      </c>
      <c r="E2229" s="53" t="s">
        <v>160</v>
      </c>
      <c r="F2229" s="53" t="s">
        <v>128</v>
      </c>
      <c r="G2229" s="53" t="s">
        <v>138</v>
      </c>
      <c r="H2229" s="53">
        <v>2</v>
      </c>
      <c r="I2229" s="53" t="s">
        <v>130</v>
      </c>
      <c r="J2229" s="53">
        <v>0</v>
      </c>
      <c r="K2229" s="53">
        <v>1</v>
      </c>
      <c r="L2229" s="53">
        <v>4.5</v>
      </c>
      <c r="M2229" s="53" t="s">
        <v>1178</v>
      </c>
      <c r="N2229" s="53">
        <v>5.6</v>
      </c>
      <c r="O2229" s="51" t="str">
        <f>TEXT(tblWorkPackages[[#This Row],[Request date serial]]-WEEKDAY(tblWorkPackages[[#This Row],[Request date serial]],3),"yyyy-mm-dd")</f>
        <v>2025-07-14</v>
      </c>
      <c r="P2229" s="51">
        <f>ABS(tblWorkPackages[[#This Row],[Actual labor hours]]-tblWorkPackages[[#This Row],[Estimated labor hours]])</f>
        <v>1.1</v>
      </c>
      <c r="Q2229" s="51">
        <f>IF(tblWorkPackages[[#This Row],[Actual labor hours]]&gt;tblWorkPackages[[#This Row],[Estimated labor hours]],1,0)</f>
        <v>1</v>
      </c>
      <c r="R2229" s="51">
        <f>tblWorkPackages[[#This Row],[Actual labor hours]]-tblWorkPackages[[#This Row],[Estimated labor hours]]</f>
        <v>1.1</v>
      </c>
      <c r="S2229" s="51" t="str">
        <f>IF(tblWorkPackages[[#This Row],[Request date serial]]&lt;ValidationStart,"Train 2024",IF(tblWorkPackages[[#This Row],[Request date serial]]&lt;HoldoutStart,"Validation H1","Holdout H2"))</f>
        <v>Holdout H2</v>
      </c>
      <c r="T2229" s="51">
        <f>IF(tblWorkPackages[[#This Row],[Time split]]="Train 2024","",tblWorkPackages[[#This Row],[Estimated labor hours]]+VLOOKUP(tblWorkPackages[[#This Row],[Task type]],'Forecast validation'!$A$14:$E$25,IF(tblWorkPackages[[#This Row],[Time split]]="Validation H1",4,5),FALSE()))</f>
        <v>4.93739837398374</v>
      </c>
      <c r="U2229" s="51">
        <f>IF(tblWorkPackages[[#This Row],[Calibrated forecast hours]]="","",ABS(tblWorkPackages[[#This Row],[Actual labor hours]]-tblWorkPackages[[#This Row],[Calibrated forecast hours]]))</f>
        <v>0.66260162601626</v>
      </c>
      <c r="V2229" s="51">
        <f>IF(tblWorkPackages[[#This Row],[Time split]]="Train 2024",tblWorkPackages[[#This Row],[Estimated labor hours]],tblWorkPackages[[#This Row],[Calibrated forecast hours]])</f>
        <v>4.93739837398374</v>
      </c>
      <c r="W2229" s="64">
        <f>DATEVALUE(tblWorkPackages[[#This Row],[Request date]])</f>
        <v>45852.0</v>
      </c>
      <c r="X2229" s="64">
        <f>DATEVALUE(tblWorkPackages[[#This Row],[Due date]])</f>
        <v>45865.0</v>
      </c>
      <c r="Y2229" s="64">
        <f>DATEVALUE(tblWorkPackages[[#This Row],[Completion date]])</f>
        <v>45919.0</v>
      </c>
      <c r="Z2229" s="64">
        <f>_xlfn.MINIFS(tblLaborEntries[Work date serial],tblLaborEntries[Work package ID],tblWorkPackages[[#This Row],[Work package ID]])</f>
        <v>45916.0</v>
      </c>
      <c r="AA2229" s="64">
        <f>_xlfn.MAXIFS(tblLaborEntries[Work date serial],tblLaborEntries[Work package ID],tblWorkPackages[[#This Row],[Work package ID]])</f>
        <v>45916.0</v>
      </c>
      <c r="AB2229" s="65">
        <f>IF(tblWorkPackages[[#This Row],[Completion date serial]]&gt;tblWorkPackages[[#This Row],[Due date serial]],1,0)</f>
        <v>1</v>
      </c>
      <c r="AC2229" s="65">
        <f>MAX(0,tblWorkPackages[[#This Row],[Completion date serial]]-tblWorkPackages[[#This Row],[Due date serial]])</f>
        <v>54</v>
      </c>
      <c r="AD2229" s="65">
        <f>tblWorkPackages[[#This Row],[First labor date]]-tblWorkPackages[[#This Row],[Request date serial]]</f>
        <v>64</v>
      </c>
      <c r="AE2229" s="65">
        <f>tblWorkPackages[[#This Row],[Last labor date]]-tblWorkPackages[[#This Row],[First labor date]]</f>
        <v>0</v>
      </c>
      <c r="AF2229" s="65">
        <f>tblWorkPackages[[#This Row],[Completion date serial]]-tblWorkPackages[[#This Row],[Last labor date]]</f>
        <v>3</v>
      </c>
      <c r="AG2229" s="65">
        <f>tblWorkPackages[[#This Row],[Completion date serial]]-tblWorkPackages[[#This Row],[Request date serial]]</f>
        <v>67</v>
      </c>
      <c r="AH2229" s="65">
        <f>IFERROR(INDEX(tblParts[Delay days],MATCH(tblWorkPackages[[#This Row],[Work package ID]],tblParts[Work package ID],0)),0)</f>
        <v>13</v>
      </c>
      <c r="AI2229" s="51" t="str">
        <f>IFERROR(INDEX(tblDisruptions[Event type],MATCH(tblWorkPackages[[#This Row],[Work package ID]],tblDisruptions[Work package ID],0)),"None")</f>
        <v>Part delay</v>
      </c>
      <c r="AJ2229" s="51" t="str">
        <f>TEXT(tblWorkPackages[[#This Row],[Due date serial]],"yyyy-mm")</f>
        <v>2025-07</v>
      </c>
    </row>
    <row r="2230" spans="1:36" ht="15" x14ac:dyDescent="0.25">
      <c r="A2230" s="53" t="s">
        <v>3146</v>
      </c>
      <c r="B2230" s="53" t="s">
        <v>124</v>
      </c>
      <c r="C2230" s="53" t="s">
        <v>291</v>
      </c>
      <c r="D2230" s="53" t="s">
        <v>353</v>
      </c>
      <c r="E2230" s="53" t="s">
        <v>200</v>
      </c>
      <c r="F2230" s="53" t="s">
        <v>128</v>
      </c>
      <c r="G2230" s="53" t="s">
        <v>129</v>
      </c>
      <c r="H2230" s="53">
        <v>3</v>
      </c>
      <c r="I2230" s="53" t="s">
        <v>176</v>
      </c>
      <c r="J2230" s="53">
        <v>0</v>
      </c>
      <c r="K2230" s="53">
        <v>0</v>
      </c>
      <c r="L2230" s="53">
        <v>4.5</v>
      </c>
      <c r="M2230" s="53" t="s">
        <v>827</v>
      </c>
      <c r="N2230" s="53">
        <v>5</v>
      </c>
      <c r="O2230" s="51" t="str">
        <f>TEXT(tblWorkPackages[[#This Row],[Request date serial]]-WEEKDAY(tblWorkPackages[[#This Row],[Request date serial]],3),"yyyy-mm-dd")</f>
        <v>2025-02-17</v>
      </c>
      <c r="P2230" s="51">
        <f>ABS(tblWorkPackages[[#This Row],[Actual labor hours]]-tblWorkPackages[[#This Row],[Estimated labor hours]])</f>
        <v>0.5</v>
      </c>
      <c r="Q2230" s="51">
        <f>IF(tblWorkPackages[[#This Row],[Actual labor hours]]&gt;tblWorkPackages[[#This Row],[Estimated labor hours]],1,0)</f>
        <v>1</v>
      </c>
      <c r="R2230" s="51">
        <f>tblWorkPackages[[#This Row],[Actual labor hours]]-tblWorkPackages[[#This Row],[Estimated labor hours]]</f>
        <v>0.5</v>
      </c>
      <c r="S2230" s="51" t="str">
        <f>IF(tblWorkPackages[[#This Row],[Request date serial]]&lt;ValidationStart,"Train 2024",IF(tblWorkPackages[[#This Row],[Request date serial]]&lt;HoldoutStart,"Validation H1","Holdout H2"))</f>
        <v>Validation H1</v>
      </c>
      <c r="T2230" s="51">
        <f>IF(tblWorkPackages[[#This Row],[Time split]]="Train 2024","",tblWorkPackages[[#This Row],[Estimated labor hours]]+VLOOKUP(tblWorkPackages[[#This Row],[Task type]],'Forecast validation'!$A$14:$E$25,IF(tblWorkPackages[[#This Row],[Time split]]="Validation H1",4,5),FALSE()))</f>
        <v>4.83069306930693</v>
      </c>
      <c r="U2230" s="51">
        <f>IF(tblWorkPackages[[#This Row],[Calibrated forecast hours]]="","",ABS(tblWorkPackages[[#This Row],[Actual labor hours]]-tblWorkPackages[[#This Row],[Calibrated forecast hours]]))</f>
        <v>0.169306930693069</v>
      </c>
      <c r="V2230" s="51">
        <f>IF(tblWorkPackages[[#This Row],[Time split]]="Train 2024",tblWorkPackages[[#This Row],[Estimated labor hours]],tblWorkPackages[[#This Row],[Calibrated forecast hours]])</f>
        <v>4.83069306930693</v>
      </c>
      <c r="W2230" s="64">
        <f>DATEVALUE(tblWorkPackages[[#This Row],[Request date]])</f>
        <v>45709.0</v>
      </c>
      <c r="X2230" s="64">
        <f>DATEVALUE(tblWorkPackages[[#This Row],[Due date]])</f>
        <v>45715.0</v>
      </c>
      <c r="Y2230" s="64">
        <f>DATEVALUE(tblWorkPackages[[#This Row],[Completion date]])</f>
        <v>45718.0</v>
      </c>
      <c r="Z2230" s="64">
        <f>_xlfn.MINIFS(tblLaborEntries[Work date serial],tblLaborEntries[Work package ID],tblWorkPackages[[#This Row],[Work package ID]])</f>
        <v>45717.0</v>
      </c>
      <c r="AA2230" s="64">
        <f>_xlfn.MAXIFS(tblLaborEntries[Work date serial],tblLaborEntries[Work package ID],tblWorkPackages[[#This Row],[Work package ID]])</f>
        <v>45718.0</v>
      </c>
      <c r="AB2230" s="65">
        <f>IF(tblWorkPackages[[#This Row],[Completion date serial]]&gt;tblWorkPackages[[#This Row],[Due date serial]],1,0)</f>
        <v>1</v>
      </c>
      <c r="AC2230" s="65">
        <f>MAX(0,tblWorkPackages[[#This Row],[Completion date serial]]-tblWorkPackages[[#This Row],[Due date serial]])</f>
        <v>3</v>
      </c>
      <c r="AD2230" s="65">
        <f>tblWorkPackages[[#This Row],[First labor date]]-tblWorkPackages[[#This Row],[Request date serial]]</f>
        <v>8</v>
      </c>
      <c r="AE2230" s="65">
        <f>tblWorkPackages[[#This Row],[Last labor date]]-tblWorkPackages[[#This Row],[First labor date]]</f>
        <v>1</v>
      </c>
      <c r="AF2230" s="65">
        <f>tblWorkPackages[[#This Row],[Completion date serial]]-tblWorkPackages[[#This Row],[Last labor date]]</f>
        <v>0</v>
      </c>
      <c r="AG2230" s="65">
        <f>tblWorkPackages[[#This Row],[Completion date serial]]-tblWorkPackages[[#This Row],[Request date serial]]</f>
        <v>9</v>
      </c>
      <c r="AH2230" s="65">
        <f>IFERROR(INDEX(tblParts[Delay days],MATCH(tblWorkPackages[[#This Row],[Work package ID]],tblParts[Work package ID],0)),0)</f>
        <v>0</v>
      </c>
      <c r="AI2230" s="51" t="str">
        <f>IFERROR(INDEX(tblDisruptions[Event type],MATCH(tblWorkPackages[[#This Row],[Work package ID]],tblDisruptions[Work package ID],0)),"None")</f>
        <v>Technician absence</v>
      </c>
      <c r="AJ2230" s="51" t="str">
        <f>TEXT(tblWorkPackages[[#This Row],[Due date serial]],"yyyy-mm")</f>
        <v>2025-02</v>
      </c>
    </row>
    <row r="2231" spans="1:36" ht="15" x14ac:dyDescent="0.25">
      <c r="A2231" s="53" t="s">
        <v>3147</v>
      </c>
      <c r="B2231" s="53" t="s">
        <v>203</v>
      </c>
      <c r="C2231" s="53" t="s">
        <v>484</v>
      </c>
      <c r="D2231" s="53" t="s">
        <v>485</v>
      </c>
      <c r="E2231" s="53" t="s">
        <v>136</v>
      </c>
      <c r="F2231" s="53" t="s">
        <v>137</v>
      </c>
      <c r="G2231" s="53" t="s">
        <v>138</v>
      </c>
      <c r="H2231" s="53">
        <v>4</v>
      </c>
      <c r="I2231" s="53" t="s">
        <v>130</v>
      </c>
      <c r="J2231" s="53">
        <v>0</v>
      </c>
      <c r="K2231" s="53">
        <v>1</v>
      </c>
      <c r="L2231" s="53">
        <v>24.3</v>
      </c>
      <c r="M2231" s="53" t="s">
        <v>892</v>
      </c>
      <c r="N2231" s="53">
        <v>27.2</v>
      </c>
      <c r="O2231" s="51" t="str">
        <f>TEXT(tblWorkPackages[[#This Row],[Request date serial]]-WEEKDAY(tblWorkPackages[[#This Row],[Request date serial]],3),"yyyy-mm-dd")</f>
        <v>2024-12-30</v>
      </c>
      <c r="P2231" s="51">
        <f>ABS(tblWorkPackages[[#This Row],[Actual labor hours]]-tblWorkPackages[[#This Row],[Estimated labor hours]])</f>
        <v>2.9</v>
      </c>
      <c r="Q2231" s="51">
        <f>IF(tblWorkPackages[[#This Row],[Actual labor hours]]&gt;tblWorkPackages[[#This Row],[Estimated labor hours]],1,0)</f>
        <v>1</v>
      </c>
      <c r="R2231" s="51">
        <f>tblWorkPackages[[#This Row],[Actual labor hours]]-tblWorkPackages[[#This Row],[Estimated labor hours]]</f>
        <v>2.9</v>
      </c>
      <c r="S2231" s="51" t="str">
        <f>IF(tblWorkPackages[[#This Row],[Request date serial]]&lt;ValidationStart,"Train 2024",IF(tblWorkPackages[[#This Row],[Request date serial]]&lt;HoldoutStart,"Validation H1","Holdout H2"))</f>
        <v>Validation H1</v>
      </c>
      <c r="T2231" s="51">
        <f>IF(tblWorkPackages[[#This Row],[Time split]]="Train 2024","",tblWorkPackages[[#This Row],[Estimated labor hours]]+VLOOKUP(tblWorkPackages[[#This Row],[Task type]],'Forecast validation'!$A$14:$E$25,IF(tblWorkPackages[[#This Row],[Time split]]="Validation H1",4,5),FALSE()))</f>
        <v>25.1765306122449</v>
      </c>
      <c r="U2231" s="51">
        <f>IF(tblWorkPackages[[#This Row],[Calibrated forecast hours]]="","",ABS(tblWorkPackages[[#This Row],[Actual labor hours]]-tblWorkPackages[[#This Row],[Calibrated forecast hours]]))</f>
        <v>2.0234693877551</v>
      </c>
      <c r="V2231" s="51">
        <f>IF(tblWorkPackages[[#This Row],[Time split]]="Train 2024",tblWorkPackages[[#This Row],[Estimated labor hours]],tblWorkPackages[[#This Row],[Calibrated forecast hours]])</f>
        <v>25.1765306122449</v>
      </c>
      <c r="W2231" s="64">
        <f>DATEVALUE(tblWorkPackages[[#This Row],[Request date]])</f>
        <v>45662.0</v>
      </c>
      <c r="X2231" s="64">
        <f>DATEVALUE(tblWorkPackages[[#This Row],[Due date]])</f>
        <v>45675.0</v>
      </c>
      <c r="Y2231" s="64">
        <f>DATEVALUE(tblWorkPackages[[#This Row],[Completion date]])</f>
        <v>45666.0</v>
      </c>
      <c r="Z2231" s="64">
        <f>_xlfn.MINIFS(tblLaborEntries[Work date serial],tblLaborEntries[Work package ID],tblWorkPackages[[#This Row],[Work package ID]])</f>
        <v>45664.0</v>
      </c>
      <c r="AA2231" s="64">
        <f>_xlfn.MAXIFS(tblLaborEntries[Work date serial],tblLaborEntries[Work package ID],tblWorkPackages[[#This Row],[Work package ID]])</f>
        <v>45665.0</v>
      </c>
      <c r="AB2231" s="65">
        <f>IF(tblWorkPackages[[#This Row],[Completion date serial]]&gt;tblWorkPackages[[#This Row],[Due date serial]],1,0)</f>
        <v>0</v>
      </c>
      <c r="AC2231" s="65">
        <f>MAX(0,tblWorkPackages[[#This Row],[Completion date serial]]-tblWorkPackages[[#This Row],[Due date serial]])</f>
        <v>0</v>
      </c>
      <c r="AD2231" s="65">
        <f>tblWorkPackages[[#This Row],[First labor date]]-tblWorkPackages[[#This Row],[Request date serial]]</f>
        <v>2</v>
      </c>
      <c r="AE2231" s="65">
        <f>tblWorkPackages[[#This Row],[Last labor date]]-tblWorkPackages[[#This Row],[First labor date]]</f>
        <v>1</v>
      </c>
      <c r="AF2231" s="65">
        <f>tblWorkPackages[[#This Row],[Completion date serial]]-tblWorkPackages[[#This Row],[Last labor date]]</f>
        <v>1</v>
      </c>
      <c r="AG2231" s="65">
        <f>tblWorkPackages[[#This Row],[Completion date serial]]-tblWorkPackages[[#This Row],[Request date serial]]</f>
        <v>4</v>
      </c>
      <c r="AH2231" s="65">
        <f>IFERROR(INDEX(tblParts[Delay days],MATCH(tblWorkPackages[[#This Row],[Work package ID]],tblParts[Work package ID],0)),0)</f>
        <v>0</v>
      </c>
      <c r="AI2231" s="51" t="str">
        <f>IFERROR(INDEX(tblDisruptions[Event type],MATCH(tblWorkPackages[[#This Row],[Work package ID]],tblDisruptions[Work package ID],0)),"None")</f>
        <v>None</v>
      </c>
      <c r="AJ2231" s="51" t="str">
        <f>TEXT(tblWorkPackages[[#This Row],[Due date serial]],"yyyy-mm")</f>
        <v>2025-01</v>
      </c>
    </row>
    <row r="2232" spans="1:36" ht="15" x14ac:dyDescent="0.25">
      <c r="A2232" s="53" t="s">
        <v>3148</v>
      </c>
      <c r="B2232" s="53" t="s">
        <v>124</v>
      </c>
      <c r="C2232" s="53" t="s">
        <v>779</v>
      </c>
      <c r="D2232" s="53" t="s">
        <v>1048</v>
      </c>
      <c r="E2232" s="53" t="s">
        <v>127</v>
      </c>
      <c r="F2232" s="53" t="s">
        <v>128</v>
      </c>
      <c r="G2232" s="53" t="s">
        <v>129</v>
      </c>
      <c r="H2232" s="53">
        <v>3</v>
      </c>
      <c r="I2232" s="53" t="s">
        <v>176</v>
      </c>
      <c r="J2232" s="53">
        <v>0</v>
      </c>
      <c r="K2232" s="53">
        <v>1</v>
      </c>
      <c r="L2232" s="53">
        <v>9.3000000000000007</v>
      </c>
      <c r="M2232" s="53" t="s">
        <v>3077</v>
      </c>
      <c r="N2232" s="53">
        <v>9.9</v>
      </c>
      <c r="O2232" s="51" t="str">
        <f>TEXT(tblWorkPackages[[#This Row],[Request date serial]]-WEEKDAY(tblWorkPackages[[#This Row],[Request date serial]],3),"yyyy-mm-dd")</f>
        <v>2025-12-22</v>
      </c>
      <c r="P2232" s="51">
        <f>ABS(tblWorkPackages[[#This Row],[Actual labor hours]]-tblWorkPackages[[#This Row],[Estimated labor hours]])</f>
        <v>0.6</v>
      </c>
      <c r="Q2232" s="51">
        <f>IF(tblWorkPackages[[#This Row],[Actual labor hours]]&gt;tblWorkPackages[[#This Row],[Estimated labor hours]],1,0)</f>
        <v>1</v>
      </c>
      <c r="R2232" s="51">
        <f>tblWorkPackages[[#This Row],[Actual labor hours]]-tblWorkPackages[[#This Row],[Estimated labor hours]]</f>
        <v>0.6</v>
      </c>
      <c r="S2232" s="51" t="str">
        <f>IF(tblWorkPackages[[#This Row],[Request date serial]]&lt;ValidationStart,"Train 2024",IF(tblWorkPackages[[#This Row],[Request date serial]]&lt;HoldoutStart,"Validation H1","Holdout H2"))</f>
        <v>Holdout H2</v>
      </c>
      <c r="T2232" s="51">
        <f>IF(tblWorkPackages[[#This Row],[Time split]]="Train 2024","",tblWorkPackages[[#This Row],[Estimated labor hours]]+VLOOKUP(tblWorkPackages[[#This Row],[Task type]],'Forecast validation'!$A$14:$E$25,IF(tblWorkPackages[[#This Row],[Time split]]="Validation H1",4,5),FALSE()))</f>
        <v>9.84341085271318</v>
      </c>
      <c r="U2232" s="51">
        <f>IF(tblWorkPackages[[#This Row],[Calibrated forecast hours]]="","",ABS(tblWorkPackages[[#This Row],[Actual labor hours]]-tblWorkPackages[[#This Row],[Calibrated forecast hours]]))</f>
        <v>0.0565891472868216</v>
      </c>
      <c r="V2232" s="51">
        <f>IF(tblWorkPackages[[#This Row],[Time split]]="Train 2024",tblWorkPackages[[#This Row],[Estimated labor hours]],tblWorkPackages[[#This Row],[Calibrated forecast hours]])</f>
        <v>9.84341085271318</v>
      </c>
      <c r="W2232" s="64">
        <f>DATEVALUE(tblWorkPackages[[#This Row],[Request date]])</f>
        <v>46018.0</v>
      </c>
      <c r="X2232" s="64">
        <f>DATEVALUE(tblWorkPackages[[#This Row],[Due date]])</f>
        <v>46024.0</v>
      </c>
      <c r="Y2232" s="64">
        <f>DATEVALUE(tblWorkPackages[[#This Row],[Completion date]])</f>
        <v>46040.0</v>
      </c>
      <c r="Z2232" s="64">
        <f>_xlfn.MINIFS(tblLaborEntries[Work date serial],tblLaborEntries[Work package ID],tblWorkPackages[[#This Row],[Work package ID]])</f>
        <v>46038.0</v>
      </c>
      <c r="AA2232" s="64">
        <f>_xlfn.MAXIFS(tblLaborEntries[Work date serial],tblLaborEntries[Work package ID],tblWorkPackages[[#This Row],[Work package ID]])</f>
        <v>46038.0</v>
      </c>
      <c r="AB2232" s="65">
        <f>IF(tblWorkPackages[[#This Row],[Completion date serial]]&gt;tblWorkPackages[[#This Row],[Due date serial]],1,0)</f>
        <v>1</v>
      </c>
      <c r="AC2232" s="65">
        <f>MAX(0,tblWorkPackages[[#This Row],[Completion date serial]]-tblWorkPackages[[#This Row],[Due date serial]])</f>
        <v>16</v>
      </c>
      <c r="AD2232" s="65">
        <f>tblWorkPackages[[#This Row],[First labor date]]-tblWorkPackages[[#This Row],[Request date serial]]</f>
        <v>20</v>
      </c>
      <c r="AE2232" s="65">
        <f>tblWorkPackages[[#This Row],[Last labor date]]-tblWorkPackages[[#This Row],[First labor date]]</f>
        <v>0</v>
      </c>
      <c r="AF2232" s="65">
        <f>tblWorkPackages[[#This Row],[Completion date serial]]-tblWorkPackages[[#This Row],[Last labor date]]</f>
        <v>2</v>
      </c>
      <c r="AG2232" s="65">
        <f>tblWorkPackages[[#This Row],[Completion date serial]]-tblWorkPackages[[#This Row],[Request date serial]]</f>
        <v>22</v>
      </c>
      <c r="AH2232" s="65">
        <f>IFERROR(INDEX(tblParts[Delay days],MATCH(tblWorkPackages[[#This Row],[Work package ID]],tblParts[Work package ID],0)),0)</f>
        <v>0</v>
      </c>
      <c r="AI2232" s="51" t="str">
        <f>IFERROR(INDEX(tblDisruptions[Event type],MATCH(tblWorkPackages[[#This Row],[Work package ID]],tblDisruptions[Work package ID],0)),"None")</f>
        <v>None</v>
      </c>
      <c r="AJ2232" s="51" t="str">
        <f>TEXT(tblWorkPackages[[#This Row],[Due date serial]],"yyyy-mm")</f>
        <v>2026-01</v>
      </c>
    </row>
    <row r="2233" spans="1:36" ht="15" x14ac:dyDescent="0.25">
      <c r="A2233" s="53" t="s">
        <v>3149</v>
      </c>
      <c r="B2233" s="53" t="s">
        <v>173</v>
      </c>
      <c r="C2233" s="53" t="s">
        <v>431</v>
      </c>
      <c r="D2233" s="53" t="s">
        <v>842</v>
      </c>
      <c r="E2233" s="53" t="s">
        <v>181</v>
      </c>
      <c r="F2233" s="53" t="s">
        <v>182</v>
      </c>
      <c r="G2233" s="53" t="s">
        <v>138</v>
      </c>
      <c r="H2233" s="53">
        <v>1</v>
      </c>
      <c r="I2233" s="53" t="s">
        <v>130</v>
      </c>
      <c r="J2233" s="53">
        <v>1</v>
      </c>
      <c r="K2233" s="53">
        <v>1</v>
      </c>
      <c r="L2233" s="53">
        <v>4.8</v>
      </c>
      <c r="M2233" s="53" t="s">
        <v>1504</v>
      </c>
      <c r="N2233" s="53">
        <v>5.3</v>
      </c>
      <c r="O2233" s="51" t="str">
        <f>TEXT(tblWorkPackages[[#This Row],[Request date serial]]-WEEKDAY(tblWorkPackages[[#This Row],[Request date serial]],3),"yyyy-mm-dd")</f>
        <v>2025-07-14</v>
      </c>
      <c r="P2233" s="51">
        <f>ABS(tblWorkPackages[[#This Row],[Actual labor hours]]-tblWorkPackages[[#This Row],[Estimated labor hours]])</f>
        <v>0.5</v>
      </c>
      <c r="Q2233" s="51">
        <f>IF(tblWorkPackages[[#This Row],[Actual labor hours]]&gt;tblWorkPackages[[#This Row],[Estimated labor hours]],1,0)</f>
        <v>1</v>
      </c>
      <c r="R2233" s="51">
        <f>tblWorkPackages[[#This Row],[Actual labor hours]]-tblWorkPackages[[#This Row],[Estimated labor hours]]</f>
        <v>0.5</v>
      </c>
      <c r="S2233" s="51" t="str">
        <f>IF(tblWorkPackages[[#This Row],[Request date serial]]&lt;ValidationStart,"Train 2024",IF(tblWorkPackages[[#This Row],[Request date serial]]&lt;HoldoutStart,"Validation H1","Holdout H2"))</f>
        <v>Holdout H2</v>
      </c>
      <c r="T2233" s="51">
        <f>IF(tblWorkPackages[[#This Row],[Time split]]="Train 2024","",tblWorkPackages[[#This Row],[Estimated labor hours]]+VLOOKUP(tblWorkPackages[[#This Row],[Task type]],'Forecast validation'!$A$14:$E$25,IF(tblWorkPackages[[#This Row],[Time split]]="Validation H1",4,5),FALSE()))</f>
        <v>5.39160839160839</v>
      </c>
      <c r="U2233" s="51">
        <f>IF(tblWorkPackages[[#This Row],[Calibrated forecast hours]]="","",ABS(tblWorkPackages[[#This Row],[Actual labor hours]]-tblWorkPackages[[#This Row],[Calibrated forecast hours]]))</f>
        <v>0.0916083916083919</v>
      </c>
      <c r="V2233" s="51">
        <f>IF(tblWorkPackages[[#This Row],[Time split]]="Train 2024",tblWorkPackages[[#This Row],[Estimated labor hours]],tblWorkPackages[[#This Row],[Calibrated forecast hours]])</f>
        <v>5.39160839160839</v>
      </c>
      <c r="W2233" s="64">
        <f>DATEVALUE(tblWorkPackages[[#This Row],[Request date]])</f>
        <v>45852.0</v>
      </c>
      <c r="X2233" s="64">
        <f>DATEVALUE(tblWorkPackages[[#This Row],[Due date]])</f>
        <v>45865.0</v>
      </c>
      <c r="Y2233" s="64">
        <f>DATEVALUE(tblWorkPackages[[#This Row],[Completion date]])</f>
        <v>45861.0</v>
      </c>
      <c r="Z2233" s="64">
        <f>_xlfn.MINIFS(tblLaborEntries[Work date serial],tblLaborEntries[Work package ID],tblWorkPackages[[#This Row],[Work package ID]])</f>
        <v>45856.0</v>
      </c>
      <c r="AA2233" s="64">
        <f>_xlfn.MAXIFS(tblLaborEntries[Work date serial],tblLaborEntries[Work package ID],tblWorkPackages[[#This Row],[Work package ID]])</f>
        <v>45858.0</v>
      </c>
      <c r="AB2233" s="65">
        <f>IF(tblWorkPackages[[#This Row],[Completion date serial]]&gt;tblWorkPackages[[#This Row],[Due date serial]],1,0)</f>
        <v>0</v>
      </c>
      <c r="AC2233" s="65">
        <f>MAX(0,tblWorkPackages[[#This Row],[Completion date serial]]-tblWorkPackages[[#This Row],[Due date serial]])</f>
        <v>0</v>
      </c>
      <c r="AD2233" s="65">
        <f>tblWorkPackages[[#This Row],[First labor date]]-tblWorkPackages[[#This Row],[Request date serial]]</f>
        <v>4</v>
      </c>
      <c r="AE2233" s="65">
        <f>tblWorkPackages[[#This Row],[Last labor date]]-tblWorkPackages[[#This Row],[First labor date]]</f>
        <v>2</v>
      </c>
      <c r="AF2233" s="65">
        <f>tblWorkPackages[[#This Row],[Completion date serial]]-tblWorkPackages[[#This Row],[Last labor date]]</f>
        <v>3</v>
      </c>
      <c r="AG2233" s="65">
        <f>tblWorkPackages[[#This Row],[Completion date serial]]-tblWorkPackages[[#This Row],[Request date serial]]</f>
        <v>9</v>
      </c>
      <c r="AH2233" s="65">
        <f>IFERROR(INDEX(tblParts[Delay days],MATCH(tblWorkPackages[[#This Row],[Work package ID]],tblParts[Work package ID],0)),0)</f>
        <v>0</v>
      </c>
      <c r="AI2233" s="51" t="str">
        <f>IFERROR(INDEX(tblDisruptions[Event type],MATCH(tblWorkPackages[[#This Row],[Work package ID]],tblDisruptions[Work package ID],0)),"None")</f>
        <v>None</v>
      </c>
      <c r="AJ2233" s="51" t="str">
        <f>TEXT(tblWorkPackages[[#This Row],[Due date serial]],"yyyy-mm")</f>
        <v>2025-07</v>
      </c>
    </row>
    <row r="2234" spans="1:36" ht="15" x14ac:dyDescent="0.25">
      <c r="A2234" s="53" t="s">
        <v>3150</v>
      </c>
      <c r="B2234" s="53" t="s">
        <v>185</v>
      </c>
      <c r="C2234" s="53" t="s">
        <v>794</v>
      </c>
      <c r="D2234" s="53" t="s">
        <v>1038</v>
      </c>
      <c r="E2234" s="53" t="s">
        <v>153</v>
      </c>
      <c r="F2234" s="53" t="s">
        <v>128</v>
      </c>
      <c r="G2234" s="53" t="s">
        <v>154</v>
      </c>
      <c r="H2234" s="53">
        <v>4</v>
      </c>
      <c r="I2234" s="53" t="s">
        <v>130</v>
      </c>
      <c r="J2234" s="53">
        <v>1</v>
      </c>
      <c r="K2234" s="53">
        <v>0</v>
      </c>
      <c r="L2234" s="53">
        <v>16.5</v>
      </c>
      <c r="M2234" s="53" t="s">
        <v>599</v>
      </c>
      <c r="N2234" s="53">
        <v>24.1</v>
      </c>
      <c r="O2234" s="51" t="str">
        <f>TEXT(tblWorkPackages[[#This Row],[Request date serial]]-WEEKDAY(tblWorkPackages[[#This Row],[Request date serial]],3),"yyyy-mm-dd")</f>
        <v>2024-11-11</v>
      </c>
      <c r="P2234" s="51">
        <f>ABS(tblWorkPackages[[#This Row],[Actual labor hours]]-tblWorkPackages[[#This Row],[Estimated labor hours]])</f>
        <v>7.6</v>
      </c>
      <c r="Q2234" s="51">
        <f>IF(tblWorkPackages[[#This Row],[Actual labor hours]]&gt;tblWorkPackages[[#This Row],[Estimated labor hours]],1,0)</f>
        <v>1</v>
      </c>
      <c r="R2234" s="51">
        <f>tblWorkPackages[[#This Row],[Actual labor hours]]-tblWorkPackages[[#This Row],[Estimated labor hours]]</f>
        <v>7.6</v>
      </c>
      <c r="S2234" s="51" t="str">
        <f>IF(tblWorkPackages[[#This Row],[Request date serial]]&lt;ValidationStart,"Train 2024",IF(tblWorkPackages[[#This Row],[Request date serial]]&lt;HoldoutStart,"Validation H1","Holdout H2"))</f>
        <v>Train 2024</v>
      </c>
      <c r="T2234" s="51" t="str">
        <f>IF(tblWorkPackages[[#This Row],[Time split]]="Train 2024","",tblWorkPackages[[#This Row],[Estimated labor hours]]+VLOOKUP(tblWorkPackages[[#This Row],[Task type]],'Forecast validation'!$A$14:$E$25,IF(tblWorkPackages[[#This Row],[Time split]]="Validation H1",4,5),FALSE()))</f>
        <v/>
      </c>
      <c r="U2234" s="51" t="str">
        <f>IF(tblWorkPackages[[#This Row],[Calibrated forecast hours]]="","",ABS(tblWorkPackages[[#This Row],[Actual labor hours]]-tblWorkPackages[[#This Row],[Calibrated forecast hours]]))</f>
        <v/>
      </c>
      <c r="V2234" s="51">
        <f>IF(tblWorkPackages[[#This Row],[Time split]]="Train 2024",tblWorkPackages[[#This Row],[Estimated labor hours]],tblWorkPackages[[#This Row],[Calibrated forecast hours]])</f>
        <v>16.5</v>
      </c>
      <c r="W2234" s="64">
        <f>DATEVALUE(tblWorkPackages[[#This Row],[Request date]])</f>
        <v>45610.0</v>
      </c>
      <c r="X2234" s="64">
        <f>DATEVALUE(tblWorkPackages[[#This Row],[Due date]])</f>
        <v>45623.0</v>
      </c>
      <c r="Y2234" s="64">
        <f>DATEVALUE(tblWorkPackages[[#This Row],[Completion date]])</f>
        <v>45612.0</v>
      </c>
      <c r="Z2234" s="64">
        <f>_xlfn.MINIFS(tblLaborEntries[Work date serial],tblLaborEntries[Work package ID],tblWorkPackages[[#This Row],[Work package ID]])</f>
        <v>45611.0</v>
      </c>
      <c r="AA2234" s="64">
        <f>_xlfn.MAXIFS(tblLaborEntries[Work date serial],tblLaborEntries[Work package ID],tblWorkPackages[[#This Row],[Work package ID]])</f>
        <v>45612.0</v>
      </c>
      <c r="AB2234" s="65">
        <f>IF(tblWorkPackages[[#This Row],[Completion date serial]]&gt;tblWorkPackages[[#This Row],[Due date serial]],1,0)</f>
        <v>0</v>
      </c>
      <c r="AC2234" s="65">
        <f>MAX(0,tblWorkPackages[[#This Row],[Completion date serial]]-tblWorkPackages[[#This Row],[Due date serial]])</f>
        <v>0</v>
      </c>
      <c r="AD2234" s="65">
        <f>tblWorkPackages[[#This Row],[First labor date]]-tblWorkPackages[[#This Row],[Request date serial]]</f>
        <v>1</v>
      </c>
      <c r="AE2234" s="65">
        <f>tblWorkPackages[[#This Row],[Last labor date]]-tblWorkPackages[[#This Row],[First labor date]]</f>
        <v>1</v>
      </c>
      <c r="AF2234" s="65">
        <f>tblWorkPackages[[#This Row],[Completion date serial]]-tblWorkPackages[[#This Row],[Last labor date]]</f>
        <v>0</v>
      </c>
      <c r="AG2234" s="65">
        <f>tblWorkPackages[[#This Row],[Completion date serial]]-tblWorkPackages[[#This Row],[Request date serial]]</f>
        <v>2</v>
      </c>
      <c r="AH2234" s="65">
        <f>IFERROR(INDEX(tblParts[Delay days],MATCH(tblWorkPackages[[#This Row],[Work package ID]],tblParts[Work package ID],0)),0)</f>
        <v>0</v>
      </c>
      <c r="AI2234" s="51" t="str">
        <f>IFERROR(INDEX(tblDisruptions[Event type],MATCH(tblWorkPackages[[#This Row],[Work package ID]],tblDisruptions[Work package ID],0)),"None")</f>
        <v>None</v>
      </c>
      <c r="AJ2234" s="51" t="str">
        <f>TEXT(tblWorkPackages[[#This Row],[Due date serial]],"yyyy-mm")</f>
        <v>2024-11</v>
      </c>
    </row>
    <row r="2235" spans="1:36" ht="15" x14ac:dyDescent="0.25">
      <c r="A2235" s="53" t="s">
        <v>3151</v>
      </c>
      <c r="B2235" s="53" t="s">
        <v>250</v>
      </c>
      <c r="C2235" s="53" t="s">
        <v>466</v>
      </c>
      <c r="D2235" s="53" t="s">
        <v>1218</v>
      </c>
      <c r="E2235" s="53" t="s">
        <v>223</v>
      </c>
      <c r="F2235" s="53" t="s">
        <v>182</v>
      </c>
      <c r="G2235" s="53" t="s">
        <v>154</v>
      </c>
      <c r="H2235" s="53">
        <v>2</v>
      </c>
      <c r="I2235" s="53" t="s">
        <v>130</v>
      </c>
      <c r="J2235" s="53">
        <v>0</v>
      </c>
      <c r="K2235" s="53">
        <v>1</v>
      </c>
      <c r="L2235" s="53">
        <v>13.5</v>
      </c>
      <c r="M2235" s="53" t="s">
        <v>2509</v>
      </c>
      <c r="N2235" s="53">
        <v>15.8</v>
      </c>
      <c r="O2235" s="51" t="str">
        <f>TEXT(tblWorkPackages[[#This Row],[Request date serial]]-WEEKDAY(tblWorkPackages[[#This Row],[Request date serial]],3),"yyyy-mm-dd")</f>
        <v>2025-03-24</v>
      </c>
      <c r="P2235" s="51">
        <f>ABS(tblWorkPackages[[#This Row],[Actual labor hours]]-tblWorkPackages[[#This Row],[Estimated labor hours]])</f>
        <v>2.3</v>
      </c>
      <c r="Q2235" s="51">
        <f>IF(tblWorkPackages[[#This Row],[Actual labor hours]]&gt;tblWorkPackages[[#This Row],[Estimated labor hours]],1,0)</f>
        <v>1</v>
      </c>
      <c r="R2235" s="51">
        <f>tblWorkPackages[[#This Row],[Actual labor hours]]-tblWorkPackages[[#This Row],[Estimated labor hours]]</f>
        <v>2.3</v>
      </c>
      <c r="S2235" s="51" t="str">
        <f>IF(tblWorkPackages[[#This Row],[Request date serial]]&lt;ValidationStart,"Train 2024",IF(tblWorkPackages[[#This Row],[Request date serial]]&lt;HoldoutStart,"Validation H1","Holdout H2"))</f>
        <v>Validation H1</v>
      </c>
      <c r="T2235" s="51">
        <f>IF(tblWorkPackages[[#This Row],[Time split]]="Train 2024","",tblWorkPackages[[#This Row],[Estimated labor hours]]+VLOOKUP(tblWorkPackages[[#This Row],[Task type]],'Forecast validation'!$A$14:$E$25,IF(tblWorkPackages[[#This Row],[Time split]]="Validation H1",4,5),FALSE()))</f>
        <v>14.3824175824176</v>
      </c>
      <c r="U2235" s="51">
        <f>IF(tblWorkPackages[[#This Row],[Calibrated forecast hours]]="","",ABS(tblWorkPackages[[#This Row],[Actual labor hours]]-tblWorkPackages[[#This Row],[Calibrated forecast hours]]))</f>
        <v>1.41758241758242</v>
      </c>
      <c r="V2235" s="51">
        <f>IF(tblWorkPackages[[#This Row],[Time split]]="Train 2024",tblWorkPackages[[#This Row],[Estimated labor hours]],tblWorkPackages[[#This Row],[Calibrated forecast hours]])</f>
        <v>14.3824175824176</v>
      </c>
      <c r="W2235" s="64">
        <f>DATEVALUE(tblWorkPackages[[#This Row],[Request date]])</f>
        <v>45746.0</v>
      </c>
      <c r="X2235" s="64">
        <f>DATEVALUE(tblWorkPackages[[#This Row],[Due date]])</f>
        <v>45759.0</v>
      </c>
      <c r="Y2235" s="64">
        <f>DATEVALUE(tblWorkPackages[[#This Row],[Completion date]])</f>
        <v>45760.0</v>
      </c>
      <c r="Z2235" s="64">
        <f>_xlfn.MINIFS(tblLaborEntries[Work date serial],tblLaborEntries[Work package ID],tblWorkPackages[[#This Row],[Work package ID]])</f>
        <v>45757.0</v>
      </c>
      <c r="AA2235" s="64">
        <f>_xlfn.MAXIFS(tblLaborEntries[Work date serial],tblLaborEntries[Work package ID],tblWorkPackages[[#This Row],[Work package ID]])</f>
        <v>45759.0</v>
      </c>
      <c r="AB2235" s="65">
        <f>IF(tblWorkPackages[[#This Row],[Completion date serial]]&gt;tblWorkPackages[[#This Row],[Due date serial]],1,0)</f>
        <v>1</v>
      </c>
      <c r="AC2235" s="65">
        <f>MAX(0,tblWorkPackages[[#This Row],[Completion date serial]]-tblWorkPackages[[#This Row],[Due date serial]])</f>
        <v>1</v>
      </c>
      <c r="AD2235" s="65">
        <f>tblWorkPackages[[#This Row],[First labor date]]-tblWorkPackages[[#This Row],[Request date serial]]</f>
        <v>11</v>
      </c>
      <c r="AE2235" s="65">
        <f>tblWorkPackages[[#This Row],[Last labor date]]-tblWorkPackages[[#This Row],[First labor date]]</f>
        <v>2</v>
      </c>
      <c r="AF2235" s="65">
        <f>tblWorkPackages[[#This Row],[Completion date serial]]-tblWorkPackages[[#This Row],[Last labor date]]</f>
        <v>1</v>
      </c>
      <c r="AG2235" s="65">
        <f>tblWorkPackages[[#This Row],[Completion date serial]]-tblWorkPackages[[#This Row],[Request date serial]]</f>
        <v>14</v>
      </c>
      <c r="AH2235" s="65">
        <f>IFERROR(INDEX(tblParts[Delay days],MATCH(tblWorkPackages[[#This Row],[Work package ID]],tblParts[Work package ID],0)),0)</f>
        <v>0</v>
      </c>
      <c r="AI2235" s="51" t="str">
        <f>IFERROR(INDEX(tblDisruptions[Event type],MATCH(tblWorkPackages[[#This Row],[Work package ID]],tblDisruptions[Work package ID],0)),"None")</f>
        <v>None</v>
      </c>
      <c r="AJ2235" s="51" t="str">
        <f>TEXT(tblWorkPackages[[#This Row],[Due date serial]],"yyyy-mm")</f>
        <v>2025-04</v>
      </c>
    </row>
    <row r="2236" spans="1:36" ht="15" x14ac:dyDescent="0.25">
      <c r="A2236" s="53" t="s">
        <v>3152</v>
      </c>
      <c r="B2236" s="53" t="s">
        <v>173</v>
      </c>
      <c r="C2236" s="53" t="s">
        <v>373</v>
      </c>
      <c r="D2236" s="53" t="s">
        <v>381</v>
      </c>
      <c r="E2236" s="53" t="s">
        <v>272</v>
      </c>
      <c r="F2236" s="53" t="s">
        <v>145</v>
      </c>
      <c r="G2236" s="53" t="s">
        <v>273</v>
      </c>
      <c r="H2236" s="53">
        <v>1</v>
      </c>
      <c r="I2236" s="53" t="s">
        <v>130</v>
      </c>
      <c r="J2236" s="53">
        <v>0</v>
      </c>
      <c r="K2236" s="53">
        <v>0</v>
      </c>
      <c r="L2236" s="53">
        <v>6.3</v>
      </c>
      <c r="M2236" s="53" t="s">
        <v>724</v>
      </c>
      <c r="N2236" s="53">
        <v>7.9</v>
      </c>
      <c r="O2236" s="51" t="str">
        <f>TEXT(tblWorkPackages[[#This Row],[Request date serial]]-WEEKDAY(tblWorkPackages[[#This Row],[Request date serial]],3),"yyyy-mm-dd")</f>
        <v>2024-10-07</v>
      </c>
      <c r="P2236" s="51">
        <f>ABS(tblWorkPackages[[#This Row],[Actual labor hours]]-tblWorkPackages[[#This Row],[Estimated labor hours]])</f>
        <v>1.6</v>
      </c>
      <c r="Q2236" s="51">
        <f>IF(tblWorkPackages[[#This Row],[Actual labor hours]]&gt;tblWorkPackages[[#This Row],[Estimated labor hours]],1,0)</f>
        <v>1</v>
      </c>
      <c r="R2236" s="51">
        <f>tblWorkPackages[[#This Row],[Actual labor hours]]-tblWorkPackages[[#This Row],[Estimated labor hours]]</f>
        <v>1.6</v>
      </c>
      <c r="S2236" s="51" t="str">
        <f>IF(tblWorkPackages[[#This Row],[Request date serial]]&lt;ValidationStart,"Train 2024",IF(tblWorkPackages[[#This Row],[Request date serial]]&lt;HoldoutStart,"Validation H1","Holdout H2"))</f>
        <v>Train 2024</v>
      </c>
      <c r="T2236" s="51" t="str">
        <f>IF(tblWorkPackages[[#This Row],[Time split]]="Train 2024","",tblWorkPackages[[#This Row],[Estimated labor hours]]+VLOOKUP(tblWorkPackages[[#This Row],[Task type]],'Forecast validation'!$A$14:$E$25,IF(tblWorkPackages[[#This Row],[Time split]]="Validation H1",4,5),FALSE()))</f>
        <v/>
      </c>
      <c r="U2236" s="51" t="str">
        <f>IF(tblWorkPackages[[#This Row],[Calibrated forecast hours]]="","",ABS(tblWorkPackages[[#This Row],[Actual labor hours]]-tblWorkPackages[[#This Row],[Calibrated forecast hours]]))</f>
        <v/>
      </c>
      <c r="V2236" s="51">
        <f>IF(tblWorkPackages[[#This Row],[Time split]]="Train 2024",tblWorkPackages[[#This Row],[Estimated labor hours]],tblWorkPackages[[#This Row],[Calibrated forecast hours]])</f>
        <v>6.3</v>
      </c>
      <c r="W2236" s="64">
        <f>DATEVALUE(tblWorkPackages[[#This Row],[Request date]])</f>
        <v>45575.0</v>
      </c>
      <c r="X2236" s="64">
        <f>DATEVALUE(tblWorkPackages[[#This Row],[Due date]])</f>
        <v>45588.0</v>
      </c>
      <c r="Y2236" s="64">
        <f>DATEVALUE(tblWorkPackages[[#This Row],[Completion date]])</f>
        <v>45581.0</v>
      </c>
      <c r="Z2236" s="64">
        <f>_xlfn.MINIFS(tblLaborEntries[Work date serial],tblLaborEntries[Work package ID],tblWorkPackages[[#This Row],[Work package ID]])</f>
        <v>45578.0</v>
      </c>
      <c r="AA2236" s="64">
        <f>_xlfn.MAXIFS(tblLaborEntries[Work date serial],tblLaborEntries[Work package ID],tblWorkPackages[[#This Row],[Work package ID]])</f>
        <v>45579.0</v>
      </c>
      <c r="AB2236" s="65">
        <f>IF(tblWorkPackages[[#This Row],[Completion date serial]]&gt;tblWorkPackages[[#This Row],[Due date serial]],1,0)</f>
        <v>0</v>
      </c>
      <c r="AC2236" s="65">
        <f>MAX(0,tblWorkPackages[[#This Row],[Completion date serial]]-tblWorkPackages[[#This Row],[Due date serial]])</f>
        <v>0</v>
      </c>
      <c r="AD2236" s="65">
        <f>tblWorkPackages[[#This Row],[First labor date]]-tblWorkPackages[[#This Row],[Request date serial]]</f>
        <v>3</v>
      </c>
      <c r="AE2236" s="65">
        <f>tblWorkPackages[[#This Row],[Last labor date]]-tblWorkPackages[[#This Row],[First labor date]]</f>
        <v>1</v>
      </c>
      <c r="AF2236" s="65">
        <f>tblWorkPackages[[#This Row],[Completion date serial]]-tblWorkPackages[[#This Row],[Last labor date]]</f>
        <v>2</v>
      </c>
      <c r="AG2236" s="65">
        <f>tblWorkPackages[[#This Row],[Completion date serial]]-tblWorkPackages[[#This Row],[Request date serial]]</f>
        <v>6</v>
      </c>
      <c r="AH2236" s="65">
        <f>IFERROR(INDEX(tblParts[Delay days],MATCH(tblWorkPackages[[#This Row],[Work package ID]],tblParts[Work package ID],0)),0)</f>
        <v>0</v>
      </c>
      <c r="AI2236" s="51" t="str">
        <f>IFERROR(INDEX(tblDisruptions[Event type],MATCH(tblWorkPackages[[#This Row],[Work package ID]],tblDisruptions[Work package ID],0)),"None")</f>
        <v>None</v>
      </c>
      <c r="AJ2236" s="51" t="str">
        <f>TEXT(tblWorkPackages[[#This Row],[Due date serial]],"yyyy-mm")</f>
        <v>2024-10</v>
      </c>
    </row>
    <row r="2237" spans="1:36" ht="15" x14ac:dyDescent="0.25">
      <c r="A2237" s="53" t="s">
        <v>3153</v>
      </c>
      <c r="B2237" s="53" t="s">
        <v>168</v>
      </c>
      <c r="C2237" s="53" t="s">
        <v>642</v>
      </c>
      <c r="D2237" s="53" t="s">
        <v>525</v>
      </c>
      <c r="E2237" s="53" t="s">
        <v>153</v>
      </c>
      <c r="F2237" s="53" t="s">
        <v>128</v>
      </c>
      <c r="G2237" s="53" t="s">
        <v>154</v>
      </c>
      <c r="H2237" s="53">
        <v>3</v>
      </c>
      <c r="I2237" s="53" t="s">
        <v>130</v>
      </c>
      <c r="J2237" s="53">
        <v>0</v>
      </c>
      <c r="K2237" s="53">
        <v>0</v>
      </c>
      <c r="L2237" s="53">
        <v>13.3</v>
      </c>
      <c r="M2237" s="53" t="s">
        <v>1735</v>
      </c>
      <c r="N2237" s="53">
        <v>12.4</v>
      </c>
      <c r="O2237" s="51" t="str">
        <f>TEXT(tblWorkPackages[[#This Row],[Request date serial]]-WEEKDAY(tblWorkPackages[[#This Row],[Request date serial]],3),"yyyy-mm-dd")</f>
        <v>2024-07-15</v>
      </c>
      <c r="P2237" s="51">
        <f>ABS(tblWorkPackages[[#This Row],[Actual labor hours]]-tblWorkPackages[[#This Row],[Estimated labor hours]])</f>
        <v>0.9</v>
      </c>
      <c r="Q2237" s="51">
        <f>IF(tblWorkPackages[[#This Row],[Actual labor hours]]&gt;tblWorkPackages[[#This Row],[Estimated labor hours]],1,0)</f>
        <v>0</v>
      </c>
      <c r="R2237" s="51">
        <f>tblWorkPackages[[#This Row],[Actual labor hours]]-tblWorkPackages[[#This Row],[Estimated labor hours]]</f>
        <v>-0.9</v>
      </c>
      <c r="S2237" s="51" t="str">
        <f>IF(tblWorkPackages[[#This Row],[Request date serial]]&lt;ValidationStart,"Train 2024",IF(tblWorkPackages[[#This Row],[Request date serial]]&lt;HoldoutStart,"Validation H1","Holdout H2"))</f>
        <v>Train 2024</v>
      </c>
      <c r="T2237" s="51" t="str">
        <f>IF(tblWorkPackages[[#This Row],[Time split]]="Train 2024","",tblWorkPackages[[#This Row],[Estimated labor hours]]+VLOOKUP(tblWorkPackages[[#This Row],[Task type]],'Forecast validation'!$A$14:$E$25,IF(tblWorkPackages[[#This Row],[Time split]]="Validation H1",4,5),FALSE()))</f>
        <v/>
      </c>
      <c r="U2237" s="51" t="str">
        <f>IF(tblWorkPackages[[#This Row],[Calibrated forecast hours]]="","",ABS(tblWorkPackages[[#This Row],[Actual labor hours]]-tblWorkPackages[[#This Row],[Calibrated forecast hours]]))</f>
        <v/>
      </c>
      <c r="V2237" s="51">
        <f>IF(tblWorkPackages[[#This Row],[Time split]]="Train 2024",tblWorkPackages[[#This Row],[Estimated labor hours]],tblWorkPackages[[#This Row],[Calibrated forecast hours]])</f>
        <v>13.3</v>
      </c>
      <c r="W2237" s="64">
        <f>DATEVALUE(tblWorkPackages[[#This Row],[Request date]])</f>
        <v>45488.0</v>
      </c>
      <c r="X2237" s="64">
        <f>DATEVALUE(tblWorkPackages[[#This Row],[Due date]])</f>
        <v>45501.0</v>
      </c>
      <c r="Y2237" s="64">
        <f>DATEVALUE(tblWorkPackages[[#This Row],[Completion date]])</f>
        <v>45526.0</v>
      </c>
      <c r="Z2237" s="64">
        <f>_xlfn.MINIFS(tblLaborEntries[Work date serial],tblLaborEntries[Work package ID],tblWorkPackages[[#This Row],[Work package ID]])</f>
        <v>45521.0</v>
      </c>
      <c r="AA2237" s="64">
        <f>_xlfn.MAXIFS(tblLaborEntries[Work date serial],tblLaborEntries[Work package ID],tblWorkPackages[[#This Row],[Work package ID]])</f>
        <v>45523.0</v>
      </c>
      <c r="AB2237" s="65">
        <f>IF(tblWorkPackages[[#This Row],[Completion date serial]]&gt;tblWorkPackages[[#This Row],[Due date serial]],1,0)</f>
        <v>1</v>
      </c>
      <c r="AC2237" s="65">
        <f>MAX(0,tblWorkPackages[[#This Row],[Completion date serial]]-tblWorkPackages[[#This Row],[Due date serial]])</f>
        <v>25</v>
      </c>
      <c r="AD2237" s="65">
        <f>tblWorkPackages[[#This Row],[First labor date]]-tblWorkPackages[[#This Row],[Request date serial]]</f>
        <v>33</v>
      </c>
      <c r="AE2237" s="65">
        <f>tblWorkPackages[[#This Row],[Last labor date]]-tblWorkPackages[[#This Row],[First labor date]]</f>
        <v>2</v>
      </c>
      <c r="AF2237" s="65">
        <f>tblWorkPackages[[#This Row],[Completion date serial]]-tblWorkPackages[[#This Row],[Last labor date]]</f>
        <v>3</v>
      </c>
      <c r="AG2237" s="65">
        <f>tblWorkPackages[[#This Row],[Completion date serial]]-tblWorkPackages[[#This Row],[Request date serial]]</f>
        <v>38</v>
      </c>
      <c r="AH2237" s="65">
        <f>IFERROR(INDEX(tblParts[Delay days],MATCH(tblWorkPackages[[#This Row],[Work package ID]],tblParts[Work package ID],0)),0)</f>
        <v>0</v>
      </c>
      <c r="AI2237" s="51" t="str">
        <f>IFERROR(INDEX(tblDisruptions[Event type],MATCH(tblWorkPackages[[#This Row],[Work package ID]],tblDisruptions[Work package ID],0)),"None")</f>
        <v>None</v>
      </c>
      <c r="AJ2237" s="51" t="str">
        <f>TEXT(tblWorkPackages[[#This Row],[Due date serial]],"yyyy-mm")</f>
        <v>2024-07</v>
      </c>
    </row>
    <row r="2238" spans="1:36" ht="15" x14ac:dyDescent="0.25">
      <c r="A2238" s="53" t="s">
        <v>3154</v>
      </c>
      <c r="B2238" s="53" t="s">
        <v>287</v>
      </c>
      <c r="C2238" s="53" t="s">
        <v>571</v>
      </c>
      <c r="D2238" s="53" t="s">
        <v>1455</v>
      </c>
      <c r="E2238" s="53" t="s">
        <v>160</v>
      </c>
      <c r="F2238" s="53" t="s">
        <v>128</v>
      </c>
      <c r="G2238" s="53" t="s">
        <v>138</v>
      </c>
      <c r="H2238" s="53">
        <v>3</v>
      </c>
      <c r="I2238" s="53" t="s">
        <v>130</v>
      </c>
      <c r="J2238" s="53">
        <v>0</v>
      </c>
      <c r="K2238" s="53">
        <v>0</v>
      </c>
      <c r="L2238" s="53">
        <v>6.4</v>
      </c>
      <c r="M2238" s="53" t="s">
        <v>1058</v>
      </c>
      <c r="N2238" s="53">
        <v>5.5</v>
      </c>
      <c r="O2238" s="51" t="str">
        <f>TEXT(tblWorkPackages[[#This Row],[Request date serial]]-WEEKDAY(tblWorkPackages[[#This Row],[Request date serial]],3),"yyyy-mm-dd")</f>
        <v>2025-01-13</v>
      </c>
      <c r="P2238" s="51">
        <f>ABS(tblWorkPackages[[#This Row],[Actual labor hours]]-tblWorkPackages[[#This Row],[Estimated labor hours]])</f>
        <v>0.9</v>
      </c>
      <c r="Q2238" s="51">
        <f>IF(tblWorkPackages[[#This Row],[Actual labor hours]]&gt;tblWorkPackages[[#This Row],[Estimated labor hours]],1,0)</f>
        <v>0</v>
      </c>
      <c r="R2238" s="51">
        <f>tblWorkPackages[[#This Row],[Actual labor hours]]-tblWorkPackages[[#This Row],[Estimated labor hours]]</f>
        <v>-0.9</v>
      </c>
      <c r="S2238" s="51" t="str">
        <f>IF(tblWorkPackages[[#This Row],[Request date serial]]&lt;ValidationStart,"Train 2024",IF(tblWorkPackages[[#This Row],[Request date serial]]&lt;HoldoutStart,"Validation H1","Holdout H2"))</f>
        <v>Validation H1</v>
      </c>
      <c r="T2238" s="51">
        <f>IF(tblWorkPackages[[#This Row],[Time split]]="Train 2024","",tblWorkPackages[[#This Row],[Estimated labor hours]]+VLOOKUP(tblWorkPackages[[#This Row],[Task type]],'Forecast validation'!$A$14:$E$25,IF(tblWorkPackages[[#This Row],[Time split]]="Validation H1",4,5),FALSE()))</f>
        <v>6.84146341463415</v>
      </c>
      <c r="U2238" s="51">
        <f>IF(tblWorkPackages[[#This Row],[Calibrated forecast hours]]="","",ABS(tblWorkPackages[[#This Row],[Actual labor hours]]-tblWorkPackages[[#This Row],[Calibrated forecast hours]]))</f>
        <v>1.34146341463415</v>
      </c>
      <c r="V2238" s="51">
        <f>IF(tblWorkPackages[[#This Row],[Time split]]="Train 2024",tblWorkPackages[[#This Row],[Estimated labor hours]],tblWorkPackages[[#This Row],[Calibrated forecast hours]])</f>
        <v>6.84146341463415</v>
      </c>
      <c r="W2238" s="64">
        <f>DATEVALUE(tblWorkPackages[[#This Row],[Request date]])</f>
        <v>45674.0</v>
      </c>
      <c r="X2238" s="64">
        <f>DATEVALUE(tblWorkPackages[[#This Row],[Due date]])</f>
        <v>45687.0</v>
      </c>
      <c r="Y2238" s="64">
        <f>DATEVALUE(tblWorkPackages[[#This Row],[Completion date]])</f>
        <v>45680.0</v>
      </c>
      <c r="Z2238" s="64">
        <f>_xlfn.MINIFS(tblLaborEntries[Work date serial],tblLaborEntries[Work package ID],tblWorkPackages[[#This Row],[Work package ID]])</f>
        <v>45680.0</v>
      </c>
      <c r="AA2238" s="64">
        <f>_xlfn.MAXIFS(tblLaborEntries[Work date serial],tblLaborEntries[Work package ID],tblWorkPackages[[#This Row],[Work package ID]])</f>
        <v>45680.0</v>
      </c>
      <c r="AB2238" s="65">
        <f>IF(tblWorkPackages[[#This Row],[Completion date serial]]&gt;tblWorkPackages[[#This Row],[Due date serial]],1,0)</f>
        <v>0</v>
      </c>
      <c r="AC2238" s="65">
        <f>MAX(0,tblWorkPackages[[#This Row],[Completion date serial]]-tblWorkPackages[[#This Row],[Due date serial]])</f>
        <v>0</v>
      </c>
      <c r="AD2238" s="65">
        <f>tblWorkPackages[[#This Row],[First labor date]]-tblWorkPackages[[#This Row],[Request date serial]]</f>
        <v>6</v>
      </c>
      <c r="AE2238" s="65">
        <f>tblWorkPackages[[#This Row],[Last labor date]]-tblWorkPackages[[#This Row],[First labor date]]</f>
        <v>0</v>
      </c>
      <c r="AF2238" s="65">
        <f>tblWorkPackages[[#This Row],[Completion date serial]]-tblWorkPackages[[#This Row],[Last labor date]]</f>
        <v>0</v>
      </c>
      <c r="AG2238" s="65">
        <f>tblWorkPackages[[#This Row],[Completion date serial]]-tblWorkPackages[[#This Row],[Request date serial]]</f>
        <v>6</v>
      </c>
      <c r="AH2238" s="65">
        <f>IFERROR(INDEX(tblParts[Delay days],MATCH(tblWorkPackages[[#This Row],[Work package ID]],tblParts[Work package ID],0)),0)</f>
        <v>0</v>
      </c>
      <c r="AI2238" s="51" t="str">
        <f>IFERROR(INDEX(tblDisruptions[Event type],MATCH(tblWorkPackages[[#This Row],[Work package ID]],tblDisruptions[Work package ID],0)),"None")</f>
        <v>None</v>
      </c>
      <c r="AJ2238" s="51" t="str">
        <f>TEXT(tblWorkPackages[[#This Row],[Due date serial]],"yyyy-mm")</f>
        <v>2025-01</v>
      </c>
    </row>
    <row r="2239" spans="1:36" ht="15" x14ac:dyDescent="0.25">
      <c r="A2239" s="53" t="s">
        <v>3155</v>
      </c>
      <c r="B2239" s="53" t="s">
        <v>163</v>
      </c>
      <c r="C2239" s="53" t="s">
        <v>630</v>
      </c>
      <c r="D2239" s="53" t="s">
        <v>691</v>
      </c>
      <c r="E2239" s="53" t="s">
        <v>136</v>
      </c>
      <c r="F2239" s="53" t="s">
        <v>137</v>
      </c>
      <c r="G2239" s="53" t="s">
        <v>138</v>
      </c>
      <c r="H2239" s="53">
        <v>2</v>
      </c>
      <c r="I2239" s="53" t="s">
        <v>130</v>
      </c>
      <c r="J2239" s="53">
        <v>0</v>
      </c>
      <c r="K2239" s="53">
        <v>1</v>
      </c>
      <c r="L2239" s="53">
        <v>15.1</v>
      </c>
      <c r="M2239" s="53" t="s">
        <v>613</v>
      </c>
      <c r="N2239" s="53">
        <v>17.600000000000001</v>
      </c>
      <c r="O2239" s="51" t="str">
        <f>TEXT(tblWorkPackages[[#This Row],[Request date serial]]-WEEKDAY(tblWorkPackages[[#This Row],[Request date serial]],3),"yyyy-mm-dd")</f>
        <v>2024-03-25</v>
      </c>
      <c r="P2239" s="51">
        <f>ABS(tblWorkPackages[[#This Row],[Actual labor hours]]-tblWorkPackages[[#This Row],[Estimated labor hours]])</f>
        <v>2.5</v>
      </c>
      <c r="Q2239" s="51">
        <f>IF(tblWorkPackages[[#This Row],[Actual labor hours]]&gt;tblWorkPackages[[#This Row],[Estimated labor hours]],1,0)</f>
        <v>1</v>
      </c>
      <c r="R2239" s="51">
        <f>tblWorkPackages[[#This Row],[Actual labor hours]]-tblWorkPackages[[#This Row],[Estimated labor hours]]</f>
        <v>2.5</v>
      </c>
      <c r="S2239" s="51" t="str">
        <f>IF(tblWorkPackages[[#This Row],[Request date serial]]&lt;ValidationStart,"Train 2024",IF(tblWorkPackages[[#This Row],[Request date serial]]&lt;HoldoutStart,"Validation H1","Holdout H2"))</f>
        <v>Train 2024</v>
      </c>
      <c r="T2239" s="51" t="str">
        <f>IF(tblWorkPackages[[#This Row],[Time split]]="Train 2024","",tblWorkPackages[[#This Row],[Estimated labor hours]]+VLOOKUP(tblWorkPackages[[#This Row],[Task type]],'Forecast validation'!$A$14:$E$25,IF(tblWorkPackages[[#This Row],[Time split]]="Validation H1",4,5),FALSE()))</f>
        <v/>
      </c>
      <c r="U2239" s="51" t="str">
        <f>IF(tblWorkPackages[[#This Row],[Calibrated forecast hours]]="","",ABS(tblWorkPackages[[#This Row],[Actual labor hours]]-tblWorkPackages[[#This Row],[Calibrated forecast hours]]))</f>
        <v/>
      </c>
      <c r="V2239" s="51">
        <f>IF(tblWorkPackages[[#This Row],[Time split]]="Train 2024",tblWorkPackages[[#This Row],[Estimated labor hours]],tblWorkPackages[[#This Row],[Calibrated forecast hours]])</f>
        <v>15.1</v>
      </c>
      <c r="W2239" s="64">
        <f>DATEVALUE(tblWorkPackages[[#This Row],[Request date]])</f>
        <v>45376.0</v>
      </c>
      <c r="X2239" s="64">
        <f>DATEVALUE(tblWorkPackages[[#This Row],[Due date]])</f>
        <v>45389.0</v>
      </c>
      <c r="Y2239" s="64">
        <f>DATEVALUE(tblWorkPackages[[#This Row],[Completion date]])</f>
        <v>45380.0</v>
      </c>
      <c r="Z2239" s="64">
        <f>_xlfn.MINIFS(tblLaborEntries[Work date serial],tblLaborEntries[Work package ID],tblWorkPackages[[#This Row],[Work package ID]])</f>
        <v>45378.0</v>
      </c>
      <c r="AA2239" s="64">
        <f>_xlfn.MAXIFS(tblLaborEntries[Work date serial],tblLaborEntries[Work package ID],tblWorkPackages[[#This Row],[Work package ID]])</f>
        <v>45379.0</v>
      </c>
      <c r="AB2239" s="65">
        <f>IF(tblWorkPackages[[#This Row],[Completion date serial]]&gt;tblWorkPackages[[#This Row],[Due date serial]],1,0)</f>
        <v>0</v>
      </c>
      <c r="AC2239" s="65">
        <f>MAX(0,tblWorkPackages[[#This Row],[Completion date serial]]-tblWorkPackages[[#This Row],[Due date serial]])</f>
        <v>0</v>
      </c>
      <c r="AD2239" s="65">
        <f>tblWorkPackages[[#This Row],[First labor date]]-tblWorkPackages[[#This Row],[Request date serial]]</f>
        <v>2</v>
      </c>
      <c r="AE2239" s="65">
        <f>tblWorkPackages[[#This Row],[Last labor date]]-tblWorkPackages[[#This Row],[First labor date]]</f>
        <v>1</v>
      </c>
      <c r="AF2239" s="65">
        <f>tblWorkPackages[[#This Row],[Completion date serial]]-tblWorkPackages[[#This Row],[Last labor date]]</f>
        <v>1</v>
      </c>
      <c r="AG2239" s="65">
        <f>tblWorkPackages[[#This Row],[Completion date serial]]-tblWorkPackages[[#This Row],[Request date serial]]</f>
        <v>4</v>
      </c>
      <c r="AH2239" s="65">
        <f>IFERROR(INDEX(tblParts[Delay days],MATCH(tblWorkPackages[[#This Row],[Work package ID]],tblParts[Work package ID],0)),0)</f>
        <v>0</v>
      </c>
      <c r="AI2239" s="51" t="str">
        <f>IFERROR(INDEX(tblDisruptions[Event type],MATCH(tblWorkPackages[[#This Row],[Work package ID]],tblDisruptions[Work package ID],0)),"None")</f>
        <v>None</v>
      </c>
      <c r="AJ2239" s="51" t="str">
        <f>TEXT(tblWorkPackages[[#This Row],[Due date serial]],"yyyy-mm")</f>
        <v>2024-04</v>
      </c>
    </row>
    <row r="2240" spans="1:36" ht="15" x14ac:dyDescent="0.25">
      <c r="A2240" s="53" t="s">
        <v>3156</v>
      </c>
      <c r="B2240" s="53" t="s">
        <v>157</v>
      </c>
      <c r="C2240" s="53" t="s">
        <v>933</v>
      </c>
      <c r="D2240" s="53" t="s">
        <v>257</v>
      </c>
      <c r="E2240" s="53" t="s">
        <v>272</v>
      </c>
      <c r="F2240" s="53" t="s">
        <v>145</v>
      </c>
      <c r="G2240" s="53" t="s">
        <v>273</v>
      </c>
      <c r="H2240" s="53">
        <v>1</v>
      </c>
      <c r="I2240" s="53" t="s">
        <v>130</v>
      </c>
      <c r="J2240" s="53">
        <v>0</v>
      </c>
      <c r="K2240" s="53">
        <v>1</v>
      </c>
      <c r="L2240" s="53">
        <v>6.2</v>
      </c>
      <c r="M2240" s="53" t="s">
        <v>818</v>
      </c>
      <c r="N2240" s="53">
        <v>5.2</v>
      </c>
      <c r="O2240" s="51" t="str">
        <f>TEXT(tblWorkPackages[[#This Row],[Request date serial]]-WEEKDAY(tblWorkPackages[[#This Row],[Request date serial]],3),"yyyy-mm-dd")</f>
        <v>2024-11-25</v>
      </c>
      <c r="P2240" s="51">
        <f>ABS(tblWorkPackages[[#This Row],[Actual labor hours]]-tblWorkPackages[[#This Row],[Estimated labor hours]])</f>
        <v>1</v>
      </c>
      <c r="Q2240" s="51">
        <f>IF(tblWorkPackages[[#This Row],[Actual labor hours]]&gt;tblWorkPackages[[#This Row],[Estimated labor hours]],1,0)</f>
        <v>0</v>
      </c>
      <c r="R2240" s="51">
        <f>tblWorkPackages[[#This Row],[Actual labor hours]]-tblWorkPackages[[#This Row],[Estimated labor hours]]</f>
        <v>-1</v>
      </c>
      <c r="S2240" s="51" t="str">
        <f>IF(tblWorkPackages[[#This Row],[Request date serial]]&lt;ValidationStart,"Train 2024",IF(tblWorkPackages[[#This Row],[Request date serial]]&lt;HoldoutStart,"Validation H1","Holdout H2"))</f>
        <v>Train 2024</v>
      </c>
      <c r="T2240" s="51" t="str">
        <f>IF(tblWorkPackages[[#This Row],[Time split]]="Train 2024","",tblWorkPackages[[#This Row],[Estimated labor hours]]+VLOOKUP(tblWorkPackages[[#This Row],[Task type]],'Forecast validation'!$A$14:$E$25,IF(tblWorkPackages[[#This Row],[Time split]]="Validation H1",4,5),FALSE()))</f>
        <v/>
      </c>
      <c r="U2240" s="51" t="str">
        <f>IF(tblWorkPackages[[#This Row],[Calibrated forecast hours]]="","",ABS(tblWorkPackages[[#This Row],[Actual labor hours]]-tblWorkPackages[[#This Row],[Calibrated forecast hours]]))</f>
        <v/>
      </c>
      <c r="V2240" s="51">
        <f>IF(tblWorkPackages[[#This Row],[Time split]]="Train 2024",tblWorkPackages[[#This Row],[Estimated labor hours]],tblWorkPackages[[#This Row],[Calibrated forecast hours]])</f>
        <v>6.2</v>
      </c>
      <c r="W2240" s="64">
        <f>DATEVALUE(tblWorkPackages[[#This Row],[Request date]])</f>
        <v>45625.0</v>
      </c>
      <c r="X2240" s="64">
        <f>DATEVALUE(tblWorkPackages[[#This Row],[Due date]])</f>
        <v>45638.0</v>
      </c>
      <c r="Y2240" s="64">
        <f>DATEVALUE(tblWorkPackages[[#This Row],[Completion date]])</f>
        <v>45643.0</v>
      </c>
      <c r="Z2240" s="64">
        <f>_xlfn.MINIFS(tblLaborEntries[Work date serial],tblLaborEntries[Work package ID],tblWorkPackages[[#This Row],[Work package ID]])</f>
        <v>45640.0</v>
      </c>
      <c r="AA2240" s="64">
        <f>_xlfn.MAXIFS(tblLaborEntries[Work date serial],tblLaborEntries[Work package ID],tblWorkPackages[[#This Row],[Work package ID]])</f>
        <v>45641.0</v>
      </c>
      <c r="AB2240" s="65">
        <f>IF(tblWorkPackages[[#This Row],[Completion date serial]]&gt;tblWorkPackages[[#This Row],[Due date serial]],1,0)</f>
        <v>1</v>
      </c>
      <c r="AC2240" s="65">
        <f>MAX(0,tblWorkPackages[[#This Row],[Completion date serial]]-tblWorkPackages[[#This Row],[Due date serial]])</f>
        <v>5</v>
      </c>
      <c r="AD2240" s="65">
        <f>tblWorkPackages[[#This Row],[First labor date]]-tblWorkPackages[[#This Row],[Request date serial]]</f>
        <v>15</v>
      </c>
      <c r="AE2240" s="65">
        <f>tblWorkPackages[[#This Row],[Last labor date]]-tblWorkPackages[[#This Row],[First labor date]]</f>
        <v>1</v>
      </c>
      <c r="AF2240" s="65">
        <f>tblWorkPackages[[#This Row],[Completion date serial]]-tblWorkPackages[[#This Row],[Last labor date]]</f>
        <v>2</v>
      </c>
      <c r="AG2240" s="65">
        <f>tblWorkPackages[[#This Row],[Completion date serial]]-tblWorkPackages[[#This Row],[Request date serial]]</f>
        <v>18</v>
      </c>
      <c r="AH2240" s="65">
        <f>IFERROR(INDEX(tblParts[Delay days],MATCH(tblWorkPackages[[#This Row],[Work package ID]],tblParts[Work package ID],0)),0)</f>
        <v>0</v>
      </c>
      <c r="AI2240" s="51" t="str">
        <f>IFERROR(INDEX(tblDisruptions[Event type],MATCH(tblWorkPackages[[#This Row],[Work package ID]],tblDisruptions[Work package ID],0)),"None")</f>
        <v>None</v>
      </c>
      <c r="AJ2240" s="51" t="str">
        <f>TEXT(tblWorkPackages[[#This Row],[Due date serial]],"yyyy-mm")</f>
        <v>2024-12</v>
      </c>
    </row>
    <row r="2241" spans="1:36" ht="15" x14ac:dyDescent="0.25">
      <c r="A2241" s="53" t="s">
        <v>3157</v>
      </c>
      <c r="B2241" s="53" t="s">
        <v>287</v>
      </c>
      <c r="C2241" s="53" t="s">
        <v>814</v>
      </c>
      <c r="D2241" s="53" t="s">
        <v>705</v>
      </c>
      <c r="E2241" s="53" t="s">
        <v>223</v>
      </c>
      <c r="F2241" s="53" t="s">
        <v>182</v>
      </c>
      <c r="G2241" s="53" t="s">
        <v>154</v>
      </c>
      <c r="H2241" s="53">
        <v>3</v>
      </c>
      <c r="I2241" s="53" t="s">
        <v>130</v>
      </c>
      <c r="J2241" s="53">
        <v>0</v>
      </c>
      <c r="K2241" s="53">
        <v>1</v>
      </c>
      <c r="L2241" s="53">
        <v>18.3</v>
      </c>
      <c r="M2241" s="53" t="s">
        <v>369</v>
      </c>
      <c r="N2241" s="53">
        <v>21.4</v>
      </c>
      <c r="O2241" s="51" t="str">
        <f>TEXT(tblWorkPackages[[#This Row],[Request date serial]]-WEEKDAY(tblWorkPackages[[#This Row],[Request date serial]],3),"yyyy-mm-dd")</f>
        <v>2024-06-03</v>
      </c>
      <c r="P2241" s="51">
        <f>ABS(tblWorkPackages[[#This Row],[Actual labor hours]]-tblWorkPackages[[#This Row],[Estimated labor hours]])</f>
        <v>3.1</v>
      </c>
      <c r="Q2241" s="51">
        <f>IF(tblWorkPackages[[#This Row],[Actual labor hours]]&gt;tblWorkPackages[[#This Row],[Estimated labor hours]],1,0)</f>
        <v>1</v>
      </c>
      <c r="R2241" s="51">
        <f>tblWorkPackages[[#This Row],[Actual labor hours]]-tblWorkPackages[[#This Row],[Estimated labor hours]]</f>
        <v>3.1</v>
      </c>
      <c r="S2241" s="51" t="str">
        <f>IF(tblWorkPackages[[#This Row],[Request date serial]]&lt;ValidationStart,"Train 2024",IF(tblWorkPackages[[#This Row],[Request date serial]]&lt;HoldoutStart,"Validation H1","Holdout H2"))</f>
        <v>Train 2024</v>
      </c>
      <c r="T2241" s="51" t="str">
        <f>IF(tblWorkPackages[[#This Row],[Time split]]="Train 2024","",tblWorkPackages[[#This Row],[Estimated labor hours]]+VLOOKUP(tblWorkPackages[[#This Row],[Task type]],'Forecast validation'!$A$14:$E$25,IF(tblWorkPackages[[#This Row],[Time split]]="Validation H1",4,5),FALSE()))</f>
        <v/>
      </c>
      <c r="U2241" s="51" t="str">
        <f>IF(tblWorkPackages[[#This Row],[Calibrated forecast hours]]="","",ABS(tblWorkPackages[[#This Row],[Actual labor hours]]-tblWorkPackages[[#This Row],[Calibrated forecast hours]]))</f>
        <v/>
      </c>
      <c r="V2241" s="51">
        <f>IF(tblWorkPackages[[#This Row],[Time split]]="Train 2024",tblWorkPackages[[#This Row],[Estimated labor hours]],tblWorkPackages[[#This Row],[Calibrated forecast hours]])</f>
        <v>18.3</v>
      </c>
      <c r="W2241" s="64">
        <f>DATEVALUE(tblWorkPackages[[#This Row],[Request date]])</f>
        <v>45448.0</v>
      </c>
      <c r="X2241" s="64">
        <f>DATEVALUE(tblWorkPackages[[#This Row],[Due date]])</f>
        <v>45461.0</v>
      </c>
      <c r="Y2241" s="64">
        <f>DATEVALUE(tblWorkPackages[[#This Row],[Completion date]])</f>
        <v>45455.0</v>
      </c>
      <c r="Z2241" s="64">
        <f>_xlfn.MINIFS(tblLaborEntries[Work date serial],tblLaborEntries[Work package ID],tblWorkPackages[[#This Row],[Work package ID]])</f>
        <v>45452.0</v>
      </c>
      <c r="AA2241" s="64">
        <f>_xlfn.MAXIFS(tblLaborEntries[Work date serial],tblLaborEntries[Work package ID],tblWorkPackages[[#This Row],[Work package ID]])</f>
        <v>45452.0</v>
      </c>
      <c r="AB2241" s="65">
        <f>IF(tblWorkPackages[[#This Row],[Completion date serial]]&gt;tblWorkPackages[[#This Row],[Due date serial]],1,0)</f>
        <v>0</v>
      </c>
      <c r="AC2241" s="65">
        <f>MAX(0,tblWorkPackages[[#This Row],[Completion date serial]]-tblWorkPackages[[#This Row],[Due date serial]])</f>
        <v>0</v>
      </c>
      <c r="AD2241" s="65">
        <f>tblWorkPackages[[#This Row],[First labor date]]-tblWorkPackages[[#This Row],[Request date serial]]</f>
        <v>4</v>
      </c>
      <c r="AE2241" s="65">
        <f>tblWorkPackages[[#This Row],[Last labor date]]-tblWorkPackages[[#This Row],[First labor date]]</f>
        <v>0</v>
      </c>
      <c r="AF2241" s="65">
        <f>tblWorkPackages[[#This Row],[Completion date serial]]-tblWorkPackages[[#This Row],[Last labor date]]</f>
        <v>3</v>
      </c>
      <c r="AG2241" s="65">
        <f>tblWorkPackages[[#This Row],[Completion date serial]]-tblWorkPackages[[#This Row],[Request date serial]]</f>
        <v>7</v>
      </c>
      <c r="AH2241" s="65">
        <f>IFERROR(INDEX(tblParts[Delay days],MATCH(tblWorkPackages[[#This Row],[Work package ID]],tblParts[Work package ID],0)),0)</f>
        <v>0</v>
      </c>
      <c r="AI2241" s="51" t="str">
        <f>IFERROR(INDEX(tblDisruptions[Event type],MATCH(tblWorkPackages[[#This Row],[Work package ID]],tblDisruptions[Work package ID],0)),"None")</f>
        <v>None</v>
      </c>
      <c r="AJ2241" s="51" t="str">
        <f>TEXT(tblWorkPackages[[#This Row],[Due date serial]],"yyyy-mm")</f>
        <v>2024-06</v>
      </c>
    </row>
    <row r="2242" spans="1:36" ht="15" x14ac:dyDescent="0.25">
      <c r="A2242" s="53" t="s">
        <v>3158</v>
      </c>
      <c r="B2242" s="53" t="s">
        <v>150</v>
      </c>
      <c r="C2242" s="53" t="s">
        <v>222</v>
      </c>
      <c r="D2242" s="53" t="s">
        <v>1437</v>
      </c>
      <c r="E2242" s="53" t="s">
        <v>237</v>
      </c>
      <c r="F2242" s="53" t="s">
        <v>182</v>
      </c>
      <c r="G2242" s="53" t="s">
        <v>138</v>
      </c>
      <c r="H2242" s="53">
        <v>1</v>
      </c>
      <c r="I2242" s="53" t="s">
        <v>176</v>
      </c>
      <c r="J2242" s="53">
        <v>0</v>
      </c>
      <c r="K2242" s="53">
        <v>1</v>
      </c>
      <c r="L2242" s="53">
        <v>3.4</v>
      </c>
      <c r="M2242" s="53" t="s">
        <v>707</v>
      </c>
      <c r="N2242" s="53">
        <v>4.0999999999999996</v>
      </c>
      <c r="O2242" s="51" t="str">
        <f>TEXT(tblWorkPackages[[#This Row],[Request date serial]]-WEEKDAY(tblWorkPackages[[#This Row],[Request date serial]],3),"yyyy-mm-dd")</f>
        <v>2024-12-16</v>
      </c>
      <c r="P2242" s="51">
        <f>ABS(tblWorkPackages[[#This Row],[Actual labor hours]]-tblWorkPackages[[#This Row],[Estimated labor hours]])</f>
        <v>0.7</v>
      </c>
      <c r="Q2242" s="51">
        <f>IF(tblWorkPackages[[#This Row],[Actual labor hours]]&gt;tblWorkPackages[[#This Row],[Estimated labor hours]],1,0)</f>
        <v>1</v>
      </c>
      <c r="R2242" s="51">
        <f>tblWorkPackages[[#This Row],[Actual labor hours]]-tblWorkPackages[[#This Row],[Estimated labor hours]]</f>
        <v>0.7</v>
      </c>
      <c r="S2242" s="51" t="str">
        <f>IF(tblWorkPackages[[#This Row],[Request date serial]]&lt;ValidationStart,"Train 2024",IF(tblWorkPackages[[#This Row],[Request date serial]]&lt;HoldoutStart,"Validation H1","Holdout H2"))</f>
        <v>Train 2024</v>
      </c>
      <c r="T2242" s="51" t="str">
        <f>IF(tblWorkPackages[[#This Row],[Time split]]="Train 2024","",tblWorkPackages[[#This Row],[Estimated labor hours]]+VLOOKUP(tblWorkPackages[[#This Row],[Task type]],'Forecast validation'!$A$14:$E$25,IF(tblWorkPackages[[#This Row],[Time split]]="Validation H1",4,5),FALSE()))</f>
        <v/>
      </c>
      <c r="U2242" s="51" t="str">
        <f>IF(tblWorkPackages[[#This Row],[Calibrated forecast hours]]="","",ABS(tblWorkPackages[[#This Row],[Actual labor hours]]-tblWorkPackages[[#This Row],[Calibrated forecast hours]]))</f>
        <v/>
      </c>
      <c r="V2242" s="51">
        <f>IF(tblWorkPackages[[#This Row],[Time split]]="Train 2024",tblWorkPackages[[#This Row],[Estimated labor hours]],tblWorkPackages[[#This Row],[Calibrated forecast hours]])</f>
        <v>3.4</v>
      </c>
      <c r="W2242" s="64">
        <f>DATEVALUE(tblWorkPackages[[#This Row],[Request date]])</f>
        <v>45647.0</v>
      </c>
      <c r="X2242" s="64">
        <f>DATEVALUE(tblWorkPackages[[#This Row],[Due date]])</f>
        <v>45653.0</v>
      </c>
      <c r="Y2242" s="64">
        <f>DATEVALUE(tblWorkPackages[[#This Row],[Completion date]])</f>
        <v>45650.0</v>
      </c>
      <c r="Z2242" s="64">
        <f>_xlfn.MINIFS(tblLaborEntries[Work date serial],tblLaborEntries[Work package ID],tblWorkPackages[[#This Row],[Work package ID]])</f>
        <v>45648.0</v>
      </c>
      <c r="AA2242" s="64">
        <f>_xlfn.MAXIFS(tblLaborEntries[Work date serial],tblLaborEntries[Work package ID],tblWorkPackages[[#This Row],[Work package ID]])</f>
        <v>45650.0</v>
      </c>
      <c r="AB2242" s="65">
        <f>IF(tblWorkPackages[[#This Row],[Completion date serial]]&gt;tblWorkPackages[[#This Row],[Due date serial]],1,0)</f>
        <v>0</v>
      </c>
      <c r="AC2242" s="65">
        <f>MAX(0,tblWorkPackages[[#This Row],[Completion date serial]]-tblWorkPackages[[#This Row],[Due date serial]])</f>
        <v>0</v>
      </c>
      <c r="AD2242" s="65">
        <f>tblWorkPackages[[#This Row],[First labor date]]-tblWorkPackages[[#This Row],[Request date serial]]</f>
        <v>1</v>
      </c>
      <c r="AE2242" s="65">
        <f>tblWorkPackages[[#This Row],[Last labor date]]-tblWorkPackages[[#This Row],[First labor date]]</f>
        <v>2</v>
      </c>
      <c r="AF2242" s="65">
        <f>tblWorkPackages[[#This Row],[Completion date serial]]-tblWorkPackages[[#This Row],[Last labor date]]</f>
        <v>0</v>
      </c>
      <c r="AG2242" s="65">
        <f>tblWorkPackages[[#This Row],[Completion date serial]]-tblWorkPackages[[#This Row],[Request date serial]]</f>
        <v>3</v>
      </c>
      <c r="AH2242" s="65">
        <f>IFERROR(INDEX(tblParts[Delay days],MATCH(tblWorkPackages[[#This Row],[Work package ID]],tblParts[Work package ID],0)),0)</f>
        <v>0</v>
      </c>
      <c r="AI2242" s="51" t="str">
        <f>IFERROR(INDEX(tblDisruptions[Event type],MATCH(tblWorkPackages[[#This Row],[Work package ID]],tblDisruptions[Work package ID],0)),"None")</f>
        <v>None</v>
      </c>
      <c r="AJ2242" s="51" t="str">
        <f>TEXT(tblWorkPackages[[#This Row],[Due date serial]],"yyyy-mm")</f>
        <v>2024-12</v>
      </c>
    </row>
    <row r="2243" spans="1:36" ht="15" x14ac:dyDescent="0.25">
      <c r="A2243" s="53" t="s">
        <v>3159</v>
      </c>
      <c r="B2243" s="53" t="s">
        <v>287</v>
      </c>
      <c r="C2243" s="53" t="s">
        <v>1369</v>
      </c>
      <c r="D2243" s="53" t="s">
        <v>1735</v>
      </c>
      <c r="E2243" s="53" t="s">
        <v>127</v>
      </c>
      <c r="F2243" s="53" t="s">
        <v>128</v>
      </c>
      <c r="G2243" s="53" t="s">
        <v>129</v>
      </c>
      <c r="H2243" s="53">
        <v>4</v>
      </c>
      <c r="I2243" s="53" t="s">
        <v>130</v>
      </c>
      <c r="J2243" s="53">
        <v>0</v>
      </c>
      <c r="K2243" s="53">
        <v>0</v>
      </c>
      <c r="L2243" s="53">
        <v>12.6</v>
      </c>
      <c r="M2243" s="53" t="s">
        <v>297</v>
      </c>
      <c r="N2243" s="53">
        <v>13.8</v>
      </c>
      <c r="O2243" s="51" t="str">
        <f>TEXT(tblWorkPackages[[#This Row],[Request date serial]]-WEEKDAY(tblWorkPackages[[#This Row],[Request date serial]],3),"yyyy-mm-dd")</f>
        <v>2024-08-05</v>
      </c>
      <c r="P2243" s="51">
        <f>ABS(tblWorkPackages[[#This Row],[Actual labor hours]]-tblWorkPackages[[#This Row],[Estimated labor hours]])</f>
        <v>1.2</v>
      </c>
      <c r="Q2243" s="51">
        <f>IF(tblWorkPackages[[#This Row],[Actual labor hours]]&gt;tblWorkPackages[[#This Row],[Estimated labor hours]],1,0)</f>
        <v>1</v>
      </c>
      <c r="R2243" s="51">
        <f>tblWorkPackages[[#This Row],[Actual labor hours]]-tblWorkPackages[[#This Row],[Estimated labor hours]]</f>
        <v>1.2</v>
      </c>
      <c r="S2243" s="51" t="str">
        <f>IF(tblWorkPackages[[#This Row],[Request date serial]]&lt;ValidationStart,"Train 2024",IF(tblWorkPackages[[#This Row],[Request date serial]]&lt;HoldoutStart,"Validation H1","Holdout H2"))</f>
        <v>Train 2024</v>
      </c>
      <c r="T2243" s="51" t="str">
        <f>IF(tblWorkPackages[[#This Row],[Time split]]="Train 2024","",tblWorkPackages[[#This Row],[Estimated labor hours]]+VLOOKUP(tblWorkPackages[[#This Row],[Task type]],'Forecast validation'!$A$14:$E$25,IF(tblWorkPackages[[#This Row],[Time split]]="Validation H1",4,5),FALSE()))</f>
        <v/>
      </c>
      <c r="U2243" s="51" t="str">
        <f>IF(tblWorkPackages[[#This Row],[Calibrated forecast hours]]="","",ABS(tblWorkPackages[[#This Row],[Actual labor hours]]-tblWorkPackages[[#This Row],[Calibrated forecast hours]]))</f>
        <v/>
      </c>
      <c r="V2243" s="51">
        <f>IF(tblWorkPackages[[#This Row],[Time split]]="Train 2024",tblWorkPackages[[#This Row],[Estimated labor hours]],tblWorkPackages[[#This Row],[Calibrated forecast hours]])</f>
        <v>12.6</v>
      </c>
      <c r="W2243" s="64">
        <f>DATEVALUE(tblWorkPackages[[#This Row],[Request date]])</f>
        <v>45513.0</v>
      </c>
      <c r="X2243" s="64">
        <f>DATEVALUE(tblWorkPackages[[#This Row],[Due date]])</f>
        <v>45526.0</v>
      </c>
      <c r="Y2243" s="64">
        <f>DATEVALUE(tblWorkPackages[[#This Row],[Completion date]])</f>
        <v>45525.0</v>
      </c>
      <c r="Z2243" s="64">
        <f>_xlfn.MINIFS(tblLaborEntries[Work date serial],tblLaborEntries[Work package ID],tblWorkPackages[[#This Row],[Work package ID]])</f>
        <v>45522.0</v>
      </c>
      <c r="AA2243" s="64">
        <f>_xlfn.MAXIFS(tblLaborEntries[Work date serial],tblLaborEntries[Work package ID],tblWorkPackages[[#This Row],[Work package ID]])</f>
        <v>45524.0</v>
      </c>
      <c r="AB2243" s="65">
        <f>IF(tblWorkPackages[[#This Row],[Completion date serial]]&gt;tblWorkPackages[[#This Row],[Due date serial]],1,0)</f>
        <v>0</v>
      </c>
      <c r="AC2243" s="65">
        <f>MAX(0,tblWorkPackages[[#This Row],[Completion date serial]]-tblWorkPackages[[#This Row],[Due date serial]])</f>
        <v>0</v>
      </c>
      <c r="AD2243" s="65">
        <f>tblWorkPackages[[#This Row],[First labor date]]-tblWorkPackages[[#This Row],[Request date serial]]</f>
        <v>9</v>
      </c>
      <c r="AE2243" s="65">
        <f>tblWorkPackages[[#This Row],[Last labor date]]-tblWorkPackages[[#This Row],[First labor date]]</f>
        <v>2</v>
      </c>
      <c r="AF2243" s="65">
        <f>tblWorkPackages[[#This Row],[Completion date serial]]-tblWorkPackages[[#This Row],[Last labor date]]</f>
        <v>1</v>
      </c>
      <c r="AG2243" s="65">
        <f>tblWorkPackages[[#This Row],[Completion date serial]]-tblWorkPackages[[#This Row],[Request date serial]]</f>
        <v>12</v>
      </c>
      <c r="AH2243" s="65">
        <f>IFERROR(INDEX(tblParts[Delay days],MATCH(tblWorkPackages[[#This Row],[Work package ID]],tblParts[Work package ID],0)),0)</f>
        <v>0</v>
      </c>
      <c r="AI2243" s="51" t="str">
        <f>IFERROR(INDEX(tblDisruptions[Event type],MATCH(tblWorkPackages[[#This Row],[Work package ID]],tblDisruptions[Work package ID],0)),"None")</f>
        <v>None</v>
      </c>
      <c r="AJ2243" s="51" t="str">
        <f>TEXT(tblWorkPackages[[#This Row],[Due date serial]],"yyyy-mm")</f>
        <v>2024-08</v>
      </c>
    </row>
    <row r="2244" spans="1:36" ht="15" x14ac:dyDescent="0.25">
      <c r="A2244" s="53" t="s">
        <v>3160</v>
      </c>
      <c r="B2244" s="53" t="s">
        <v>235</v>
      </c>
      <c r="C2244" s="53" t="s">
        <v>748</v>
      </c>
      <c r="D2244" s="53" t="s">
        <v>1053</v>
      </c>
      <c r="E2244" s="53" t="s">
        <v>181</v>
      </c>
      <c r="F2244" s="53" t="s">
        <v>182</v>
      </c>
      <c r="G2244" s="53" t="s">
        <v>138</v>
      </c>
      <c r="H2244" s="53">
        <v>4</v>
      </c>
      <c r="I2244" s="53" t="s">
        <v>176</v>
      </c>
      <c r="J2244" s="53">
        <v>0</v>
      </c>
      <c r="K2244" s="53">
        <v>0</v>
      </c>
      <c r="L2244" s="53">
        <v>14.7</v>
      </c>
      <c r="M2244" s="53" t="s">
        <v>839</v>
      </c>
      <c r="N2244" s="53">
        <v>14.6</v>
      </c>
      <c r="O2244" s="51" t="str">
        <f>TEXT(tblWorkPackages[[#This Row],[Request date serial]]-WEEKDAY(tblWorkPackages[[#This Row],[Request date serial]],3),"yyyy-mm-dd")</f>
        <v>2024-02-12</v>
      </c>
      <c r="P2244" s="51">
        <f>ABS(tblWorkPackages[[#This Row],[Actual labor hours]]-tblWorkPackages[[#This Row],[Estimated labor hours]])</f>
        <v>0.0999999999999996</v>
      </c>
      <c r="Q2244" s="51">
        <f>IF(tblWorkPackages[[#This Row],[Actual labor hours]]&gt;tblWorkPackages[[#This Row],[Estimated labor hours]],1,0)</f>
        <v>0</v>
      </c>
      <c r="R2244" s="51">
        <f>tblWorkPackages[[#This Row],[Actual labor hours]]-tblWorkPackages[[#This Row],[Estimated labor hours]]</f>
        <v>-0.0999999999999996</v>
      </c>
      <c r="S2244" s="51" t="str">
        <f>IF(tblWorkPackages[[#This Row],[Request date serial]]&lt;ValidationStart,"Train 2024",IF(tblWorkPackages[[#This Row],[Request date serial]]&lt;HoldoutStart,"Validation H1","Holdout H2"))</f>
        <v>Train 2024</v>
      </c>
      <c r="T2244" s="51" t="str">
        <f>IF(tblWorkPackages[[#This Row],[Time split]]="Train 2024","",tblWorkPackages[[#This Row],[Estimated labor hours]]+VLOOKUP(tblWorkPackages[[#This Row],[Task type]],'Forecast validation'!$A$14:$E$25,IF(tblWorkPackages[[#This Row],[Time split]]="Validation H1",4,5),FALSE()))</f>
        <v/>
      </c>
      <c r="U2244" s="51" t="str">
        <f>IF(tblWorkPackages[[#This Row],[Calibrated forecast hours]]="","",ABS(tblWorkPackages[[#This Row],[Actual labor hours]]-tblWorkPackages[[#This Row],[Calibrated forecast hours]]))</f>
        <v/>
      </c>
      <c r="V2244" s="51">
        <f>IF(tblWorkPackages[[#This Row],[Time split]]="Train 2024",tblWorkPackages[[#This Row],[Estimated labor hours]],tblWorkPackages[[#This Row],[Calibrated forecast hours]])</f>
        <v>14.7</v>
      </c>
      <c r="W2244" s="64">
        <f>DATEVALUE(tblWorkPackages[[#This Row],[Request date]])</f>
        <v>45339.0</v>
      </c>
      <c r="X2244" s="64">
        <f>DATEVALUE(tblWorkPackages[[#This Row],[Due date]])</f>
        <v>45345.0</v>
      </c>
      <c r="Y2244" s="64">
        <f>DATEVALUE(tblWorkPackages[[#This Row],[Completion date]])</f>
        <v>45346.0</v>
      </c>
      <c r="Z2244" s="64">
        <f>_xlfn.MINIFS(tblLaborEntries[Work date serial],tblLaborEntries[Work package ID],tblWorkPackages[[#This Row],[Work package ID]])</f>
        <v>45342.0</v>
      </c>
      <c r="AA2244" s="64">
        <f>_xlfn.MAXIFS(tblLaborEntries[Work date serial],tblLaborEntries[Work package ID],tblWorkPackages[[#This Row],[Work package ID]])</f>
        <v>45344.0</v>
      </c>
      <c r="AB2244" s="65">
        <f>IF(tblWorkPackages[[#This Row],[Completion date serial]]&gt;tblWorkPackages[[#This Row],[Due date serial]],1,0)</f>
        <v>1</v>
      </c>
      <c r="AC2244" s="65">
        <f>MAX(0,tblWorkPackages[[#This Row],[Completion date serial]]-tblWorkPackages[[#This Row],[Due date serial]])</f>
        <v>1</v>
      </c>
      <c r="AD2244" s="65">
        <f>tblWorkPackages[[#This Row],[First labor date]]-tblWorkPackages[[#This Row],[Request date serial]]</f>
        <v>3</v>
      </c>
      <c r="AE2244" s="65">
        <f>tblWorkPackages[[#This Row],[Last labor date]]-tblWorkPackages[[#This Row],[First labor date]]</f>
        <v>2</v>
      </c>
      <c r="AF2244" s="65">
        <f>tblWorkPackages[[#This Row],[Completion date serial]]-tblWorkPackages[[#This Row],[Last labor date]]</f>
        <v>2</v>
      </c>
      <c r="AG2244" s="65">
        <f>tblWorkPackages[[#This Row],[Completion date serial]]-tblWorkPackages[[#This Row],[Request date serial]]</f>
        <v>7</v>
      </c>
      <c r="AH2244" s="65">
        <f>IFERROR(INDEX(tblParts[Delay days],MATCH(tblWorkPackages[[#This Row],[Work package ID]],tblParts[Work package ID],0)),0)</f>
        <v>0</v>
      </c>
      <c r="AI2244" s="51" t="str">
        <f>IFERROR(INDEX(tblDisruptions[Event type],MATCH(tblWorkPackages[[#This Row],[Work package ID]],tblDisruptions[Work package ID],0)),"None")</f>
        <v>None</v>
      </c>
      <c r="AJ2244" s="51" t="str">
        <f>TEXT(tblWorkPackages[[#This Row],[Due date serial]],"yyyy-mm")</f>
        <v>2024-02</v>
      </c>
    </row>
    <row r="2245" spans="1:36" ht="15" x14ac:dyDescent="0.25">
      <c r="A2245" s="53" t="s">
        <v>3161</v>
      </c>
      <c r="B2245" s="53" t="s">
        <v>124</v>
      </c>
      <c r="C2245" s="53" t="s">
        <v>710</v>
      </c>
      <c r="D2245" s="53" t="s">
        <v>603</v>
      </c>
      <c r="E2245" s="53" t="s">
        <v>272</v>
      </c>
      <c r="F2245" s="53" t="s">
        <v>145</v>
      </c>
      <c r="G2245" s="53" t="s">
        <v>273</v>
      </c>
      <c r="H2245" s="53">
        <v>2</v>
      </c>
      <c r="I2245" s="53" t="s">
        <v>130</v>
      </c>
      <c r="J2245" s="53">
        <v>0</v>
      </c>
      <c r="K2245" s="53">
        <v>0</v>
      </c>
      <c r="L2245" s="53">
        <v>12.4</v>
      </c>
      <c r="M2245" s="53" t="s">
        <v>628</v>
      </c>
      <c r="N2245" s="53">
        <v>14.3</v>
      </c>
      <c r="O2245" s="51" t="str">
        <f>TEXT(tblWorkPackages[[#This Row],[Request date serial]]-WEEKDAY(tblWorkPackages[[#This Row],[Request date serial]],3),"yyyy-mm-dd")</f>
        <v>2025-06-09</v>
      </c>
      <c r="P2245" s="51">
        <f>ABS(tblWorkPackages[[#This Row],[Actual labor hours]]-tblWorkPackages[[#This Row],[Estimated labor hours]])</f>
        <v>1.9</v>
      </c>
      <c r="Q2245" s="51">
        <f>IF(tblWorkPackages[[#This Row],[Actual labor hours]]&gt;tblWorkPackages[[#This Row],[Estimated labor hours]],1,0)</f>
        <v>1</v>
      </c>
      <c r="R2245" s="51">
        <f>tblWorkPackages[[#This Row],[Actual labor hours]]-tblWorkPackages[[#This Row],[Estimated labor hours]]</f>
        <v>1.9</v>
      </c>
      <c r="S2245" s="51" t="str">
        <f>IF(tblWorkPackages[[#This Row],[Request date serial]]&lt;ValidationStart,"Train 2024",IF(tblWorkPackages[[#This Row],[Request date serial]]&lt;HoldoutStart,"Validation H1","Holdout H2"))</f>
        <v>Validation H1</v>
      </c>
      <c r="T2245" s="51">
        <f>IF(tblWorkPackages[[#This Row],[Time split]]="Train 2024","",tblWorkPackages[[#This Row],[Estimated labor hours]]+VLOOKUP(tblWorkPackages[[#This Row],[Task type]],'Forecast validation'!$A$14:$E$25,IF(tblWorkPackages[[#This Row],[Time split]]="Validation H1",4,5),FALSE()))</f>
        <v>13.4320512820513</v>
      </c>
      <c r="U2245" s="51">
        <f>IF(tblWorkPackages[[#This Row],[Calibrated forecast hours]]="","",ABS(tblWorkPackages[[#This Row],[Actual labor hours]]-tblWorkPackages[[#This Row],[Calibrated forecast hours]]))</f>
        <v>0.867948717948718</v>
      </c>
      <c r="V2245" s="51">
        <f>IF(tblWorkPackages[[#This Row],[Time split]]="Train 2024",tblWorkPackages[[#This Row],[Estimated labor hours]],tblWorkPackages[[#This Row],[Calibrated forecast hours]])</f>
        <v>13.4320512820513</v>
      </c>
      <c r="W2245" s="64">
        <f>DATEVALUE(tblWorkPackages[[#This Row],[Request date]])</f>
        <v>45821.0</v>
      </c>
      <c r="X2245" s="64">
        <f>DATEVALUE(tblWorkPackages[[#This Row],[Due date]])</f>
        <v>45834.0</v>
      </c>
      <c r="Y2245" s="64">
        <f>DATEVALUE(tblWorkPackages[[#This Row],[Completion date]])</f>
        <v>45849.0</v>
      </c>
      <c r="Z2245" s="64">
        <f>_xlfn.MINIFS(tblLaborEntries[Work date serial],tblLaborEntries[Work package ID],tblWorkPackages[[#This Row],[Work package ID]])</f>
        <v>45846.0</v>
      </c>
      <c r="AA2245" s="64">
        <f>_xlfn.MAXIFS(tblLaborEntries[Work date serial],tblLaborEntries[Work package ID],tblWorkPackages[[#This Row],[Work package ID]])</f>
        <v>45846.0</v>
      </c>
      <c r="AB2245" s="65">
        <f>IF(tblWorkPackages[[#This Row],[Completion date serial]]&gt;tblWorkPackages[[#This Row],[Due date serial]],1,0)</f>
        <v>1</v>
      </c>
      <c r="AC2245" s="65">
        <f>MAX(0,tblWorkPackages[[#This Row],[Completion date serial]]-tblWorkPackages[[#This Row],[Due date serial]])</f>
        <v>15</v>
      </c>
      <c r="AD2245" s="65">
        <f>tblWorkPackages[[#This Row],[First labor date]]-tblWorkPackages[[#This Row],[Request date serial]]</f>
        <v>25</v>
      </c>
      <c r="AE2245" s="65">
        <f>tblWorkPackages[[#This Row],[Last labor date]]-tblWorkPackages[[#This Row],[First labor date]]</f>
        <v>0</v>
      </c>
      <c r="AF2245" s="65">
        <f>tblWorkPackages[[#This Row],[Completion date serial]]-tblWorkPackages[[#This Row],[Last labor date]]</f>
        <v>3</v>
      </c>
      <c r="AG2245" s="65">
        <f>tblWorkPackages[[#This Row],[Completion date serial]]-tblWorkPackages[[#This Row],[Request date serial]]</f>
        <v>28</v>
      </c>
      <c r="AH2245" s="65">
        <f>IFERROR(INDEX(tblParts[Delay days],MATCH(tblWorkPackages[[#This Row],[Work package ID]],tblParts[Work package ID],0)),0)</f>
        <v>0</v>
      </c>
      <c r="AI2245" s="51" t="str">
        <f>IFERROR(INDEX(tblDisruptions[Event type],MATCH(tblWorkPackages[[#This Row],[Work package ID]],tblDisruptions[Work package ID],0)),"None")</f>
        <v>None</v>
      </c>
      <c r="AJ2245" s="51" t="str">
        <f>TEXT(tblWorkPackages[[#This Row],[Due date serial]],"yyyy-mm")</f>
        <v>2025-06</v>
      </c>
    </row>
    <row r="2246" spans="1:36" ht="15" x14ac:dyDescent="0.25">
      <c r="A2246" s="53" t="s">
        <v>3162</v>
      </c>
      <c r="B2246" s="53" t="s">
        <v>168</v>
      </c>
      <c r="C2246" s="53" t="s">
        <v>317</v>
      </c>
      <c r="D2246" s="53" t="s">
        <v>1202</v>
      </c>
      <c r="E2246" s="53" t="s">
        <v>272</v>
      </c>
      <c r="F2246" s="53" t="s">
        <v>145</v>
      </c>
      <c r="G2246" s="53" t="s">
        <v>273</v>
      </c>
      <c r="H2246" s="53">
        <v>3</v>
      </c>
      <c r="I2246" s="53" t="s">
        <v>130</v>
      </c>
      <c r="J2246" s="53">
        <v>0</v>
      </c>
      <c r="K2246" s="53">
        <v>1</v>
      </c>
      <c r="L2246" s="53">
        <v>17.8</v>
      </c>
      <c r="M2246" s="53" t="s">
        <v>675</v>
      </c>
      <c r="N2246" s="53">
        <v>15.7</v>
      </c>
      <c r="O2246" s="51" t="str">
        <f>TEXT(tblWorkPackages[[#This Row],[Request date serial]]-WEEKDAY(tblWorkPackages[[#This Row],[Request date serial]],3),"yyyy-mm-dd")</f>
        <v>2024-04-08</v>
      </c>
      <c r="P2246" s="51">
        <f>ABS(tblWorkPackages[[#This Row],[Actual labor hours]]-tblWorkPackages[[#This Row],[Estimated labor hours]])</f>
        <v>2.1</v>
      </c>
      <c r="Q2246" s="51">
        <f>IF(tblWorkPackages[[#This Row],[Actual labor hours]]&gt;tblWorkPackages[[#This Row],[Estimated labor hours]],1,0)</f>
        <v>0</v>
      </c>
      <c r="R2246" s="51">
        <f>tblWorkPackages[[#This Row],[Actual labor hours]]-tblWorkPackages[[#This Row],[Estimated labor hours]]</f>
        <v>-2.1</v>
      </c>
      <c r="S2246" s="51" t="str">
        <f>IF(tblWorkPackages[[#This Row],[Request date serial]]&lt;ValidationStart,"Train 2024",IF(tblWorkPackages[[#This Row],[Request date serial]]&lt;HoldoutStart,"Validation H1","Holdout H2"))</f>
        <v>Train 2024</v>
      </c>
      <c r="T2246" s="51" t="str">
        <f>IF(tblWorkPackages[[#This Row],[Time split]]="Train 2024","",tblWorkPackages[[#This Row],[Estimated labor hours]]+VLOOKUP(tblWorkPackages[[#This Row],[Task type]],'Forecast validation'!$A$14:$E$25,IF(tblWorkPackages[[#This Row],[Time split]]="Validation H1",4,5),FALSE()))</f>
        <v/>
      </c>
      <c r="U2246" s="51" t="str">
        <f>IF(tblWorkPackages[[#This Row],[Calibrated forecast hours]]="","",ABS(tblWorkPackages[[#This Row],[Actual labor hours]]-tblWorkPackages[[#This Row],[Calibrated forecast hours]]))</f>
        <v/>
      </c>
      <c r="V2246" s="51">
        <f>IF(tblWorkPackages[[#This Row],[Time split]]="Train 2024",tblWorkPackages[[#This Row],[Estimated labor hours]],tblWorkPackages[[#This Row],[Calibrated forecast hours]])</f>
        <v>17.8</v>
      </c>
      <c r="W2246" s="64">
        <f>DATEVALUE(tblWorkPackages[[#This Row],[Request date]])</f>
        <v>45394.0</v>
      </c>
      <c r="X2246" s="64">
        <f>DATEVALUE(tblWorkPackages[[#This Row],[Due date]])</f>
        <v>45407.0</v>
      </c>
      <c r="Y2246" s="64">
        <f>DATEVALUE(tblWorkPackages[[#This Row],[Completion date]])</f>
        <v>45399.0</v>
      </c>
      <c r="Z2246" s="64">
        <f>_xlfn.MINIFS(tblLaborEntries[Work date serial],tblLaborEntries[Work package ID],tblWorkPackages[[#This Row],[Work package ID]])</f>
        <v>45398.0</v>
      </c>
      <c r="AA2246" s="64">
        <f>_xlfn.MAXIFS(tblLaborEntries[Work date serial],tblLaborEntries[Work package ID],tblWorkPackages[[#This Row],[Work package ID]])</f>
        <v>45399.0</v>
      </c>
      <c r="AB2246" s="65">
        <f>IF(tblWorkPackages[[#This Row],[Completion date serial]]&gt;tblWorkPackages[[#This Row],[Due date serial]],1,0)</f>
        <v>0</v>
      </c>
      <c r="AC2246" s="65">
        <f>MAX(0,tblWorkPackages[[#This Row],[Completion date serial]]-tblWorkPackages[[#This Row],[Due date serial]])</f>
        <v>0</v>
      </c>
      <c r="AD2246" s="65">
        <f>tblWorkPackages[[#This Row],[First labor date]]-tblWorkPackages[[#This Row],[Request date serial]]</f>
        <v>4</v>
      </c>
      <c r="AE2246" s="65">
        <f>tblWorkPackages[[#This Row],[Last labor date]]-tblWorkPackages[[#This Row],[First labor date]]</f>
        <v>1</v>
      </c>
      <c r="AF2246" s="65">
        <f>tblWorkPackages[[#This Row],[Completion date serial]]-tblWorkPackages[[#This Row],[Last labor date]]</f>
        <v>0</v>
      </c>
      <c r="AG2246" s="65">
        <f>tblWorkPackages[[#This Row],[Completion date serial]]-tblWorkPackages[[#This Row],[Request date serial]]</f>
        <v>5</v>
      </c>
      <c r="AH2246" s="65">
        <f>IFERROR(INDEX(tblParts[Delay days],MATCH(tblWorkPackages[[#This Row],[Work package ID]],tblParts[Work package ID],0)),0)</f>
        <v>0</v>
      </c>
      <c r="AI2246" s="51" t="str">
        <f>IFERROR(INDEX(tblDisruptions[Event type],MATCH(tblWorkPackages[[#This Row],[Work package ID]],tblDisruptions[Work package ID],0)),"None")</f>
        <v>None</v>
      </c>
      <c r="AJ2246" s="51" t="str">
        <f>TEXT(tblWorkPackages[[#This Row],[Due date serial]],"yyyy-mm")</f>
        <v>2024-04</v>
      </c>
    </row>
    <row r="2247" spans="1:36" ht="15" x14ac:dyDescent="0.25">
      <c r="A2247" s="53" t="s">
        <v>3163</v>
      </c>
      <c r="B2247" s="53" t="s">
        <v>250</v>
      </c>
      <c r="C2247" s="53" t="s">
        <v>309</v>
      </c>
      <c r="D2247" s="53" t="s">
        <v>939</v>
      </c>
      <c r="E2247" s="53" t="s">
        <v>223</v>
      </c>
      <c r="F2247" s="53" t="s">
        <v>182</v>
      </c>
      <c r="G2247" s="53" t="s">
        <v>154</v>
      </c>
      <c r="H2247" s="53">
        <v>1</v>
      </c>
      <c r="I2247" s="53" t="s">
        <v>130</v>
      </c>
      <c r="J2247" s="53">
        <v>0</v>
      </c>
      <c r="K2247" s="53">
        <v>1</v>
      </c>
      <c r="L2247" s="53">
        <v>7.2</v>
      </c>
      <c r="M2247" s="53" t="s">
        <v>937</v>
      </c>
      <c r="N2247" s="53">
        <v>8.9</v>
      </c>
      <c r="O2247" s="51" t="str">
        <f>TEXT(tblWorkPackages[[#This Row],[Request date serial]]-WEEKDAY(tblWorkPackages[[#This Row],[Request date serial]],3),"yyyy-mm-dd")</f>
        <v>2025-11-03</v>
      </c>
      <c r="P2247" s="51">
        <f>ABS(tblWorkPackages[[#This Row],[Actual labor hours]]-tblWorkPackages[[#This Row],[Estimated labor hours]])</f>
        <v>1.7</v>
      </c>
      <c r="Q2247" s="51">
        <f>IF(tblWorkPackages[[#This Row],[Actual labor hours]]&gt;tblWorkPackages[[#This Row],[Estimated labor hours]],1,0)</f>
        <v>1</v>
      </c>
      <c r="R2247" s="51">
        <f>tblWorkPackages[[#This Row],[Actual labor hours]]-tblWorkPackages[[#This Row],[Estimated labor hours]]</f>
        <v>1.7</v>
      </c>
      <c r="S2247" s="51" t="str">
        <f>IF(tblWorkPackages[[#This Row],[Request date serial]]&lt;ValidationStart,"Train 2024",IF(tblWorkPackages[[#This Row],[Request date serial]]&lt;HoldoutStart,"Validation H1","Holdout H2"))</f>
        <v>Holdout H2</v>
      </c>
      <c r="T2247" s="51">
        <f>IF(tblWorkPackages[[#This Row],[Time split]]="Train 2024","",tblWorkPackages[[#This Row],[Estimated labor hours]]+VLOOKUP(tblWorkPackages[[#This Row],[Task type]],'Forecast validation'!$A$14:$E$25,IF(tblWorkPackages[[#This Row],[Time split]]="Validation H1",4,5),FALSE()))</f>
        <v>8.12465753424658</v>
      </c>
      <c r="U2247" s="51">
        <f>IF(tblWorkPackages[[#This Row],[Calibrated forecast hours]]="","",ABS(tblWorkPackages[[#This Row],[Actual labor hours]]-tblWorkPackages[[#This Row],[Calibrated forecast hours]]))</f>
        <v>0.775342465753425</v>
      </c>
      <c r="V2247" s="51">
        <f>IF(tblWorkPackages[[#This Row],[Time split]]="Train 2024",tblWorkPackages[[#This Row],[Estimated labor hours]],tblWorkPackages[[#This Row],[Calibrated forecast hours]])</f>
        <v>8.12465753424658</v>
      </c>
      <c r="W2247" s="64">
        <f>DATEVALUE(tblWorkPackages[[#This Row],[Request date]])</f>
        <v>45967.0</v>
      </c>
      <c r="X2247" s="64">
        <f>DATEVALUE(tblWorkPackages[[#This Row],[Due date]])</f>
        <v>45980.0</v>
      </c>
      <c r="Y2247" s="64">
        <f>DATEVALUE(tblWorkPackages[[#This Row],[Completion date]])</f>
        <v>45971.0</v>
      </c>
      <c r="Z2247" s="64">
        <f>_xlfn.MINIFS(tblLaborEntries[Work date serial],tblLaborEntries[Work package ID],tblWorkPackages[[#This Row],[Work package ID]])</f>
        <v>45968.0</v>
      </c>
      <c r="AA2247" s="64">
        <f>_xlfn.MAXIFS(tblLaborEntries[Work date serial],tblLaborEntries[Work package ID],tblWorkPackages[[#This Row],[Work package ID]])</f>
        <v>45970.0</v>
      </c>
      <c r="AB2247" s="65">
        <f>IF(tblWorkPackages[[#This Row],[Completion date serial]]&gt;tblWorkPackages[[#This Row],[Due date serial]],1,0)</f>
        <v>0</v>
      </c>
      <c r="AC2247" s="65">
        <f>MAX(0,tblWorkPackages[[#This Row],[Completion date serial]]-tblWorkPackages[[#This Row],[Due date serial]])</f>
        <v>0</v>
      </c>
      <c r="AD2247" s="65">
        <f>tblWorkPackages[[#This Row],[First labor date]]-tblWorkPackages[[#This Row],[Request date serial]]</f>
        <v>1</v>
      </c>
      <c r="AE2247" s="65">
        <f>tblWorkPackages[[#This Row],[Last labor date]]-tblWorkPackages[[#This Row],[First labor date]]</f>
        <v>2</v>
      </c>
      <c r="AF2247" s="65">
        <f>tblWorkPackages[[#This Row],[Completion date serial]]-tblWorkPackages[[#This Row],[Last labor date]]</f>
        <v>1</v>
      </c>
      <c r="AG2247" s="65">
        <f>tblWorkPackages[[#This Row],[Completion date serial]]-tblWorkPackages[[#This Row],[Request date serial]]</f>
        <v>4</v>
      </c>
      <c r="AH2247" s="65">
        <f>IFERROR(INDEX(tblParts[Delay days],MATCH(tblWorkPackages[[#This Row],[Work package ID]],tblParts[Work package ID],0)),0)</f>
        <v>0</v>
      </c>
      <c r="AI2247" s="51" t="str">
        <f>IFERROR(INDEX(tblDisruptions[Event type],MATCH(tblWorkPackages[[#This Row],[Work package ID]],tblDisruptions[Work package ID],0)),"None")</f>
        <v>None</v>
      </c>
      <c r="AJ2247" s="51" t="str">
        <f>TEXT(tblWorkPackages[[#This Row],[Due date serial]],"yyyy-mm")</f>
        <v>2025-11</v>
      </c>
    </row>
    <row r="2248" spans="1:36" ht="15" x14ac:dyDescent="0.25">
      <c r="A2248" s="53" t="s">
        <v>3164</v>
      </c>
      <c r="B2248" s="53" t="s">
        <v>250</v>
      </c>
      <c r="C2248" s="53" t="s">
        <v>672</v>
      </c>
      <c r="D2248" s="53" t="s">
        <v>198</v>
      </c>
      <c r="E2248" s="53" t="s">
        <v>160</v>
      </c>
      <c r="F2248" s="53" t="s">
        <v>128</v>
      </c>
      <c r="G2248" s="53" t="s">
        <v>138</v>
      </c>
      <c r="H2248" s="53">
        <v>3</v>
      </c>
      <c r="I2248" s="53" t="s">
        <v>176</v>
      </c>
      <c r="J2248" s="53">
        <v>0</v>
      </c>
      <c r="K2248" s="53">
        <v>0</v>
      </c>
      <c r="L2248" s="53">
        <v>6.5</v>
      </c>
      <c r="M2248" s="53" t="s">
        <v>627</v>
      </c>
      <c r="N2248" s="53">
        <v>8.1999999999999993</v>
      </c>
      <c r="O2248" s="51" t="str">
        <f>TEXT(tblWorkPackages[[#This Row],[Request date serial]]-WEEKDAY(tblWorkPackages[[#This Row],[Request date serial]],3),"yyyy-mm-dd")</f>
        <v>2025-06-16</v>
      </c>
      <c r="P2248" s="51">
        <f>ABS(tblWorkPackages[[#This Row],[Actual labor hours]]-tblWorkPackages[[#This Row],[Estimated labor hours]])</f>
        <v>1.7</v>
      </c>
      <c r="Q2248" s="51">
        <f>IF(tblWorkPackages[[#This Row],[Actual labor hours]]&gt;tblWorkPackages[[#This Row],[Estimated labor hours]],1,0)</f>
        <v>1</v>
      </c>
      <c r="R2248" s="51">
        <f>tblWorkPackages[[#This Row],[Actual labor hours]]-tblWorkPackages[[#This Row],[Estimated labor hours]]</f>
        <v>1.7</v>
      </c>
      <c r="S2248" s="51" t="str">
        <f>IF(tblWorkPackages[[#This Row],[Request date serial]]&lt;ValidationStart,"Train 2024",IF(tblWorkPackages[[#This Row],[Request date serial]]&lt;HoldoutStart,"Validation H1","Holdout H2"))</f>
        <v>Validation H1</v>
      </c>
      <c r="T2248" s="51">
        <f>IF(tblWorkPackages[[#This Row],[Time split]]="Train 2024","",tblWorkPackages[[#This Row],[Estimated labor hours]]+VLOOKUP(tblWorkPackages[[#This Row],[Task type]],'Forecast validation'!$A$14:$E$25,IF(tblWorkPackages[[#This Row],[Time split]]="Validation H1",4,5),FALSE()))</f>
        <v>6.94146341463415</v>
      </c>
      <c r="U2248" s="51">
        <f>IF(tblWorkPackages[[#This Row],[Calibrated forecast hours]]="","",ABS(tblWorkPackages[[#This Row],[Actual labor hours]]-tblWorkPackages[[#This Row],[Calibrated forecast hours]]))</f>
        <v>1.25853658536585</v>
      </c>
      <c r="V2248" s="51">
        <f>IF(tblWorkPackages[[#This Row],[Time split]]="Train 2024",tblWorkPackages[[#This Row],[Estimated labor hours]],tblWorkPackages[[#This Row],[Calibrated forecast hours]])</f>
        <v>6.94146341463415</v>
      </c>
      <c r="W2248" s="64">
        <f>DATEVALUE(tblWorkPackages[[#This Row],[Request date]])</f>
        <v>45826.0</v>
      </c>
      <c r="X2248" s="64">
        <f>DATEVALUE(tblWorkPackages[[#This Row],[Due date]])</f>
        <v>45832.0</v>
      </c>
      <c r="Y2248" s="64">
        <f>DATEVALUE(tblWorkPackages[[#This Row],[Completion date]])</f>
        <v>45843.0</v>
      </c>
      <c r="Z2248" s="64">
        <f>_xlfn.MINIFS(tblLaborEntries[Work date serial],tblLaborEntries[Work package ID],tblWorkPackages[[#This Row],[Work package ID]])</f>
        <v>45839.0</v>
      </c>
      <c r="AA2248" s="64">
        <f>_xlfn.MAXIFS(tblLaborEntries[Work date serial],tblLaborEntries[Work package ID],tblWorkPackages[[#This Row],[Work package ID]])</f>
        <v>45841.0</v>
      </c>
      <c r="AB2248" s="65">
        <f>IF(tblWorkPackages[[#This Row],[Completion date serial]]&gt;tblWorkPackages[[#This Row],[Due date serial]],1,0)</f>
        <v>1</v>
      </c>
      <c r="AC2248" s="65">
        <f>MAX(0,tblWorkPackages[[#This Row],[Completion date serial]]-tblWorkPackages[[#This Row],[Due date serial]])</f>
        <v>11</v>
      </c>
      <c r="AD2248" s="65">
        <f>tblWorkPackages[[#This Row],[First labor date]]-tblWorkPackages[[#This Row],[Request date serial]]</f>
        <v>13</v>
      </c>
      <c r="AE2248" s="65">
        <f>tblWorkPackages[[#This Row],[Last labor date]]-tblWorkPackages[[#This Row],[First labor date]]</f>
        <v>2</v>
      </c>
      <c r="AF2248" s="65">
        <f>tblWorkPackages[[#This Row],[Completion date serial]]-tblWorkPackages[[#This Row],[Last labor date]]</f>
        <v>2</v>
      </c>
      <c r="AG2248" s="65">
        <f>tblWorkPackages[[#This Row],[Completion date serial]]-tblWorkPackages[[#This Row],[Request date serial]]</f>
        <v>17</v>
      </c>
      <c r="AH2248" s="65">
        <f>IFERROR(INDEX(tblParts[Delay days],MATCH(tblWorkPackages[[#This Row],[Work package ID]],tblParts[Work package ID],0)),0)</f>
        <v>0</v>
      </c>
      <c r="AI2248" s="51" t="str">
        <f>IFERROR(INDEX(tblDisruptions[Event type],MATCH(tblWorkPackages[[#This Row],[Work package ID]],tblDisruptions[Work package ID],0)),"None")</f>
        <v>None</v>
      </c>
      <c r="AJ2248" s="51" t="str">
        <f>TEXT(tblWorkPackages[[#This Row],[Due date serial]],"yyyy-mm")</f>
        <v>2025-06</v>
      </c>
    </row>
    <row r="2249" spans="1:36" ht="15" x14ac:dyDescent="0.25">
      <c r="A2249" s="53" t="s">
        <v>3165</v>
      </c>
      <c r="B2249" s="53" t="s">
        <v>250</v>
      </c>
      <c r="C2249" s="53" t="s">
        <v>148</v>
      </c>
      <c r="D2249" s="53" t="s">
        <v>328</v>
      </c>
      <c r="E2249" s="53" t="s">
        <v>153</v>
      </c>
      <c r="F2249" s="53" t="s">
        <v>128</v>
      </c>
      <c r="G2249" s="53" t="s">
        <v>154</v>
      </c>
      <c r="H2249" s="53">
        <v>3</v>
      </c>
      <c r="I2249" s="53" t="s">
        <v>130</v>
      </c>
      <c r="J2249" s="53">
        <v>0</v>
      </c>
      <c r="K2249" s="53">
        <v>0</v>
      </c>
      <c r="L2249" s="53">
        <v>13.6</v>
      </c>
      <c r="M2249" s="53" t="s">
        <v>1260</v>
      </c>
      <c r="N2249" s="53">
        <v>12</v>
      </c>
      <c r="O2249" s="51" t="str">
        <f>TEXT(tblWorkPackages[[#This Row],[Request date serial]]-WEEKDAY(tblWorkPackages[[#This Row],[Request date serial]],3),"yyyy-mm-dd")</f>
        <v>2024-02-26</v>
      </c>
      <c r="P2249" s="51">
        <f>ABS(tblWorkPackages[[#This Row],[Actual labor hours]]-tblWorkPackages[[#This Row],[Estimated labor hours]])</f>
        <v>1.6</v>
      </c>
      <c r="Q2249" s="51">
        <f>IF(tblWorkPackages[[#This Row],[Actual labor hours]]&gt;tblWorkPackages[[#This Row],[Estimated labor hours]],1,0)</f>
        <v>0</v>
      </c>
      <c r="R2249" s="51">
        <f>tblWorkPackages[[#This Row],[Actual labor hours]]-tblWorkPackages[[#This Row],[Estimated labor hours]]</f>
        <v>-1.6</v>
      </c>
      <c r="S2249" s="51" t="str">
        <f>IF(tblWorkPackages[[#This Row],[Request date serial]]&lt;ValidationStart,"Train 2024",IF(tblWorkPackages[[#This Row],[Request date serial]]&lt;HoldoutStart,"Validation H1","Holdout H2"))</f>
        <v>Train 2024</v>
      </c>
      <c r="T2249" s="51" t="str">
        <f>IF(tblWorkPackages[[#This Row],[Time split]]="Train 2024","",tblWorkPackages[[#This Row],[Estimated labor hours]]+VLOOKUP(tblWorkPackages[[#This Row],[Task type]],'Forecast validation'!$A$14:$E$25,IF(tblWorkPackages[[#This Row],[Time split]]="Validation H1",4,5),FALSE()))</f>
        <v/>
      </c>
      <c r="U2249" s="51" t="str">
        <f>IF(tblWorkPackages[[#This Row],[Calibrated forecast hours]]="","",ABS(tblWorkPackages[[#This Row],[Actual labor hours]]-tblWorkPackages[[#This Row],[Calibrated forecast hours]]))</f>
        <v/>
      </c>
      <c r="V2249" s="51">
        <f>IF(tblWorkPackages[[#This Row],[Time split]]="Train 2024",tblWorkPackages[[#This Row],[Estimated labor hours]],tblWorkPackages[[#This Row],[Calibrated forecast hours]])</f>
        <v>13.6</v>
      </c>
      <c r="W2249" s="64">
        <f>DATEVALUE(tblWorkPackages[[#This Row],[Request date]])</f>
        <v>45348.0</v>
      </c>
      <c r="X2249" s="64">
        <f>DATEVALUE(tblWorkPackages[[#This Row],[Due date]])</f>
        <v>45361.0</v>
      </c>
      <c r="Y2249" s="64">
        <f>DATEVALUE(tblWorkPackages[[#This Row],[Completion date]])</f>
        <v>45355.0</v>
      </c>
      <c r="Z2249" s="64">
        <f>_xlfn.MINIFS(tblLaborEntries[Work date serial],tblLaborEntries[Work package ID],tblWorkPackages[[#This Row],[Work package ID]])</f>
        <v>45351.0</v>
      </c>
      <c r="AA2249" s="64">
        <f>_xlfn.MAXIFS(tblLaborEntries[Work date serial],tblLaborEntries[Work package ID],tblWorkPackages[[#This Row],[Work package ID]])</f>
        <v>45352.0</v>
      </c>
      <c r="AB2249" s="65">
        <f>IF(tblWorkPackages[[#This Row],[Completion date serial]]&gt;tblWorkPackages[[#This Row],[Due date serial]],1,0)</f>
        <v>0</v>
      </c>
      <c r="AC2249" s="65">
        <f>MAX(0,tblWorkPackages[[#This Row],[Completion date serial]]-tblWorkPackages[[#This Row],[Due date serial]])</f>
        <v>0</v>
      </c>
      <c r="AD2249" s="65">
        <f>tblWorkPackages[[#This Row],[First labor date]]-tblWorkPackages[[#This Row],[Request date serial]]</f>
        <v>3</v>
      </c>
      <c r="AE2249" s="65">
        <f>tblWorkPackages[[#This Row],[Last labor date]]-tblWorkPackages[[#This Row],[First labor date]]</f>
        <v>1</v>
      </c>
      <c r="AF2249" s="65">
        <f>tblWorkPackages[[#This Row],[Completion date serial]]-tblWorkPackages[[#This Row],[Last labor date]]</f>
        <v>3</v>
      </c>
      <c r="AG2249" s="65">
        <f>tblWorkPackages[[#This Row],[Completion date serial]]-tblWorkPackages[[#This Row],[Request date serial]]</f>
        <v>7</v>
      </c>
      <c r="AH2249" s="65">
        <f>IFERROR(INDEX(tblParts[Delay days],MATCH(tblWorkPackages[[#This Row],[Work package ID]],tblParts[Work package ID],0)),0)</f>
        <v>0</v>
      </c>
      <c r="AI2249" s="51" t="str">
        <f>IFERROR(INDEX(tblDisruptions[Event type],MATCH(tblWorkPackages[[#This Row],[Work package ID]],tblDisruptions[Work package ID],0)),"None")</f>
        <v>None</v>
      </c>
      <c r="AJ2249" s="51" t="str">
        <f>TEXT(tblWorkPackages[[#This Row],[Due date serial]],"yyyy-mm")</f>
        <v>2024-03</v>
      </c>
    </row>
    <row r="2250" spans="1:36" ht="15" x14ac:dyDescent="0.25">
      <c r="A2250" s="53" t="s">
        <v>3166</v>
      </c>
      <c r="B2250" s="53" t="s">
        <v>150</v>
      </c>
      <c r="C2250" s="53" t="s">
        <v>1183</v>
      </c>
      <c r="D2250" s="53" t="s">
        <v>567</v>
      </c>
      <c r="E2250" s="53" t="s">
        <v>144</v>
      </c>
      <c r="F2250" s="53" t="s">
        <v>145</v>
      </c>
      <c r="G2250" s="53" t="s">
        <v>146</v>
      </c>
      <c r="H2250" s="53">
        <v>1</v>
      </c>
      <c r="I2250" s="53" t="s">
        <v>147</v>
      </c>
      <c r="J2250" s="53">
        <v>0</v>
      </c>
      <c r="K2250" s="53">
        <v>0</v>
      </c>
      <c r="L2250" s="53">
        <v>8</v>
      </c>
      <c r="M2250" s="53" t="s">
        <v>502</v>
      </c>
      <c r="N2250" s="53">
        <v>9.8000000000000007</v>
      </c>
      <c r="O2250" s="51" t="str">
        <f>TEXT(tblWorkPackages[[#This Row],[Request date serial]]-WEEKDAY(tblWorkPackages[[#This Row],[Request date serial]],3),"yyyy-mm-dd")</f>
        <v>2025-05-19</v>
      </c>
      <c r="P2250" s="51">
        <f>ABS(tblWorkPackages[[#This Row],[Actual labor hours]]-tblWorkPackages[[#This Row],[Estimated labor hours]])</f>
        <v>1.8</v>
      </c>
      <c r="Q2250" s="51">
        <f>IF(tblWorkPackages[[#This Row],[Actual labor hours]]&gt;tblWorkPackages[[#This Row],[Estimated labor hours]],1,0)</f>
        <v>1</v>
      </c>
      <c r="R2250" s="51">
        <f>tblWorkPackages[[#This Row],[Actual labor hours]]-tblWorkPackages[[#This Row],[Estimated labor hours]]</f>
        <v>1.8</v>
      </c>
      <c r="S2250" s="51" t="str">
        <f>IF(tblWorkPackages[[#This Row],[Request date serial]]&lt;ValidationStart,"Train 2024",IF(tblWorkPackages[[#This Row],[Request date serial]]&lt;HoldoutStart,"Validation H1","Holdout H2"))</f>
        <v>Validation H1</v>
      </c>
      <c r="T2250" s="51">
        <f>IF(tblWorkPackages[[#This Row],[Time split]]="Train 2024","",tblWorkPackages[[#This Row],[Estimated labor hours]]+VLOOKUP(tblWorkPackages[[#This Row],[Task type]],'Forecast validation'!$A$14:$E$25,IF(tblWorkPackages[[#This Row],[Time split]]="Validation H1",4,5),FALSE()))</f>
        <v>8.75473684210526</v>
      </c>
      <c r="U2250" s="51">
        <f>IF(tblWorkPackages[[#This Row],[Calibrated forecast hours]]="","",ABS(tblWorkPackages[[#This Row],[Actual labor hours]]-tblWorkPackages[[#This Row],[Calibrated forecast hours]]))</f>
        <v>1.04526315789474</v>
      </c>
      <c r="V2250" s="51">
        <f>IF(tblWorkPackages[[#This Row],[Time split]]="Train 2024",tblWorkPackages[[#This Row],[Estimated labor hours]],tblWorkPackages[[#This Row],[Calibrated forecast hours]])</f>
        <v>8.75473684210526</v>
      </c>
      <c r="W2250" s="64">
        <f>DATEVALUE(tblWorkPackages[[#This Row],[Request date]])</f>
        <v>45798.0</v>
      </c>
      <c r="X2250" s="64">
        <f>DATEVALUE(tblWorkPackages[[#This Row],[Due date]])</f>
        <v>45800.0</v>
      </c>
      <c r="Y2250" s="64">
        <f>DATEVALUE(tblWorkPackages[[#This Row],[Completion date]])</f>
        <v>45840.0</v>
      </c>
      <c r="Z2250" s="64">
        <f>_xlfn.MINIFS(tblLaborEntries[Work date serial],tblLaborEntries[Work package ID],tblWorkPackages[[#This Row],[Work package ID]])</f>
        <v>45839.0</v>
      </c>
      <c r="AA2250" s="64">
        <f>_xlfn.MAXIFS(tblLaborEntries[Work date serial],tblLaborEntries[Work package ID],tblWorkPackages[[#This Row],[Work package ID]])</f>
        <v>45840.0</v>
      </c>
      <c r="AB2250" s="65">
        <f>IF(tblWorkPackages[[#This Row],[Completion date serial]]&gt;tblWorkPackages[[#This Row],[Due date serial]],1,0)</f>
        <v>1</v>
      </c>
      <c r="AC2250" s="65">
        <f>MAX(0,tblWorkPackages[[#This Row],[Completion date serial]]-tblWorkPackages[[#This Row],[Due date serial]])</f>
        <v>40</v>
      </c>
      <c r="AD2250" s="65">
        <f>tblWorkPackages[[#This Row],[First labor date]]-tblWorkPackages[[#This Row],[Request date serial]]</f>
        <v>41</v>
      </c>
      <c r="AE2250" s="65">
        <f>tblWorkPackages[[#This Row],[Last labor date]]-tblWorkPackages[[#This Row],[First labor date]]</f>
        <v>1</v>
      </c>
      <c r="AF2250" s="65">
        <f>tblWorkPackages[[#This Row],[Completion date serial]]-tblWorkPackages[[#This Row],[Last labor date]]</f>
        <v>0</v>
      </c>
      <c r="AG2250" s="65">
        <f>tblWorkPackages[[#This Row],[Completion date serial]]-tblWorkPackages[[#This Row],[Request date serial]]</f>
        <v>42</v>
      </c>
      <c r="AH2250" s="65">
        <f>IFERROR(INDEX(tblParts[Delay days],MATCH(tblWorkPackages[[#This Row],[Work package ID]],tblParts[Work package ID],0)),0)</f>
        <v>0</v>
      </c>
      <c r="AI2250" s="51" t="str">
        <f>IFERROR(INDEX(tblDisruptions[Event type],MATCH(tblWorkPackages[[#This Row],[Work package ID]],tblDisruptions[Work package ID],0)),"None")</f>
        <v>None</v>
      </c>
      <c r="AJ2250" s="51" t="str">
        <f>TEXT(tblWorkPackages[[#This Row],[Due date serial]],"yyyy-mm")</f>
        <v>2025-05</v>
      </c>
    </row>
    <row r="2251" spans="1:36" ht="15" x14ac:dyDescent="0.25">
      <c r="A2251" s="53" t="s">
        <v>3167</v>
      </c>
      <c r="B2251" s="53" t="s">
        <v>133</v>
      </c>
      <c r="C2251" s="53" t="s">
        <v>531</v>
      </c>
      <c r="D2251" s="53" t="s">
        <v>797</v>
      </c>
      <c r="E2251" s="53" t="s">
        <v>272</v>
      </c>
      <c r="F2251" s="53" t="s">
        <v>145</v>
      </c>
      <c r="G2251" s="53" t="s">
        <v>273</v>
      </c>
      <c r="H2251" s="53">
        <v>1</v>
      </c>
      <c r="I2251" s="53" t="s">
        <v>130</v>
      </c>
      <c r="J2251" s="53">
        <v>0</v>
      </c>
      <c r="K2251" s="53">
        <v>1</v>
      </c>
      <c r="L2251" s="53">
        <v>7.2</v>
      </c>
      <c r="M2251" s="53" t="s">
        <v>343</v>
      </c>
      <c r="N2251" s="53">
        <v>6.5</v>
      </c>
      <c r="O2251" s="51" t="str">
        <f>TEXT(tblWorkPackages[[#This Row],[Request date serial]]-WEEKDAY(tblWorkPackages[[#This Row],[Request date serial]],3),"yyyy-mm-dd")</f>
        <v>2025-07-14</v>
      </c>
      <c r="P2251" s="51">
        <f>ABS(tblWorkPackages[[#This Row],[Actual labor hours]]-tblWorkPackages[[#This Row],[Estimated labor hours]])</f>
        <v>0.7</v>
      </c>
      <c r="Q2251" s="51">
        <f>IF(tblWorkPackages[[#This Row],[Actual labor hours]]&gt;tblWorkPackages[[#This Row],[Estimated labor hours]],1,0)</f>
        <v>0</v>
      </c>
      <c r="R2251" s="51">
        <f>tblWorkPackages[[#This Row],[Actual labor hours]]-tblWorkPackages[[#This Row],[Estimated labor hours]]</f>
        <v>-0.7</v>
      </c>
      <c r="S2251" s="51" t="str">
        <f>IF(tblWorkPackages[[#This Row],[Request date serial]]&lt;ValidationStart,"Train 2024",IF(tblWorkPackages[[#This Row],[Request date serial]]&lt;HoldoutStart,"Validation H1","Holdout H2"))</f>
        <v>Holdout H2</v>
      </c>
      <c r="T2251" s="51">
        <f>IF(tblWorkPackages[[#This Row],[Time split]]="Train 2024","",tblWorkPackages[[#This Row],[Estimated labor hours]]+VLOOKUP(tblWorkPackages[[#This Row],[Task type]],'Forecast validation'!$A$14:$E$25,IF(tblWorkPackages[[#This Row],[Time split]]="Validation H1",4,5),FALSE()))</f>
        <v>8.18515625</v>
      </c>
      <c r="U2251" s="51">
        <f>IF(tblWorkPackages[[#This Row],[Calibrated forecast hours]]="","",ABS(tblWorkPackages[[#This Row],[Actual labor hours]]-tblWorkPackages[[#This Row],[Calibrated forecast hours]]))</f>
        <v>1.68515625</v>
      </c>
      <c r="V2251" s="51">
        <f>IF(tblWorkPackages[[#This Row],[Time split]]="Train 2024",tblWorkPackages[[#This Row],[Estimated labor hours]],tblWorkPackages[[#This Row],[Calibrated forecast hours]])</f>
        <v>8.18515625</v>
      </c>
      <c r="W2251" s="64">
        <f>DATEVALUE(tblWorkPackages[[#This Row],[Request date]])</f>
        <v>45854.0</v>
      </c>
      <c r="X2251" s="64">
        <f>DATEVALUE(tblWorkPackages[[#This Row],[Due date]])</f>
        <v>45867.0</v>
      </c>
      <c r="Y2251" s="64">
        <f>DATEVALUE(tblWorkPackages[[#This Row],[Completion date]])</f>
        <v>45862.0</v>
      </c>
      <c r="Z2251" s="64">
        <f>_xlfn.MINIFS(tblLaborEntries[Work date serial],tblLaborEntries[Work package ID],tblWorkPackages[[#This Row],[Work package ID]])</f>
        <v>45861.0</v>
      </c>
      <c r="AA2251" s="64">
        <f>_xlfn.MAXIFS(tblLaborEntries[Work date serial],tblLaborEntries[Work package ID],tblWorkPackages[[#This Row],[Work package ID]])</f>
        <v>45861.0</v>
      </c>
      <c r="AB2251" s="65">
        <f>IF(tblWorkPackages[[#This Row],[Completion date serial]]&gt;tblWorkPackages[[#This Row],[Due date serial]],1,0)</f>
        <v>0</v>
      </c>
      <c r="AC2251" s="65">
        <f>MAX(0,tblWorkPackages[[#This Row],[Completion date serial]]-tblWorkPackages[[#This Row],[Due date serial]])</f>
        <v>0</v>
      </c>
      <c r="AD2251" s="65">
        <f>tblWorkPackages[[#This Row],[First labor date]]-tblWorkPackages[[#This Row],[Request date serial]]</f>
        <v>7</v>
      </c>
      <c r="AE2251" s="65">
        <f>tblWorkPackages[[#This Row],[Last labor date]]-tblWorkPackages[[#This Row],[First labor date]]</f>
        <v>0</v>
      </c>
      <c r="AF2251" s="65">
        <f>tblWorkPackages[[#This Row],[Completion date serial]]-tblWorkPackages[[#This Row],[Last labor date]]</f>
        <v>1</v>
      </c>
      <c r="AG2251" s="65">
        <f>tblWorkPackages[[#This Row],[Completion date serial]]-tblWorkPackages[[#This Row],[Request date serial]]</f>
        <v>8</v>
      </c>
      <c r="AH2251" s="65">
        <f>IFERROR(INDEX(tblParts[Delay days],MATCH(tblWorkPackages[[#This Row],[Work package ID]],tblParts[Work package ID],0)),0)</f>
        <v>0</v>
      </c>
      <c r="AI2251" s="51" t="str">
        <f>IFERROR(INDEX(tblDisruptions[Event type],MATCH(tblWorkPackages[[#This Row],[Work package ID]],tblDisruptions[Work package ID],0)),"None")</f>
        <v>None</v>
      </c>
      <c r="AJ2251" s="51" t="str">
        <f>TEXT(tblWorkPackages[[#This Row],[Due date serial]],"yyyy-mm")</f>
        <v>2025-07</v>
      </c>
    </row>
    <row r="2252" spans="1:36" ht="15" x14ac:dyDescent="0.25">
      <c r="A2252" s="53" t="s">
        <v>3168</v>
      </c>
      <c r="B2252" s="53" t="s">
        <v>157</v>
      </c>
      <c r="C2252" s="53" t="s">
        <v>720</v>
      </c>
      <c r="D2252" s="53" t="s">
        <v>328</v>
      </c>
      <c r="E2252" s="53" t="s">
        <v>136</v>
      </c>
      <c r="F2252" s="53" t="s">
        <v>137</v>
      </c>
      <c r="G2252" s="53" t="s">
        <v>138</v>
      </c>
      <c r="H2252" s="53">
        <v>1</v>
      </c>
      <c r="I2252" s="53" t="s">
        <v>147</v>
      </c>
      <c r="J2252" s="53">
        <v>0</v>
      </c>
      <c r="K2252" s="53">
        <v>0</v>
      </c>
      <c r="L2252" s="53">
        <v>9.6</v>
      </c>
      <c r="M2252" s="53" t="s">
        <v>246</v>
      </c>
      <c r="N2252" s="53">
        <v>11.5</v>
      </c>
      <c r="O2252" s="51" t="str">
        <f>TEXT(tblWorkPackages[[#This Row],[Request date serial]]-WEEKDAY(tblWorkPackages[[#This Row],[Request date serial]],3),"yyyy-mm-dd")</f>
        <v>2024-03-04</v>
      </c>
      <c r="P2252" s="51">
        <f>ABS(tblWorkPackages[[#This Row],[Actual labor hours]]-tblWorkPackages[[#This Row],[Estimated labor hours]])</f>
        <v>1.9</v>
      </c>
      <c r="Q2252" s="51">
        <f>IF(tblWorkPackages[[#This Row],[Actual labor hours]]&gt;tblWorkPackages[[#This Row],[Estimated labor hours]],1,0)</f>
        <v>1</v>
      </c>
      <c r="R2252" s="51">
        <f>tblWorkPackages[[#This Row],[Actual labor hours]]-tblWorkPackages[[#This Row],[Estimated labor hours]]</f>
        <v>1.9</v>
      </c>
      <c r="S2252" s="51" t="str">
        <f>IF(tblWorkPackages[[#This Row],[Request date serial]]&lt;ValidationStart,"Train 2024",IF(tblWorkPackages[[#This Row],[Request date serial]]&lt;HoldoutStart,"Validation H1","Holdout H2"))</f>
        <v>Train 2024</v>
      </c>
      <c r="T2252" s="51" t="str">
        <f>IF(tblWorkPackages[[#This Row],[Time split]]="Train 2024","",tblWorkPackages[[#This Row],[Estimated labor hours]]+VLOOKUP(tblWorkPackages[[#This Row],[Task type]],'Forecast validation'!$A$14:$E$25,IF(tblWorkPackages[[#This Row],[Time split]]="Validation H1",4,5),FALSE()))</f>
        <v/>
      </c>
      <c r="U2252" s="51" t="str">
        <f>IF(tblWorkPackages[[#This Row],[Calibrated forecast hours]]="","",ABS(tblWorkPackages[[#This Row],[Actual labor hours]]-tblWorkPackages[[#This Row],[Calibrated forecast hours]]))</f>
        <v/>
      </c>
      <c r="V2252" s="51">
        <f>IF(tblWorkPackages[[#This Row],[Time split]]="Train 2024",tblWorkPackages[[#This Row],[Estimated labor hours]],tblWorkPackages[[#This Row],[Calibrated forecast hours]])</f>
        <v>9.6</v>
      </c>
      <c r="W2252" s="64">
        <f>DATEVALUE(tblWorkPackages[[#This Row],[Request date]])</f>
        <v>45359.0</v>
      </c>
      <c r="X2252" s="64">
        <f>DATEVALUE(tblWorkPackages[[#This Row],[Due date]])</f>
        <v>45361.0</v>
      </c>
      <c r="Y2252" s="64">
        <f>DATEVALUE(tblWorkPackages[[#This Row],[Completion date]])</f>
        <v>45364.0</v>
      </c>
      <c r="Z2252" s="64">
        <f>_xlfn.MINIFS(tblLaborEntries[Work date serial],tblLaborEntries[Work package ID],tblWorkPackages[[#This Row],[Work package ID]])</f>
        <v>45361.0</v>
      </c>
      <c r="AA2252" s="64">
        <f>_xlfn.MAXIFS(tblLaborEntries[Work date serial],tblLaborEntries[Work package ID],tblWorkPackages[[#This Row],[Work package ID]])</f>
        <v>45362.0</v>
      </c>
      <c r="AB2252" s="65">
        <f>IF(tblWorkPackages[[#This Row],[Completion date serial]]&gt;tblWorkPackages[[#This Row],[Due date serial]],1,0)</f>
        <v>1</v>
      </c>
      <c r="AC2252" s="65">
        <f>MAX(0,tblWorkPackages[[#This Row],[Completion date serial]]-tblWorkPackages[[#This Row],[Due date serial]])</f>
        <v>3</v>
      </c>
      <c r="AD2252" s="65">
        <f>tblWorkPackages[[#This Row],[First labor date]]-tblWorkPackages[[#This Row],[Request date serial]]</f>
        <v>2</v>
      </c>
      <c r="AE2252" s="65">
        <f>tblWorkPackages[[#This Row],[Last labor date]]-tblWorkPackages[[#This Row],[First labor date]]</f>
        <v>1</v>
      </c>
      <c r="AF2252" s="65">
        <f>tblWorkPackages[[#This Row],[Completion date serial]]-tblWorkPackages[[#This Row],[Last labor date]]</f>
        <v>2</v>
      </c>
      <c r="AG2252" s="65">
        <f>tblWorkPackages[[#This Row],[Completion date serial]]-tblWorkPackages[[#This Row],[Request date serial]]</f>
        <v>5</v>
      </c>
      <c r="AH2252" s="65">
        <f>IFERROR(INDEX(tblParts[Delay days],MATCH(tblWorkPackages[[#This Row],[Work package ID]],tblParts[Work package ID],0)),0)</f>
        <v>0</v>
      </c>
      <c r="AI2252" s="51" t="str">
        <f>IFERROR(INDEX(tblDisruptions[Event type],MATCH(tblWorkPackages[[#This Row],[Work package ID]],tblDisruptions[Work package ID],0)),"None")</f>
        <v>None</v>
      </c>
      <c r="AJ2252" s="51" t="str">
        <f>TEXT(tblWorkPackages[[#This Row],[Due date serial]],"yyyy-mm")</f>
        <v>2024-03</v>
      </c>
    </row>
    <row r="2253" spans="1:36" ht="15" x14ac:dyDescent="0.25">
      <c r="A2253" s="53" t="s">
        <v>3169</v>
      </c>
      <c r="B2253" s="53" t="s">
        <v>185</v>
      </c>
      <c r="C2253" s="53" t="s">
        <v>1466</v>
      </c>
      <c r="D2253" s="53" t="s">
        <v>839</v>
      </c>
      <c r="E2253" s="53" t="s">
        <v>223</v>
      </c>
      <c r="F2253" s="53" t="s">
        <v>182</v>
      </c>
      <c r="G2253" s="53" t="s">
        <v>154</v>
      </c>
      <c r="H2253" s="53">
        <v>3</v>
      </c>
      <c r="I2253" s="53" t="s">
        <v>130</v>
      </c>
      <c r="J2253" s="53">
        <v>0</v>
      </c>
      <c r="K2253" s="53">
        <v>1</v>
      </c>
      <c r="L2253" s="53">
        <v>18.899999999999999</v>
      </c>
      <c r="M2253" s="53" t="s">
        <v>719</v>
      </c>
      <c r="N2253" s="53">
        <v>20</v>
      </c>
      <c r="O2253" s="51" t="str">
        <f>TEXT(tblWorkPackages[[#This Row],[Request date serial]]-WEEKDAY(tblWorkPackages[[#This Row],[Request date serial]],3),"yyyy-mm-dd")</f>
        <v>2024-02-05</v>
      </c>
      <c r="P2253" s="51">
        <f>ABS(tblWorkPackages[[#This Row],[Actual labor hours]]-tblWorkPackages[[#This Row],[Estimated labor hours]])</f>
        <v>1.1</v>
      </c>
      <c r="Q2253" s="51">
        <f>IF(tblWorkPackages[[#This Row],[Actual labor hours]]&gt;tblWorkPackages[[#This Row],[Estimated labor hours]],1,0)</f>
        <v>1</v>
      </c>
      <c r="R2253" s="51">
        <f>tblWorkPackages[[#This Row],[Actual labor hours]]-tblWorkPackages[[#This Row],[Estimated labor hours]]</f>
        <v>1.1</v>
      </c>
      <c r="S2253" s="51" t="str">
        <f>IF(tblWorkPackages[[#This Row],[Request date serial]]&lt;ValidationStart,"Train 2024",IF(tblWorkPackages[[#This Row],[Request date serial]]&lt;HoldoutStart,"Validation H1","Holdout H2"))</f>
        <v>Train 2024</v>
      </c>
      <c r="T2253" s="51" t="str">
        <f>IF(tblWorkPackages[[#This Row],[Time split]]="Train 2024","",tblWorkPackages[[#This Row],[Estimated labor hours]]+VLOOKUP(tblWorkPackages[[#This Row],[Task type]],'Forecast validation'!$A$14:$E$25,IF(tblWorkPackages[[#This Row],[Time split]]="Validation H1",4,5),FALSE()))</f>
        <v/>
      </c>
      <c r="U2253" s="51" t="str">
        <f>IF(tblWorkPackages[[#This Row],[Calibrated forecast hours]]="","",ABS(tblWorkPackages[[#This Row],[Actual labor hours]]-tblWorkPackages[[#This Row],[Calibrated forecast hours]]))</f>
        <v/>
      </c>
      <c r="V2253" s="51">
        <f>IF(tblWorkPackages[[#This Row],[Time split]]="Train 2024",tblWorkPackages[[#This Row],[Estimated labor hours]],tblWorkPackages[[#This Row],[Calibrated forecast hours]])</f>
        <v>18.9</v>
      </c>
      <c r="W2253" s="64">
        <f>DATEVALUE(tblWorkPackages[[#This Row],[Request date]])</f>
        <v>45333.0</v>
      </c>
      <c r="X2253" s="64">
        <f>DATEVALUE(tblWorkPackages[[#This Row],[Due date]])</f>
        <v>45346.0</v>
      </c>
      <c r="Y2253" s="64">
        <f>DATEVALUE(tblWorkPackages[[#This Row],[Completion date]])</f>
        <v>45354.0</v>
      </c>
      <c r="Z2253" s="64">
        <f>_xlfn.MINIFS(tblLaborEntries[Work date serial],tblLaborEntries[Work package ID],tblWorkPackages[[#This Row],[Work package ID]])</f>
        <v>45350.0</v>
      </c>
      <c r="AA2253" s="64">
        <f>_xlfn.MAXIFS(tblLaborEntries[Work date serial],tblLaborEntries[Work package ID],tblWorkPackages[[#This Row],[Work package ID]])</f>
        <v>45351.0</v>
      </c>
      <c r="AB2253" s="65">
        <f>IF(tblWorkPackages[[#This Row],[Completion date serial]]&gt;tblWorkPackages[[#This Row],[Due date serial]],1,0)</f>
        <v>1</v>
      </c>
      <c r="AC2253" s="65">
        <f>MAX(0,tblWorkPackages[[#This Row],[Completion date serial]]-tblWorkPackages[[#This Row],[Due date serial]])</f>
        <v>8</v>
      </c>
      <c r="AD2253" s="65">
        <f>tblWorkPackages[[#This Row],[First labor date]]-tblWorkPackages[[#This Row],[Request date serial]]</f>
        <v>17</v>
      </c>
      <c r="AE2253" s="65">
        <f>tblWorkPackages[[#This Row],[Last labor date]]-tblWorkPackages[[#This Row],[First labor date]]</f>
        <v>1</v>
      </c>
      <c r="AF2253" s="65">
        <f>tblWorkPackages[[#This Row],[Completion date serial]]-tblWorkPackages[[#This Row],[Last labor date]]</f>
        <v>3</v>
      </c>
      <c r="AG2253" s="65">
        <f>tblWorkPackages[[#This Row],[Completion date serial]]-tblWorkPackages[[#This Row],[Request date serial]]</f>
        <v>21</v>
      </c>
      <c r="AH2253" s="65">
        <f>IFERROR(INDEX(tblParts[Delay days],MATCH(tblWorkPackages[[#This Row],[Work package ID]],tblParts[Work package ID],0)),0)</f>
        <v>0</v>
      </c>
      <c r="AI2253" s="51" t="str">
        <f>IFERROR(INDEX(tblDisruptions[Event type],MATCH(tblWorkPackages[[#This Row],[Work package ID]],tblDisruptions[Work package ID],0)),"None")</f>
        <v>None</v>
      </c>
      <c r="AJ2253" s="51" t="str">
        <f>TEXT(tblWorkPackages[[#This Row],[Due date serial]],"yyyy-mm")</f>
        <v>2024-02</v>
      </c>
    </row>
    <row r="2254" spans="1:36" ht="15" x14ac:dyDescent="0.25">
      <c r="A2254" s="53" t="s">
        <v>3170</v>
      </c>
      <c r="B2254" s="53" t="s">
        <v>287</v>
      </c>
      <c r="C2254" s="53" t="s">
        <v>1000</v>
      </c>
      <c r="D2254" s="53" t="s">
        <v>689</v>
      </c>
      <c r="E2254" s="53" t="s">
        <v>242</v>
      </c>
      <c r="F2254" s="53" t="s">
        <v>243</v>
      </c>
      <c r="G2254" s="53" t="s">
        <v>129</v>
      </c>
      <c r="H2254" s="53">
        <v>1</v>
      </c>
      <c r="I2254" s="53" t="s">
        <v>130</v>
      </c>
      <c r="J2254" s="53">
        <v>0</v>
      </c>
      <c r="K2254" s="53">
        <v>0</v>
      </c>
      <c r="L2254" s="53">
        <v>6.4</v>
      </c>
      <c r="M2254" s="53" t="s">
        <v>247</v>
      </c>
      <c r="N2254" s="53">
        <v>7</v>
      </c>
      <c r="O2254" s="51" t="str">
        <f>TEXT(tblWorkPackages[[#This Row],[Request date serial]]-WEEKDAY(tblWorkPackages[[#This Row],[Request date serial]],3),"yyyy-mm-dd")</f>
        <v>2024-03-18</v>
      </c>
      <c r="P2254" s="51">
        <f>ABS(tblWorkPackages[[#This Row],[Actual labor hours]]-tblWorkPackages[[#This Row],[Estimated labor hours]])</f>
        <v>0.6</v>
      </c>
      <c r="Q2254" s="51">
        <f>IF(tblWorkPackages[[#This Row],[Actual labor hours]]&gt;tblWorkPackages[[#This Row],[Estimated labor hours]],1,0)</f>
        <v>1</v>
      </c>
      <c r="R2254" s="51">
        <f>tblWorkPackages[[#This Row],[Actual labor hours]]-tblWorkPackages[[#This Row],[Estimated labor hours]]</f>
        <v>0.6</v>
      </c>
      <c r="S2254" s="51" t="str">
        <f>IF(tblWorkPackages[[#This Row],[Request date serial]]&lt;ValidationStart,"Train 2024",IF(tblWorkPackages[[#This Row],[Request date serial]]&lt;HoldoutStart,"Validation H1","Holdout H2"))</f>
        <v>Train 2024</v>
      </c>
      <c r="T2254" s="51" t="str">
        <f>IF(tblWorkPackages[[#This Row],[Time split]]="Train 2024","",tblWorkPackages[[#This Row],[Estimated labor hours]]+VLOOKUP(tblWorkPackages[[#This Row],[Task type]],'Forecast validation'!$A$14:$E$25,IF(tblWorkPackages[[#This Row],[Time split]]="Validation H1",4,5),FALSE()))</f>
        <v/>
      </c>
      <c r="U2254" s="51" t="str">
        <f>IF(tblWorkPackages[[#This Row],[Calibrated forecast hours]]="","",ABS(tblWorkPackages[[#This Row],[Actual labor hours]]-tblWorkPackages[[#This Row],[Calibrated forecast hours]]))</f>
        <v/>
      </c>
      <c r="V2254" s="51">
        <f>IF(tblWorkPackages[[#This Row],[Time split]]="Train 2024",tblWorkPackages[[#This Row],[Estimated labor hours]],tblWorkPackages[[#This Row],[Calibrated forecast hours]])</f>
        <v>6.4</v>
      </c>
      <c r="W2254" s="64">
        <f>DATEVALUE(tblWorkPackages[[#This Row],[Request date]])</f>
        <v>45372.0</v>
      </c>
      <c r="X2254" s="64">
        <f>DATEVALUE(tblWorkPackages[[#This Row],[Due date]])</f>
        <v>45385.0</v>
      </c>
      <c r="Y2254" s="64">
        <f>DATEVALUE(tblWorkPackages[[#This Row],[Completion date]])</f>
        <v>45377.0</v>
      </c>
      <c r="Z2254" s="64">
        <f>_xlfn.MINIFS(tblLaborEntries[Work date serial],tblLaborEntries[Work package ID],tblWorkPackages[[#This Row],[Work package ID]])</f>
        <v>45376.0</v>
      </c>
      <c r="AA2254" s="64">
        <f>_xlfn.MAXIFS(tblLaborEntries[Work date serial],tblLaborEntries[Work package ID],tblWorkPackages[[#This Row],[Work package ID]])</f>
        <v>45377.0</v>
      </c>
      <c r="AB2254" s="65">
        <f>IF(tblWorkPackages[[#This Row],[Completion date serial]]&gt;tblWorkPackages[[#This Row],[Due date serial]],1,0)</f>
        <v>0</v>
      </c>
      <c r="AC2254" s="65">
        <f>MAX(0,tblWorkPackages[[#This Row],[Completion date serial]]-tblWorkPackages[[#This Row],[Due date serial]])</f>
        <v>0</v>
      </c>
      <c r="AD2254" s="65">
        <f>tblWorkPackages[[#This Row],[First labor date]]-tblWorkPackages[[#This Row],[Request date serial]]</f>
        <v>4</v>
      </c>
      <c r="AE2254" s="65">
        <f>tblWorkPackages[[#This Row],[Last labor date]]-tblWorkPackages[[#This Row],[First labor date]]</f>
        <v>1</v>
      </c>
      <c r="AF2254" s="65">
        <f>tblWorkPackages[[#This Row],[Completion date serial]]-tblWorkPackages[[#This Row],[Last labor date]]</f>
        <v>0</v>
      </c>
      <c r="AG2254" s="65">
        <f>tblWorkPackages[[#This Row],[Completion date serial]]-tblWorkPackages[[#This Row],[Request date serial]]</f>
        <v>5</v>
      </c>
      <c r="AH2254" s="65">
        <f>IFERROR(INDEX(tblParts[Delay days],MATCH(tblWorkPackages[[#This Row],[Work package ID]],tblParts[Work package ID],0)),0)</f>
        <v>0</v>
      </c>
      <c r="AI2254" s="51" t="str">
        <f>IFERROR(INDEX(tblDisruptions[Event type],MATCH(tblWorkPackages[[#This Row],[Work package ID]],tblDisruptions[Work package ID],0)),"None")</f>
        <v>None</v>
      </c>
      <c r="AJ2254" s="51" t="str">
        <f>TEXT(tblWorkPackages[[#This Row],[Due date serial]],"yyyy-mm")</f>
        <v>2024-04</v>
      </c>
    </row>
    <row r="2255" spans="1:36" ht="15" x14ac:dyDescent="0.25">
      <c r="A2255" s="53" t="s">
        <v>3171</v>
      </c>
      <c r="B2255" s="53" t="s">
        <v>141</v>
      </c>
      <c r="C2255" s="53" t="s">
        <v>428</v>
      </c>
      <c r="D2255" s="53" t="s">
        <v>1380</v>
      </c>
      <c r="E2255" s="53" t="s">
        <v>160</v>
      </c>
      <c r="F2255" s="53" t="s">
        <v>128</v>
      </c>
      <c r="G2255" s="53" t="s">
        <v>138</v>
      </c>
      <c r="H2255" s="53">
        <v>2</v>
      </c>
      <c r="I2255" s="53" t="s">
        <v>130</v>
      </c>
      <c r="J2255" s="53">
        <v>0</v>
      </c>
      <c r="K2255" s="53">
        <v>1</v>
      </c>
      <c r="L2255" s="53">
        <v>5.0999999999999996</v>
      </c>
      <c r="M2255" s="53" t="s">
        <v>694</v>
      </c>
      <c r="N2255" s="53">
        <v>6.4</v>
      </c>
      <c r="O2255" s="51" t="str">
        <f>TEXT(tblWorkPackages[[#This Row],[Request date serial]]-WEEKDAY(tblWorkPackages[[#This Row],[Request date serial]],3),"yyyy-mm-dd")</f>
        <v>2024-04-15</v>
      </c>
      <c r="P2255" s="51">
        <f>ABS(tblWorkPackages[[#This Row],[Actual labor hours]]-tblWorkPackages[[#This Row],[Estimated labor hours]])</f>
        <v>1.3</v>
      </c>
      <c r="Q2255" s="51">
        <f>IF(tblWorkPackages[[#This Row],[Actual labor hours]]&gt;tblWorkPackages[[#This Row],[Estimated labor hours]],1,0)</f>
        <v>1</v>
      </c>
      <c r="R2255" s="51">
        <f>tblWorkPackages[[#This Row],[Actual labor hours]]-tblWorkPackages[[#This Row],[Estimated labor hours]]</f>
        <v>1.3</v>
      </c>
      <c r="S2255" s="51" t="str">
        <f>IF(tblWorkPackages[[#This Row],[Request date serial]]&lt;ValidationStart,"Train 2024",IF(tblWorkPackages[[#This Row],[Request date serial]]&lt;HoldoutStart,"Validation H1","Holdout H2"))</f>
        <v>Train 2024</v>
      </c>
      <c r="T2255" s="51" t="str">
        <f>IF(tblWorkPackages[[#This Row],[Time split]]="Train 2024","",tblWorkPackages[[#This Row],[Estimated labor hours]]+VLOOKUP(tblWorkPackages[[#This Row],[Task type]],'Forecast validation'!$A$14:$E$25,IF(tblWorkPackages[[#This Row],[Time split]]="Validation H1",4,5),FALSE()))</f>
        <v/>
      </c>
      <c r="U2255" s="51" t="str">
        <f>IF(tblWorkPackages[[#This Row],[Calibrated forecast hours]]="","",ABS(tblWorkPackages[[#This Row],[Actual labor hours]]-tblWorkPackages[[#This Row],[Calibrated forecast hours]]))</f>
        <v/>
      </c>
      <c r="V2255" s="51">
        <f>IF(tblWorkPackages[[#This Row],[Time split]]="Train 2024",tblWorkPackages[[#This Row],[Estimated labor hours]],tblWorkPackages[[#This Row],[Calibrated forecast hours]])</f>
        <v>5.1</v>
      </c>
      <c r="W2255" s="64">
        <f>DATEVALUE(tblWorkPackages[[#This Row],[Request date]])</f>
        <v>45402.0</v>
      </c>
      <c r="X2255" s="64">
        <f>DATEVALUE(tblWorkPackages[[#This Row],[Due date]])</f>
        <v>45415.0</v>
      </c>
      <c r="Y2255" s="64">
        <f>DATEVALUE(tblWorkPackages[[#This Row],[Completion date]])</f>
        <v>45404.0</v>
      </c>
      <c r="Z2255" s="64">
        <f>_xlfn.MINIFS(tblLaborEntries[Work date serial],tblLaborEntries[Work package ID],tblWorkPackages[[#This Row],[Work package ID]])</f>
        <v>45403.0</v>
      </c>
      <c r="AA2255" s="64">
        <f>_xlfn.MAXIFS(tblLaborEntries[Work date serial],tblLaborEntries[Work package ID],tblWorkPackages[[#This Row],[Work package ID]])</f>
        <v>45403.0</v>
      </c>
      <c r="AB2255" s="65">
        <f>IF(tblWorkPackages[[#This Row],[Completion date serial]]&gt;tblWorkPackages[[#This Row],[Due date serial]],1,0)</f>
        <v>0</v>
      </c>
      <c r="AC2255" s="65">
        <f>MAX(0,tblWorkPackages[[#This Row],[Completion date serial]]-tblWorkPackages[[#This Row],[Due date serial]])</f>
        <v>0</v>
      </c>
      <c r="AD2255" s="65">
        <f>tblWorkPackages[[#This Row],[First labor date]]-tblWorkPackages[[#This Row],[Request date serial]]</f>
        <v>1</v>
      </c>
      <c r="AE2255" s="65">
        <f>tblWorkPackages[[#This Row],[Last labor date]]-tblWorkPackages[[#This Row],[First labor date]]</f>
        <v>0</v>
      </c>
      <c r="AF2255" s="65">
        <f>tblWorkPackages[[#This Row],[Completion date serial]]-tblWorkPackages[[#This Row],[Last labor date]]</f>
        <v>1</v>
      </c>
      <c r="AG2255" s="65">
        <f>tblWorkPackages[[#This Row],[Completion date serial]]-tblWorkPackages[[#This Row],[Request date serial]]</f>
        <v>2</v>
      </c>
      <c r="AH2255" s="65">
        <f>IFERROR(INDEX(tblParts[Delay days],MATCH(tblWorkPackages[[#This Row],[Work package ID]],tblParts[Work package ID],0)),0)</f>
        <v>0</v>
      </c>
      <c r="AI2255" s="51" t="str">
        <f>IFERROR(INDEX(tblDisruptions[Event type],MATCH(tblWorkPackages[[#This Row],[Work package ID]],tblDisruptions[Work package ID],0)),"None")</f>
        <v>None</v>
      </c>
      <c r="AJ2255" s="51" t="str">
        <f>TEXT(tblWorkPackages[[#This Row],[Due date serial]],"yyyy-mm")</f>
        <v>2024-05</v>
      </c>
    </row>
    <row r="2256" spans="1:36" ht="15" x14ac:dyDescent="0.25">
      <c r="A2256" s="53" t="s">
        <v>3172</v>
      </c>
      <c r="B2256" s="53" t="s">
        <v>141</v>
      </c>
      <c r="C2256" s="53" t="s">
        <v>346</v>
      </c>
      <c r="D2256" s="53" t="s">
        <v>926</v>
      </c>
      <c r="E2256" s="53" t="s">
        <v>181</v>
      </c>
      <c r="F2256" s="53" t="s">
        <v>182</v>
      </c>
      <c r="G2256" s="53" t="s">
        <v>138</v>
      </c>
      <c r="H2256" s="53">
        <v>2</v>
      </c>
      <c r="I2256" s="53" t="s">
        <v>147</v>
      </c>
      <c r="J2256" s="53">
        <v>0</v>
      </c>
      <c r="K2256" s="53">
        <v>0</v>
      </c>
      <c r="L2256" s="53">
        <v>8</v>
      </c>
      <c r="M2256" s="53" t="s">
        <v>474</v>
      </c>
      <c r="N2256" s="53">
        <v>10.1</v>
      </c>
      <c r="O2256" s="51" t="str">
        <f>TEXT(tblWorkPackages[[#This Row],[Request date serial]]-WEEKDAY(tblWorkPackages[[#This Row],[Request date serial]],3),"yyyy-mm-dd")</f>
        <v>2024-02-12</v>
      </c>
      <c r="P2256" s="51">
        <f>ABS(tblWorkPackages[[#This Row],[Actual labor hours]]-tblWorkPackages[[#This Row],[Estimated labor hours]])</f>
        <v>2.1</v>
      </c>
      <c r="Q2256" s="51">
        <f>IF(tblWorkPackages[[#This Row],[Actual labor hours]]&gt;tblWorkPackages[[#This Row],[Estimated labor hours]],1,0)</f>
        <v>1</v>
      </c>
      <c r="R2256" s="51">
        <f>tblWorkPackages[[#This Row],[Actual labor hours]]-tblWorkPackages[[#This Row],[Estimated labor hours]]</f>
        <v>2.1</v>
      </c>
      <c r="S2256" s="51" t="str">
        <f>IF(tblWorkPackages[[#This Row],[Request date serial]]&lt;ValidationStart,"Train 2024",IF(tblWorkPackages[[#This Row],[Request date serial]]&lt;HoldoutStart,"Validation H1","Holdout H2"))</f>
        <v>Train 2024</v>
      </c>
      <c r="T2256" s="51" t="str">
        <f>IF(tblWorkPackages[[#This Row],[Time split]]="Train 2024","",tblWorkPackages[[#This Row],[Estimated labor hours]]+VLOOKUP(tblWorkPackages[[#This Row],[Task type]],'Forecast validation'!$A$14:$E$25,IF(tblWorkPackages[[#This Row],[Time split]]="Validation H1",4,5),FALSE()))</f>
        <v/>
      </c>
      <c r="U2256" s="51" t="str">
        <f>IF(tblWorkPackages[[#This Row],[Calibrated forecast hours]]="","",ABS(tblWorkPackages[[#This Row],[Actual labor hours]]-tblWorkPackages[[#This Row],[Calibrated forecast hours]]))</f>
        <v/>
      </c>
      <c r="V2256" s="51">
        <f>IF(tblWorkPackages[[#This Row],[Time split]]="Train 2024",tblWorkPackages[[#This Row],[Estimated labor hours]],tblWorkPackages[[#This Row],[Calibrated forecast hours]])</f>
        <v>8</v>
      </c>
      <c r="W2256" s="64">
        <f>DATEVALUE(tblWorkPackages[[#This Row],[Request date]])</f>
        <v>45338.0</v>
      </c>
      <c r="X2256" s="64">
        <f>DATEVALUE(tblWorkPackages[[#This Row],[Due date]])</f>
        <v>45340.0</v>
      </c>
      <c r="Y2256" s="64">
        <f>DATEVALUE(tblWorkPackages[[#This Row],[Completion date]])</f>
        <v>45352.0</v>
      </c>
      <c r="Z2256" s="64">
        <f>_xlfn.MINIFS(tblLaborEntries[Work date serial],tblLaborEntries[Work package ID],tblWorkPackages[[#This Row],[Work package ID]])</f>
        <v>45349.0</v>
      </c>
      <c r="AA2256" s="64">
        <f>_xlfn.MAXIFS(tblLaborEntries[Work date serial],tblLaborEntries[Work package ID],tblWorkPackages[[#This Row],[Work package ID]])</f>
        <v>45350.0</v>
      </c>
      <c r="AB2256" s="65">
        <f>IF(tblWorkPackages[[#This Row],[Completion date serial]]&gt;tblWorkPackages[[#This Row],[Due date serial]],1,0)</f>
        <v>1</v>
      </c>
      <c r="AC2256" s="65">
        <f>MAX(0,tblWorkPackages[[#This Row],[Completion date serial]]-tblWorkPackages[[#This Row],[Due date serial]])</f>
        <v>12</v>
      </c>
      <c r="AD2256" s="65">
        <f>tblWorkPackages[[#This Row],[First labor date]]-tblWorkPackages[[#This Row],[Request date serial]]</f>
        <v>11</v>
      </c>
      <c r="AE2256" s="65">
        <f>tblWorkPackages[[#This Row],[Last labor date]]-tblWorkPackages[[#This Row],[First labor date]]</f>
        <v>1</v>
      </c>
      <c r="AF2256" s="65">
        <f>tblWorkPackages[[#This Row],[Completion date serial]]-tblWorkPackages[[#This Row],[Last labor date]]</f>
        <v>2</v>
      </c>
      <c r="AG2256" s="65">
        <f>tblWorkPackages[[#This Row],[Completion date serial]]-tblWorkPackages[[#This Row],[Request date serial]]</f>
        <v>14</v>
      </c>
      <c r="AH2256" s="65">
        <f>IFERROR(INDEX(tblParts[Delay days],MATCH(tblWorkPackages[[#This Row],[Work package ID]],tblParts[Work package ID],0)),0)</f>
        <v>0</v>
      </c>
      <c r="AI2256" s="51" t="str">
        <f>IFERROR(INDEX(tblDisruptions[Event type],MATCH(tblWorkPackages[[#This Row],[Work package ID]],tblDisruptions[Work package ID],0)),"None")</f>
        <v>None</v>
      </c>
      <c r="AJ2256" s="51" t="str">
        <f>TEXT(tblWorkPackages[[#This Row],[Due date serial]],"yyyy-mm")</f>
        <v>2024-02</v>
      </c>
    </row>
    <row r="2257" spans="1:36" ht="15" x14ac:dyDescent="0.25">
      <c r="A2257" s="53" t="s">
        <v>3173</v>
      </c>
      <c r="B2257" s="53" t="s">
        <v>124</v>
      </c>
      <c r="C2257" s="53" t="s">
        <v>1115</v>
      </c>
      <c r="D2257" s="53" t="s">
        <v>1124</v>
      </c>
      <c r="E2257" s="53" t="s">
        <v>272</v>
      </c>
      <c r="F2257" s="53" t="s">
        <v>145</v>
      </c>
      <c r="G2257" s="53" t="s">
        <v>273</v>
      </c>
      <c r="H2257" s="53">
        <v>3</v>
      </c>
      <c r="I2257" s="53" t="s">
        <v>130</v>
      </c>
      <c r="J2257" s="53">
        <v>0</v>
      </c>
      <c r="K2257" s="53">
        <v>1</v>
      </c>
      <c r="L2257" s="53">
        <v>17.600000000000001</v>
      </c>
      <c r="M2257" s="53" t="s">
        <v>301</v>
      </c>
      <c r="N2257" s="53">
        <v>13.6</v>
      </c>
      <c r="O2257" s="51" t="str">
        <f>TEXT(tblWorkPackages[[#This Row],[Request date serial]]-WEEKDAY(tblWorkPackages[[#This Row],[Request date serial]],3),"yyyy-mm-dd")</f>
        <v>2024-04-29</v>
      </c>
      <c r="P2257" s="51">
        <f>ABS(tblWorkPackages[[#This Row],[Actual labor hours]]-tblWorkPackages[[#This Row],[Estimated labor hours]])</f>
        <v>4</v>
      </c>
      <c r="Q2257" s="51">
        <f>IF(tblWorkPackages[[#This Row],[Actual labor hours]]&gt;tblWorkPackages[[#This Row],[Estimated labor hours]],1,0)</f>
        <v>0</v>
      </c>
      <c r="R2257" s="51">
        <f>tblWorkPackages[[#This Row],[Actual labor hours]]-tblWorkPackages[[#This Row],[Estimated labor hours]]</f>
        <v>-4</v>
      </c>
      <c r="S2257" s="51" t="str">
        <f>IF(tblWorkPackages[[#This Row],[Request date serial]]&lt;ValidationStart,"Train 2024",IF(tblWorkPackages[[#This Row],[Request date serial]]&lt;HoldoutStart,"Validation H1","Holdout H2"))</f>
        <v>Train 2024</v>
      </c>
      <c r="T2257" s="51" t="str">
        <f>IF(tblWorkPackages[[#This Row],[Time split]]="Train 2024","",tblWorkPackages[[#This Row],[Estimated labor hours]]+VLOOKUP(tblWorkPackages[[#This Row],[Task type]],'Forecast validation'!$A$14:$E$25,IF(tblWorkPackages[[#This Row],[Time split]]="Validation H1",4,5),FALSE()))</f>
        <v/>
      </c>
      <c r="U2257" s="51" t="str">
        <f>IF(tblWorkPackages[[#This Row],[Calibrated forecast hours]]="","",ABS(tblWorkPackages[[#This Row],[Actual labor hours]]-tblWorkPackages[[#This Row],[Calibrated forecast hours]]))</f>
        <v/>
      </c>
      <c r="V2257" s="51">
        <f>IF(tblWorkPackages[[#This Row],[Time split]]="Train 2024",tblWorkPackages[[#This Row],[Estimated labor hours]],tblWorkPackages[[#This Row],[Calibrated forecast hours]])</f>
        <v>17.6</v>
      </c>
      <c r="W2257" s="64">
        <f>DATEVALUE(tblWorkPackages[[#This Row],[Request date]])</f>
        <v>45414.0</v>
      </c>
      <c r="X2257" s="64">
        <f>DATEVALUE(tblWorkPackages[[#This Row],[Due date]])</f>
        <v>45427.0</v>
      </c>
      <c r="Y2257" s="64">
        <f>DATEVALUE(tblWorkPackages[[#This Row],[Completion date]])</f>
        <v>45422.0</v>
      </c>
      <c r="Z2257" s="64">
        <f>_xlfn.MINIFS(tblLaborEntries[Work date serial],tblLaborEntries[Work package ID],tblWorkPackages[[#This Row],[Work package ID]])</f>
        <v>45417.0</v>
      </c>
      <c r="AA2257" s="64">
        <f>_xlfn.MAXIFS(tblLaborEntries[Work date serial],tblLaborEntries[Work package ID],tblWorkPackages[[#This Row],[Work package ID]])</f>
        <v>45419.0</v>
      </c>
      <c r="AB2257" s="65">
        <f>IF(tblWorkPackages[[#This Row],[Completion date serial]]&gt;tblWorkPackages[[#This Row],[Due date serial]],1,0)</f>
        <v>0</v>
      </c>
      <c r="AC2257" s="65">
        <f>MAX(0,tblWorkPackages[[#This Row],[Completion date serial]]-tblWorkPackages[[#This Row],[Due date serial]])</f>
        <v>0</v>
      </c>
      <c r="AD2257" s="65">
        <f>tblWorkPackages[[#This Row],[First labor date]]-tblWorkPackages[[#This Row],[Request date serial]]</f>
        <v>3</v>
      </c>
      <c r="AE2257" s="65">
        <f>tblWorkPackages[[#This Row],[Last labor date]]-tblWorkPackages[[#This Row],[First labor date]]</f>
        <v>2</v>
      </c>
      <c r="AF2257" s="65">
        <f>tblWorkPackages[[#This Row],[Completion date serial]]-tblWorkPackages[[#This Row],[Last labor date]]</f>
        <v>3</v>
      </c>
      <c r="AG2257" s="65">
        <f>tblWorkPackages[[#This Row],[Completion date serial]]-tblWorkPackages[[#This Row],[Request date serial]]</f>
        <v>8</v>
      </c>
      <c r="AH2257" s="65">
        <f>IFERROR(INDEX(tblParts[Delay days],MATCH(tblWorkPackages[[#This Row],[Work package ID]],tblParts[Work package ID],0)),0)</f>
        <v>0</v>
      </c>
      <c r="AI2257" s="51" t="str">
        <f>IFERROR(INDEX(tblDisruptions[Event type],MATCH(tblWorkPackages[[#This Row],[Work package ID]],tblDisruptions[Work package ID],0)),"None")</f>
        <v>None</v>
      </c>
      <c r="AJ2257" s="51" t="str">
        <f>TEXT(tblWorkPackages[[#This Row],[Due date serial]],"yyyy-mm")</f>
        <v>2024-05</v>
      </c>
    </row>
    <row r="2258" spans="1:36" ht="15" x14ac:dyDescent="0.25">
      <c r="A2258" s="53" t="s">
        <v>3174</v>
      </c>
      <c r="B2258" s="53" t="s">
        <v>141</v>
      </c>
      <c r="C2258" s="53" t="s">
        <v>794</v>
      </c>
      <c r="D2258" s="53" t="s">
        <v>599</v>
      </c>
      <c r="E2258" s="53" t="s">
        <v>200</v>
      </c>
      <c r="F2258" s="53" t="s">
        <v>128</v>
      </c>
      <c r="G2258" s="53" t="s">
        <v>129</v>
      </c>
      <c r="H2258" s="53">
        <v>1</v>
      </c>
      <c r="I2258" s="53" t="s">
        <v>147</v>
      </c>
      <c r="J2258" s="53">
        <v>0</v>
      </c>
      <c r="K2258" s="53">
        <v>0</v>
      </c>
      <c r="L2258" s="53">
        <v>1.8</v>
      </c>
      <c r="M2258" s="53" t="s">
        <v>512</v>
      </c>
      <c r="N2258" s="53">
        <v>1.6</v>
      </c>
      <c r="O2258" s="51" t="str">
        <f>TEXT(tblWorkPackages[[#This Row],[Request date serial]]-WEEKDAY(tblWorkPackages[[#This Row],[Request date serial]],3),"yyyy-mm-dd")</f>
        <v>2024-11-11</v>
      </c>
      <c r="P2258" s="51">
        <f>ABS(tblWorkPackages[[#This Row],[Actual labor hours]]-tblWorkPackages[[#This Row],[Estimated labor hours]])</f>
        <v>0.2</v>
      </c>
      <c r="Q2258" s="51">
        <f>IF(tblWorkPackages[[#This Row],[Actual labor hours]]&gt;tblWorkPackages[[#This Row],[Estimated labor hours]],1,0)</f>
        <v>0</v>
      </c>
      <c r="R2258" s="51">
        <f>tblWorkPackages[[#This Row],[Actual labor hours]]-tblWorkPackages[[#This Row],[Estimated labor hours]]</f>
        <v>-0.2</v>
      </c>
      <c r="S2258" s="51" t="str">
        <f>IF(tblWorkPackages[[#This Row],[Request date serial]]&lt;ValidationStart,"Train 2024",IF(tblWorkPackages[[#This Row],[Request date serial]]&lt;HoldoutStart,"Validation H1","Holdout H2"))</f>
        <v>Train 2024</v>
      </c>
      <c r="T2258" s="51" t="str">
        <f>IF(tblWorkPackages[[#This Row],[Time split]]="Train 2024","",tblWorkPackages[[#This Row],[Estimated labor hours]]+VLOOKUP(tblWorkPackages[[#This Row],[Task type]],'Forecast validation'!$A$14:$E$25,IF(tblWorkPackages[[#This Row],[Time split]]="Validation H1",4,5),FALSE()))</f>
        <v/>
      </c>
      <c r="U2258" s="51" t="str">
        <f>IF(tblWorkPackages[[#This Row],[Calibrated forecast hours]]="","",ABS(tblWorkPackages[[#This Row],[Actual labor hours]]-tblWorkPackages[[#This Row],[Calibrated forecast hours]]))</f>
        <v/>
      </c>
      <c r="V2258" s="51">
        <f>IF(tblWorkPackages[[#This Row],[Time split]]="Train 2024",tblWorkPackages[[#This Row],[Estimated labor hours]],tblWorkPackages[[#This Row],[Calibrated forecast hours]])</f>
        <v>1.8</v>
      </c>
      <c r="W2258" s="64">
        <f>DATEVALUE(tblWorkPackages[[#This Row],[Request date]])</f>
        <v>45610.0</v>
      </c>
      <c r="X2258" s="64">
        <f>DATEVALUE(tblWorkPackages[[#This Row],[Due date]])</f>
        <v>45612.0</v>
      </c>
      <c r="Y2258" s="64">
        <f>DATEVALUE(tblWorkPackages[[#This Row],[Completion date]])</f>
        <v>45641.0</v>
      </c>
      <c r="Z2258" s="64">
        <f>_xlfn.MINIFS(tblLaborEntries[Work date serial],tblLaborEntries[Work package ID],tblWorkPackages[[#This Row],[Work package ID]])</f>
        <v>45640.0</v>
      </c>
      <c r="AA2258" s="64">
        <f>_xlfn.MAXIFS(tblLaborEntries[Work date serial],tblLaborEntries[Work package ID],tblWorkPackages[[#This Row],[Work package ID]])</f>
        <v>45641.0</v>
      </c>
      <c r="AB2258" s="65">
        <f>IF(tblWorkPackages[[#This Row],[Completion date serial]]&gt;tblWorkPackages[[#This Row],[Due date serial]],1,0)</f>
        <v>1</v>
      </c>
      <c r="AC2258" s="65">
        <f>MAX(0,tblWorkPackages[[#This Row],[Completion date serial]]-tblWorkPackages[[#This Row],[Due date serial]])</f>
        <v>29</v>
      </c>
      <c r="AD2258" s="65">
        <f>tblWorkPackages[[#This Row],[First labor date]]-tblWorkPackages[[#This Row],[Request date serial]]</f>
        <v>30</v>
      </c>
      <c r="AE2258" s="65">
        <f>tblWorkPackages[[#This Row],[Last labor date]]-tblWorkPackages[[#This Row],[First labor date]]</f>
        <v>1</v>
      </c>
      <c r="AF2258" s="65">
        <f>tblWorkPackages[[#This Row],[Completion date serial]]-tblWorkPackages[[#This Row],[Last labor date]]</f>
        <v>0</v>
      </c>
      <c r="AG2258" s="65">
        <f>tblWorkPackages[[#This Row],[Completion date serial]]-tblWorkPackages[[#This Row],[Request date serial]]</f>
        <v>31</v>
      </c>
      <c r="AH2258" s="65">
        <f>IFERROR(INDEX(tblParts[Delay days],MATCH(tblWorkPackages[[#This Row],[Work package ID]],tblParts[Work package ID],0)),0)</f>
        <v>0</v>
      </c>
      <c r="AI2258" s="51" t="str">
        <f>IFERROR(INDEX(tblDisruptions[Event type],MATCH(tblWorkPackages[[#This Row],[Work package ID]],tblDisruptions[Work package ID],0)),"None")</f>
        <v>None</v>
      </c>
      <c r="AJ2258" s="51" t="str">
        <f>TEXT(tblWorkPackages[[#This Row],[Due date serial]],"yyyy-mm")</f>
        <v>2024-11</v>
      </c>
    </row>
    <row r="2259" spans="1:36" ht="15" x14ac:dyDescent="0.25">
      <c r="A2259" s="53" t="s">
        <v>3175</v>
      </c>
      <c r="B2259" s="53" t="s">
        <v>235</v>
      </c>
      <c r="C2259" s="53" t="s">
        <v>1152</v>
      </c>
      <c r="D2259" s="53" t="s">
        <v>527</v>
      </c>
      <c r="E2259" s="53" t="s">
        <v>272</v>
      </c>
      <c r="F2259" s="53" t="s">
        <v>145</v>
      </c>
      <c r="G2259" s="53" t="s">
        <v>273</v>
      </c>
      <c r="H2259" s="53">
        <v>4</v>
      </c>
      <c r="I2259" s="53" t="s">
        <v>130</v>
      </c>
      <c r="J2259" s="53">
        <v>0</v>
      </c>
      <c r="K2259" s="53">
        <v>1</v>
      </c>
      <c r="L2259" s="53">
        <v>19.600000000000001</v>
      </c>
      <c r="M2259" s="53" t="s">
        <v>885</v>
      </c>
      <c r="N2259" s="53">
        <v>17.7</v>
      </c>
      <c r="O2259" s="51" t="str">
        <f>TEXT(tblWorkPackages[[#This Row],[Request date serial]]-WEEKDAY(tblWorkPackages[[#This Row],[Request date serial]],3),"yyyy-mm-dd")</f>
        <v>2025-08-18</v>
      </c>
      <c r="P2259" s="51">
        <f>ABS(tblWorkPackages[[#This Row],[Actual labor hours]]-tblWorkPackages[[#This Row],[Estimated labor hours]])</f>
        <v>1.9</v>
      </c>
      <c r="Q2259" s="51">
        <f>IF(tblWorkPackages[[#This Row],[Actual labor hours]]&gt;tblWorkPackages[[#This Row],[Estimated labor hours]],1,0)</f>
        <v>0</v>
      </c>
      <c r="R2259" s="51">
        <f>tblWorkPackages[[#This Row],[Actual labor hours]]-tblWorkPackages[[#This Row],[Estimated labor hours]]</f>
        <v>-1.9</v>
      </c>
      <c r="S2259" s="51" t="str">
        <f>IF(tblWorkPackages[[#This Row],[Request date serial]]&lt;ValidationStart,"Train 2024",IF(tblWorkPackages[[#This Row],[Request date serial]]&lt;HoldoutStart,"Validation H1","Holdout H2"))</f>
        <v>Holdout H2</v>
      </c>
      <c r="T2259" s="51">
        <f>IF(tblWorkPackages[[#This Row],[Time split]]="Train 2024","",tblWorkPackages[[#This Row],[Estimated labor hours]]+VLOOKUP(tblWorkPackages[[#This Row],[Task type]],'Forecast validation'!$A$14:$E$25,IF(tblWorkPackages[[#This Row],[Time split]]="Validation H1",4,5),FALSE()))</f>
        <v>20.58515625</v>
      </c>
      <c r="U2259" s="51">
        <f>IF(tblWorkPackages[[#This Row],[Calibrated forecast hours]]="","",ABS(tblWorkPackages[[#This Row],[Actual labor hours]]-tblWorkPackages[[#This Row],[Calibrated forecast hours]]))</f>
        <v>2.88515625</v>
      </c>
      <c r="V2259" s="51">
        <f>IF(tblWorkPackages[[#This Row],[Time split]]="Train 2024",tblWorkPackages[[#This Row],[Estimated labor hours]],tblWorkPackages[[#This Row],[Calibrated forecast hours]])</f>
        <v>20.58515625</v>
      </c>
      <c r="W2259" s="64">
        <f>DATEVALUE(tblWorkPackages[[#This Row],[Request date]])</f>
        <v>45893.0</v>
      </c>
      <c r="X2259" s="64">
        <f>DATEVALUE(tblWorkPackages[[#This Row],[Due date]])</f>
        <v>45906.0</v>
      </c>
      <c r="Y2259" s="64">
        <f>DATEVALUE(tblWorkPackages[[#This Row],[Completion date]])</f>
        <v>45901.0</v>
      </c>
      <c r="Z2259" s="64">
        <f>_xlfn.MINIFS(tblLaborEntries[Work date serial],tblLaborEntries[Work package ID],tblWorkPackages[[#This Row],[Work package ID]])</f>
        <v>45898.0</v>
      </c>
      <c r="AA2259" s="64">
        <f>_xlfn.MAXIFS(tblLaborEntries[Work date serial],tblLaborEntries[Work package ID],tblWorkPackages[[#This Row],[Work package ID]])</f>
        <v>45900.0</v>
      </c>
      <c r="AB2259" s="65">
        <f>IF(tblWorkPackages[[#This Row],[Completion date serial]]&gt;tblWorkPackages[[#This Row],[Due date serial]],1,0)</f>
        <v>0</v>
      </c>
      <c r="AC2259" s="65">
        <f>MAX(0,tblWorkPackages[[#This Row],[Completion date serial]]-tblWorkPackages[[#This Row],[Due date serial]])</f>
        <v>0</v>
      </c>
      <c r="AD2259" s="65">
        <f>tblWorkPackages[[#This Row],[First labor date]]-tblWorkPackages[[#This Row],[Request date serial]]</f>
        <v>5</v>
      </c>
      <c r="AE2259" s="65">
        <f>tblWorkPackages[[#This Row],[Last labor date]]-tblWorkPackages[[#This Row],[First labor date]]</f>
        <v>2</v>
      </c>
      <c r="AF2259" s="65">
        <f>tblWorkPackages[[#This Row],[Completion date serial]]-tblWorkPackages[[#This Row],[Last labor date]]</f>
        <v>1</v>
      </c>
      <c r="AG2259" s="65">
        <f>tblWorkPackages[[#This Row],[Completion date serial]]-tblWorkPackages[[#This Row],[Request date serial]]</f>
        <v>8</v>
      </c>
      <c r="AH2259" s="65">
        <f>IFERROR(INDEX(tblParts[Delay days],MATCH(tblWorkPackages[[#This Row],[Work package ID]],tblParts[Work package ID],0)),0)</f>
        <v>0</v>
      </c>
      <c r="AI2259" s="51" t="str">
        <f>IFERROR(INDEX(tblDisruptions[Event type],MATCH(tblWorkPackages[[#This Row],[Work package ID]],tblDisruptions[Work package ID],0)),"None")</f>
        <v>None</v>
      </c>
      <c r="AJ2259" s="51" t="str">
        <f>TEXT(tblWorkPackages[[#This Row],[Due date serial]],"yyyy-mm")</f>
        <v>2025-09</v>
      </c>
    </row>
    <row r="2260" spans="1:36" ht="15" x14ac:dyDescent="0.25">
      <c r="A2260" s="53" t="s">
        <v>3176</v>
      </c>
      <c r="B2260" s="53" t="s">
        <v>250</v>
      </c>
      <c r="C2260" s="53" t="s">
        <v>567</v>
      </c>
      <c r="D2260" s="53" t="s">
        <v>618</v>
      </c>
      <c r="E2260" s="53" t="s">
        <v>160</v>
      </c>
      <c r="F2260" s="53" t="s">
        <v>128</v>
      </c>
      <c r="G2260" s="53" t="s">
        <v>138</v>
      </c>
      <c r="H2260" s="53">
        <v>1</v>
      </c>
      <c r="I2260" s="53" t="s">
        <v>176</v>
      </c>
      <c r="J2260" s="53">
        <v>0</v>
      </c>
      <c r="K2260" s="53">
        <v>0</v>
      </c>
      <c r="L2260" s="53">
        <v>3.3</v>
      </c>
      <c r="M2260" s="53" t="s">
        <v>618</v>
      </c>
      <c r="N2260" s="53">
        <v>2.8</v>
      </c>
      <c r="O2260" s="51" t="str">
        <f>TEXT(tblWorkPackages[[#This Row],[Request date serial]]-WEEKDAY(tblWorkPackages[[#This Row],[Request date serial]],3),"yyyy-mm-dd")</f>
        <v>2025-05-19</v>
      </c>
      <c r="P2260" s="51">
        <f>ABS(tblWorkPackages[[#This Row],[Actual labor hours]]-tblWorkPackages[[#This Row],[Estimated labor hours]])</f>
        <v>0.5</v>
      </c>
      <c r="Q2260" s="51">
        <f>IF(tblWorkPackages[[#This Row],[Actual labor hours]]&gt;tblWorkPackages[[#This Row],[Estimated labor hours]],1,0)</f>
        <v>0</v>
      </c>
      <c r="R2260" s="51">
        <f>tblWorkPackages[[#This Row],[Actual labor hours]]-tblWorkPackages[[#This Row],[Estimated labor hours]]</f>
        <v>-0.5</v>
      </c>
      <c r="S2260" s="51" t="str">
        <f>IF(tblWorkPackages[[#This Row],[Request date serial]]&lt;ValidationStart,"Train 2024",IF(tblWorkPackages[[#This Row],[Request date serial]]&lt;HoldoutStart,"Validation H1","Holdout H2"))</f>
        <v>Validation H1</v>
      </c>
      <c r="T2260" s="51">
        <f>IF(tblWorkPackages[[#This Row],[Time split]]="Train 2024","",tblWorkPackages[[#This Row],[Estimated labor hours]]+VLOOKUP(tblWorkPackages[[#This Row],[Task type]],'Forecast validation'!$A$14:$E$25,IF(tblWorkPackages[[#This Row],[Time split]]="Validation H1",4,5),FALSE()))</f>
        <v>3.74146341463415</v>
      </c>
      <c r="U2260" s="51">
        <f>IF(tblWorkPackages[[#This Row],[Calibrated forecast hours]]="","",ABS(tblWorkPackages[[#This Row],[Actual labor hours]]-tblWorkPackages[[#This Row],[Calibrated forecast hours]]))</f>
        <v>0.941463414634146</v>
      </c>
      <c r="V2260" s="51">
        <f>IF(tblWorkPackages[[#This Row],[Time split]]="Train 2024",tblWorkPackages[[#This Row],[Estimated labor hours]],tblWorkPackages[[#This Row],[Calibrated forecast hours]])</f>
        <v>3.74146341463415</v>
      </c>
      <c r="W2260" s="64">
        <f>DATEVALUE(tblWorkPackages[[#This Row],[Request date]])</f>
        <v>45800.0</v>
      </c>
      <c r="X2260" s="64">
        <f>DATEVALUE(tblWorkPackages[[#This Row],[Due date]])</f>
        <v>45806.0</v>
      </c>
      <c r="Y2260" s="64">
        <f>DATEVALUE(tblWorkPackages[[#This Row],[Completion date]])</f>
        <v>45806.0</v>
      </c>
      <c r="Z2260" s="64">
        <f>_xlfn.MINIFS(tblLaborEntries[Work date serial],tblLaborEntries[Work package ID],tblWorkPackages[[#This Row],[Work package ID]])</f>
        <v>45802.0</v>
      </c>
      <c r="AA2260" s="64">
        <f>_xlfn.MAXIFS(tblLaborEntries[Work date serial],tblLaborEntries[Work package ID],tblWorkPackages[[#This Row],[Work package ID]])</f>
        <v>45804.0</v>
      </c>
      <c r="AB2260" s="65">
        <f>IF(tblWorkPackages[[#This Row],[Completion date serial]]&gt;tblWorkPackages[[#This Row],[Due date serial]],1,0)</f>
        <v>0</v>
      </c>
      <c r="AC2260" s="65">
        <f>MAX(0,tblWorkPackages[[#This Row],[Completion date serial]]-tblWorkPackages[[#This Row],[Due date serial]])</f>
        <v>0</v>
      </c>
      <c r="AD2260" s="65">
        <f>tblWorkPackages[[#This Row],[First labor date]]-tblWorkPackages[[#This Row],[Request date serial]]</f>
        <v>2</v>
      </c>
      <c r="AE2260" s="65">
        <f>tblWorkPackages[[#This Row],[Last labor date]]-tblWorkPackages[[#This Row],[First labor date]]</f>
        <v>2</v>
      </c>
      <c r="AF2260" s="65">
        <f>tblWorkPackages[[#This Row],[Completion date serial]]-tblWorkPackages[[#This Row],[Last labor date]]</f>
        <v>2</v>
      </c>
      <c r="AG2260" s="65">
        <f>tblWorkPackages[[#This Row],[Completion date serial]]-tblWorkPackages[[#This Row],[Request date serial]]</f>
        <v>6</v>
      </c>
      <c r="AH2260" s="65">
        <f>IFERROR(INDEX(tblParts[Delay days],MATCH(tblWorkPackages[[#This Row],[Work package ID]],tblParts[Work package ID],0)),0)</f>
        <v>0</v>
      </c>
      <c r="AI2260" s="51" t="str">
        <f>IFERROR(INDEX(tblDisruptions[Event type],MATCH(tblWorkPackages[[#This Row],[Work package ID]],tblDisruptions[Work package ID],0)),"None")</f>
        <v>None</v>
      </c>
      <c r="AJ2260" s="51" t="str">
        <f>TEXT(tblWorkPackages[[#This Row],[Due date serial]],"yyyy-mm")</f>
        <v>2025-05</v>
      </c>
    </row>
    <row r="2261" spans="1:36" ht="15" x14ac:dyDescent="0.25">
      <c r="A2261" s="53" t="s">
        <v>3177</v>
      </c>
      <c r="B2261" s="53" t="s">
        <v>250</v>
      </c>
      <c r="C2261" s="53" t="s">
        <v>506</v>
      </c>
      <c r="D2261" s="53" t="s">
        <v>1197</v>
      </c>
      <c r="E2261" s="53" t="s">
        <v>209</v>
      </c>
      <c r="F2261" s="53" t="s">
        <v>145</v>
      </c>
      <c r="G2261" s="53" t="s">
        <v>210</v>
      </c>
      <c r="H2261" s="53">
        <v>2</v>
      </c>
      <c r="I2261" s="53" t="s">
        <v>176</v>
      </c>
      <c r="J2261" s="53">
        <v>0</v>
      </c>
      <c r="K2261" s="53">
        <v>1</v>
      </c>
      <c r="L2261" s="53">
        <v>22</v>
      </c>
      <c r="M2261" s="53" t="s">
        <v>1318</v>
      </c>
      <c r="N2261" s="53">
        <v>24.5</v>
      </c>
      <c r="O2261" s="51" t="str">
        <f>TEXT(tblWorkPackages[[#This Row],[Request date serial]]-WEEKDAY(tblWorkPackages[[#This Row],[Request date serial]],3),"yyyy-mm-dd")</f>
        <v>2025-02-17</v>
      </c>
      <c r="P2261" s="51">
        <f>ABS(tblWorkPackages[[#This Row],[Actual labor hours]]-tblWorkPackages[[#This Row],[Estimated labor hours]])</f>
        <v>2.5</v>
      </c>
      <c r="Q2261" s="51">
        <f>IF(tblWorkPackages[[#This Row],[Actual labor hours]]&gt;tblWorkPackages[[#This Row],[Estimated labor hours]],1,0)</f>
        <v>1</v>
      </c>
      <c r="R2261" s="51">
        <f>tblWorkPackages[[#This Row],[Actual labor hours]]-tblWorkPackages[[#This Row],[Estimated labor hours]]</f>
        <v>2.5</v>
      </c>
      <c r="S2261" s="51" t="str">
        <f>IF(tblWorkPackages[[#This Row],[Request date serial]]&lt;ValidationStart,"Train 2024",IF(tblWorkPackages[[#This Row],[Request date serial]]&lt;HoldoutStart,"Validation H1","Holdout H2"))</f>
        <v>Validation H1</v>
      </c>
      <c r="T2261" s="51">
        <f>IF(tblWorkPackages[[#This Row],[Time split]]="Train 2024","",tblWorkPackages[[#This Row],[Estimated labor hours]]+VLOOKUP(tblWorkPackages[[#This Row],[Task type]],'Forecast validation'!$A$14:$E$25,IF(tblWorkPackages[[#This Row],[Time split]]="Validation H1",4,5),FALSE()))</f>
        <v>23.1029850746269</v>
      </c>
      <c r="U2261" s="51">
        <f>IF(tblWorkPackages[[#This Row],[Calibrated forecast hours]]="","",ABS(tblWorkPackages[[#This Row],[Actual labor hours]]-tblWorkPackages[[#This Row],[Calibrated forecast hours]]))</f>
        <v>1.39701492537314</v>
      </c>
      <c r="V2261" s="51">
        <f>IF(tblWorkPackages[[#This Row],[Time split]]="Train 2024",tblWorkPackages[[#This Row],[Estimated labor hours]],tblWorkPackages[[#This Row],[Calibrated forecast hours]])</f>
        <v>23.1029850746269</v>
      </c>
      <c r="W2261" s="64">
        <f>DATEVALUE(tblWorkPackages[[#This Row],[Request date]])</f>
        <v>45708.0</v>
      </c>
      <c r="X2261" s="64">
        <f>DATEVALUE(tblWorkPackages[[#This Row],[Due date]])</f>
        <v>45714.0</v>
      </c>
      <c r="Y2261" s="64">
        <f>DATEVALUE(tblWorkPackages[[#This Row],[Completion date]])</f>
        <v>45726.0</v>
      </c>
      <c r="Z2261" s="64">
        <f>_xlfn.MINIFS(tblLaborEntries[Work date serial],tblLaborEntries[Work package ID],tblWorkPackages[[#This Row],[Work package ID]])</f>
        <v>45722.0</v>
      </c>
      <c r="AA2261" s="64">
        <f>_xlfn.MAXIFS(tblLaborEntries[Work date serial],tblLaborEntries[Work package ID],tblWorkPackages[[#This Row],[Work package ID]])</f>
        <v>45723.0</v>
      </c>
      <c r="AB2261" s="65">
        <f>IF(tblWorkPackages[[#This Row],[Completion date serial]]&gt;tblWorkPackages[[#This Row],[Due date serial]],1,0)</f>
        <v>1</v>
      </c>
      <c r="AC2261" s="65">
        <f>MAX(0,tblWorkPackages[[#This Row],[Completion date serial]]-tblWorkPackages[[#This Row],[Due date serial]])</f>
        <v>12</v>
      </c>
      <c r="AD2261" s="65">
        <f>tblWorkPackages[[#This Row],[First labor date]]-tblWorkPackages[[#This Row],[Request date serial]]</f>
        <v>14</v>
      </c>
      <c r="AE2261" s="65">
        <f>tblWorkPackages[[#This Row],[Last labor date]]-tblWorkPackages[[#This Row],[First labor date]]</f>
        <v>1</v>
      </c>
      <c r="AF2261" s="65">
        <f>tblWorkPackages[[#This Row],[Completion date serial]]-tblWorkPackages[[#This Row],[Last labor date]]</f>
        <v>3</v>
      </c>
      <c r="AG2261" s="65">
        <f>tblWorkPackages[[#This Row],[Completion date serial]]-tblWorkPackages[[#This Row],[Request date serial]]</f>
        <v>18</v>
      </c>
      <c r="AH2261" s="65">
        <f>IFERROR(INDEX(tblParts[Delay days],MATCH(tblWorkPackages[[#This Row],[Work package ID]],tblParts[Work package ID],0)),0)</f>
        <v>0</v>
      </c>
      <c r="AI2261" s="51" t="str">
        <f>IFERROR(INDEX(tblDisruptions[Event type],MATCH(tblWorkPackages[[#This Row],[Work package ID]],tblDisruptions[Work package ID],0)),"None")</f>
        <v>None</v>
      </c>
      <c r="AJ2261" s="51" t="str">
        <f>TEXT(tblWorkPackages[[#This Row],[Due date serial]],"yyyy-mm")</f>
        <v>2025-02</v>
      </c>
    </row>
    <row r="2262" spans="1:36" ht="15" x14ac:dyDescent="0.25">
      <c r="A2262" s="53" t="s">
        <v>3178</v>
      </c>
      <c r="B2262" s="53" t="s">
        <v>157</v>
      </c>
      <c r="C2262" s="53" t="s">
        <v>653</v>
      </c>
      <c r="D2262" s="53" t="s">
        <v>914</v>
      </c>
      <c r="E2262" s="53" t="s">
        <v>242</v>
      </c>
      <c r="F2262" s="53" t="s">
        <v>243</v>
      </c>
      <c r="G2262" s="53" t="s">
        <v>129</v>
      </c>
      <c r="H2262" s="53">
        <v>4</v>
      </c>
      <c r="I2262" s="53" t="s">
        <v>130</v>
      </c>
      <c r="J2262" s="53">
        <v>0</v>
      </c>
      <c r="K2262" s="53">
        <v>0</v>
      </c>
      <c r="L2262" s="53">
        <v>13.7</v>
      </c>
      <c r="M2262" s="53" t="s">
        <v>652</v>
      </c>
      <c r="N2262" s="53">
        <v>11.4</v>
      </c>
      <c r="O2262" s="51" t="str">
        <f>TEXT(tblWorkPackages[[#This Row],[Request date serial]]-WEEKDAY(tblWorkPackages[[#This Row],[Request date serial]],3),"yyyy-mm-dd")</f>
        <v>2025-12-08</v>
      </c>
      <c r="P2262" s="51">
        <f>ABS(tblWorkPackages[[#This Row],[Actual labor hours]]-tblWorkPackages[[#This Row],[Estimated labor hours]])</f>
        <v>2.3</v>
      </c>
      <c r="Q2262" s="51">
        <f>IF(tblWorkPackages[[#This Row],[Actual labor hours]]&gt;tblWorkPackages[[#This Row],[Estimated labor hours]],1,0)</f>
        <v>0</v>
      </c>
      <c r="R2262" s="51">
        <f>tblWorkPackages[[#This Row],[Actual labor hours]]-tblWorkPackages[[#This Row],[Estimated labor hours]]</f>
        <v>-2.3</v>
      </c>
      <c r="S2262" s="51" t="str">
        <f>IF(tblWorkPackages[[#This Row],[Request date serial]]&lt;ValidationStart,"Train 2024",IF(tblWorkPackages[[#This Row],[Request date serial]]&lt;HoldoutStart,"Validation H1","Holdout H2"))</f>
        <v>Holdout H2</v>
      </c>
      <c r="T2262" s="51">
        <f>IF(tblWorkPackages[[#This Row],[Time split]]="Train 2024","",tblWorkPackages[[#This Row],[Estimated labor hours]]+VLOOKUP(tblWorkPackages[[#This Row],[Task type]],'Forecast validation'!$A$14:$E$25,IF(tblWorkPackages[[#This Row],[Time split]]="Validation H1",4,5),FALSE()))</f>
        <v>14.5254545454545</v>
      </c>
      <c r="U2262" s="51">
        <f>IF(tblWorkPackages[[#This Row],[Calibrated forecast hours]]="","",ABS(tblWorkPackages[[#This Row],[Actual labor hours]]-tblWorkPackages[[#This Row],[Calibrated forecast hours]]))</f>
        <v>3.12545454545455</v>
      </c>
      <c r="V2262" s="51">
        <f>IF(tblWorkPackages[[#This Row],[Time split]]="Train 2024",tblWorkPackages[[#This Row],[Estimated labor hours]],tblWorkPackages[[#This Row],[Calibrated forecast hours]])</f>
        <v>14.5254545454545</v>
      </c>
      <c r="W2262" s="64">
        <f>DATEVALUE(tblWorkPackages[[#This Row],[Request date]])</f>
        <v>46000.0</v>
      </c>
      <c r="X2262" s="64">
        <f>DATEVALUE(tblWorkPackages[[#This Row],[Due date]])</f>
        <v>46013.0</v>
      </c>
      <c r="Y2262" s="64">
        <f>DATEVALUE(tblWorkPackages[[#This Row],[Completion date]])</f>
        <v>46003.0</v>
      </c>
      <c r="Z2262" s="64">
        <f>_xlfn.MINIFS(tblLaborEntries[Work date serial],tblLaborEntries[Work package ID],tblWorkPackages[[#This Row],[Work package ID]])</f>
        <v>46003.0</v>
      </c>
      <c r="AA2262" s="64">
        <f>_xlfn.MAXIFS(tblLaborEntries[Work date serial],tblLaborEntries[Work package ID],tblWorkPackages[[#This Row],[Work package ID]])</f>
        <v>46003.0</v>
      </c>
      <c r="AB2262" s="65">
        <f>IF(tblWorkPackages[[#This Row],[Completion date serial]]&gt;tblWorkPackages[[#This Row],[Due date serial]],1,0)</f>
        <v>0</v>
      </c>
      <c r="AC2262" s="65">
        <f>MAX(0,tblWorkPackages[[#This Row],[Completion date serial]]-tblWorkPackages[[#This Row],[Due date serial]])</f>
        <v>0</v>
      </c>
      <c r="AD2262" s="65">
        <f>tblWorkPackages[[#This Row],[First labor date]]-tblWorkPackages[[#This Row],[Request date serial]]</f>
        <v>3</v>
      </c>
      <c r="AE2262" s="65">
        <f>tblWorkPackages[[#This Row],[Last labor date]]-tblWorkPackages[[#This Row],[First labor date]]</f>
        <v>0</v>
      </c>
      <c r="AF2262" s="65">
        <f>tblWorkPackages[[#This Row],[Completion date serial]]-tblWorkPackages[[#This Row],[Last labor date]]</f>
        <v>0</v>
      </c>
      <c r="AG2262" s="65">
        <f>tblWorkPackages[[#This Row],[Completion date serial]]-tblWorkPackages[[#This Row],[Request date serial]]</f>
        <v>3</v>
      </c>
      <c r="AH2262" s="65">
        <f>IFERROR(INDEX(tblParts[Delay days],MATCH(tblWorkPackages[[#This Row],[Work package ID]],tblParts[Work package ID],0)),0)</f>
        <v>0</v>
      </c>
      <c r="AI2262" s="51" t="str">
        <f>IFERROR(INDEX(tblDisruptions[Event type],MATCH(tblWorkPackages[[#This Row],[Work package ID]],tblDisruptions[Work package ID],0)),"None")</f>
        <v>None</v>
      </c>
      <c r="AJ2262" s="51" t="str">
        <f>TEXT(tblWorkPackages[[#This Row],[Due date serial]],"yyyy-mm")</f>
        <v>2025-12</v>
      </c>
    </row>
    <row r="2263" spans="1:36" ht="15" x14ac:dyDescent="0.25">
      <c r="A2263" s="53" t="s">
        <v>3179</v>
      </c>
      <c r="B2263" s="53" t="s">
        <v>150</v>
      </c>
      <c r="C2263" s="53" t="s">
        <v>164</v>
      </c>
      <c r="D2263" s="53" t="s">
        <v>165</v>
      </c>
      <c r="E2263" s="53" t="s">
        <v>127</v>
      </c>
      <c r="F2263" s="53" t="s">
        <v>128</v>
      </c>
      <c r="G2263" s="53" t="s">
        <v>129</v>
      </c>
      <c r="H2263" s="53">
        <v>3</v>
      </c>
      <c r="I2263" s="53" t="s">
        <v>147</v>
      </c>
      <c r="J2263" s="53">
        <v>0</v>
      </c>
      <c r="K2263" s="53">
        <v>0</v>
      </c>
      <c r="L2263" s="53">
        <v>10.9</v>
      </c>
      <c r="M2263" s="53" t="s">
        <v>386</v>
      </c>
      <c r="N2263" s="53">
        <v>8.8000000000000007</v>
      </c>
      <c r="O2263" s="51" t="str">
        <f>TEXT(tblWorkPackages[[#This Row],[Request date serial]]-WEEKDAY(tblWorkPackages[[#This Row],[Request date serial]],3),"yyyy-mm-dd")</f>
        <v>2024-06-24</v>
      </c>
      <c r="P2263" s="51">
        <f>ABS(tblWorkPackages[[#This Row],[Actual labor hours]]-tblWorkPackages[[#This Row],[Estimated labor hours]])</f>
        <v>2.1</v>
      </c>
      <c r="Q2263" s="51">
        <f>IF(tblWorkPackages[[#This Row],[Actual labor hours]]&gt;tblWorkPackages[[#This Row],[Estimated labor hours]],1,0)</f>
        <v>0</v>
      </c>
      <c r="R2263" s="51">
        <f>tblWorkPackages[[#This Row],[Actual labor hours]]-tblWorkPackages[[#This Row],[Estimated labor hours]]</f>
        <v>-2.1</v>
      </c>
      <c r="S2263" s="51" t="str">
        <f>IF(tblWorkPackages[[#This Row],[Request date serial]]&lt;ValidationStart,"Train 2024",IF(tblWorkPackages[[#This Row],[Request date serial]]&lt;HoldoutStart,"Validation H1","Holdout H2"))</f>
        <v>Train 2024</v>
      </c>
      <c r="T2263" s="51" t="str">
        <f>IF(tblWorkPackages[[#This Row],[Time split]]="Train 2024","",tblWorkPackages[[#This Row],[Estimated labor hours]]+VLOOKUP(tblWorkPackages[[#This Row],[Task type]],'Forecast validation'!$A$14:$E$25,IF(tblWorkPackages[[#This Row],[Time split]]="Validation H1",4,5),FALSE()))</f>
        <v/>
      </c>
      <c r="U2263" s="51" t="str">
        <f>IF(tblWorkPackages[[#This Row],[Calibrated forecast hours]]="","",ABS(tblWorkPackages[[#This Row],[Actual labor hours]]-tblWorkPackages[[#This Row],[Calibrated forecast hours]]))</f>
        <v/>
      </c>
      <c r="V2263" s="51">
        <f>IF(tblWorkPackages[[#This Row],[Time split]]="Train 2024",tblWorkPackages[[#This Row],[Estimated labor hours]],tblWorkPackages[[#This Row],[Calibrated forecast hours]])</f>
        <v>10.9</v>
      </c>
      <c r="W2263" s="64">
        <f>DATEVALUE(tblWorkPackages[[#This Row],[Request date]])</f>
        <v>45472.0</v>
      </c>
      <c r="X2263" s="64">
        <f>DATEVALUE(tblWorkPackages[[#This Row],[Due date]])</f>
        <v>45474.0</v>
      </c>
      <c r="Y2263" s="64">
        <f>DATEVALUE(tblWorkPackages[[#This Row],[Completion date]])</f>
        <v>45533.0</v>
      </c>
      <c r="Z2263" s="64">
        <f>_xlfn.MINIFS(tblLaborEntries[Work date serial],tblLaborEntries[Work package ID],tblWorkPackages[[#This Row],[Work package ID]])</f>
        <v>45530.0</v>
      </c>
      <c r="AA2263" s="64">
        <f>_xlfn.MAXIFS(tblLaborEntries[Work date serial],tblLaborEntries[Work package ID],tblWorkPackages[[#This Row],[Work package ID]])</f>
        <v>45532.0</v>
      </c>
      <c r="AB2263" s="65">
        <f>IF(tblWorkPackages[[#This Row],[Completion date serial]]&gt;tblWorkPackages[[#This Row],[Due date serial]],1,0)</f>
        <v>1</v>
      </c>
      <c r="AC2263" s="65">
        <f>MAX(0,tblWorkPackages[[#This Row],[Completion date serial]]-tblWorkPackages[[#This Row],[Due date serial]])</f>
        <v>59</v>
      </c>
      <c r="AD2263" s="65">
        <f>tblWorkPackages[[#This Row],[First labor date]]-tblWorkPackages[[#This Row],[Request date serial]]</f>
        <v>58</v>
      </c>
      <c r="AE2263" s="65">
        <f>tblWorkPackages[[#This Row],[Last labor date]]-tblWorkPackages[[#This Row],[First labor date]]</f>
        <v>2</v>
      </c>
      <c r="AF2263" s="65">
        <f>tblWorkPackages[[#This Row],[Completion date serial]]-tblWorkPackages[[#This Row],[Last labor date]]</f>
        <v>1</v>
      </c>
      <c r="AG2263" s="65">
        <f>tblWorkPackages[[#This Row],[Completion date serial]]-tblWorkPackages[[#This Row],[Request date serial]]</f>
        <v>61</v>
      </c>
      <c r="AH2263" s="65">
        <f>IFERROR(INDEX(tblParts[Delay days],MATCH(tblWorkPackages[[#This Row],[Work package ID]],tblParts[Work package ID],0)),0)</f>
        <v>0</v>
      </c>
      <c r="AI2263" s="51" t="str">
        <f>IFERROR(INDEX(tblDisruptions[Event type],MATCH(tblWorkPackages[[#This Row],[Work package ID]],tblDisruptions[Work package ID],0)),"None")</f>
        <v>None</v>
      </c>
      <c r="AJ2263" s="51" t="str">
        <f>TEXT(tblWorkPackages[[#This Row],[Due date serial]],"yyyy-mm")</f>
        <v>2024-07</v>
      </c>
    </row>
    <row r="2264" spans="1:36" ht="15" x14ac:dyDescent="0.25">
      <c r="A2264" s="53" t="s">
        <v>3180</v>
      </c>
      <c r="B2264" s="53" t="s">
        <v>168</v>
      </c>
      <c r="C2264" s="53" t="s">
        <v>597</v>
      </c>
      <c r="D2264" s="53" t="s">
        <v>907</v>
      </c>
      <c r="E2264" s="53" t="s">
        <v>223</v>
      </c>
      <c r="F2264" s="53" t="s">
        <v>182</v>
      </c>
      <c r="G2264" s="53" t="s">
        <v>154</v>
      </c>
      <c r="H2264" s="53">
        <v>3</v>
      </c>
      <c r="I2264" s="53" t="s">
        <v>130</v>
      </c>
      <c r="J2264" s="53">
        <v>0</v>
      </c>
      <c r="K2264" s="53">
        <v>0</v>
      </c>
      <c r="L2264" s="53">
        <v>19</v>
      </c>
      <c r="M2264" s="53" t="s">
        <v>639</v>
      </c>
      <c r="N2264" s="53">
        <v>21.6</v>
      </c>
      <c r="O2264" s="51" t="str">
        <f>TEXT(tblWorkPackages[[#This Row],[Request date serial]]-WEEKDAY(tblWorkPackages[[#This Row],[Request date serial]],3),"yyyy-mm-dd")</f>
        <v>2025-05-26</v>
      </c>
      <c r="P2264" s="51">
        <f>ABS(tblWorkPackages[[#This Row],[Actual labor hours]]-tblWorkPackages[[#This Row],[Estimated labor hours]])</f>
        <v>2.6</v>
      </c>
      <c r="Q2264" s="51">
        <f>IF(tblWorkPackages[[#This Row],[Actual labor hours]]&gt;tblWorkPackages[[#This Row],[Estimated labor hours]],1,0)</f>
        <v>1</v>
      </c>
      <c r="R2264" s="51">
        <f>tblWorkPackages[[#This Row],[Actual labor hours]]-tblWorkPackages[[#This Row],[Estimated labor hours]]</f>
        <v>2.6</v>
      </c>
      <c r="S2264" s="51" t="str">
        <f>IF(tblWorkPackages[[#This Row],[Request date serial]]&lt;ValidationStart,"Train 2024",IF(tblWorkPackages[[#This Row],[Request date serial]]&lt;HoldoutStart,"Validation H1","Holdout H2"))</f>
        <v>Validation H1</v>
      </c>
      <c r="T2264" s="51">
        <f>IF(tblWorkPackages[[#This Row],[Time split]]="Train 2024","",tblWorkPackages[[#This Row],[Estimated labor hours]]+VLOOKUP(tblWorkPackages[[#This Row],[Task type]],'Forecast validation'!$A$14:$E$25,IF(tblWorkPackages[[#This Row],[Time split]]="Validation H1",4,5),FALSE()))</f>
        <v>19.8824175824176</v>
      </c>
      <c r="U2264" s="51">
        <f>IF(tblWorkPackages[[#This Row],[Calibrated forecast hours]]="","",ABS(tblWorkPackages[[#This Row],[Actual labor hours]]-tblWorkPackages[[#This Row],[Calibrated forecast hours]]))</f>
        <v>1.71758241758242</v>
      </c>
      <c r="V2264" s="51">
        <f>IF(tblWorkPackages[[#This Row],[Time split]]="Train 2024",tblWorkPackages[[#This Row],[Estimated labor hours]],tblWorkPackages[[#This Row],[Calibrated forecast hours]])</f>
        <v>19.8824175824176</v>
      </c>
      <c r="W2264" s="64">
        <f>DATEVALUE(tblWorkPackages[[#This Row],[Request date]])</f>
        <v>45803.0</v>
      </c>
      <c r="X2264" s="64">
        <f>DATEVALUE(tblWorkPackages[[#This Row],[Due date]])</f>
        <v>45816.0</v>
      </c>
      <c r="Y2264" s="64">
        <f>DATEVALUE(tblWorkPackages[[#This Row],[Completion date]])</f>
        <v>45815.0</v>
      </c>
      <c r="Z2264" s="64">
        <f>_xlfn.MINIFS(tblLaborEntries[Work date serial],tblLaborEntries[Work package ID],tblWorkPackages[[#This Row],[Work package ID]])</f>
        <v>45812.0</v>
      </c>
      <c r="AA2264" s="64">
        <f>_xlfn.MAXIFS(tblLaborEntries[Work date serial],tblLaborEntries[Work package ID],tblWorkPackages[[#This Row],[Work package ID]])</f>
        <v>45813.0</v>
      </c>
      <c r="AB2264" s="65">
        <f>IF(tblWorkPackages[[#This Row],[Completion date serial]]&gt;tblWorkPackages[[#This Row],[Due date serial]],1,0)</f>
        <v>0</v>
      </c>
      <c r="AC2264" s="65">
        <f>MAX(0,tblWorkPackages[[#This Row],[Completion date serial]]-tblWorkPackages[[#This Row],[Due date serial]])</f>
        <v>0</v>
      </c>
      <c r="AD2264" s="65">
        <f>tblWorkPackages[[#This Row],[First labor date]]-tblWorkPackages[[#This Row],[Request date serial]]</f>
        <v>9</v>
      </c>
      <c r="AE2264" s="65">
        <f>tblWorkPackages[[#This Row],[Last labor date]]-tblWorkPackages[[#This Row],[First labor date]]</f>
        <v>1</v>
      </c>
      <c r="AF2264" s="65">
        <f>tblWorkPackages[[#This Row],[Completion date serial]]-tblWorkPackages[[#This Row],[Last labor date]]</f>
        <v>2</v>
      </c>
      <c r="AG2264" s="65">
        <f>tblWorkPackages[[#This Row],[Completion date serial]]-tblWorkPackages[[#This Row],[Request date serial]]</f>
        <v>12</v>
      </c>
      <c r="AH2264" s="65">
        <f>IFERROR(INDEX(tblParts[Delay days],MATCH(tblWorkPackages[[#This Row],[Work package ID]],tblParts[Work package ID],0)),0)</f>
        <v>0</v>
      </c>
      <c r="AI2264" s="51" t="str">
        <f>IFERROR(INDEX(tblDisruptions[Event type],MATCH(tblWorkPackages[[#This Row],[Work package ID]],tblDisruptions[Work package ID],0)),"None")</f>
        <v>None</v>
      </c>
      <c r="AJ2264" s="51" t="str">
        <f>TEXT(tblWorkPackages[[#This Row],[Due date serial]],"yyyy-mm")</f>
        <v>2025-06</v>
      </c>
    </row>
    <row r="2265" spans="1:36" ht="15" x14ac:dyDescent="0.25">
      <c r="A2265" s="53" t="s">
        <v>3181</v>
      </c>
      <c r="B2265" s="53" t="s">
        <v>185</v>
      </c>
      <c r="C2265" s="53" t="s">
        <v>697</v>
      </c>
      <c r="D2265" s="53" t="s">
        <v>354</v>
      </c>
      <c r="E2265" s="53" t="s">
        <v>153</v>
      </c>
      <c r="F2265" s="53" t="s">
        <v>128</v>
      </c>
      <c r="G2265" s="53" t="s">
        <v>154</v>
      </c>
      <c r="H2265" s="53">
        <v>1</v>
      </c>
      <c r="I2265" s="53" t="s">
        <v>130</v>
      </c>
      <c r="J2265" s="53">
        <v>0</v>
      </c>
      <c r="K2265" s="53">
        <v>0</v>
      </c>
      <c r="L2265" s="53">
        <v>7</v>
      </c>
      <c r="M2265" s="53" t="s">
        <v>291</v>
      </c>
      <c r="N2265" s="53">
        <v>8.1</v>
      </c>
      <c r="O2265" s="51" t="str">
        <f>TEXT(tblWorkPackages[[#This Row],[Request date serial]]-WEEKDAY(tblWorkPackages[[#This Row],[Request date serial]],3),"yyyy-mm-dd")</f>
        <v>2025-02-10</v>
      </c>
      <c r="P2265" s="51">
        <f>ABS(tblWorkPackages[[#This Row],[Actual labor hours]]-tblWorkPackages[[#This Row],[Estimated labor hours]])</f>
        <v>1.1</v>
      </c>
      <c r="Q2265" s="51">
        <f>IF(tblWorkPackages[[#This Row],[Actual labor hours]]&gt;tblWorkPackages[[#This Row],[Estimated labor hours]],1,0)</f>
        <v>1</v>
      </c>
      <c r="R2265" s="51">
        <f>tblWorkPackages[[#This Row],[Actual labor hours]]-tblWorkPackages[[#This Row],[Estimated labor hours]]</f>
        <v>1.1</v>
      </c>
      <c r="S2265" s="51" t="str">
        <f>IF(tblWorkPackages[[#This Row],[Request date serial]]&lt;ValidationStart,"Train 2024",IF(tblWorkPackages[[#This Row],[Request date serial]]&lt;HoldoutStart,"Validation H1","Holdout H2"))</f>
        <v>Validation H1</v>
      </c>
      <c r="T2265" s="51">
        <f>IF(tblWorkPackages[[#This Row],[Time split]]="Train 2024","",tblWorkPackages[[#This Row],[Estimated labor hours]]+VLOOKUP(tblWorkPackages[[#This Row],[Task type]],'Forecast validation'!$A$14:$E$25,IF(tblWorkPackages[[#This Row],[Time split]]="Validation H1",4,5),FALSE()))</f>
        <v>7.54622641509434</v>
      </c>
      <c r="U2265" s="51">
        <f>IF(tblWorkPackages[[#This Row],[Calibrated forecast hours]]="","",ABS(tblWorkPackages[[#This Row],[Actual labor hours]]-tblWorkPackages[[#This Row],[Calibrated forecast hours]]))</f>
        <v>0.55377358490566</v>
      </c>
      <c r="V2265" s="51">
        <f>IF(tblWorkPackages[[#This Row],[Time split]]="Train 2024",tblWorkPackages[[#This Row],[Estimated labor hours]],tblWorkPackages[[#This Row],[Calibrated forecast hours]])</f>
        <v>7.54622641509434</v>
      </c>
      <c r="W2265" s="64">
        <f>DATEVALUE(tblWorkPackages[[#This Row],[Request date]])</f>
        <v>45703.0</v>
      </c>
      <c r="X2265" s="64">
        <f>DATEVALUE(tblWorkPackages[[#This Row],[Due date]])</f>
        <v>45716.0</v>
      </c>
      <c r="Y2265" s="64">
        <f>DATEVALUE(tblWorkPackages[[#This Row],[Completion date]])</f>
        <v>45709.0</v>
      </c>
      <c r="Z2265" s="64">
        <f>_xlfn.MINIFS(tblLaborEntries[Work date serial],tblLaborEntries[Work package ID],tblWorkPackages[[#This Row],[Work package ID]])</f>
        <v>45705.0</v>
      </c>
      <c r="AA2265" s="64">
        <f>_xlfn.MAXIFS(tblLaborEntries[Work date serial],tblLaborEntries[Work package ID],tblWorkPackages[[#This Row],[Work package ID]])</f>
        <v>45706.0</v>
      </c>
      <c r="AB2265" s="65">
        <f>IF(tblWorkPackages[[#This Row],[Completion date serial]]&gt;tblWorkPackages[[#This Row],[Due date serial]],1,0)</f>
        <v>0</v>
      </c>
      <c r="AC2265" s="65">
        <f>MAX(0,tblWorkPackages[[#This Row],[Completion date serial]]-tblWorkPackages[[#This Row],[Due date serial]])</f>
        <v>0</v>
      </c>
      <c r="AD2265" s="65">
        <f>tblWorkPackages[[#This Row],[First labor date]]-tblWorkPackages[[#This Row],[Request date serial]]</f>
        <v>2</v>
      </c>
      <c r="AE2265" s="65">
        <f>tblWorkPackages[[#This Row],[Last labor date]]-tblWorkPackages[[#This Row],[First labor date]]</f>
        <v>1</v>
      </c>
      <c r="AF2265" s="65">
        <f>tblWorkPackages[[#This Row],[Completion date serial]]-tblWorkPackages[[#This Row],[Last labor date]]</f>
        <v>3</v>
      </c>
      <c r="AG2265" s="65">
        <f>tblWorkPackages[[#This Row],[Completion date serial]]-tblWorkPackages[[#This Row],[Request date serial]]</f>
        <v>6</v>
      </c>
      <c r="AH2265" s="65">
        <f>IFERROR(INDEX(tblParts[Delay days],MATCH(tblWorkPackages[[#This Row],[Work package ID]],tblParts[Work package ID],0)),0)</f>
        <v>0</v>
      </c>
      <c r="AI2265" s="51" t="str">
        <f>IFERROR(INDEX(tblDisruptions[Event type],MATCH(tblWorkPackages[[#This Row],[Work package ID]],tblDisruptions[Work package ID],0)),"None")</f>
        <v>Equipment unavailable</v>
      </c>
      <c r="AJ2265" s="51" t="str">
        <f>TEXT(tblWorkPackages[[#This Row],[Due date serial]],"yyyy-mm")</f>
        <v>2025-02</v>
      </c>
    </row>
    <row r="2266" spans="1:36" ht="15" x14ac:dyDescent="0.25">
      <c r="A2266" s="53" t="s">
        <v>3182</v>
      </c>
      <c r="B2266" s="53" t="s">
        <v>173</v>
      </c>
      <c r="C2266" s="53" t="s">
        <v>1051</v>
      </c>
      <c r="D2266" s="53" t="s">
        <v>490</v>
      </c>
      <c r="E2266" s="53" t="s">
        <v>136</v>
      </c>
      <c r="F2266" s="53" t="s">
        <v>137</v>
      </c>
      <c r="G2266" s="53" t="s">
        <v>138</v>
      </c>
      <c r="H2266" s="53">
        <v>4</v>
      </c>
      <c r="I2266" s="53" t="s">
        <v>176</v>
      </c>
      <c r="J2266" s="53">
        <v>0</v>
      </c>
      <c r="K2266" s="53">
        <v>0</v>
      </c>
      <c r="L2266" s="53">
        <v>26.7</v>
      </c>
      <c r="M2266" s="53" t="s">
        <v>700</v>
      </c>
      <c r="N2266" s="53">
        <v>24.1</v>
      </c>
      <c r="O2266" s="51" t="str">
        <f>TEXT(tblWorkPackages[[#This Row],[Request date serial]]-WEEKDAY(tblWorkPackages[[#This Row],[Request date serial]],3),"yyyy-mm-dd")</f>
        <v>2024-01-29</v>
      </c>
      <c r="P2266" s="51">
        <f>ABS(tblWorkPackages[[#This Row],[Actual labor hours]]-tblWorkPackages[[#This Row],[Estimated labor hours]])</f>
        <v>2.6</v>
      </c>
      <c r="Q2266" s="51">
        <f>IF(tblWorkPackages[[#This Row],[Actual labor hours]]&gt;tblWorkPackages[[#This Row],[Estimated labor hours]],1,0)</f>
        <v>0</v>
      </c>
      <c r="R2266" s="51">
        <f>tblWorkPackages[[#This Row],[Actual labor hours]]-tblWorkPackages[[#This Row],[Estimated labor hours]]</f>
        <v>-2.6</v>
      </c>
      <c r="S2266" s="51" t="str">
        <f>IF(tblWorkPackages[[#This Row],[Request date serial]]&lt;ValidationStart,"Train 2024",IF(tblWorkPackages[[#This Row],[Request date serial]]&lt;HoldoutStart,"Validation H1","Holdout H2"))</f>
        <v>Train 2024</v>
      </c>
      <c r="T2266" s="51" t="str">
        <f>IF(tblWorkPackages[[#This Row],[Time split]]="Train 2024","",tblWorkPackages[[#This Row],[Estimated labor hours]]+VLOOKUP(tblWorkPackages[[#This Row],[Task type]],'Forecast validation'!$A$14:$E$25,IF(tblWorkPackages[[#This Row],[Time split]]="Validation H1",4,5),FALSE()))</f>
        <v/>
      </c>
      <c r="U2266" s="51" t="str">
        <f>IF(tblWorkPackages[[#This Row],[Calibrated forecast hours]]="","",ABS(tblWorkPackages[[#This Row],[Actual labor hours]]-tblWorkPackages[[#This Row],[Calibrated forecast hours]]))</f>
        <v/>
      </c>
      <c r="V2266" s="51">
        <f>IF(tblWorkPackages[[#This Row],[Time split]]="Train 2024",tblWorkPackages[[#This Row],[Estimated labor hours]],tblWorkPackages[[#This Row],[Calibrated forecast hours]])</f>
        <v>26.7</v>
      </c>
      <c r="W2266" s="64">
        <f>DATEVALUE(tblWorkPackages[[#This Row],[Request date]])</f>
        <v>45326.0</v>
      </c>
      <c r="X2266" s="64">
        <f>DATEVALUE(tblWorkPackages[[#This Row],[Due date]])</f>
        <v>45332.0</v>
      </c>
      <c r="Y2266" s="64">
        <f>DATEVALUE(tblWorkPackages[[#This Row],[Completion date]])</f>
        <v>45349.0</v>
      </c>
      <c r="Z2266" s="64">
        <f>_xlfn.MINIFS(tblLaborEntries[Work date serial],tblLaborEntries[Work package ID],tblWorkPackages[[#This Row],[Work package ID]])</f>
        <v>45348.0</v>
      </c>
      <c r="AA2266" s="64">
        <f>_xlfn.MAXIFS(tblLaborEntries[Work date serial],tblLaborEntries[Work package ID],tblWorkPackages[[#This Row],[Work package ID]])</f>
        <v>45349.0</v>
      </c>
      <c r="AB2266" s="65">
        <f>IF(tblWorkPackages[[#This Row],[Completion date serial]]&gt;tblWorkPackages[[#This Row],[Due date serial]],1,0)</f>
        <v>1</v>
      </c>
      <c r="AC2266" s="65">
        <f>MAX(0,tblWorkPackages[[#This Row],[Completion date serial]]-tblWorkPackages[[#This Row],[Due date serial]])</f>
        <v>17</v>
      </c>
      <c r="AD2266" s="65">
        <f>tblWorkPackages[[#This Row],[First labor date]]-tblWorkPackages[[#This Row],[Request date serial]]</f>
        <v>22</v>
      </c>
      <c r="AE2266" s="65">
        <f>tblWorkPackages[[#This Row],[Last labor date]]-tblWorkPackages[[#This Row],[First labor date]]</f>
        <v>1</v>
      </c>
      <c r="AF2266" s="65">
        <f>tblWorkPackages[[#This Row],[Completion date serial]]-tblWorkPackages[[#This Row],[Last labor date]]</f>
        <v>0</v>
      </c>
      <c r="AG2266" s="65">
        <f>tblWorkPackages[[#This Row],[Completion date serial]]-tblWorkPackages[[#This Row],[Request date serial]]</f>
        <v>23</v>
      </c>
      <c r="AH2266" s="65">
        <f>IFERROR(INDEX(tblParts[Delay days],MATCH(tblWorkPackages[[#This Row],[Work package ID]],tblParts[Work package ID],0)),0)</f>
        <v>0</v>
      </c>
      <c r="AI2266" s="51" t="str">
        <f>IFERROR(INDEX(tblDisruptions[Event type],MATCH(tblWorkPackages[[#This Row],[Work package ID]],tblDisruptions[Work package ID],0)),"None")</f>
        <v>None</v>
      </c>
      <c r="AJ2266" s="51" t="str">
        <f>TEXT(tblWorkPackages[[#This Row],[Due date serial]],"yyyy-mm")</f>
        <v>2024-02</v>
      </c>
    </row>
    <row r="2267" spans="1:36" ht="15" x14ac:dyDescent="0.25">
      <c r="A2267" s="53" t="s">
        <v>3183</v>
      </c>
      <c r="B2267" s="53" t="s">
        <v>168</v>
      </c>
      <c r="C2267" s="53" t="s">
        <v>1380</v>
      </c>
      <c r="D2267" s="53" t="s">
        <v>1469</v>
      </c>
      <c r="E2267" s="53" t="s">
        <v>200</v>
      </c>
      <c r="F2267" s="53" t="s">
        <v>128</v>
      </c>
      <c r="G2267" s="53" t="s">
        <v>129</v>
      </c>
      <c r="H2267" s="53">
        <v>4</v>
      </c>
      <c r="I2267" s="53" t="s">
        <v>176</v>
      </c>
      <c r="J2267" s="53">
        <v>0</v>
      </c>
      <c r="K2267" s="53">
        <v>0</v>
      </c>
      <c r="L2267" s="53">
        <v>6.3</v>
      </c>
      <c r="M2267" s="53" t="s">
        <v>1469</v>
      </c>
      <c r="N2267" s="53">
        <v>5.5</v>
      </c>
      <c r="O2267" s="51" t="str">
        <f>TEXT(tblWorkPackages[[#This Row],[Request date serial]]-WEEKDAY(tblWorkPackages[[#This Row],[Request date serial]],3),"yyyy-mm-dd")</f>
        <v>2024-04-29</v>
      </c>
      <c r="P2267" s="51">
        <f>ABS(tblWorkPackages[[#This Row],[Actual labor hours]]-tblWorkPackages[[#This Row],[Estimated labor hours]])</f>
        <v>0.8</v>
      </c>
      <c r="Q2267" s="51">
        <f>IF(tblWorkPackages[[#This Row],[Actual labor hours]]&gt;tblWorkPackages[[#This Row],[Estimated labor hours]],1,0)</f>
        <v>0</v>
      </c>
      <c r="R2267" s="51">
        <f>tblWorkPackages[[#This Row],[Actual labor hours]]-tblWorkPackages[[#This Row],[Estimated labor hours]]</f>
        <v>-0.8</v>
      </c>
      <c r="S2267" s="51" t="str">
        <f>IF(tblWorkPackages[[#This Row],[Request date serial]]&lt;ValidationStart,"Train 2024",IF(tblWorkPackages[[#This Row],[Request date serial]]&lt;HoldoutStart,"Validation H1","Holdout H2"))</f>
        <v>Train 2024</v>
      </c>
      <c r="T2267" s="51" t="str">
        <f>IF(tblWorkPackages[[#This Row],[Time split]]="Train 2024","",tblWorkPackages[[#This Row],[Estimated labor hours]]+VLOOKUP(tblWorkPackages[[#This Row],[Task type]],'Forecast validation'!$A$14:$E$25,IF(tblWorkPackages[[#This Row],[Time split]]="Validation H1",4,5),FALSE()))</f>
        <v/>
      </c>
      <c r="U2267" s="51" t="str">
        <f>IF(tblWorkPackages[[#This Row],[Calibrated forecast hours]]="","",ABS(tblWorkPackages[[#This Row],[Actual labor hours]]-tblWorkPackages[[#This Row],[Calibrated forecast hours]]))</f>
        <v/>
      </c>
      <c r="V2267" s="51">
        <f>IF(tblWorkPackages[[#This Row],[Time split]]="Train 2024",tblWorkPackages[[#This Row],[Estimated labor hours]],tblWorkPackages[[#This Row],[Calibrated forecast hours]])</f>
        <v>6.3</v>
      </c>
      <c r="W2267" s="64">
        <f>DATEVALUE(tblWorkPackages[[#This Row],[Request date]])</f>
        <v>45415.0</v>
      </c>
      <c r="X2267" s="64">
        <f>DATEVALUE(tblWorkPackages[[#This Row],[Due date]])</f>
        <v>45421.0</v>
      </c>
      <c r="Y2267" s="64">
        <f>DATEVALUE(tblWorkPackages[[#This Row],[Completion date]])</f>
        <v>45421.0</v>
      </c>
      <c r="Z2267" s="64">
        <f>_xlfn.MINIFS(tblLaborEntries[Work date serial],tblLaborEntries[Work package ID],tblWorkPackages[[#This Row],[Work package ID]])</f>
        <v>45419.0</v>
      </c>
      <c r="AA2267" s="64">
        <f>_xlfn.MAXIFS(tblLaborEntries[Work date serial],tblLaborEntries[Work package ID],tblWorkPackages[[#This Row],[Work package ID]])</f>
        <v>45420.0</v>
      </c>
      <c r="AB2267" s="65">
        <f>IF(tblWorkPackages[[#This Row],[Completion date serial]]&gt;tblWorkPackages[[#This Row],[Due date serial]],1,0)</f>
        <v>0</v>
      </c>
      <c r="AC2267" s="65">
        <f>MAX(0,tblWorkPackages[[#This Row],[Completion date serial]]-tblWorkPackages[[#This Row],[Due date serial]])</f>
        <v>0</v>
      </c>
      <c r="AD2267" s="65">
        <f>tblWorkPackages[[#This Row],[First labor date]]-tblWorkPackages[[#This Row],[Request date serial]]</f>
        <v>4</v>
      </c>
      <c r="AE2267" s="65">
        <f>tblWorkPackages[[#This Row],[Last labor date]]-tblWorkPackages[[#This Row],[First labor date]]</f>
        <v>1</v>
      </c>
      <c r="AF2267" s="65">
        <f>tblWorkPackages[[#This Row],[Completion date serial]]-tblWorkPackages[[#This Row],[Last labor date]]</f>
        <v>1</v>
      </c>
      <c r="AG2267" s="65">
        <f>tblWorkPackages[[#This Row],[Completion date serial]]-tblWorkPackages[[#This Row],[Request date serial]]</f>
        <v>6</v>
      </c>
      <c r="AH2267" s="65">
        <f>IFERROR(INDEX(tblParts[Delay days],MATCH(tblWorkPackages[[#This Row],[Work package ID]],tblParts[Work package ID],0)),0)</f>
        <v>0</v>
      </c>
      <c r="AI2267" s="51" t="str">
        <f>IFERROR(INDEX(tblDisruptions[Event type],MATCH(tblWorkPackages[[#This Row],[Work package ID]],tblDisruptions[Work package ID],0)),"None")</f>
        <v>None</v>
      </c>
      <c r="AJ2267" s="51" t="str">
        <f>TEXT(tblWorkPackages[[#This Row],[Due date serial]],"yyyy-mm")</f>
        <v>2024-05</v>
      </c>
    </row>
    <row r="2268" spans="1:36" ht="15" x14ac:dyDescent="0.25">
      <c r="A2268" s="53" t="s">
        <v>3184</v>
      </c>
      <c r="B2268" s="53" t="s">
        <v>168</v>
      </c>
      <c r="C2268" s="53" t="s">
        <v>1192</v>
      </c>
      <c r="D2268" s="53" t="s">
        <v>687</v>
      </c>
      <c r="E2268" s="53" t="s">
        <v>144</v>
      </c>
      <c r="F2268" s="53" t="s">
        <v>145</v>
      </c>
      <c r="G2268" s="53" t="s">
        <v>146</v>
      </c>
      <c r="H2268" s="53">
        <v>3</v>
      </c>
      <c r="I2268" s="53" t="s">
        <v>176</v>
      </c>
      <c r="J2268" s="53">
        <v>0</v>
      </c>
      <c r="K2268" s="53">
        <v>1</v>
      </c>
      <c r="L2268" s="53">
        <v>16.100000000000001</v>
      </c>
      <c r="M2268" s="53" t="s">
        <v>1226</v>
      </c>
      <c r="N2268" s="53">
        <v>14</v>
      </c>
      <c r="O2268" s="51" t="str">
        <f>TEXT(tblWorkPackages[[#This Row],[Request date serial]]-WEEKDAY(tblWorkPackages[[#This Row],[Request date serial]],3),"yyyy-mm-dd")</f>
        <v>2025-03-31</v>
      </c>
      <c r="P2268" s="51">
        <f>ABS(tblWorkPackages[[#This Row],[Actual labor hours]]-tblWorkPackages[[#This Row],[Estimated labor hours]])</f>
        <v>2.1</v>
      </c>
      <c r="Q2268" s="51">
        <f>IF(tblWorkPackages[[#This Row],[Actual labor hours]]&gt;tblWorkPackages[[#This Row],[Estimated labor hours]],1,0)</f>
        <v>0</v>
      </c>
      <c r="R2268" s="51">
        <f>tblWorkPackages[[#This Row],[Actual labor hours]]-tblWorkPackages[[#This Row],[Estimated labor hours]]</f>
        <v>-2.1</v>
      </c>
      <c r="S2268" s="51" t="str">
        <f>IF(tblWorkPackages[[#This Row],[Request date serial]]&lt;ValidationStart,"Train 2024",IF(tblWorkPackages[[#This Row],[Request date serial]]&lt;HoldoutStart,"Validation H1","Holdout H2"))</f>
        <v>Validation H1</v>
      </c>
      <c r="T2268" s="51">
        <f>IF(tblWorkPackages[[#This Row],[Time split]]="Train 2024","",tblWorkPackages[[#This Row],[Estimated labor hours]]+VLOOKUP(tblWorkPackages[[#This Row],[Task type]],'Forecast validation'!$A$14:$E$25,IF(tblWorkPackages[[#This Row],[Time split]]="Validation H1",4,5),FALSE()))</f>
        <v>16.8547368421053</v>
      </c>
      <c r="U2268" s="51">
        <f>IF(tblWorkPackages[[#This Row],[Calibrated forecast hours]]="","",ABS(tblWorkPackages[[#This Row],[Actual labor hours]]-tblWorkPackages[[#This Row],[Calibrated forecast hours]]))</f>
        <v>2.85473684210526</v>
      </c>
      <c r="V2268" s="51">
        <f>IF(tblWorkPackages[[#This Row],[Time split]]="Train 2024",tblWorkPackages[[#This Row],[Estimated labor hours]],tblWorkPackages[[#This Row],[Calibrated forecast hours]])</f>
        <v>16.8547368421053</v>
      </c>
      <c r="W2268" s="64">
        <f>DATEVALUE(tblWorkPackages[[#This Row],[Request date]])</f>
        <v>45747.0</v>
      </c>
      <c r="X2268" s="64">
        <f>DATEVALUE(tblWorkPackages[[#This Row],[Due date]])</f>
        <v>45753.0</v>
      </c>
      <c r="Y2268" s="64">
        <f>DATEVALUE(tblWorkPackages[[#This Row],[Completion date]])</f>
        <v>45750.0</v>
      </c>
      <c r="Z2268" s="64">
        <f>_xlfn.MINIFS(tblLaborEntries[Work date serial],tblLaborEntries[Work package ID],tblWorkPackages[[#This Row],[Work package ID]])</f>
        <v>45748.0</v>
      </c>
      <c r="AA2268" s="64">
        <f>_xlfn.MAXIFS(tblLaborEntries[Work date serial],tblLaborEntries[Work package ID],tblWorkPackages[[#This Row],[Work package ID]])</f>
        <v>45748.0</v>
      </c>
      <c r="AB2268" s="65">
        <f>IF(tblWorkPackages[[#This Row],[Completion date serial]]&gt;tblWorkPackages[[#This Row],[Due date serial]],1,0)</f>
        <v>0</v>
      </c>
      <c r="AC2268" s="65">
        <f>MAX(0,tblWorkPackages[[#This Row],[Completion date serial]]-tblWorkPackages[[#This Row],[Due date serial]])</f>
        <v>0</v>
      </c>
      <c r="AD2268" s="65">
        <f>tblWorkPackages[[#This Row],[First labor date]]-tblWorkPackages[[#This Row],[Request date serial]]</f>
        <v>1</v>
      </c>
      <c r="AE2268" s="65">
        <f>tblWorkPackages[[#This Row],[Last labor date]]-tblWorkPackages[[#This Row],[First labor date]]</f>
        <v>0</v>
      </c>
      <c r="AF2268" s="65">
        <f>tblWorkPackages[[#This Row],[Completion date serial]]-tblWorkPackages[[#This Row],[Last labor date]]</f>
        <v>2</v>
      </c>
      <c r="AG2268" s="65">
        <f>tblWorkPackages[[#This Row],[Completion date serial]]-tblWorkPackages[[#This Row],[Request date serial]]</f>
        <v>3</v>
      </c>
      <c r="AH2268" s="65">
        <f>IFERROR(INDEX(tblParts[Delay days],MATCH(tblWorkPackages[[#This Row],[Work package ID]],tblParts[Work package ID],0)),0)</f>
        <v>0</v>
      </c>
      <c r="AI2268" s="51" t="str">
        <f>IFERROR(INDEX(tblDisruptions[Event type],MATCH(tblWorkPackages[[#This Row],[Work package ID]],tblDisruptions[Work package ID],0)),"None")</f>
        <v>None</v>
      </c>
      <c r="AJ2268" s="51" t="str">
        <f>TEXT(tblWorkPackages[[#This Row],[Due date serial]],"yyyy-mm")</f>
        <v>2025-04</v>
      </c>
    </row>
    <row r="2269" spans="1:36" ht="15" x14ac:dyDescent="0.25">
      <c r="A2269" s="53" t="s">
        <v>3185</v>
      </c>
      <c r="B2269" s="53" t="s">
        <v>133</v>
      </c>
      <c r="C2269" s="53" t="s">
        <v>770</v>
      </c>
      <c r="D2269" s="53" t="s">
        <v>771</v>
      </c>
      <c r="E2269" s="53" t="s">
        <v>237</v>
      </c>
      <c r="F2269" s="53" t="s">
        <v>182</v>
      </c>
      <c r="G2269" s="53" t="s">
        <v>138</v>
      </c>
      <c r="H2269" s="53">
        <v>3</v>
      </c>
      <c r="I2269" s="53" t="s">
        <v>130</v>
      </c>
      <c r="J2269" s="53">
        <v>0</v>
      </c>
      <c r="K2269" s="53">
        <v>0</v>
      </c>
      <c r="L2269" s="53">
        <v>6.1</v>
      </c>
      <c r="M2269" s="53" t="s">
        <v>194</v>
      </c>
      <c r="N2269" s="53">
        <v>6.4</v>
      </c>
      <c r="O2269" s="51" t="str">
        <f>TEXT(tblWorkPackages[[#This Row],[Request date serial]]-WEEKDAY(tblWorkPackages[[#This Row],[Request date serial]],3),"yyyy-mm-dd")</f>
        <v>2024-09-23</v>
      </c>
      <c r="P2269" s="51">
        <f>ABS(tblWorkPackages[[#This Row],[Actual labor hours]]-tblWorkPackages[[#This Row],[Estimated labor hours]])</f>
        <v>0.300000000000001</v>
      </c>
      <c r="Q2269" s="51">
        <f>IF(tblWorkPackages[[#This Row],[Actual labor hours]]&gt;tblWorkPackages[[#This Row],[Estimated labor hours]],1,0)</f>
        <v>1</v>
      </c>
      <c r="R2269" s="51">
        <f>tblWorkPackages[[#This Row],[Actual labor hours]]-tblWorkPackages[[#This Row],[Estimated labor hours]]</f>
        <v>0.300000000000001</v>
      </c>
      <c r="S2269" s="51" t="str">
        <f>IF(tblWorkPackages[[#This Row],[Request date serial]]&lt;ValidationStart,"Train 2024",IF(tblWorkPackages[[#This Row],[Request date serial]]&lt;HoldoutStart,"Validation H1","Holdout H2"))</f>
        <v>Train 2024</v>
      </c>
      <c r="T2269" s="51" t="str">
        <f>IF(tblWorkPackages[[#This Row],[Time split]]="Train 2024","",tblWorkPackages[[#This Row],[Estimated labor hours]]+VLOOKUP(tblWorkPackages[[#This Row],[Task type]],'Forecast validation'!$A$14:$E$25,IF(tblWorkPackages[[#This Row],[Time split]]="Validation H1",4,5),FALSE()))</f>
        <v/>
      </c>
      <c r="U2269" s="51" t="str">
        <f>IF(tblWorkPackages[[#This Row],[Calibrated forecast hours]]="","",ABS(tblWorkPackages[[#This Row],[Actual labor hours]]-tblWorkPackages[[#This Row],[Calibrated forecast hours]]))</f>
        <v/>
      </c>
      <c r="V2269" s="51">
        <f>IF(tblWorkPackages[[#This Row],[Time split]]="Train 2024",tblWorkPackages[[#This Row],[Estimated labor hours]],tblWorkPackages[[#This Row],[Calibrated forecast hours]])</f>
        <v>6.1</v>
      </c>
      <c r="W2269" s="64">
        <f>DATEVALUE(tblWorkPackages[[#This Row],[Request date]])</f>
        <v>45558.0</v>
      </c>
      <c r="X2269" s="64">
        <f>DATEVALUE(tblWorkPackages[[#This Row],[Due date]])</f>
        <v>45571.0</v>
      </c>
      <c r="Y2269" s="64">
        <f>DATEVALUE(tblWorkPackages[[#This Row],[Completion date]])</f>
        <v>45574.0</v>
      </c>
      <c r="Z2269" s="64">
        <f>_xlfn.MINIFS(tblLaborEntries[Work date serial],tblLaborEntries[Work package ID],tblWorkPackages[[#This Row],[Work package ID]])</f>
        <v>45570.0</v>
      </c>
      <c r="AA2269" s="64">
        <f>_xlfn.MAXIFS(tblLaborEntries[Work date serial],tblLaborEntries[Work package ID],tblWorkPackages[[#This Row],[Work package ID]])</f>
        <v>45571.0</v>
      </c>
      <c r="AB2269" s="65">
        <f>IF(tblWorkPackages[[#This Row],[Completion date serial]]&gt;tblWorkPackages[[#This Row],[Due date serial]],1,0)</f>
        <v>1</v>
      </c>
      <c r="AC2269" s="65">
        <f>MAX(0,tblWorkPackages[[#This Row],[Completion date serial]]-tblWorkPackages[[#This Row],[Due date serial]])</f>
        <v>3</v>
      </c>
      <c r="AD2269" s="65">
        <f>tblWorkPackages[[#This Row],[First labor date]]-tblWorkPackages[[#This Row],[Request date serial]]</f>
        <v>12</v>
      </c>
      <c r="AE2269" s="65">
        <f>tblWorkPackages[[#This Row],[Last labor date]]-tblWorkPackages[[#This Row],[First labor date]]</f>
        <v>1</v>
      </c>
      <c r="AF2269" s="65">
        <f>tblWorkPackages[[#This Row],[Completion date serial]]-tblWorkPackages[[#This Row],[Last labor date]]</f>
        <v>3</v>
      </c>
      <c r="AG2269" s="65">
        <f>tblWorkPackages[[#This Row],[Completion date serial]]-tblWorkPackages[[#This Row],[Request date serial]]</f>
        <v>16</v>
      </c>
      <c r="AH2269" s="65">
        <f>IFERROR(INDEX(tblParts[Delay days],MATCH(tblWorkPackages[[#This Row],[Work package ID]],tblParts[Work package ID],0)),0)</f>
        <v>0</v>
      </c>
      <c r="AI2269" s="51" t="str">
        <f>IFERROR(INDEX(tblDisruptions[Event type],MATCH(tblWorkPackages[[#This Row],[Work package ID]],tblDisruptions[Work package ID],0)),"None")</f>
        <v>None</v>
      </c>
      <c r="AJ2269" s="51" t="str">
        <f>TEXT(tblWorkPackages[[#This Row],[Due date serial]],"yyyy-mm")</f>
        <v>2024-10</v>
      </c>
    </row>
    <row r="2270" spans="1:36" ht="15" x14ac:dyDescent="0.25">
      <c r="A2270" s="53" t="s">
        <v>3186</v>
      </c>
      <c r="B2270" s="53" t="s">
        <v>203</v>
      </c>
      <c r="C2270" s="53" t="s">
        <v>633</v>
      </c>
      <c r="D2270" s="53" t="s">
        <v>1108</v>
      </c>
      <c r="E2270" s="53" t="s">
        <v>127</v>
      </c>
      <c r="F2270" s="53" t="s">
        <v>128</v>
      </c>
      <c r="G2270" s="53" t="s">
        <v>129</v>
      </c>
      <c r="H2270" s="53">
        <v>3</v>
      </c>
      <c r="I2270" s="53" t="s">
        <v>176</v>
      </c>
      <c r="J2270" s="53">
        <v>1</v>
      </c>
      <c r="K2270" s="53">
        <v>0</v>
      </c>
      <c r="L2270" s="53">
        <v>9.9</v>
      </c>
      <c r="M2270" s="53" t="s">
        <v>1126</v>
      </c>
      <c r="N2270" s="53">
        <v>11.5</v>
      </c>
      <c r="O2270" s="51" t="str">
        <f>TEXT(tblWorkPackages[[#This Row],[Request date serial]]-WEEKDAY(tblWorkPackages[[#This Row],[Request date serial]],3),"yyyy-mm-dd")</f>
        <v>2024-05-13</v>
      </c>
      <c r="P2270" s="51">
        <f>ABS(tblWorkPackages[[#This Row],[Actual labor hours]]-tblWorkPackages[[#This Row],[Estimated labor hours]])</f>
        <v>1.6</v>
      </c>
      <c r="Q2270" s="51">
        <f>IF(tblWorkPackages[[#This Row],[Actual labor hours]]&gt;tblWorkPackages[[#This Row],[Estimated labor hours]],1,0)</f>
        <v>1</v>
      </c>
      <c r="R2270" s="51">
        <f>tblWorkPackages[[#This Row],[Actual labor hours]]-tblWorkPackages[[#This Row],[Estimated labor hours]]</f>
        <v>1.6</v>
      </c>
      <c r="S2270" s="51" t="str">
        <f>IF(tblWorkPackages[[#This Row],[Request date serial]]&lt;ValidationStart,"Train 2024",IF(tblWorkPackages[[#This Row],[Request date serial]]&lt;HoldoutStart,"Validation H1","Holdout H2"))</f>
        <v>Train 2024</v>
      </c>
      <c r="T2270" s="51" t="str">
        <f>IF(tblWorkPackages[[#This Row],[Time split]]="Train 2024","",tblWorkPackages[[#This Row],[Estimated labor hours]]+VLOOKUP(tblWorkPackages[[#This Row],[Task type]],'Forecast validation'!$A$14:$E$25,IF(tblWorkPackages[[#This Row],[Time split]]="Validation H1",4,5),FALSE()))</f>
        <v/>
      </c>
      <c r="U2270" s="51" t="str">
        <f>IF(tblWorkPackages[[#This Row],[Calibrated forecast hours]]="","",ABS(tblWorkPackages[[#This Row],[Actual labor hours]]-tblWorkPackages[[#This Row],[Calibrated forecast hours]]))</f>
        <v/>
      </c>
      <c r="V2270" s="51">
        <f>IF(tblWorkPackages[[#This Row],[Time split]]="Train 2024",tblWorkPackages[[#This Row],[Estimated labor hours]],tblWorkPackages[[#This Row],[Calibrated forecast hours]])</f>
        <v>9.9</v>
      </c>
      <c r="W2270" s="64">
        <f>DATEVALUE(tblWorkPackages[[#This Row],[Request date]])</f>
        <v>45431.0</v>
      </c>
      <c r="X2270" s="64">
        <f>DATEVALUE(tblWorkPackages[[#This Row],[Due date]])</f>
        <v>45437.0</v>
      </c>
      <c r="Y2270" s="64">
        <f>DATEVALUE(tblWorkPackages[[#This Row],[Completion date]])</f>
        <v>45435.0</v>
      </c>
      <c r="Z2270" s="64">
        <f>_xlfn.MINIFS(tblLaborEntries[Work date serial],tblLaborEntries[Work package ID],tblWorkPackages[[#This Row],[Work package ID]])</f>
        <v>45434.0</v>
      </c>
      <c r="AA2270" s="64">
        <f>_xlfn.MAXIFS(tblLaborEntries[Work date serial],tblLaborEntries[Work package ID],tblWorkPackages[[#This Row],[Work package ID]])</f>
        <v>45435.0</v>
      </c>
      <c r="AB2270" s="65">
        <f>IF(tblWorkPackages[[#This Row],[Completion date serial]]&gt;tblWorkPackages[[#This Row],[Due date serial]],1,0)</f>
        <v>0</v>
      </c>
      <c r="AC2270" s="65">
        <f>MAX(0,tblWorkPackages[[#This Row],[Completion date serial]]-tblWorkPackages[[#This Row],[Due date serial]])</f>
        <v>0</v>
      </c>
      <c r="AD2270" s="65">
        <f>tblWorkPackages[[#This Row],[First labor date]]-tblWorkPackages[[#This Row],[Request date serial]]</f>
        <v>3</v>
      </c>
      <c r="AE2270" s="65">
        <f>tblWorkPackages[[#This Row],[Last labor date]]-tblWorkPackages[[#This Row],[First labor date]]</f>
        <v>1</v>
      </c>
      <c r="AF2270" s="65">
        <f>tblWorkPackages[[#This Row],[Completion date serial]]-tblWorkPackages[[#This Row],[Last labor date]]</f>
        <v>0</v>
      </c>
      <c r="AG2270" s="65">
        <f>tblWorkPackages[[#This Row],[Completion date serial]]-tblWorkPackages[[#This Row],[Request date serial]]</f>
        <v>4</v>
      </c>
      <c r="AH2270" s="65">
        <f>IFERROR(INDEX(tblParts[Delay days],MATCH(tblWorkPackages[[#This Row],[Work package ID]],tblParts[Work package ID],0)),0)</f>
        <v>0</v>
      </c>
      <c r="AI2270" s="51" t="str">
        <f>IFERROR(INDEX(tblDisruptions[Event type],MATCH(tblWorkPackages[[#This Row],[Work package ID]],tblDisruptions[Work package ID],0)),"None")</f>
        <v>None</v>
      </c>
      <c r="AJ2270" s="51" t="str">
        <f>TEXT(tblWorkPackages[[#This Row],[Due date serial]],"yyyy-mm")</f>
        <v>2024-05</v>
      </c>
    </row>
    <row r="2271" spans="1:36" ht="15" x14ac:dyDescent="0.25">
      <c r="A2271" s="53" t="s">
        <v>3187</v>
      </c>
      <c r="B2271" s="53" t="s">
        <v>168</v>
      </c>
      <c r="C2271" s="53" t="s">
        <v>1141</v>
      </c>
      <c r="D2271" s="53" t="s">
        <v>822</v>
      </c>
      <c r="E2271" s="53" t="s">
        <v>272</v>
      </c>
      <c r="F2271" s="53" t="s">
        <v>145</v>
      </c>
      <c r="G2271" s="53" t="s">
        <v>273</v>
      </c>
      <c r="H2271" s="53">
        <v>3</v>
      </c>
      <c r="I2271" s="53" t="s">
        <v>130</v>
      </c>
      <c r="J2271" s="53">
        <v>0</v>
      </c>
      <c r="K2271" s="53">
        <v>1</v>
      </c>
      <c r="L2271" s="53">
        <v>17.8</v>
      </c>
      <c r="M2271" s="53" t="s">
        <v>814</v>
      </c>
      <c r="N2271" s="53">
        <v>18.399999999999999</v>
      </c>
      <c r="O2271" s="51" t="str">
        <f>TEXT(tblWorkPackages[[#This Row],[Request date serial]]-WEEKDAY(tblWorkPackages[[#This Row],[Request date serial]],3),"yyyy-mm-dd")</f>
        <v>2024-04-29</v>
      </c>
      <c r="P2271" s="51">
        <f>ABS(tblWorkPackages[[#This Row],[Actual labor hours]]-tblWorkPackages[[#This Row],[Estimated labor hours]])</f>
        <v>0.599999999999998</v>
      </c>
      <c r="Q2271" s="51">
        <f>IF(tblWorkPackages[[#This Row],[Actual labor hours]]&gt;tblWorkPackages[[#This Row],[Estimated labor hours]],1,0)</f>
        <v>1</v>
      </c>
      <c r="R2271" s="51">
        <f>tblWorkPackages[[#This Row],[Actual labor hours]]-tblWorkPackages[[#This Row],[Estimated labor hours]]</f>
        <v>0.599999999999998</v>
      </c>
      <c r="S2271" s="51" t="str">
        <f>IF(tblWorkPackages[[#This Row],[Request date serial]]&lt;ValidationStart,"Train 2024",IF(tblWorkPackages[[#This Row],[Request date serial]]&lt;HoldoutStart,"Validation H1","Holdout H2"))</f>
        <v>Train 2024</v>
      </c>
      <c r="T2271" s="51" t="str">
        <f>IF(tblWorkPackages[[#This Row],[Time split]]="Train 2024","",tblWorkPackages[[#This Row],[Estimated labor hours]]+VLOOKUP(tblWorkPackages[[#This Row],[Task type]],'Forecast validation'!$A$14:$E$25,IF(tblWorkPackages[[#This Row],[Time split]]="Validation H1",4,5),FALSE()))</f>
        <v/>
      </c>
      <c r="U2271" s="51" t="str">
        <f>IF(tblWorkPackages[[#This Row],[Calibrated forecast hours]]="","",ABS(tblWorkPackages[[#This Row],[Actual labor hours]]-tblWorkPackages[[#This Row],[Calibrated forecast hours]]))</f>
        <v/>
      </c>
      <c r="V2271" s="51">
        <f>IF(tblWorkPackages[[#This Row],[Time split]]="Train 2024",tblWorkPackages[[#This Row],[Estimated labor hours]],tblWorkPackages[[#This Row],[Calibrated forecast hours]])</f>
        <v>17.8</v>
      </c>
      <c r="W2271" s="64">
        <f>DATEVALUE(tblWorkPackages[[#This Row],[Request date]])</f>
        <v>45412.0</v>
      </c>
      <c r="X2271" s="64">
        <f>DATEVALUE(tblWorkPackages[[#This Row],[Due date]])</f>
        <v>45425.0</v>
      </c>
      <c r="Y2271" s="64">
        <f>DATEVALUE(tblWorkPackages[[#This Row],[Completion date]])</f>
        <v>45448.0</v>
      </c>
      <c r="Z2271" s="64">
        <f>_xlfn.MINIFS(tblLaborEntries[Work date serial],tblLaborEntries[Work package ID],tblWorkPackages[[#This Row],[Work package ID]])</f>
        <v>45447.0</v>
      </c>
      <c r="AA2271" s="64">
        <f>_xlfn.MAXIFS(tblLaborEntries[Work date serial],tblLaborEntries[Work package ID],tblWorkPackages[[#This Row],[Work package ID]])</f>
        <v>45447.0</v>
      </c>
      <c r="AB2271" s="65">
        <f>IF(tblWorkPackages[[#This Row],[Completion date serial]]&gt;tblWorkPackages[[#This Row],[Due date serial]],1,0)</f>
        <v>1</v>
      </c>
      <c r="AC2271" s="65">
        <f>MAX(0,tblWorkPackages[[#This Row],[Completion date serial]]-tblWorkPackages[[#This Row],[Due date serial]])</f>
        <v>23</v>
      </c>
      <c r="AD2271" s="65">
        <f>tblWorkPackages[[#This Row],[First labor date]]-tblWorkPackages[[#This Row],[Request date serial]]</f>
        <v>35</v>
      </c>
      <c r="AE2271" s="65">
        <f>tblWorkPackages[[#This Row],[Last labor date]]-tblWorkPackages[[#This Row],[First labor date]]</f>
        <v>0</v>
      </c>
      <c r="AF2271" s="65">
        <f>tblWorkPackages[[#This Row],[Completion date serial]]-tblWorkPackages[[#This Row],[Last labor date]]</f>
        <v>1</v>
      </c>
      <c r="AG2271" s="65">
        <f>tblWorkPackages[[#This Row],[Completion date serial]]-tblWorkPackages[[#This Row],[Request date serial]]</f>
        <v>36</v>
      </c>
      <c r="AH2271" s="65">
        <f>IFERROR(INDEX(tblParts[Delay days],MATCH(tblWorkPackages[[#This Row],[Work package ID]],tblParts[Work package ID],0)),0)</f>
        <v>0</v>
      </c>
      <c r="AI2271" s="51" t="str">
        <f>IFERROR(INDEX(tblDisruptions[Event type],MATCH(tblWorkPackages[[#This Row],[Work package ID]],tblDisruptions[Work package ID],0)),"None")</f>
        <v>None</v>
      </c>
      <c r="AJ2271" s="51" t="str">
        <f>TEXT(tblWorkPackages[[#This Row],[Due date serial]],"yyyy-mm")</f>
        <v>2024-05</v>
      </c>
    </row>
    <row r="2272" spans="1:36" ht="15" x14ac:dyDescent="0.25">
      <c r="A2272" s="53" t="s">
        <v>3188</v>
      </c>
      <c r="B2272" s="53" t="s">
        <v>150</v>
      </c>
      <c r="C2272" s="53" t="s">
        <v>161</v>
      </c>
      <c r="D2272" s="53" t="s">
        <v>512</v>
      </c>
      <c r="E2272" s="53" t="s">
        <v>209</v>
      </c>
      <c r="F2272" s="53" t="s">
        <v>145</v>
      </c>
      <c r="G2272" s="53" t="s">
        <v>210</v>
      </c>
      <c r="H2272" s="53">
        <v>1</v>
      </c>
      <c r="I2272" s="53" t="s">
        <v>130</v>
      </c>
      <c r="J2272" s="53">
        <v>0</v>
      </c>
      <c r="K2272" s="53">
        <v>1</v>
      </c>
      <c r="L2272" s="53">
        <v>13.7</v>
      </c>
      <c r="M2272" s="53" t="s">
        <v>1128</v>
      </c>
      <c r="N2272" s="53">
        <v>11.1</v>
      </c>
      <c r="O2272" s="51" t="str">
        <f>TEXT(tblWorkPackages[[#This Row],[Request date serial]]-WEEKDAY(tblWorkPackages[[#This Row],[Request date serial]],3),"yyyy-mm-dd")</f>
        <v>2024-12-02</v>
      </c>
      <c r="P2272" s="51">
        <f>ABS(tblWorkPackages[[#This Row],[Actual labor hours]]-tblWorkPackages[[#This Row],[Estimated labor hours]])</f>
        <v>2.6</v>
      </c>
      <c r="Q2272" s="51">
        <f>IF(tblWorkPackages[[#This Row],[Actual labor hours]]&gt;tblWorkPackages[[#This Row],[Estimated labor hours]],1,0)</f>
        <v>0</v>
      </c>
      <c r="R2272" s="51">
        <f>tblWorkPackages[[#This Row],[Actual labor hours]]-tblWorkPackages[[#This Row],[Estimated labor hours]]</f>
        <v>-2.6</v>
      </c>
      <c r="S2272" s="51" t="str">
        <f>IF(tblWorkPackages[[#This Row],[Request date serial]]&lt;ValidationStart,"Train 2024",IF(tblWorkPackages[[#This Row],[Request date serial]]&lt;HoldoutStart,"Validation H1","Holdout H2"))</f>
        <v>Train 2024</v>
      </c>
      <c r="T2272" s="51" t="str">
        <f>IF(tblWorkPackages[[#This Row],[Time split]]="Train 2024","",tblWorkPackages[[#This Row],[Estimated labor hours]]+VLOOKUP(tblWorkPackages[[#This Row],[Task type]],'Forecast validation'!$A$14:$E$25,IF(tblWorkPackages[[#This Row],[Time split]]="Validation H1",4,5),FALSE()))</f>
        <v/>
      </c>
      <c r="U2272" s="51" t="str">
        <f>IF(tblWorkPackages[[#This Row],[Calibrated forecast hours]]="","",ABS(tblWorkPackages[[#This Row],[Actual labor hours]]-tblWorkPackages[[#This Row],[Calibrated forecast hours]]))</f>
        <v/>
      </c>
      <c r="V2272" s="51">
        <f>IF(tblWorkPackages[[#This Row],[Time split]]="Train 2024",tblWorkPackages[[#This Row],[Estimated labor hours]],tblWorkPackages[[#This Row],[Calibrated forecast hours]])</f>
        <v>13.7</v>
      </c>
      <c r="W2272" s="64">
        <f>DATEVALUE(tblWorkPackages[[#This Row],[Request date]])</f>
        <v>45628.0</v>
      </c>
      <c r="X2272" s="64">
        <f>DATEVALUE(tblWorkPackages[[#This Row],[Due date]])</f>
        <v>45641.0</v>
      </c>
      <c r="Y2272" s="64">
        <f>DATEVALUE(tblWorkPackages[[#This Row],[Completion date]])</f>
        <v>45639.0</v>
      </c>
      <c r="Z2272" s="64">
        <f>_xlfn.MINIFS(tblLaborEntries[Work date serial],tblLaborEntries[Work package ID],tblWorkPackages[[#This Row],[Work package ID]])</f>
        <v>45635.0</v>
      </c>
      <c r="AA2272" s="64">
        <f>_xlfn.MAXIFS(tblLaborEntries[Work date serial],tblLaborEntries[Work package ID],tblWorkPackages[[#This Row],[Work package ID]])</f>
        <v>45637.0</v>
      </c>
      <c r="AB2272" s="65">
        <f>IF(tblWorkPackages[[#This Row],[Completion date serial]]&gt;tblWorkPackages[[#This Row],[Due date serial]],1,0)</f>
        <v>0</v>
      </c>
      <c r="AC2272" s="65">
        <f>MAX(0,tblWorkPackages[[#This Row],[Completion date serial]]-tblWorkPackages[[#This Row],[Due date serial]])</f>
        <v>0</v>
      </c>
      <c r="AD2272" s="65">
        <f>tblWorkPackages[[#This Row],[First labor date]]-tblWorkPackages[[#This Row],[Request date serial]]</f>
        <v>7</v>
      </c>
      <c r="AE2272" s="65">
        <f>tblWorkPackages[[#This Row],[Last labor date]]-tblWorkPackages[[#This Row],[First labor date]]</f>
        <v>2</v>
      </c>
      <c r="AF2272" s="65">
        <f>tblWorkPackages[[#This Row],[Completion date serial]]-tblWorkPackages[[#This Row],[Last labor date]]</f>
        <v>2</v>
      </c>
      <c r="AG2272" s="65">
        <f>tblWorkPackages[[#This Row],[Completion date serial]]-tblWorkPackages[[#This Row],[Request date serial]]</f>
        <v>11</v>
      </c>
      <c r="AH2272" s="65">
        <f>IFERROR(INDEX(tblParts[Delay days],MATCH(tblWorkPackages[[#This Row],[Work package ID]],tblParts[Work package ID],0)),0)</f>
        <v>0</v>
      </c>
      <c r="AI2272" s="51" t="str">
        <f>IFERROR(INDEX(tblDisruptions[Event type],MATCH(tblWorkPackages[[#This Row],[Work package ID]],tblDisruptions[Work package ID],0)),"None")</f>
        <v>None</v>
      </c>
      <c r="AJ2272" s="51" t="str">
        <f>TEXT(tblWorkPackages[[#This Row],[Due date serial]],"yyyy-mm")</f>
        <v>2024-12</v>
      </c>
    </row>
    <row r="2273" spans="1:36" ht="15" x14ac:dyDescent="0.25">
      <c r="A2273" s="53" t="s">
        <v>3189</v>
      </c>
      <c r="B2273" s="53" t="s">
        <v>163</v>
      </c>
      <c r="C2273" s="53" t="s">
        <v>711</v>
      </c>
      <c r="D2273" s="53" t="s">
        <v>502</v>
      </c>
      <c r="E2273" s="53" t="s">
        <v>144</v>
      </c>
      <c r="F2273" s="53" t="s">
        <v>145</v>
      </c>
      <c r="G2273" s="53" t="s">
        <v>146</v>
      </c>
      <c r="H2273" s="53">
        <v>3</v>
      </c>
      <c r="I2273" s="53" t="s">
        <v>130</v>
      </c>
      <c r="J2273" s="53">
        <v>0</v>
      </c>
      <c r="K2273" s="53">
        <v>0</v>
      </c>
      <c r="L2273" s="53">
        <v>14.5</v>
      </c>
      <c r="M2273" s="53" t="s">
        <v>238</v>
      </c>
      <c r="N2273" s="53">
        <v>12.7</v>
      </c>
      <c r="O2273" s="51" t="str">
        <f>TEXT(tblWorkPackages[[#This Row],[Request date serial]]-WEEKDAY(tblWorkPackages[[#This Row],[Request date serial]],3),"yyyy-mm-dd")</f>
        <v>2025-06-16</v>
      </c>
      <c r="P2273" s="51">
        <f>ABS(tblWorkPackages[[#This Row],[Actual labor hours]]-tblWorkPackages[[#This Row],[Estimated labor hours]])</f>
        <v>1.8</v>
      </c>
      <c r="Q2273" s="51">
        <f>IF(tblWorkPackages[[#This Row],[Actual labor hours]]&gt;tblWorkPackages[[#This Row],[Estimated labor hours]],1,0)</f>
        <v>0</v>
      </c>
      <c r="R2273" s="51">
        <f>tblWorkPackages[[#This Row],[Actual labor hours]]-tblWorkPackages[[#This Row],[Estimated labor hours]]</f>
        <v>-1.8</v>
      </c>
      <c r="S2273" s="51" t="str">
        <f>IF(tblWorkPackages[[#This Row],[Request date serial]]&lt;ValidationStart,"Train 2024",IF(tblWorkPackages[[#This Row],[Request date serial]]&lt;HoldoutStart,"Validation H1","Holdout H2"))</f>
        <v>Validation H1</v>
      </c>
      <c r="T2273" s="51">
        <f>IF(tblWorkPackages[[#This Row],[Time split]]="Train 2024","",tblWorkPackages[[#This Row],[Estimated labor hours]]+VLOOKUP(tblWorkPackages[[#This Row],[Task type]],'Forecast validation'!$A$14:$E$25,IF(tblWorkPackages[[#This Row],[Time split]]="Validation H1",4,5),FALSE()))</f>
        <v>15.2547368421053</v>
      </c>
      <c r="U2273" s="51">
        <f>IF(tblWorkPackages[[#This Row],[Calibrated forecast hours]]="","",ABS(tblWorkPackages[[#This Row],[Actual labor hours]]-tblWorkPackages[[#This Row],[Calibrated forecast hours]]))</f>
        <v>2.55473684210526</v>
      </c>
      <c r="V2273" s="51">
        <f>IF(tblWorkPackages[[#This Row],[Time split]]="Train 2024",tblWorkPackages[[#This Row],[Estimated labor hours]],tblWorkPackages[[#This Row],[Calibrated forecast hours]])</f>
        <v>15.2547368421053</v>
      </c>
      <c r="W2273" s="64">
        <f>DATEVALUE(tblWorkPackages[[#This Row],[Request date]])</f>
        <v>45827.0</v>
      </c>
      <c r="X2273" s="64">
        <f>DATEVALUE(tblWorkPackages[[#This Row],[Due date]])</f>
        <v>45840.0</v>
      </c>
      <c r="Y2273" s="64">
        <f>DATEVALUE(tblWorkPackages[[#This Row],[Completion date]])</f>
        <v>45833.0</v>
      </c>
      <c r="Z2273" s="64">
        <f>_xlfn.MINIFS(tblLaborEntries[Work date serial],tblLaborEntries[Work package ID],tblWorkPackages[[#This Row],[Work package ID]])</f>
        <v>45829.0</v>
      </c>
      <c r="AA2273" s="64">
        <f>_xlfn.MAXIFS(tblLaborEntries[Work date serial],tblLaborEntries[Work package ID],tblWorkPackages[[#This Row],[Work package ID]])</f>
        <v>45830.0</v>
      </c>
      <c r="AB2273" s="65">
        <f>IF(tblWorkPackages[[#This Row],[Completion date serial]]&gt;tblWorkPackages[[#This Row],[Due date serial]],1,0)</f>
        <v>0</v>
      </c>
      <c r="AC2273" s="65">
        <f>MAX(0,tblWorkPackages[[#This Row],[Completion date serial]]-tblWorkPackages[[#This Row],[Due date serial]])</f>
        <v>0</v>
      </c>
      <c r="AD2273" s="65">
        <f>tblWorkPackages[[#This Row],[First labor date]]-tblWorkPackages[[#This Row],[Request date serial]]</f>
        <v>2</v>
      </c>
      <c r="AE2273" s="65">
        <f>tblWorkPackages[[#This Row],[Last labor date]]-tblWorkPackages[[#This Row],[First labor date]]</f>
        <v>1</v>
      </c>
      <c r="AF2273" s="65">
        <f>tblWorkPackages[[#This Row],[Completion date serial]]-tblWorkPackages[[#This Row],[Last labor date]]</f>
        <v>3</v>
      </c>
      <c r="AG2273" s="65">
        <f>tblWorkPackages[[#This Row],[Completion date serial]]-tblWorkPackages[[#This Row],[Request date serial]]</f>
        <v>6</v>
      </c>
      <c r="AH2273" s="65">
        <f>IFERROR(INDEX(tblParts[Delay days],MATCH(tblWorkPackages[[#This Row],[Work package ID]],tblParts[Work package ID],0)),0)</f>
        <v>0</v>
      </c>
      <c r="AI2273" s="51" t="str">
        <f>IFERROR(INDEX(tblDisruptions[Event type],MATCH(tblWorkPackages[[#This Row],[Work package ID]],tblDisruptions[Work package ID],0)),"None")</f>
        <v>None</v>
      </c>
      <c r="AJ2273" s="51" t="str">
        <f>TEXT(tblWorkPackages[[#This Row],[Due date serial]],"yyyy-mm")</f>
        <v>2025-07</v>
      </c>
    </row>
    <row r="2274" spans="1:36" ht="15" x14ac:dyDescent="0.25">
      <c r="A2274" s="53" t="s">
        <v>3190</v>
      </c>
      <c r="B2274" s="53" t="s">
        <v>141</v>
      </c>
      <c r="C2274" s="53" t="s">
        <v>898</v>
      </c>
      <c r="D2274" s="53" t="s">
        <v>301</v>
      </c>
      <c r="E2274" s="53" t="s">
        <v>237</v>
      </c>
      <c r="F2274" s="53" t="s">
        <v>182</v>
      </c>
      <c r="G2274" s="53" t="s">
        <v>138</v>
      </c>
      <c r="H2274" s="53">
        <v>4</v>
      </c>
      <c r="I2274" s="53" t="s">
        <v>147</v>
      </c>
      <c r="J2274" s="53">
        <v>0</v>
      </c>
      <c r="K2274" s="53">
        <v>1</v>
      </c>
      <c r="L2274" s="53">
        <v>10.5</v>
      </c>
      <c r="M2274" s="53" t="s">
        <v>399</v>
      </c>
      <c r="N2274" s="53">
        <v>9</v>
      </c>
      <c r="O2274" s="51" t="str">
        <f>TEXT(tblWorkPackages[[#This Row],[Request date serial]]-WEEKDAY(tblWorkPackages[[#This Row],[Request date serial]],3),"yyyy-mm-dd")</f>
        <v>2024-05-06</v>
      </c>
      <c r="P2274" s="51">
        <f>ABS(tblWorkPackages[[#This Row],[Actual labor hours]]-tblWorkPackages[[#This Row],[Estimated labor hours]])</f>
        <v>1.5</v>
      </c>
      <c r="Q2274" s="51">
        <f>IF(tblWorkPackages[[#This Row],[Actual labor hours]]&gt;tblWorkPackages[[#This Row],[Estimated labor hours]],1,0)</f>
        <v>0</v>
      </c>
      <c r="R2274" s="51">
        <f>tblWorkPackages[[#This Row],[Actual labor hours]]-tblWorkPackages[[#This Row],[Estimated labor hours]]</f>
        <v>-1.5</v>
      </c>
      <c r="S2274" s="51" t="str">
        <f>IF(tblWorkPackages[[#This Row],[Request date serial]]&lt;ValidationStart,"Train 2024",IF(tblWorkPackages[[#This Row],[Request date serial]]&lt;HoldoutStart,"Validation H1","Holdout H2"))</f>
        <v>Train 2024</v>
      </c>
      <c r="T2274" s="51" t="str">
        <f>IF(tblWorkPackages[[#This Row],[Time split]]="Train 2024","",tblWorkPackages[[#This Row],[Estimated labor hours]]+VLOOKUP(tblWorkPackages[[#This Row],[Task type]],'Forecast validation'!$A$14:$E$25,IF(tblWorkPackages[[#This Row],[Time split]]="Validation H1",4,5),FALSE()))</f>
        <v/>
      </c>
      <c r="U2274" s="51" t="str">
        <f>IF(tblWorkPackages[[#This Row],[Calibrated forecast hours]]="","",ABS(tblWorkPackages[[#This Row],[Actual labor hours]]-tblWorkPackages[[#This Row],[Calibrated forecast hours]]))</f>
        <v/>
      </c>
      <c r="V2274" s="51">
        <f>IF(tblWorkPackages[[#This Row],[Time split]]="Train 2024",tblWorkPackages[[#This Row],[Estimated labor hours]],tblWorkPackages[[#This Row],[Calibrated forecast hours]])</f>
        <v>10.5</v>
      </c>
      <c r="W2274" s="64">
        <f>DATEVALUE(tblWorkPackages[[#This Row],[Request date]])</f>
        <v>45420.0</v>
      </c>
      <c r="X2274" s="64">
        <f>DATEVALUE(tblWorkPackages[[#This Row],[Due date]])</f>
        <v>45422.0</v>
      </c>
      <c r="Y2274" s="64">
        <f>DATEVALUE(tblWorkPackages[[#This Row],[Completion date]])</f>
        <v>45436.0</v>
      </c>
      <c r="Z2274" s="64">
        <f>_xlfn.MINIFS(tblLaborEntries[Work date serial],tblLaborEntries[Work package ID],tblWorkPackages[[#This Row],[Work package ID]])</f>
        <v>45435.0</v>
      </c>
      <c r="AA2274" s="64">
        <f>_xlfn.MAXIFS(tblLaborEntries[Work date serial],tblLaborEntries[Work package ID],tblWorkPackages[[#This Row],[Work package ID]])</f>
        <v>45436.0</v>
      </c>
      <c r="AB2274" s="65">
        <f>IF(tblWorkPackages[[#This Row],[Completion date serial]]&gt;tblWorkPackages[[#This Row],[Due date serial]],1,0)</f>
        <v>1</v>
      </c>
      <c r="AC2274" s="65">
        <f>MAX(0,tblWorkPackages[[#This Row],[Completion date serial]]-tblWorkPackages[[#This Row],[Due date serial]])</f>
        <v>14</v>
      </c>
      <c r="AD2274" s="65">
        <f>tblWorkPackages[[#This Row],[First labor date]]-tblWorkPackages[[#This Row],[Request date serial]]</f>
        <v>15</v>
      </c>
      <c r="AE2274" s="65">
        <f>tblWorkPackages[[#This Row],[Last labor date]]-tblWorkPackages[[#This Row],[First labor date]]</f>
        <v>1</v>
      </c>
      <c r="AF2274" s="65">
        <f>tblWorkPackages[[#This Row],[Completion date serial]]-tblWorkPackages[[#This Row],[Last labor date]]</f>
        <v>0</v>
      </c>
      <c r="AG2274" s="65">
        <f>tblWorkPackages[[#This Row],[Completion date serial]]-tblWorkPackages[[#This Row],[Request date serial]]</f>
        <v>16</v>
      </c>
      <c r="AH2274" s="65">
        <f>IFERROR(INDEX(tblParts[Delay days],MATCH(tblWorkPackages[[#This Row],[Work package ID]],tblParts[Work package ID],0)),0)</f>
        <v>0</v>
      </c>
      <c r="AI2274" s="51" t="str">
        <f>IFERROR(INDEX(tblDisruptions[Event type],MATCH(tblWorkPackages[[#This Row],[Work package ID]],tblDisruptions[Work package ID],0)),"None")</f>
        <v>None</v>
      </c>
      <c r="AJ2274" s="51" t="str">
        <f>TEXT(tblWorkPackages[[#This Row],[Due date serial]],"yyyy-mm")</f>
        <v>2024-05</v>
      </c>
    </row>
    <row r="2275" spans="1:36" ht="15" x14ac:dyDescent="0.25">
      <c r="A2275" s="53" t="s">
        <v>3191</v>
      </c>
      <c r="B2275" s="53" t="s">
        <v>185</v>
      </c>
      <c r="C2275" s="53" t="s">
        <v>399</v>
      </c>
      <c r="D2275" s="53" t="s">
        <v>1174</v>
      </c>
      <c r="E2275" s="53" t="s">
        <v>223</v>
      </c>
      <c r="F2275" s="53" t="s">
        <v>182</v>
      </c>
      <c r="G2275" s="53" t="s">
        <v>154</v>
      </c>
      <c r="H2275" s="53">
        <v>2</v>
      </c>
      <c r="I2275" s="53" t="s">
        <v>130</v>
      </c>
      <c r="J2275" s="53">
        <v>0</v>
      </c>
      <c r="K2275" s="53">
        <v>0</v>
      </c>
      <c r="L2275" s="53">
        <v>14.4</v>
      </c>
      <c r="M2275" s="53" t="s">
        <v>1728</v>
      </c>
      <c r="N2275" s="53">
        <v>13.8</v>
      </c>
      <c r="O2275" s="51" t="str">
        <f>TEXT(tblWorkPackages[[#This Row],[Request date serial]]-WEEKDAY(tblWorkPackages[[#This Row],[Request date serial]],3),"yyyy-mm-dd")</f>
        <v>2024-05-20</v>
      </c>
      <c r="P2275" s="51">
        <f>ABS(tblWorkPackages[[#This Row],[Actual labor hours]]-tblWorkPackages[[#This Row],[Estimated labor hours]])</f>
        <v>0.6</v>
      </c>
      <c r="Q2275" s="51">
        <f>IF(tblWorkPackages[[#This Row],[Actual labor hours]]&gt;tblWorkPackages[[#This Row],[Estimated labor hours]],1,0)</f>
        <v>0</v>
      </c>
      <c r="R2275" s="51">
        <f>tblWorkPackages[[#This Row],[Actual labor hours]]-tblWorkPackages[[#This Row],[Estimated labor hours]]</f>
        <v>-0.6</v>
      </c>
      <c r="S2275" s="51" t="str">
        <f>IF(tblWorkPackages[[#This Row],[Request date serial]]&lt;ValidationStart,"Train 2024",IF(tblWorkPackages[[#This Row],[Request date serial]]&lt;HoldoutStart,"Validation H1","Holdout H2"))</f>
        <v>Train 2024</v>
      </c>
      <c r="T2275" s="51" t="str">
        <f>IF(tblWorkPackages[[#This Row],[Time split]]="Train 2024","",tblWorkPackages[[#This Row],[Estimated labor hours]]+VLOOKUP(tblWorkPackages[[#This Row],[Task type]],'Forecast validation'!$A$14:$E$25,IF(tblWorkPackages[[#This Row],[Time split]]="Validation H1",4,5),FALSE()))</f>
        <v/>
      </c>
      <c r="U2275" s="51" t="str">
        <f>IF(tblWorkPackages[[#This Row],[Calibrated forecast hours]]="","",ABS(tblWorkPackages[[#This Row],[Actual labor hours]]-tblWorkPackages[[#This Row],[Calibrated forecast hours]]))</f>
        <v/>
      </c>
      <c r="V2275" s="51">
        <f>IF(tblWorkPackages[[#This Row],[Time split]]="Train 2024",tblWorkPackages[[#This Row],[Estimated labor hours]],tblWorkPackages[[#This Row],[Calibrated forecast hours]])</f>
        <v>14.4</v>
      </c>
      <c r="W2275" s="64">
        <f>DATEVALUE(tblWorkPackages[[#This Row],[Request date]])</f>
        <v>45436.0</v>
      </c>
      <c r="X2275" s="64">
        <f>DATEVALUE(tblWorkPackages[[#This Row],[Due date]])</f>
        <v>45449.0</v>
      </c>
      <c r="Y2275" s="64">
        <f>DATEVALUE(tblWorkPackages[[#This Row],[Completion date]])</f>
        <v>45443.0</v>
      </c>
      <c r="Z2275" s="64">
        <f>_xlfn.MINIFS(tblLaborEntries[Work date serial],tblLaborEntries[Work package ID],tblWorkPackages[[#This Row],[Work package ID]])</f>
        <v>45440.0</v>
      </c>
      <c r="AA2275" s="64">
        <f>_xlfn.MAXIFS(tblLaborEntries[Work date serial],tblLaborEntries[Work package ID],tblWorkPackages[[#This Row],[Work package ID]])</f>
        <v>45442.0</v>
      </c>
      <c r="AB2275" s="65">
        <f>IF(tblWorkPackages[[#This Row],[Completion date serial]]&gt;tblWorkPackages[[#This Row],[Due date serial]],1,0)</f>
        <v>0</v>
      </c>
      <c r="AC2275" s="65">
        <f>MAX(0,tblWorkPackages[[#This Row],[Completion date serial]]-tblWorkPackages[[#This Row],[Due date serial]])</f>
        <v>0</v>
      </c>
      <c r="AD2275" s="65">
        <f>tblWorkPackages[[#This Row],[First labor date]]-tblWorkPackages[[#This Row],[Request date serial]]</f>
        <v>4</v>
      </c>
      <c r="AE2275" s="65">
        <f>tblWorkPackages[[#This Row],[Last labor date]]-tblWorkPackages[[#This Row],[First labor date]]</f>
        <v>2</v>
      </c>
      <c r="AF2275" s="65">
        <f>tblWorkPackages[[#This Row],[Completion date serial]]-tblWorkPackages[[#This Row],[Last labor date]]</f>
        <v>1</v>
      </c>
      <c r="AG2275" s="65">
        <f>tblWorkPackages[[#This Row],[Completion date serial]]-tblWorkPackages[[#This Row],[Request date serial]]</f>
        <v>7</v>
      </c>
      <c r="AH2275" s="65">
        <f>IFERROR(INDEX(tblParts[Delay days],MATCH(tblWorkPackages[[#This Row],[Work package ID]],tblParts[Work package ID],0)),0)</f>
        <v>0</v>
      </c>
      <c r="AI2275" s="51" t="str">
        <f>IFERROR(INDEX(tblDisruptions[Event type],MATCH(tblWorkPackages[[#This Row],[Work package ID]],tblDisruptions[Work package ID],0)),"None")</f>
        <v>None</v>
      </c>
      <c r="AJ2275" s="51" t="str">
        <f>TEXT(tblWorkPackages[[#This Row],[Due date serial]],"yyyy-mm")</f>
        <v>2024-06</v>
      </c>
    </row>
    <row r="2276" spans="1:36" ht="15" x14ac:dyDescent="0.25">
      <c r="A2276" s="53" t="s">
        <v>3192</v>
      </c>
      <c r="B2276" s="53" t="s">
        <v>173</v>
      </c>
      <c r="C2276" s="53" t="s">
        <v>824</v>
      </c>
      <c r="D2276" s="53" t="s">
        <v>601</v>
      </c>
      <c r="E2276" s="53" t="s">
        <v>181</v>
      </c>
      <c r="F2276" s="53" t="s">
        <v>182</v>
      </c>
      <c r="G2276" s="53" t="s">
        <v>138</v>
      </c>
      <c r="H2276" s="53">
        <v>2</v>
      </c>
      <c r="I2276" s="53" t="s">
        <v>130</v>
      </c>
      <c r="J2276" s="53">
        <v>0</v>
      </c>
      <c r="K2276" s="53">
        <v>0</v>
      </c>
      <c r="L2276" s="53">
        <v>6.5</v>
      </c>
      <c r="M2276" s="53" t="s">
        <v>933</v>
      </c>
      <c r="N2276" s="53">
        <v>6.3</v>
      </c>
      <c r="O2276" s="51" t="str">
        <f>TEXT(tblWorkPackages[[#This Row],[Request date serial]]-WEEKDAY(tblWorkPackages[[#This Row],[Request date serial]],3),"yyyy-mm-dd")</f>
        <v>2024-11-18</v>
      </c>
      <c r="P2276" s="51">
        <f>ABS(tblWorkPackages[[#This Row],[Actual labor hours]]-tblWorkPackages[[#This Row],[Estimated labor hours]])</f>
        <v>0.2</v>
      </c>
      <c r="Q2276" s="51">
        <f>IF(tblWorkPackages[[#This Row],[Actual labor hours]]&gt;tblWorkPackages[[#This Row],[Estimated labor hours]],1,0)</f>
        <v>0</v>
      </c>
      <c r="R2276" s="51">
        <f>tblWorkPackages[[#This Row],[Actual labor hours]]-tblWorkPackages[[#This Row],[Estimated labor hours]]</f>
        <v>-0.2</v>
      </c>
      <c r="S2276" s="51" t="str">
        <f>IF(tblWorkPackages[[#This Row],[Request date serial]]&lt;ValidationStart,"Train 2024",IF(tblWorkPackages[[#This Row],[Request date serial]]&lt;HoldoutStart,"Validation H1","Holdout H2"))</f>
        <v>Train 2024</v>
      </c>
      <c r="T2276" s="51" t="str">
        <f>IF(tblWorkPackages[[#This Row],[Time split]]="Train 2024","",tblWorkPackages[[#This Row],[Estimated labor hours]]+VLOOKUP(tblWorkPackages[[#This Row],[Task type]],'Forecast validation'!$A$14:$E$25,IF(tblWorkPackages[[#This Row],[Time split]]="Validation H1",4,5),FALSE()))</f>
        <v/>
      </c>
      <c r="U2276" s="51" t="str">
        <f>IF(tblWorkPackages[[#This Row],[Calibrated forecast hours]]="","",ABS(tblWorkPackages[[#This Row],[Actual labor hours]]-tblWorkPackages[[#This Row],[Calibrated forecast hours]]))</f>
        <v/>
      </c>
      <c r="V2276" s="51">
        <f>IF(tblWorkPackages[[#This Row],[Time split]]="Train 2024",tblWorkPackages[[#This Row],[Estimated labor hours]],tblWorkPackages[[#This Row],[Calibrated forecast hours]])</f>
        <v>6.5</v>
      </c>
      <c r="W2276" s="64">
        <f>DATEVALUE(tblWorkPackages[[#This Row],[Request date]])</f>
        <v>45620.0</v>
      </c>
      <c r="X2276" s="64">
        <f>DATEVALUE(tblWorkPackages[[#This Row],[Due date]])</f>
        <v>45633.0</v>
      </c>
      <c r="Y2276" s="64">
        <f>DATEVALUE(tblWorkPackages[[#This Row],[Completion date]])</f>
        <v>45625.0</v>
      </c>
      <c r="Z2276" s="64">
        <f>_xlfn.MINIFS(tblLaborEntries[Work date serial],tblLaborEntries[Work package ID],tblWorkPackages[[#This Row],[Work package ID]])</f>
        <v>45621.0</v>
      </c>
      <c r="AA2276" s="64">
        <f>_xlfn.MAXIFS(tblLaborEntries[Work date serial],tblLaborEntries[Work package ID],tblWorkPackages[[#This Row],[Work package ID]])</f>
        <v>45623.0</v>
      </c>
      <c r="AB2276" s="65">
        <f>IF(tblWorkPackages[[#This Row],[Completion date serial]]&gt;tblWorkPackages[[#This Row],[Due date serial]],1,0)</f>
        <v>0</v>
      </c>
      <c r="AC2276" s="65">
        <f>MAX(0,tblWorkPackages[[#This Row],[Completion date serial]]-tblWorkPackages[[#This Row],[Due date serial]])</f>
        <v>0</v>
      </c>
      <c r="AD2276" s="65">
        <f>tblWorkPackages[[#This Row],[First labor date]]-tblWorkPackages[[#This Row],[Request date serial]]</f>
        <v>1</v>
      </c>
      <c r="AE2276" s="65">
        <f>tblWorkPackages[[#This Row],[Last labor date]]-tblWorkPackages[[#This Row],[First labor date]]</f>
        <v>2</v>
      </c>
      <c r="AF2276" s="65">
        <f>tblWorkPackages[[#This Row],[Completion date serial]]-tblWorkPackages[[#This Row],[Last labor date]]</f>
        <v>2</v>
      </c>
      <c r="AG2276" s="65">
        <f>tblWorkPackages[[#This Row],[Completion date serial]]-tblWorkPackages[[#This Row],[Request date serial]]</f>
        <v>5</v>
      </c>
      <c r="AH2276" s="65">
        <f>IFERROR(INDEX(tblParts[Delay days],MATCH(tblWorkPackages[[#This Row],[Work package ID]],tblParts[Work package ID],0)),0)</f>
        <v>0</v>
      </c>
      <c r="AI2276" s="51" t="str">
        <f>IFERROR(INDEX(tblDisruptions[Event type],MATCH(tblWorkPackages[[#This Row],[Work package ID]],tblDisruptions[Work package ID],0)),"None")</f>
        <v>None</v>
      </c>
      <c r="AJ2276" s="51" t="str">
        <f>TEXT(tblWorkPackages[[#This Row],[Due date serial]],"yyyy-mm")</f>
        <v>2024-12</v>
      </c>
    </row>
    <row r="2277" spans="1:36" ht="15" x14ac:dyDescent="0.25">
      <c r="A2277" s="53" t="s">
        <v>3193</v>
      </c>
      <c r="B2277" s="53" t="s">
        <v>133</v>
      </c>
      <c r="C2277" s="53" t="s">
        <v>313</v>
      </c>
      <c r="D2277" s="53" t="s">
        <v>528</v>
      </c>
      <c r="E2277" s="53" t="s">
        <v>242</v>
      </c>
      <c r="F2277" s="53" t="s">
        <v>243</v>
      </c>
      <c r="G2277" s="53" t="s">
        <v>129</v>
      </c>
      <c r="H2277" s="53">
        <v>1</v>
      </c>
      <c r="I2277" s="53" t="s">
        <v>130</v>
      </c>
      <c r="J2277" s="53">
        <v>1</v>
      </c>
      <c r="K2277" s="53">
        <v>0</v>
      </c>
      <c r="L2277" s="53">
        <v>5.0999999999999996</v>
      </c>
      <c r="M2277" s="53" t="s">
        <v>903</v>
      </c>
      <c r="N2277" s="53">
        <v>6.2</v>
      </c>
      <c r="O2277" s="51" t="str">
        <f>TEXT(tblWorkPackages[[#This Row],[Request date serial]]-WEEKDAY(tblWorkPackages[[#This Row],[Request date serial]],3),"yyyy-mm-dd")</f>
        <v>2025-08-25</v>
      </c>
      <c r="P2277" s="51">
        <f>ABS(tblWorkPackages[[#This Row],[Actual labor hours]]-tblWorkPackages[[#This Row],[Estimated labor hours]])</f>
        <v>1.1</v>
      </c>
      <c r="Q2277" s="51">
        <f>IF(tblWorkPackages[[#This Row],[Actual labor hours]]&gt;tblWorkPackages[[#This Row],[Estimated labor hours]],1,0)</f>
        <v>1</v>
      </c>
      <c r="R2277" s="51">
        <f>tblWorkPackages[[#This Row],[Actual labor hours]]-tblWorkPackages[[#This Row],[Estimated labor hours]]</f>
        <v>1.1</v>
      </c>
      <c r="S2277" s="51" t="str">
        <f>IF(tblWorkPackages[[#This Row],[Request date serial]]&lt;ValidationStart,"Train 2024",IF(tblWorkPackages[[#This Row],[Request date serial]]&lt;HoldoutStart,"Validation H1","Holdout H2"))</f>
        <v>Holdout H2</v>
      </c>
      <c r="T2277" s="51">
        <f>IF(tblWorkPackages[[#This Row],[Time split]]="Train 2024","",tblWorkPackages[[#This Row],[Estimated labor hours]]+VLOOKUP(tblWorkPackages[[#This Row],[Task type]],'Forecast validation'!$A$14:$E$25,IF(tblWorkPackages[[#This Row],[Time split]]="Validation H1",4,5),FALSE()))</f>
        <v>5.92545454545455</v>
      </c>
      <c r="U2277" s="51">
        <f>IF(tblWorkPackages[[#This Row],[Calibrated forecast hours]]="","",ABS(tblWorkPackages[[#This Row],[Actual labor hours]]-tblWorkPackages[[#This Row],[Calibrated forecast hours]]))</f>
        <v>0.274545454545455</v>
      </c>
      <c r="V2277" s="51">
        <f>IF(tblWorkPackages[[#This Row],[Time split]]="Train 2024",tblWorkPackages[[#This Row],[Estimated labor hours]],tblWorkPackages[[#This Row],[Calibrated forecast hours]])</f>
        <v>5.92545454545455</v>
      </c>
      <c r="W2277" s="64">
        <f>DATEVALUE(tblWorkPackages[[#This Row],[Request date]])</f>
        <v>45899.0</v>
      </c>
      <c r="X2277" s="64">
        <f>DATEVALUE(tblWorkPackages[[#This Row],[Due date]])</f>
        <v>45912.0</v>
      </c>
      <c r="Y2277" s="64">
        <f>DATEVALUE(tblWorkPackages[[#This Row],[Completion date]])</f>
        <v>45914.0</v>
      </c>
      <c r="Z2277" s="64">
        <f>_xlfn.MINIFS(tblLaborEntries[Work date serial],tblLaborEntries[Work package ID],tblWorkPackages[[#This Row],[Work package ID]])</f>
        <v>45909.0</v>
      </c>
      <c r="AA2277" s="64">
        <f>_xlfn.MAXIFS(tblLaborEntries[Work date serial],tblLaborEntries[Work package ID],tblWorkPackages[[#This Row],[Work package ID]])</f>
        <v>45911.0</v>
      </c>
      <c r="AB2277" s="65">
        <f>IF(tblWorkPackages[[#This Row],[Completion date serial]]&gt;tblWorkPackages[[#This Row],[Due date serial]],1,0)</f>
        <v>1</v>
      </c>
      <c r="AC2277" s="65">
        <f>MAX(0,tblWorkPackages[[#This Row],[Completion date serial]]-tblWorkPackages[[#This Row],[Due date serial]])</f>
        <v>2</v>
      </c>
      <c r="AD2277" s="65">
        <f>tblWorkPackages[[#This Row],[First labor date]]-tblWorkPackages[[#This Row],[Request date serial]]</f>
        <v>10</v>
      </c>
      <c r="AE2277" s="65">
        <f>tblWorkPackages[[#This Row],[Last labor date]]-tblWorkPackages[[#This Row],[First labor date]]</f>
        <v>2</v>
      </c>
      <c r="AF2277" s="65">
        <f>tblWorkPackages[[#This Row],[Completion date serial]]-tblWorkPackages[[#This Row],[Last labor date]]</f>
        <v>3</v>
      </c>
      <c r="AG2277" s="65">
        <f>tblWorkPackages[[#This Row],[Completion date serial]]-tblWorkPackages[[#This Row],[Request date serial]]</f>
        <v>15</v>
      </c>
      <c r="AH2277" s="65">
        <f>IFERROR(INDEX(tblParts[Delay days],MATCH(tblWorkPackages[[#This Row],[Work package ID]],tblParts[Work package ID],0)),0)</f>
        <v>0</v>
      </c>
      <c r="AI2277" s="51" t="str">
        <f>IFERROR(INDEX(tblDisruptions[Event type],MATCH(tblWorkPackages[[#This Row],[Work package ID]],tblDisruptions[Work package ID],0)),"None")</f>
        <v>Equipment unavailable</v>
      </c>
      <c r="AJ2277" s="51" t="str">
        <f>TEXT(tblWorkPackages[[#This Row],[Due date serial]],"yyyy-mm")</f>
        <v>2025-09</v>
      </c>
    </row>
    <row r="2278" spans="1:36" ht="15" x14ac:dyDescent="0.25">
      <c r="A2278" s="53" t="s">
        <v>3194</v>
      </c>
      <c r="B2278" s="53" t="s">
        <v>168</v>
      </c>
      <c r="C2278" s="53" t="s">
        <v>1437</v>
      </c>
      <c r="D2278" s="53" t="s">
        <v>395</v>
      </c>
      <c r="E2278" s="53" t="s">
        <v>181</v>
      </c>
      <c r="F2278" s="53" t="s">
        <v>182</v>
      </c>
      <c r="G2278" s="53" t="s">
        <v>138</v>
      </c>
      <c r="H2278" s="53">
        <v>2</v>
      </c>
      <c r="I2278" s="53" t="s">
        <v>176</v>
      </c>
      <c r="J2278" s="53">
        <v>0</v>
      </c>
      <c r="K2278" s="53">
        <v>1</v>
      </c>
      <c r="L2278" s="53">
        <v>7.3</v>
      </c>
      <c r="M2278" s="53" t="s">
        <v>1417</v>
      </c>
      <c r="N2278" s="53">
        <v>5.7</v>
      </c>
      <c r="O2278" s="51" t="str">
        <f>TEXT(tblWorkPackages[[#This Row],[Request date serial]]-WEEKDAY(tblWorkPackages[[#This Row],[Request date serial]],3),"yyyy-mm-dd")</f>
        <v>2024-12-23</v>
      </c>
      <c r="P2278" s="51">
        <f>ABS(tblWorkPackages[[#This Row],[Actual labor hours]]-tblWorkPackages[[#This Row],[Estimated labor hours]])</f>
        <v>1.6</v>
      </c>
      <c r="Q2278" s="51">
        <f>IF(tblWorkPackages[[#This Row],[Actual labor hours]]&gt;tblWorkPackages[[#This Row],[Estimated labor hours]],1,0)</f>
        <v>0</v>
      </c>
      <c r="R2278" s="51">
        <f>tblWorkPackages[[#This Row],[Actual labor hours]]-tblWorkPackages[[#This Row],[Estimated labor hours]]</f>
        <v>-1.6</v>
      </c>
      <c r="S2278" s="51" t="str">
        <f>IF(tblWorkPackages[[#This Row],[Request date serial]]&lt;ValidationStart,"Train 2024",IF(tblWorkPackages[[#This Row],[Request date serial]]&lt;HoldoutStart,"Validation H1","Holdout H2"))</f>
        <v>Train 2024</v>
      </c>
      <c r="T2278" s="51" t="str">
        <f>IF(tblWorkPackages[[#This Row],[Time split]]="Train 2024","",tblWorkPackages[[#This Row],[Estimated labor hours]]+VLOOKUP(tblWorkPackages[[#This Row],[Task type]],'Forecast validation'!$A$14:$E$25,IF(tblWorkPackages[[#This Row],[Time split]]="Validation H1",4,5),FALSE()))</f>
        <v/>
      </c>
      <c r="U2278" s="51" t="str">
        <f>IF(tblWorkPackages[[#This Row],[Calibrated forecast hours]]="","",ABS(tblWorkPackages[[#This Row],[Actual labor hours]]-tblWorkPackages[[#This Row],[Calibrated forecast hours]]))</f>
        <v/>
      </c>
      <c r="V2278" s="51">
        <f>IF(tblWorkPackages[[#This Row],[Time split]]="Train 2024",tblWorkPackages[[#This Row],[Estimated labor hours]],tblWorkPackages[[#This Row],[Calibrated forecast hours]])</f>
        <v>7.3</v>
      </c>
      <c r="W2278" s="64">
        <f>DATEVALUE(tblWorkPackages[[#This Row],[Request date]])</f>
        <v>45653.0</v>
      </c>
      <c r="X2278" s="64">
        <f>DATEVALUE(tblWorkPackages[[#This Row],[Due date]])</f>
        <v>45659.0</v>
      </c>
      <c r="Y2278" s="64">
        <f>DATEVALUE(tblWorkPackages[[#This Row],[Completion date]])</f>
        <v>45656.0</v>
      </c>
      <c r="Z2278" s="64">
        <f>_xlfn.MINIFS(tblLaborEntries[Work date serial],tblLaborEntries[Work package ID],tblWorkPackages[[#This Row],[Work package ID]])</f>
        <v>45656.0</v>
      </c>
      <c r="AA2278" s="64">
        <f>_xlfn.MAXIFS(tblLaborEntries[Work date serial],tblLaborEntries[Work package ID],tblWorkPackages[[#This Row],[Work package ID]])</f>
        <v>45656.0</v>
      </c>
      <c r="AB2278" s="65">
        <f>IF(tblWorkPackages[[#This Row],[Completion date serial]]&gt;tblWorkPackages[[#This Row],[Due date serial]],1,0)</f>
        <v>0</v>
      </c>
      <c r="AC2278" s="65">
        <f>MAX(0,tblWorkPackages[[#This Row],[Completion date serial]]-tblWorkPackages[[#This Row],[Due date serial]])</f>
        <v>0</v>
      </c>
      <c r="AD2278" s="65">
        <f>tblWorkPackages[[#This Row],[First labor date]]-tblWorkPackages[[#This Row],[Request date serial]]</f>
        <v>3</v>
      </c>
      <c r="AE2278" s="65">
        <f>tblWorkPackages[[#This Row],[Last labor date]]-tblWorkPackages[[#This Row],[First labor date]]</f>
        <v>0</v>
      </c>
      <c r="AF2278" s="65">
        <f>tblWorkPackages[[#This Row],[Completion date serial]]-tblWorkPackages[[#This Row],[Last labor date]]</f>
        <v>0</v>
      </c>
      <c r="AG2278" s="65">
        <f>tblWorkPackages[[#This Row],[Completion date serial]]-tblWorkPackages[[#This Row],[Request date serial]]</f>
        <v>3</v>
      </c>
      <c r="AH2278" s="65">
        <f>IFERROR(INDEX(tblParts[Delay days],MATCH(tblWorkPackages[[#This Row],[Work package ID]],tblParts[Work package ID],0)),0)</f>
        <v>0</v>
      </c>
      <c r="AI2278" s="51" t="str">
        <f>IFERROR(INDEX(tblDisruptions[Event type],MATCH(tblWorkPackages[[#This Row],[Work package ID]],tblDisruptions[Work package ID],0)),"None")</f>
        <v>None</v>
      </c>
      <c r="AJ2278" s="51" t="str">
        <f>TEXT(tblWorkPackages[[#This Row],[Due date serial]],"yyyy-mm")</f>
        <v>2025-01</v>
      </c>
    </row>
    <row r="2279" spans="1:36" ht="15" x14ac:dyDescent="0.25">
      <c r="A2279" s="53" t="s">
        <v>3195</v>
      </c>
      <c r="B2279" s="53" t="s">
        <v>185</v>
      </c>
      <c r="C2279" s="53" t="s">
        <v>744</v>
      </c>
      <c r="D2279" s="53" t="s">
        <v>842</v>
      </c>
      <c r="E2279" s="53" t="s">
        <v>237</v>
      </c>
      <c r="F2279" s="53" t="s">
        <v>182</v>
      </c>
      <c r="G2279" s="53" t="s">
        <v>138</v>
      </c>
      <c r="H2279" s="53">
        <v>4</v>
      </c>
      <c r="I2279" s="53" t="s">
        <v>147</v>
      </c>
      <c r="J2279" s="53">
        <v>1</v>
      </c>
      <c r="K2279" s="53">
        <v>1</v>
      </c>
      <c r="L2279" s="53">
        <v>10.199999999999999</v>
      </c>
      <c r="M2279" s="53" t="s">
        <v>1402</v>
      </c>
      <c r="N2279" s="53">
        <v>11.2</v>
      </c>
      <c r="O2279" s="51" t="str">
        <f>TEXT(tblWorkPackages[[#This Row],[Request date serial]]-WEEKDAY(tblWorkPackages[[#This Row],[Request date serial]],3),"yyyy-mm-dd")</f>
        <v>2025-07-21</v>
      </c>
      <c r="P2279" s="51">
        <f>ABS(tblWorkPackages[[#This Row],[Actual labor hours]]-tblWorkPackages[[#This Row],[Estimated labor hours]])</f>
        <v>1</v>
      </c>
      <c r="Q2279" s="51">
        <f>IF(tblWorkPackages[[#This Row],[Actual labor hours]]&gt;tblWorkPackages[[#This Row],[Estimated labor hours]],1,0)</f>
        <v>1</v>
      </c>
      <c r="R2279" s="51">
        <f>tblWorkPackages[[#This Row],[Actual labor hours]]-tblWorkPackages[[#This Row],[Estimated labor hours]]</f>
        <v>1</v>
      </c>
      <c r="S2279" s="51" t="str">
        <f>IF(tblWorkPackages[[#This Row],[Request date serial]]&lt;ValidationStart,"Train 2024",IF(tblWorkPackages[[#This Row],[Request date serial]]&lt;HoldoutStart,"Validation H1","Holdout H2"))</f>
        <v>Holdout H2</v>
      </c>
      <c r="T2279" s="51">
        <f>IF(tblWorkPackages[[#This Row],[Time split]]="Train 2024","",tblWorkPackages[[#This Row],[Estimated labor hours]]+VLOOKUP(tblWorkPackages[[#This Row],[Task type]],'Forecast validation'!$A$14:$E$25,IF(tblWorkPackages[[#This Row],[Time split]]="Validation H1",4,5),FALSE()))</f>
        <v>10.653125</v>
      </c>
      <c r="U2279" s="51">
        <f>IF(tblWorkPackages[[#This Row],[Calibrated forecast hours]]="","",ABS(tblWorkPackages[[#This Row],[Actual labor hours]]-tblWorkPackages[[#This Row],[Calibrated forecast hours]]))</f>
        <v>0.546875</v>
      </c>
      <c r="V2279" s="51">
        <f>IF(tblWorkPackages[[#This Row],[Time split]]="Train 2024",tblWorkPackages[[#This Row],[Estimated labor hours]],tblWorkPackages[[#This Row],[Calibrated forecast hours]])</f>
        <v>10.653125</v>
      </c>
      <c r="W2279" s="64">
        <f>DATEVALUE(tblWorkPackages[[#This Row],[Request date]])</f>
        <v>45863.0</v>
      </c>
      <c r="X2279" s="64">
        <f>DATEVALUE(tblWorkPackages[[#This Row],[Due date]])</f>
        <v>45865.0</v>
      </c>
      <c r="Y2279" s="64">
        <f>DATEVALUE(tblWorkPackages[[#This Row],[Completion date]])</f>
        <v>45891.0</v>
      </c>
      <c r="Z2279" s="64">
        <f>_xlfn.MINIFS(tblLaborEntries[Work date serial],tblLaborEntries[Work package ID],tblWorkPackages[[#This Row],[Work package ID]])</f>
        <v>45890.0</v>
      </c>
      <c r="AA2279" s="64">
        <f>_xlfn.MAXIFS(tblLaborEntries[Work date serial],tblLaborEntries[Work package ID],tblWorkPackages[[#This Row],[Work package ID]])</f>
        <v>45890.0</v>
      </c>
      <c r="AB2279" s="65">
        <f>IF(tblWorkPackages[[#This Row],[Completion date serial]]&gt;tblWorkPackages[[#This Row],[Due date serial]],1,0)</f>
        <v>1</v>
      </c>
      <c r="AC2279" s="65">
        <f>MAX(0,tblWorkPackages[[#This Row],[Completion date serial]]-tblWorkPackages[[#This Row],[Due date serial]])</f>
        <v>26</v>
      </c>
      <c r="AD2279" s="65">
        <f>tblWorkPackages[[#This Row],[First labor date]]-tblWorkPackages[[#This Row],[Request date serial]]</f>
        <v>27</v>
      </c>
      <c r="AE2279" s="65">
        <f>tblWorkPackages[[#This Row],[Last labor date]]-tblWorkPackages[[#This Row],[First labor date]]</f>
        <v>0</v>
      </c>
      <c r="AF2279" s="65">
        <f>tblWorkPackages[[#This Row],[Completion date serial]]-tblWorkPackages[[#This Row],[Last labor date]]</f>
        <v>1</v>
      </c>
      <c r="AG2279" s="65">
        <f>tblWorkPackages[[#This Row],[Completion date serial]]-tblWorkPackages[[#This Row],[Request date serial]]</f>
        <v>28</v>
      </c>
      <c r="AH2279" s="65">
        <f>IFERROR(INDEX(tblParts[Delay days],MATCH(tblWorkPackages[[#This Row],[Work package ID]],tblParts[Work package ID],0)),0)</f>
        <v>0</v>
      </c>
      <c r="AI2279" s="51" t="str">
        <f>IFERROR(INDEX(tblDisruptions[Event type],MATCH(tblWorkPackages[[#This Row],[Work package ID]],tblDisruptions[Work package ID],0)),"None")</f>
        <v>None</v>
      </c>
      <c r="AJ2279" s="51" t="str">
        <f>TEXT(tblWorkPackages[[#This Row],[Due date serial]],"yyyy-mm")</f>
        <v>2025-07</v>
      </c>
    </row>
    <row r="2280" spans="1:36" ht="15" x14ac:dyDescent="0.25">
      <c r="A2280" s="53" t="s">
        <v>3196</v>
      </c>
      <c r="B2280" s="53" t="s">
        <v>141</v>
      </c>
      <c r="C2280" s="53" t="s">
        <v>858</v>
      </c>
      <c r="D2280" s="53" t="s">
        <v>445</v>
      </c>
      <c r="E2280" s="53" t="s">
        <v>160</v>
      </c>
      <c r="F2280" s="53" t="s">
        <v>128</v>
      </c>
      <c r="G2280" s="53" t="s">
        <v>138</v>
      </c>
      <c r="H2280" s="53">
        <v>3</v>
      </c>
      <c r="I2280" s="53" t="s">
        <v>176</v>
      </c>
      <c r="J2280" s="53">
        <v>0</v>
      </c>
      <c r="K2280" s="53">
        <v>0</v>
      </c>
      <c r="L2280" s="53">
        <v>6.8</v>
      </c>
      <c r="M2280" s="53" t="s">
        <v>446</v>
      </c>
      <c r="N2280" s="53">
        <v>8.1999999999999993</v>
      </c>
      <c r="O2280" s="51" t="str">
        <f>TEXT(tblWorkPackages[[#This Row],[Request date serial]]-WEEKDAY(tblWorkPackages[[#This Row],[Request date serial]],3),"yyyy-mm-dd")</f>
        <v>2025-03-10</v>
      </c>
      <c r="P2280" s="51">
        <f>ABS(tblWorkPackages[[#This Row],[Actual labor hours]]-tblWorkPackages[[#This Row],[Estimated labor hours]])</f>
        <v>1.4</v>
      </c>
      <c r="Q2280" s="51">
        <f>IF(tblWorkPackages[[#This Row],[Actual labor hours]]&gt;tblWorkPackages[[#This Row],[Estimated labor hours]],1,0)</f>
        <v>1</v>
      </c>
      <c r="R2280" s="51">
        <f>tblWorkPackages[[#This Row],[Actual labor hours]]-tblWorkPackages[[#This Row],[Estimated labor hours]]</f>
        <v>1.4</v>
      </c>
      <c r="S2280" s="51" t="str">
        <f>IF(tblWorkPackages[[#This Row],[Request date serial]]&lt;ValidationStart,"Train 2024",IF(tblWorkPackages[[#This Row],[Request date serial]]&lt;HoldoutStart,"Validation H1","Holdout H2"))</f>
        <v>Validation H1</v>
      </c>
      <c r="T2280" s="51">
        <f>IF(tblWorkPackages[[#This Row],[Time split]]="Train 2024","",tblWorkPackages[[#This Row],[Estimated labor hours]]+VLOOKUP(tblWorkPackages[[#This Row],[Task type]],'Forecast validation'!$A$14:$E$25,IF(tblWorkPackages[[#This Row],[Time split]]="Validation H1",4,5),FALSE()))</f>
        <v>7.24146341463415</v>
      </c>
      <c r="U2280" s="51">
        <f>IF(tblWorkPackages[[#This Row],[Calibrated forecast hours]]="","",ABS(tblWorkPackages[[#This Row],[Actual labor hours]]-tblWorkPackages[[#This Row],[Calibrated forecast hours]]))</f>
        <v>0.958536585365853</v>
      </c>
      <c r="V2280" s="51">
        <f>IF(tblWorkPackages[[#This Row],[Time split]]="Train 2024",tblWorkPackages[[#This Row],[Estimated labor hours]],tblWorkPackages[[#This Row],[Calibrated forecast hours]])</f>
        <v>7.24146341463415</v>
      </c>
      <c r="W2280" s="64">
        <f>DATEVALUE(tblWorkPackages[[#This Row],[Request date]])</f>
        <v>45729.0</v>
      </c>
      <c r="X2280" s="64">
        <f>DATEVALUE(tblWorkPackages[[#This Row],[Due date]])</f>
        <v>45735.0</v>
      </c>
      <c r="Y2280" s="64">
        <f>DATEVALUE(tblWorkPackages[[#This Row],[Completion date]])</f>
        <v>45737.0</v>
      </c>
      <c r="Z2280" s="64">
        <f>_xlfn.MINIFS(tblLaborEntries[Work date serial],tblLaborEntries[Work package ID],tblWorkPackages[[#This Row],[Work package ID]])</f>
        <v>45733.0</v>
      </c>
      <c r="AA2280" s="64">
        <f>_xlfn.MAXIFS(tblLaborEntries[Work date serial],tblLaborEntries[Work package ID],tblWorkPackages[[#This Row],[Work package ID]])</f>
        <v>45735.0</v>
      </c>
      <c r="AB2280" s="65">
        <f>IF(tblWorkPackages[[#This Row],[Completion date serial]]&gt;tblWorkPackages[[#This Row],[Due date serial]],1,0)</f>
        <v>1</v>
      </c>
      <c r="AC2280" s="65">
        <f>MAX(0,tblWorkPackages[[#This Row],[Completion date serial]]-tblWorkPackages[[#This Row],[Due date serial]])</f>
        <v>2</v>
      </c>
      <c r="AD2280" s="65">
        <f>tblWorkPackages[[#This Row],[First labor date]]-tblWorkPackages[[#This Row],[Request date serial]]</f>
        <v>4</v>
      </c>
      <c r="AE2280" s="65">
        <f>tblWorkPackages[[#This Row],[Last labor date]]-tblWorkPackages[[#This Row],[First labor date]]</f>
        <v>2</v>
      </c>
      <c r="AF2280" s="65">
        <f>tblWorkPackages[[#This Row],[Completion date serial]]-tblWorkPackages[[#This Row],[Last labor date]]</f>
        <v>2</v>
      </c>
      <c r="AG2280" s="65">
        <f>tblWorkPackages[[#This Row],[Completion date serial]]-tblWorkPackages[[#This Row],[Request date serial]]</f>
        <v>8</v>
      </c>
      <c r="AH2280" s="65">
        <f>IFERROR(INDEX(tblParts[Delay days],MATCH(tblWorkPackages[[#This Row],[Work package ID]],tblParts[Work package ID],0)),0)</f>
        <v>0</v>
      </c>
      <c r="AI2280" s="51" t="str">
        <f>IFERROR(INDEX(tblDisruptions[Event type],MATCH(tblWorkPackages[[#This Row],[Work package ID]],tblDisruptions[Work package ID],0)),"None")</f>
        <v>Scope change</v>
      </c>
      <c r="AJ2280" s="51" t="str">
        <f>TEXT(tblWorkPackages[[#This Row],[Due date serial]],"yyyy-mm")</f>
        <v>2025-03</v>
      </c>
    </row>
    <row r="2281" spans="1:36" ht="15" x14ac:dyDescent="0.25">
      <c r="A2281" s="53" t="s">
        <v>3197</v>
      </c>
      <c r="B2281" s="53" t="s">
        <v>124</v>
      </c>
      <c r="C2281" s="53" t="s">
        <v>697</v>
      </c>
      <c r="D2281" s="53" t="s">
        <v>291</v>
      </c>
      <c r="E2281" s="53" t="s">
        <v>237</v>
      </c>
      <c r="F2281" s="53" t="s">
        <v>182</v>
      </c>
      <c r="G2281" s="53" t="s">
        <v>138</v>
      </c>
      <c r="H2281" s="53">
        <v>1</v>
      </c>
      <c r="I2281" s="53" t="s">
        <v>176</v>
      </c>
      <c r="J2281" s="53">
        <v>0</v>
      </c>
      <c r="K2281" s="53">
        <v>0</v>
      </c>
      <c r="L2281" s="53">
        <v>3.7</v>
      </c>
      <c r="M2281" s="53" t="s">
        <v>186</v>
      </c>
      <c r="N2281" s="53">
        <v>4.9000000000000004</v>
      </c>
      <c r="O2281" s="51" t="str">
        <f>TEXT(tblWorkPackages[[#This Row],[Request date serial]]-WEEKDAY(tblWorkPackages[[#This Row],[Request date serial]],3),"yyyy-mm-dd")</f>
        <v>2025-02-10</v>
      </c>
      <c r="P2281" s="51">
        <f>ABS(tblWorkPackages[[#This Row],[Actual labor hours]]-tblWorkPackages[[#This Row],[Estimated labor hours]])</f>
        <v>1.2</v>
      </c>
      <c r="Q2281" s="51">
        <f>IF(tblWorkPackages[[#This Row],[Actual labor hours]]&gt;tblWorkPackages[[#This Row],[Estimated labor hours]],1,0)</f>
        <v>1</v>
      </c>
      <c r="R2281" s="51">
        <f>tblWorkPackages[[#This Row],[Actual labor hours]]-tblWorkPackages[[#This Row],[Estimated labor hours]]</f>
        <v>1.2</v>
      </c>
      <c r="S2281" s="51" t="str">
        <f>IF(tblWorkPackages[[#This Row],[Request date serial]]&lt;ValidationStart,"Train 2024",IF(tblWorkPackages[[#This Row],[Request date serial]]&lt;HoldoutStart,"Validation H1","Holdout H2"))</f>
        <v>Validation H1</v>
      </c>
      <c r="T2281" s="51">
        <f>IF(tblWorkPackages[[#This Row],[Time split]]="Train 2024","",tblWorkPackages[[#This Row],[Estimated labor hours]]+VLOOKUP(tblWorkPackages[[#This Row],[Task type]],'Forecast validation'!$A$14:$E$25,IF(tblWorkPackages[[#This Row],[Time split]]="Validation H1",4,5),FALSE()))</f>
        <v>4.2037037037037</v>
      </c>
      <c r="U2281" s="51">
        <f>IF(tblWorkPackages[[#This Row],[Calibrated forecast hours]]="","",ABS(tblWorkPackages[[#This Row],[Actual labor hours]]-tblWorkPackages[[#This Row],[Calibrated forecast hours]]))</f>
        <v>0.696296296296296</v>
      </c>
      <c r="V2281" s="51">
        <f>IF(tblWorkPackages[[#This Row],[Time split]]="Train 2024",tblWorkPackages[[#This Row],[Estimated labor hours]],tblWorkPackages[[#This Row],[Calibrated forecast hours]])</f>
        <v>4.2037037037037</v>
      </c>
      <c r="W2281" s="64">
        <f>DATEVALUE(tblWorkPackages[[#This Row],[Request date]])</f>
        <v>45703.0</v>
      </c>
      <c r="X2281" s="64">
        <f>DATEVALUE(tblWorkPackages[[#This Row],[Due date]])</f>
        <v>45709.0</v>
      </c>
      <c r="Y2281" s="64">
        <f>DATEVALUE(tblWorkPackages[[#This Row],[Completion date]])</f>
        <v>45707.0</v>
      </c>
      <c r="Z2281" s="64">
        <f>_xlfn.MINIFS(tblLaborEntries[Work date serial],tblLaborEntries[Work package ID],tblWorkPackages[[#This Row],[Work package ID]])</f>
        <v>45704.0</v>
      </c>
      <c r="AA2281" s="64">
        <f>_xlfn.MAXIFS(tblLaborEntries[Work date serial],tblLaborEntries[Work package ID],tblWorkPackages[[#This Row],[Work package ID]])</f>
        <v>45704.0</v>
      </c>
      <c r="AB2281" s="65">
        <f>IF(tblWorkPackages[[#This Row],[Completion date serial]]&gt;tblWorkPackages[[#This Row],[Due date serial]],1,0)</f>
        <v>0</v>
      </c>
      <c r="AC2281" s="65">
        <f>MAX(0,tblWorkPackages[[#This Row],[Completion date serial]]-tblWorkPackages[[#This Row],[Due date serial]])</f>
        <v>0</v>
      </c>
      <c r="AD2281" s="65">
        <f>tblWorkPackages[[#This Row],[First labor date]]-tblWorkPackages[[#This Row],[Request date serial]]</f>
        <v>1</v>
      </c>
      <c r="AE2281" s="65">
        <f>tblWorkPackages[[#This Row],[Last labor date]]-tblWorkPackages[[#This Row],[First labor date]]</f>
        <v>0</v>
      </c>
      <c r="AF2281" s="65">
        <f>tblWorkPackages[[#This Row],[Completion date serial]]-tblWorkPackages[[#This Row],[Last labor date]]</f>
        <v>3</v>
      </c>
      <c r="AG2281" s="65">
        <f>tblWorkPackages[[#This Row],[Completion date serial]]-tblWorkPackages[[#This Row],[Request date serial]]</f>
        <v>4</v>
      </c>
      <c r="AH2281" s="65">
        <f>IFERROR(INDEX(tblParts[Delay days],MATCH(tblWorkPackages[[#This Row],[Work package ID]],tblParts[Work package ID],0)),0)</f>
        <v>0</v>
      </c>
      <c r="AI2281" s="51" t="str">
        <f>IFERROR(INDEX(tblDisruptions[Event type],MATCH(tblWorkPackages[[#This Row],[Work package ID]],tblDisruptions[Work package ID],0)),"None")</f>
        <v>Equipment unavailable</v>
      </c>
      <c r="AJ2281" s="51" t="str">
        <f>TEXT(tblWorkPackages[[#This Row],[Due date serial]],"yyyy-mm")</f>
        <v>2025-02</v>
      </c>
    </row>
    <row r="2282" spans="1:36" ht="15" x14ac:dyDescent="0.25">
      <c r="A2282" s="53" t="s">
        <v>3198</v>
      </c>
      <c r="B2282" s="53" t="s">
        <v>133</v>
      </c>
      <c r="C2282" s="53" t="s">
        <v>126</v>
      </c>
      <c r="D2282" s="53" t="s">
        <v>618</v>
      </c>
      <c r="E2282" s="53" t="s">
        <v>242</v>
      </c>
      <c r="F2282" s="53" t="s">
        <v>243</v>
      </c>
      <c r="G2282" s="53" t="s">
        <v>129</v>
      </c>
      <c r="H2282" s="53">
        <v>4</v>
      </c>
      <c r="I2282" s="53" t="s">
        <v>130</v>
      </c>
      <c r="J2282" s="53">
        <v>0</v>
      </c>
      <c r="K2282" s="53">
        <v>0</v>
      </c>
      <c r="L2282" s="53">
        <v>16.7</v>
      </c>
      <c r="M2282" s="53" t="s">
        <v>569</v>
      </c>
      <c r="N2282" s="53">
        <v>19.8</v>
      </c>
      <c r="O2282" s="51" t="str">
        <f>TEXT(tblWorkPackages[[#This Row],[Request date serial]]-WEEKDAY(tblWorkPackages[[#This Row],[Request date serial]],3),"yyyy-mm-dd")</f>
        <v>2025-05-12</v>
      </c>
      <c r="P2282" s="51">
        <f>ABS(tblWorkPackages[[#This Row],[Actual labor hours]]-tblWorkPackages[[#This Row],[Estimated labor hours]])</f>
        <v>3.1</v>
      </c>
      <c r="Q2282" s="51">
        <f>IF(tblWorkPackages[[#This Row],[Actual labor hours]]&gt;tblWorkPackages[[#This Row],[Estimated labor hours]],1,0)</f>
        <v>1</v>
      </c>
      <c r="R2282" s="51">
        <f>tblWorkPackages[[#This Row],[Actual labor hours]]-tblWorkPackages[[#This Row],[Estimated labor hours]]</f>
        <v>3.1</v>
      </c>
      <c r="S2282" s="51" t="str">
        <f>IF(tblWorkPackages[[#This Row],[Request date serial]]&lt;ValidationStart,"Train 2024",IF(tblWorkPackages[[#This Row],[Request date serial]]&lt;HoldoutStart,"Validation H1","Holdout H2"))</f>
        <v>Validation H1</v>
      </c>
      <c r="T2282" s="51">
        <f>IF(tblWorkPackages[[#This Row],[Time split]]="Train 2024","",tblWorkPackages[[#This Row],[Estimated labor hours]]+VLOOKUP(tblWorkPackages[[#This Row],[Task type]],'Forecast validation'!$A$14:$E$25,IF(tblWorkPackages[[#This Row],[Time split]]="Validation H1",4,5),FALSE()))</f>
        <v>17.2561224489796</v>
      </c>
      <c r="U2282" s="51">
        <f>IF(tblWorkPackages[[#This Row],[Calibrated forecast hours]]="","",ABS(tblWorkPackages[[#This Row],[Actual labor hours]]-tblWorkPackages[[#This Row],[Calibrated forecast hours]]))</f>
        <v>2.54387755102041</v>
      </c>
      <c r="V2282" s="51">
        <f>IF(tblWorkPackages[[#This Row],[Time split]]="Train 2024",tblWorkPackages[[#This Row],[Estimated labor hours]],tblWorkPackages[[#This Row],[Calibrated forecast hours]])</f>
        <v>17.2561224489796</v>
      </c>
      <c r="W2282" s="64">
        <f>DATEVALUE(tblWorkPackages[[#This Row],[Request date]])</f>
        <v>45793.0</v>
      </c>
      <c r="X2282" s="64">
        <f>DATEVALUE(tblWorkPackages[[#This Row],[Due date]])</f>
        <v>45806.0</v>
      </c>
      <c r="Y2282" s="64">
        <f>DATEVALUE(tblWorkPackages[[#This Row],[Completion date]])</f>
        <v>45807.0</v>
      </c>
      <c r="Z2282" s="64">
        <f>_xlfn.MINIFS(tblLaborEntries[Work date serial],tblLaborEntries[Work package ID],tblWorkPackages[[#This Row],[Work package ID]])</f>
        <v>45806.0</v>
      </c>
      <c r="AA2282" s="64">
        <f>_xlfn.MAXIFS(tblLaborEntries[Work date serial],tblLaborEntries[Work package ID],tblWorkPackages[[#This Row],[Work package ID]])</f>
        <v>45807.0</v>
      </c>
      <c r="AB2282" s="65">
        <f>IF(tblWorkPackages[[#This Row],[Completion date serial]]&gt;tblWorkPackages[[#This Row],[Due date serial]],1,0)</f>
        <v>1</v>
      </c>
      <c r="AC2282" s="65">
        <f>MAX(0,tblWorkPackages[[#This Row],[Completion date serial]]-tblWorkPackages[[#This Row],[Due date serial]])</f>
        <v>1</v>
      </c>
      <c r="AD2282" s="65">
        <f>tblWorkPackages[[#This Row],[First labor date]]-tblWorkPackages[[#This Row],[Request date serial]]</f>
        <v>13</v>
      </c>
      <c r="AE2282" s="65">
        <f>tblWorkPackages[[#This Row],[Last labor date]]-tblWorkPackages[[#This Row],[First labor date]]</f>
        <v>1</v>
      </c>
      <c r="AF2282" s="65">
        <f>tblWorkPackages[[#This Row],[Completion date serial]]-tblWorkPackages[[#This Row],[Last labor date]]</f>
        <v>0</v>
      </c>
      <c r="AG2282" s="65">
        <f>tblWorkPackages[[#This Row],[Completion date serial]]-tblWorkPackages[[#This Row],[Request date serial]]</f>
        <v>14</v>
      </c>
      <c r="AH2282" s="65">
        <f>IFERROR(INDEX(tblParts[Delay days],MATCH(tblWorkPackages[[#This Row],[Work package ID]],tblParts[Work package ID],0)),0)</f>
        <v>0</v>
      </c>
      <c r="AI2282" s="51" t="str">
        <f>IFERROR(INDEX(tblDisruptions[Event type],MATCH(tblWorkPackages[[#This Row],[Work package ID]],tblDisruptions[Work package ID],0)),"None")</f>
        <v>None</v>
      </c>
      <c r="AJ2282" s="51" t="str">
        <f>TEXT(tblWorkPackages[[#This Row],[Due date serial]],"yyyy-mm")</f>
        <v>2025-05</v>
      </c>
    </row>
    <row r="2283" spans="1:36" ht="15" x14ac:dyDescent="0.25">
      <c r="A2283" s="53" t="s">
        <v>3199</v>
      </c>
      <c r="B2283" s="53" t="s">
        <v>163</v>
      </c>
      <c r="C2283" s="53" t="s">
        <v>724</v>
      </c>
      <c r="D2283" s="53" t="s">
        <v>960</v>
      </c>
      <c r="E2283" s="53" t="s">
        <v>209</v>
      </c>
      <c r="F2283" s="53" t="s">
        <v>145</v>
      </c>
      <c r="G2283" s="53" t="s">
        <v>210</v>
      </c>
      <c r="H2283" s="53">
        <v>3</v>
      </c>
      <c r="I2283" s="53" t="s">
        <v>130</v>
      </c>
      <c r="J2283" s="53">
        <v>0</v>
      </c>
      <c r="K2283" s="53">
        <v>1</v>
      </c>
      <c r="L2283" s="53">
        <v>24</v>
      </c>
      <c r="M2283" s="53" t="s">
        <v>169</v>
      </c>
      <c r="N2283" s="53">
        <v>26</v>
      </c>
      <c r="O2283" s="51" t="str">
        <f>TEXT(tblWorkPackages[[#This Row],[Request date serial]]-WEEKDAY(tblWorkPackages[[#This Row],[Request date serial]],3),"yyyy-mm-dd")</f>
        <v>2024-10-14</v>
      </c>
      <c r="P2283" s="51">
        <f>ABS(tblWorkPackages[[#This Row],[Actual labor hours]]-tblWorkPackages[[#This Row],[Estimated labor hours]])</f>
        <v>2</v>
      </c>
      <c r="Q2283" s="51">
        <f>IF(tblWorkPackages[[#This Row],[Actual labor hours]]&gt;tblWorkPackages[[#This Row],[Estimated labor hours]],1,0)</f>
        <v>1</v>
      </c>
      <c r="R2283" s="51">
        <f>tblWorkPackages[[#This Row],[Actual labor hours]]-tblWorkPackages[[#This Row],[Estimated labor hours]]</f>
        <v>2</v>
      </c>
      <c r="S2283" s="51" t="str">
        <f>IF(tblWorkPackages[[#This Row],[Request date serial]]&lt;ValidationStart,"Train 2024",IF(tblWorkPackages[[#This Row],[Request date serial]]&lt;HoldoutStart,"Validation H1","Holdout H2"))</f>
        <v>Train 2024</v>
      </c>
      <c r="T2283" s="51" t="str">
        <f>IF(tblWorkPackages[[#This Row],[Time split]]="Train 2024","",tblWorkPackages[[#This Row],[Estimated labor hours]]+VLOOKUP(tblWorkPackages[[#This Row],[Task type]],'Forecast validation'!$A$14:$E$25,IF(tblWorkPackages[[#This Row],[Time split]]="Validation H1",4,5),FALSE()))</f>
        <v/>
      </c>
      <c r="U2283" s="51" t="str">
        <f>IF(tblWorkPackages[[#This Row],[Calibrated forecast hours]]="","",ABS(tblWorkPackages[[#This Row],[Actual labor hours]]-tblWorkPackages[[#This Row],[Calibrated forecast hours]]))</f>
        <v/>
      </c>
      <c r="V2283" s="51">
        <f>IF(tblWorkPackages[[#This Row],[Time split]]="Train 2024",tblWorkPackages[[#This Row],[Estimated labor hours]],tblWorkPackages[[#This Row],[Calibrated forecast hours]])</f>
        <v>24</v>
      </c>
      <c r="W2283" s="64">
        <f>DATEVALUE(tblWorkPackages[[#This Row],[Request date]])</f>
        <v>45581.0</v>
      </c>
      <c r="X2283" s="64">
        <f>DATEVALUE(tblWorkPackages[[#This Row],[Due date]])</f>
        <v>45594.0</v>
      </c>
      <c r="Y2283" s="64">
        <f>DATEVALUE(tblWorkPackages[[#This Row],[Completion date]])</f>
        <v>45585.0</v>
      </c>
      <c r="Z2283" s="64">
        <f>_xlfn.MINIFS(tblLaborEntries[Work date serial],tblLaborEntries[Work package ID],tblWorkPackages[[#This Row],[Work package ID]])</f>
        <v>45584.0</v>
      </c>
      <c r="AA2283" s="64">
        <f>_xlfn.MAXIFS(tblLaborEntries[Work date serial],tblLaborEntries[Work package ID],tblWorkPackages[[#This Row],[Work package ID]])</f>
        <v>45584.0</v>
      </c>
      <c r="AB2283" s="65">
        <f>IF(tblWorkPackages[[#This Row],[Completion date serial]]&gt;tblWorkPackages[[#This Row],[Due date serial]],1,0)</f>
        <v>0</v>
      </c>
      <c r="AC2283" s="65">
        <f>MAX(0,tblWorkPackages[[#This Row],[Completion date serial]]-tblWorkPackages[[#This Row],[Due date serial]])</f>
        <v>0</v>
      </c>
      <c r="AD2283" s="65">
        <f>tblWorkPackages[[#This Row],[First labor date]]-tblWorkPackages[[#This Row],[Request date serial]]</f>
        <v>3</v>
      </c>
      <c r="AE2283" s="65">
        <f>tblWorkPackages[[#This Row],[Last labor date]]-tblWorkPackages[[#This Row],[First labor date]]</f>
        <v>0</v>
      </c>
      <c r="AF2283" s="65">
        <f>tblWorkPackages[[#This Row],[Completion date serial]]-tblWorkPackages[[#This Row],[Last labor date]]</f>
        <v>1</v>
      </c>
      <c r="AG2283" s="65">
        <f>tblWorkPackages[[#This Row],[Completion date serial]]-tblWorkPackages[[#This Row],[Request date serial]]</f>
        <v>4</v>
      </c>
      <c r="AH2283" s="65">
        <f>IFERROR(INDEX(tblParts[Delay days],MATCH(tblWorkPackages[[#This Row],[Work package ID]],tblParts[Work package ID],0)),0)</f>
        <v>0</v>
      </c>
      <c r="AI2283" s="51" t="str">
        <f>IFERROR(INDEX(tblDisruptions[Event type],MATCH(tblWorkPackages[[#This Row],[Work package ID]],tblDisruptions[Work package ID],0)),"None")</f>
        <v>None</v>
      </c>
      <c r="AJ2283" s="51" t="str">
        <f>TEXT(tblWorkPackages[[#This Row],[Due date serial]],"yyyy-mm")</f>
        <v>2024-10</v>
      </c>
    </row>
    <row r="2284" spans="1:36" ht="15" x14ac:dyDescent="0.25">
      <c r="A2284" s="53" t="s">
        <v>3200</v>
      </c>
      <c r="B2284" s="53" t="s">
        <v>163</v>
      </c>
      <c r="C2284" s="53" t="s">
        <v>391</v>
      </c>
      <c r="D2284" s="53" t="s">
        <v>296</v>
      </c>
      <c r="E2284" s="53" t="s">
        <v>136</v>
      </c>
      <c r="F2284" s="53" t="s">
        <v>137</v>
      </c>
      <c r="G2284" s="53" t="s">
        <v>138</v>
      </c>
      <c r="H2284" s="53">
        <v>4</v>
      </c>
      <c r="I2284" s="53" t="s">
        <v>130</v>
      </c>
      <c r="J2284" s="53">
        <v>0</v>
      </c>
      <c r="K2284" s="53">
        <v>0</v>
      </c>
      <c r="L2284" s="53">
        <v>23.6</v>
      </c>
      <c r="M2284" s="53" t="s">
        <v>402</v>
      </c>
      <c r="N2284" s="53">
        <v>23.7</v>
      </c>
      <c r="O2284" s="51" t="str">
        <f>TEXT(tblWorkPackages[[#This Row],[Request date serial]]-WEEKDAY(tblWorkPackages[[#This Row],[Request date serial]],3),"yyyy-mm-dd")</f>
        <v>2024-08-05</v>
      </c>
      <c r="P2284" s="51">
        <f>ABS(tblWorkPackages[[#This Row],[Actual labor hours]]-tblWorkPackages[[#This Row],[Estimated labor hours]])</f>
        <v>0.0999999999999979</v>
      </c>
      <c r="Q2284" s="51">
        <f>IF(tblWorkPackages[[#This Row],[Actual labor hours]]&gt;tblWorkPackages[[#This Row],[Estimated labor hours]],1,0)</f>
        <v>1</v>
      </c>
      <c r="R2284" s="51">
        <f>tblWorkPackages[[#This Row],[Actual labor hours]]-tblWorkPackages[[#This Row],[Estimated labor hours]]</f>
        <v>0.0999999999999979</v>
      </c>
      <c r="S2284" s="51" t="str">
        <f>IF(tblWorkPackages[[#This Row],[Request date serial]]&lt;ValidationStart,"Train 2024",IF(tblWorkPackages[[#This Row],[Request date serial]]&lt;HoldoutStart,"Validation H1","Holdout H2"))</f>
        <v>Train 2024</v>
      </c>
      <c r="T2284" s="51" t="str">
        <f>IF(tblWorkPackages[[#This Row],[Time split]]="Train 2024","",tblWorkPackages[[#This Row],[Estimated labor hours]]+VLOOKUP(tblWorkPackages[[#This Row],[Task type]],'Forecast validation'!$A$14:$E$25,IF(tblWorkPackages[[#This Row],[Time split]]="Validation H1",4,5),FALSE()))</f>
        <v/>
      </c>
      <c r="U2284" s="51" t="str">
        <f>IF(tblWorkPackages[[#This Row],[Calibrated forecast hours]]="","",ABS(tblWorkPackages[[#This Row],[Actual labor hours]]-tblWorkPackages[[#This Row],[Calibrated forecast hours]]))</f>
        <v/>
      </c>
      <c r="V2284" s="51">
        <f>IF(tblWorkPackages[[#This Row],[Time split]]="Train 2024",tblWorkPackages[[#This Row],[Estimated labor hours]],tblWorkPackages[[#This Row],[Calibrated forecast hours]])</f>
        <v>23.6</v>
      </c>
      <c r="W2284" s="64">
        <f>DATEVALUE(tblWorkPackages[[#This Row],[Request date]])</f>
        <v>45510.0</v>
      </c>
      <c r="X2284" s="64">
        <f>DATEVALUE(tblWorkPackages[[#This Row],[Due date]])</f>
        <v>45523.0</v>
      </c>
      <c r="Y2284" s="64">
        <f>DATEVALUE(tblWorkPackages[[#This Row],[Completion date]])</f>
        <v>45561.0</v>
      </c>
      <c r="Z2284" s="64">
        <f>_xlfn.MINIFS(tblLaborEntries[Work date serial],tblLaborEntries[Work package ID],tblWorkPackages[[#This Row],[Work package ID]])</f>
        <v>45557.0</v>
      </c>
      <c r="AA2284" s="64">
        <f>_xlfn.MAXIFS(tblLaborEntries[Work date serial],tblLaborEntries[Work package ID],tblWorkPackages[[#This Row],[Work package ID]])</f>
        <v>45559.0</v>
      </c>
      <c r="AB2284" s="65">
        <f>IF(tblWorkPackages[[#This Row],[Completion date serial]]&gt;tblWorkPackages[[#This Row],[Due date serial]],1,0)</f>
        <v>1</v>
      </c>
      <c r="AC2284" s="65">
        <f>MAX(0,tblWorkPackages[[#This Row],[Completion date serial]]-tblWorkPackages[[#This Row],[Due date serial]])</f>
        <v>38</v>
      </c>
      <c r="AD2284" s="65">
        <f>tblWorkPackages[[#This Row],[First labor date]]-tblWorkPackages[[#This Row],[Request date serial]]</f>
        <v>47</v>
      </c>
      <c r="AE2284" s="65">
        <f>tblWorkPackages[[#This Row],[Last labor date]]-tblWorkPackages[[#This Row],[First labor date]]</f>
        <v>2</v>
      </c>
      <c r="AF2284" s="65">
        <f>tblWorkPackages[[#This Row],[Completion date serial]]-tblWorkPackages[[#This Row],[Last labor date]]</f>
        <v>2</v>
      </c>
      <c r="AG2284" s="65">
        <f>tblWorkPackages[[#This Row],[Completion date serial]]-tblWorkPackages[[#This Row],[Request date serial]]</f>
        <v>51</v>
      </c>
      <c r="AH2284" s="65">
        <f>IFERROR(INDEX(tblParts[Delay days],MATCH(tblWorkPackages[[#This Row],[Work package ID]],tblParts[Work package ID],0)),0)</f>
        <v>0</v>
      </c>
      <c r="AI2284" s="51" t="str">
        <f>IFERROR(INDEX(tblDisruptions[Event type],MATCH(tblWorkPackages[[#This Row],[Work package ID]],tblDisruptions[Work package ID],0)),"None")</f>
        <v>None</v>
      </c>
      <c r="AJ2284" s="51" t="str">
        <f>TEXT(tblWorkPackages[[#This Row],[Due date serial]],"yyyy-mm")</f>
        <v>2024-08</v>
      </c>
    </row>
    <row r="2285" spans="1:36" ht="15" x14ac:dyDescent="0.25">
      <c r="A2285" s="53" t="s">
        <v>3201</v>
      </c>
      <c r="B2285" s="53" t="s">
        <v>230</v>
      </c>
      <c r="C2285" s="53" t="s">
        <v>790</v>
      </c>
      <c r="D2285" s="53" t="s">
        <v>464</v>
      </c>
      <c r="E2285" s="53" t="s">
        <v>136</v>
      </c>
      <c r="F2285" s="53" t="s">
        <v>137</v>
      </c>
      <c r="G2285" s="53" t="s">
        <v>138</v>
      </c>
      <c r="H2285" s="53">
        <v>4</v>
      </c>
      <c r="I2285" s="53" t="s">
        <v>130</v>
      </c>
      <c r="J2285" s="53">
        <v>1</v>
      </c>
      <c r="K2285" s="53">
        <v>1</v>
      </c>
      <c r="L2285" s="53">
        <v>24.8</v>
      </c>
      <c r="M2285" s="53" t="s">
        <v>288</v>
      </c>
      <c r="N2285" s="53">
        <v>26.7</v>
      </c>
      <c r="O2285" s="51" t="str">
        <f>TEXT(tblWorkPackages[[#This Row],[Request date serial]]-WEEKDAY(tblWorkPackages[[#This Row],[Request date serial]],3),"yyyy-mm-dd")</f>
        <v>2025-09-15</v>
      </c>
      <c r="P2285" s="51">
        <f>ABS(tblWorkPackages[[#This Row],[Actual labor hours]]-tblWorkPackages[[#This Row],[Estimated labor hours]])</f>
        <v>1.9</v>
      </c>
      <c r="Q2285" s="51">
        <f>IF(tblWorkPackages[[#This Row],[Actual labor hours]]&gt;tblWorkPackages[[#This Row],[Estimated labor hours]],1,0)</f>
        <v>1</v>
      </c>
      <c r="R2285" s="51">
        <f>tblWorkPackages[[#This Row],[Actual labor hours]]-tblWorkPackages[[#This Row],[Estimated labor hours]]</f>
        <v>1.9</v>
      </c>
      <c r="S2285" s="51" t="str">
        <f>IF(tblWorkPackages[[#This Row],[Request date serial]]&lt;ValidationStart,"Train 2024",IF(tblWorkPackages[[#This Row],[Request date serial]]&lt;HoldoutStart,"Validation H1","Holdout H2"))</f>
        <v>Holdout H2</v>
      </c>
      <c r="T2285" s="51">
        <f>IF(tblWorkPackages[[#This Row],[Time split]]="Train 2024","",tblWorkPackages[[#This Row],[Estimated labor hours]]+VLOOKUP(tblWorkPackages[[#This Row],[Task type]],'Forecast validation'!$A$14:$E$25,IF(tblWorkPackages[[#This Row],[Time split]]="Validation H1",4,5),FALSE()))</f>
        <v>25.7207547169811</v>
      </c>
      <c r="U2285" s="51">
        <f>IF(tblWorkPackages[[#This Row],[Calibrated forecast hours]]="","",ABS(tblWorkPackages[[#This Row],[Actual labor hours]]-tblWorkPackages[[#This Row],[Calibrated forecast hours]]))</f>
        <v>0.979245283018866</v>
      </c>
      <c r="V2285" s="51">
        <f>IF(tblWorkPackages[[#This Row],[Time split]]="Train 2024",tblWorkPackages[[#This Row],[Estimated labor hours]],tblWorkPackages[[#This Row],[Calibrated forecast hours]])</f>
        <v>25.7207547169811</v>
      </c>
      <c r="W2285" s="64">
        <f>DATEVALUE(tblWorkPackages[[#This Row],[Request date]])</f>
        <v>45916.0</v>
      </c>
      <c r="X2285" s="64">
        <f>DATEVALUE(tblWorkPackages[[#This Row],[Due date]])</f>
        <v>45929.0</v>
      </c>
      <c r="Y2285" s="64">
        <f>DATEVALUE(tblWorkPackages[[#This Row],[Completion date]])</f>
        <v>45928.0</v>
      </c>
      <c r="Z2285" s="64">
        <f>_xlfn.MINIFS(tblLaborEntries[Work date serial],tblLaborEntries[Work package ID],tblWorkPackages[[#This Row],[Work package ID]])</f>
        <v>45924.0</v>
      </c>
      <c r="AA2285" s="64">
        <f>_xlfn.MAXIFS(tblLaborEntries[Work date serial],tblLaborEntries[Work package ID],tblWorkPackages[[#This Row],[Work package ID]])</f>
        <v>45925.0</v>
      </c>
      <c r="AB2285" s="65">
        <f>IF(tblWorkPackages[[#This Row],[Completion date serial]]&gt;tblWorkPackages[[#This Row],[Due date serial]],1,0)</f>
        <v>0</v>
      </c>
      <c r="AC2285" s="65">
        <f>MAX(0,tblWorkPackages[[#This Row],[Completion date serial]]-tblWorkPackages[[#This Row],[Due date serial]])</f>
        <v>0</v>
      </c>
      <c r="AD2285" s="65">
        <f>tblWorkPackages[[#This Row],[First labor date]]-tblWorkPackages[[#This Row],[Request date serial]]</f>
        <v>8</v>
      </c>
      <c r="AE2285" s="65">
        <f>tblWorkPackages[[#This Row],[Last labor date]]-tblWorkPackages[[#This Row],[First labor date]]</f>
        <v>1</v>
      </c>
      <c r="AF2285" s="65">
        <f>tblWorkPackages[[#This Row],[Completion date serial]]-tblWorkPackages[[#This Row],[Last labor date]]</f>
        <v>3</v>
      </c>
      <c r="AG2285" s="65">
        <f>tblWorkPackages[[#This Row],[Completion date serial]]-tblWorkPackages[[#This Row],[Request date serial]]</f>
        <v>12</v>
      </c>
      <c r="AH2285" s="65">
        <f>IFERROR(INDEX(tblParts[Delay days],MATCH(tblWorkPackages[[#This Row],[Work package ID]],tblParts[Work package ID],0)),0)</f>
        <v>0</v>
      </c>
      <c r="AI2285" s="51" t="str">
        <f>IFERROR(INDEX(tblDisruptions[Event type],MATCH(tblWorkPackages[[#This Row],[Work package ID]],tblDisruptions[Work package ID],0)),"None")</f>
        <v>None</v>
      </c>
      <c r="AJ2285" s="51" t="str">
        <f>TEXT(tblWorkPackages[[#This Row],[Due date serial]],"yyyy-mm")</f>
        <v>2025-09</v>
      </c>
    </row>
    <row r="2286" spans="1:36" ht="15" x14ac:dyDescent="0.25">
      <c r="A2286" s="53" t="s">
        <v>3202</v>
      </c>
      <c r="B2286" s="53" t="s">
        <v>124</v>
      </c>
      <c r="C2286" s="53" t="s">
        <v>746</v>
      </c>
      <c r="D2286" s="53" t="s">
        <v>658</v>
      </c>
      <c r="E2286" s="53" t="s">
        <v>200</v>
      </c>
      <c r="F2286" s="53" t="s">
        <v>128</v>
      </c>
      <c r="G2286" s="53" t="s">
        <v>129</v>
      </c>
      <c r="H2286" s="53">
        <v>1</v>
      </c>
      <c r="I2286" s="53" t="s">
        <v>130</v>
      </c>
      <c r="J2286" s="53">
        <v>0</v>
      </c>
      <c r="K2286" s="53">
        <v>0</v>
      </c>
      <c r="L2286" s="53">
        <v>2.1</v>
      </c>
      <c r="M2286" s="53" t="s">
        <v>1154</v>
      </c>
      <c r="N2286" s="53">
        <v>2</v>
      </c>
      <c r="O2286" s="51" t="str">
        <f>TEXT(tblWorkPackages[[#This Row],[Request date serial]]-WEEKDAY(tblWorkPackages[[#This Row],[Request date serial]],3),"yyyy-mm-dd")</f>
        <v>2025-07-21</v>
      </c>
      <c r="P2286" s="51">
        <f>ABS(tblWorkPackages[[#This Row],[Actual labor hours]]-tblWorkPackages[[#This Row],[Estimated labor hours]])</f>
        <v>0.1</v>
      </c>
      <c r="Q2286" s="51">
        <f>IF(tblWorkPackages[[#This Row],[Actual labor hours]]&gt;tblWorkPackages[[#This Row],[Estimated labor hours]],1,0)</f>
        <v>0</v>
      </c>
      <c r="R2286" s="51">
        <f>tblWorkPackages[[#This Row],[Actual labor hours]]-tblWorkPackages[[#This Row],[Estimated labor hours]]</f>
        <v>-0.1</v>
      </c>
      <c r="S2286" s="51" t="str">
        <f>IF(tblWorkPackages[[#This Row],[Request date serial]]&lt;ValidationStart,"Train 2024",IF(tblWorkPackages[[#This Row],[Request date serial]]&lt;HoldoutStart,"Validation H1","Holdout H2"))</f>
        <v>Holdout H2</v>
      </c>
      <c r="T2286" s="51">
        <f>IF(tblWorkPackages[[#This Row],[Time split]]="Train 2024","",tblWorkPackages[[#This Row],[Estimated labor hours]]+VLOOKUP(tblWorkPackages[[#This Row],[Task type]],'Forecast validation'!$A$14:$E$25,IF(tblWorkPackages[[#This Row],[Time split]]="Validation H1",4,5),FALSE()))</f>
        <v>2.42893081761006</v>
      </c>
      <c r="U2286" s="51">
        <f>IF(tblWorkPackages[[#This Row],[Calibrated forecast hours]]="","",ABS(tblWorkPackages[[#This Row],[Actual labor hours]]-tblWorkPackages[[#This Row],[Calibrated forecast hours]]))</f>
        <v>0.428930817610063</v>
      </c>
      <c r="V2286" s="51">
        <f>IF(tblWorkPackages[[#This Row],[Time split]]="Train 2024",tblWorkPackages[[#This Row],[Estimated labor hours]],tblWorkPackages[[#This Row],[Calibrated forecast hours]])</f>
        <v>2.42893081761006</v>
      </c>
      <c r="W2286" s="64">
        <f>DATEVALUE(tblWorkPackages[[#This Row],[Request date]])</f>
        <v>45860.0</v>
      </c>
      <c r="X2286" s="64">
        <f>DATEVALUE(tblWorkPackages[[#This Row],[Due date]])</f>
        <v>45873.0</v>
      </c>
      <c r="Y2286" s="64">
        <f>DATEVALUE(tblWorkPackages[[#This Row],[Completion date]])</f>
        <v>45864.0</v>
      </c>
      <c r="Z2286" s="64">
        <f>_xlfn.MINIFS(tblLaborEntries[Work date serial],tblLaborEntries[Work package ID],tblWorkPackages[[#This Row],[Work package ID]])</f>
        <v>45862.0</v>
      </c>
      <c r="AA2286" s="64">
        <f>_xlfn.MAXIFS(tblLaborEntries[Work date serial],tblLaborEntries[Work package ID],tblWorkPackages[[#This Row],[Work package ID]])</f>
        <v>45864.0</v>
      </c>
      <c r="AB2286" s="65">
        <f>IF(tblWorkPackages[[#This Row],[Completion date serial]]&gt;tblWorkPackages[[#This Row],[Due date serial]],1,0)</f>
        <v>0</v>
      </c>
      <c r="AC2286" s="65">
        <f>MAX(0,tblWorkPackages[[#This Row],[Completion date serial]]-tblWorkPackages[[#This Row],[Due date serial]])</f>
        <v>0</v>
      </c>
      <c r="AD2286" s="65">
        <f>tblWorkPackages[[#This Row],[First labor date]]-tblWorkPackages[[#This Row],[Request date serial]]</f>
        <v>2</v>
      </c>
      <c r="AE2286" s="65">
        <f>tblWorkPackages[[#This Row],[Last labor date]]-tblWorkPackages[[#This Row],[First labor date]]</f>
        <v>2</v>
      </c>
      <c r="AF2286" s="65">
        <f>tblWorkPackages[[#This Row],[Completion date serial]]-tblWorkPackages[[#This Row],[Last labor date]]</f>
        <v>0</v>
      </c>
      <c r="AG2286" s="65">
        <f>tblWorkPackages[[#This Row],[Completion date serial]]-tblWorkPackages[[#This Row],[Request date serial]]</f>
        <v>4</v>
      </c>
      <c r="AH2286" s="65">
        <f>IFERROR(INDEX(tblParts[Delay days],MATCH(tblWorkPackages[[#This Row],[Work package ID]],tblParts[Work package ID],0)),0)</f>
        <v>0</v>
      </c>
      <c r="AI2286" s="51" t="str">
        <f>IFERROR(INDEX(tblDisruptions[Event type],MATCH(tblWorkPackages[[#This Row],[Work package ID]],tblDisruptions[Work package ID],0)),"None")</f>
        <v>None</v>
      </c>
      <c r="AJ2286" s="51" t="str">
        <f>TEXT(tblWorkPackages[[#This Row],[Due date serial]],"yyyy-mm")</f>
        <v>2025-08</v>
      </c>
    </row>
    <row r="2287" spans="1:36" ht="15" x14ac:dyDescent="0.25">
      <c r="A2287" s="53" t="s">
        <v>3203</v>
      </c>
      <c r="B2287" s="53" t="s">
        <v>124</v>
      </c>
      <c r="C2287" s="53" t="s">
        <v>759</v>
      </c>
      <c r="D2287" s="53" t="s">
        <v>630</v>
      </c>
      <c r="E2287" s="53" t="s">
        <v>242</v>
      </c>
      <c r="F2287" s="53" t="s">
        <v>243</v>
      </c>
      <c r="G2287" s="53" t="s">
        <v>129</v>
      </c>
      <c r="H2287" s="53">
        <v>4</v>
      </c>
      <c r="I2287" s="53" t="s">
        <v>130</v>
      </c>
      <c r="J2287" s="53">
        <v>0</v>
      </c>
      <c r="K2287" s="53">
        <v>0</v>
      </c>
      <c r="L2287" s="53">
        <v>17.8</v>
      </c>
      <c r="M2287" s="53" t="s">
        <v>689</v>
      </c>
      <c r="N2287" s="53">
        <v>15.2</v>
      </c>
      <c r="O2287" s="51" t="str">
        <f>TEXT(tblWorkPackages[[#This Row],[Request date serial]]-WEEKDAY(tblWorkPackages[[#This Row],[Request date serial]],3),"yyyy-mm-dd")</f>
        <v>2024-03-11</v>
      </c>
      <c r="P2287" s="51">
        <f>ABS(tblWorkPackages[[#This Row],[Actual labor hours]]-tblWorkPackages[[#This Row],[Estimated labor hours]])</f>
        <v>2.6</v>
      </c>
      <c r="Q2287" s="51">
        <f>IF(tblWorkPackages[[#This Row],[Actual labor hours]]&gt;tblWorkPackages[[#This Row],[Estimated labor hours]],1,0)</f>
        <v>0</v>
      </c>
      <c r="R2287" s="51">
        <f>tblWorkPackages[[#This Row],[Actual labor hours]]-tblWorkPackages[[#This Row],[Estimated labor hours]]</f>
        <v>-2.6</v>
      </c>
      <c r="S2287" s="51" t="str">
        <f>IF(tblWorkPackages[[#This Row],[Request date serial]]&lt;ValidationStart,"Train 2024",IF(tblWorkPackages[[#This Row],[Request date serial]]&lt;HoldoutStart,"Validation H1","Holdout H2"))</f>
        <v>Train 2024</v>
      </c>
      <c r="T2287" s="51" t="str">
        <f>IF(tblWorkPackages[[#This Row],[Time split]]="Train 2024","",tblWorkPackages[[#This Row],[Estimated labor hours]]+VLOOKUP(tblWorkPackages[[#This Row],[Task type]],'Forecast validation'!$A$14:$E$25,IF(tblWorkPackages[[#This Row],[Time split]]="Validation H1",4,5),FALSE()))</f>
        <v/>
      </c>
      <c r="U2287" s="51" t="str">
        <f>IF(tblWorkPackages[[#This Row],[Calibrated forecast hours]]="","",ABS(tblWorkPackages[[#This Row],[Actual labor hours]]-tblWorkPackages[[#This Row],[Calibrated forecast hours]]))</f>
        <v/>
      </c>
      <c r="V2287" s="51">
        <f>IF(tblWorkPackages[[#This Row],[Time split]]="Train 2024",tblWorkPackages[[#This Row],[Estimated labor hours]],tblWorkPackages[[#This Row],[Calibrated forecast hours]])</f>
        <v>17.8</v>
      </c>
      <c r="W2287" s="64">
        <f>DATEVALUE(tblWorkPackages[[#This Row],[Request date]])</f>
        <v>45363.0</v>
      </c>
      <c r="X2287" s="64">
        <f>DATEVALUE(tblWorkPackages[[#This Row],[Due date]])</f>
        <v>45376.0</v>
      </c>
      <c r="Y2287" s="64">
        <f>DATEVALUE(tblWorkPackages[[#This Row],[Completion date]])</f>
        <v>45385.0</v>
      </c>
      <c r="Z2287" s="64">
        <f>_xlfn.MINIFS(tblLaborEntries[Work date serial],tblLaborEntries[Work package ID],tblWorkPackages[[#This Row],[Work package ID]])</f>
        <v>45382.0</v>
      </c>
      <c r="AA2287" s="64">
        <f>_xlfn.MAXIFS(tblLaborEntries[Work date serial],tblLaborEntries[Work package ID],tblWorkPackages[[#This Row],[Work package ID]])</f>
        <v>45384.0</v>
      </c>
      <c r="AB2287" s="65">
        <f>IF(tblWorkPackages[[#This Row],[Completion date serial]]&gt;tblWorkPackages[[#This Row],[Due date serial]],1,0)</f>
        <v>1</v>
      </c>
      <c r="AC2287" s="65">
        <f>MAX(0,tblWorkPackages[[#This Row],[Completion date serial]]-tblWorkPackages[[#This Row],[Due date serial]])</f>
        <v>9</v>
      </c>
      <c r="AD2287" s="65">
        <f>tblWorkPackages[[#This Row],[First labor date]]-tblWorkPackages[[#This Row],[Request date serial]]</f>
        <v>19</v>
      </c>
      <c r="AE2287" s="65">
        <f>tblWorkPackages[[#This Row],[Last labor date]]-tblWorkPackages[[#This Row],[First labor date]]</f>
        <v>2</v>
      </c>
      <c r="AF2287" s="65">
        <f>tblWorkPackages[[#This Row],[Completion date serial]]-tblWorkPackages[[#This Row],[Last labor date]]</f>
        <v>1</v>
      </c>
      <c r="AG2287" s="65">
        <f>tblWorkPackages[[#This Row],[Completion date serial]]-tblWorkPackages[[#This Row],[Request date serial]]</f>
        <v>22</v>
      </c>
      <c r="AH2287" s="65">
        <f>IFERROR(INDEX(tblParts[Delay days],MATCH(tblWorkPackages[[#This Row],[Work package ID]],tblParts[Work package ID],0)),0)</f>
        <v>0</v>
      </c>
      <c r="AI2287" s="51" t="str">
        <f>IFERROR(INDEX(tblDisruptions[Event type],MATCH(tblWorkPackages[[#This Row],[Work package ID]],tblDisruptions[Work package ID],0)),"None")</f>
        <v>None</v>
      </c>
      <c r="AJ2287" s="51" t="str">
        <f>TEXT(tblWorkPackages[[#This Row],[Due date serial]],"yyyy-mm")</f>
        <v>2024-03</v>
      </c>
    </row>
    <row r="2288" spans="1:36" ht="15" x14ac:dyDescent="0.25">
      <c r="A2288" s="53" t="s">
        <v>3204</v>
      </c>
      <c r="B2288" s="53" t="s">
        <v>150</v>
      </c>
      <c r="C2288" s="53" t="s">
        <v>311</v>
      </c>
      <c r="D2288" s="53" t="s">
        <v>312</v>
      </c>
      <c r="E2288" s="53" t="s">
        <v>209</v>
      </c>
      <c r="F2288" s="53" t="s">
        <v>145</v>
      </c>
      <c r="G2288" s="53" t="s">
        <v>210</v>
      </c>
      <c r="H2288" s="53">
        <v>1</v>
      </c>
      <c r="I2288" s="53" t="s">
        <v>176</v>
      </c>
      <c r="J2288" s="53">
        <v>0</v>
      </c>
      <c r="K2288" s="53">
        <v>1</v>
      </c>
      <c r="L2288" s="53">
        <v>13.7</v>
      </c>
      <c r="M2288" s="53" t="s">
        <v>520</v>
      </c>
      <c r="N2288" s="53">
        <v>15.8</v>
      </c>
      <c r="O2288" s="51" t="str">
        <f>TEXT(tblWorkPackages[[#This Row],[Request date serial]]-WEEKDAY(tblWorkPackages[[#This Row],[Request date serial]],3),"yyyy-mm-dd")</f>
        <v>2025-08-11</v>
      </c>
      <c r="P2288" s="51">
        <f>ABS(tblWorkPackages[[#This Row],[Actual labor hours]]-tblWorkPackages[[#This Row],[Estimated labor hours]])</f>
        <v>2.1</v>
      </c>
      <c r="Q2288" s="51">
        <f>IF(tblWorkPackages[[#This Row],[Actual labor hours]]&gt;tblWorkPackages[[#This Row],[Estimated labor hours]],1,0)</f>
        <v>1</v>
      </c>
      <c r="R2288" s="51">
        <f>tblWorkPackages[[#This Row],[Actual labor hours]]-tblWorkPackages[[#This Row],[Estimated labor hours]]</f>
        <v>2.1</v>
      </c>
      <c r="S2288" s="51" t="str">
        <f>IF(tblWorkPackages[[#This Row],[Request date serial]]&lt;ValidationStart,"Train 2024",IF(tblWorkPackages[[#This Row],[Request date serial]]&lt;HoldoutStart,"Validation H1","Holdout H2"))</f>
        <v>Holdout H2</v>
      </c>
      <c r="T2288" s="51">
        <f>IF(tblWorkPackages[[#This Row],[Time split]]="Train 2024","",tblWorkPackages[[#This Row],[Estimated labor hours]]+VLOOKUP(tblWorkPackages[[#This Row],[Task type]],'Forecast validation'!$A$14:$E$25,IF(tblWorkPackages[[#This Row],[Time split]]="Validation H1",4,5),FALSE()))</f>
        <v>15.495652173913</v>
      </c>
      <c r="U2288" s="51">
        <f>IF(tblWorkPackages[[#This Row],[Calibrated forecast hours]]="","",ABS(tblWorkPackages[[#This Row],[Actual labor hours]]-tblWorkPackages[[#This Row],[Calibrated forecast hours]]))</f>
        <v>0.304347826086959</v>
      </c>
      <c r="V2288" s="51">
        <f>IF(tblWorkPackages[[#This Row],[Time split]]="Train 2024",tblWorkPackages[[#This Row],[Estimated labor hours]],tblWorkPackages[[#This Row],[Calibrated forecast hours]])</f>
        <v>15.495652173913</v>
      </c>
      <c r="W2288" s="64">
        <f>DATEVALUE(tblWorkPackages[[#This Row],[Request date]])</f>
        <v>45881.0</v>
      </c>
      <c r="X2288" s="64">
        <f>DATEVALUE(tblWorkPackages[[#This Row],[Due date]])</f>
        <v>45887.0</v>
      </c>
      <c r="Y2288" s="64">
        <f>DATEVALUE(tblWorkPackages[[#This Row],[Completion date]])</f>
        <v>45890.0</v>
      </c>
      <c r="Z2288" s="64">
        <f>_xlfn.MINIFS(tblLaborEntries[Work date serial],tblLaborEntries[Work package ID],tblWorkPackages[[#This Row],[Work package ID]])</f>
        <v>45887.0</v>
      </c>
      <c r="AA2288" s="64">
        <f>_xlfn.MAXIFS(tblLaborEntries[Work date serial],tblLaborEntries[Work package ID],tblWorkPackages[[#This Row],[Work package ID]])</f>
        <v>45888.0</v>
      </c>
      <c r="AB2288" s="65">
        <f>IF(tblWorkPackages[[#This Row],[Completion date serial]]&gt;tblWorkPackages[[#This Row],[Due date serial]],1,0)</f>
        <v>1</v>
      </c>
      <c r="AC2288" s="65">
        <f>MAX(0,tblWorkPackages[[#This Row],[Completion date serial]]-tblWorkPackages[[#This Row],[Due date serial]])</f>
        <v>3</v>
      </c>
      <c r="AD2288" s="65">
        <f>tblWorkPackages[[#This Row],[First labor date]]-tblWorkPackages[[#This Row],[Request date serial]]</f>
        <v>6</v>
      </c>
      <c r="AE2288" s="65">
        <f>tblWorkPackages[[#This Row],[Last labor date]]-tblWorkPackages[[#This Row],[First labor date]]</f>
        <v>1</v>
      </c>
      <c r="AF2288" s="65">
        <f>tblWorkPackages[[#This Row],[Completion date serial]]-tblWorkPackages[[#This Row],[Last labor date]]</f>
        <v>2</v>
      </c>
      <c r="AG2288" s="65">
        <f>tblWorkPackages[[#This Row],[Completion date serial]]-tblWorkPackages[[#This Row],[Request date serial]]</f>
        <v>9</v>
      </c>
      <c r="AH2288" s="65">
        <f>IFERROR(INDEX(tblParts[Delay days],MATCH(tblWorkPackages[[#This Row],[Work package ID]],tblParts[Work package ID],0)),0)</f>
        <v>2</v>
      </c>
      <c r="AI2288" s="51" t="str">
        <f>IFERROR(INDEX(tblDisruptions[Event type],MATCH(tblWorkPackages[[#This Row],[Work package ID]],tblDisruptions[Work package ID],0)),"None")</f>
        <v>Part delay</v>
      </c>
      <c r="AJ2288" s="51" t="str">
        <f>TEXT(tblWorkPackages[[#This Row],[Due date serial]],"yyyy-mm")</f>
        <v>2025-08</v>
      </c>
    </row>
    <row r="2289" spans="1:36" ht="15" x14ac:dyDescent="0.25">
      <c r="A2289" s="53" t="s">
        <v>3205</v>
      </c>
      <c r="B2289" s="53" t="s">
        <v>133</v>
      </c>
      <c r="C2289" s="53" t="s">
        <v>1089</v>
      </c>
      <c r="D2289" s="53" t="s">
        <v>1370</v>
      </c>
      <c r="E2289" s="53" t="s">
        <v>153</v>
      </c>
      <c r="F2289" s="53" t="s">
        <v>128</v>
      </c>
      <c r="G2289" s="53" t="s">
        <v>154</v>
      </c>
      <c r="H2289" s="53">
        <v>3</v>
      </c>
      <c r="I2289" s="53" t="s">
        <v>147</v>
      </c>
      <c r="J2289" s="53">
        <v>0</v>
      </c>
      <c r="K2289" s="53">
        <v>0</v>
      </c>
      <c r="L2289" s="53">
        <v>11.7</v>
      </c>
      <c r="M2289" s="53" t="s">
        <v>391</v>
      </c>
      <c r="N2289" s="53">
        <v>14.1</v>
      </c>
      <c r="O2289" s="51" t="str">
        <f>TEXT(tblWorkPackages[[#This Row],[Request date serial]]-WEEKDAY(tblWorkPackages[[#This Row],[Request date serial]],3),"yyyy-mm-dd")</f>
        <v>2024-07-29</v>
      </c>
      <c r="P2289" s="51">
        <f>ABS(tblWorkPackages[[#This Row],[Actual labor hours]]-tblWorkPackages[[#This Row],[Estimated labor hours]])</f>
        <v>2.4</v>
      </c>
      <c r="Q2289" s="51">
        <f>IF(tblWorkPackages[[#This Row],[Actual labor hours]]&gt;tblWorkPackages[[#This Row],[Estimated labor hours]],1,0)</f>
        <v>1</v>
      </c>
      <c r="R2289" s="51">
        <f>tblWorkPackages[[#This Row],[Actual labor hours]]-tblWorkPackages[[#This Row],[Estimated labor hours]]</f>
        <v>2.4</v>
      </c>
      <c r="S2289" s="51" t="str">
        <f>IF(tblWorkPackages[[#This Row],[Request date serial]]&lt;ValidationStart,"Train 2024",IF(tblWorkPackages[[#This Row],[Request date serial]]&lt;HoldoutStart,"Validation H1","Holdout H2"))</f>
        <v>Train 2024</v>
      </c>
      <c r="T2289" s="51" t="str">
        <f>IF(tblWorkPackages[[#This Row],[Time split]]="Train 2024","",tblWorkPackages[[#This Row],[Estimated labor hours]]+VLOOKUP(tblWorkPackages[[#This Row],[Task type]],'Forecast validation'!$A$14:$E$25,IF(tblWorkPackages[[#This Row],[Time split]]="Validation H1",4,5),FALSE()))</f>
        <v/>
      </c>
      <c r="U2289" s="51" t="str">
        <f>IF(tblWorkPackages[[#This Row],[Calibrated forecast hours]]="","",ABS(tblWorkPackages[[#This Row],[Actual labor hours]]-tblWorkPackages[[#This Row],[Calibrated forecast hours]]))</f>
        <v/>
      </c>
      <c r="V2289" s="51">
        <f>IF(tblWorkPackages[[#This Row],[Time split]]="Train 2024",tblWorkPackages[[#This Row],[Estimated labor hours]],tblWorkPackages[[#This Row],[Calibrated forecast hours]])</f>
        <v>11.7</v>
      </c>
      <c r="W2289" s="64">
        <f>DATEVALUE(tblWorkPackages[[#This Row],[Request date]])</f>
        <v>45505.0</v>
      </c>
      <c r="X2289" s="64">
        <f>DATEVALUE(tblWorkPackages[[#This Row],[Due date]])</f>
        <v>45507.0</v>
      </c>
      <c r="Y2289" s="64">
        <f>DATEVALUE(tblWorkPackages[[#This Row],[Completion date]])</f>
        <v>45510.0</v>
      </c>
      <c r="Z2289" s="64">
        <f>_xlfn.MINIFS(tblLaborEntries[Work date serial],tblLaborEntries[Work package ID],tblWorkPackages[[#This Row],[Work package ID]])</f>
        <v>45506.0</v>
      </c>
      <c r="AA2289" s="64">
        <f>_xlfn.MAXIFS(tblLaborEntries[Work date serial],tblLaborEntries[Work package ID],tblWorkPackages[[#This Row],[Work package ID]])</f>
        <v>45507.0</v>
      </c>
      <c r="AB2289" s="65">
        <f>IF(tblWorkPackages[[#This Row],[Completion date serial]]&gt;tblWorkPackages[[#This Row],[Due date serial]],1,0)</f>
        <v>1</v>
      </c>
      <c r="AC2289" s="65">
        <f>MAX(0,tblWorkPackages[[#This Row],[Completion date serial]]-tblWorkPackages[[#This Row],[Due date serial]])</f>
        <v>3</v>
      </c>
      <c r="AD2289" s="65">
        <f>tblWorkPackages[[#This Row],[First labor date]]-tblWorkPackages[[#This Row],[Request date serial]]</f>
        <v>1</v>
      </c>
      <c r="AE2289" s="65">
        <f>tblWorkPackages[[#This Row],[Last labor date]]-tblWorkPackages[[#This Row],[First labor date]]</f>
        <v>1</v>
      </c>
      <c r="AF2289" s="65">
        <f>tblWorkPackages[[#This Row],[Completion date serial]]-tblWorkPackages[[#This Row],[Last labor date]]</f>
        <v>3</v>
      </c>
      <c r="AG2289" s="65">
        <f>tblWorkPackages[[#This Row],[Completion date serial]]-tblWorkPackages[[#This Row],[Request date serial]]</f>
        <v>5</v>
      </c>
      <c r="AH2289" s="65">
        <f>IFERROR(INDEX(tblParts[Delay days],MATCH(tblWorkPackages[[#This Row],[Work package ID]],tblParts[Work package ID],0)),0)</f>
        <v>0</v>
      </c>
      <c r="AI2289" s="51" t="str">
        <f>IFERROR(INDEX(tblDisruptions[Event type],MATCH(tblWorkPackages[[#This Row],[Work package ID]],tblDisruptions[Work package ID],0)),"None")</f>
        <v>None</v>
      </c>
      <c r="AJ2289" s="51" t="str">
        <f>TEXT(tblWorkPackages[[#This Row],[Due date serial]],"yyyy-mm")</f>
        <v>2024-08</v>
      </c>
    </row>
    <row r="2290" spans="1:36" ht="15" x14ac:dyDescent="0.25">
      <c r="A2290" s="53" t="s">
        <v>3206</v>
      </c>
      <c r="B2290" s="53" t="s">
        <v>185</v>
      </c>
      <c r="C2290" s="53" t="s">
        <v>1174</v>
      </c>
      <c r="D2290" s="53" t="s">
        <v>565</v>
      </c>
      <c r="E2290" s="53" t="s">
        <v>237</v>
      </c>
      <c r="F2290" s="53" t="s">
        <v>182</v>
      </c>
      <c r="G2290" s="53" t="s">
        <v>138</v>
      </c>
      <c r="H2290" s="53">
        <v>1</v>
      </c>
      <c r="I2290" s="53" t="s">
        <v>130</v>
      </c>
      <c r="J2290" s="53">
        <v>0</v>
      </c>
      <c r="K2290" s="53">
        <v>0</v>
      </c>
      <c r="L2290" s="53">
        <v>3.9</v>
      </c>
      <c r="M2290" s="53" t="s">
        <v>705</v>
      </c>
      <c r="N2290" s="53">
        <v>3.6</v>
      </c>
      <c r="O2290" s="51" t="str">
        <f>TEXT(tblWorkPackages[[#This Row],[Request date serial]]-WEEKDAY(tblWorkPackages[[#This Row],[Request date serial]],3),"yyyy-mm-dd")</f>
        <v>2024-06-03</v>
      </c>
      <c r="P2290" s="51">
        <f>ABS(tblWorkPackages[[#This Row],[Actual labor hours]]-tblWorkPackages[[#This Row],[Estimated labor hours]])</f>
        <v>0.3</v>
      </c>
      <c r="Q2290" s="51">
        <f>IF(tblWorkPackages[[#This Row],[Actual labor hours]]&gt;tblWorkPackages[[#This Row],[Estimated labor hours]],1,0)</f>
        <v>0</v>
      </c>
      <c r="R2290" s="51">
        <f>tblWorkPackages[[#This Row],[Actual labor hours]]-tblWorkPackages[[#This Row],[Estimated labor hours]]</f>
        <v>-0.3</v>
      </c>
      <c r="S2290" s="51" t="str">
        <f>IF(tblWorkPackages[[#This Row],[Request date serial]]&lt;ValidationStart,"Train 2024",IF(tblWorkPackages[[#This Row],[Request date serial]]&lt;HoldoutStart,"Validation H1","Holdout H2"))</f>
        <v>Train 2024</v>
      </c>
      <c r="T2290" s="51" t="str">
        <f>IF(tblWorkPackages[[#This Row],[Time split]]="Train 2024","",tblWorkPackages[[#This Row],[Estimated labor hours]]+VLOOKUP(tblWorkPackages[[#This Row],[Task type]],'Forecast validation'!$A$14:$E$25,IF(tblWorkPackages[[#This Row],[Time split]]="Validation H1",4,5),FALSE()))</f>
        <v/>
      </c>
      <c r="U2290" s="51" t="str">
        <f>IF(tblWorkPackages[[#This Row],[Calibrated forecast hours]]="","",ABS(tblWorkPackages[[#This Row],[Actual labor hours]]-tblWorkPackages[[#This Row],[Calibrated forecast hours]]))</f>
        <v/>
      </c>
      <c r="V2290" s="51">
        <f>IF(tblWorkPackages[[#This Row],[Time split]]="Train 2024",tblWorkPackages[[#This Row],[Estimated labor hours]],tblWorkPackages[[#This Row],[Calibrated forecast hours]])</f>
        <v>3.9</v>
      </c>
      <c r="W2290" s="64">
        <f>DATEVALUE(tblWorkPackages[[#This Row],[Request date]])</f>
        <v>45449.0</v>
      </c>
      <c r="X2290" s="64">
        <f>DATEVALUE(tblWorkPackages[[#This Row],[Due date]])</f>
        <v>45462.0</v>
      </c>
      <c r="Y2290" s="64">
        <f>DATEVALUE(tblWorkPackages[[#This Row],[Completion date]])</f>
        <v>45461.0</v>
      </c>
      <c r="Z2290" s="64">
        <f>_xlfn.MINIFS(tblLaborEntries[Work date serial],tblLaborEntries[Work package ID],tblWorkPackages[[#This Row],[Work package ID]])</f>
        <v>45460.0</v>
      </c>
      <c r="AA2290" s="64">
        <f>_xlfn.MAXIFS(tblLaborEntries[Work date serial],tblLaborEntries[Work package ID],tblWorkPackages[[#This Row],[Work package ID]])</f>
        <v>45461.0</v>
      </c>
      <c r="AB2290" s="65">
        <f>IF(tblWorkPackages[[#This Row],[Completion date serial]]&gt;tblWorkPackages[[#This Row],[Due date serial]],1,0)</f>
        <v>0</v>
      </c>
      <c r="AC2290" s="65">
        <f>MAX(0,tblWorkPackages[[#This Row],[Completion date serial]]-tblWorkPackages[[#This Row],[Due date serial]])</f>
        <v>0</v>
      </c>
      <c r="AD2290" s="65">
        <f>tblWorkPackages[[#This Row],[First labor date]]-tblWorkPackages[[#This Row],[Request date serial]]</f>
        <v>11</v>
      </c>
      <c r="AE2290" s="65">
        <f>tblWorkPackages[[#This Row],[Last labor date]]-tblWorkPackages[[#This Row],[First labor date]]</f>
        <v>1</v>
      </c>
      <c r="AF2290" s="65">
        <f>tblWorkPackages[[#This Row],[Completion date serial]]-tblWorkPackages[[#This Row],[Last labor date]]</f>
        <v>0</v>
      </c>
      <c r="AG2290" s="65">
        <f>tblWorkPackages[[#This Row],[Completion date serial]]-tblWorkPackages[[#This Row],[Request date serial]]</f>
        <v>12</v>
      </c>
      <c r="AH2290" s="65">
        <f>IFERROR(INDEX(tblParts[Delay days],MATCH(tblWorkPackages[[#This Row],[Work package ID]],tblParts[Work package ID],0)),0)</f>
        <v>0</v>
      </c>
      <c r="AI2290" s="51" t="str">
        <f>IFERROR(INDEX(tblDisruptions[Event type],MATCH(tblWorkPackages[[#This Row],[Work package ID]],tblDisruptions[Work package ID],0)),"None")</f>
        <v>None</v>
      </c>
      <c r="AJ2290" s="51" t="str">
        <f>TEXT(tblWorkPackages[[#This Row],[Due date serial]],"yyyy-mm")</f>
        <v>2024-06</v>
      </c>
    </row>
    <row r="2291" spans="1:36" ht="15" x14ac:dyDescent="0.25">
      <c r="A2291" s="53" t="s">
        <v>3207</v>
      </c>
      <c r="B2291" s="53" t="s">
        <v>150</v>
      </c>
      <c r="C2291" s="53" t="s">
        <v>565</v>
      </c>
      <c r="D2291" s="53" t="s">
        <v>303</v>
      </c>
      <c r="E2291" s="53" t="s">
        <v>153</v>
      </c>
      <c r="F2291" s="53" t="s">
        <v>128</v>
      </c>
      <c r="G2291" s="53" t="s">
        <v>154</v>
      </c>
      <c r="H2291" s="53">
        <v>4</v>
      </c>
      <c r="I2291" s="53" t="s">
        <v>176</v>
      </c>
      <c r="J2291" s="53">
        <v>1</v>
      </c>
      <c r="K2291" s="53">
        <v>0</v>
      </c>
      <c r="L2291" s="53">
        <v>19.600000000000001</v>
      </c>
      <c r="M2291" s="53" t="s">
        <v>853</v>
      </c>
      <c r="N2291" s="53">
        <v>30.2</v>
      </c>
      <c r="O2291" s="51" t="str">
        <f>TEXT(tblWorkPackages[[#This Row],[Request date serial]]-WEEKDAY(tblWorkPackages[[#This Row],[Request date serial]],3),"yyyy-mm-dd")</f>
        <v>2024-06-17</v>
      </c>
      <c r="P2291" s="51">
        <f>ABS(tblWorkPackages[[#This Row],[Actual labor hours]]-tblWorkPackages[[#This Row],[Estimated labor hours]])</f>
        <v>10.6</v>
      </c>
      <c r="Q2291" s="51">
        <f>IF(tblWorkPackages[[#This Row],[Actual labor hours]]&gt;tblWorkPackages[[#This Row],[Estimated labor hours]],1,0)</f>
        <v>1</v>
      </c>
      <c r="R2291" s="51">
        <f>tblWorkPackages[[#This Row],[Actual labor hours]]-tblWorkPackages[[#This Row],[Estimated labor hours]]</f>
        <v>10.6</v>
      </c>
      <c r="S2291" s="51" t="str">
        <f>IF(tblWorkPackages[[#This Row],[Request date serial]]&lt;ValidationStart,"Train 2024",IF(tblWorkPackages[[#This Row],[Request date serial]]&lt;HoldoutStart,"Validation H1","Holdout H2"))</f>
        <v>Train 2024</v>
      </c>
      <c r="T2291" s="51" t="str">
        <f>IF(tblWorkPackages[[#This Row],[Time split]]="Train 2024","",tblWorkPackages[[#This Row],[Estimated labor hours]]+VLOOKUP(tblWorkPackages[[#This Row],[Task type]],'Forecast validation'!$A$14:$E$25,IF(tblWorkPackages[[#This Row],[Time split]]="Validation H1",4,5),FALSE()))</f>
        <v/>
      </c>
      <c r="U2291" s="51" t="str">
        <f>IF(tblWorkPackages[[#This Row],[Calibrated forecast hours]]="","",ABS(tblWorkPackages[[#This Row],[Actual labor hours]]-tblWorkPackages[[#This Row],[Calibrated forecast hours]]))</f>
        <v/>
      </c>
      <c r="V2291" s="51">
        <f>IF(tblWorkPackages[[#This Row],[Time split]]="Train 2024",tblWorkPackages[[#This Row],[Estimated labor hours]],tblWorkPackages[[#This Row],[Calibrated forecast hours]])</f>
        <v>19.6</v>
      </c>
      <c r="W2291" s="64">
        <f>DATEVALUE(tblWorkPackages[[#This Row],[Request date]])</f>
        <v>45462.0</v>
      </c>
      <c r="X2291" s="64">
        <f>DATEVALUE(tblWorkPackages[[#This Row],[Due date]])</f>
        <v>45468.0</v>
      </c>
      <c r="Y2291" s="64">
        <f>DATEVALUE(tblWorkPackages[[#This Row],[Completion date]])</f>
        <v>45466.0</v>
      </c>
      <c r="Z2291" s="64">
        <f>_xlfn.MINIFS(tblLaborEntries[Work date serial],tblLaborEntries[Work package ID],tblWorkPackages[[#This Row],[Work package ID]])</f>
        <v>45465.0</v>
      </c>
      <c r="AA2291" s="64">
        <f>_xlfn.MAXIFS(tblLaborEntries[Work date serial],tblLaborEntries[Work package ID],tblWorkPackages[[#This Row],[Work package ID]])</f>
        <v>45465.0</v>
      </c>
      <c r="AB2291" s="65">
        <f>IF(tblWorkPackages[[#This Row],[Completion date serial]]&gt;tblWorkPackages[[#This Row],[Due date serial]],1,0)</f>
        <v>0</v>
      </c>
      <c r="AC2291" s="65">
        <f>MAX(0,tblWorkPackages[[#This Row],[Completion date serial]]-tblWorkPackages[[#This Row],[Due date serial]])</f>
        <v>0</v>
      </c>
      <c r="AD2291" s="65">
        <f>tblWorkPackages[[#This Row],[First labor date]]-tblWorkPackages[[#This Row],[Request date serial]]</f>
        <v>3</v>
      </c>
      <c r="AE2291" s="65">
        <f>tblWorkPackages[[#This Row],[Last labor date]]-tblWorkPackages[[#This Row],[First labor date]]</f>
        <v>0</v>
      </c>
      <c r="AF2291" s="65">
        <f>tblWorkPackages[[#This Row],[Completion date serial]]-tblWorkPackages[[#This Row],[Last labor date]]</f>
        <v>1</v>
      </c>
      <c r="AG2291" s="65">
        <f>tblWorkPackages[[#This Row],[Completion date serial]]-tblWorkPackages[[#This Row],[Request date serial]]</f>
        <v>4</v>
      </c>
      <c r="AH2291" s="65">
        <f>IFERROR(INDEX(tblParts[Delay days],MATCH(tblWorkPackages[[#This Row],[Work package ID]],tblParts[Work package ID],0)),0)</f>
        <v>0</v>
      </c>
      <c r="AI2291" s="51" t="str">
        <f>IFERROR(INDEX(tblDisruptions[Event type],MATCH(tblWorkPackages[[#This Row],[Work package ID]],tblDisruptions[Work package ID],0)),"None")</f>
        <v>None</v>
      </c>
      <c r="AJ2291" s="51" t="str">
        <f>TEXT(tblWorkPackages[[#This Row],[Due date serial]],"yyyy-mm")</f>
        <v>2024-06</v>
      </c>
    </row>
    <row r="2292" spans="1:36" ht="15" x14ac:dyDescent="0.25">
      <c r="A2292" s="53" t="s">
        <v>3208</v>
      </c>
      <c r="B2292" s="53" t="s">
        <v>235</v>
      </c>
      <c r="C2292" s="53" t="s">
        <v>579</v>
      </c>
      <c r="D2292" s="53" t="s">
        <v>1162</v>
      </c>
      <c r="E2292" s="53" t="s">
        <v>272</v>
      </c>
      <c r="F2292" s="53" t="s">
        <v>145</v>
      </c>
      <c r="G2292" s="53" t="s">
        <v>273</v>
      </c>
      <c r="H2292" s="53">
        <v>3</v>
      </c>
      <c r="I2292" s="53" t="s">
        <v>147</v>
      </c>
      <c r="J2292" s="53">
        <v>0</v>
      </c>
      <c r="K2292" s="53">
        <v>1</v>
      </c>
      <c r="L2292" s="53">
        <v>14.5</v>
      </c>
      <c r="M2292" s="53" t="s">
        <v>3209</v>
      </c>
      <c r="N2292" s="53">
        <v>18</v>
      </c>
      <c r="O2292" s="51" t="str">
        <f>TEXT(tblWorkPackages[[#This Row],[Request date serial]]-WEEKDAY(tblWorkPackages[[#This Row],[Request date serial]],3),"yyyy-mm-dd")</f>
        <v>2025-12-29</v>
      </c>
      <c r="P2292" s="51">
        <f>ABS(tblWorkPackages[[#This Row],[Actual labor hours]]-tblWorkPackages[[#This Row],[Estimated labor hours]])</f>
        <v>3.5</v>
      </c>
      <c r="Q2292" s="51">
        <f>IF(tblWorkPackages[[#This Row],[Actual labor hours]]&gt;tblWorkPackages[[#This Row],[Estimated labor hours]],1,0)</f>
        <v>1</v>
      </c>
      <c r="R2292" s="51">
        <f>tblWorkPackages[[#This Row],[Actual labor hours]]-tblWorkPackages[[#This Row],[Estimated labor hours]]</f>
        <v>3.5</v>
      </c>
      <c r="S2292" s="51" t="str">
        <f>IF(tblWorkPackages[[#This Row],[Request date serial]]&lt;ValidationStart,"Train 2024",IF(tblWorkPackages[[#This Row],[Request date serial]]&lt;HoldoutStart,"Validation H1","Holdout H2"))</f>
        <v>Holdout H2</v>
      </c>
      <c r="T2292" s="51">
        <f>IF(tblWorkPackages[[#This Row],[Time split]]="Train 2024","",tblWorkPackages[[#This Row],[Estimated labor hours]]+VLOOKUP(tblWorkPackages[[#This Row],[Task type]],'Forecast validation'!$A$14:$E$25,IF(tblWorkPackages[[#This Row],[Time split]]="Validation H1",4,5),FALSE()))</f>
        <v>15.48515625</v>
      </c>
      <c r="U2292" s="51">
        <f>IF(tblWorkPackages[[#This Row],[Calibrated forecast hours]]="","",ABS(tblWorkPackages[[#This Row],[Actual labor hours]]-tblWorkPackages[[#This Row],[Calibrated forecast hours]]))</f>
        <v>2.51484375</v>
      </c>
      <c r="V2292" s="51">
        <f>IF(tblWorkPackages[[#This Row],[Time split]]="Train 2024",tblWorkPackages[[#This Row],[Estimated labor hours]],tblWorkPackages[[#This Row],[Calibrated forecast hours]])</f>
        <v>15.48515625</v>
      </c>
      <c r="W2292" s="64">
        <f>DATEVALUE(tblWorkPackages[[#This Row],[Request date]])</f>
        <v>46021.0</v>
      </c>
      <c r="X2292" s="64">
        <f>DATEVALUE(tblWorkPackages[[#This Row],[Due date]])</f>
        <v>46023.0</v>
      </c>
      <c r="Y2292" s="64">
        <f>DATEVALUE(tblWorkPackages[[#This Row],[Completion date]])</f>
        <v>46057.0</v>
      </c>
      <c r="Z2292" s="64">
        <f>_xlfn.MINIFS(tblLaborEntries[Work date serial],tblLaborEntries[Work package ID],tblWorkPackages[[#This Row],[Work package ID]])</f>
        <v>46053.0</v>
      </c>
      <c r="AA2292" s="64">
        <f>_xlfn.MAXIFS(tblLaborEntries[Work date serial],tblLaborEntries[Work package ID],tblWorkPackages[[#This Row],[Work package ID]])</f>
        <v>46055.0</v>
      </c>
      <c r="AB2292" s="65">
        <f>IF(tblWorkPackages[[#This Row],[Completion date serial]]&gt;tblWorkPackages[[#This Row],[Due date serial]],1,0)</f>
        <v>1</v>
      </c>
      <c r="AC2292" s="65">
        <f>MAX(0,tblWorkPackages[[#This Row],[Completion date serial]]-tblWorkPackages[[#This Row],[Due date serial]])</f>
        <v>34</v>
      </c>
      <c r="AD2292" s="65">
        <f>tblWorkPackages[[#This Row],[First labor date]]-tblWorkPackages[[#This Row],[Request date serial]]</f>
        <v>32</v>
      </c>
      <c r="AE2292" s="65">
        <f>tblWorkPackages[[#This Row],[Last labor date]]-tblWorkPackages[[#This Row],[First labor date]]</f>
        <v>2</v>
      </c>
      <c r="AF2292" s="65">
        <f>tblWorkPackages[[#This Row],[Completion date serial]]-tblWorkPackages[[#This Row],[Last labor date]]</f>
        <v>2</v>
      </c>
      <c r="AG2292" s="65">
        <f>tblWorkPackages[[#This Row],[Completion date serial]]-tblWorkPackages[[#This Row],[Request date serial]]</f>
        <v>36</v>
      </c>
      <c r="AH2292" s="65">
        <f>IFERROR(INDEX(tblParts[Delay days],MATCH(tblWorkPackages[[#This Row],[Work package ID]],tblParts[Work package ID],0)),0)</f>
        <v>0</v>
      </c>
      <c r="AI2292" s="51" t="str">
        <f>IFERROR(INDEX(tblDisruptions[Event type],MATCH(tblWorkPackages[[#This Row],[Work package ID]],tblDisruptions[Work package ID],0)),"None")</f>
        <v>None</v>
      </c>
      <c r="AJ2292" s="51" t="str">
        <f>TEXT(tblWorkPackages[[#This Row],[Due date serial]],"yyyy-mm")</f>
        <v>2026-01</v>
      </c>
    </row>
    <row r="2293" spans="1:36" ht="15" x14ac:dyDescent="0.25">
      <c r="A2293" s="53" t="s">
        <v>3210</v>
      </c>
      <c r="B2293" s="53" t="s">
        <v>133</v>
      </c>
      <c r="C2293" s="53" t="s">
        <v>947</v>
      </c>
      <c r="D2293" s="53" t="s">
        <v>722</v>
      </c>
      <c r="E2293" s="53" t="s">
        <v>200</v>
      </c>
      <c r="F2293" s="53" t="s">
        <v>128</v>
      </c>
      <c r="G2293" s="53" t="s">
        <v>129</v>
      </c>
      <c r="H2293" s="53">
        <v>2</v>
      </c>
      <c r="I2293" s="53" t="s">
        <v>176</v>
      </c>
      <c r="J2293" s="53">
        <v>0</v>
      </c>
      <c r="K2293" s="53">
        <v>0</v>
      </c>
      <c r="L2293" s="53">
        <v>2.6</v>
      </c>
      <c r="M2293" s="53" t="s">
        <v>724</v>
      </c>
      <c r="N2293" s="53">
        <v>2.6</v>
      </c>
      <c r="O2293" s="51" t="str">
        <f>TEXT(tblWorkPackages[[#This Row],[Request date serial]]-WEEKDAY(tblWorkPackages[[#This Row],[Request date serial]],3),"yyyy-mm-dd")</f>
        <v>2024-09-30</v>
      </c>
      <c r="P2293" s="51">
        <f>ABS(tblWorkPackages[[#This Row],[Actual labor hours]]-tblWorkPackages[[#This Row],[Estimated labor hours]])</f>
        <v>0</v>
      </c>
      <c r="Q2293" s="51">
        <f>IF(tblWorkPackages[[#This Row],[Actual labor hours]]&gt;tblWorkPackages[[#This Row],[Estimated labor hours]],1,0)</f>
        <v>0</v>
      </c>
      <c r="R2293" s="51">
        <f>tblWorkPackages[[#This Row],[Actual labor hours]]-tblWorkPackages[[#This Row],[Estimated labor hours]]</f>
        <v>0</v>
      </c>
      <c r="S2293" s="51" t="str">
        <f>IF(tblWorkPackages[[#This Row],[Request date serial]]&lt;ValidationStart,"Train 2024",IF(tblWorkPackages[[#This Row],[Request date serial]]&lt;HoldoutStart,"Validation H1","Holdout H2"))</f>
        <v>Train 2024</v>
      </c>
      <c r="T2293" s="51" t="str">
        <f>IF(tblWorkPackages[[#This Row],[Time split]]="Train 2024","",tblWorkPackages[[#This Row],[Estimated labor hours]]+VLOOKUP(tblWorkPackages[[#This Row],[Task type]],'Forecast validation'!$A$14:$E$25,IF(tblWorkPackages[[#This Row],[Time split]]="Validation H1",4,5),FALSE()))</f>
        <v/>
      </c>
      <c r="U2293" s="51" t="str">
        <f>IF(tblWorkPackages[[#This Row],[Calibrated forecast hours]]="","",ABS(tblWorkPackages[[#This Row],[Actual labor hours]]-tblWorkPackages[[#This Row],[Calibrated forecast hours]]))</f>
        <v/>
      </c>
      <c r="V2293" s="51">
        <f>IF(tblWorkPackages[[#This Row],[Time split]]="Train 2024",tblWorkPackages[[#This Row],[Estimated labor hours]],tblWorkPackages[[#This Row],[Calibrated forecast hours]])</f>
        <v>2.6</v>
      </c>
      <c r="W2293" s="64">
        <f>DATEVALUE(tblWorkPackages[[#This Row],[Request date]])</f>
        <v>45570.0</v>
      </c>
      <c r="X2293" s="64">
        <f>DATEVALUE(tblWorkPackages[[#This Row],[Due date]])</f>
        <v>45576.0</v>
      </c>
      <c r="Y2293" s="64">
        <f>DATEVALUE(tblWorkPackages[[#This Row],[Completion date]])</f>
        <v>45581.0</v>
      </c>
      <c r="Z2293" s="64">
        <f>_xlfn.MINIFS(tblLaborEntries[Work date serial],tblLaborEntries[Work package ID],tblWorkPackages[[#This Row],[Work package ID]])</f>
        <v>45576.0</v>
      </c>
      <c r="AA2293" s="64">
        <f>_xlfn.MAXIFS(tblLaborEntries[Work date serial],tblLaborEntries[Work package ID],tblWorkPackages[[#This Row],[Work package ID]])</f>
        <v>45578.0</v>
      </c>
      <c r="AB2293" s="65">
        <f>IF(tblWorkPackages[[#This Row],[Completion date serial]]&gt;tblWorkPackages[[#This Row],[Due date serial]],1,0)</f>
        <v>1</v>
      </c>
      <c r="AC2293" s="65">
        <f>MAX(0,tblWorkPackages[[#This Row],[Completion date serial]]-tblWorkPackages[[#This Row],[Due date serial]])</f>
        <v>5</v>
      </c>
      <c r="AD2293" s="65">
        <f>tblWorkPackages[[#This Row],[First labor date]]-tblWorkPackages[[#This Row],[Request date serial]]</f>
        <v>6</v>
      </c>
      <c r="AE2293" s="65">
        <f>tblWorkPackages[[#This Row],[Last labor date]]-tblWorkPackages[[#This Row],[First labor date]]</f>
        <v>2</v>
      </c>
      <c r="AF2293" s="65">
        <f>tblWorkPackages[[#This Row],[Completion date serial]]-tblWorkPackages[[#This Row],[Last labor date]]</f>
        <v>3</v>
      </c>
      <c r="AG2293" s="65">
        <f>tblWorkPackages[[#This Row],[Completion date serial]]-tblWorkPackages[[#This Row],[Request date serial]]</f>
        <v>11</v>
      </c>
      <c r="AH2293" s="65">
        <f>IFERROR(INDEX(tblParts[Delay days],MATCH(tblWorkPackages[[#This Row],[Work package ID]],tblParts[Work package ID],0)),0)</f>
        <v>0</v>
      </c>
      <c r="AI2293" s="51" t="str">
        <f>IFERROR(INDEX(tblDisruptions[Event type],MATCH(tblWorkPackages[[#This Row],[Work package ID]],tblDisruptions[Work package ID],0)),"None")</f>
        <v>None</v>
      </c>
      <c r="AJ2293" s="51" t="str">
        <f>TEXT(tblWorkPackages[[#This Row],[Due date serial]],"yyyy-mm")</f>
        <v>2024-10</v>
      </c>
    </row>
    <row r="2294" spans="1:36" ht="15" x14ac:dyDescent="0.25">
      <c r="A2294" s="53" t="s">
        <v>3211</v>
      </c>
      <c r="B2294" s="53" t="s">
        <v>173</v>
      </c>
      <c r="C2294" s="53" t="s">
        <v>793</v>
      </c>
      <c r="D2294" s="53" t="s">
        <v>515</v>
      </c>
      <c r="E2294" s="53" t="s">
        <v>242</v>
      </c>
      <c r="F2294" s="53" t="s">
        <v>243</v>
      </c>
      <c r="G2294" s="53" t="s">
        <v>129</v>
      </c>
      <c r="H2294" s="53">
        <v>1</v>
      </c>
      <c r="I2294" s="53" t="s">
        <v>130</v>
      </c>
      <c r="J2294" s="53">
        <v>0</v>
      </c>
      <c r="K2294" s="53">
        <v>1</v>
      </c>
      <c r="L2294" s="53">
        <v>4.8</v>
      </c>
      <c r="M2294" s="53" t="s">
        <v>1038</v>
      </c>
      <c r="N2294" s="53">
        <v>8</v>
      </c>
      <c r="O2294" s="51" t="str">
        <f>TEXT(tblWorkPackages[[#This Row],[Request date serial]]-WEEKDAY(tblWorkPackages[[#This Row],[Request date serial]],3),"yyyy-mm-dd")</f>
        <v>2024-11-11</v>
      </c>
      <c r="P2294" s="51">
        <f>ABS(tblWorkPackages[[#This Row],[Actual labor hours]]-tblWorkPackages[[#This Row],[Estimated labor hours]])</f>
        <v>3.2</v>
      </c>
      <c r="Q2294" s="51">
        <f>IF(tblWorkPackages[[#This Row],[Actual labor hours]]&gt;tblWorkPackages[[#This Row],[Estimated labor hours]],1,0)</f>
        <v>1</v>
      </c>
      <c r="R2294" s="51">
        <f>tblWorkPackages[[#This Row],[Actual labor hours]]-tblWorkPackages[[#This Row],[Estimated labor hours]]</f>
        <v>3.2</v>
      </c>
      <c r="S2294" s="51" t="str">
        <f>IF(tblWorkPackages[[#This Row],[Request date serial]]&lt;ValidationStart,"Train 2024",IF(tblWorkPackages[[#This Row],[Request date serial]]&lt;HoldoutStart,"Validation H1","Holdout H2"))</f>
        <v>Train 2024</v>
      </c>
      <c r="T2294" s="51" t="str">
        <f>IF(tblWorkPackages[[#This Row],[Time split]]="Train 2024","",tblWorkPackages[[#This Row],[Estimated labor hours]]+VLOOKUP(tblWorkPackages[[#This Row],[Task type]],'Forecast validation'!$A$14:$E$25,IF(tblWorkPackages[[#This Row],[Time split]]="Validation H1",4,5),FALSE()))</f>
        <v/>
      </c>
      <c r="U2294" s="51" t="str">
        <f>IF(tblWorkPackages[[#This Row],[Calibrated forecast hours]]="","",ABS(tblWorkPackages[[#This Row],[Actual labor hours]]-tblWorkPackages[[#This Row],[Calibrated forecast hours]]))</f>
        <v/>
      </c>
      <c r="V2294" s="51">
        <f>IF(tblWorkPackages[[#This Row],[Time split]]="Train 2024",tblWorkPackages[[#This Row],[Estimated labor hours]],tblWorkPackages[[#This Row],[Calibrated forecast hours]])</f>
        <v>4.8</v>
      </c>
      <c r="W2294" s="64">
        <f>DATEVALUE(tblWorkPackages[[#This Row],[Request date]])</f>
        <v>45608.0</v>
      </c>
      <c r="X2294" s="64">
        <f>DATEVALUE(tblWorkPackages[[#This Row],[Due date]])</f>
        <v>45621.0</v>
      </c>
      <c r="Y2294" s="64">
        <f>DATEVALUE(tblWorkPackages[[#This Row],[Completion date]])</f>
        <v>45623.0</v>
      </c>
      <c r="Z2294" s="64">
        <f>_xlfn.MINIFS(tblLaborEntries[Work date serial],tblLaborEntries[Work package ID],tblWorkPackages[[#This Row],[Work package ID]])</f>
        <v>45622.0</v>
      </c>
      <c r="AA2294" s="64">
        <f>_xlfn.MAXIFS(tblLaborEntries[Work date serial],tblLaborEntries[Work package ID],tblWorkPackages[[#This Row],[Work package ID]])</f>
        <v>45623.0</v>
      </c>
      <c r="AB2294" s="65">
        <f>IF(tblWorkPackages[[#This Row],[Completion date serial]]&gt;tblWorkPackages[[#This Row],[Due date serial]],1,0)</f>
        <v>1</v>
      </c>
      <c r="AC2294" s="65">
        <f>MAX(0,tblWorkPackages[[#This Row],[Completion date serial]]-tblWorkPackages[[#This Row],[Due date serial]])</f>
        <v>2</v>
      </c>
      <c r="AD2294" s="65">
        <f>tblWorkPackages[[#This Row],[First labor date]]-tblWorkPackages[[#This Row],[Request date serial]]</f>
        <v>14</v>
      </c>
      <c r="AE2294" s="65">
        <f>tblWorkPackages[[#This Row],[Last labor date]]-tblWorkPackages[[#This Row],[First labor date]]</f>
        <v>1</v>
      </c>
      <c r="AF2294" s="65">
        <f>tblWorkPackages[[#This Row],[Completion date serial]]-tblWorkPackages[[#This Row],[Last labor date]]</f>
        <v>0</v>
      </c>
      <c r="AG2294" s="65">
        <f>tblWorkPackages[[#This Row],[Completion date serial]]-tblWorkPackages[[#This Row],[Request date serial]]</f>
        <v>15</v>
      </c>
      <c r="AH2294" s="65">
        <f>IFERROR(INDEX(tblParts[Delay days],MATCH(tblWorkPackages[[#This Row],[Work package ID]],tblParts[Work package ID],0)),0)</f>
        <v>12</v>
      </c>
      <c r="AI2294" s="51" t="str">
        <f>IFERROR(INDEX(tblDisruptions[Event type],MATCH(tblWorkPackages[[#This Row],[Work package ID]],tblDisruptions[Work package ID],0)),"None")</f>
        <v>Part delay</v>
      </c>
      <c r="AJ2294" s="51" t="str">
        <f>TEXT(tblWorkPackages[[#This Row],[Due date serial]],"yyyy-mm")</f>
        <v>2024-11</v>
      </c>
    </row>
    <row r="2295" spans="1:36" ht="15" x14ac:dyDescent="0.25">
      <c r="A2295" s="53" t="s">
        <v>3212</v>
      </c>
      <c r="B2295" s="53" t="s">
        <v>173</v>
      </c>
      <c r="C2295" s="53" t="s">
        <v>1346</v>
      </c>
      <c r="D2295" s="53" t="s">
        <v>434</v>
      </c>
      <c r="E2295" s="53" t="s">
        <v>153</v>
      </c>
      <c r="F2295" s="53" t="s">
        <v>128</v>
      </c>
      <c r="G2295" s="53" t="s">
        <v>154</v>
      </c>
      <c r="H2295" s="53">
        <v>2</v>
      </c>
      <c r="I2295" s="53" t="s">
        <v>130</v>
      </c>
      <c r="J2295" s="53">
        <v>0</v>
      </c>
      <c r="K2295" s="53">
        <v>0</v>
      </c>
      <c r="L2295" s="53">
        <v>8.6</v>
      </c>
      <c r="M2295" s="53" t="s">
        <v>874</v>
      </c>
      <c r="N2295" s="53">
        <v>7.5</v>
      </c>
      <c r="O2295" s="51" t="str">
        <f>TEXT(tblWorkPackages[[#This Row],[Request date serial]]-WEEKDAY(tblWorkPackages[[#This Row],[Request date serial]],3),"yyyy-mm-dd")</f>
        <v>2024-08-26</v>
      </c>
      <c r="P2295" s="51">
        <f>ABS(tblWorkPackages[[#This Row],[Actual labor hours]]-tblWorkPackages[[#This Row],[Estimated labor hours]])</f>
        <v>1.1</v>
      </c>
      <c r="Q2295" s="51">
        <f>IF(tblWorkPackages[[#This Row],[Actual labor hours]]&gt;tblWorkPackages[[#This Row],[Estimated labor hours]],1,0)</f>
        <v>0</v>
      </c>
      <c r="R2295" s="51">
        <f>tblWorkPackages[[#This Row],[Actual labor hours]]-tblWorkPackages[[#This Row],[Estimated labor hours]]</f>
        <v>-1.1</v>
      </c>
      <c r="S2295" s="51" t="str">
        <f>IF(tblWorkPackages[[#This Row],[Request date serial]]&lt;ValidationStart,"Train 2024",IF(tblWorkPackages[[#This Row],[Request date serial]]&lt;HoldoutStart,"Validation H1","Holdout H2"))</f>
        <v>Train 2024</v>
      </c>
      <c r="T2295" s="51" t="str">
        <f>IF(tblWorkPackages[[#This Row],[Time split]]="Train 2024","",tblWorkPackages[[#This Row],[Estimated labor hours]]+VLOOKUP(tblWorkPackages[[#This Row],[Task type]],'Forecast validation'!$A$14:$E$25,IF(tblWorkPackages[[#This Row],[Time split]]="Validation H1",4,5),FALSE()))</f>
        <v/>
      </c>
      <c r="U2295" s="51" t="str">
        <f>IF(tblWorkPackages[[#This Row],[Calibrated forecast hours]]="","",ABS(tblWorkPackages[[#This Row],[Actual labor hours]]-tblWorkPackages[[#This Row],[Calibrated forecast hours]]))</f>
        <v/>
      </c>
      <c r="V2295" s="51">
        <f>IF(tblWorkPackages[[#This Row],[Time split]]="Train 2024",tblWorkPackages[[#This Row],[Estimated labor hours]],tblWorkPackages[[#This Row],[Calibrated forecast hours]])</f>
        <v>8.6</v>
      </c>
      <c r="W2295" s="64">
        <f>DATEVALUE(tblWorkPackages[[#This Row],[Request date]])</f>
        <v>45532.0</v>
      </c>
      <c r="X2295" s="64">
        <f>DATEVALUE(tblWorkPackages[[#This Row],[Due date]])</f>
        <v>45545.0</v>
      </c>
      <c r="Y2295" s="64">
        <f>DATEVALUE(tblWorkPackages[[#This Row],[Completion date]])</f>
        <v>45548.0</v>
      </c>
      <c r="Z2295" s="64">
        <f>_xlfn.MINIFS(tblLaborEntries[Work date serial],tblLaborEntries[Work package ID],tblWorkPackages[[#This Row],[Work package ID]])</f>
        <v>45546.0</v>
      </c>
      <c r="AA2295" s="64">
        <f>_xlfn.MAXIFS(tblLaborEntries[Work date serial],tblLaborEntries[Work package ID],tblWorkPackages[[#This Row],[Work package ID]])</f>
        <v>45547.0</v>
      </c>
      <c r="AB2295" s="65">
        <f>IF(tblWorkPackages[[#This Row],[Completion date serial]]&gt;tblWorkPackages[[#This Row],[Due date serial]],1,0)</f>
        <v>1</v>
      </c>
      <c r="AC2295" s="65">
        <f>MAX(0,tblWorkPackages[[#This Row],[Completion date serial]]-tblWorkPackages[[#This Row],[Due date serial]])</f>
        <v>3</v>
      </c>
      <c r="AD2295" s="65">
        <f>tblWorkPackages[[#This Row],[First labor date]]-tblWorkPackages[[#This Row],[Request date serial]]</f>
        <v>14</v>
      </c>
      <c r="AE2295" s="65">
        <f>tblWorkPackages[[#This Row],[Last labor date]]-tblWorkPackages[[#This Row],[First labor date]]</f>
        <v>1</v>
      </c>
      <c r="AF2295" s="65">
        <f>tblWorkPackages[[#This Row],[Completion date serial]]-tblWorkPackages[[#This Row],[Last labor date]]</f>
        <v>1</v>
      </c>
      <c r="AG2295" s="65">
        <f>tblWorkPackages[[#This Row],[Completion date serial]]-tblWorkPackages[[#This Row],[Request date serial]]</f>
        <v>16</v>
      </c>
      <c r="AH2295" s="65">
        <f>IFERROR(INDEX(tblParts[Delay days],MATCH(tblWorkPackages[[#This Row],[Work package ID]],tblParts[Work package ID],0)),0)</f>
        <v>0</v>
      </c>
      <c r="AI2295" s="51" t="str">
        <f>IFERROR(INDEX(tblDisruptions[Event type],MATCH(tblWorkPackages[[#This Row],[Work package ID]],tblDisruptions[Work package ID],0)),"None")</f>
        <v>None</v>
      </c>
      <c r="AJ2295" s="51" t="str">
        <f>TEXT(tblWorkPackages[[#This Row],[Due date serial]],"yyyy-mm")</f>
        <v>2024-09</v>
      </c>
    </row>
    <row r="2296" spans="1:36" ht="15" x14ac:dyDescent="0.25">
      <c r="A2296" s="53" t="s">
        <v>3213</v>
      </c>
      <c r="B2296" s="53" t="s">
        <v>124</v>
      </c>
      <c r="C2296" s="53" t="s">
        <v>276</v>
      </c>
      <c r="D2296" s="53" t="s">
        <v>171</v>
      </c>
      <c r="E2296" s="53" t="s">
        <v>223</v>
      </c>
      <c r="F2296" s="53" t="s">
        <v>182</v>
      </c>
      <c r="G2296" s="53" t="s">
        <v>154</v>
      </c>
      <c r="H2296" s="53">
        <v>2</v>
      </c>
      <c r="I2296" s="53" t="s">
        <v>176</v>
      </c>
      <c r="J2296" s="53">
        <v>1</v>
      </c>
      <c r="K2296" s="53">
        <v>0</v>
      </c>
      <c r="L2296" s="53">
        <v>11.1</v>
      </c>
      <c r="M2296" s="53" t="s">
        <v>171</v>
      </c>
      <c r="N2296" s="53">
        <v>15.1</v>
      </c>
      <c r="O2296" s="51" t="str">
        <f>TEXT(tblWorkPackages[[#This Row],[Request date serial]]-WEEKDAY(tblWorkPackages[[#This Row],[Request date serial]],3),"yyyy-mm-dd")</f>
        <v>2024-10-14</v>
      </c>
      <c r="P2296" s="51">
        <f>ABS(tblWorkPackages[[#This Row],[Actual labor hours]]-tblWorkPackages[[#This Row],[Estimated labor hours]])</f>
        <v>4</v>
      </c>
      <c r="Q2296" s="51">
        <f>IF(tblWorkPackages[[#This Row],[Actual labor hours]]&gt;tblWorkPackages[[#This Row],[Estimated labor hours]],1,0)</f>
        <v>1</v>
      </c>
      <c r="R2296" s="51">
        <f>tblWorkPackages[[#This Row],[Actual labor hours]]-tblWorkPackages[[#This Row],[Estimated labor hours]]</f>
        <v>4</v>
      </c>
      <c r="S2296" s="51" t="str">
        <f>IF(tblWorkPackages[[#This Row],[Request date serial]]&lt;ValidationStart,"Train 2024",IF(tblWorkPackages[[#This Row],[Request date serial]]&lt;HoldoutStart,"Validation H1","Holdout H2"))</f>
        <v>Train 2024</v>
      </c>
      <c r="T2296" s="51" t="str">
        <f>IF(tblWorkPackages[[#This Row],[Time split]]="Train 2024","",tblWorkPackages[[#This Row],[Estimated labor hours]]+VLOOKUP(tblWorkPackages[[#This Row],[Task type]],'Forecast validation'!$A$14:$E$25,IF(tblWorkPackages[[#This Row],[Time split]]="Validation H1",4,5),FALSE()))</f>
        <v/>
      </c>
      <c r="U2296" s="51" t="str">
        <f>IF(tblWorkPackages[[#This Row],[Calibrated forecast hours]]="","",ABS(tblWorkPackages[[#This Row],[Actual labor hours]]-tblWorkPackages[[#This Row],[Calibrated forecast hours]]))</f>
        <v/>
      </c>
      <c r="V2296" s="51">
        <f>IF(tblWorkPackages[[#This Row],[Time split]]="Train 2024",tblWorkPackages[[#This Row],[Estimated labor hours]],tblWorkPackages[[#This Row],[Calibrated forecast hours]])</f>
        <v>11.1</v>
      </c>
      <c r="W2296" s="64">
        <f>DATEVALUE(tblWorkPackages[[#This Row],[Request date]])</f>
        <v>45584.0</v>
      </c>
      <c r="X2296" s="64">
        <f>DATEVALUE(tblWorkPackages[[#This Row],[Due date]])</f>
        <v>45590.0</v>
      </c>
      <c r="Y2296" s="64">
        <f>DATEVALUE(tblWorkPackages[[#This Row],[Completion date]])</f>
        <v>45590.0</v>
      </c>
      <c r="Z2296" s="64">
        <f>_xlfn.MINIFS(tblLaborEntries[Work date serial],tblLaborEntries[Work package ID],tblWorkPackages[[#This Row],[Work package ID]])</f>
        <v>45588.0</v>
      </c>
      <c r="AA2296" s="64">
        <f>_xlfn.MAXIFS(tblLaborEntries[Work date serial],tblLaborEntries[Work package ID],tblWorkPackages[[#This Row],[Work package ID]])</f>
        <v>45588.0</v>
      </c>
      <c r="AB2296" s="65">
        <f>IF(tblWorkPackages[[#This Row],[Completion date serial]]&gt;tblWorkPackages[[#This Row],[Due date serial]],1,0)</f>
        <v>0</v>
      </c>
      <c r="AC2296" s="65">
        <f>MAX(0,tblWorkPackages[[#This Row],[Completion date serial]]-tblWorkPackages[[#This Row],[Due date serial]])</f>
        <v>0</v>
      </c>
      <c r="AD2296" s="65">
        <f>tblWorkPackages[[#This Row],[First labor date]]-tblWorkPackages[[#This Row],[Request date serial]]</f>
        <v>4</v>
      </c>
      <c r="AE2296" s="65">
        <f>tblWorkPackages[[#This Row],[Last labor date]]-tblWorkPackages[[#This Row],[First labor date]]</f>
        <v>0</v>
      </c>
      <c r="AF2296" s="65">
        <f>tblWorkPackages[[#This Row],[Completion date serial]]-tblWorkPackages[[#This Row],[Last labor date]]</f>
        <v>2</v>
      </c>
      <c r="AG2296" s="65">
        <f>tblWorkPackages[[#This Row],[Completion date serial]]-tblWorkPackages[[#This Row],[Request date serial]]</f>
        <v>6</v>
      </c>
      <c r="AH2296" s="65">
        <f>IFERROR(INDEX(tblParts[Delay days],MATCH(tblWorkPackages[[#This Row],[Work package ID]],tblParts[Work package ID],0)),0)</f>
        <v>0</v>
      </c>
      <c r="AI2296" s="51" t="str">
        <f>IFERROR(INDEX(tblDisruptions[Event type],MATCH(tblWorkPackages[[#This Row],[Work package ID]],tblDisruptions[Work package ID],0)),"None")</f>
        <v>None</v>
      </c>
      <c r="AJ2296" s="51" t="str">
        <f>TEXT(tblWorkPackages[[#This Row],[Due date serial]],"yyyy-mm")</f>
        <v>2024-10</v>
      </c>
    </row>
    <row r="2297" spans="1:36" ht="15" x14ac:dyDescent="0.25">
      <c r="A2297" s="53" t="s">
        <v>3214</v>
      </c>
      <c r="B2297" s="53" t="s">
        <v>124</v>
      </c>
      <c r="C2297" s="53" t="s">
        <v>886</v>
      </c>
      <c r="D2297" s="53" t="s">
        <v>1056</v>
      </c>
      <c r="E2297" s="53" t="s">
        <v>160</v>
      </c>
      <c r="F2297" s="53" t="s">
        <v>128</v>
      </c>
      <c r="G2297" s="53" t="s">
        <v>138</v>
      </c>
      <c r="H2297" s="53">
        <v>4</v>
      </c>
      <c r="I2297" s="53" t="s">
        <v>176</v>
      </c>
      <c r="J2297" s="53">
        <v>0</v>
      </c>
      <c r="K2297" s="53">
        <v>0</v>
      </c>
      <c r="L2297" s="53">
        <v>7.7</v>
      </c>
      <c r="M2297" s="53" t="s">
        <v>529</v>
      </c>
      <c r="N2297" s="53">
        <v>7.8</v>
      </c>
      <c r="O2297" s="51" t="str">
        <f>TEXT(tblWorkPackages[[#This Row],[Request date serial]]-WEEKDAY(tblWorkPackages[[#This Row],[Request date serial]],3),"yyyy-mm-dd")</f>
        <v>2025-09-01</v>
      </c>
      <c r="P2297" s="51">
        <f>ABS(tblWorkPackages[[#This Row],[Actual labor hours]]-tblWorkPackages[[#This Row],[Estimated labor hours]])</f>
        <v>0.0999999999999996</v>
      </c>
      <c r="Q2297" s="51">
        <f>IF(tblWorkPackages[[#This Row],[Actual labor hours]]&gt;tblWorkPackages[[#This Row],[Estimated labor hours]],1,0)</f>
        <v>1</v>
      </c>
      <c r="R2297" s="51">
        <f>tblWorkPackages[[#This Row],[Actual labor hours]]-tblWorkPackages[[#This Row],[Estimated labor hours]]</f>
        <v>0.0999999999999996</v>
      </c>
      <c r="S2297" s="51" t="str">
        <f>IF(tblWorkPackages[[#This Row],[Request date serial]]&lt;ValidationStart,"Train 2024",IF(tblWorkPackages[[#This Row],[Request date serial]]&lt;HoldoutStart,"Validation H1","Holdout H2"))</f>
        <v>Holdout H2</v>
      </c>
      <c r="T2297" s="51">
        <f>IF(tblWorkPackages[[#This Row],[Time split]]="Train 2024","",tblWorkPackages[[#This Row],[Estimated labor hours]]+VLOOKUP(tblWorkPackages[[#This Row],[Task type]],'Forecast validation'!$A$14:$E$25,IF(tblWorkPackages[[#This Row],[Time split]]="Validation H1",4,5),FALSE()))</f>
        <v>8.13739837398374</v>
      </c>
      <c r="U2297" s="51">
        <f>IF(tblWorkPackages[[#This Row],[Calibrated forecast hours]]="","",ABS(tblWorkPackages[[#This Row],[Actual labor hours]]-tblWorkPackages[[#This Row],[Calibrated forecast hours]]))</f>
        <v>0.337398373983739</v>
      </c>
      <c r="V2297" s="51">
        <f>IF(tblWorkPackages[[#This Row],[Time split]]="Train 2024",tblWorkPackages[[#This Row],[Estimated labor hours]],tblWorkPackages[[#This Row],[Calibrated forecast hours]])</f>
        <v>8.13739837398374</v>
      </c>
      <c r="W2297" s="64">
        <f>DATEVALUE(tblWorkPackages[[#This Row],[Request date]])</f>
        <v>45907.0</v>
      </c>
      <c r="X2297" s="64">
        <f>DATEVALUE(tblWorkPackages[[#This Row],[Due date]])</f>
        <v>45913.0</v>
      </c>
      <c r="Y2297" s="64">
        <f>DATEVALUE(tblWorkPackages[[#This Row],[Completion date]])</f>
        <v>45911.0</v>
      </c>
      <c r="Z2297" s="64">
        <f>_xlfn.MINIFS(tblLaborEntries[Work date serial],tblLaborEntries[Work package ID],tblWorkPackages[[#This Row],[Work package ID]])</f>
        <v>45908.0</v>
      </c>
      <c r="AA2297" s="64">
        <f>_xlfn.MAXIFS(tblLaborEntries[Work date serial],tblLaborEntries[Work package ID],tblWorkPackages[[#This Row],[Work package ID]])</f>
        <v>45908.0</v>
      </c>
      <c r="AB2297" s="65">
        <f>IF(tblWorkPackages[[#This Row],[Completion date serial]]&gt;tblWorkPackages[[#This Row],[Due date serial]],1,0)</f>
        <v>0</v>
      </c>
      <c r="AC2297" s="65">
        <f>MAX(0,tblWorkPackages[[#This Row],[Completion date serial]]-tblWorkPackages[[#This Row],[Due date serial]])</f>
        <v>0</v>
      </c>
      <c r="AD2297" s="65">
        <f>tblWorkPackages[[#This Row],[First labor date]]-tblWorkPackages[[#This Row],[Request date serial]]</f>
        <v>1</v>
      </c>
      <c r="AE2297" s="65">
        <f>tblWorkPackages[[#This Row],[Last labor date]]-tblWorkPackages[[#This Row],[First labor date]]</f>
        <v>0</v>
      </c>
      <c r="AF2297" s="65">
        <f>tblWorkPackages[[#This Row],[Completion date serial]]-tblWorkPackages[[#This Row],[Last labor date]]</f>
        <v>3</v>
      </c>
      <c r="AG2297" s="65">
        <f>tblWorkPackages[[#This Row],[Completion date serial]]-tblWorkPackages[[#This Row],[Request date serial]]</f>
        <v>4</v>
      </c>
      <c r="AH2297" s="65">
        <f>IFERROR(INDEX(tblParts[Delay days],MATCH(tblWorkPackages[[#This Row],[Work package ID]],tblParts[Work package ID],0)),0)</f>
        <v>0</v>
      </c>
      <c r="AI2297" s="51" t="str">
        <f>IFERROR(INDEX(tblDisruptions[Event type],MATCH(tblWorkPackages[[#This Row],[Work package ID]],tblDisruptions[Work package ID],0)),"None")</f>
        <v>None</v>
      </c>
      <c r="AJ2297" s="51" t="str">
        <f>TEXT(tblWorkPackages[[#This Row],[Due date serial]],"yyyy-mm")</f>
        <v>2025-09</v>
      </c>
    </row>
    <row r="2298" spans="1:36" ht="15" x14ac:dyDescent="0.25">
      <c r="A2298" s="53" t="s">
        <v>3215</v>
      </c>
      <c r="B2298" s="53" t="s">
        <v>250</v>
      </c>
      <c r="C2298" s="53" t="s">
        <v>1244</v>
      </c>
      <c r="D2298" s="53" t="s">
        <v>1838</v>
      </c>
      <c r="E2298" s="53" t="s">
        <v>127</v>
      </c>
      <c r="F2298" s="53" t="s">
        <v>128</v>
      </c>
      <c r="G2298" s="53" t="s">
        <v>129</v>
      </c>
      <c r="H2298" s="53">
        <v>3</v>
      </c>
      <c r="I2298" s="53" t="s">
        <v>130</v>
      </c>
      <c r="J2298" s="53">
        <v>0</v>
      </c>
      <c r="K2298" s="53">
        <v>1</v>
      </c>
      <c r="L2298" s="53">
        <v>10.8</v>
      </c>
      <c r="M2298" s="53" t="s">
        <v>1087</v>
      </c>
      <c r="N2298" s="53">
        <v>10.9</v>
      </c>
      <c r="O2298" s="51" t="str">
        <f>TEXT(tblWorkPackages[[#This Row],[Request date serial]]-WEEKDAY(tblWorkPackages[[#This Row],[Request date serial]],3),"yyyy-mm-dd")</f>
        <v>2025-04-21</v>
      </c>
      <c r="P2298" s="51">
        <f>ABS(tblWorkPackages[[#This Row],[Actual labor hours]]-tblWorkPackages[[#This Row],[Estimated labor hours]])</f>
        <v>0.0999999999999996</v>
      </c>
      <c r="Q2298" s="51">
        <f>IF(tblWorkPackages[[#This Row],[Actual labor hours]]&gt;tblWorkPackages[[#This Row],[Estimated labor hours]],1,0)</f>
        <v>1</v>
      </c>
      <c r="R2298" s="51">
        <f>tblWorkPackages[[#This Row],[Actual labor hours]]-tblWorkPackages[[#This Row],[Estimated labor hours]]</f>
        <v>0.0999999999999996</v>
      </c>
      <c r="S2298" s="51" t="str">
        <f>IF(tblWorkPackages[[#This Row],[Request date serial]]&lt;ValidationStart,"Train 2024",IF(tblWorkPackages[[#This Row],[Request date serial]]&lt;HoldoutStart,"Validation H1","Holdout H2"))</f>
        <v>Validation H1</v>
      </c>
      <c r="T2298" s="51">
        <f>IF(tblWorkPackages[[#This Row],[Time split]]="Train 2024","",tblWorkPackages[[#This Row],[Estimated labor hours]]+VLOOKUP(tblWorkPackages[[#This Row],[Task type]],'Forecast validation'!$A$14:$E$25,IF(tblWorkPackages[[#This Row],[Time split]]="Validation H1",4,5),FALSE()))</f>
        <v>11.275641025641</v>
      </c>
      <c r="U2298" s="51">
        <f>IF(tblWorkPackages[[#This Row],[Calibrated forecast hours]]="","",ABS(tblWorkPackages[[#This Row],[Actual labor hours]]-tblWorkPackages[[#This Row],[Calibrated forecast hours]]))</f>
        <v>0.375641025641025</v>
      </c>
      <c r="V2298" s="51">
        <f>IF(tblWorkPackages[[#This Row],[Time split]]="Train 2024",tblWorkPackages[[#This Row],[Estimated labor hours]],tblWorkPackages[[#This Row],[Calibrated forecast hours]])</f>
        <v>11.275641025641</v>
      </c>
      <c r="W2298" s="64">
        <f>DATEVALUE(tblWorkPackages[[#This Row],[Request date]])</f>
        <v>45773.0</v>
      </c>
      <c r="X2298" s="64">
        <f>DATEVALUE(tblWorkPackages[[#This Row],[Due date]])</f>
        <v>45786.0</v>
      </c>
      <c r="Y2298" s="64">
        <f>DATEVALUE(tblWorkPackages[[#This Row],[Completion date]])</f>
        <v>45787.0</v>
      </c>
      <c r="Z2298" s="64">
        <f>_xlfn.MINIFS(tblLaborEntries[Work date serial],tblLaborEntries[Work package ID],tblWorkPackages[[#This Row],[Work package ID]])</f>
        <v>45785.0</v>
      </c>
      <c r="AA2298" s="64">
        <f>_xlfn.MAXIFS(tblLaborEntries[Work date serial],tblLaborEntries[Work package ID],tblWorkPackages[[#This Row],[Work package ID]])</f>
        <v>45787.0</v>
      </c>
      <c r="AB2298" s="65">
        <f>IF(tblWorkPackages[[#This Row],[Completion date serial]]&gt;tblWorkPackages[[#This Row],[Due date serial]],1,0)</f>
        <v>1</v>
      </c>
      <c r="AC2298" s="65">
        <f>MAX(0,tblWorkPackages[[#This Row],[Completion date serial]]-tblWorkPackages[[#This Row],[Due date serial]])</f>
        <v>1</v>
      </c>
      <c r="AD2298" s="65">
        <f>tblWorkPackages[[#This Row],[First labor date]]-tblWorkPackages[[#This Row],[Request date serial]]</f>
        <v>12</v>
      </c>
      <c r="AE2298" s="65">
        <f>tblWorkPackages[[#This Row],[Last labor date]]-tblWorkPackages[[#This Row],[First labor date]]</f>
        <v>2</v>
      </c>
      <c r="AF2298" s="65">
        <f>tblWorkPackages[[#This Row],[Completion date serial]]-tblWorkPackages[[#This Row],[Last labor date]]</f>
        <v>0</v>
      </c>
      <c r="AG2298" s="65">
        <f>tblWorkPackages[[#This Row],[Completion date serial]]-tblWorkPackages[[#This Row],[Request date serial]]</f>
        <v>14</v>
      </c>
      <c r="AH2298" s="65">
        <f>IFERROR(INDEX(tblParts[Delay days],MATCH(tblWorkPackages[[#This Row],[Work package ID]],tblParts[Work package ID],0)),0)</f>
        <v>3</v>
      </c>
      <c r="AI2298" s="51" t="str">
        <f>IFERROR(INDEX(tblDisruptions[Event type],MATCH(tblWorkPackages[[#This Row],[Work package ID]],tblDisruptions[Work package ID],0)),"None")</f>
        <v>Part delay</v>
      </c>
      <c r="AJ2298" s="51" t="str">
        <f>TEXT(tblWorkPackages[[#This Row],[Due date serial]],"yyyy-mm")</f>
        <v>2025-05</v>
      </c>
    </row>
    <row r="2299" spans="1:36" ht="15" x14ac:dyDescent="0.25">
      <c r="A2299" s="53" t="s">
        <v>3216</v>
      </c>
      <c r="B2299" s="53" t="s">
        <v>235</v>
      </c>
      <c r="C2299" s="53" t="s">
        <v>651</v>
      </c>
      <c r="D2299" s="53" t="s">
        <v>1161</v>
      </c>
      <c r="E2299" s="53" t="s">
        <v>136</v>
      </c>
      <c r="F2299" s="53" t="s">
        <v>137</v>
      </c>
      <c r="G2299" s="53" t="s">
        <v>138</v>
      </c>
      <c r="H2299" s="53">
        <v>1</v>
      </c>
      <c r="I2299" s="53" t="s">
        <v>130</v>
      </c>
      <c r="J2299" s="53">
        <v>0</v>
      </c>
      <c r="K2299" s="53">
        <v>1</v>
      </c>
      <c r="L2299" s="53">
        <v>8.8000000000000007</v>
      </c>
      <c r="M2299" s="53" t="s">
        <v>768</v>
      </c>
      <c r="N2299" s="53">
        <v>8</v>
      </c>
      <c r="O2299" s="51" t="str">
        <f>TEXT(tblWorkPackages[[#This Row],[Request date serial]]-WEEKDAY(tblWorkPackages[[#This Row],[Request date serial]],3),"yyyy-mm-dd")</f>
        <v>2025-12-01</v>
      </c>
      <c r="P2299" s="51">
        <f>ABS(tblWorkPackages[[#This Row],[Actual labor hours]]-tblWorkPackages[[#This Row],[Estimated labor hours]])</f>
        <v>0.800000000000001</v>
      </c>
      <c r="Q2299" s="51">
        <f>IF(tblWorkPackages[[#This Row],[Actual labor hours]]&gt;tblWorkPackages[[#This Row],[Estimated labor hours]],1,0)</f>
        <v>0</v>
      </c>
      <c r="R2299" s="51">
        <f>tblWorkPackages[[#This Row],[Actual labor hours]]-tblWorkPackages[[#This Row],[Estimated labor hours]]</f>
        <v>-0.800000000000001</v>
      </c>
      <c r="S2299" s="51" t="str">
        <f>IF(tblWorkPackages[[#This Row],[Request date serial]]&lt;ValidationStart,"Train 2024",IF(tblWorkPackages[[#This Row],[Request date serial]]&lt;HoldoutStart,"Validation H1","Holdout H2"))</f>
        <v>Holdout H2</v>
      </c>
      <c r="T2299" s="51">
        <f>IF(tblWorkPackages[[#This Row],[Time split]]="Train 2024","",tblWorkPackages[[#This Row],[Estimated labor hours]]+VLOOKUP(tblWorkPackages[[#This Row],[Task type]],'Forecast validation'!$A$14:$E$25,IF(tblWorkPackages[[#This Row],[Time split]]="Validation H1",4,5),FALSE()))</f>
        <v>9.72075471698113</v>
      </c>
      <c r="U2299" s="51">
        <f>IF(tblWorkPackages[[#This Row],[Calibrated forecast hours]]="","",ABS(tblWorkPackages[[#This Row],[Actual labor hours]]-tblWorkPackages[[#This Row],[Calibrated forecast hours]]))</f>
        <v>1.72075471698113</v>
      </c>
      <c r="V2299" s="51">
        <f>IF(tblWorkPackages[[#This Row],[Time split]]="Train 2024",tblWorkPackages[[#This Row],[Estimated labor hours]],tblWorkPackages[[#This Row],[Calibrated forecast hours]])</f>
        <v>9.72075471698113</v>
      </c>
      <c r="W2299" s="64">
        <f>DATEVALUE(tblWorkPackages[[#This Row],[Request date]])</f>
        <v>45997.0</v>
      </c>
      <c r="X2299" s="64">
        <f>DATEVALUE(tblWorkPackages[[#This Row],[Due date]])</f>
        <v>46010.0</v>
      </c>
      <c r="Y2299" s="64">
        <f>DATEVALUE(tblWorkPackages[[#This Row],[Completion date]])</f>
        <v>46001.0</v>
      </c>
      <c r="Z2299" s="64">
        <f>_xlfn.MINIFS(tblLaborEntries[Work date serial],tblLaborEntries[Work package ID],tblWorkPackages[[#This Row],[Work package ID]])</f>
        <v>45999.0</v>
      </c>
      <c r="AA2299" s="64">
        <f>_xlfn.MAXIFS(tblLaborEntries[Work date serial],tblLaborEntries[Work package ID],tblWorkPackages[[#This Row],[Work package ID]])</f>
        <v>46000.0</v>
      </c>
      <c r="AB2299" s="65">
        <f>IF(tblWorkPackages[[#This Row],[Completion date serial]]&gt;tblWorkPackages[[#This Row],[Due date serial]],1,0)</f>
        <v>0</v>
      </c>
      <c r="AC2299" s="65">
        <f>MAX(0,tblWorkPackages[[#This Row],[Completion date serial]]-tblWorkPackages[[#This Row],[Due date serial]])</f>
        <v>0</v>
      </c>
      <c r="AD2299" s="65">
        <f>tblWorkPackages[[#This Row],[First labor date]]-tblWorkPackages[[#This Row],[Request date serial]]</f>
        <v>2</v>
      </c>
      <c r="AE2299" s="65">
        <f>tblWorkPackages[[#This Row],[Last labor date]]-tblWorkPackages[[#This Row],[First labor date]]</f>
        <v>1</v>
      </c>
      <c r="AF2299" s="65">
        <f>tblWorkPackages[[#This Row],[Completion date serial]]-tblWorkPackages[[#This Row],[Last labor date]]</f>
        <v>1</v>
      </c>
      <c r="AG2299" s="65">
        <f>tblWorkPackages[[#This Row],[Completion date serial]]-tblWorkPackages[[#This Row],[Request date serial]]</f>
        <v>4</v>
      </c>
      <c r="AH2299" s="65">
        <f>IFERROR(INDEX(tblParts[Delay days],MATCH(tblWorkPackages[[#This Row],[Work package ID]],tblParts[Work package ID],0)),0)</f>
        <v>0</v>
      </c>
      <c r="AI2299" s="51" t="str">
        <f>IFERROR(INDEX(tblDisruptions[Event type],MATCH(tblWorkPackages[[#This Row],[Work package ID]],tblDisruptions[Work package ID],0)),"None")</f>
        <v>None</v>
      </c>
      <c r="AJ2299" s="51" t="str">
        <f>TEXT(tblWorkPackages[[#This Row],[Due date serial]],"yyyy-mm")</f>
        <v>2025-12</v>
      </c>
    </row>
    <row r="2300" spans="1:36" ht="15" x14ac:dyDescent="0.25">
      <c r="A2300" s="53" t="s">
        <v>3217</v>
      </c>
      <c r="B2300" s="53" t="s">
        <v>230</v>
      </c>
      <c r="C2300" s="53" t="s">
        <v>289</v>
      </c>
      <c r="D2300" s="53" t="s">
        <v>941</v>
      </c>
      <c r="E2300" s="53" t="s">
        <v>237</v>
      </c>
      <c r="F2300" s="53" t="s">
        <v>182</v>
      </c>
      <c r="G2300" s="53" t="s">
        <v>138</v>
      </c>
      <c r="H2300" s="53">
        <v>2</v>
      </c>
      <c r="I2300" s="53" t="s">
        <v>130</v>
      </c>
      <c r="J2300" s="53">
        <v>0</v>
      </c>
      <c r="K2300" s="53">
        <v>1</v>
      </c>
      <c r="L2300" s="53">
        <v>4.9000000000000004</v>
      </c>
      <c r="M2300" s="53" t="s">
        <v>942</v>
      </c>
      <c r="N2300" s="53">
        <v>5.0999999999999996</v>
      </c>
      <c r="O2300" s="51" t="str">
        <f>TEXT(tblWorkPackages[[#This Row],[Request date serial]]-WEEKDAY(tblWorkPackages[[#This Row],[Request date serial]],3),"yyyy-mm-dd")</f>
        <v>2025-09-15</v>
      </c>
      <c r="P2300" s="51">
        <f>ABS(tblWorkPackages[[#This Row],[Actual labor hours]]-tblWorkPackages[[#This Row],[Estimated labor hours]])</f>
        <v>0.199999999999999</v>
      </c>
      <c r="Q2300" s="51">
        <f>IF(tblWorkPackages[[#This Row],[Actual labor hours]]&gt;tblWorkPackages[[#This Row],[Estimated labor hours]],1,0)</f>
        <v>1</v>
      </c>
      <c r="R2300" s="51">
        <f>tblWorkPackages[[#This Row],[Actual labor hours]]-tblWorkPackages[[#This Row],[Estimated labor hours]]</f>
        <v>0.199999999999999</v>
      </c>
      <c r="S2300" s="51" t="str">
        <f>IF(tblWorkPackages[[#This Row],[Request date serial]]&lt;ValidationStart,"Train 2024",IF(tblWorkPackages[[#This Row],[Request date serial]]&lt;HoldoutStart,"Validation H1","Holdout H2"))</f>
        <v>Holdout H2</v>
      </c>
      <c r="T2300" s="51">
        <f>IF(tblWorkPackages[[#This Row],[Time split]]="Train 2024","",tblWorkPackages[[#This Row],[Estimated labor hours]]+VLOOKUP(tblWorkPackages[[#This Row],[Task type]],'Forecast validation'!$A$14:$E$25,IF(tblWorkPackages[[#This Row],[Time split]]="Validation H1",4,5),FALSE()))</f>
        <v>5.353125</v>
      </c>
      <c r="U2300" s="51">
        <f>IF(tblWorkPackages[[#This Row],[Calibrated forecast hours]]="","",ABS(tblWorkPackages[[#This Row],[Actual labor hours]]-tblWorkPackages[[#This Row],[Calibrated forecast hours]]))</f>
        <v>0.253125000000001</v>
      </c>
      <c r="V2300" s="51">
        <f>IF(tblWorkPackages[[#This Row],[Time split]]="Train 2024",tblWorkPackages[[#This Row],[Estimated labor hours]],tblWorkPackages[[#This Row],[Calibrated forecast hours]])</f>
        <v>5.353125</v>
      </c>
      <c r="W2300" s="64">
        <f>DATEVALUE(tblWorkPackages[[#This Row],[Request date]])</f>
        <v>45920.0</v>
      </c>
      <c r="X2300" s="64">
        <f>DATEVALUE(tblWorkPackages[[#This Row],[Due date]])</f>
        <v>45933.0</v>
      </c>
      <c r="Y2300" s="64">
        <f>DATEVALUE(tblWorkPackages[[#This Row],[Completion date]])</f>
        <v>45946.0</v>
      </c>
      <c r="Z2300" s="64">
        <f>_xlfn.MINIFS(tblLaborEntries[Work date serial],tblLaborEntries[Work package ID],tblWorkPackages[[#This Row],[Work package ID]])</f>
        <v>45944.0</v>
      </c>
      <c r="AA2300" s="64">
        <f>_xlfn.MAXIFS(tblLaborEntries[Work date serial],tblLaborEntries[Work package ID],tblWorkPackages[[#This Row],[Work package ID]])</f>
        <v>45944.0</v>
      </c>
      <c r="AB2300" s="65">
        <f>IF(tblWorkPackages[[#This Row],[Completion date serial]]&gt;tblWorkPackages[[#This Row],[Due date serial]],1,0)</f>
        <v>1</v>
      </c>
      <c r="AC2300" s="65">
        <f>MAX(0,tblWorkPackages[[#This Row],[Completion date serial]]-tblWorkPackages[[#This Row],[Due date serial]])</f>
        <v>13</v>
      </c>
      <c r="AD2300" s="65">
        <f>tblWorkPackages[[#This Row],[First labor date]]-tblWorkPackages[[#This Row],[Request date serial]]</f>
        <v>24</v>
      </c>
      <c r="AE2300" s="65">
        <f>tblWorkPackages[[#This Row],[Last labor date]]-tblWorkPackages[[#This Row],[First labor date]]</f>
        <v>0</v>
      </c>
      <c r="AF2300" s="65">
        <f>tblWorkPackages[[#This Row],[Completion date serial]]-tblWorkPackages[[#This Row],[Last labor date]]</f>
        <v>2</v>
      </c>
      <c r="AG2300" s="65">
        <f>tblWorkPackages[[#This Row],[Completion date serial]]-tblWorkPackages[[#This Row],[Request date serial]]</f>
        <v>26</v>
      </c>
      <c r="AH2300" s="65">
        <f>IFERROR(INDEX(tblParts[Delay days],MATCH(tblWorkPackages[[#This Row],[Work package ID]],tblParts[Work package ID],0)),0)</f>
        <v>0</v>
      </c>
      <c r="AI2300" s="51" t="str">
        <f>IFERROR(INDEX(tblDisruptions[Event type],MATCH(tblWorkPackages[[#This Row],[Work package ID]],tblDisruptions[Work package ID],0)),"None")</f>
        <v>None</v>
      </c>
      <c r="AJ2300" s="51" t="str">
        <f>TEXT(tblWorkPackages[[#This Row],[Due date serial]],"yyyy-mm")</f>
        <v>2025-10</v>
      </c>
    </row>
    <row r="2301" spans="1:36" ht="15" x14ac:dyDescent="0.25">
      <c r="A2301" s="53" t="s">
        <v>3218</v>
      </c>
      <c r="B2301" s="53" t="s">
        <v>157</v>
      </c>
      <c r="C2301" s="53" t="s">
        <v>846</v>
      </c>
      <c r="D2301" s="53" t="s">
        <v>1678</v>
      </c>
      <c r="E2301" s="53" t="s">
        <v>136</v>
      </c>
      <c r="F2301" s="53" t="s">
        <v>137</v>
      </c>
      <c r="G2301" s="53" t="s">
        <v>138</v>
      </c>
      <c r="H2301" s="53">
        <v>1</v>
      </c>
      <c r="I2301" s="53" t="s">
        <v>130</v>
      </c>
      <c r="J2301" s="53">
        <v>0</v>
      </c>
      <c r="K2301" s="53">
        <v>0</v>
      </c>
      <c r="L2301" s="53">
        <v>7.8</v>
      </c>
      <c r="M2301" s="53" t="s">
        <v>1546</v>
      </c>
      <c r="N2301" s="53">
        <v>9.1</v>
      </c>
      <c r="O2301" s="51" t="str">
        <f>TEXT(tblWorkPackages[[#This Row],[Request date serial]]-WEEKDAY(tblWorkPackages[[#This Row],[Request date serial]],3),"yyyy-mm-dd")</f>
        <v>2024-09-02</v>
      </c>
      <c r="P2301" s="51">
        <f>ABS(tblWorkPackages[[#This Row],[Actual labor hours]]-tblWorkPackages[[#This Row],[Estimated labor hours]])</f>
        <v>1.3</v>
      </c>
      <c r="Q2301" s="51">
        <f>IF(tblWorkPackages[[#This Row],[Actual labor hours]]&gt;tblWorkPackages[[#This Row],[Estimated labor hours]],1,0)</f>
        <v>1</v>
      </c>
      <c r="R2301" s="51">
        <f>tblWorkPackages[[#This Row],[Actual labor hours]]-tblWorkPackages[[#This Row],[Estimated labor hours]]</f>
        <v>1.3</v>
      </c>
      <c r="S2301" s="51" t="str">
        <f>IF(tblWorkPackages[[#This Row],[Request date serial]]&lt;ValidationStart,"Train 2024",IF(tblWorkPackages[[#This Row],[Request date serial]]&lt;HoldoutStart,"Validation H1","Holdout H2"))</f>
        <v>Train 2024</v>
      </c>
      <c r="T2301" s="51" t="str">
        <f>IF(tblWorkPackages[[#This Row],[Time split]]="Train 2024","",tblWorkPackages[[#This Row],[Estimated labor hours]]+VLOOKUP(tblWorkPackages[[#This Row],[Task type]],'Forecast validation'!$A$14:$E$25,IF(tblWorkPackages[[#This Row],[Time split]]="Validation H1",4,5),FALSE()))</f>
        <v/>
      </c>
      <c r="U2301" s="51" t="str">
        <f>IF(tblWorkPackages[[#This Row],[Calibrated forecast hours]]="","",ABS(tblWorkPackages[[#This Row],[Actual labor hours]]-tblWorkPackages[[#This Row],[Calibrated forecast hours]]))</f>
        <v/>
      </c>
      <c r="V2301" s="51">
        <f>IF(tblWorkPackages[[#This Row],[Time split]]="Train 2024",tblWorkPackages[[#This Row],[Estimated labor hours]],tblWorkPackages[[#This Row],[Calibrated forecast hours]])</f>
        <v>7.8</v>
      </c>
      <c r="W2301" s="64">
        <f>DATEVALUE(tblWorkPackages[[#This Row],[Request date]])</f>
        <v>45542.0</v>
      </c>
      <c r="X2301" s="64">
        <f>DATEVALUE(tblWorkPackages[[#This Row],[Due date]])</f>
        <v>45555.0</v>
      </c>
      <c r="Y2301" s="64">
        <f>DATEVALUE(tblWorkPackages[[#This Row],[Completion date]])</f>
        <v>45551.0</v>
      </c>
      <c r="Z2301" s="64">
        <f>_xlfn.MINIFS(tblLaborEntries[Work date serial],tblLaborEntries[Work package ID],tblWorkPackages[[#This Row],[Work package ID]])</f>
        <v>45546.0</v>
      </c>
      <c r="AA2301" s="64">
        <f>_xlfn.MAXIFS(tblLaborEntries[Work date serial],tblLaborEntries[Work package ID],tblWorkPackages[[#This Row],[Work package ID]])</f>
        <v>45548.0</v>
      </c>
      <c r="AB2301" s="65">
        <f>IF(tblWorkPackages[[#This Row],[Completion date serial]]&gt;tblWorkPackages[[#This Row],[Due date serial]],1,0)</f>
        <v>0</v>
      </c>
      <c r="AC2301" s="65">
        <f>MAX(0,tblWorkPackages[[#This Row],[Completion date serial]]-tblWorkPackages[[#This Row],[Due date serial]])</f>
        <v>0</v>
      </c>
      <c r="AD2301" s="65">
        <f>tblWorkPackages[[#This Row],[First labor date]]-tblWorkPackages[[#This Row],[Request date serial]]</f>
        <v>4</v>
      </c>
      <c r="AE2301" s="65">
        <f>tblWorkPackages[[#This Row],[Last labor date]]-tblWorkPackages[[#This Row],[First labor date]]</f>
        <v>2</v>
      </c>
      <c r="AF2301" s="65">
        <f>tblWorkPackages[[#This Row],[Completion date serial]]-tblWorkPackages[[#This Row],[Last labor date]]</f>
        <v>3</v>
      </c>
      <c r="AG2301" s="65">
        <f>tblWorkPackages[[#This Row],[Completion date serial]]-tblWorkPackages[[#This Row],[Request date serial]]</f>
        <v>9</v>
      </c>
      <c r="AH2301" s="65">
        <f>IFERROR(INDEX(tblParts[Delay days],MATCH(tblWorkPackages[[#This Row],[Work package ID]],tblParts[Work package ID],0)),0)</f>
        <v>0</v>
      </c>
      <c r="AI2301" s="51" t="str">
        <f>IFERROR(INDEX(tblDisruptions[Event type],MATCH(tblWorkPackages[[#This Row],[Work package ID]],tblDisruptions[Work package ID],0)),"None")</f>
        <v>None</v>
      </c>
      <c r="AJ2301" s="51" t="str">
        <f>TEXT(tblWorkPackages[[#This Row],[Due date serial]],"yyyy-mm")</f>
        <v>2024-09</v>
      </c>
    </row>
    <row r="2302" spans="1:36" ht="15" x14ac:dyDescent="0.25">
      <c r="A2302" s="53" t="s">
        <v>3219</v>
      </c>
      <c r="B2302" s="53" t="s">
        <v>163</v>
      </c>
      <c r="C2302" s="53" t="s">
        <v>301</v>
      </c>
      <c r="D2302" s="53" t="s">
        <v>821</v>
      </c>
      <c r="E2302" s="53" t="s">
        <v>209</v>
      </c>
      <c r="F2302" s="53" t="s">
        <v>145</v>
      </c>
      <c r="G2302" s="53" t="s">
        <v>210</v>
      </c>
      <c r="H2302" s="53">
        <v>2</v>
      </c>
      <c r="I2302" s="53" t="s">
        <v>176</v>
      </c>
      <c r="J2302" s="53">
        <v>0</v>
      </c>
      <c r="K2302" s="53">
        <v>1</v>
      </c>
      <c r="L2302" s="53">
        <v>22.1</v>
      </c>
      <c r="M2302" s="53" t="s">
        <v>971</v>
      </c>
      <c r="N2302" s="53">
        <v>25</v>
      </c>
      <c r="O2302" s="51" t="str">
        <f>TEXT(tblWorkPackages[[#This Row],[Request date serial]]-WEEKDAY(tblWorkPackages[[#This Row],[Request date serial]],3),"yyyy-mm-dd")</f>
        <v>2024-05-06</v>
      </c>
      <c r="P2302" s="51">
        <f>ABS(tblWorkPackages[[#This Row],[Actual labor hours]]-tblWorkPackages[[#This Row],[Estimated labor hours]])</f>
        <v>2.9</v>
      </c>
      <c r="Q2302" s="51">
        <f>IF(tblWorkPackages[[#This Row],[Actual labor hours]]&gt;tblWorkPackages[[#This Row],[Estimated labor hours]],1,0)</f>
        <v>1</v>
      </c>
      <c r="R2302" s="51">
        <f>tblWorkPackages[[#This Row],[Actual labor hours]]-tblWorkPackages[[#This Row],[Estimated labor hours]]</f>
        <v>2.9</v>
      </c>
      <c r="S2302" s="51" t="str">
        <f>IF(tblWorkPackages[[#This Row],[Request date serial]]&lt;ValidationStart,"Train 2024",IF(tblWorkPackages[[#This Row],[Request date serial]]&lt;HoldoutStart,"Validation H1","Holdout H2"))</f>
        <v>Train 2024</v>
      </c>
      <c r="T2302" s="51" t="str">
        <f>IF(tblWorkPackages[[#This Row],[Time split]]="Train 2024","",tblWorkPackages[[#This Row],[Estimated labor hours]]+VLOOKUP(tblWorkPackages[[#This Row],[Task type]],'Forecast validation'!$A$14:$E$25,IF(tblWorkPackages[[#This Row],[Time split]]="Validation H1",4,5),FALSE()))</f>
        <v/>
      </c>
      <c r="U2302" s="51" t="str">
        <f>IF(tblWorkPackages[[#This Row],[Calibrated forecast hours]]="","",ABS(tblWorkPackages[[#This Row],[Actual labor hours]]-tblWorkPackages[[#This Row],[Calibrated forecast hours]]))</f>
        <v/>
      </c>
      <c r="V2302" s="51">
        <f>IF(tblWorkPackages[[#This Row],[Time split]]="Train 2024",tblWorkPackages[[#This Row],[Estimated labor hours]],tblWorkPackages[[#This Row],[Calibrated forecast hours]])</f>
        <v>22.1</v>
      </c>
      <c r="W2302" s="64">
        <f>DATEVALUE(tblWorkPackages[[#This Row],[Request date]])</f>
        <v>45422.0</v>
      </c>
      <c r="X2302" s="64">
        <f>DATEVALUE(tblWorkPackages[[#This Row],[Due date]])</f>
        <v>45428.0</v>
      </c>
      <c r="Y2302" s="64">
        <f>DATEVALUE(tblWorkPackages[[#This Row],[Completion date]])</f>
        <v>45424.0</v>
      </c>
      <c r="Z2302" s="64">
        <f>_xlfn.MINIFS(tblLaborEntries[Work date serial],tblLaborEntries[Work package ID],tblWorkPackages[[#This Row],[Work package ID]])</f>
        <v>45423.0</v>
      </c>
      <c r="AA2302" s="64">
        <f>_xlfn.MAXIFS(tblLaborEntries[Work date serial],tblLaborEntries[Work package ID],tblWorkPackages[[#This Row],[Work package ID]])</f>
        <v>45424.0</v>
      </c>
      <c r="AB2302" s="65">
        <f>IF(tblWorkPackages[[#This Row],[Completion date serial]]&gt;tblWorkPackages[[#This Row],[Due date serial]],1,0)</f>
        <v>0</v>
      </c>
      <c r="AC2302" s="65">
        <f>MAX(0,tblWorkPackages[[#This Row],[Completion date serial]]-tblWorkPackages[[#This Row],[Due date serial]])</f>
        <v>0</v>
      </c>
      <c r="AD2302" s="65">
        <f>tblWorkPackages[[#This Row],[First labor date]]-tblWorkPackages[[#This Row],[Request date serial]]</f>
        <v>1</v>
      </c>
      <c r="AE2302" s="65">
        <f>tblWorkPackages[[#This Row],[Last labor date]]-tblWorkPackages[[#This Row],[First labor date]]</f>
        <v>1</v>
      </c>
      <c r="AF2302" s="65">
        <f>tblWorkPackages[[#This Row],[Completion date serial]]-tblWorkPackages[[#This Row],[Last labor date]]</f>
        <v>0</v>
      </c>
      <c r="AG2302" s="65">
        <f>tblWorkPackages[[#This Row],[Completion date serial]]-tblWorkPackages[[#This Row],[Request date serial]]</f>
        <v>2</v>
      </c>
      <c r="AH2302" s="65">
        <f>IFERROR(INDEX(tblParts[Delay days],MATCH(tblWorkPackages[[#This Row],[Work package ID]],tblParts[Work package ID],0)),0)</f>
        <v>0</v>
      </c>
      <c r="AI2302" s="51" t="str">
        <f>IFERROR(INDEX(tblDisruptions[Event type],MATCH(tblWorkPackages[[#This Row],[Work package ID]],tblDisruptions[Work package ID],0)),"None")</f>
        <v>None</v>
      </c>
      <c r="AJ2302" s="51" t="str">
        <f>TEXT(tblWorkPackages[[#This Row],[Due date serial]],"yyyy-mm")</f>
        <v>2024-05</v>
      </c>
    </row>
    <row r="2303" spans="1:36" ht="15" x14ac:dyDescent="0.25">
      <c r="A2303" s="53" t="s">
        <v>3220</v>
      </c>
      <c r="B2303" s="53" t="s">
        <v>230</v>
      </c>
      <c r="C2303" s="53" t="s">
        <v>431</v>
      </c>
      <c r="D2303" s="53" t="s">
        <v>842</v>
      </c>
      <c r="E2303" s="53" t="s">
        <v>136</v>
      </c>
      <c r="F2303" s="53" t="s">
        <v>137</v>
      </c>
      <c r="G2303" s="53" t="s">
        <v>138</v>
      </c>
      <c r="H2303" s="53">
        <v>2</v>
      </c>
      <c r="I2303" s="53" t="s">
        <v>130</v>
      </c>
      <c r="J2303" s="53">
        <v>0</v>
      </c>
      <c r="K2303" s="53">
        <v>1</v>
      </c>
      <c r="L2303" s="53">
        <v>15</v>
      </c>
      <c r="M2303" s="53" t="s">
        <v>797</v>
      </c>
      <c r="N2303" s="53">
        <v>15.5</v>
      </c>
      <c r="O2303" s="51" t="str">
        <f>TEXT(tblWorkPackages[[#This Row],[Request date serial]]-WEEKDAY(tblWorkPackages[[#This Row],[Request date serial]],3),"yyyy-mm-dd")</f>
        <v>2025-07-14</v>
      </c>
      <c r="P2303" s="51">
        <f>ABS(tblWorkPackages[[#This Row],[Actual labor hours]]-tblWorkPackages[[#This Row],[Estimated labor hours]])</f>
        <v>0.5</v>
      </c>
      <c r="Q2303" s="51">
        <f>IF(tblWorkPackages[[#This Row],[Actual labor hours]]&gt;tblWorkPackages[[#This Row],[Estimated labor hours]],1,0)</f>
        <v>1</v>
      </c>
      <c r="R2303" s="51">
        <f>tblWorkPackages[[#This Row],[Actual labor hours]]-tblWorkPackages[[#This Row],[Estimated labor hours]]</f>
        <v>0.5</v>
      </c>
      <c r="S2303" s="51" t="str">
        <f>IF(tblWorkPackages[[#This Row],[Request date serial]]&lt;ValidationStart,"Train 2024",IF(tblWorkPackages[[#This Row],[Request date serial]]&lt;HoldoutStart,"Validation H1","Holdout H2"))</f>
        <v>Holdout H2</v>
      </c>
      <c r="T2303" s="51">
        <f>IF(tblWorkPackages[[#This Row],[Time split]]="Train 2024","",tblWorkPackages[[#This Row],[Estimated labor hours]]+VLOOKUP(tblWorkPackages[[#This Row],[Task type]],'Forecast validation'!$A$14:$E$25,IF(tblWorkPackages[[#This Row],[Time split]]="Validation H1",4,5),FALSE()))</f>
        <v>15.9207547169811</v>
      </c>
      <c r="U2303" s="51">
        <f>IF(tblWorkPackages[[#This Row],[Calibrated forecast hours]]="","",ABS(tblWorkPackages[[#This Row],[Actual labor hours]]-tblWorkPackages[[#This Row],[Calibrated forecast hours]]))</f>
        <v>0.420754716981131</v>
      </c>
      <c r="V2303" s="51">
        <f>IF(tblWorkPackages[[#This Row],[Time split]]="Train 2024",tblWorkPackages[[#This Row],[Estimated labor hours]],tblWorkPackages[[#This Row],[Calibrated forecast hours]])</f>
        <v>15.9207547169811</v>
      </c>
      <c r="W2303" s="64">
        <f>DATEVALUE(tblWorkPackages[[#This Row],[Request date]])</f>
        <v>45852.0</v>
      </c>
      <c r="X2303" s="64">
        <f>DATEVALUE(tblWorkPackages[[#This Row],[Due date]])</f>
        <v>45865.0</v>
      </c>
      <c r="Y2303" s="64">
        <f>DATEVALUE(tblWorkPackages[[#This Row],[Completion date]])</f>
        <v>45867.0</v>
      </c>
      <c r="Z2303" s="64">
        <f>_xlfn.MINIFS(tblLaborEntries[Work date serial],tblLaborEntries[Work package ID],tblWorkPackages[[#This Row],[Work package ID]])</f>
        <v>45864.0</v>
      </c>
      <c r="AA2303" s="64">
        <f>_xlfn.MAXIFS(tblLaborEntries[Work date serial],tblLaborEntries[Work package ID],tblWorkPackages[[#This Row],[Work package ID]])</f>
        <v>45866.0</v>
      </c>
      <c r="AB2303" s="65">
        <f>IF(tblWorkPackages[[#This Row],[Completion date serial]]&gt;tblWorkPackages[[#This Row],[Due date serial]],1,0)</f>
        <v>1</v>
      </c>
      <c r="AC2303" s="65">
        <f>MAX(0,tblWorkPackages[[#This Row],[Completion date serial]]-tblWorkPackages[[#This Row],[Due date serial]])</f>
        <v>2</v>
      </c>
      <c r="AD2303" s="65">
        <f>tblWorkPackages[[#This Row],[First labor date]]-tblWorkPackages[[#This Row],[Request date serial]]</f>
        <v>12</v>
      </c>
      <c r="AE2303" s="65">
        <f>tblWorkPackages[[#This Row],[Last labor date]]-tblWorkPackages[[#This Row],[First labor date]]</f>
        <v>2</v>
      </c>
      <c r="AF2303" s="65">
        <f>tblWorkPackages[[#This Row],[Completion date serial]]-tblWorkPackages[[#This Row],[Last labor date]]</f>
        <v>1</v>
      </c>
      <c r="AG2303" s="65">
        <f>tblWorkPackages[[#This Row],[Completion date serial]]-tblWorkPackages[[#This Row],[Request date serial]]</f>
        <v>15</v>
      </c>
      <c r="AH2303" s="65">
        <f>IFERROR(INDEX(tblParts[Delay days],MATCH(tblWorkPackages[[#This Row],[Work package ID]],tblParts[Work package ID],0)),0)</f>
        <v>0</v>
      </c>
      <c r="AI2303" s="51" t="str">
        <f>IFERROR(INDEX(tblDisruptions[Event type],MATCH(tblWorkPackages[[#This Row],[Work package ID]],tblDisruptions[Work package ID],0)),"None")</f>
        <v>None</v>
      </c>
      <c r="AJ2303" s="51" t="str">
        <f>TEXT(tblWorkPackages[[#This Row],[Due date serial]],"yyyy-mm")</f>
        <v>2025-07</v>
      </c>
    </row>
    <row r="2304" spans="1:36" ht="15" x14ac:dyDescent="0.25">
      <c r="A2304" s="53" t="s">
        <v>3221</v>
      </c>
      <c r="B2304" s="53" t="s">
        <v>163</v>
      </c>
      <c r="C2304" s="53" t="s">
        <v>170</v>
      </c>
      <c r="D2304" s="53" t="s">
        <v>1741</v>
      </c>
      <c r="E2304" s="53" t="s">
        <v>237</v>
      </c>
      <c r="F2304" s="53" t="s">
        <v>182</v>
      </c>
      <c r="G2304" s="53" t="s">
        <v>138</v>
      </c>
      <c r="H2304" s="53">
        <v>3</v>
      </c>
      <c r="I2304" s="53" t="s">
        <v>130</v>
      </c>
      <c r="J2304" s="53">
        <v>1</v>
      </c>
      <c r="K2304" s="53">
        <v>0</v>
      </c>
      <c r="L2304" s="53">
        <v>6</v>
      </c>
      <c r="M2304" s="53" t="s">
        <v>277</v>
      </c>
      <c r="N2304" s="53">
        <v>9.3000000000000007</v>
      </c>
      <c r="O2304" s="51" t="str">
        <f>TEXT(tblWorkPackages[[#This Row],[Request date serial]]-WEEKDAY(tblWorkPackages[[#This Row],[Request date serial]],3),"yyyy-mm-dd")</f>
        <v>2024-10-21</v>
      </c>
      <c r="P2304" s="51">
        <f>ABS(tblWorkPackages[[#This Row],[Actual labor hours]]-tblWorkPackages[[#This Row],[Estimated labor hours]])</f>
        <v>3.3</v>
      </c>
      <c r="Q2304" s="51">
        <f>IF(tblWorkPackages[[#This Row],[Actual labor hours]]&gt;tblWorkPackages[[#This Row],[Estimated labor hours]],1,0)</f>
        <v>1</v>
      </c>
      <c r="R2304" s="51">
        <f>tblWorkPackages[[#This Row],[Actual labor hours]]-tblWorkPackages[[#This Row],[Estimated labor hours]]</f>
        <v>3.3</v>
      </c>
      <c r="S2304" s="51" t="str">
        <f>IF(tblWorkPackages[[#This Row],[Request date serial]]&lt;ValidationStart,"Train 2024",IF(tblWorkPackages[[#This Row],[Request date serial]]&lt;HoldoutStart,"Validation H1","Holdout H2"))</f>
        <v>Train 2024</v>
      </c>
      <c r="T2304" s="51" t="str">
        <f>IF(tblWorkPackages[[#This Row],[Time split]]="Train 2024","",tblWorkPackages[[#This Row],[Estimated labor hours]]+VLOOKUP(tblWorkPackages[[#This Row],[Task type]],'Forecast validation'!$A$14:$E$25,IF(tblWorkPackages[[#This Row],[Time split]]="Validation H1",4,5),FALSE()))</f>
        <v/>
      </c>
      <c r="U2304" s="51" t="str">
        <f>IF(tblWorkPackages[[#This Row],[Calibrated forecast hours]]="","",ABS(tblWorkPackages[[#This Row],[Actual labor hours]]-tblWorkPackages[[#This Row],[Calibrated forecast hours]]))</f>
        <v/>
      </c>
      <c r="V2304" s="51">
        <f>IF(tblWorkPackages[[#This Row],[Time split]]="Train 2024",tblWorkPackages[[#This Row],[Estimated labor hours]],tblWorkPackages[[#This Row],[Calibrated forecast hours]])</f>
        <v>6</v>
      </c>
      <c r="W2304" s="64">
        <f>DATEVALUE(tblWorkPackages[[#This Row],[Request date]])</f>
        <v>45587.0</v>
      </c>
      <c r="X2304" s="64">
        <f>DATEVALUE(tblWorkPackages[[#This Row],[Due date]])</f>
        <v>45600.0</v>
      </c>
      <c r="Y2304" s="64">
        <f>DATEVALUE(tblWorkPackages[[#This Row],[Completion date]])</f>
        <v>45592.0</v>
      </c>
      <c r="Z2304" s="64">
        <f>_xlfn.MINIFS(tblLaborEntries[Work date serial],tblLaborEntries[Work package ID],tblWorkPackages[[#This Row],[Work package ID]])</f>
        <v>45590.0</v>
      </c>
      <c r="AA2304" s="64">
        <f>_xlfn.MAXIFS(tblLaborEntries[Work date serial],tblLaborEntries[Work package ID],tblWorkPackages[[#This Row],[Work package ID]])</f>
        <v>45590.0</v>
      </c>
      <c r="AB2304" s="65">
        <f>IF(tblWorkPackages[[#This Row],[Completion date serial]]&gt;tblWorkPackages[[#This Row],[Due date serial]],1,0)</f>
        <v>0</v>
      </c>
      <c r="AC2304" s="65">
        <f>MAX(0,tblWorkPackages[[#This Row],[Completion date serial]]-tblWorkPackages[[#This Row],[Due date serial]])</f>
        <v>0</v>
      </c>
      <c r="AD2304" s="65">
        <f>tblWorkPackages[[#This Row],[First labor date]]-tblWorkPackages[[#This Row],[Request date serial]]</f>
        <v>3</v>
      </c>
      <c r="AE2304" s="65">
        <f>tblWorkPackages[[#This Row],[Last labor date]]-tblWorkPackages[[#This Row],[First labor date]]</f>
        <v>0</v>
      </c>
      <c r="AF2304" s="65">
        <f>tblWorkPackages[[#This Row],[Completion date serial]]-tblWorkPackages[[#This Row],[Last labor date]]</f>
        <v>2</v>
      </c>
      <c r="AG2304" s="65">
        <f>tblWorkPackages[[#This Row],[Completion date serial]]-tblWorkPackages[[#This Row],[Request date serial]]</f>
        <v>5</v>
      </c>
      <c r="AH2304" s="65">
        <f>IFERROR(INDEX(tblParts[Delay days],MATCH(tblWorkPackages[[#This Row],[Work package ID]],tblParts[Work package ID],0)),0)</f>
        <v>0</v>
      </c>
      <c r="AI2304" s="51" t="str">
        <f>IFERROR(INDEX(tblDisruptions[Event type],MATCH(tblWorkPackages[[#This Row],[Work package ID]],tblDisruptions[Work package ID],0)),"None")</f>
        <v>None</v>
      </c>
      <c r="AJ2304" s="51" t="str">
        <f>TEXT(tblWorkPackages[[#This Row],[Due date serial]],"yyyy-mm")</f>
        <v>2024-11</v>
      </c>
    </row>
    <row r="2305" spans="1:36" ht="15" x14ac:dyDescent="0.25">
      <c r="A2305" s="53" t="s">
        <v>3222</v>
      </c>
      <c r="B2305" s="53" t="s">
        <v>185</v>
      </c>
      <c r="C2305" s="53" t="s">
        <v>354</v>
      </c>
      <c r="D2305" s="53" t="s">
        <v>858</v>
      </c>
      <c r="E2305" s="53" t="s">
        <v>136</v>
      </c>
      <c r="F2305" s="53" t="s">
        <v>137</v>
      </c>
      <c r="G2305" s="53" t="s">
        <v>138</v>
      </c>
      <c r="H2305" s="53">
        <v>1</v>
      </c>
      <c r="I2305" s="53" t="s">
        <v>130</v>
      </c>
      <c r="J2305" s="53">
        <v>0</v>
      </c>
      <c r="K2305" s="53">
        <v>0</v>
      </c>
      <c r="L2305" s="53">
        <v>10.5</v>
      </c>
      <c r="M2305" s="53" t="s">
        <v>592</v>
      </c>
      <c r="N2305" s="53">
        <v>11.5</v>
      </c>
      <c r="O2305" s="51" t="str">
        <f>TEXT(tblWorkPackages[[#This Row],[Request date serial]]-WEEKDAY(tblWorkPackages[[#This Row],[Request date serial]],3),"yyyy-mm-dd")</f>
        <v>2025-02-24</v>
      </c>
      <c r="P2305" s="51">
        <f>ABS(tblWorkPackages[[#This Row],[Actual labor hours]]-tblWorkPackages[[#This Row],[Estimated labor hours]])</f>
        <v>1</v>
      </c>
      <c r="Q2305" s="51">
        <f>IF(tblWorkPackages[[#This Row],[Actual labor hours]]&gt;tblWorkPackages[[#This Row],[Estimated labor hours]],1,0)</f>
        <v>1</v>
      </c>
      <c r="R2305" s="51">
        <f>tblWorkPackages[[#This Row],[Actual labor hours]]-tblWorkPackages[[#This Row],[Estimated labor hours]]</f>
        <v>1</v>
      </c>
      <c r="S2305" s="51" t="str">
        <f>IF(tblWorkPackages[[#This Row],[Request date serial]]&lt;ValidationStart,"Train 2024",IF(tblWorkPackages[[#This Row],[Request date serial]]&lt;HoldoutStart,"Validation H1","Holdout H2"))</f>
        <v>Validation H1</v>
      </c>
      <c r="T2305" s="51">
        <f>IF(tblWorkPackages[[#This Row],[Time split]]="Train 2024","",tblWorkPackages[[#This Row],[Estimated labor hours]]+VLOOKUP(tblWorkPackages[[#This Row],[Task type]],'Forecast validation'!$A$14:$E$25,IF(tblWorkPackages[[#This Row],[Time split]]="Validation H1",4,5),FALSE()))</f>
        <v>11.3765306122449</v>
      </c>
      <c r="U2305" s="51">
        <f>IF(tblWorkPackages[[#This Row],[Calibrated forecast hours]]="","",ABS(tblWorkPackages[[#This Row],[Actual labor hours]]-tblWorkPackages[[#This Row],[Calibrated forecast hours]]))</f>
        <v>0.123469387755103</v>
      </c>
      <c r="V2305" s="51">
        <f>IF(tblWorkPackages[[#This Row],[Time split]]="Train 2024",tblWorkPackages[[#This Row],[Estimated labor hours]],tblWorkPackages[[#This Row],[Calibrated forecast hours]])</f>
        <v>11.3765306122449</v>
      </c>
      <c r="W2305" s="64">
        <f>DATEVALUE(tblWorkPackages[[#This Row],[Request date]])</f>
        <v>45716.0</v>
      </c>
      <c r="X2305" s="64">
        <f>DATEVALUE(tblWorkPackages[[#This Row],[Due date]])</f>
        <v>45729.0</v>
      </c>
      <c r="Y2305" s="64">
        <f>DATEVALUE(tblWorkPackages[[#This Row],[Completion date]])</f>
        <v>45757.0</v>
      </c>
      <c r="Z2305" s="64">
        <f>_xlfn.MINIFS(tblLaborEntries[Work date serial],tblLaborEntries[Work package ID],tblWorkPackages[[#This Row],[Work package ID]])</f>
        <v>45753.0</v>
      </c>
      <c r="AA2305" s="64">
        <f>_xlfn.MAXIFS(tblLaborEntries[Work date serial],tblLaborEntries[Work package ID],tblWorkPackages[[#This Row],[Work package ID]])</f>
        <v>45754.0</v>
      </c>
      <c r="AB2305" s="65">
        <f>IF(tblWorkPackages[[#This Row],[Completion date serial]]&gt;tblWorkPackages[[#This Row],[Due date serial]],1,0)</f>
        <v>1</v>
      </c>
      <c r="AC2305" s="65">
        <f>MAX(0,tblWorkPackages[[#This Row],[Completion date serial]]-tblWorkPackages[[#This Row],[Due date serial]])</f>
        <v>28</v>
      </c>
      <c r="AD2305" s="65">
        <f>tblWorkPackages[[#This Row],[First labor date]]-tblWorkPackages[[#This Row],[Request date serial]]</f>
        <v>37</v>
      </c>
      <c r="AE2305" s="65">
        <f>tblWorkPackages[[#This Row],[Last labor date]]-tblWorkPackages[[#This Row],[First labor date]]</f>
        <v>1</v>
      </c>
      <c r="AF2305" s="65">
        <f>tblWorkPackages[[#This Row],[Completion date serial]]-tblWorkPackages[[#This Row],[Last labor date]]</f>
        <v>3</v>
      </c>
      <c r="AG2305" s="65">
        <f>tblWorkPackages[[#This Row],[Completion date serial]]-tblWorkPackages[[#This Row],[Request date serial]]</f>
        <v>41</v>
      </c>
      <c r="AH2305" s="65">
        <f>IFERROR(INDEX(tblParts[Delay days],MATCH(tblWorkPackages[[#This Row],[Work package ID]],tblParts[Work package ID],0)),0)</f>
        <v>0</v>
      </c>
      <c r="AI2305" s="51" t="str">
        <f>IFERROR(INDEX(tblDisruptions[Event type],MATCH(tblWorkPackages[[#This Row],[Work package ID]],tblDisruptions[Work package ID],0)),"None")</f>
        <v>None</v>
      </c>
      <c r="AJ2305" s="51" t="str">
        <f>TEXT(tblWorkPackages[[#This Row],[Due date serial]],"yyyy-mm")</f>
        <v>2025-03</v>
      </c>
    </row>
    <row r="2306" spans="1:36" ht="15" x14ac:dyDescent="0.25">
      <c r="A2306" s="53" t="s">
        <v>3223</v>
      </c>
      <c r="B2306" s="53" t="s">
        <v>163</v>
      </c>
      <c r="C2306" s="53" t="s">
        <v>513</v>
      </c>
      <c r="D2306" s="53" t="s">
        <v>484</v>
      </c>
      <c r="E2306" s="53" t="s">
        <v>181</v>
      </c>
      <c r="F2306" s="53" t="s">
        <v>182</v>
      </c>
      <c r="G2306" s="53" t="s">
        <v>138</v>
      </c>
      <c r="H2306" s="53">
        <v>4</v>
      </c>
      <c r="I2306" s="53" t="s">
        <v>130</v>
      </c>
      <c r="J2306" s="53">
        <v>0</v>
      </c>
      <c r="K2306" s="53">
        <v>1</v>
      </c>
      <c r="L2306" s="53">
        <v>12.6</v>
      </c>
      <c r="M2306" s="53" t="s">
        <v>396</v>
      </c>
      <c r="N2306" s="53">
        <v>11.3</v>
      </c>
      <c r="O2306" s="51" t="str">
        <f>TEXT(tblWorkPackages[[#This Row],[Request date serial]]-WEEKDAY(tblWorkPackages[[#This Row],[Request date serial]],3),"yyyy-mm-dd")</f>
        <v>2024-12-23</v>
      </c>
      <c r="P2306" s="51">
        <f>ABS(tblWorkPackages[[#This Row],[Actual labor hours]]-tblWorkPackages[[#This Row],[Estimated labor hours]])</f>
        <v>1.3</v>
      </c>
      <c r="Q2306" s="51">
        <f>IF(tblWorkPackages[[#This Row],[Actual labor hours]]&gt;tblWorkPackages[[#This Row],[Estimated labor hours]],1,0)</f>
        <v>0</v>
      </c>
      <c r="R2306" s="51">
        <f>tblWorkPackages[[#This Row],[Actual labor hours]]-tblWorkPackages[[#This Row],[Estimated labor hours]]</f>
        <v>-1.3</v>
      </c>
      <c r="S2306" s="51" t="str">
        <f>IF(tblWorkPackages[[#This Row],[Request date serial]]&lt;ValidationStart,"Train 2024",IF(tblWorkPackages[[#This Row],[Request date serial]]&lt;HoldoutStart,"Validation H1","Holdout H2"))</f>
        <v>Train 2024</v>
      </c>
      <c r="T2306" s="51" t="str">
        <f>IF(tblWorkPackages[[#This Row],[Time split]]="Train 2024","",tblWorkPackages[[#This Row],[Estimated labor hours]]+VLOOKUP(tblWorkPackages[[#This Row],[Task type]],'Forecast validation'!$A$14:$E$25,IF(tblWorkPackages[[#This Row],[Time split]]="Validation H1",4,5),FALSE()))</f>
        <v/>
      </c>
      <c r="U2306" s="51" t="str">
        <f>IF(tblWorkPackages[[#This Row],[Calibrated forecast hours]]="","",ABS(tblWorkPackages[[#This Row],[Actual labor hours]]-tblWorkPackages[[#This Row],[Calibrated forecast hours]]))</f>
        <v/>
      </c>
      <c r="V2306" s="51">
        <f>IF(tblWorkPackages[[#This Row],[Time split]]="Train 2024",tblWorkPackages[[#This Row],[Estimated labor hours]],tblWorkPackages[[#This Row],[Calibrated forecast hours]])</f>
        <v>12.6</v>
      </c>
      <c r="W2306" s="64">
        <f>DATEVALUE(tblWorkPackages[[#This Row],[Request date]])</f>
        <v>45649.0</v>
      </c>
      <c r="X2306" s="64">
        <f>DATEVALUE(tblWorkPackages[[#This Row],[Due date]])</f>
        <v>45662.0</v>
      </c>
      <c r="Y2306" s="64">
        <f>DATEVALUE(tblWorkPackages[[#This Row],[Completion date]])</f>
        <v>45657.0</v>
      </c>
      <c r="Z2306" s="64">
        <f>_xlfn.MINIFS(tblLaborEntries[Work date serial],tblLaborEntries[Work package ID],tblWorkPackages[[#This Row],[Work package ID]])</f>
        <v>45656.0</v>
      </c>
      <c r="AA2306" s="64">
        <f>_xlfn.MAXIFS(tblLaborEntries[Work date serial],tblLaborEntries[Work package ID],tblWorkPackages[[#This Row],[Work package ID]])</f>
        <v>45657.0</v>
      </c>
      <c r="AB2306" s="65">
        <f>IF(tblWorkPackages[[#This Row],[Completion date serial]]&gt;tblWorkPackages[[#This Row],[Due date serial]],1,0)</f>
        <v>0</v>
      </c>
      <c r="AC2306" s="65">
        <f>MAX(0,tblWorkPackages[[#This Row],[Completion date serial]]-tblWorkPackages[[#This Row],[Due date serial]])</f>
        <v>0</v>
      </c>
      <c r="AD2306" s="65">
        <f>tblWorkPackages[[#This Row],[First labor date]]-tblWorkPackages[[#This Row],[Request date serial]]</f>
        <v>7</v>
      </c>
      <c r="AE2306" s="65">
        <f>tblWorkPackages[[#This Row],[Last labor date]]-tblWorkPackages[[#This Row],[First labor date]]</f>
        <v>1</v>
      </c>
      <c r="AF2306" s="65">
        <f>tblWorkPackages[[#This Row],[Completion date serial]]-tblWorkPackages[[#This Row],[Last labor date]]</f>
        <v>0</v>
      </c>
      <c r="AG2306" s="65">
        <f>tblWorkPackages[[#This Row],[Completion date serial]]-tblWorkPackages[[#This Row],[Request date serial]]</f>
        <v>8</v>
      </c>
      <c r="AH2306" s="65">
        <f>IFERROR(INDEX(tblParts[Delay days],MATCH(tblWorkPackages[[#This Row],[Work package ID]],tblParts[Work package ID],0)),0)</f>
        <v>0</v>
      </c>
      <c r="AI2306" s="51" t="str">
        <f>IFERROR(INDEX(tblDisruptions[Event type],MATCH(tblWorkPackages[[#This Row],[Work package ID]],tblDisruptions[Work package ID],0)),"None")</f>
        <v>None</v>
      </c>
      <c r="AJ2306" s="51" t="str">
        <f>TEXT(tblWorkPackages[[#This Row],[Due date serial]],"yyyy-mm")</f>
        <v>2025-01</v>
      </c>
    </row>
    <row r="2307" spans="1:36" ht="15" x14ac:dyDescent="0.25">
      <c r="A2307" s="53" t="s">
        <v>3224</v>
      </c>
      <c r="B2307" s="53" t="s">
        <v>185</v>
      </c>
      <c r="C2307" s="53" t="s">
        <v>584</v>
      </c>
      <c r="D2307" s="53" t="s">
        <v>311</v>
      </c>
      <c r="E2307" s="53" t="s">
        <v>136</v>
      </c>
      <c r="F2307" s="53" t="s">
        <v>137</v>
      </c>
      <c r="G2307" s="53" t="s">
        <v>138</v>
      </c>
      <c r="H2307" s="53">
        <v>3</v>
      </c>
      <c r="I2307" s="53" t="s">
        <v>147</v>
      </c>
      <c r="J2307" s="53">
        <v>0</v>
      </c>
      <c r="K2307" s="53">
        <v>0</v>
      </c>
      <c r="L2307" s="53">
        <v>19.3</v>
      </c>
      <c r="M2307" s="53" t="s">
        <v>190</v>
      </c>
      <c r="N2307" s="53">
        <v>15.2</v>
      </c>
      <c r="O2307" s="51" t="str">
        <f>TEXT(tblWorkPackages[[#This Row],[Request date serial]]-WEEKDAY(tblWorkPackages[[#This Row],[Request date serial]],3),"yyyy-mm-dd")</f>
        <v>2025-08-04</v>
      </c>
      <c r="P2307" s="51">
        <f>ABS(tblWorkPackages[[#This Row],[Actual labor hours]]-tblWorkPackages[[#This Row],[Estimated labor hours]])</f>
        <v>4.1</v>
      </c>
      <c r="Q2307" s="51">
        <f>IF(tblWorkPackages[[#This Row],[Actual labor hours]]&gt;tblWorkPackages[[#This Row],[Estimated labor hours]],1,0)</f>
        <v>0</v>
      </c>
      <c r="R2307" s="51">
        <f>tblWorkPackages[[#This Row],[Actual labor hours]]-tblWorkPackages[[#This Row],[Estimated labor hours]]</f>
        <v>-4.1</v>
      </c>
      <c r="S2307" s="51" t="str">
        <f>IF(tblWorkPackages[[#This Row],[Request date serial]]&lt;ValidationStart,"Train 2024",IF(tblWorkPackages[[#This Row],[Request date serial]]&lt;HoldoutStart,"Validation H1","Holdout H2"))</f>
        <v>Holdout H2</v>
      </c>
      <c r="T2307" s="51">
        <f>IF(tblWorkPackages[[#This Row],[Time split]]="Train 2024","",tblWorkPackages[[#This Row],[Estimated labor hours]]+VLOOKUP(tblWorkPackages[[#This Row],[Task type]],'Forecast validation'!$A$14:$E$25,IF(tblWorkPackages[[#This Row],[Time split]]="Validation H1",4,5),FALSE()))</f>
        <v>20.2207547169811</v>
      </c>
      <c r="U2307" s="51">
        <f>IF(tblWorkPackages[[#This Row],[Calibrated forecast hours]]="","",ABS(tblWorkPackages[[#This Row],[Actual labor hours]]-tblWorkPackages[[#This Row],[Calibrated forecast hours]]))</f>
        <v>5.02075471698113</v>
      </c>
      <c r="V2307" s="51">
        <f>IF(tblWorkPackages[[#This Row],[Time split]]="Train 2024",tblWorkPackages[[#This Row],[Estimated labor hours]],tblWorkPackages[[#This Row],[Calibrated forecast hours]])</f>
        <v>20.2207547169811</v>
      </c>
      <c r="W2307" s="64">
        <f>DATEVALUE(tblWorkPackages[[#This Row],[Request date]])</f>
        <v>45879.0</v>
      </c>
      <c r="X2307" s="64">
        <f>DATEVALUE(tblWorkPackages[[#This Row],[Due date]])</f>
        <v>45881.0</v>
      </c>
      <c r="Y2307" s="64">
        <f>DATEVALUE(tblWorkPackages[[#This Row],[Completion date]])</f>
        <v>45883.0</v>
      </c>
      <c r="Z2307" s="64">
        <f>_xlfn.MINIFS(tblLaborEntries[Work date serial],tblLaborEntries[Work package ID],tblWorkPackages[[#This Row],[Work package ID]])</f>
        <v>45881.0</v>
      </c>
      <c r="AA2307" s="64">
        <f>_xlfn.MAXIFS(tblLaborEntries[Work date serial],tblLaborEntries[Work package ID],tblWorkPackages[[#This Row],[Work package ID]])</f>
        <v>45882.0</v>
      </c>
      <c r="AB2307" s="65">
        <f>IF(tblWorkPackages[[#This Row],[Completion date serial]]&gt;tblWorkPackages[[#This Row],[Due date serial]],1,0)</f>
        <v>1</v>
      </c>
      <c r="AC2307" s="65">
        <f>MAX(0,tblWorkPackages[[#This Row],[Completion date serial]]-tblWorkPackages[[#This Row],[Due date serial]])</f>
        <v>2</v>
      </c>
      <c r="AD2307" s="65">
        <f>tblWorkPackages[[#This Row],[First labor date]]-tblWorkPackages[[#This Row],[Request date serial]]</f>
        <v>2</v>
      </c>
      <c r="AE2307" s="65">
        <f>tblWorkPackages[[#This Row],[Last labor date]]-tblWorkPackages[[#This Row],[First labor date]]</f>
        <v>1</v>
      </c>
      <c r="AF2307" s="65">
        <f>tblWorkPackages[[#This Row],[Completion date serial]]-tblWorkPackages[[#This Row],[Last labor date]]</f>
        <v>1</v>
      </c>
      <c r="AG2307" s="65">
        <f>tblWorkPackages[[#This Row],[Completion date serial]]-tblWorkPackages[[#This Row],[Request date serial]]</f>
        <v>4</v>
      </c>
      <c r="AH2307" s="65">
        <f>IFERROR(INDEX(tblParts[Delay days],MATCH(tblWorkPackages[[#This Row],[Work package ID]],tblParts[Work package ID],0)),0)</f>
        <v>0</v>
      </c>
      <c r="AI2307" s="51" t="str">
        <f>IFERROR(INDEX(tblDisruptions[Event type],MATCH(tblWorkPackages[[#This Row],[Work package ID]],tblDisruptions[Work package ID],0)),"None")</f>
        <v>None</v>
      </c>
      <c r="AJ2307" s="51" t="str">
        <f>TEXT(tblWorkPackages[[#This Row],[Due date serial]],"yyyy-mm")</f>
        <v>2025-08</v>
      </c>
    </row>
    <row r="2308" spans="1:36" ht="15" x14ac:dyDescent="0.25">
      <c r="A2308" s="53" t="s">
        <v>3225</v>
      </c>
      <c r="B2308" s="53" t="s">
        <v>150</v>
      </c>
      <c r="C2308" s="53" t="s">
        <v>398</v>
      </c>
      <c r="D2308" s="53" t="s">
        <v>1728</v>
      </c>
      <c r="E2308" s="53" t="s">
        <v>200</v>
      </c>
      <c r="F2308" s="53" t="s">
        <v>128</v>
      </c>
      <c r="G2308" s="53" t="s">
        <v>129</v>
      </c>
      <c r="H2308" s="53">
        <v>1</v>
      </c>
      <c r="I2308" s="53" t="s">
        <v>130</v>
      </c>
      <c r="J2308" s="53">
        <v>0</v>
      </c>
      <c r="K2308" s="53">
        <v>0</v>
      </c>
      <c r="L2308" s="53">
        <v>2.2999999999999998</v>
      </c>
      <c r="M2308" s="53" t="s">
        <v>2744</v>
      </c>
      <c r="N2308" s="53">
        <v>3</v>
      </c>
      <c r="O2308" s="51" t="str">
        <f>TEXT(tblWorkPackages[[#This Row],[Request date serial]]-WEEKDAY(tblWorkPackages[[#This Row],[Request date serial]],3),"yyyy-mm-dd")</f>
        <v>2024-05-13</v>
      </c>
      <c r="P2308" s="51">
        <f>ABS(tblWorkPackages[[#This Row],[Actual labor hours]]-tblWorkPackages[[#This Row],[Estimated labor hours]])</f>
        <v>0.7</v>
      </c>
      <c r="Q2308" s="51">
        <f>IF(tblWorkPackages[[#This Row],[Actual labor hours]]&gt;tblWorkPackages[[#This Row],[Estimated labor hours]],1,0)</f>
        <v>1</v>
      </c>
      <c r="R2308" s="51">
        <f>tblWorkPackages[[#This Row],[Actual labor hours]]-tblWorkPackages[[#This Row],[Estimated labor hours]]</f>
        <v>0.7</v>
      </c>
      <c r="S2308" s="51" t="str">
        <f>IF(tblWorkPackages[[#This Row],[Request date serial]]&lt;ValidationStart,"Train 2024",IF(tblWorkPackages[[#This Row],[Request date serial]]&lt;HoldoutStart,"Validation H1","Holdout H2"))</f>
        <v>Train 2024</v>
      </c>
      <c r="T2308" s="51" t="str">
        <f>IF(tblWorkPackages[[#This Row],[Time split]]="Train 2024","",tblWorkPackages[[#This Row],[Estimated labor hours]]+VLOOKUP(tblWorkPackages[[#This Row],[Task type]],'Forecast validation'!$A$14:$E$25,IF(tblWorkPackages[[#This Row],[Time split]]="Validation H1",4,5),FALSE()))</f>
        <v/>
      </c>
      <c r="U2308" s="51" t="str">
        <f>IF(tblWorkPackages[[#This Row],[Calibrated forecast hours]]="","",ABS(tblWorkPackages[[#This Row],[Actual labor hours]]-tblWorkPackages[[#This Row],[Calibrated forecast hours]]))</f>
        <v/>
      </c>
      <c r="V2308" s="51">
        <f>IF(tblWorkPackages[[#This Row],[Time split]]="Train 2024",tblWorkPackages[[#This Row],[Estimated labor hours]],tblWorkPackages[[#This Row],[Calibrated forecast hours]])</f>
        <v>2.3</v>
      </c>
      <c r="W2308" s="64">
        <f>DATEVALUE(tblWorkPackages[[#This Row],[Request date]])</f>
        <v>45430.0</v>
      </c>
      <c r="X2308" s="64">
        <f>DATEVALUE(tblWorkPackages[[#This Row],[Due date]])</f>
        <v>45443.0</v>
      </c>
      <c r="Y2308" s="64">
        <f>DATEVALUE(tblWorkPackages[[#This Row],[Completion date]])</f>
        <v>45450.0</v>
      </c>
      <c r="Z2308" s="64">
        <f>_xlfn.MINIFS(tblLaborEntries[Work date serial],tblLaborEntries[Work package ID],tblWorkPackages[[#This Row],[Work package ID]])</f>
        <v>45446.0</v>
      </c>
      <c r="AA2308" s="64">
        <f>_xlfn.MAXIFS(tblLaborEntries[Work date serial],tblLaborEntries[Work package ID],tblWorkPackages[[#This Row],[Work package ID]])</f>
        <v>45448.0</v>
      </c>
      <c r="AB2308" s="65">
        <f>IF(tblWorkPackages[[#This Row],[Completion date serial]]&gt;tblWorkPackages[[#This Row],[Due date serial]],1,0)</f>
        <v>1</v>
      </c>
      <c r="AC2308" s="65">
        <f>MAX(0,tblWorkPackages[[#This Row],[Completion date serial]]-tblWorkPackages[[#This Row],[Due date serial]])</f>
        <v>7</v>
      </c>
      <c r="AD2308" s="65">
        <f>tblWorkPackages[[#This Row],[First labor date]]-tblWorkPackages[[#This Row],[Request date serial]]</f>
        <v>16</v>
      </c>
      <c r="AE2308" s="65">
        <f>tblWorkPackages[[#This Row],[Last labor date]]-tblWorkPackages[[#This Row],[First labor date]]</f>
        <v>2</v>
      </c>
      <c r="AF2308" s="65">
        <f>tblWorkPackages[[#This Row],[Completion date serial]]-tblWorkPackages[[#This Row],[Last labor date]]</f>
        <v>2</v>
      </c>
      <c r="AG2308" s="65">
        <f>tblWorkPackages[[#This Row],[Completion date serial]]-tblWorkPackages[[#This Row],[Request date serial]]</f>
        <v>20</v>
      </c>
      <c r="AH2308" s="65">
        <f>IFERROR(INDEX(tblParts[Delay days],MATCH(tblWorkPackages[[#This Row],[Work package ID]],tblParts[Work package ID],0)),0)</f>
        <v>0</v>
      </c>
      <c r="AI2308" s="51" t="str">
        <f>IFERROR(INDEX(tblDisruptions[Event type],MATCH(tblWorkPackages[[#This Row],[Work package ID]],tblDisruptions[Work package ID],0)),"None")</f>
        <v>None</v>
      </c>
      <c r="AJ2308" s="51" t="str">
        <f>TEXT(tblWorkPackages[[#This Row],[Due date serial]],"yyyy-mm")</f>
        <v>2024-05</v>
      </c>
    </row>
    <row r="2309" spans="1:36" ht="15" x14ac:dyDescent="0.25">
      <c r="A2309" s="53" t="s">
        <v>3226</v>
      </c>
      <c r="B2309" s="53" t="s">
        <v>230</v>
      </c>
      <c r="C2309" s="53" t="s">
        <v>524</v>
      </c>
      <c r="D2309" s="53" t="s">
        <v>621</v>
      </c>
      <c r="E2309" s="53" t="s">
        <v>160</v>
      </c>
      <c r="F2309" s="53" t="s">
        <v>128</v>
      </c>
      <c r="G2309" s="53" t="s">
        <v>138</v>
      </c>
      <c r="H2309" s="53">
        <v>3</v>
      </c>
      <c r="I2309" s="53" t="s">
        <v>130</v>
      </c>
      <c r="J2309" s="53">
        <v>0</v>
      </c>
      <c r="K2309" s="53">
        <v>1</v>
      </c>
      <c r="L2309" s="53">
        <v>6.6</v>
      </c>
      <c r="M2309" s="53" t="s">
        <v>643</v>
      </c>
      <c r="N2309" s="53">
        <v>6</v>
      </c>
      <c r="O2309" s="51" t="str">
        <f>TEXT(tblWorkPackages[[#This Row],[Request date serial]]-WEEKDAY(tblWorkPackages[[#This Row],[Request date serial]],3),"yyyy-mm-dd")</f>
        <v>2024-07-08</v>
      </c>
      <c r="P2309" s="51">
        <f>ABS(tblWorkPackages[[#This Row],[Actual labor hours]]-tblWorkPackages[[#This Row],[Estimated labor hours]])</f>
        <v>0.6</v>
      </c>
      <c r="Q2309" s="51">
        <f>IF(tblWorkPackages[[#This Row],[Actual labor hours]]&gt;tblWorkPackages[[#This Row],[Estimated labor hours]],1,0)</f>
        <v>0</v>
      </c>
      <c r="R2309" s="51">
        <f>tblWorkPackages[[#This Row],[Actual labor hours]]-tblWorkPackages[[#This Row],[Estimated labor hours]]</f>
        <v>-0.6</v>
      </c>
      <c r="S2309" s="51" t="str">
        <f>IF(tblWorkPackages[[#This Row],[Request date serial]]&lt;ValidationStart,"Train 2024",IF(tblWorkPackages[[#This Row],[Request date serial]]&lt;HoldoutStart,"Validation H1","Holdout H2"))</f>
        <v>Train 2024</v>
      </c>
      <c r="T2309" s="51" t="str">
        <f>IF(tblWorkPackages[[#This Row],[Time split]]="Train 2024","",tblWorkPackages[[#This Row],[Estimated labor hours]]+VLOOKUP(tblWorkPackages[[#This Row],[Task type]],'Forecast validation'!$A$14:$E$25,IF(tblWorkPackages[[#This Row],[Time split]]="Validation H1",4,5),FALSE()))</f>
        <v/>
      </c>
      <c r="U2309" s="51" t="str">
        <f>IF(tblWorkPackages[[#This Row],[Calibrated forecast hours]]="","",ABS(tblWorkPackages[[#This Row],[Actual labor hours]]-tblWorkPackages[[#This Row],[Calibrated forecast hours]]))</f>
        <v/>
      </c>
      <c r="V2309" s="51">
        <f>IF(tblWorkPackages[[#This Row],[Time split]]="Train 2024",tblWorkPackages[[#This Row],[Estimated labor hours]],tblWorkPackages[[#This Row],[Calibrated forecast hours]])</f>
        <v>6.6</v>
      </c>
      <c r="W2309" s="64">
        <f>DATEVALUE(tblWorkPackages[[#This Row],[Request date]])</f>
        <v>45483.0</v>
      </c>
      <c r="X2309" s="64">
        <f>DATEVALUE(tblWorkPackages[[#This Row],[Due date]])</f>
        <v>45496.0</v>
      </c>
      <c r="Y2309" s="64">
        <f>DATEVALUE(tblWorkPackages[[#This Row],[Completion date]])</f>
        <v>45495.0</v>
      </c>
      <c r="Z2309" s="64">
        <f>_xlfn.MINIFS(tblLaborEntries[Work date serial],tblLaborEntries[Work package ID],tblWorkPackages[[#This Row],[Work package ID]])</f>
        <v>45492.0</v>
      </c>
      <c r="AA2309" s="64">
        <f>_xlfn.MAXIFS(tblLaborEntries[Work date serial],tblLaborEntries[Work package ID],tblWorkPackages[[#This Row],[Work package ID]])</f>
        <v>45492.0</v>
      </c>
      <c r="AB2309" s="65">
        <f>IF(tblWorkPackages[[#This Row],[Completion date serial]]&gt;tblWorkPackages[[#This Row],[Due date serial]],1,0)</f>
        <v>0</v>
      </c>
      <c r="AC2309" s="65">
        <f>MAX(0,tblWorkPackages[[#This Row],[Completion date serial]]-tblWorkPackages[[#This Row],[Due date serial]])</f>
        <v>0</v>
      </c>
      <c r="AD2309" s="65">
        <f>tblWorkPackages[[#This Row],[First labor date]]-tblWorkPackages[[#This Row],[Request date serial]]</f>
        <v>9</v>
      </c>
      <c r="AE2309" s="65">
        <f>tblWorkPackages[[#This Row],[Last labor date]]-tblWorkPackages[[#This Row],[First labor date]]</f>
        <v>0</v>
      </c>
      <c r="AF2309" s="65">
        <f>tblWorkPackages[[#This Row],[Completion date serial]]-tblWorkPackages[[#This Row],[Last labor date]]</f>
        <v>3</v>
      </c>
      <c r="AG2309" s="65">
        <f>tblWorkPackages[[#This Row],[Completion date serial]]-tblWorkPackages[[#This Row],[Request date serial]]</f>
        <v>12</v>
      </c>
      <c r="AH2309" s="65">
        <f>IFERROR(INDEX(tblParts[Delay days],MATCH(tblWorkPackages[[#This Row],[Work package ID]],tblParts[Work package ID],0)),0)</f>
        <v>5</v>
      </c>
      <c r="AI2309" s="51" t="str">
        <f>IFERROR(INDEX(tblDisruptions[Event type],MATCH(tblWorkPackages[[#This Row],[Work package ID]],tblDisruptions[Work package ID],0)),"None")</f>
        <v>Part delay</v>
      </c>
      <c r="AJ2309" s="51" t="str">
        <f>TEXT(tblWorkPackages[[#This Row],[Due date serial]],"yyyy-mm")</f>
        <v>2024-07</v>
      </c>
    </row>
    <row r="2310" spans="1:36" ht="15" x14ac:dyDescent="0.25">
      <c r="A2310" s="53" t="s">
        <v>3227</v>
      </c>
      <c r="B2310" s="53" t="s">
        <v>141</v>
      </c>
      <c r="C2310" s="53" t="s">
        <v>741</v>
      </c>
      <c r="D2310" s="53" t="s">
        <v>425</v>
      </c>
      <c r="E2310" s="53" t="s">
        <v>200</v>
      </c>
      <c r="F2310" s="53" t="s">
        <v>128</v>
      </c>
      <c r="G2310" s="53" t="s">
        <v>129</v>
      </c>
      <c r="H2310" s="53">
        <v>3</v>
      </c>
      <c r="I2310" s="53" t="s">
        <v>176</v>
      </c>
      <c r="J2310" s="53">
        <v>0</v>
      </c>
      <c r="K2310" s="53">
        <v>0</v>
      </c>
      <c r="L2310" s="53">
        <v>4.4000000000000004</v>
      </c>
      <c r="M2310" s="53" t="s">
        <v>907</v>
      </c>
      <c r="N2310" s="53">
        <v>5.4</v>
      </c>
      <c r="O2310" s="51" t="str">
        <f>TEXT(tblWorkPackages[[#This Row],[Request date serial]]-WEEKDAY(tblWorkPackages[[#This Row],[Request date serial]],3),"yyyy-mm-dd")</f>
        <v>2025-06-02</v>
      </c>
      <c r="P2310" s="51">
        <f>ABS(tblWorkPackages[[#This Row],[Actual labor hours]]-tblWorkPackages[[#This Row],[Estimated labor hours]])</f>
        <v>1</v>
      </c>
      <c r="Q2310" s="51">
        <f>IF(tblWorkPackages[[#This Row],[Actual labor hours]]&gt;tblWorkPackages[[#This Row],[Estimated labor hours]],1,0)</f>
        <v>1</v>
      </c>
      <c r="R2310" s="51">
        <f>tblWorkPackages[[#This Row],[Actual labor hours]]-tblWorkPackages[[#This Row],[Estimated labor hours]]</f>
        <v>1</v>
      </c>
      <c r="S2310" s="51" t="str">
        <f>IF(tblWorkPackages[[#This Row],[Request date serial]]&lt;ValidationStart,"Train 2024",IF(tblWorkPackages[[#This Row],[Request date serial]]&lt;HoldoutStart,"Validation H1","Holdout H2"))</f>
        <v>Validation H1</v>
      </c>
      <c r="T2310" s="51">
        <f>IF(tblWorkPackages[[#This Row],[Time split]]="Train 2024","",tblWorkPackages[[#This Row],[Estimated labor hours]]+VLOOKUP(tblWorkPackages[[#This Row],[Task type]],'Forecast validation'!$A$14:$E$25,IF(tblWorkPackages[[#This Row],[Time split]]="Validation H1",4,5),FALSE()))</f>
        <v>4.73069306930693</v>
      </c>
      <c r="U2310" s="51">
        <f>IF(tblWorkPackages[[#This Row],[Calibrated forecast hours]]="","",ABS(tblWorkPackages[[#This Row],[Actual labor hours]]-tblWorkPackages[[#This Row],[Calibrated forecast hours]]))</f>
        <v>0.669306930693069</v>
      </c>
      <c r="V2310" s="51">
        <f>IF(tblWorkPackages[[#This Row],[Time split]]="Train 2024",tblWorkPackages[[#This Row],[Estimated labor hours]],tblWorkPackages[[#This Row],[Calibrated forecast hours]])</f>
        <v>4.73069306930693</v>
      </c>
      <c r="W2310" s="64">
        <f>DATEVALUE(tblWorkPackages[[#This Row],[Request date]])</f>
        <v>45814.0</v>
      </c>
      <c r="X2310" s="64">
        <f>DATEVALUE(tblWorkPackages[[#This Row],[Due date]])</f>
        <v>45820.0</v>
      </c>
      <c r="Y2310" s="64">
        <f>DATEVALUE(tblWorkPackages[[#This Row],[Completion date]])</f>
        <v>45816.0</v>
      </c>
      <c r="Z2310" s="64">
        <f>_xlfn.MINIFS(tblLaborEntries[Work date serial],tblLaborEntries[Work package ID],tblWorkPackages[[#This Row],[Work package ID]])</f>
        <v>45815.0</v>
      </c>
      <c r="AA2310" s="64">
        <f>_xlfn.MAXIFS(tblLaborEntries[Work date serial],tblLaborEntries[Work package ID],tblWorkPackages[[#This Row],[Work package ID]])</f>
        <v>45816.0</v>
      </c>
      <c r="AB2310" s="65">
        <f>IF(tblWorkPackages[[#This Row],[Completion date serial]]&gt;tblWorkPackages[[#This Row],[Due date serial]],1,0)</f>
        <v>0</v>
      </c>
      <c r="AC2310" s="65">
        <f>MAX(0,tblWorkPackages[[#This Row],[Completion date serial]]-tblWorkPackages[[#This Row],[Due date serial]])</f>
        <v>0</v>
      </c>
      <c r="AD2310" s="65">
        <f>tblWorkPackages[[#This Row],[First labor date]]-tblWorkPackages[[#This Row],[Request date serial]]</f>
        <v>1</v>
      </c>
      <c r="AE2310" s="65">
        <f>tblWorkPackages[[#This Row],[Last labor date]]-tblWorkPackages[[#This Row],[First labor date]]</f>
        <v>1</v>
      </c>
      <c r="AF2310" s="65">
        <f>tblWorkPackages[[#This Row],[Completion date serial]]-tblWorkPackages[[#This Row],[Last labor date]]</f>
        <v>0</v>
      </c>
      <c r="AG2310" s="65">
        <f>tblWorkPackages[[#This Row],[Completion date serial]]-tblWorkPackages[[#This Row],[Request date serial]]</f>
        <v>2</v>
      </c>
      <c r="AH2310" s="65">
        <f>IFERROR(INDEX(tblParts[Delay days],MATCH(tblWorkPackages[[#This Row],[Work package ID]],tblParts[Work package ID],0)),0)</f>
        <v>0</v>
      </c>
      <c r="AI2310" s="51" t="str">
        <f>IFERROR(INDEX(tblDisruptions[Event type],MATCH(tblWorkPackages[[#This Row],[Work package ID]],tblDisruptions[Work package ID],0)),"None")</f>
        <v>None</v>
      </c>
      <c r="AJ2310" s="51" t="str">
        <f>TEXT(tblWorkPackages[[#This Row],[Due date serial]],"yyyy-mm")</f>
        <v>2025-06</v>
      </c>
    </row>
    <row r="2311" spans="1:36" ht="15" x14ac:dyDescent="0.25">
      <c r="A2311" s="53" t="s">
        <v>3228</v>
      </c>
      <c r="B2311" s="53" t="s">
        <v>157</v>
      </c>
      <c r="C2311" s="53" t="s">
        <v>450</v>
      </c>
      <c r="D2311" s="53" t="s">
        <v>1205</v>
      </c>
      <c r="E2311" s="53" t="s">
        <v>144</v>
      </c>
      <c r="F2311" s="53" t="s">
        <v>145</v>
      </c>
      <c r="G2311" s="53" t="s">
        <v>146</v>
      </c>
      <c r="H2311" s="53">
        <v>1</v>
      </c>
      <c r="I2311" s="53" t="s">
        <v>130</v>
      </c>
      <c r="J2311" s="53">
        <v>0</v>
      </c>
      <c r="K2311" s="53">
        <v>1</v>
      </c>
      <c r="L2311" s="53">
        <v>6.4</v>
      </c>
      <c r="M2311" s="53" t="s">
        <v>1205</v>
      </c>
      <c r="N2311" s="53">
        <v>6</v>
      </c>
      <c r="O2311" s="51" t="str">
        <f>TEXT(tblWorkPackages[[#This Row],[Request date serial]]-WEEKDAY(tblWorkPackages[[#This Row],[Request date serial]],3),"yyyy-mm-dd")</f>
        <v>2024-07-08</v>
      </c>
      <c r="P2311" s="51">
        <f>ABS(tblWorkPackages[[#This Row],[Actual labor hours]]-tblWorkPackages[[#This Row],[Estimated labor hours]])</f>
        <v>0.4</v>
      </c>
      <c r="Q2311" s="51">
        <f>IF(tblWorkPackages[[#This Row],[Actual labor hours]]&gt;tblWorkPackages[[#This Row],[Estimated labor hours]],1,0)</f>
        <v>0</v>
      </c>
      <c r="R2311" s="51">
        <f>tblWorkPackages[[#This Row],[Actual labor hours]]-tblWorkPackages[[#This Row],[Estimated labor hours]]</f>
        <v>-0.4</v>
      </c>
      <c r="S2311" s="51" t="str">
        <f>IF(tblWorkPackages[[#This Row],[Request date serial]]&lt;ValidationStart,"Train 2024",IF(tblWorkPackages[[#This Row],[Request date serial]]&lt;HoldoutStart,"Validation H1","Holdout H2"))</f>
        <v>Train 2024</v>
      </c>
      <c r="T2311" s="51" t="str">
        <f>IF(tblWorkPackages[[#This Row],[Time split]]="Train 2024","",tblWorkPackages[[#This Row],[Estimated labor hours]]+VLOOKUP(tblWorkPackages[[#This Row],[Task type]],'Forecast validation'!$A$14:$E$25,IF(tblWorkPackages[[#This Row],[Time split]]="Validation H1",4,5),FALSE()))</f>
        <v/>
      </c>
      <c r="U2311" s="51" t="str">
        <f>IF(tblWorkPackages[[#This Row],[Calibrated forecast hours]]="","",ABS(tblWorkPackages[[#This Row],[Actual labor hours]]-tblWorkPackages[[#This Row],[Calibrated forecast hours]]))</f>
        <v/>
      </c>
      <c r="V2311" s="51">
        <f>IF(tblWorkPackages[[#This Row],[Time split]]="Train 2024",tblWorkPackages[[#This Row],[Estimated labor hours]],tblWorkPackages[[#This Row],[Calibrated forecast hours]])</f>
        <v>6.4</v>
      </c>
      <c r="W2311" s="64">
        <f>DATEVALUE(tblWorkPackages[[#This Row],[Request date]])</f>
        <v>45487.0</v>
      </c>
      <c r="X2311" s="64">
        <f>DATEVALUE(tblWorkPackages[[#This Row],[Due date]])</f>
        <v>45500.0</v>
      </c>
      <c r="Y2311" s="64">
        <f>DATEVALUE(tblWorkPackages[[#This Row],[Completion date]])</f>
        <v>45500.0</v>
      </c>
      <c r="Z2311" s="64">
        <f>_xlfn.MINIFS(tblLaborEntries[Work date serial],tblLaborEntries[Work package ID],tblWorkPackages[[#This Row],[Work package ID]])</f>
        <v>45497.0</v>
      </c>
      <c r="AA2311" s="64">
        <f>_xlfn.MAXIFS(tblLaborEntries[Work date serial],tblLaborEntries[Work package ID],tblWorkPackages[[#This Row],[Work package ID]])</f>
        <v>45499.0</v>
      </c>
      <c r="AB2311" s="65">
        <f>IF(tblWorkPackages[[#This Row],[Completion date serial]]&gt;tblWorkPackages[[#This Row],[Due date serial]],1,0)</f>
        <v>0</v>
      </c>
      <c r="AC2311" s="65">
        <f>MAX(0,tblWorkPackages[[#This Row],[Completion date serial]]-tblWorkPackages[[#This Row],[Due date serial]])</f>
        <v>0</v>
      </c>
      <c r="AD2311" s="65">
        <f>tblWorkPackages[[#This Row],[First labor date]]-tblWorkPackages[[#This Row],[Request date serial]]</f>
        <v>10</v>
      </c>
      <c r="AE2311" s="65">
        <f>tblWorkPackages[[#This Row],[Last labor date]]-tblWorkPackages[[#This Row],[First labor date]]</f>
        <v>2</v>
      </c>
      <c r="AF2311" s="65">
        <f>tblWorkPackages[[#This Row],[Completion date serial]]-tblWorkPackages[[#This Row],[Last labor date]]</f>
        <v>1</v>
      </c>
      <c r="AG2311" s="65">
        <f>tblWorkPackages[[#This Row],[Completion date serial]]-tblWorkPackages[[#This Row],[Request date serial]]</f>
        <v>13</v>
      </c>
      <c r="AH2311" s="65">
        <f>IFERROR(INDEX(tblParts[Delay days],MATCH(tblWorkPackages[[#This Row],[Work package ID]],tblParts[Work package ID],0)),0)</f>
        <v>0</v>
      </c>
      <c r="AI2311" s="51" t="str">
        <f>IFERROR(INDEX(tblDisruptions[Event type],MATCH(tblWorkPackages[[#This Row],[Work package ID]],tblDisruptions[Work package ID],0)),"None")</f>
        <v>None</v>
      </c>
      <c r="AJ2311" s="51" t="str">
        <f>TEXT(tblWorkPackages[[#This Row],[Due date serial]],"yyyy-mm")</f>
        <v>2024-07</v>
      </c>
    </row>
    <row r="2312" spans="1:36" ht="15" x14ac:dyDescent="0.25">
      <c r="A2312" s="53" t="s">
        <v>3229</v>
      </c>
      <c r="B2312" s="53" t="s">
        <v>173</v>
      </c>
      <c r="C2312" s="53" t="s">
        <v>1560</v>
      </c>
      <c r="D2312" s="53" t="s">
        <v>741</v>
      </c>
      <c r="E2312" s="53" t="s">
        <v>136</v>
      </c>
      <c r="F2312" s="53" t="s">
        <v>137</v>
      </c>
      <c r="G2312" s="53" t="s">
        <v>138</v>
      </c>
      <c r="H2312" s="53">
        <v>3</v>
      </c>
      <c r="I2312" s="53" t="s">
        <v>130</v>
      </c>
      <c r="J2312" s="53">
        <v>0</v>
      </c>
      <c r="K2312" s="53">
        <v>0</v>
      </c>
      <c r="L2312" s="53">
        <v>20.6</v>
      </c>
      <c r="M2312" s="53" t="s">
        <v>569</v>
      </c>
      <c r="N2312" s="53">
        <v>18.7</v>
      </c>
      <c r="O2312" s="51" t="str">
        <f>TEXT(tblWorkPackages[[#This Row],[Request date serial]]-WEEKDAY(tblWorkPackages[[#This Row],[Request date serial]],3),"yyyy-mm-dd")</f>
        <v>2025-05-19</v>
      </c>
      <c r="P2312" s="51">
        <f>ABS(tblWorkPackages[[#This Row],[Actual labor hours]]-tblWorkPackages[[#This Row],[Estimated labor hours]])</f>
        <v>1.9</v>
      </c>
      <c r="Q2312" s="51">
        <f>IF(tblWorkPackages[[#This Row],[Actual labor hours]]&gt;tblWorkPackages[[#This Row],[Estimated labor hours]],1,0)</f>
        <v>0</v>
      </c>
      <c r="R2312" s="51">
        <f>tblWorkPackages[[#This Row],[Actual labor hours]]-tblWorkPackages[[#This Row],[Estimated labor hours]]</f>
        <v>-1.9</v>
      </c>
      <c r="S2312" s="51" t="str">
        <f>IF(tblWorkPackages[[#This Row],[Request date serial]]&lt;ValidationStart,"Train 2024",IF(tblWorkPackages[[#This Row],[Request date serial]]&lt;HoldoutStart,"Validation H1","Holdout H2"))</f>
        <v>Validation H1</v>
      </c>
      <c r="T2312" s="51">
        <f>IF(tblWorkPackages[[#This Row],[Time split]]="Train 2024","",tblWorkPackages[[#This Row],[Estimated labor hours]]+VLOOKUP(tblWorkPackages[[#This Row],[Task type]],'Forecast validation'!$A$14:$E$25,IF(tblWorkPackages[[#This Row],[Time split]]="Validation H1",4,5),FALSE()))</f>
        <v>21.4765306122449</v>
      </c>
      <c r="U2312" s="51">
        <f>IF(tblWorkPackages[[#This Row],[Calibrated forecast hours]]="","",ABS(tblWorkPackages[[#This Row],[Actual labor hours]]-tblWorkPackages[[#This Row],[Calibrated forecast hours]]))</f>
        <v>2.7765306122449</v>
      </c>
      <c r="V2312" s="51">
        <f>IF(tblWorkPackages[[#This Row],[Time split]]="Train 2024",tblWorkPackages[[#This Row],[Estimated labor hours]],tblWorkPackages[[#This Row],[Calibrated forecast hours]])</f>
        <v>21.4765306122449</v>
      </c>
      <c r="W2312" s="64">
        <f>DATEVALUE(tblWorkPackages[[#This Row],[Request date]])</f>
        <v>45801.0</v>
      </c>
      <c r="X2312" s="64">
        <f>DATEVALUE(tblWorkPackages[[#This Row],[Due date]])</f>
        <v>45814.0</v>
      </c>
      <c r="Y2312" s="64">
        <f>DATEVALUE(tblWorkPackages[[#This Row],[Completion date]])</f>
        <v>45807.0</v>
      </c>
      <c r="Z2312" s="64">
        <f>_xlfn.MINIFS(tblLaborEntries[Work date serial],tblLaborEntries[Work package ID],tblWorkPackages[[#This Row],[Work package ID]])</f>
        <v>45804.0</v>
      </c>
      <c r="AA2312" s="64">
        <f>_xlfn.MAXIFS(tblLaborEntries[Work date serial],tblLaborEntries[Work package ID],tblWorkPackages[[#This Row],[Work package ID]])</f>
        <v>45805.0</v>
      </c>
      <c r="AB2312" s="65">
        <f>IF(tblWorkPackages[[#This Row],[Completion date serial]]&gt;tblWorkPackages[[#This Row],[Due date serial]],1,0)</f>
        <v>0</v>
      </c>
      <c r="AC2312" s="65">
        <f>MAX(0,tblWorkPackages[[#This Row],[Completion date serial]]-tblWorkPackages[[#This Row],[Due date serial]])</f>
        <v>0</v>
      </c>
      <c r="AD2312" s="65">
        <f>tblWorkPackages[[#This Row],[First labor date]]-tblWorkPackages[[#This Row],[Request date serial]]</f>
        <v>3</v>
      </c>
      <c r="AE2312" s="65">
        <f>tblWorkPackages[[#This Row],[Last labor date]]-tblWorkPackages[[#This Row],[First labor date]]</f>
        <v>1</v>
      </c>
      <c r="AF2312" s="65">
        <f>tblWorkPackages[[#This Row],[Completion date serial]]-tblWorkPackages[[#This Row],[Last labor date]]</f>
        <v>2</v>
      </c>
      <c r="AG2312" s="65">
        <f>tblWorkPackages[[#This Row],[Completion date serial]]-tblWorkPackages[[#This Row],[Request date serial]]</f>
        <v>6</v>
      </c>
      <c r="AH2312" s="65">
        <f>IFERROR(INDEX(tblParts[Delay days],MATCH(tblWorkPackages[[#This Row],[Work package ID]],tblParts[Work package ID],0)),0)</f>
        <v>0</v>
      </c>
      <c r="AI2312" s="51" t="str">
        <f>IFERROR(INDEX(tblDisruptions[Event type],MATCH(tblWorkPackages[[#This Row],[Work package ID]],tblDisruptions[Work package ID],0)),"None")</f>
        <v>None</v>
      </c>
      <c r="AJ2312" s="51" t="str">
        <f>TEXT(tblWorkPackages[[#This Row],[Due date serial]],"yyyy-mm")</f>
        <v>2025-06</v>
      </c>
    </row>
    <row r="2313" spans="1:36" ht="15" x14ac:dyDescent="0.25">
      <c r="A2313" s="53" t="s">
        <v>3230</v>
      </c>
      <c r="B2313" s="53" t="s">
        <v>287</v>
      </c>
      <c r="C2313" s="53" t="s">
        <v>765</v>
      </c>
      <c r="D2313" s="53" t="s">
        <v>1214</v>
      </c>
      <c r="E2313" s="53" t="s">
        <v>136</v>
      </c>
      <c r="F2313" s="53" t="s">
        <v>137</v>
      </c>
      <c r="G2313" s="53" t="s">
        <v>138</v>
      </c>
      <c r="H2313" s="53">
        <v>3</v>
      </c>
      <c r="I2313" s="53" t="s">
        <v>130</v>
      </c>
      <c r="J2313" s="53">
        <v>0</v>
      </c>
      <c r="K2313" s="53">
        <v>1</v>
      </c>
      <c r="L2313" s="53">
        <v>18.7</v>
      </c>
      <c r="M2313" s="53" t="s">
        <v>3231</v>
      </c>
      <c r="N2313" s="53">
        <v>22.2</v>
      </c>
      <c r="O2313" s="51" t="str">
        <f>TEXT(tblWorkPackages[[#This Row],[Request date serial]]-WEEKDAY(tblWorkPackages[[#This Row],[Request date serial]],3),"yyyy-mm-dd")</f>
        <v>2025-12-29</v>
      </c>
      <c r="P2313" s="51">
        <f>ABS(tblWorkPackages[[#This Row],[Actual labor hours]]-tblWorkPackages[[#This Row],[Estimated labor hours]])</f>
        <v>3.5</v>
      </c>
      <c r="Q2313" s="51">
        <f>IF(tblWorkPackages[[#This Row],[Actual labor hours]]&gt;tblWorkPackages[[#This Row],[Estimated labor hours]],1,0)</f>
        <v>1</v>
      </c>
      <c r="R2313" s="51">
        <f>tblWorkPackages[[#This Row],[Actual labor hours]]-tblWorkPackages[[#This Row],[Estimated labor hours]]</f>
        <v>3.5</v>
      </c>
      <c r="S2313" s="51" t="str">
        <f>IF(tblWorkPackages[[#This Row],[Request date serial]]&lt;ValidationStart,"Train 2024",IF(tblWorkPackages[[#This Row],[Request date serial]]&lt;HoldoutStart,"Validation H1","Holdout H2"))</f>
        <v>Holdout H2</v>
      </c>
      <c r="T2313" s="51">
        <f>IF(tblWorkPackages[[#This Row],[Time split]]="Train 2024","",tblWorkPackages[[#This Row],[Estimated labor hours]]+VLOOKUP(tblWorkPackages[[#This Row],[Task type]],'Forecast validation'!$A$14:$E$25,IF(tblWorkPackages[[#This Row],[Time split]]="Validation H1",4,5),FALSE()))</f>
        <v>19.6207547169811</v>
      </c>
      <c r="U2313" s="51">
        <f>IF(tblWorkPackages[[#This Row],[Calibrated forecast hours]]="","",ABS(tblWorkPackages[[#This Row],[Actual labor hours]]-tblWorkPackages[[#This Row],[Calibrated forecast hours]]))</f>
        <v>2.57924528301887</v>
      </c>
      <c r="V2313" s="51">
        <f>IF(tblWorkPackages[[#This Row],[Time split]]="Train 2024",tblWorkPackages[[#This Row],[Estimated labor hours]],tblWorkPackages[[#This Row],[Calibrated forecast hours]])</f>
        <v>19.6207547169811</v>
      </c>
      <c r="W2313" s="64">
        <f>DATEVALUE(tblWorkPackages[[#This Row],[Request date]])</f>
        <v>46020.0</v>
      </c>
      <c r="X2313" s="64">
        <f>DATEVALUE(tblWorkPackages[[#This Row],[Due date]])</f>
        <v>46033.0</v>
      </c>
      <c r="Y2313" s="64">
        <f>DATEVALUE(tblWorkPackages[[#This Row],[Completion date]])</f>
        <v>46062.0</v>
      </c>
      <c r="Z2313" s="64">
        <f>_xlfn.MINIFS(tblLaborEntries[Work date serial],tblLaborEntries[Work package ID],tblWorkPackages[[#This Row],[Work package ID]])</f>
        <v>46058.0</v>
      </c>
      <c r="AA2313" s="64">
        <f>_xlfn.MAXIFS(tblLaborEntries[Work date serial],tblLaborEntries[Work package ID],tblWorkPackages[[#This Row],[Work package ID]])</f>
        <v>46059.0</v>
      </c>
      <c r="AB2313" s="65">
        <f>IF(tblWorkPackages[[#This Row],[Completion date serial]]&gt;tblWorkPackages[[#This Row],[Due date serial]],1,0)</f>
        <v>1</v>
      </c>
      <c r="AC2313" s="65">
        <f>MAX(0,tblWorkPackages[[#This Row],[Completion date serial]]-tblWorkPackages[[#This Row],[Due date serial]])</f>
        <v>29</v>
      </c>
      <c r="AD2313" s="65">
        <f>tblWorkPackages[[#This Row],[First labor date]]-tblWorkPackages[[#This Row],[Request date serial]]</f>
        <v>38</v>
      </c>
      <c r="AE2313" s="65">
        <f>tblWorkPackages[[#This Row],[Last labor date]]-tblWorkPackages[[#This Row],[First labor date]]</f>
        <v>1</v>
      </c>
      <c r="AF2313" s="65">
        <f>tblWorkPackages[[#This Row],[Completion date serial]]-tblWorkPackages[[#This Row],[Last labor date]]</f>
        <v>3</v>
      </c>
      <c r="AG2313" s="65">
        <f>tblWorkPackages[[#This Row],[Completion date serial]]-tblWorkPackages[[#This Row],[Request date serial]]</f>
        <v>42</v>
      </c>
      <c r="AH2313" s="65">
        <f>IFERROR(INDEX(tblParts[Delay days],MATCH(tblWorkPackages[[#This Row],[Work package ID]],tblParts[Work package ID],0)),0)</f>
        <v>9</v>
      </c>
      <c r="AI2313" s="51" t="str">
        <f>IFERROR(INDEX(tblDisruptions[Event type],MATCH(tblWorkPackages[[#This Row],[Work package ID]],tblDisruptions[Work package ID],0)),"None")</f>
        <v>Part delay</v>
      </c>
      <c r="AJ2313" s="51" t="str">
        <f>TEXT(tblWorkPackages[[#This Row],[Due date serial]],"yyyy-mm")</f>
        <v>2026-01</v>
      </c>
    </row>
    <row r="2314" spans="1:36" ht="15" x14ac:dyDescent="0.25">
      <c r="A2314" s="53" t="s">
        <v>3232</v>
      </c>
      <c r="B2314" s="53" t="s">
        <v>141</v>
      </c>
      <c r="C2314" s="53" t="s">
        <v>300</v>
      </c>
      <c r="D2314" s="53" t="s">
        <v>675</v>
      </c>
      <c r="E2314" s="53" t="s">
        <v>153</v>
      </c>
      <c r="F2314" s="53" t="s">
        <v>128</v>
      </c>
      <c r="G2314" s="53" t="s">
        <v>154</v>
      </c>
      <c r="H2314" s="53">
        <v>4</v>
      </c>
      <c r="I2314" s="53" t="s">
        <v>147</v>
      </c>
      <c r="J2314" s="53">
        <v>0</v>
      </c>
      <c r="K2314" s="53">
        <v>0</v>
      </c>
      <c r="L2314" s="53">
        <v>19.399999999999999</v>
      </c>
      <c r="M2314" s="53" t="s">
        <v>316</v>
      </c>
      <c r="N2314" s="53">
        <v>22.9</v>
      </c>
      <c r="O2314" s="51" t="str">
        <f>TEXT(tblWorkPackages[[#This Row],[Request date serial]]-WEEKDAY(tblWorkPackages[[#This Row],[Request date serial]],3),"yyyy-mm-dd")</f>
        <v>2024-04-15</v>
      </c>
      <c r="P2314" s="51">
        <f>ABS(tblWorkPackages[[#This Row],[Actual labor hours]]-tblWorkPackages[[#This Row],[Estimated labor hours]])</f>
        <v>3.5</v>
      </c>
      <c r="Q2314" s="51">
        <f>IF(tblWorkPackages[[#This Row],[Actual labor hours]]&gt;tblWorkPackages[[#This Row],[Estimated labor hours]],1,0)</f>
        <v>1</v>
      </c>
      <c r="R2314" s="51">
        <f>tblWorkPackages[[#This Row],[Actual labor hours]]-tblWorkPackages[[#This Row],[Estimated labor hours]]</f>
        <v>3.5</v>
      </c>
      <c r="S2314" s="51" t="str">
        <f>IF(tblWorkPackages[[#This Row],[Request date serial]]&lt;ValidationStart,"Train 2024",IF(tblWorkPackages[[#This Row],[Request date serial]]&lt;HoldoutStart,"Validation H1","Holdout H2"))</f>
        <v>Train 2024</v>
      </c>
      <c r="T2314" s="51" t="str">
        <f>IF(tblWorkPackages[[#This Row],[Time split]]="Train 2024","",tblWorkPackages[[#This Row],[Estimated labor hours]]+VLOOKUP(tblWorkPackages[[#This Row],[Task type]],'Forecast validation'!$A$14:$E$25,IF(tblWorkPackages[[#This Row],[Time split]]="Validation H1",4,5),FALSE()))</f>
        <v/>
      </c>
      <c r="U2314" s="51" t="str">
        <f>IF(tblWorkPackages[[#This Row],[Calibrated forecast hours]]="","",ABS(tblWorkPackages[[#This Row],[Actual labor hours]]-tblWorkPackages[[#This Row],[Calibrated forecast hours]]))</f>
        <v/>
      </c>
      <c r="V2314" s="51">
        <f>IF(tblWorkPackages[[#This Row],[Time split]]="Train 2024",tblWorkPackages[[#This Row],[Estimated labor hours]],tblWorkPackages[[#This Row],[Calibrated forecast hours]])</f>
        <v>19.4</v>
      </c>
      <c r="W2314" s="64">
        <f>DATEVALUE(tblWorkPackages[[#This Row],[Request date]])</f>
        <v>45397.0</v>
      </c>
      <c r="X2314" s="64">
        <f>DATEVALUE(tblWorkPackages[[#This Row],[Due date]])</f>
        <v>45399.0</v>
      </c>
      <c r="Y2314" s="64">
        <f>DATEVALUE(tblWorkPackages[[#This Row],[Completion date]])</f>
        <v>45403.0</v>
      </c>
      <c r="Z2314" s="64">
        <f>_xlfn.MINIFS(tblLaborEntries[Work date serial],tblLaborEntries[Work package ID],tblWorkPackages[[#This Row],[Work package ID]])</f>
        <v>45402.0</v>
      </c>
      <c r="AA2314" s="64">
        <f>_xlfn.MAXIFS(tblLaborEntries[Work date serial],tblLaborEntries[Work package ID],tblWorkPackages[[#This Row],[Work package ID]])</f>
        <v>45403.0</v>
      </c>
      <c r="AB2314" s="65">
        <f>IF(tblWorkPackages[[#This Row],[Completion date serial]]&gt;tblWorkPackages[[#This Row],[Due date serial]],1,0)</f>
        <v>1</v>
      </c>
      <c r="AC2314" s="65">
        <f>MAX(0,tblWorkPackages[[#This Row],[Completion date serial]]-tblWorkPackages[[#This Row],[Due date serial]])</f>
        <v>4</v>
      </c>
      <c r="AD2314" s="65">
        <f>tblWorkPackages[[#This Row],[First labor date]]-tblWorkPackages[[#This Row],[Request date serial]]</f>
        <v>5</v>
      </c>
      <c r="AE2314" s="65">
        <f>tblWorkPackages[[#This Row],[Last labor date]]-tblWorkPackages[[#This Row],[First labor date]]</f>
        <v>1</v>
      </c>
      <c r="AF2314" s="65">
        <f>tblWorkPackages[[#This Row],[Completion date serial]]-tblWorkPackages[[#This Row],[Last labor date]]</f>
        <v>0</v>
      </c>
      <c r="AG2314" s="65">
        <f>tblWorkPackages[[#This Row],[Completion date serial]]-tblWorkPackages[[#This Row],[Request date serial]]</f>
        <v>6</v>
      </c>
      <c r="AH2314" s="65">
        <f>IFERROR(INDEX(tblParts[Delay days],MATCH(tblWorkPackages[[#This Row],[Work package ID]],tblParts[Work package ID],0)),0)</f>
        <v>0</v>
      </c>
      <c r="AI2314" s="51" t="str">
        <f>IFERROR(INDEX(tblDisruptions[Event type],MATCH(tblWorkPackages[[#This Row],[Work package ID]],tblDisruptions[Work package ID],0)),"None")</f>
        <v>None</v>
      </c>
      <c r="AJ2314" s="51" t="str">
        <f>TEXT(tblWorkPackages[[#This Row],[Due date serial]],"yyyy-mm")</f>
        <v>2024-04</v>
      </c>
    </row>
    <row r="2315" spans="1:36" ht="15" x14ac:dyDescent="0.25">
      <c r="A2315" s="53" t="s">
        <v>3233</v>
      </c>
      <c r="B2315" s="53" t="s">
        <v>203</v>
      </c>
      <c r="C2315" s="53" t="s">
        <v>1118</v>
      </c>
      <c r="D2315" s="53" t="s">
        <v>863</v>
      </c>
      <c r="E2315" s="53" t="s">
        <v>209</v>
      </c>
      <c r="F2315" s="53" t="s">
        <v>145</v>
      </c>
      <c r="G2315" s="53" t="s">
        <v>210</v>
      </c>
      <c r="H2315" s="53">
        <v>2</v>
      </c>
      <c r="I2315" s="53" t="s">
        <v>130</v>
      </c>
      <c r="J2315" s="53">
        <v>0</v>
      </c>
      <c r="K2315" s="53">
        <v>1</v>
      </c>
      <c r="L2315" s="53">
        <v>20.5</v>
      </c>
      <c r="M2315" s="53" t="s">
        <v>711</v>
      </c>
      <c r="N2315" s="53">
        <v>17.7</v>
      </c>
      <c r="O2315" s="51" t="str">
        <f>TEXT(tblWorkPackages[[#This Row],[Request date serial]]-WEEKDAY(tblWorkPackages[[#This Row],[Request date serial]],3),"yyyy-mm-dd")</f>
        <v>2025-06-16</v>
      </c>
      <c r="P2315" s="51">
        <f>ABS(tblWorkPackages[[#This Row],[Actual labor hours]]-tblWorkPackages[[#This Row],[Estimated labor hours]])</f>
        <v>2.8</v>
      </c>
      <c r="Q2315" s="51">
        <f>IF(tblWorkPackages[[#This Row],[Actual labor hours]]&gt;tblWorkPackages[[#This Row],[Estimated labor hours]],1,0)</f>
        <v>0</v>
      </c>
      <c r="R2315" s="51">
        <f>tblWorkPackages[[#This Row],[Actual labor hours]]-tblWorkPackages[[#This Row],[Estimated labor hours]]</f>
        <v>-2.8</v>
      </c>
      <c r="S2315" s="51" t="str">
        <f>IF(tblWorkPackages[[#This Row],[Request date serial]]&lt;ValidationStart,"Train 2024",IF(tblWorkPackages[[#This Row],[Request date serial]]&lt;HoldoutStart,"Validation H1","Holdout H2"))</f>
        <v>Validation H1</v>
      </c>
      <c r="T2315" s="51">
        <f>IF(tblWorkPackages[[#This Row],[Time split]]="Train 2024","",tblWorkPackages[[#This Row],[Estimated labor hours]]+VLOOKUP(tblWorkPackages[[#This Row],[Task type]],'Forecast validation'!$A$14:$E$25,IF(tblWorkPackages[[#This Row],[Time split]]="Validation H1",4,5),FALSE()))</f>
        <v>21.6029850746269</v>
      </c>
      <c r="U2315" s="51">
        <f>IF(tblWorkPackages[[#This Row],[Calibrated forecast hours]]="","",ABS(tblWorkPackages[[#This Row],[Actual labor hours]]-tblWorkPackages[[#This Row],[Calibrated forecast hours]]))</f>
        <v>3.90298507462687</v>
      </c>
      <c r="V2315" s="51">
        <f>IF(tblWorkPackages[[#This Row],[Time split]]="Train 2024",tblWorkPackages[[#This Row],[Estimated labor hours]],tblWorkPackages[[#This Row],[Calibrated forecast hours]])</f>
        <v>21.6029850746269</v>
      </c>
      <c r="W2315" s="64">
        <f>DATEVALUE(tblWorkPackages[[#This Row],[Request date]])</f>
        <v>45824.0</v>
      </c>
      <c r="X2315" s="64">
        <f>DATEVALUE(tblWorkPackages[[#This Row],[Due date]])</f>
        <v>45837.0</v>
      </c>
      <c r="Y2315" s="64">
        <f>DATEVALUE(tblWorkPackages[[#This Row],[Completion date]])</f>
        <v>45827.0</v>
      </c>
      <c r="Z2315" s="64">
        <f>_xlfn.MINIFS(tblLaborEntries[Work date serial],tblLaborEntries[Work package ID],tblWorkPackages[[#This Row],[Work package ID]])</f>
        <v>45826.0</v>
      </c>
      <c r="AA2315" s="64">
        <f>_xlfn.MAXIFS(tblLaborEntries[Work date serial],tblLaborEntries[Work package ID],tblWorkPackages[[#This Row],[Work package ID]])</f>
        <v>45826.0</v>
      </c>
      <c r="AB2315" s="65">
        <f>IF(tblWorkPackages[[#This Row],[Completion date serial]]&gt;tblWorkPackages[[#This Row],[Due date serial]],1,0)</f>
        <v>0</v>
      </c>
      <c r="AC2315" s="65">
        <f>MAX(0,tblWorkPackages[[#This Row],[Completion date serial]]-tblWorkPackages[[#This Row],[Due date serial]])</f>
        <v>0</v>
      </c>
      <c r="AD2315" s="65">
        <f>tblWorkPackages[[#This Row],[First labor date]]-tblWorkPackages[[#This Row],[Request date serial]]</f>
        <v>2</v>
      </c>
      <c r="AE2315" s="65">
        <f>tblWorkPackages[[#This Row],[Last labor date]]-tblWorkPackages[[#This Row],[First labor date]]</f>
        <v>0</v>
      </c>
      <c r="AF2315" s="65">
        <f>tblWorkPackages[[#This Row],[Completion date serial]]-tblWorkPackages[[#This Row],[Last labor date]]</f>
        <v>1</v>
      </c>
      <c r="AG2315" s="65">
        <f>tblWorkPackages[[#This Row],[Completion date serial]]-tblWorkPackages[[#This Row],[Request date serial]]</f>
        <v>3</v>
      </c>
      <c r="AH2315" s="65">
        <f>IFERROR(INDEX(tblParts[Delay days],MATCH(tblWorkPackages[[#This Row],[Work package ID]],tblParts[Work package ID],0)),0)</f>
        <v>0</v>
      </c>
      <c r="AI2315" s="51" t="str">
        <f>IFERROR(INDEX(tblDisruptions[Event type],MATCH(tblWorkPackages[[#This Row],[Work package ID]],tblDisruptions[Work package ID],0)),"None")</f>
        <v>None</v>
      </c>
      <c r="AJ2315" s="51" t="str">
        <f>TEXT(tblWorkPackages[[#This Row],[Due date serial]],"yyyy-mm")</f>
        <v>2025-06</v>
      </c>
    </row>
    <row r="2316" spans="1:36" ht="15" x14ac:dyDescent="0.25">
      <c r="A2316" s="53" t="s">
        <v>3234</v>
      </c>
      <c r="B2316" s="53" t="s">
        <v>235</v>
      </c>
      <c r="C2316" s="53" t="s">
        <v>947</v>
      </c>
      <c r="D2316" s="53" t="s">
        <v>883</v>
      </c>
      <c r="E2316" s="53" t="s">
        <v>200</v>
      </c>
      <c r="F2316" s="53" t="s">
        <v>128</v>
      </c>
      <c r="G2316" s="53" t="s">
        <v>129</v>
      </c>
      <c r="H2316" s="53">
        <v>2</v>
      </c>
      <c r="I2316" s="53" t="s">
        <v>130</v>
      </c>
      <c r="J2316" s="53">
        <v>0</v>
      </c>
      <c r="K2316" s="53">
        <v>1</v>
      </c>
      <c r="L2316" s="53">
        <v>2.7</v>
      </c>
      <c r="M2316" s="53" t="s">
        <v>170</v>
      </c>
      <c r="N2316" s="53">
        <v>2.5</v>
      </c>
      <c r="O2316" s="51" t="str">
        <f>TEXT(tblWorkPackages[[#This Row],[Request date serial]]-WEEKDAY(tblWorkPackages[[#This Row],[Request date serial]],3),"yyyy-mm-dd")</f>
        <v>2024-09-30</v>
      </c>
      <c r="P2316" s="51">
        <f>ABS(tblWorkPackages[[#This Row],[Actual labor hours]]-tblWorkPackages[[#This Row],[Estimated labor hours]])</f>
        <v>0.2</v>
      </c>
      <c r="Q2316" s="51">
        <f>IF(tblWorkPackages[[#This Row],[Actual labor hours]]&gt;tblWorkPackages[[#This Row],[Estimated labor hours]],1,0)</f>
        <v>0</v>
      </c>
      <c r="R2316" s="51">
        <f>tblWorkPackages[[#This Row],[Actual labor hours]]-tblWorkPackages[[#This Row],[Estimated labor hours]]</f>
        <v>-0.2</v>
      </c>
      <c r="S2316" s="51" t="str">
        <f>IF(tblWorkPackages[[#This Row],[Request date serial]]&lt;ValidationStart,"Train 2024",IF(tblWorkPackages[[#This Row],[Request date serial]]&lt;HoldoutStart,"Validation H1","Holdout H2"))</f>
        <v>Train 2024</v>
      </c>
      <c r="T2316" s="51" t="str">
        <f>IF(tblWorkPackages[[#This Row],[Time split]]="Train 2024","",tblWorkPackages[[#This Row],[Estimated labor hours]]+VLOOKUP(tblWorkPackages[[#This Row],[Task type]],'Forecast validation'!$A$14:$E$25,IF(tblWorkPackages[[#This Row],[Time split]]="Validation H1",4,5),FALSE()))</f>
        <v/>
      </c>
      <c r="U2316" s="51" t="str">
        <f>IF(tblWorkPackages[[#This Row],[Calibrated forecast hours]]="","",ABS(tblWorkPackages[[#This Row],[Actual labor hours]]-tblWorkPackages[[#This Row],[Calibrated forecast hours]]))</f>
        <v/>
      </c>
      <c r="V2316" s="51">
        <f>IF(tblWorkPackages[[#This Row],[Time split]]="Train 2024",tblWorkPackages[[#This Row],[Estimated labor hours]],tblWorkPackages[[#This Row],[Calibrated forecast hours]])</f>
        <v>2.7</v>
      </c>
      <c r="W2316" s="64">
        <f>DATEVALUE(tblWorkPackages[[#This Row],[Request date]])</f>
        <v>45570.0</v>
      </c>
      <c r="X2316" s="64">
        <f>DATEVALUE(tblWorkPackages[[#This Row],[Due date]])</f>
        <v>45583.0</v>
      </c>
      <c r="Y2316" s="64">
        <f>DATEVALUE(tblWorkPackages[[#This Row],[Completion date]])</f>
        <v>45587.0</v>
      </c>
      <c r="Z2316" s="64">
        <f>_xlfn.MINIFS(tblLaborEntries[Work date serial],tblLaborEntries[Work package ID],tblWorkPackages[[#This Row],[Work package ID]])</f>
        <v>45584.0</v>
      </c>
      <c r="AA2316" s="64">
        <f>_xlfn.MAXIFS(tblLaborEntries[Work date serial],tblLaborEntries[Work package ID],tblWorkPackages[[#This Row],[Work package ID]])</f>
        <v>45585.0</v>
      </c>
      <c r="AB2316" s="65">
        <f>IF(tblWorkPackages[[#This Row],[Completion date serial]]&gt;tblWorkPackages[[#This Row],[Due date serial]],1,0)</f>
        <v>1</v>
      </c>
      <c r="AC2316" s="65">
        <f>MAX(0,tblWorkPackages[[#This Row],[Completion date serial]]-tblWorkPackages[[#This Row],[Due date serial]])</f>
        <v>4</v>
      </c>
      <c r="AD2316" s="65">
        <f>tblWorkPackages[[#This Row],[First labor date]]-tblWorkPackages[[#This Row],[Request date serial]]</f>
        <v>14</v>
      </c>
      <c r="AE2316" s="65">
        <f>tblWorkPackages[[#This Row],[Last labor date]]-tblWorkPackages[[#This Row],[First labor date]]</f>
        <v>1</v>
      </c>
      <c r="AF2316" s="65">
        <f>tblWorkPackages[[#This Row],[Completion date serial]]-tblWorkPackages[[#This Row],[Last labor date]]</f>
        <v>2</v>
      </c>
      <c r="AG2316" s="65">
        <f>tblWorkPackages[[#This Row],[Completion date serial]]-tblWorkPackages[[#This Row],[Request date serial]]</f>
        <v>17</v>
      </c>
      <c r="AH2316" s="65">
        <f>IFERROR(INDEX(tblParts[Delay days],MATCH(tblWorkPackages[[#This Row],[Work package ID]],tblParts[Work package ID],0)),0)</f>
        <v>0</v>
      </c>
      <c r="AI2316" s="51" t="str">
        <f>IFERROR(INDEX(tblDisruptions[Event type],MATCH(tblWorkPackages[[#This Row],[Work package ID]],tblDisruptions[Work package ID],0)),"None")</f>
        <v>None</v>
      </c>
      <c r="AJ2316" s="51" t="str">
        <f>TEXT(tblWorkPackages[[#This Row],[Due date serial]],"yyyy-mm")</f>
        <v>2024-10</v>
      </c>
    </row>
    <row r="2317" spans="1:36" ht="15" x14ac:dyDescent="0.25">
      <c r="A2317" s="53" t="s">
        <v>3235</v>
      </c>
      <c r="B2317" s="53" t="s">
        <v>230</v>
      </c>
      <c r="C2317" s="53" t="s">
        <v>360</v>
      </c>
      <c r="D2317" s="53" t="s">
        <v>643</v>
      </c>
      <c r="E2317" s="53" t="s">
        <v>136</v>
      </c>
      <c r="F2317" s="53" t="s">
        <v>137</v>
      </c>
      <c r="G2317" s="53" t="s">
        <v>138</v>
      </c>
      <c r="H2317" s="53">
        <v>3</v>
      </c>
      <c r="I2317" s="53" t="s">
        <v>176</v>
      </c>
      <c r="J2317" s="53">
        <v>0</v>
      </c>
      <c r="K2317" s="53">
        <v>0</v>
      </c>
      <c r="L2317" s="53">
        <v>20.5</v>
      </c>
      <c r="M2317" s="53" t="s">
        <v>390</v>
      </c>
      <c r="N2317" s="53">
        <v>18.100000000000001</v>
      </c>
      <c r="O2317" s="51" t="str">
        <f>TEXT(tblWorkPackages[[#This Row],[Request date serial]]-WEEKDAY(tblWorkPackages[[#This Row],[Request date serial]],3),"yyyy-mm-dd")</f>
        <v>2024-07-15</v>
      </c>
      <c r="P2317" s="51">
        <f>ABS(tblWorkPackages[[#This Row],[Actual labor hours]]-tblWorkPackages[[#This Row],[Estimated labor hours]])</f>
        <v>2.4</v>
      </c>
      <c r="Q2317" s="51">
        <f>IF(tblWorkPackages[[#This Row],[Actual labor hours]]&gt;tblWorkPackages[[#This Row],[Estimated labor hours]],1,0)</f>
        <v>0</v>
      </c>
      <c r="R2317" s="51">
        <f>tblWorkPackages[[#This Row],[Actual labor hours]]-tblWorkPackages[[#This Row],[Estimated labor hours]]</f>
        <v>-2.4</v>
      </c>
      <c r="S2317" s="51" t="str">
        <f>IF(tblWorkPackages[[#This Row],[Request date serial]]&lt;ValidationStart,"Train 2024",IF(tblWorkPackages[[#This Row],[Request date serial]]&lt;HoldoutStart,"Validation H1","Holdout H2"))</f>
        <v>Train 2024</v>
      </c>
      <c r="T2317" s="51" t="str">
        <f>IF(tblWorkPackages[[#This Row],[Time split]]="Train 2024","",tblWorkPackages[[#This Row],[Estimated labor hours]]+VLOOKUP(tblWorkPackages[[#This Row],[Task type]],'Forecast validation'!$A$14:$E$25,IF(tblWorkPackages[[#This Row],[Time split]]="Validation H1",4,5),FALSE()))</f>
        <v/>
      </c>
      <c r="U2317" s="51" t="str">
        <f>IF(tblWorkPackages[[#This Row],[Calibrated forecast hours]]="","",ABS(tblWorkPackages[[#This Row],[Actual labor hours]]-tblWorkPackages[[#This Row],[Calibrated forecast hours]]))</f>
        <v/>
      </c>
      <c r="V2317" s="51">
        <f>IF(tblWorkPackages[[#This Row],[Time split]]="Train 2024",tblWorkPackages[[#This Row],[Estimated labor hours]],tblWorkPackages[[#This Row],[Calibrated forecast hours]])</f>
        <v>20.5</v>
      </c>
      <c r="W2317" s="64">
        <f>DATEVALUE(tblWorkPackages[[#This Row],[Request date]])</f>
        <v>45489.0</v>
      </c>
      <c r="X2317" s="64">
        <f>DATEVALUE(tblWorkPackages[[#This Row],[Due date]])</f>
        <v>45495.0</v>
      </c>
      <c r="Y2317" s="64">
        <f>DATEVALUE(tblWorkPackages[[#This Row],[Completion date]])</f>
        <v>45497.0</v>
      </c>
      <c r="Z2317" s="64">
        <f>_xlfn.MINIFS(tblLaborEntries[Work date serial],tblLaborEntries[Work package ID],tblWorkPackages[[#This Row],[Work package ID]])</f>
        <v>45492.0</v>
      </c>
      <c r="AA2317" s="64">
        <f>_xlfn.MAXIFS(tblLaborEntries[Work date serial],tblLaborEntries[Work package ID],tblWorkPackages[[#This Row],[Work package ID]])</f>
        <v>45494.0</v>
      </c>
      <c r="AB2317" s="65">
        <f>IF(tblWorkPackages[[#This Row],[Completion date serial]]&gt;tblWorkPackages[[#This Row],[Due date serial]],1,0)</f>
        <v>1</v>
      </c>
      <c r="AC2317" s="65">
        <f>MAX(0,tblWorkPackages[[#This Row],[Completion date serial]]-tblWorkPackages[[#This Row],[Due date serial]])</f>
        <v>2</v>
      </c>
      <c r="AD2317" s="65">
        <f>tblWorkPackages[[#This Row],[First labor date]]-tblWorkPackages[[#This Row],[Request date serial]]</f>
        <v>3</v>
      </c>
      <c r="AE2317" s="65">
        <f>tblWorkPackages[[#This Row],[Last labor date]]-tblWorkPackages[[#This Row],[First labor date]]</f>
        <v>2</v>
      </c>
      <c r="AF2317" s="65">
        <f>tblWorkPackages[[#This Row],[Completion date serial]]-tblWorkPackages[[#This Row],[Last labor date]]</f>
        <v>3</v>
      </c>
      <c r="AG2317" s="65">
        <f>tblWorkPackages[[#This Row],[Completion date serial]]-tblWorkPackages[[#This Row],[Request date serial]]</f>
        <v>8</v>
      </c>
      <c r="AH2317" s="65">
        <f>IFERROR(INDEX(tblParts[Delay days],MATCH(tblWorkPackages[[#This Row],[Work package ID]],tblParts[Work package ID],0)),0)</f>
        <v>0</v>
      </c>
      <c r="AI2317" s="51" t="str">
        <f>IFERROR(INDEX(tblDisruptions[Event type],MATCH(tblWorkPackages[[#This Row],[Work package ID]],tblDisruptions[Work package ID],0)),"None")</f>
        <v>None</v>
      </c>
      <c r="AJ2317" s="51" t="str">
        <f>TEXT(tblWorkPackages[[#This Row],[Due date serial]],"yyyy-mm")</f>
        <v>2024-07</v>
      </c>
    </row>
    <row r="2318" spans="1:36" ht="15" x14ac:dyDescent="0.25">
      <c r="A2318" s="53" t="s">
        <v>3236</v>
      </c>
      <c r="B2318" s="53" t="s">
        <v>230</v>
      </c>
      <c r="C2318" s="53" t="s">
        <v>321</v>
      </c>
      <c r="D2318" s="53" t="s">
        <v>920</v>
      </c>
      <c r="E2318" s="53" t="s">
        <v>223</v>
      </c>
      <c r="F2318" s="53" t="s">
        <v>182</v>
      </c>
      <c r="G2318" s="53" t="s">
        <v>154</v>
      </c>
      <c r="H2318" s="53">
        <v>1</v>
      </c>
      <c r="I2318" s="53" t="s">
        <v>130</v>
      </c>
      <c r="J2318" s="53">
        <v>0</v>
      </c>
      <c r="K2318" s="53">
        <v>0</v>
      </c>
      <c r="L2318" s="53">
        <v>9.6</v>
      </c>
      <c r="M2318" s="53" t="s">
        <v>368</v>
      </c>
      <c r="N2318" s="53">
        <v>8.6999999999999993</v>
      </c>
      <c r="O2318" s="51" t="str">
        <f>TEXT(tblWorkPackages[[#This Row],[Request date serial]]-WEEKDAY(tblWorkPackages[[#This Row],[Request date serial]],3),"yyyy-mm-dd")</f>
        <v>2024-04-01</v>
      </c>
      <c r="P2318" s="51">
        <f>ABS(tblWorkPackages[[#This Row],[Actual labor hours]]-tblWorkPackages[[#This Row],[Estimated labor hours]])</f>
        <v>0.9</v>
      </c>
      <c r="Q2318" s="51">
        <f>IF(tblWorkPackages[[#This Row],[Actual labor hours]]&gt;tblWorkPackages[[#This Row],[Estimated labor hours]],1,0)</f>
        <v>0</v>
      </c>
      <c r="R2318" s="51">
        <f>tblWorkPackages[[#This Row],[Actual labor hours]]-tblWorkPackages[[#This Row],[Estimated labor hours]]</f>
        <v>-0.9</v>
      </c>
      <c r="S2318" s="51" t="str">
        <f>IF(tblWorkPackages[[#This Row],[Request date serial]]&lt;ValidationStart,"Train 2024",IF(tblWorkPackages[[#This Row],[Request date serial]]&lt;HoldoutStart,"Validation H1","Holdout H2"))</f>
        <v>Train 2024</v>
      </c>
      <c r="T2318" s="51" t="str">
        <f>IF(tblWorkPackages[[#This Row],[Time split]]="Train 2024","",tblWorkPackages[[#This Row],[Estimated labor hours]]+VLOOKUP(tblWorkPackages[[#This Row],[Task type]],'Forecast validation'!$A$14:$E$25,IF(tblWorkPackages[[#This Row],[Time split]]="Validation H1",4,5),FALSE()))</f>
        <v/>
      </c>
      <c r="U2318" s="51" t="str">
        <f>IF(tblWorkPackages[[#This Row],[Calibrated forecast hours]]="","",ABS(tblWorkPackages[[#This Row],[Actual labor hours]]-tblWorkPackages[[#This Row],[Calibrated forecast hours]]))</f>
        <v/>
      </c>
      <c r="V2318" s="51">
        <f>IF(tblWorkPackages[[#This Row],[Time split]]="Train 2024",tblWorkPackages[[#This Row],[Estimated labor hours]],tblWorkPackages[[#This Row],[Calibrated forecast hours]])</f>
        <v>9.6</v>
      </c>
      <c r="W2318" s="64">
        <f>DATEVALUE(tblWorkPackages[[#This Row],[Request date]])</f>
        <v>45388.0</v>
      </c>
      <c r="X2318" s="64">
        <f>DATEVALUE(tblWorkPackages[[#This Row],[Due date]])</f>
        <v>45401.0</v>
      </c>
      <c r="Y2318" s="64">
        <f>DATEVALUE(tblWorkPackages[[#This Row],[Completion date]])</f>
        <v>45442.0</v>
      </c>
      <c r="Z2318" s="64">
        <f>_xlfn.MINIFS(tblLaborEntries[Work date serial],tblLaborEntries[Work package ID],tblWorkPackages[[#This Row],[Work package ID]])</f>
        <v>45442.0</v>
      </c>
      <c r="AA2318" s="64">
        <f>_xlfn.MAXIFS(tblLaborEntries[Work date serial],tblLaborEntries[Work package ID],tblWorkPackages[[#This Row],[Work package ID]])</f>
        <v>45442.0</v>
      </c>
      <c r="AB2318" s="65">
        <f>IF(tblWorkPackages[[#This Row],[Completion date serial]]&gt;tblWorkPackages[[#This Row],[Due date serial]],1,0)</f>
        <v>1</v>
      </c>
      <c r="AC2318" s="65">
        <f>MAX(0,tblWorkPackages[[#This Row],[Completion date serial]]-tblWorkPackages[[#This Row],[Due date serial]])</f>
        <v>41</v>
      </c>
      <c r="AD2318" s="65">
        <f>tblWorkPackages[[#This Row],[First labor date]]-tblWorkPackages[[#This Row],[Request date serial]]</f>
        <v>54</v>
      </c>
      <c r="AE2318" s="65">
        <f>tblWorkPackages[[#This Row],[Last labor date]]-tblWorkPackages[[#This Row],[First labor date]]</f>
        <v>0</v>
      </c>
      <c r="AF2318" s="65">
        <f>tblWorkPackages[[#This Row],[Completion date serial]]-tblWorkPackages[[#This Row],[Last labor date]]</f>
        <v>0</v>
      </c>
      <c r="AG2318" s="65">
        <f>tblWorkPackages[[#This Row],[Completion date serial]]-tblWorkPackages[[#This Row],[Request date serial]]</f>
        <v>54</v>
      </c>
      <c r="AH2318" s="65">
        <f>IFERROR(INDEX(tblParts[Delay days],MATCH(tblWorkPackages[[#This Row],[Work package ID]],tblParts[Work package ID],0)),0)</f>
        <v>0</v>
      </c>
      <c r="AI2318" s="51" t="str">
        <f>IFERROR(INDEX(tblDisruptions[Event type],MATCH(tblWorkPackages[[#This Row],[Work package ID]],tblDisruptions[Work package ID],0)),"None")</f>
        <v>None</v>
      </c>
      <c r="AJ2318" s="51" t="str">
        <f>TEXT(tblWorkPackages[[#This Row],[Due date serial]],"yyyy-mm")</f>
        <v>2024-04</v>
      </c>
    </row>
    <row r="2319" spans="1:36" ht="15" x14ac:dyDescent="0.25">
      <c r="A2319" s="53" t="s">
        <v>3237</v>
      </c>
      <c r="B2319" s="53" t="s">
        <v>203</v>
      </c>
      <c r="C2319" s="53" t="s">
        <v>584</v>
      </c>
      <c r="D2319" s="53" t="s">
        <v>459</v>
      </c>
      <c r="E2319" s="53" t="s">
        <v>136</v>
      </c>
      <c r="F2319" s="53" t="s">
        <v>137</v>
      </c>
      <c r="G2319" s="53" t="s">
        <v>138</v>
      </c>
      <c r="H2319" s="53">
        <v>1</v>
      </c>
      <c r="I2319" s="53" t="s">
        <v>130</v>
      </c>
      <c r="J2319" s="53">
        <v>0</v>
      </c>
      <c r="K2319" s="53">
        <v>1</v>
      </c>
      <c r="L2319" s="53">
        <v>8.1999999999999993</v>
      </c>
      <c r="M2319" s="53" t="s">
        <v>520</v>
      </c>
      <c r="N2319" s="53">
        <v>8.6</v>
      </c>
      <c r="O2319" s="51" t="str">
        <f>TEXT(tblWorkPackages[[#This Row],[Request date serial]]-WEEKDAY(tblWorkPackages[[#This Row],[Request date serial]],3),"yyyy-mm-dd")</f>
        <v>2025-08-04</v>
      </c>
      <c r="P2319" s="51">
        <f>ABS(tblWorkPackages[[#This Row],[Actual labor hours]]-tblWorkPackages[[#This Row],[Estimated labor hours]])</f>
        <v>0.4</v>
      </c>
      <c r="Q2319" s="51">
        <f>IF(tblWorkPackages[[#This Row],[Actual labor hours]]&gt;tblWorkPackages[[#This Row],[Estimated labor hours]],1,0)</f>
        <v>1</v>
      </c>
      <c r="R2319" s="51">
        <f>tblWorkPackages[[#This Row],[Actual labor hours]]-tblWorkPackages[[#This Row],[Estimated labor hours]]</f>
        <v>0.4</v>
      </c>
      <c r="S2319" s="51" t="str">
        <f>IF(tblWorkPackages[[#This Row],[Request date serial]]&lt;ValidationStart,"Train 2024",IF(tblWorkPackages[[#This Row],[Request date serial]]&lt;HoldoutStart,"Validation H1","Holdout H2"))</f>
        <v>Holdout H2</v>
      </c>
      <c r="T2319" s="51">
        <f>IF(tblWorkPackages[[#This Row],[Time split]]="Train 2024","",tblWorkPackages[[#This Row],[Estimated labor hours]]+VLOOKUP(tblWorkPackages[[#This Row],[Task type]],'Forecast validation'!$A$14:$E$25,IF(tblWorkPackages[[#This Row],[Time split]]="Validation H1",4,5),FALSE()))</f>
        <v>9.12075471698113</v>
      </c>
      <c r="U2319" s="51">
        <f>IF(tblWorkPackages[[#This Row],[Calibrated forecast hours]]="","",ABS(tblWorkPackages[[#This Row],[Actual labor hours]]-tblWorkPackages[[#This Row],[Calibrated forecast hours]]))</f>
        <v>0.520754716981131</v>
      </c>
      <c r="V2319" s="51">
        <f>IF(tblWorkPackages[[#This Row],[Time split]]="Train 2024",tblWorkPackages[[#This Row],[Estimated labor hours]],tblWorkPackages[[#This Row],[Calibrated forecast hours]])</f>
        <v>9.12075471698113</v>
      </c>
      <c r="W2319" s="64">
        <f>DATEVALUE(tblWorkPackages[[#This Row],[Request date]])</f>
        <v>45879.0</v>
      </c>
      <c r="X2319" s="64">
        <f>DATEVALUE(tblWorkPackages[[#This Row],[Due date]])</f>
        <v>45892.0</v>
      </c>
      <c r="Y2319" s="64">
        <f>DATEVALUE(tblWorkPackages[[#This Row],[Completion date]])</f>
        <v>45890.0</v>
      </c>
      <c r="Z2319" s="64">
        <f>_xlfn.MINIFS(tblLaborEntries[Work date serial],tblLaborEntries[Work package ID],tblWorkPackages[[#This Row],[Work package ID]])</f>
        <v>45887.0</v>
      </c>
      <c r="AA2319" s="64">
        <f>_xlfn.MAXIFS(tblLaborEntries[Work date serial],tblLaborEntries[Work package ID],tblWorkPackages[[#This Row],[Work package ID]])</f>
        <v>45889.0</v>
      </c>
      <c r="AB2319" s="65">
        <f>IF(tblWorkPackages[[#This Row],[Completion date serial]]&gt;tblWorkPackages[[#This Row],[Due date serial]],1,0)</f>
        <v>0</v>
      </c>
      <c r="AC2319" s="65">
        <f>MAX(0,tblWorkPackages[[#This Row],[Completion date serial]]-tblWorkPackages[[#This Row],[Due date serial]])</f>
        <v>0</v>
      </c>
      <c r="AD2319" s="65">
        <f>tblWorkPackages[[#This Row],[First labor date]]-tblWorkPackages[[#This Row],[Request date serial]]</f>
        <v>8</v>
      </c>
      <c r="AE2319" s="65">
        <f>tblWorkPackages[[#This Row],[Last labor date]]-tblWorkPackages[[#This Row],[First labor date]]</f>
        <v>2</v>
      </c>
      <c r="AF2319" s="65">
        <f>tblWorkPackages[[#This Row],[Completion date serial]]-tblWorkPackages[[#This Row],[Last labor date]]</f>
        <v>1</v>
      </c>
      <c r="AG2319" s="65">
        <f>tblWorkPackages[[#This Row],[Completion date serial]]-tblWorkPackages[[#This Row],[Request date serial]]</f>
        <v>11</v>
      </c>
      <c r="AH2319" s="65">
        <f>IFERROR(INDEX(tblParts[Delay days],MATCH(tblWorkPackages[[#This Row],[Work package ID]],tblParts[Work package ID],0)),0)</f>
        <v>0</v>
      </c>
      <c r="AI2319" s="51" t="str">
        <f>IFERROR(INDEX(tblDisruptions[Event type],MATCH(tblWorkPackages[[#This Row],[Work package ID]],tblDisruptions[Work package ID],0)),"None")</f>
        <v>None</v>
      </c>
      <c r="AJ2319" s="51" t="str">
        <f>TEXT(tblWorkPackages[[#This Row],[Due date serial]],"yyyy-mm")</f>
        <v>2025-08</v>
      </c>
    </row>
    <row r="2320" spans="1:36" ht="15" x14ac:dyDescent="0.25">
      <c r="A2320" s="53" t="s">
        <v>3238</v>
      </c>
      <c r="B2320" s="53" t="s">
        <v>141</v>
      </c>
      <c r="C2320" s="53" t="s">
        <v>276</v>
      </c>
      <c r="D2320" s="53" t="s">
        <v>509</v>
      </c>
      <c r="E2320" s="53" t="s">
        <v>136</v>
      </c>
      <c r="F2320" s="53" t="s">
        <v>137</v>
      </c>
      <c r="G2320" s="53" t="s">
        <v>138</v>
      </c>
      <c r="H2320" s="53">
        <v>1</v>
      </c>
      <c r="I2320" s="53" t="s">
        <v>130</v>
      </c>
      <c r="J2320" s="53">
        <v>0</v>
      </c>
      <c r="K2320" s="53">
        <v>0</v>
      </c>
      <c r="L2320" s="53">
        <v>8.1999999999999993</v>
      </c>
      <c r="M2320" s="53" t="s">
        <v>723</v>
      </c>
      <c r="N2320" s="53">
        <v>8.6</v>
      </c>
      <c r="O2320" s="51" t="str">
        <f>TEXT(tblWorkPackages[[#This Row],[Request date serial]]-WEEKDAY(tblWorkPackages[[#This Row],[Request date serial]],3),"yyyy-mm-dd")</f>
        <v>2024-10-14</v>
      </c>
      <c r="P2320" s="51">
        <f>ABS(tblWorkPackages[[#This Row],[Actual labor hours]]-tblWorkPackages[[#This Row],[Estimated labor hours]])</f>
        <v>0.4</v>
      </c>
      <c r="Q2320" s="51">
        <f>IF(tblWorkPackages[[#This Row],[Actual labor hours]]&gt;tblWorkPackages[[#This Row],[Estimated labor hours]],1,0)</f>
        <v>1</v>
      </c>
      <c r="R2320" s="51">
        <f>tblWorkPackages[[#This Row],[Actual labor hours]]-tblWorkPackages[[#This Row],[Estimated labor hours]]</f>
        <v>0.4</v>
      </c>
      <c r="S2320" s="51" t="str">
        <f>IF(tblWorkPackages[[#This Row],[Request date serial]]&lt;ValidationStart,"Train 2024",IF(tblWorkPackages[[#This Row],[Request date serial]]&lt;HoldoutStart,"Validation H1","Holdout H2"))</f>
        <v>Train 2024</v>
      </c>
      <c r="T2320" s="51" t="str">
        <f>IF(tblWorkPackages[[#This Row],[Time split]]="Train 2024","",tblWorkPackages[[#This Row],[Estimated labor hours]]+VLOOKUP(tblWorkPackages[[#This Row],[Task type]],'Forecast validation'!$A$14:$E$25,IF(tblWorkPackages[[#This Row],[Time split]]="Validation H1",4,5),FALSE()))</f>
        <v/>
      </c>
      <c r="U2320" s="51" t="str">
        <f>IF(tblWorkPackages[[#This Row],[Calibrated forecast hours]]="","",ABS(tblWorkPackages[[#This Row],[Actual labor hours]]-tblWorkPackages[[#This Row],[Calibrated forecast hours]]))</f>
        <v/>
      </c>
      <c r="V2320" s="51">
        <f>IF(tblWorkPackages[[#This Row],[Time split]]="Train 2024",tblWorkPackages[[#This Row],[Estimated labor hours]],tblWorkPackages[[#This Row],[Calibrated forecast hours]])</f>
        <v>8.2</v>
      </c>
      <c r="W2320" s="64">
        <f>DATEVALUE(tblWorkPackages[[#This Row],[Request date]])</f>
        <v>45584.0</v>
      </c>
      <c r="X2320" s="64">
        <f>DATEVALUE(tblWorkPackages[[#This Row],[Due date]])</f>
        <v>45597.0</v>
      </c>
      <c r="Y2320" s="64">
        <f>DATEVALUE(tblWorkPackages[[#This Row],[Completion date]])</f>
        <v>45589.0</v>
      </c>
      <c r="Z2320" s="64">
        <f>_xlfn.MINIFS(tblLaborEntries[Work date serial],tblLaborEntries[Work package ID],tblWorkPackages[[#This Row],[Work package ID]])</f>
        <v>45586.0</v>
      </c>
      <c r="AA2320" s="64">
        <f>_xlfn.MAXIFS(tblLaborEntries[Work date serial],tblLaborEntries[Work package ID],tblWorkPackages[[#This Row],[Work package ID]])</f>
        <v>45587.0</v>
      </c>
      <c r="AB2320" s="65">
        <f>IF(tblWorkPackages[[#This Row],[Completion date serial]]&gt;tblWorkPackages[[#This Row],[Due date serial]],1,0)</f>
        <v>0</v>
      </c>
      <c r="AC2320" s="65">
        <f>MAX(0,tblWorkPackages[[#This Row],[Completion date serial]]-tblWorkPackages[[#This Row],[Due date serial]])</f>
        <v>0</v>
      </c>
      <c r="AD2320" s="65">
        <f>tblWorkPackages[[#This Row],[First labor date]]-tblWorkPackages[[#This Row],[Request date serial]]</f>
        <v>2</v>
      </c>
      <c r="AE2320" s="65">
        <f>tblWorkPackages[[#This Row],[Last labor date]]-tblWorkPackages[[#This Row],[First labor date]]</f>
        <v>1</v>
      </c>
      <c r="AF2320" s="65">
        <f>tblWorkPackages[[#This Row],[Completion date serial]]-tblWorkPackages[[#This Row],[Last labor date]]</f>
        <v>2</v>
      </c>
      <c r="AG2320" s="65">
        <f>tblWorkPackages[[#This Row],[Completion date serial]]-tblWorkPackages[[#This Row],[Request date serial]]</f>
        <v>5</v>
      </c>
      <c r="AH2320" s="65">
        <f>IFERROR(INDEX(tblParts[Delay days],MATCH(tblWorkPackages[[#This Row],[Work package ID]],tblParts[Work package ID],0)),0)</f>
        <v>0</v>
      </c>
      <c r="AI2320" s="51" t="str">
        <f>IFERROR(INDEX(tblDisruptions[Event type],MATCH(tblWorkPackages[[#This Row],[Work package ID]],tblDisruptions[Work package ID],0)),"None")</f>
        <v>None</v>
      </c>
      <c r="AJ2320" s="51" t="str">
        <f>TEXT(tblWorkPackages[[#This Row],[Due date serial]],"yyyy-mm")</f>
        <v>2024-11</v>
      </c>
    </row>
    <row r="2321" spans="1:36" ht="15" x14ac:dyDescent="0.25">
      <c r="A2321" s="53" t="s">
        <v>3239</v>
      </c>
      <c r="B2321" s="53" t="s">
        <v>235</v>
      </c>
      <c r="C2321" s="53" t="s">
        <v>1466</v>
      </c>
      <c r="D2321" s="53" t="s">
        <v>748</v>
      </c>
      <c r="E2321" s="53" t="s">
        <v>153</v>
      </c>
      <c r="F2321" s="53" t="s">
        <v>128</v>
      </c>
      <c r="G2321" s="53" t="s">
        <v>154</v>
      </c>
      <c r="H2321" s="53">
        <v>3</v>
      </c>
      <c r="I2321" s="53" t="s">
        <v>176</v>
      </c>
      <c r="J2321" s="53">
        <v>0</v>
      </c>
      <c r="K2321" s="53">
        <v>0</v>
      </c>
      <c r="L2321" s="53">
        <v>13.6</v>
      </c>
      <c r="M2321" s="53" t="s">
        <v>1067</v>
      </c>
      <c r="N2321" s="53">
        <v>12.9</v>
      </c>
      <c r="O2321" s="51" t="str">
        <f>TEXT(tblWorkPackages[[#This Row],[Request date serial]]-WEEKDAY(tblWorkPackages[[#This Row],[Request date serial]],3),"yyyy-mm-dd")</f>
        <v>2024-02-05</v>
      </c>
      <c r="P2321" s="51">
        <f>ABS(tblWorkPackages[[#This Row],[Actual labor hours]]-tblWorkPackages[[#This Row],[Estimated labor hours]])</f>
        <v>0.699999999999999</v>
      </c>
      <c r="Q2321" s="51">
        <f>IF(tblWorkPackages[[#This Row],[Actual labor hours]]&gt;tblWorkPackages[[#This Row],[Estimated labor hours]],1,0)</f>
        <v>0</v>
      </c>
      <c r="R2321" s="51">
        <f>tblWorkPackages[[#This Row],[Actual labor hours]]-tblWorkPackages[[#This Row],[Estimated labor hours]]</f>
        <v>-0.699999999999999</v>
      </c>
      <c r="S2321" s="51" t="str">
        <f>IF(tblWorkPackages[[#This Row],[Request date serial]]&lt;ValidationStart,"Train 2024",IF(tblWorkPackages[[#This Row],[Request date serial]]&lt;HoldoutStart,"Validation H1","Holdout H2"))</f>
        <v>Train 2024</v>
      </c>
      <c r="T2321" s="51" t="str">
        <f>IF(tblWorkPackages[[#This Row],[Time split]]="Train 2024","",tblWorkPackages[[#This Row],[Estimated labor hours]]+VLOOKUP(tblWorkPackages[[#This Row],[Task type]],'Forecast validation'!$A$14:$E$25,IF(tblWorkPackages[[#This Row],[Time split]]="Validation H1",4,5),FALSE()))</f>
        <v/>
      </c>
      <c r="U2321" s="51" t="str">
        <f>IF(tblWorkPackages[[#This Row],[Calibrated forecast hours]]="","",ABS(tblWorkPackages[[#This Row],[Actual labor hours]]-tblWorkPackages[[#This Row],[Calibrated forecast hours]]))</f>
        <v/>
      </c>
      <c r="V2321" s="51">
        <f>IF(tblWorkPackages[[#This Row],[Time split]]="Train 2024",tblWorkPackages[[#This Row],[Estimated labor hours]],tblWorkPackages[[#This Row],[Calibrated forecast hours]])</f>
        <v>13.6</v>
      </c>
      <c r="W2321" s="64">
        <f>DATEVALUE(tblWorkPackages[[#This Row],[Request date]])</f>
        <v>45333.0</v>
      </c>
      <c r="X2321" s="64">
        <f>DATEVALUE(tblWorkPackages[[#This Row],[Due date]])</f>
        <v>45339.0</v>
      </c>
      <c r="Y2321" s="64">
        <f>DATEVALUE(tblWorkPackages[[#This Row],[Completion date]])</f>
        <v>45357.0</v>
      </c>
      <c r="Z2321" s="64">
        <f>_xlfn.MINIFS(tblLaborEntries[Work date serial],tblLaborEntries[Work package ID],tblWorkPackages[[#This Row],[Work package ID]])</f>
        <v>45354.0</v>
      </c>
      <c r="AA2321" s="64">
        <f>_xlfn.MAXIFS(tblLaborEntries[Work date serial],tblLaborEntries[Work package ID],tblWorkPackages[[#This Row],[Work package ID]])</f>
        <v>45354.0</v>
      </c>
      <c r="AB2321" s="65">
        <f>IF(tblWorkPackages[[#This Row],[Completion date serial]]&gt;tblWorkPackages[[#This Row],[Due date serial]],1,0)</f>
        <v>1</v>
      </c>
      <c r="AC2321" s="65">
        <f>MAX(0,tblWorkPackages[[#This Row],[Completion date serial]]-tblWorkPackages[[#This Row],[Due date serial]])</f>
        <v>18</v>
      </c>
      <c r="AD2321" s="65">
        <f>tblWorkPackages[[#This Row],[First labor date]]-tblWorkPackages[[#This Row],[Request date serial]]</f>
        <v>21</v>
      </c>
      <c r="AE2321" s="65">
        <f>tblWorkPackages[[#This Row],[Last labor date]]-tblWorkPackages[[#This Row],[First labor date]]</f>
        <v>0</v>
      </c>
      <c r="AF2321" s="65">
        <f>tblWorkPackages[[#This Row],[Completion date serial]]-tblWorkPackages[[#This Row],[Last labor date]]</f>
        <v>3</v>
      </c>
      <c r="AG2321" s="65">
        <f>tblWorkPackages[[#This Row],[Completion date serial]]-tblWorkPackages[[#This Row],[Request date serial]]</f>
        <v>24</v>
      </c>
      <c r="AH2321" s="65">
        <f>IFERROR(INDEX(tblParts[Delay days],MATCH(tblWorkPackages[[#This Row],[Work package ID]],tblParts[Work package ID],0)),0)</f>
        <v>0</v>
      </c>
      <c r="AI2321" s="51" t="str">
        <f>IFERROR(INDEX(tblDisruptions[Event type],MATCH(tblWorkPackages[[#This Row],[Work package ID]],tblDisruptions[Work package ID],0)),"None")</f>
        <v>None</v>
      </c>
      <c r="AJ2321" s="51" t="str">
        <f>TEXT(tblWorkPackages[[#This Row],[Due date serial]],"yyyy-mm")</f>
        <v>2024-02</v>
      </c>
    </row>
    <row r="2322" spans="1:36" ht="15" x14ac:dyDescent="0.25">
      <c r="A2322" s="53" t="s">
        <v>3240</v>
      </c>
      <c r="B2322" s="53" t="s">
        <v>124</v>
      </c>
      <c r="C2322" s="53" t="s">
        <v>509</v>
      </c>
      <c r="D2322" s="53" t="s">
        <v>794</v>
      </c>
      <c r="E2322" s="53" t="s">
        <v>181</v>
      </c>
      <c r="F2322" s="53" t="s">
        <v>182</v>
      </c>
      <c r="G2322" s="53" t="s">
        <v>138</v>
      </c>
      <c r="H2322" s="53">
        <v>3</v>
      </c>
      <c r="I2322" s="53" t="s">
        <v>130</v>
      </c>
      <c r="J2322" s="53">
        <v>0</v>
      </c>
      <c r="K2322" s="53">
        <v>1</v>
      </c>
      <c r="L2322" s="53">
        <v>9.5</v>
      </c>
      <c r="M2322" s="53" t="s">
        <v>948</v>
      </c>
      <c r="N2322" s="53">
        <v>10.1</v>
      </c>
      <c r="O2322" s="51" t="str">
        <f>TEXT(tblWorkPackages[[#This Row],[Request date serial]]-WEEKDAY(tblWorkPackages[[#This Row],[Request date serial]],3),"yyyy-mm-dd")</f>
        <v>2024-10-28</v>
      </c>
      <c r="P2322" s="51">
        <f>ABS(tblWorkPackages[[#This Row],[Actual labor hours]]-tblWorkPackages[[#This Row],[Estimated labor hours]])</f>
        <v>0.6</v>
      </c>
      <c r="Q2322" s="51">
        <f>IF(tblWorkPackages[[#This Row],[Actual labor hours]]&gt;tblWorkPackages[[#This Row],[Estimated labor hours]],1,0)</f>
        <v>1</v>
      </c>
      <c r="R2322" s="51">
        <f>tblWorkPackages[[#This Row],[Actual labor hours]]-tblWorkPackages[[#This Row],[Estimated labor hours]]</f>
        <v>0.6</v>
      </c>
      <c r="S2322" s="51" t="str">
        <f>IF(tblWorkPackages[[#This Row],[Request date serial]]&lt;ValidationStart,"Train 2024",IF(tblWorkPackages[[#This Row],[Request date serial]]&lt;HoldoutStart,"Validation H1","Holdout H2"))</f>
        <v>Train 2024</v>
      </c>
      <c r="T2322" s="51" t="str">
        <f>IF(tblWorkPackages[[#This Row],[Time split]]="Train 2024","",tblWorkPackages[[#This Row],[Estimated labor hours]]+VLOOKUP(tblWorkPackages[[#This Row],[Task type]],'Forecast validation'!$A$14:$E$25,IF(tblWorkPackages[[#This Row],[Time split]]="Validation H1",4,5),FALSE()))</f>
        <v/>
      </c>
      <c r="U2322" s="51" t="str">
        <f>IF(tblWorkPackages[[#This Row],[Calibrated forecast hours]]="","",ABS(tblWorkPackages[[#This Row],[Actual labor hours]]-tblWorkPackages[[#This Row],[Calibrated forecast hours]]))</f>
        <v/>
      </c>
      <c r="V2322" s="51">
        <f>IF(tblWorkPackages[[#This Row],[Time split]]="Train 2024",tblWorkPackages[[#This Row],[Estimated labor hours]],tblWorkPackages[[#This Row],[Calibrated forecast hours]])</f>
        <v>9.5</v>
      </c>
      <c r="W2322" s="64">
        <f>DATEVALUE(tblWorkPackages[[#This Row],[Request date]])</f>
        <v>45597.0</v>
      </c>
      <c r="X2322" s="64">
        <f>DATEVALUE(tblWorkPackages[[#This Row],[Due date]])</f>
        <v>45610.0</v>
      </c>
      <c r="Y2322" s="64">
        <f>DATEVALUE(tblWorkPackages[[#This Row],[Completion date]])</f>
        <v>45603.0</v>
      </c>
      <c r="Z2322" s="64">
        <f>_xlfn.MINIFS(tblLaborEntries[Work date serial],tblLaborEntries[Work package ID],tblWorkPackages[[#This Row],[Work package ID]])</f>
        <v>45601.0</v>
      </c>
      <c r="AA2322" s="64">
        <f>_xlfn.MAXIFS(tblLaborEntries[Work date serial],tblLaborEntries[Work package ID],tblWorkPackages[[#This Row],[Work package ID]])</f>
        <v>45603.0</v>
      </c>
      <c r="AB2322" s="65">
        <f>IF(tblWorkPackages[[#This Row],[Completion date serial]]&gt;tblWorkPackages[[#This Row],[Due date serial]],1,0)</f>
        <v>0</v>
      </c>
      <c r="AC2322" s="65">
        <f>MAX(0,tblWorkPackages[[#This Row],[Completion date serial]]-tblWorkPackages[[#This Row],[Due date serial]])</f>
        <v>0</v>
      </c>
      <c r="AD2322" s="65">
        <f>tblWorkPackages[[#This Row],[First labor date]]-tblWorkPackages[[#This Row],[Request date serial]]</f>
        <v>4</v>
      </c>
      <c r="AE2322" s="65">
        <f>tblWorkPackages[[#This Row],[Last labor date]]-tblWorkPackages[[#This Row],[First labor date]]</f>
        <v>2</v>
      </c>
      <c r="AF2322" s="65">
        <f>tblWorkPackages[[#This Row],[Completion date serial]]-tblWorkPackages[[#This Row],[Last labor date]]</f>
        <v>0</v>
      </c>
      <c r="AG2322" s="65">
        <f>tblWorkPackages[[#This Row],[Completion date serial]]-tblWorkPackages[[#This Row],[Request date serial]]</f>
        <v>6</v>
      </c>
      <c r="AH2322" s="65">
        <f>IFERROR(INDEX(tblParts[Delay days],MATCH(tblWorkPackages[[#This Row],[Work package ID]],tblParts[Work package ID],0)),0)</f>
        <v>0</v>
      </c>
      <c r="AI2322" s="51" t="str">
        <f>IFERROR(INDEX(tblDisruptions[Event type],MATCH(tblWorkPackages[[#This Row],[Work package ID]],tblDisruptions[Work package ID],0)),"None")</f>
        <v>None</v>
      </c>
      <c r="AJ2322" s="51" t="str">
        <f>TEXT(tblWorkPackages[[#This Row],[Due date serial]],"yyyy-mm")</f>
        <v>2024-11</v>
      </c>
    </row>
    <row r="2323" spans="1:36" ht="15" x14ac:dyDescent="0.25">
      <c r="A2323" s="53" t="s">
        <v>3241</v>
      </c>
      <c r="B2323" s="53" t="s">
        <v>150</v>
      </c>
      <c r="C2323" s="53" t="s">
        <v>984</v>
      </c>
      <c r="D2323" s="53" t="s">
        <v>1504</v>
      </c>
      <c r="E2323" s="53" t="s">
        <v>136</v>
      </c>
      <c r="F2323" s="53" t="s">
        <v>137</v>
      </c>
      <c r="G2323" s="53" t="s">
        <v>138</v>
      </c>
      <c r="H2323" s="53">
        <v>4</v>
      </c>
      <c r="I2323" s="53" t="s">
        <v>176</v>
      </c>
      <c r="J2323" s="53">
        <v>0</v>
      </c>
      <c r="K2323" s="53">
        <v>0</v>
      </c>
      <c r="L2323" s="53">
        <v>27.7</v>
      </c>
      <c r="M2323" s="53" t="s">
        <v>1234</v>
      </c>
      <c r="N2323" s="53">
        <v>31.5</v>
      </c>
      <c r="O2323" s="51" t="str">
        <f>TEXT(tblWorkPackages[[#This Row],[Request date serial]]-WEEKDAY(tblWorkPackages[[#This Row],[Request date serial]],3),"yyyy-mm-dd")</f>
        <v>2025-07-14</v>
      </c>
      <c r="P2323" s="51">
        <f>ABS(tblWorkPackages[[#This Row],[Actual labor hours]]-tblWorkPackages[[#This Row],[Estimated labor hours]])</f>
        <v>3.8</v>
      </c>
      <c r="Q2323" s="51">
        <f>IF(tblWorkPackages[[#This Row],[Actual labor hours]]&gt;tblWorkPackages[[#This Row],[Estimated labor hours]],1,0)</f>
        <v>1</v>
      </c>
      <c r="R2323" s="51">
        <f>tblWorkPackages[[#This Row],[Actual labor hours]]-tblWorkPackages[[#This Row],[Estimated labor hours]]</f>
        <v>3.8</v>
      </c>
      <c r="S2323" s="51" t="str">
        <f>IF(tblWorkPackages[[#This Row],[Request date serial]]&lt;ValidationStart,"Train 2024",IF(tblWorkPackages[[#This Row],[Request date serial]]&lt;HoldoutStart,"Validation H1","Holdout H2"))</f>
        <v>Holdout H2</v>
      </c>
      <c r="T2323" s="51">
        <f>IF(tblWorkPackages[[#This Row],[Time split]]="Train 2024","",tblWorkPackages[[#This Row],[Estimated labor hours]]+VLOOKUP(tblWorkPackages[[#This Row],[Task type]],'Forecast validation'!$A$14:$E$25,IF(tblWorkPackages[[#This Row],[Time split]]="Validation H1",4,5),FALSE()))</f>
        <v>28.6207547169811</v>
      </c>
      <c r="U2323" s="51">
        <f>IF(tblWorkPackages[[#This Row],[Calibrated forecast hours]]="","",ABS(tblWorkPackages[[#This Row],[Actual labor hours]]-tblWorkPackages[[#This Row],[Calibrated forecast hours]]))</f>
        <v>2.87924528301887</v>
      </c>
      <c r="V2323" s="51">
        <f>IF(tblWorkPackages[[#This Row],[Time split]]="Train 2024",tblWorkPackages[[#This Row],[Estimated labor hours]],tblWorkPackages[[#This Row],[Calibrated forecast hours]])</f>
        <v>28.6207547169811</v>
      </c>
      <c r="W2323" s="64">
        <f>DATEVALUE(tblWorkPackages[[#This Row],[Request date]])</f>
        <v>45855.0</v>
      </c>
      <c r="X2323" s="64">
        <f>DATEVALUE(tblWorkPackages[[#This Row],[Due date]])</f>
        <v>45861.0</v>
      </c>
      <c r="Y2323" s="64">
        <f>DATEVALUE(tblWorkPackages[[#This Row],[Completion date]])</f>
        <v>45859.0</v>
      </c>
      <c r="Z2323" s="64">
        <f>_xlfn.MINIFS(tblLaborEntries[Work date serial],tblLaborEntries[Work package ID],tblWorkPackages[[#This Row],[Work package ID]])</f>
        <v>45856.0</v>
      </c>
      <c r="AA2323" s="64">
        <f>_xlfn.MAXIFS(tblLaborEntries[Work date serial],tblLaborEntries[Work package ID],tblWorkPackages[[#This Row],[Work package ID]])</f>
        <v>45858.0</v>
      </c>
      <c r="AB2323" s="65">
        <f>IF(tblWorkPackages[[#This Row],[Completion date serial]]&gt;tblWorkPackages[[#This Row],[Due date serial]],1,0)</f>
        <v>0</v>
      </c>
      <c r="AC2323" s="65">
        <f>MAX(0,tblWorkPackages[[#This Row],[Completion date serial]]-tblWorkPackages[[#This Row],[Due date serial]])</f>
        <v>0</v>
      </c>
      <c r="AD2323" s="65">
        <f>tblWorkPackages[[#This Row],[First labor date]]-tblWorkPackages[[#This Row],[Request date serial]]</f>
        <v>1</v>
      </c>
      <c r="AE2323" s="65">
        <f>tblWorkPackages[[#This Row],[Last labor date]]-tblWorkPackages[[#This Row],[First labor date]]</f>
        <v>2</v>
      </c>
      <c r="AF2323" s="65">
        <f>tblWorkPackages[[#This Row],[Completion date serial]]-tblWorkPackages[[#This Row],[Last labor date]]</f>
        <v>1</v>
      </c>
      <c r="AG2323" s="65">
        <f>tblWorkPackages[[#This Row],[Completion date serial]]-tblWorkPackages[[#This Row],[Request date serial]]</f>
        <v>4</v>
      </c>
      <c r="AH2323" s="65">
        <f>IFERROR(INDEX(tblParts[Delay days],MATCH(tblWorkPackages[[#This Row],[Work package ID]],tblParts[Work package ID],0)),0)</f>
        <v>0</v>
      </c>
      <c r="AI2323" s="51" t="str">
        <f>IFERROR(INDEX(tblDisruptions[Event type],MATCH(tblWorkPackages[[#This Row],[Work package ID]],tblDisruptions[Work package ID],0)),"None")</f>
        <v>None</v>
      </c>
      <c r="AJ2323" s="51" t="str">
        <f>TEXT(tblWorkPackages[[#This Row],[Due date serial]],"yyyy-mm")</f>
        <v>2025-07</v>
      </c>
    </row>
    <row r="2324" spans="1:36" ht="15" x14ac:dyDescent="0.25">
      <c r="A2324" s="53" t="s">
        <v>3242</v>
      </c>
      <c r="B2324" s="53" t="s">
        <v>235</v>
      </c>
      <c r="C2324" s="53" t="s">
        <v>1301</v>
      </c>
      <c r="D2324" s="53" t="s">
        <v>1581</v>
      </c>
      <c r="E2324" s="53" t="s">
        <v>223</v>
      </c>
      <c r="F2324" s="53" t="s">
        <v>182</v>
      </c>
      <c r="G2324" s="53" t="s">
        <v>154</v>
      </c>
      <c r="H2324" s="53">
        <v>3</v>
      </c>
      <c r="I2324" s="53" t="s">
        <v>176</v>
      </c>
      <c r="J2324" s="53">
        <v>0</v>
      </c>
      <c r="K2324" s="53">
        <v>0</v>
      </c>
      <c r="L2324" s="53">
        <v>15</v>
      </c>
      <c r="M2324" s="53" t="s">
        <v>768</v>
      </c>
      <c r="N2324" s="53">
        <v>17.600000000000001</v>
      </c>
      <c r="O2324" s="51" t="str">
        <f>TEXT(tblWorkPackages[[#This Row],[Request date serial]]-WEEKDAY(tblWorkPackages[[#This Row],[Request date serial]],3),"yyyy-mm-dd")</f>
        <v>2025-11-24</v>
      </c>
      <c r="P2324" s="51">
        <f>ABS(tblWorkPackages[[#This Row],[Actual labor hours]]-tblWorkPackages[[#This Row],[Estimated labor hours]])</f>
        <v>2.6</v>
      </c>
      <c r="Q2324" s="51">
        <f>IF(tblWorkPackages[[#This Row],[Actual labor hours]]&gt;tblWorkPackages[[#This Row],[Estimated labor hours]],1,0)</f>
        <v>1</v>
      </c>
      <c r="R2324" s="51">
        <f>tblWorkPackages[[#This Row],[Actual labor hours]]-tblWorkPackages[[#This Row],[Estimated labor hours]]</f>
        <v>2.6</v>
      </c>
      <c r="S2324" s="51" t="str">
        <f>IF(tblWorkPackages[[#This Row],[Request date serial]]&lt;ValidationStart,"Train 2024",IF(tblWorkPackages[[#This Row],[Request date serial]]&lt;HoldoutStart,"Validation H1","Holdout H2"))</f>
        <v>Holdout H2</v>
      </c>
      <c r="T2324" s="51">
        <f>IF(tblWorkPackages[[#This Row],[Time split]]="Train 2024","",tblWorkPackages[[#This Row],[Estimated labor hours]]+VLOOKUP(tblWorkPackages[[#This Row],[Task type]],'Forecast validation'!$A$14:$E$25,IF(tblWorkPackages[[#This Row],[Time split]]="Validation H1",4,5),FALSE()))</f>
        <v>15.9246575342466</v>
      </c>
      <c r="U2324" s="51">
        <f>IF(tblWorkPackages[[#This Row],[Calibrated forecast hours]]="","",ABS(tblWorkPackages[[#This Row],[Actual labor hours]]-tblWorkPackages[[#This Row],[Calibrated forecast hours]]))</f>
        <v>1.67534246575343</v>
      </c>
      <c r="V2324" s="51">
        <f>IF(tblWorkPackages[[#This Row],[Time split]]="Train 2024",tblWorkPackages[[#This Row],[Estimated labor hours]],tblWorkPackages[[#This Row],[Calibrated forecast hours]])</f>
        <v>15.9246575342466</v>
      </c>
      <c r="W2324" s="64">
        <f>DATEVALUE(tblWorkPackages[[#This Row],[Request date]])</f>
        <v>45986.0</v>
      </c>
      <c r="X2324" s="64">
        <f>DATEVALUE(tblWorkPackages[[#This Row],[Due date]])</f>
        <v>45992.0</v>
      </c>
      <c r="Y2324" s="64">
        <f>DATEVALUE(tblWorkPackages[[#This Row],[Completion date]])</f>
        <v>46001.0</v>
      </c>
      <c r="Z2324" s="64">
        <f>_xlfn.MINIFS(tblLaborEntries[Work date serial],tblLaborEntries[Work package ID],tblWorkPackages[[#This Row],[Work package ID]])</f>
        <v>45998.0</v>
      </c>
      <c r="AA2324" s="64">
        <f>_xlfn.MAXIFS(tblLaborEntries[Work date serial],tblLaborEntries[Work package ID],tblWorkPackages[[#This Row],[Work package ID]])</f>
        <v>45999.0</v>
      </c>
      <c r="AB2324" s="65">
        <f>IF(tblWorkPackages[[#This Row],[Completion date serial]]&gt;tblWorkPackages[[#This Row],[Due date serial]],1,0)</f>
        <v>1</v>
      </c>
      <c r="AC2324" s="65">
        <f>MAX(0,tblWorkPackages[[#This Row],[Completion date serial]]-tblWorkPackages[[#This Row],[Due date serial]])</f>
        <v>9</v>
      </c>
      <c r="AD2324" s="65">
        <f>tblWorkPackages[[#This Row],[First labor date]]-tblWorkPackages[[#This Row],[Request date serial]]</f>
        <v>12</v>
      </c>
      <c r="AE2324" s="65">
        <f>tblWorkPackages[[#This Row],[Last labor date]]-tblWorkPackages[[#This Row],[First labor date]]</f>
        <v>1</v>
      </c>
      <c r="AF2324" s="65">
        <f>tblWorkPackages[[#This Row],[Completion date serial]]-tblWorkPackages[[#This Row],[Last labor date]]</f>
        <v>2</v>
      </c>
      <c r="AG2324" s="65">
        <f>tblWorkPackages[[#This Row],[Completion date serial]]-tblWorkPackages[[#This Row],[Request date serial]]</f>
        <v>15</v>
      </c>
      <c r="AH2324" s="65">
        <f>IFERROR(INDEX(tblParts[Delay days],MATCH(tblWorkPackages[[#This Row],[Work package ID]],tblParts[Work package ID],0)),0)</f>
        <v>0</v>
      </c>
      <c r="AI2324" s="51" t="str">
        <f>IFERROR(INDEX(tblDisruptions[Event type],MATCH(tblWorkPackages[[#This Row],[Work package ID]],tblDisruptions[Work package ID],0)),"None")</f>
        <v>None</v>
      </c>
      <c r="AJ2324" s="51" t="str">
        <f>TEXT(tblWorkPackages[[#This Row],[Due date serial]],"yyyy-mm")</f>
        <v>2025-12</v>
      </c>
    </row>
    <row r="2325" spans="1:36" ht="15" x14ac:dyDescent="0.25">
      <c r="A2325" s="53" t="s">
        <v>3243</v>
      </c>
      <c r="B2325" s="53" t="s">
        <v>141</v>
      </c>
      <c r="C2325" s="53" t="s">
        <v>143</v>
      </c>
      <c r="D2325" s="53" t="s">
        <v>1262</v>
      </c>
      <c r="E2325" s="53" t="s">
        <v>136</v>
      </c>
      <c r="F2325" s="53" t="s">
        <v>137</v>
      </c>
      <c r="G2325" s="53" t="s">
        <v>138</v>
      </c>
      <c r="H2325" s="53">
        <v>4</v>
      </c>
      <c r="I2325" s="53" t="s">
        <v>130</v>
      </c>
      <c r="J2325" s="53">
        <v>1</v>
      </c>
      <c r="K2325" s="53">
        <v>0</v>
      </c>
      <c r="L2325" s="53">
        <v>27.6</v>
      </c>
      <c r="M2325" s="53" t="s">
        <v>442</v>
      </c>
      <c r="N2325" s="53">
        <v>32.700000000000003</v>
      </c>
      <c r="O2325" s="51" t="str">
        <f>TEXT(tblWorkPackages[[#This Row],[Request date serial]]-WEEKDAY(tblWorkPackages[[#This Row],[Request date serial]],3),"yyyy-mm-dd")</f>
        <v>2024-01-29</v>
      </c>
      <c r="P2325" s="51">
        <f>ABS(tblWorkPackages[[#This Row],[Actual labor hours]]-tblWorkPackages[[#This Row],[Estimated labor hours]])</f>
        <v>5.1</v>
      </c>
      <c r="Q2325" s="51">
        <f>IF(tblWorkPackages[[#This Row],[Actual labor hours]]&gt;tblWorkPackages[[#This Row],[Estimated labor hours]],1,0)</f>
        <v>1</v>
      </c>
      <c r="R2325" s="51">
        <f>tblWorkPackages[[#This Row],[Actual labor hours]]-tblWorkPackages[[#This Row],[Estimated labor hours]]</f>
        <v>5.1</v>
      </c>
      <c r="S2325" s="51" t="str">
        <f>IF(tblWorkPackages[[#This Row],[Request date serial]]&lt;ValidationStart,"Train 2024",IF(tblWorkPackages[[#This Row],[Request date serial]]&lt;HoldoutStart,"Validation H1","Holdout H2"))</f>
        <v>Train 2024</v>
      </c>
      <c r="T2325" s="51" t="str">
        <f>IF(tblWorkPackages[[#This Row],[Time split]]="Train 2024","",tblWorkPackages[[#This Row],[Estimated labor hours]]+VLOOKUP(tblWorkPackages[[#This Row],[Task type]],'Forecast validation'!$A$14:$E$25,IF(tblWorkPackages[[#This Row],[Time split]]="Validation H1",4,5),FALSE()))</f>
        <v/>
      </c>
      <c r="U2325" s="51" t="str">
        <f>IF(tblWorkPackages[[#This Row],[Calibrated forecast hours]]="","",ABS(tblWorkPackages[[#This Row],[Actual labor hours]]-tblWorkPackages[[#This Row],[Calibrated forecast hours]]))</f>
        <v/>
      </c>
      <c r="V2325" s="51">
        <f>IF(tblWorkPackages[[#This Row],[Time split]]="Train 2024",tblWorkPackages[[#This Row],[Estimated labor hours]],tblWorkPackages[[#This Row],[Calibrated forecast hours]])</f>
        <v>27.6</v>
      </c>
      <c r="W2325" s="64">
        <f>DATEVALUE(tblWorkPackages[[#This Row],[Request date]])</f>
        <v>45324.0</v>
      </c>
      <c r="X2325" s="64">
        <f>DATEVALUE(tblWorkPackages[[#This Row],[Due date]])</f>
        <v>45337.0</v>
      </c>
      <c r="Y2325" s="64">
        <f>DATEVALUE(tblWorkPackages[[#This Row],[Completion date]])</f>
        <v>45330.0</v>
      </c>
      <c r="Z2325" s="64">
        <f>_xlfn.MINIFS(tblLaborEntries[Work date serial],tblLaborEntries[Work package ID],tblWorkPackages[[#This Row],[Work package ID]])</f>
        <v>45327.0</v>
      </c>
      <c r="AA2325" s="64">
        <f>_xlfn.MAXIFS(tblLaborEntries[Work date serial],tblLaborEntries[Work package ID],tblWorkPackages[[#This Row],[Work package ID]])</f>
        <v>45327.0</v>
      </c>
      <c r="AB2325" s="65">
        <f>IF(tblWorkPackages[[#This Row],[Completion date serial]]&gt;tblWorkPackages[[#This Row],[Due date serial]],1,0)</f>
        <v>0</v>
      </c>
      <c r="AC2325" s="65">
        <f>MAX(0,tblWorkPackages[[#This Row],[Completion date serial]]-tblWorkPackages[[#This Row],[Due date serial]])</f>
        <v>0</v>
      </c>
      <c r="AD2325" s="65">
        <f>tblWorkPackages[[#This Row],[First labor date]]-tblWorkPackages[[#This Row],[Request date serial]]</f>
        <v>3</v>
      </c>
      <c r="AE2325" s="65">
        <f>tblWorkPackages[[#This Row],[Last labor date]]-tblWorkPackages[[#This Row],[First labor date]]</f>
        <v>0</v>
      </c>
      <c r="AF2325" s="65">
        <f>tblWorkPackages[[#This Row],[Completion date serial]]-tblWorkPackages[[#This Row],[Last labor date]]</f>
        <v>3</v>
      </c>
      <c r="AG2325" s="65">
        <f>tblWorkPackages[[#This Row],[Completion date serial]]-tblWorkPackages[[#This Row],[Request date serial]]</f>
        <v>6</v>
      </c>
      <c r="AH2325" s="65">
        <f>IFERROR(INDEX(tblParts[Delay days],MATCH(tblWorkPackages[[#This Row],[Work package ID]],tblParts[Work package ID],0)),0)</f>
        <v>0</v>
      </c>
      <c r="AI2325" s="51" t="str">
        <f>IFERROR(INDEX(tblDisruptions[Event type],MATCH(tblWorkPackages[[#This Row],[Work package ID]],tblDisruptions[Work package ID],0)),"None")</f>
        <v>None</v>
      </c>
      <c r="AJ2325" s="51" t="str">
        <f>TEXT(tblWorkPackages[[#This Row],[Due date serial]],"yyyy-mm")</f>
        <v>2024-02</v>
      </c>
    </row>
    <row r="2326" spans="1:36" ht="15" x14ac:dyDescent="0.25">
      <c r="A2326" s="53" t="s">
        <v>3244</v>
      </c>
      <c r="B2326" s="53" t="s">
        <v>235</v>
      </c>
      <c r="C2326" s="53" t="s">
        <v>892</v>
      </c>
      <c r="D2326" s="53" t="s">
        <v>232</v>
      </c>
      <c r="E2326" s="53" t="s">
        <v>160</v>
      </c>
      <c r="F2326" s="53" t="s">
        <v>128</v>
      </c>
      <c r="G2326" s="53" t="s">
        <v>138</v>
      </c>
      <c r="H2326" s="53">
        <v>2</v>
      </c>
      <c r="I2326" s="53" t="s">
        <v>147</v>
      </c>
      <c r="J2326" s="53">
        <v>0</v>
      </c>
      <c r="K2326" s="53">
        <v>0</v>
      </c>
      <c r="L2326" s="53">
        <v>4.5</v>
      </c>
      <c r="M2326" s="53" t="s">
        <v>1085</v>
      </c>
      <c r="N2326" s="53">
        <v>5.0999999999999996</v>
      </c>
      <c r="O2326" s="51" t="str">
        <f>TEXT(tblWorkPackages[[#This Row],[Request date serial]]-WEEKDAY(tblWorkPackages[[#This Row],[Request date serial]],3),"yyyy-mm-dd")</f>
        <v>2025-01-06</v>
      </c>
      <c r="P2326" s="51">
        <f>ABS(tblWorkPackages[[#This Row],[Actual labor hours]]-tblWorkPackages[[#This Row],[Estimated labor hours]])</f>
        <v>0.6</v>
      </c>
      <c r="Q2326" s="51">
        <f>IF(tblWorkPackages[[#This Row],[Actual labor hours]]&gt;tblWorkPackages[[#This Row],[Estimated labor hours]],1,0)</f>
        <v>1</v>
      </c>
      <c r="R2326" s="51">
        <f>tblWorkPackages[[#This Row],[Actual labor hours]]-tblWorkPackages[[#This Row],[Estimated labor hours]]</f>
        <v>0.6</v>
      </c>
      <c r="S2326" s="51" t="str">
        <f>IF(tblWorkPackages[[#This Row],[Request date serial]]&lt;ValidationStart,"Train 2024",IF(tblWorkPackages[[#This Row],[Request date serial]]&lt;HoldoutStart,"Validation H1","Holdout H2"))</f>
        <v>Validation H1</v>
      </c>
      <c r="T2326" s="51">
        <f>IF(tblWorkPackages[[#This Row],[Time split]]="Train 2024","",tblWorkPackages[[#This Row],[Estimated labor hours]]+VLOOKUP(tblWorkPackages[[#This Row],[Task type]],'Forecast validation'!$A$14:$E$25,IF(tblWorkPackages[[#This Row],[Time split]]="Validation H1",4,5),FALSE()))</f>
        <v>4.94146341463415</v>
      </c>
      <c r="U2326" s="51">
        <f>IF(tblWorkPackages[[#This Row],[Calibrated forecast hours]]="","",ABS(tblWorkPackages[[#This Row],[Actual labor hours]]-tblWorkPackages[[#This Row],[Calibrated forecast hours]]))</f>
        <v>0.158536585365853</v>
      </c>
      <c r="V2326" s="51">
        <f>IF(tblWorkPackages[[#This Row],[Time split]]="Train 2024",tblWorkPackages[[#This Row],[Estimated labor hours]],tblWorkPackages[[#This Row],[Calibrated forecast hours]])</f>
        <v>4.94146341463415</v>
      </c>
      <c r="W2326" s="64">
        <f>DATEVALUE(tblWorkPackages[[#This Row],[Request date]])</f>
        <v>45666.0</v>
      </c>
      <c r="X2326" s="64">
        <f>DATEVALUE(tblWorkPackages[[#This Row],[Due date]])</f>
        <v>45668.0</v>
      </c>
      <c r="Y2326" s="64">
        <f>DATEVALUE(tblWorkPackages[[#This Row],[Completion date]])</f>
        <v>45701.0</v>
      </c>
      <c r="Z2326" s="64">
        <f>_xlfn.MINIFS(tblLaborEntries[Work date serial],tblLaborEntries[Work package ID],tblWorkPackages[[#This Row],[Work package ID]])</f>
        <v>45700.0</v>
      </c>
      <c r="AA2326" s="64">
        <f>_xlfn.MAXIFS(tblLaborEntries[Work date serial],tblLaborEntries[Work package ID],tblWorkPackages[[#This Row],[Work package ID]])</f>
        <v>45701.0</v>
      </c>
      <c r="AB2326" s="65">
        <f>IF(tblWorkPackages[[#This Row],[Completion date serial]]&gt;tblWorkPackages[[#This Row],[Due date serial]],1,0)</f>
        <v>1</v>
      </c>
      <c r="AC2326" s="65">
        <f>MAX(0,tblWorkPackages[[#This Row],[Completion date serial]]-tblWorkPackages[[#This Row],[Due date serial]])</f>
        <v>33</v>
      </c>
      <c r="AD2326" s="65">
        <f>tblWorkPackages[[#This Row],[First labor date]]-tblWorkPackages[[#This Row],[Request date serial]]</f>
        <v>34</v>
      </c>
      <c r="AE2326" s="65">
        <f>tblWorkPackages[[#This Row],[Last labor date]]-tblWorkPackages[[#This Row],[First labor date]]</f>
        <v>1</v>
      </c>
      <c r="AF2326" s="65">
        <f>tblWorkPackages[[#This Row],[Completion date serial]]-tblWorkPackages[[#This Row],[Last labor date]]</f>
        <v>0</v>
      </c>
      <c r="AG2326" s="65">
        <f>tblWorkPackages[[#This Row],[Completion date serial]]-tblWorkPackages[[#This Row],[Request date serial]]</f>
        <v>35</v>
      </c>
      <c r="AH2326" s="65">
        <f>IFERROR(INDEX(tblParts[Delay days],MATCH(tblWorkPackages[[#This Row],[Work package ID]],tblParts[Work package ID],0)),0)</f>
        <v>0</v>
      </c>
      <c r="AI2326" s="51" t="str">
        <f>IFERROR(INDEX(tblDisruptions[Event type],MATCH(tblWorkPackages[[#This Row],[Work package ID]],tblDisruptions[Work package ID],0)),"None")</f>
        <v>None</v>
      </c>
      <c r="AJ2326" s="51" t="str">
        <f>TEXT(tblWorkPackages[[#This Row],[Due date serial]],"yyyy-mm")</f>
        <v>2025-01</v>
      </c>
    </row>
    <row r="2327" spans="1:36" ht="15" x14ac:dyDescent="0.25">
      <c r="A2327" s="53" t="s">
        <v>3245</v>
      </c>
      <c r="B2327" s="53" t="s">
        <v>124</v>
      </c>
      <c r="C2327" s="53" t="s">
        <v>1288</v>
      </c>
      <c r="D2327" s="53" t="s">
        <v>966</v>
      </c>
      <c r="E2327" s="53" t="s">
        <v>223</v>
      </c>
      <c r="F2327" s="53" t="s">
        <v>182</v>
      </c>
      <c r="G2327" s="53" t="s">
        <v>154</v>
      </c>
      <c r="H2327" s="53">
        <v>3</v>
      </c>
      <c r="I2327" s="53" t="s">
        <v>130</v>
      </c>
      <c r="J2327" s="53">
        <v>0</v>
      </c>
      <c r="K2327" s="53">
        <v>0</v>
      </c>
      <c r="L2327" s="53">
        <v>19</v>
      </c>
      <c r="M2327" s="53" t="s">
        <v>1063</v>
      </c>
      <c r="N2327" s="53">
        <v>22.6</v>
      </c>
      <c r="O2327" s="51" t="str">
        <f>TEXT(tblWorkPackages[[#This Row],[Request date serial]]-WEEKDAY(tblWorkPackages[[#This Row],[Request date serial]],3),"yyyy-mm-dd")</f>
        <v>2025-03-03</v>
      </c>
      <c r="P2327" s="51">
        <f>ABS(tblWorkPackages[[#This Row],[Actual labor hours]]-tblWorkPackages[[#This Row],[Estimated labor hours]])</f>
        <v>3.6</v>
      </c>
      <c r="Q2327" s="51">
        <f>IF(tblWorkPackages[[#This Row],[Actual labor hours]]&gt;tblWorkPackages[[#This Row],[Estimated labor hours]],1,0)</f>
        <v>1</v>
      </c>
      <c r="R2327" s="51">
        <f>tblWorkPackages[[#This Row],[Actual labor hours]]-tblWorkPackages[[#This Row],[Estimated labor hours]]</f>
        <v>3.6</v>
      </c>
      <c r="S2327" s="51" t="str">
        <f>IF(tblWorkPackages[[#This Row],[Request date serial]]&lt;ValidationStart,"Train 2024",IF(tblWorkPackages[[#This Row],[Request date serial]]&lt;HoldoutStart,"Validation H1","Holdout H2"))</f>
        <v>Validation H1</v>
      </c>
      <c r="T2327" s="51">
        <f>IF(tblWorkPackages[[#This Row],[Time split]]="Train 2024","",tblWorkPackages[[#This Row],[Estimated labor hours]]+VLOOKUP(tblWorkPackages[[#This Row],[Task type]],'Forecast validation'!$A$14:$E$25,IF(tblWorkPackages[[#This Row],[Time split]]="Validation H1",4,5),FALSE()))</f>
        <v>19.8824175824176</v>
      </c>
      <c r="U2327" s="51">
        <f>IF(tblWorkPackages[[#This Row],[Calibrated forecast hours]]="","",ABS(tblWorkPackages[[#This Row],[Actual labor hours]]-tblWorkPackages[[#This Row],[Calibrated forecast hours]]))</f>
        <v>2.71758241758242</v>
      </c>
      <c r="V2327" s="51">
        <f>IF(tblWorkPackages[[#This Row],[Time split]]="Train 2024",tblWorkPackages[[#This Row],[Estimated labor hours]],tblWorkPackages[[#This Row],[Calibrated forecast hours]])</f>
        <v>19.8824175824176</v>
      </c>
      <c r="W2327" s="64">
        <f>DATEVALUE(tblWorkPackages[[#This Row],[Request date]])</f>
        <v>45720.0</v>
      </c>
      <c r="X2327" s="64">
        <f>DATEVALUE(tblWorkPackages[[#This Row],[Due date]])</f>
        <v>45733.0</v>
      </c>
      <c r="Y2327" s="64">
        <f>DATEVALUE(tblWorkPackages[[#This Row],[Completion date]])</f>
        <v>45727.0</v>
      </c>
      <c r="Z2327" s="64">
        <f>_xlfn.MINIFS(tblLaborEntries[Work date serial],tblLaborEntries[Work package ID],tblWorkPackages[[#This Row],[Work package ID]])</f>
        <v>45726.0</v>
      </c>
      <c r="AA2327" s="64">
        <f>_xlfn.MAXIFS(tblLaborEntries[Work date serial],tblLaborEntries[Work package ID],tblWorkPackages[[#This Row],[Work package ID]])</f>
        <v>45726.0</v>
      </c>
      <c r="AB2327" s="65">
        <f>IF(tblWorkPackages[[#This Row],[Completion date serial]]&gt;tblWorkPackages[[#This Row],[Due date serial]],1,0)</f>
        <v>0</v>
      </c>
      <c r="AC2327" s="65">
        <f>MAX(0,tblWorkPackages[[#This Row],[Completion date serial]]-tblWorkPackages[[#This Row],[Due date serial]])</f>
        <v>0</v>
      </c>
      <c r="AD2327" s="65">
        <f>tblWorkPackages[[#This Row],[First labor date]]-tblWorkPackages[[#This Row],[Request date serial]]</f>
        <v>6</v>
      </c>
      <c r="AE2327" s="65">
        <f>tblWorkPackages[[#This Row],[Last labor date]]-tblWorkPackages[[#This Row],[First labor date]]</f>
        <v>0</v>
      </c>
      <c r="AF2327" s="65">
        <f>tblWorkPackages[[#This Row],[Completion date serial]]-tblWorkPackages[[#This Row],[Last labor date]]</f>
        <v>1</v>
      </c>
      <c r="AG2327" s="65">
        <f>tblWorkPackages[[#This Row],[Completion date serial]]-tblWorkPackages[[#This Row],[Request date serial]]</f>
        <v>7</v>
      </c>
      <c r="AH2327" s="65">
        <f>IFERROR(INDEX(tblParts[Delay days],MATCH(tblWorkPackages[[#This Row],[Work package ID]],tblParts[Work package ID],0)),0)</f>
        <v>0</v>
      </c>
      <c r="AI2327" s="51" t="str">
        <f>IFERROR(INDEX(tblDisruptions[Event type],MATCH(tblWorkPackages[[#This Row],[Work package ID]],tblDisruptions[Work package ID],0)),"None")</f>
        <v>None</v>
      </c>
      <c r="AJ2327" s="51" t="str">
        <f>TEXT(tblWorkPackages[[#This Row],[Due date serial]],"yyyy-mm")</f>
        <v>2025-03</v>
      </c>
    </row>
    <row r="2328" spans="1:36" ht="15" x14ac:dyDescent="0.25">
      <c r="A2328" s="53" t="s">
        <v>3246</v>
      </c>
      <c r="B2328" s="53" t="s">
        <v>250</v>
      </c>
      <c r="C2328" s="53" t="s">
        <v>1062</v>
      </c>
      <c r="D2328" s="53" t="s">
        <v>1084</v>
      </c>
      <c r="E2328" s="53" t="s">
        <v>144</v>
      </c>
      <c r="F2328" s="53" t="s">
        <v>145</v>
      </c>
      <c r="G2328" s="53" t="s">
        <v>146</v>
      </c>
      <c r="H2328" s="53">
        <v>3</v>
      </c>
      <c r="I2328" s="53" t="s">
        <v>130</v>
      </c>
      <c r="J2328" s="53">
        <v>0</v>
      </c>
      <c r="K2328" s="53">
        <v>1</v>
      </c>
      <c r="L2328" s="53">
        <v>14.1</v>
      </c>
      <c r="M2328" s="53" t="s">
        <v>260</v>
      </c>
      <c r="N2328" s="53">
        <v>12.8</v>
      </c>
      <c r="O2328" s="51" t="str">
        <f>TEXT(tblWorkPackages[[#This Row],[Request date serial]]-WEEKDAY(tblWorkPackages[[#This Row],[Request date serial]],3),"yyyy-mm-dd")</f>
        <v>2025-01-20</v>
      </c>
      <c r="P2328" s="51">
        <f>ABS(tblWorkPackages[[#This Row],[Actual labor hours]]-tblWorkPackages[[#This Row],[Estimated labor hours]])</f>
        <v>1.3</v>
      </c>
      <c r="Q2328" s="51">
        <f>IF(tblWorkPackages[[#This Row],[Actual labor hours]]&gt;tblWorkPackages[[#This Row],[Estimated labor hours]],1,0)</f>
        <v>0</v>
      </c>
      <c r="R2328" s="51">
        <f>tblWorkPackages[[#This Row],[Actual labor hours]]-tblWorkPackages[[#This Row],[Estimated labor hours]]</f>
        <v>-1.3</v>
      </c>
      <c r="S2328" s="51" t="str">
        <f>IF(tblWorkPackages[[#This Row],[Request date serial]]&lt;ValidationStart,"Train 2024",IF(tblWorkPackages[[#This Row],[Request date serial]]&lt;HoldoutStart,"Validation H1","Holdout H2"))</f>
        <v>Validation H1</v>
      </c>
      <c r="T2328" s="51">
        <f>IF(tblWorkPackages[[#This Row],[Time split]]="Train 2024","",tblWorkPackages[[#This Row],[Estimated labor hours]]+VLOOKUP(tblWorkPackages[[#This Row],[Task type]],'Forecast validation'!$A$14:$E$25,IF(tblWorkPackages[[#This Row],[Time split]]="Validation H1",4,5),FALSE()))</f>
        <v>14.8547368421053</v>
      </c>
      <c r="U2328" s="51">
        <f>IF(tblWorkPackages[[#This Row],[Calibrated forecast hours]]="","",ABS(tblWorkPackages[[#This Row],[Actual labor hours]]-tblWorkPackages[[#This Row],[Calibrated forecast hours]]))</f>
        <v>2.05473684210526</v>
      </c>
      <c r="V2328" s="51">
        <f>IF(tblWorkPackages[[#This Row],[Time split]]="Train 2024",tblWorkPackages[[#This Row],[Estimated labor hours]],tblWorkPackages[[#This Row],[Calibrated forecast hours]])</f>
        <v>14.8547368421053</v>
      </c>
      <c r="W2328" s="64">
        <f>DATEVALUE(tblWorkPackages[[#This Row],[Request date]])</f>
        <v>45682.0</v>
      </c>
      <c r="X2328" s="64">
        <f>DATEVALUE(tblWorkPackages[[#This Row],[Due date]])</f>
        <v>45695.0</v>
      </c>
      <c r="Y2328" s="64">
        <f>DATEVALUE(tblWorkPackages[[#This Row],[Completion date]])</f>
        <v>45686.0</v>
      </c>
      <c r="Z2328" s="64">
        <f>_xlfn.MINIFS(tblLaborEntries[Work date serial],tblLaborEntries[Work package ID],tblWorkPackages[[#This Row],[Work package ID]])</f>
        <v>45684.0</v>
      </c>
      <c r="AA2328" s="64">
        <f>_xlfn.MAXIFS(tblLaborEntries[Work date serial],tblLaborEntries[Work package ID],tblWorkPackages[[#This Row],[Work package ID]])</f>
        <v>45684.0</v>
      </c>
      <c r="AB2328" s="65">
        <f>IF(tblWorkPackages[[#This Row],[Completion date serial]]&gt;tblWorkPackages[[#This Row],[Due date serial]],1,0)</f>
        <v>0</v>
      </c>
      <c r="AC2328" s="65">
        <f>MAX(0,tblWorkPackages[[#This Row],[Completion date serial]]-tblWorkPackages[[#This Row],[Due date serial]])</f>
        <v>0</v>
      </c>
      <c r="AD2328" s="65">
        <f>tblWorkPackages[[#This Row],[First labor date]]-tblWorkPackages[[#This Row],[Request date serial]]</f>
        <v>2</v>
      </c>
      <c r="AE2328" s="65">
        <f>tblWorkPackages[[#This Row],[Last labor date]]-tblWorkPackages[[#This Row],[First labor date]]</f>
        <v>0</v>
      </c>
      <c r="AF2328" s="65">
        <f>tblWorkPackages[[#This Row],[Completion date serial]]-tblWorkPackages[[#This Row],[Last labor date]]</f>
        <v>2</v>
      </c>
      <c r="AG2328" s="65">
        <f>tblWorkPackages[[#This Row],[Completion date serial]]-tblWorkPackages[[#This Row],[Request date serial]]</f>
        <v>4</v>
      </c>
      <c r="AH2328" s="65">
        <f>IFERROR(INDEX(tblParts[Delay days],MATCH(tblWorkPackages[[#This Row],[Work package ID]],tblParts[Work package ID],0)),0)</f>
        <v>0</v>
      </c>
      <c r="AI2328" s="51" t="str">
        <f>IFERROR(INDEX(tblDisruptions[Event type],MATCH(tblWorkPackages[[#This Row],[Work package ID]],tblDisruptions[Work package ID],0)),"None")</f>
        <v>None</v>
      </c>
      <c r="AJ2328" s="51" t="str">
        <f>TEXT(tblWorkPackages[[#This Row],[Due date serial]],"yyyy-mm")</f>
        <v>2025-02</v>
      </c>
    </row>
    <row r="2329" spans="1:36" ht="15" x14ac:dyDescent="0.25">
      <c r="A2329" s="53" t="s">
        <v>3247</v>
      </c>
      <c r="B2329" s="53" t="s">
        <v>203</v>
      </c>
      <c r="C2329" s="53" t="s">
        <v>252</v>
      </c>
      <c r="D2329" s="53" t="s">
        <v>1682</v>
      </c>
      <c r="E2329" s="53" t="s">
        <v>242</v>
      </c>
      <c r="F2329" s="53" t="s">
        <v>243</v>
      </c>
      <c r="G2329" s="53" t="s">
        <v>129</v>
      </c>
      <c r="H2329" s="53">
        <v>2</v>
      </c>
      <c r="I2329" s="53" t="s">
        <v>176</v>
      </c>
      <c r="J2329" s="53">
        <v>0</v>
      </c>
      <c r="K2329" s="53">
        <v>0</v>
      </c>
      <c r="L2329" s="53">
        <v>7.4</v>
      </c>
      <c r="M2329" s="53" t="s">
        <v>572</v>
      </c>
      <c r="N2329" s="53">
        <v>6</v>
      </c>
      <c r="O2329" s="51" t="str">
        <f>TEXT(tblWorkPackages[[#This Row],[Request date serial]]-WEEKDAY(tblWorkPackages[[#This Row],[Request date serial]],3),"yyyy-mm-dd")</f>
        <v>2024-12-23</v>
      </c>
      <c r="P2329" s="51">
        <f>ABS(tblWorkPackages[[#This Row],[Actual labor hours]]-tblWorkPackages[[#This Row],[Estimated labor hours]])</f>
        <v>1.4</v>
      </c>
      <c r="Q2329" s="51">
        <f>IF(tblWorkPackages[[#This Row],[Actual labor hours]]&gt;tblWorkPackages[[#This Row],[Estimated labor hours]],1,0)</f>
        <v>0</v>
      </c>
      <c r="R2329" s="51">
        <f>tblWorkPackages[[#This Row],[Actual labor hours]]-tblWorkPackages[[#This Row],[Estimated labor hours]]</f>
        <v>-1.4</v>
      </c>
      <c r="S2329" s="51" t="str">
        <f>IF(tblWorkPackages[[#This Row],[Request date serial]]&lt;ValidationStart,"Train 2024",IF(tblWorkPackages[[#This Row],[Request date serial]]&lt;HoldoutStart,"Validation H1","Holdout H2"))</f>
        <v>Train 2024</v>
      </c>
      <c r="T2329" s="51" t="str">
        <f>IF(tblWorkPackages[[#This Row],[Time split]]="Train 2024","",tblWorkPackages[[#This Row],[Estimated labor hours]]+VLOOKUP(tblWorkPackages[[#This Row],[Task type]],'Forecast validation'!$A$14:$E$25,IF(tblWorkPackages[[#This Row],[Time split]]="Validation H1",4,5),FALSE()))</f>
        <v/>
      </c>
      <c r="U2329" s="51" t="str">
        <f>IF(tblWorkPackages[[#This Row],[Calibrated forecast hours]]="","",ABS(tblWorkPackages[[#This Row],[Actual labor hours]]-tblWorkPackages[[#This Row],[Calibrated forecast hours]]))</f>
        <v/>
      </c>
      <c r="V2329" s="51">
        <f>IF(tblWorkPackages[[#This Row],[Time split]]="Train 2024",tblWorkPackages[[#This Row],[Estimated labor hours]],tblWorkPackages[[#This Row],[Calibrated forecast hours]])</f>
        <v>7.4</v>
      </c>
      <c r="W2329" s="64">
        <f>DATEVALUE(tblWorkPackages[[#This Row],[Request date]])</f>
        <v>45654.0</v>
      </c>
      <c r="X2329" s="64">
        <f>DATEVALUE(tblWorkPackages[[#This Row],[Due date]])</f>
        <v>45660.0</v>
      </c>
      <c r="Y2329" s="64">
        <f>DATEVALUE(tblWorkPackages[[#This Row],[Completion date]])</f>
        <v>45672.0</v>
      </c>
      <c r="Z2329" s="64">
        <f>_xlfn.MINIFS(tblLaborEntries[Work date serial],tblLaborEntries[Work package ID],tblWorkPackages[[#This Row],[Work package ID]])</f>
        <v>45669.0</v>
      </c>
      <c r="AA2329" s="64">
        <f>_xlfn.MAXIFS(tblLaborEntries[Work date serial],tblLaborEntries[Work package ID],tblWorkPackages[[#This Row],[Work package ID]])</f>
        <v>45669.0</v>
      </c>
      <c r="AB2329" s="65">
        <f>IF(tblWorkPackages[[#This Row],[Completion date serial]]&gt;tblWorkPackages[[#This Row],[Due date serial]],1,0)</f>
        <v>1</v>
      </c>
      <c r="AC2329" s="65">
        <f>MAX(0,tblWorkPackages[[#This Row],[Completion date serial]]-tblWorkPackages[[#This Row],[Due date serial]])</f>
        <v>12</v>
      </c>
      <c r="AD2329" s="65">
        <f>tblWorkPackages[[#This Row],[First labor date]]-tblWorkPackages[[#This Row],[Request date serial]]</f>
        <v>15</v>
      </c>
      <c r="AE2329" s="65">
        <f>tblWorkPackages[[#This Row],[Last labor date]]-tblWorkPackages[[#This Row],[First labor date]]</f>
        <v>0</v>
      </c>
      <c r="AF2329" s="65">
        <f>tblWorkPackages[[#This Row],[Completion date serial]]-tblWorkPackages[[#This Row],[Last labor date]]</f>
        <v>3</v>
      </c>
      <c r="AG2329" s="65">
        <f>tblWorkPackages[[#This Row],[Completion date serial]]-tblWorkPackages[[#This Row],[Request date serial]]</f>
        <v>18</v>
      </c>
      <c r="AH2329" s="65">
        <f>IFERROR(INDEX(tblParts[Delay days],MATCH(tblWorkPackages[[#This Row],[Work package ID]],tblParts[Work package ID],0)),0)</f>
        <v>0</v>
      </c>
      <c r="AI2329" s="51" t="str">
        <f>IFERROR(INDEX(tblDisruptions[Event type],MATCH(tblWorkPackages[[#This Row],[Work package ID]],tblDisruptions[Work package ID],0)),"None")</f>
        <v>None</v>
      </c>
      <c r="AJ2329" s="51" t="str">
        <f>TEXT(tblWorkPackages[[#This Row],[Due date serial]],"yyyy-mm")</f>
        <v>2025-01</v>
      </c>
    </row>
    <row r="2330" spans="1:36" ht="15" x14ac:dyDescent="0.25">
      <c r="A2330" s="53" t="s">
        <v>3248</v>
      </c>
      <c r="B2330" s="53" t="s">
        <v>163</v>
      </c>
      <c r="C2330" s="53" t="s">
        <v>489</v>
      </c>
      <c r="D2330" s="53" t="s">
        <v>319</v>
      </c>
      <c r="E2330" s="53" t="s">
        <v>237</v>
      </c>
      <c r="F2330" s="53" t="s">
        <v>182</v>
      </c>
      <c r="G2330" s="53" t="s">
        <v>138</v>
      </c>
      <c r="H2330" s="53">
        <v>1</v>
      </c>
      <c r="I2330" s="53" t="s">
        <v>176</v>
      </c>
      <c r="J2330" s="53">
        <v>0</v>
      </c>
      <c r="K2330" s="53">
        <v>0</v>
      </c>
      <c r="L2330" s="53">
        <v>3.5</v>
      </c>
      <c r="M2330" s="53" t="s">
        <v>319</v>
      </c>
      <c r="N2330" s="53">
        <v>4.2</v>
      </c>
      <c r="O2330" s="51" t="str">
        <f>TEXT(tblWorkPackages[[#This Row],[Request date serial]]-WEEKDAY(tblWorkPackages[[#This Row],[Request date serial]],3),"yyyy-mm-dd")</f>
        <v>2024-02-19</v>
      </c>
      <c r="P2330" s="51">
        <f>ABS(tblWorkPackages[[#This Row],[Actual labor hours]]-tblWorkPackages[[#This Row],[Estimated labor hours]])</f>
        <v>0.7</v>
      </c>
      <c r="Q2330" s="51">
        <f>IF(tblWorkPackages[[#This Row],[Actual labor hours]]&gt;tblWorkPackages[[#This Row],[Estimated labor hours]],1,0)</f>
        <v>1</v>
      </c>
      <c r="R2330" s="51">
        <f>tblWorkPackages[[#This Row],[Actual labor hours]]-tblWorkPackages[[#This Row],[Estimated labor hours]]</f>
        <v>0.7</v>
      </c>
      <c r="S2330" s="51" t="str">
        <f>IF(tblWorkPackages[[#This Row],[Request date serial]]&lt;ValidationStart,"Train 2024",IF(tblWorkPackages[[#This Row],[Request date serial]]&lt;HoldoutStart,"Validation H1","Holdout H2"))</f>
        <v>Train 2024</v>
      </c>
      <c r="T2330" s="51" t="str">
        <f>IF(tblWorkPackages[[#This Row],[Time split]]="Train 2024","",tblWorkPackages[[#This Row],[Estimated labor hours]]+VLOOKUP(tblWorkPackages[[#This Row],[Task type]],'Forecast validation'!$A$14:$E$25,IF(tblWorkPackages[[#This Row],[Time split]]="Validation H1",4,5),FALSE()))</f>
        <v/>
      </c>
      <c r="U2330" s="51" t="str">
        <f>IF(tblWorkPackages[[#This Row],[Calibrated forecast hours]]="","",ABS(tblWorkPackages[[#This Row],[Actual labor hours]]-tblWorkPackages[[#This Row],[Calibrated forecast hours]]))</f>
        <v/>
      </c>
      <c r="V2330" s="51">
        <f>IF(tblWorkPackages[[#This Row],[Time split]]="Train 2024",tblWorkPackages[[#This Row],[Estimated labor hours]],tblWorkPackages[[#This Row],[Calibrated forecast hours]])</f>
        <v>3.5</v>
      </c>
      <c r="W2330" s="64">
        <f>DATEVALUE(tblWorkPackages[[#This Row],[Request date]])</f>
        <v>45341.0</v>
      </c>
      <c r="X2330" s="64">
        <f>DATEVALUE(tblWorkPackages[[#This Row],[Due date]])</f>
        <v>45347.0</v>
      </c>
      <c r="Y2330" s="64">
        <f>DATEVALUE(tblWorkPackages[[#This Row],[Completion date]])</f>
        <v>45347.0</v>
      </c>
      <c r="Z2330" s="64">
        <f>_xlfn.MINIFS(tblLaborEntries[Work date serial],tblLaborEntries[Work package ID],tblWorkPackages[[#This Row],[Work package ID]])</f>
        <v>45345.0</v>
      </c>
      <c r="AA2330" s="64">
        <f>_xlfn.MAXIFS(tblLaborEntries[Work date serial],tblLaborEntries[Work package ID],tblWorkPackages[[#This Row],[Work package ID]])</f>
        <v>45347.0</v>
      </c>
      <c r="AB2330" s="65">
        <f>IF(tblWorkPackages[[#This Row],[Completion date serial]]&gt;tblWorkPackages[[#This Row],[Due date serial]],1,0)</f>
        <v>0</v>
      </c>
      <c r="AC2330" s="65">
        <f>MAX(0,tblWorkPackages[[#This Row],[Completion date serial]]-tblWorkPackages[[#This Row],[Due date serial]])</f>
        <v>0</v>
      </c>
      <c r="AD2330" s="65">
        <f>tblWorkPackages[[#This Row],[First labor date]]-tblWorkPackages[[#This Row],[Request date serial]]</f>
        <v>4</v>
      </c>
      <c r="AE2330" s="65">
        <f>tblWorkPackages[[#This Row],[Last labor date]]-tblWorkPackages[[#This Row],[First labor date]]</f>
        <v>2</v>
      </c>
      <c r="AF2330" s="65">
        <f>tblWorkPackages[[#This Row],[Completion date serial]]-tblWorkPackages[[#This Row],[Last labor date]]</f>
        <v>0</v>
      </c>
      <c r="AG2330" s="65">
        <f>tblWorkPackages[[#This Row],[Completion date serial]]-tblWorkPackages[[#This Row],[Request date serial]]</f>
        <v>6</v>
      </c>
      <c r="AH2330" s="65">
        <f>IFERROR(INDEX(tblParts[Delay days],MATCH(tblWorkPackages[[#This Row],[Work package ID]],tblParts[Work package ID],0)),0)</f>
        <v>0</v>
      </c>
      <c r="AI2330" s="51" t="str">
        <f>IFERROR(INDEX(tblDisruptions[Event type],MATCH(tblWorkPackages[[#This Row],[Work package ID]],tblDisruptions[Work package ID],0)),"None")</f>
        <v>None</v>
      </c>
      <c r="AJ2330" s="51" t="str">
        <f>TEXT(tblWorkPackages[[#This Row],[Due date serial]],"yyyy-mm")</f>
        <v>2024-02</v>
      </c>
    </row>
    <row r="2331" spans="1:36" ht="15" x14ac:dyDescent="0.25">
      <c r="A2331" s="53" t="s">
        <v>3249</v>
      </c>
      <c r="B2331" s="53" t="s">
        <v>163</v>
      </c>
      <c r="C2331" s="53" t="s">
        <v>685</v>
      </c>
      <c r="D2331" s="53" t="s">
        <v>686</v>
      </c>
      <c r="E2331" s="53" t="s">
        <v>136</v>
      </c>
      <c r="F2331" s="53" t="s">
        <v>137</v>
      </c>
      <c r="G2331" s="53" t="s">
        <v>138</v>
      </c>
      <c r="H2331" s="53">
        <v>4</v>
      </c>
      <c r="I2331" s="53" t="s">
        <v>130</v>
      </c>
      <c r="J2331" s="53">
        <v>0</v>
      </c>
      <c r="K2331" s="53">
        <v>0</v>
      </c>
      <c r="L2331" s="53">
        <v>27.8</v>
      </c>
      <c r="M2331" s="53" t="s">
        <v>966</v>
      </c>
      <c r="N2331" s="53">
        <v>31</v>
      </c>
      <c r="O2331" s="51" t="str">
        <f>TEXT(tblWorkPackages[[#This Row],[Request date serial]]-WEEKDAY(tblWorkPackages[[#This Row],[Request date serial]],3),"yyyy-mm-dd")</f>
        <v>2025-03-10</v>
      </c>
      <c r="P2331" s="51">
        <f>ABS(tblWorkPackages[[#This Row],[Actual labor hours]]-tblWorkPackages[[#This Row],[Estimated labor hours]])</f>
        <v>3.2</v>
      </c>
      <c r="Q2331" s="51">
        <f>IF(tblWorkPackages[[#This Row],[Actual labor hours]]&gt;tblWorkPackages[[#This Row],[Estimated labor hours]],1,0)</f>
        <v>1</v>
      </c>
      <c r="R2331" s="51">
        <f>tblWorkPackages[[#This Row],[Actual labor hours]]-tblWorkPackages[[#This Row],[Estimated labor hours]]</f>
        <v>3.2</v>
      </c>
      <c r="S2331" s="51" t="str">
        <f>IF(tblWorkPackages[[#This Row],[Request date serial]]&lt;ValidationStart,"Train 2024",IF(tblWorkPackages[[#This Row],[Request date serial]]&lt;HoldoutStart,"Validation H1","Holdout H2"))</f>
        <v>Validation H1</v>
      </c>
      <c r="T2331" s="51">
        <f>IF(tblWorkPackages[[#This Row],[Time split]]="Train 2024","",tblWorkPackages[[#This Row],[Estimated labor hours]]+VLOOKUP(tblWorkPackages[[#This Row],[Task type]],'Forecast validation'!$A$14:$E$25,IF(tblWorkPackages[[#This Row],[Time split]]="Validation H1",4,5),FALSE()))</f>
        <v>28.6765306122449</v>
      </c>
      <c r="U2331" s="51">
        <f>IF(tblWorkPackages[[#This Row],[Calibrated forecast hours]]="","",ABS(tblWorkPackages[[#This Row],[Actual labor hours]]-tblWorkPackages[[#This Row],[Calibrated forecast hours]]))</f>
        <v>2.3234693877551</v>
      </c>
      <c r="V2331" s="51">
        <f>IF(tblWorkPackages[[#This Row],[Time split]]="Train 2024",tblWorkPackages[[#This Row],[Estimated labor hours]],tblWorkPackages[[#This Row],[Calibrated forecast hours]])</f>
        <v>28.6765306122449</v>
      </c>
      <c r="W2331" s="64">
        <f>DATEVALUE(tblWorkPackages[[#This Row],[Request date]])</f>
        <v>45730.0</v>
      </c>
      <c r="X2331" s="64">
        <f>DATEVALUE(tblWorkPackages[[#This Row],[Due date]])</f>
        <v>45743.0</v>
      </c>
      <c r="Y2331" s="64">
        <f>DATEVALUE(tblWorkPackages[[#This Row],[Completion date]])</f>
        <v>45733.0</v>
      </c>
      <c r="Z2331" s="64">
        <f>_xlfn.MINIFS(tblLaborEntries[Work date serial],tblLaborEntries[Work package ID],tblWorkPackages[[#This Row],[Work package ID]])</f>
        <v>45731.0</v>
      </c>
      <c r="AA2331" s="64">
        <f>_xlfn.MAXIFS(tblLaborEntries[Work date serial],tblLaborEntries[Work package ID],tblWorkPackages[[#This Row],[Work package ID]])</f>
        <v>45732.0</v>
      </c>
      <c r="AB2331" s="65">
        <f>IF(tblWorkPackages[[#This Row],[Completion date serial]]&gt;tblWorkPackages[[#This Row],[Due date serial]],1,0)</f>
        <v>0</v>
      </c>
      <c r="AC2331" s="65">
        <f>MAX(0,tblWorkPackages[[#This Row],[Completion date serial]]-tblWorkPackages[[#This Row],[Due date serial]])</f>
        <v>0</v>
      </c>
      <c r="AD2331" s="65">
        <f>tblWorkPackages[[#This Row],[First labor date]]-tblWorkPackages[[#This Row],[Request date serial]]</f>
        <v>1</v>
      </c>
      <c r="AE2331" s="65">
        <f>tblWorkPackages[[#This Row],[Last labor date]]-tblWorkPackages[[#This Row],[First labor date]]</f>
        <v>1</v>
      </c>
      <c r="AF2331" s="65">
        <f>tblWorkPackages[[#This Row],[Completion date serial]]-tblWorkPackages[[#This Row],[Last labor date]]</f>
        <v>1</v>
      </c>
      <c r="AG2331" s="65">
        <f>tblWorkPackages[[#This Row],[Completion date serial]]-tblWorkPackages[[#This Row],[Request date serial]]</f>
        <v>3</v>
      </c>
      <c r="AH2331" s="65">
        <f>IFERROR(INDEX(tblParts[Delay days],MATCH(tblWorkPackages[[#This Row],[Work package ID]],tblParts[Work package ID],0)),0)</f>
        <v>0</v>
      </c>
      <c r="AI2331" s="51" t="str">
        <f>IFERROR(INDEX(tblDisruptions[Event type],MATCH(tblWorkPackages[[#This Row],[Work package ID]],tblDisruptions[Work package ID],0)),"None")</f>
        <v>None</v>
      </c>
      <c r="AJ2331" s="51" t="str">
        <f>TEXT(tblWorkPackages[[#This Row],[Due date serial]],"yyyy-mm")</f>
        <v>2025-03</v>
      </c>
    </row>
    <row r="2332" spans="1:36" ht="15" x14ac:dyDescent="0.25">
      <c r="A2332" s="53" t="s">
        <v>3250</v>
      </c>
      <c r="B2332" s="53" t="s">
        <v>203</v>
      </c>
      <c r="C2332" s="53" t="s">
        <v>1136</v>
      </c>
      <c r="D2332" s="53" t="s">
        <v>951</v>
      </c>
      <c r="E2332" s="53" t="s">
        <v>127</v>
      </c>
      <c r="F2332" s="53" t="s">
        <v>128</v>
      </c>
      <c r="G2332" s="53" t="s">
        <v>129</v>
      </c>
      <c r="H2332" s="53">
        <v>2</v>
      </c>
      <c r="I2332" s="53" t="s">
        <v>130</v>
      </c>
      <c r="J2332" s="53">
        <v>0</v>
      </c>
      <c r="K2332" s="53">
        <v>0</v>
      </c>
      <c r="L2332" s="53">
        <v>5.9</v>
      </c>
      <c r="M2332" s="53" t="s">
        <v>788</v>
      </c>
      <c r="N2332" s="53">
        <v>4.9000000000000004</v>
      </c>
      <c r="O2332" s="51" t="str">
        <f>TEXT(tblWorkPackages[[#This Row],[Request date serial]]-WEEKDAY(tblWorkPackages[[#This Row],[Request date serial]],3),"yyyy-mm-dd")</f>
        <v>2024-09-16</v>
      </c>
      <c r="P2332" s="51">
        <f>ABS(tblWorkPackages[[#This Row],[Actual labor hours]]-tblWorkPackages[[#This Row],[Estimated labor hours]])</f>
        <v>1</v>
      </c>
      <c r="Q2332" s="51">
        <f>IF(tblWorkPackages[[#This Row],[Actual labor hours]]&gt;tblWorkPackages[[#This Row],[Estimated labor hours]],1,0)</f>
        <v>0</v>
      </c>
      <c r="R2332" s="51">
        <f>tblWorkPackages[[#This Row],[Actual labor hours]]-tblWorkPackages[[#This Row],[Estimated labor hours]]</f>
        <v>-1</v>
      </c>
      <c r="S2332" s="51" t="str">
        <f>IF(tblWorkPackages[[#This Row],[Request date serial]]&lt;ValidationStart,"Train 2024",IF(tblWorkPackages[[#This Row],[Request date serial]]&lt;HoldoutStart,"Validation H1","Holdout H2"))</f>
        <v>Train 2024</v>
      </c>
      <c r="T2332" s="51" t="str">
        <f>IF(tblWorkPackages[[#This Row],[Time split]]="Train 2024","",tblWorkPackages[[#This Row],[Estimated labor hours]]+VLOOKUP(tblWorkPackages[[#This Row],[Task type]],'Forecast validation'!$A$14:$E$25,IF(tblWorkPackages[[#This Row],[Time split]]="Validation H1",4,5),FALSE()))</f>
        <v/>
      </c>
      <c r="U2332" s="51" t="str">
        <f>IF(tblWorkPackages[[#This Row],[Calibrated forecast hours]]="","",ABS(tblWorkPackages[[#This Row],[Actual labor hours]]-tblWorkPackages[[#This Row],[Calibrated forecast hours]]))</f>
        <v/>
      </c>
      <c r="V2332" s="51">
        <f>IF(tblWorkPackages[[#This Row],[Time split]]="Train 2024",tblWorkPackages[[#This Row],[Estimated labor hours]],tblWorkPackages[[#This Row],[Calibrated forecast hours]])</f>
        <v>5.9</v>
      </c>
      <c r="W2332" s="64">
        <f>DATEVALUE(tblWorkPackages[[#This Row],[Request date]])</f>
        <v>45552.0</v>
      </c>
      <c r="X2332" s="64">
        <f>DATEVALUE(tblWorkPackages[[#This Row],[Due date]])</f>
        <v>45565.0</v>
      </c>
      <c r="Y2332" s="64">
        <f>DATEVALUE(tblWorkPackages[[#This Row],[Completion date]])</f>
        <v>45566.0</v>
      </c>
      <c r="Z2332" s="64">
        <f>_xlfn.MINIFS(tblLaborEntries[Work date serial],tblLaborEntries[Work package ID],tblWorkPackages[[#This Row],[Work package ID]])</f>
        <v>45562.0</v>
      </c>
      <c r="AA2332" s="64">
        <f>_xlfn.MAXIFS(tblLaborEntries[Work date serial],tblLaborEntries[Work package ID],tblWorkPackages[[#This Row],[Work package ID]])</f>
        <v>45564.0</v>
      </c>
      <c r="AB2332" s="65">
        <f>IF(tblWorkPackages[[#This Row],[Completion date serial]]&gt;tblWorkPackages[[#This Row],[Due date serial]],1,0)</f>
        <v>1</v>
      </c>
      <c r="AC2332" s="65">
        <f>MAX(0,tblWorkPackages[[#This Row],[Completion date serial]]-tblWorkPackages[[#This Row],[Due date serial]])</f>
        <v>1</v>
      </c>
      <c r="AD2332" s="65">
        <f>tblWorkPackages[[#This Row],[First labor date]]-tblWorkPackages[[#This Row],[Request date serial]]</f>
        <v>10</v>
      </c>
      <c r="AE2332" s="65">
        <f>tblWorkPackages[[#This Row],[Last labor date]]-tblWorkPackages[[#This Row],[First labor date]]</f>
        <v>2</v>
      </c>
      <c r="AF2332" s="65">
        <f>tblWorkPackages[[#This Row],[Completion date serial]]-tblWorkPackages[[#This Row],[Last labor date]]</f>
        <v>2</v>
      </c>
      <c r="AG2332" s="65">
        <f>tblWorkPackages[[#This Row],[Completion date serial]]-tblWorkPackages[[#This Row],[Request date serial]]</f>
        <v>14</v>
      </c>
      <c r="AH2332" s="65">
        <f>IFERROR(INDEX(tblParts[Delay days],MATCH(tblWorkPackages[[#This Row],[Work package ID]],tblParts[Work package ID],0)),0)</f>
        <v>0</v>
      </c>
      <c r="AI2332" s="51" t="str">
        <f>IFERROR(INDEX(tblDisruptions[Event type],MATCH(tblWorkPackages[[#This Row],[Work package ID]],tblDisruptions[Work package ID],0)),"None")</f>
        <v>None</v>
      </c>
      <c r="AJ2332" s="51" t="str">
        <f>TEXT(tblWorkPackages[[#This Row],[Due date serial]],"yyyy-mm")</f>
        <v>2024-09</v>
      </c>
    </row>
    <row r="2333" spans="1:36" ht="15" x14ac:dyDescent="0.25">
      <c r="A2333" s="53" t="s">
        <v>3251</v>
      </c>
      <c r="B2333" s="53" t="s">
        <v>168</v>
      </c>
      <c r="C2333" s="53" t="s">
        <v>621</v>
      </c>
      <c r="D2333" s="53" t="s">
        <v>1138</v>
      </c>
      <c r="E2333" s="53" t="s">
        <v>144</v>
      </c>
      <c r="F2333" s="53" t="s">
        <v>145</v>
      </c>
      <c r="G2333" s="53" t="s">
        <v>146</v>
      </c>
      <c r="H2333" s="53">
        <v>4</v>
      </c>
      <c r="I2333" s="53" t="s">
        <v>130</v>
      </c>
      <c r="J2333" s="53">
        <v>0</v>
      </c>
      <c r="K2333" s="53">
        <v>0</v>
      </c>
      <c r="L2333" s="53">
        <v>19.7</v>
      </c>
      <c r="M2333" s="53" t="s">
        <v>361</v>
      </c>
      <c r="N2333" s="53">
        <v>17.3</v>
      </c>
      <c r="O2333" s="51" t="str">
        <f>TEXT(tblWorkPackages[[#This Row],[Request date serial]]-WEEKDAY(tblWorkPackages[[#This Row],[Request date serial]],3),"yyyy-mm-dd")</f>
        <v>2024-07-22</v>
      </c>
      <c r="P2333" s="51">
        <f>ABS(tblWorkPackages[[#This Row],[Actual labor hours]]-tblWorkPackages[[#This Row],[Estimated labor hours]])</f>
        <v>2.4</v>
      </c>
      <c r="Q2333" s="51">
        <f>IF(tblWorkPackages[[#This Row],[Actual labor hours]]&gt;tblWorkPackages[[#This Row],[Estimated labor hours]],1,0)</f>
        <v>0</v>
      </c>
      <c r="R2333" s="51">
        <f>tblWorkPackages[[#This Row],[Actual labor hours]]-tblWorkPackages[[#This Row],[Estimated labor hours]]</f>
        <v>-2.4</v>
      </c>
      <c r="S2333" s="51" t="str">
        <f>IF(tblWorkPackages[[#This Row],[Request date serial]]&lt;ValidationStart,"Train 2024",IF(tblWorkPackages[[#This Row],[Request date serial]]&lt;HoldoutStart,"Validation H1","Holdout H2"))</f>
        <v>Train 2024</v>
      </c>
      <c r="T2333" s="51" t="str">
        <f>IF(tblWorkPackages[[#This Row],[Time split]]="Train 2024","",tblWorkPackages[[#This Row],[Estimated labor hours]]+VLOOKUP(tblWorkPackages[[#This Row],[Task type]],'Forecast validation'!$A$14:$E$25,IF(tblWorkPackages[[#This Row],[Time split]]="Validation H1",4,5),FALSE()))</f>
        <v/>
      </c>
      <c r="U2333" s="51" t="str">
        <f>IF(tblWorkPackages[[#This Row],[Calibrated forecast hours]]="","",ABS(tblWorkPackages[[#This Row],[Actual labor hours]]-tblWorkPackages[[#This Row],[Calibrated forecast hours]]))</f>
        <v/>
      </c>
      <c r="V2333" s="51">
        <f>IF(tblWorkPackages[[#This Row],[Time split]]="Train 2024",tblWorkPackages[[#This Row],[Estimated labor hours]],tblWorkPackages[[#This Row],[Calibrated forecast hours]])</f>
        <v>19.7</v>
      </c>
      <c r="W2333" s="64">
        <f>DATEVALUE(tblWorkPackages[[#This Row],[Request date]])</f>
        <v>45496.0</v>
      </c>
      <c r="X2333" s="64">
        <f>DATEVALUE(tblWorkPackages[[#This Row],[Due date]])</f>
        <v>45509.0</v>
      </c>
      <c r="Y2333" s="64">
        <f>DATEVALUE(tblWorkPackages[[#This Row],[Completion date]])</f>
        <v>45502.0</v>
      </c>
      <c r="Z2333" s="64">
        <f>_xlfn.MINIFS(tblLaborEntries[Work date serial],tblLaborEntries[Work package ID],tblWorkPackages[[#This Row],[Work package ID]])</f>
        <v>45499.0</v>
      </c>
      <c r="AA2333" s="64">
        <f>_xlfn.MAXIFS(tblLaborEntries[Work date serial],tblLaborEntries[Work package ID],tblWorkPackages[[#This Row],[Work package ID]])</f>
        <v>45499.0</v>
      </c>
      <c r="AB2333" s="65">
        <f>IF(tblWorkPackages[[#This Row],[Completion date serial]]&gt;tblWorkPackages[[#This Row],[Due date serial]],1,0)</f>
        <v>0</v>
      </c>
      <c r="AC2333" s="65">
        <f>MAX(0,tblWorkPackages[[#This Row],[Completion date serial]]-tblWorkPackages[[#This Row],[Due date serial]])</f>
        <v>0</v>
      </c>
      <c r="AD2333" s="65">
        <f>tblWorkPackages[[#This Row],[First labor date]]-tblWorkPackages[[#This Row],[Request date serial]]</f>
        <v>3</v>
      </c>
      <c r="AE2333" s="65">
        <f>tblWorkPackages[[#This Row],[Last labor date]]-tblWorkPackages[[#This Row],[First labor date]]</f>
        <v>0</v>
      </c>
      <c r="AF2333" s="65">
        <f>tblWorkPackages[[#This Row],[Completion date serial]]-tblWorkPackages[[#This Row],[Last labor date]]</f>
        <v>3</v>
      </c>
      <c r="AG2333" s="65">
        <f>tblWorkPackages[[#This Row],[Completion date serial]]-tblWorkPackages[[#This Row],[Request date serial]]</f>
        <v>6</v>
      </c>
      <c r="AH2333" s="65">
        <f>IFERROR(INDEX(tblParts[Delay days],MATCH(tblWorkPackages[[#This Row],[Work package ID]],tblParts[Work package ID],0)),0)</f>
        <v>0</v>
      </c>
      <c r="AI2333" s="51" t="str">
        <f>IFERROR(INDEX(tblDisruptions[Event type],MATCH(tblWorkPackages[[#This Row],[Work package ID]],tblDisruptions[Work package ID],0)),"None")</f>
        <v>None</v>
      </c>
      <c r="AJ2333" s="51" t="str">
        <f>TEXT(tblWorkPackages[[#This Row],[Due date serial]],"yyyy-mm")</f>
        <v>2024-08</v>
      </c>
    </row>
    <row r="2334" spans="1:36" ht="15" x14ac:dyDescent="0.25">
      <c r="A2334" s="53" t="s">
        <v>3252</v>
      </c>
      <c r="B2334" s="53" t="s">
        <v>168</v>
      </c>
      <c r="C2334" s="53" t="s">
        <v>986</v>
      </c>
      <c r="D2334" s="53" t="s">
        <v>196</v>
      </c>
      <c r="E2334" s="53" t="s">
        <v>144</v>
      </c>
      <c r="F2334" s="53" t="s">
        <v>145</v>
      </c>
      <c r="G2334" s="53" t="s">
        <v>146</v>
      </c>
      <c r="H2334" s="53">
        <v>3</v>
      </c>
      <c r="I2334" s="53" t="s">
        <v>130</v>
      </c>
      <c r="J2334" s="53">
        <v>0</v>
      </c>
      <c r="K2334" s="53">
        <v>1</v>
      </c>
      <c r="L2334" s="53">
        <v>12.8</v>
      </c>
      <c r="M2334" s="53" t="s">
        <v>509</v>
      </c>
      <c r="N2334" s="53">
        <v>12.5</v>
      </c>
      <c r="O2334" s="51" t="str">
        <f>TEXT(tblWorkPackages[[#This Row],[Request date serial]]-WEEKDAY(tblWorkPackages[[#This Row],[Request date serial]],3),"yyyy-mm-dd")</f>
        <v>2024-09-30</v>
      </c>
      <c r="P2334" s="51">
        <f>ABS(tblWorkPackages[[#This Row],[Actual labor hours]]-tblWorkPackages[[#This Row],[Estimated labor hours]])</f>
        <v>0.300000000000001</v>
      </c>
      <c r="Q2334" s="51">
        <f>IF(tblWorkPackages[[#This Row],[Actual labor hours]]&gt;tblWorkPackages[[#This Row],[Estimated labor hours]],1,0)</f>
        <v>0</v>
      </c>
      <c r="R2334" s="51">
        <f>tblWorkPackages[[#This Row],[Actual labor hours]]-tblWorkPackages[[#This Row],[Estimated labor hours]]</f>
        <v>-0.300000000000001</v>
      </c>
      <c r="S2334" s="51" t="str">
        <f>IF(tblWorkPackages[[#This Row],[Request date serial]]&lt;ValidationStart,"Train 2024",IF(tblWorkPackages[[#This Row],[Request date serial]]&lt;HoldoutStart,"Validation H1","Holdout H2"))</f>
        <v>Train 2024</v>
      </c>
      <c r="T2334" s="51" t="str">
        <f>IF(tblWorkPackages[[#This Row],[Time split]]="Train 2024","",tblWorkPackages[[#This Row],[Estimated labor hours]]+VLOOKUP(tblWorkPackages[[#This Row],[Task type]],'Forecast validation'!$A$14:$E$25,IF(tblWorkPackages[[#This Row],[Time split]]="Validation H1",4,5),FALSE()))</f>
        <v/>
      </c>
      <c r="U2334" s="51" t="str">
        <f>IF(tblWorkPackages[[#This Row],[Calibrated forecast hours]]="","",ABS(tblWorkPackages[[#This Row],[Actual labor hours]]-tblWorkPackages[[#This Row],[Calibrated forecast hours]]))</f>
        <v/>
      </c>
      <c r="V2334" s="51">
        <f>IF(tblWorkPackages[[#This Row],[Time split]]="Train 2024",tblWorkPackages[[#This Row],[Estimated labor hours]],tblWorkPackages[[#This Row],[Calibrated forecast hours]])</f>
        <v>12.8</v>
      </c>
      <c r="W2334" s="64">
        <f>DATEVALUE(tblWorkPackages[[#This Row],[Request date]])</f>
        <v>45569.0</v>
      </c>
      <c r="X2334" s="64">
        <f>DATEVALUE(tblWorkPackages[[#This Row],[Due date]])</f>
        <v>45582.0</v>
      </c>
      <c r="Y2334" s="64">
        <f>DATEVALUE(tblWorkPackages[[#This Row],[Completion date]])</f>
        <v>45597.0</v>
      </c>
      <c r="Z2334" s="64">
        <f>_xlfn.MINIFS(tblLaborEntries[Work date serial],tblLaborEntries[Work package ID],tblWorkPackages[[#This Row],[Work package ID]])</f>
        <v>45595.0</v>
      </c>
      <c r="AA2334" s="64">
        <f>_xlfn.MAXIFS(tblLaborEntries[Work date serial],tblLaborEntries[Work package ID],tblWorkPackages[[#This Row],[Work package ID]])</f>
        <v>45597.0</v>
      </c>
      <c r="AB2334" s="65">
        <f>IF(tblWorkPackages[[#This Row],[Completion date serial]]&gt;tblWorkPackages[[#This Row],[Due date serial]],1,0)</f>
        <v>1</v>
      </c>
      <c r="AC2334" s="65">
        <f>MAX(0,tblWorkPackages[[#This Row],[Completion date serial]]-tblWorkPackages[[#This Row],[Due date serial]])</f>
        <v>15</v>
      </c>
      <c r="AD2334" s="65">
        <f>tblWorkPackages[[#This Row],[First labor date]]-tblWorkPackages[[#This Row],[Request date serial]]</f>
        <v>26</v>
      </c>
      <c r="AE2334" s="65">
        <f>tblWorkPackages[[#This Row],[Last labor date]]-tblWorkPackages[[#This Row],[First labor date]]</f>
        <v>2</v>
      </c>
      <c r="AF2334" s="65">
        <f>tblWorkPackages[[#This Row],[Completion date serial]]-tblWorkPackages[[#This Row],[Last labor date]]</f>
        <v>0</v>
      </c>
      <c r="AG2334" s="65">
        <f>tblWorkPackages[[#This Row],[Completion date serial]]-tblWorkPackages[[#This Row],[Request date serial]]</f>
        <v>28</v>
      </c>
      <c r="AH2334" s="65">
        <f>IFERROR(INDEX(tblParts[Delay days],MATCH(tblWorkPackages[[#This Row],[Work package ID]],tblParts[Work package ID],0)),0)</f>
        <v>0</v>
      </c>
      <c r="AI2334" s="51" t="str">
        <f>IFERROR(INDEX(tblDisruptions[Event type],MATCH(tblWorkPackages[[#This Row],[Work package ID]],tblDisruptions[Work package ID],0)),"None")</f>
        <v>None</v>
      </c>
      <c r="AJ2334" s="51" t="str">
        <f>TEXT(tblWorkPackages[[#This Row],[Due date serial]],"yyyy-mm")</f>
        <v>2024-10</v>
      </c>
    </row>
    <row r="2335" spans="1:36" ht="15" x14ac:dyDescent="0.25">
      <c r="A2335" s="53" t="s">
        <v>3253</v>
      </c>
      <c r="B2335" s="53" t="s">
        <v>173</v>
      </c>
      <c r="C2335" s="53" t="s">
        <v>518</v>
      </c>
      <c r="D2335" s="53" t="s">
        <v>365</v>
      </c>
      <c r="E2335" s="53" t="s">
        <v>223</v>
      </c>
      <c r="F2335" s="53" t="s">
        <v>182</v>
      </c>
      <c r="G2335" s="53" t="s">
        <v>154</v>
      </c>
      <c r="H2335" s="53">
        <v>1</v>
      </c>
      <c r="I2335" s="53" t="s">
        <v>147</v>
      </c>
      <c r="J2335" s="53">
        <v>0</v>
      </c>
      <c r="K2335" s="53">
        <v>0</v>
      </c>
      <c r="L2335" s="53">
        <v>8.6</v>
      </c>
      <c r="M2335" s="53" t="s">
        <v>567</v>
      </c>
      <c r="N2335" s="53">
        <v>10.7</v>
      </c>
      <c r="O2335" s="51" t="str">
        <f>TEXT(tblWorkPackages[[#This Row],[Request date serial]]-WEEKDAY(tblWorkPackages[[#This Row],[Request date serial]],3),"yyyy-mm-dd")</f>
        <v>2025-05-12</v>
      </c>
      <c r="P2335" s="51">
        <f>ABS(tblWorkPackages[[#This Row],[Actual labor hours]]-tblWorkPackages[[#This Row],[Estimated labor hours]])</f>
        <v>2.1</v>
      </c>
      <c r="Q2335" s="51">
        <f>IF(tblWorkPackages[[#This Row],[Actual labor hours]]&gt;tblWorkPackages[[#This Row],[Estimated labor hours]],1,0)</f>
        <v>1</v>
      </c>
      <c r="R2335" s="51">
        <f>tblWorkPackages[[#This Row],[Actual labor hours]]-tblWorkPackages[[#This Row],[Estimated labor hours]]</f>
        <v>2.1</v>
      </c>
      <c r="S2335" s="51" t="str">
        <f>IF(tblWorkPackages[[#This Row],[Request date serial]]&lt;ValidationStart,"Train 2024",IF(tblWorkPackages[[#This Row],[Request date serial]]&lt;HoldoutStart,"Validation H1","Holdout H2"))</f>
        <v>Validation H1</v>
      </c>
      <c r="T2335" s="51">
        <f>IF(tblWorkPackages[[#This Row],[Time split]]="Train 2024","",tblWorkPackages[[#This Row],[Estimated labor hours]]+VLOOKUP(tblWorkPackages[[#This Row],[Task type]],'Forecast validation'!$A$14:$E$25,IF(tblWorkPackages[[#This Row],[Time split]]="Validation H1",4,5),FALSE()))</f>
        <v>9.48241758241758</v>
      </c>
      <c r="U2335" s="51">
        <f>IF(tblWorkPackages[[#This Row],[Calibrated forecast hours]]="","",ABS(tblWorkPackages[[#This Row],[Actual labor hours]]-tblWorkPackages[[#This Row],[Calibrated forecast hours]]))</f>
        <v>1.21758241758242</v>
      </c>
      <c r="V2335" s="51">
        <f>IF(tblWorkPackages[[#This Row],[Time split]]="Train 2024",tblWorkPackages[[#This Row],[Estimated labor hours]],tblWorkPackages[[#This Row],[Calibrated forecast hours]])</f>
        <v>9.48241758241758</v>
      </c>
      <c r="W2335" s="64">
        <f>DATEVALUE(tblWorkPackages[[#This Row],[Request date]])</f>
        <v>45794.0</v>
      </c>
      <c r="X2335" s="64">
        <f>DATEVALUE(tblWorkPackages[[#This Row],[Due date]])</f>
        <v>45796.0</v>
      </c>
      <c r="Y2335" s="64">
        <f>DATEVALUE(tblWorkPackages[[#This Row],[Completion date]])</f>
        <v>45800.0</v>
      </c>
      <c r="Z2335" s="64">
        <f>_xlfn.MINIFS(tblLaborEntries[Work date serial],tblLaborEntries[Work package ID],tblWorkPackages[[#This Row],[Work package ID]])</f>
        <v>45798.0</v>
      </c>
      <c r="AA2335" s="64">
        <f>_xlfn.MAXIFS(tblLaborEntries[Work date serial],tblLaborEntries[Work package ID],tblWorkPackages[[#This Row],[Work package ID]])</f>
        <v>45799.0</v>
      </c>
      <c r="AB2335" s="65">
        <f>IF(tblWorkPackages[[#This Row],[Completion date serial]]&gt;tblWorkPackages[[#This Row],[Due date serial]],1,0)</f>
        <v>1</v>
      </c>
      <c r="AC2335" s="65">
        <f>MAX(0,tblWorkPackages[[#This Row],[Completion date serial]]-tblWorkPackages[[#This Row],[Due date serial]])</f>
        <v>4</v>
      </c>
      <c r="AD2335" s="65">
        <f>tblWorkPackages[[#This Row],[First labor date]]-tblWorkPackages[[#This Row],[Request date serial]]</f>
        <v>4</v>
      </c>
      <c r="AE2335" s="65">
        <f>tblWorkPackages[[#This Row],[Last labor date]]-tblWorkPackages[[#This Row],[First labor date]]</f>
        <v>1</v>
      </c>
      <c r="AF2335" s="65">
        <f>tblWorkPackages[[#This Row],[Completion date serial]]-tblWorkPackages[[#This Row],[Last labor date]]</f>
        <v>1</v>
      </c>
      <c r="AG2335" s="65">
        <f>tblWorkPackages[[#This Row],[Completion date serial]]-tblWorkPackages[[#This Row],[Request date serial]]</f>
        <v>6</v>
      </c>
      <c r="AH2335" s="65">
        <f>IFERROR(INDEX(tblParts[Delay days],MATCH(tblWorkPackages[[#This Row],[Work package ID]],tblParts[Work package ID],0)),0)</f>
        <v>0</v>
      </c>
      <c r="AI2335" s="51" t="str">
        <f>IFERROR(INDEX(tblDisruptions[Event type],MATCH(tblWorkPackages[[#This Row],[Work package ID]],tblDisruptions[Work package ID],0)),"None")</f>
        <v>None</v>
      </c>
      <c r="AJ2335" s="51" t="str">
        <f>TEXT(tblWorkPackages[[#This Row],[Due date serial]],"yyyy-mm")</f>
        <v>2025-05</v>
      </c>
    </row>
    <row r="2336" spans="1:36" ht="15" x14ac:dyDescent="0.25">
      <c r="A2336" s="53" t="s">
        <v>3254</v>
      </c>
      <c r="B2336" s="53" t="s">
        <v>287</v>
      </c>
      <c r="C2336" s="53" t="s">
        <v>935</v>
      </c>
      <c r="D2336" s="53" t="s">
        <v>188</v>
      </c>
      <c r="E2336" s="53" t="s">
        <v>153</v>
      </c>
      <c r="F2336" s="53" t="s">
        <v>128</v>
      </c>
      <c r="G2336" s="53" t="s">
        <v>154</v>
      </c>
      <c r="H2336" s="53">
        <v>4</v>
      </c>
      <c r="I2336" s="53" t="s">
        <v>130</v>
      </c>
      <c r="J2336" s="53">
        <v>0</v>
      </c>
      <c r="K2336" s="53">
        <v>1</v>
      </c>
      <c r="L2336" s="53">
        <v>19</v>
      </c>
      <c r="M2336" s="53" t="s">
        <v>506</v>
      </c>
      <c r="N2336" s="53">
        <v>18.8</v>
      </c>
      <c r="O2336" s="51" t="str">
        <f>TEXT(tblWorkPackages[[#This Row],[Request date serial]]-WEEKDAY(tblWorkPackages[[#This Row],[Request date serial]],3),"yyyy-mm-dd")</f>
        <v>2025-02-10</v>
      </c>
      <c r="P2336" s="51">
        <f>ABS(tblWorkPackages[[#This Row],[Actual labor hours]]-tblWorkPackages[[#This Row],[Estimated labor hours]])</f>
        <v>0.199999999999999</v>
      </c>
      <c r="Q2336" s="51">
        <f>IF(tblWorkPackages[[#This Row],[Actual labor hours]]&gt;tblWorkPackages[[#This Row],[Estimated labor hours]],1,0)</f>
        <v>0</v>
      </c>
      <c r="R2336" s="51">
        <f>tblWorkPackages[[#This Row],[Actual labor hours]]-tblWorkPackages[[#This Row],[Estimated labor hours]]</f>
        <v>-0.199999999999999</v>
      </c>
      <c r="S2336" s="51" t="str">
        <f>IF(tblWorkPackages[[#This Row],[Request date serial]]&lt;ValidationStart,"Train 2024",IF(tblWorkPackages[[#This Row],[Request date serial]]&lt;HoldoutStart,"Validation H1","Holdout H2"))</f>
        <v>Validation H1</v>
      </c>
      <c r="T2336" s="51">
        <f>IF(tblWorkPackages[[#This Row],[Time split]]="Train 2024","",tblWorkPackages[[#This Row],[Estimated labor hours]]+VLOOKUP(tblWorkPackages[[#This Row],[Task type]],'Forecast validation'!$A$14:$E$25,IF(tblWorkPackages[[#This Row],[Time split]]="Validation H1",4,5),FALSE()))</f>
        <v>19.5462264150943</v>
      </c>
      <c r="U2336" s="51">
        <f>IF(tblWorkPackages[[#This Row],[Calibrated forecast hours]]="","",ABS(tblWorkPackages[[#This Row],[Actual labor hours]]-tblWorkPackages[[#This Row],[Calibrated forecast hours]]))</f>
        <v>0.746226415094338</v>
      </c>
      <c r="V2336" s="51">
        <f>IF(tblWorkPackages[[#This Row],[Time split]]="Train 2024",tblWorkPackages[[#This Row],[Estimated labor hours]],tblWorkPackages[[#This Row],[Calibrated forecast hours]])</f>
        <v>19.5462264150943</v>
      </c>
      <c r="W2336" s="64">
        <f>DATEVALUE(tblWorkPackages[[#This Row],[Request date]])</f>
        <v>45698.0</v>
      </c>
      <c r="X2336" s="64">
        <f>DATEVALUE(tblWorkPackages[[#This Row],[Due date]])</f>
        <v>45711.0</v>
      </c>
      <c r="Y2336" s="64">
        <f>DATEVALUE(tblWorkPackages[[#This Row],[Completion date]])</f>
        <v>45708.0</v>
      </c>
      <c r="Z2336" s="64">
        <f>_xlfn.MINIFS(tblLaborEntries[Work date serial],tblLaborEntries[Work package ID],tblWorkPackages[[#This Row],[Work package ID]])</f>
        <v>45705.0</v>
      </c>
      <c r="AA2336" s="64">
        <f>_xlfn.MAXIFS(tblLaborEntries[Work date serial],tblLaborEntries[Work package ID],tblWorkPackages[[#This Row],[Work package ID]])</f>
        <v>45706.0</v>
      </c>
      <c r="AB2336" s="65">
        <f>IF(tblWorkPackages[[#This Row],[Completion date serial]]&gt;tblWorkPackages[[#This Row],[Due date serial]],1,0)</f>
        <v>0</v>
      </c>
      <c r="AC2336" s="65">
        <f>MAX(0,tblWorkPackages[[#This Row],[Completion date serial]]-tblWorkPackages[[#This Row],[Due date serial]])</f>
        <v>0</v>
      </c>
      <c r="AD2336" s="65">
        <f>tblWorkPackages[[#This Row],[First labor date]]-tblWorkPackages[[#This Row],[Request date serial]]</f>
        <v>7</v>
      </c>
      <c r="AE2336" s="65">
        <f>tblWorkPackages[[#This Row],[Last labor date]]-tblWorkPackages[[#This Row],[First labor date]]</f>
        <v>1</v>
      </c>
      <c r="AF2336" s="65">
        <f>tblWorkPackages[[#This Row],[Completion date serial]]-tblWorkPackages[[#This Row],[Last labor date]]</f>
        <v>2</v>
      </c>
      <c r="AG2336" s="65">
        <f>tblWorkPackages[[#This Row],[Completion date serial]]-tblWorkPackages[[#This Row],[Request date serial]]</f>
        <v>10</v>
      </c>
      <c r="AH2336" s="65">
        <f>IFERROR(INDEX(tblParts[Delay days],MATCH(tblWorkPackages[[#This Row],[Work package ID]],tblParts[Work package ID],0)),0)</f>
        <v>6</v>
      </c>
      <c r="AI2336" s="51" t="str">
        <f>IFERROR(INDEX(tblDisruptions[Event type],MATCH(tblWorkPackages[[#This Row],[Work package ID]],tblDisruptions[Work package ID],0)),"None")</f>
        <v>Part delay</v>
      </c>
      <c r="AJ2336" s="51" t="str">
        <f>TEXT(tblWorkPackages[[#This Row],[Due date serial]],"yyyy-mm")</f>
        <v>2025-02</v>
      </c>
    </row>
    <row r="2337" spans="1:36" ht="15" x14ac:dyDescent="0.25">
      <c r="A2337" s="53" t="s">
        <v>3255</v>
      </c>
      <c r="B2337" s="53" t="s">
        <v>250</v>
      </c>
      <c r="C2337" s="53" t="s">
        <v>782</v>
      </c>
      <c r="D2337" s="53" t="s">
        <v>293</v>
      </c>
      <c r="E2337" s="53" t="s">
        <v>237</v>
      </c>
      <c r="F2337" s="53" t="s">
        <v>182</v>
      </c>
      <c r="G2337" s="53" t="s">
        <v>138</v>
      </c>
      <c r="H2337" s="53">
        <v>2</v>
      </c>
      <c r="I2337" s="53" t="s">
        <v>130</v>
      </c>
      <c r="J2337" s="53">
        <v>0</v>
      </c>
      <c r="K2337" s="53">
        <v>0</v>
      </c>
      <c r="L2337" s="53">
        <v>4.9000000000000004</v>
      </c>
      <c r="M2337" s="53" t="s">
        <v>386</v>
      </c>
      <c r="N2337" s="53">
        <v>4.0999999999999996</v>
      </c>
      <c r="O2337" s="51" t="str">
        <f>TEXT(tblWorkPackages[[#This Row],[Request date serial]]-WEEKDAY(tblWorkPackages[[#This Row],[Request date serial]],3),"yyyy-mm-dd")</f>
        <v>2024-08-12</v>
      </c>
      <c r="P2337" s="51">
        <f>ABS(tblWorkPackages[[#This Row],[Actual labor hours]]-tblWorkPackages[[#This Row],[Estimated labor hours]])</f>
        <v>0.800000000000001</v>
      </c>
      <c r="Q2337" s="51">
        <f>IF(tblWorkPackages[[#This Row],[Actual labor hours]]&gt;tblWorkPackages[[#This Row],[Estimated labor hours]],1,0)</f>
        <v>0</v>
      </c>
      <c r="R2337" s="51">
        <f>tblWorkPackages[[#This Row],[Actual labor hours]]-tblWorkPackages[[#This Row],[Estimated labor hours]]</f>
        <v>-0.800000000000001</v>
      </c>
      <c r="S2337" s="51" t="str">
        <f>IF(tblWorkPackages[[#This Row],[Request date serial]]&lt;ValidationStart,"Train 2024",IF(tblWorkPackages[[#This Row],[Request date serial]]&lt;HoldoutStart,"Validation H1","Holdout H2"))</f>
        <v>Train 2024</v>
      </c>
      <c r="T2337" s="51" t="str">
        <f>IF(tblWorkPackages[[#This Row],[Time split]]="Train 2024","",tblWorkPackages[[#This Row],[Estimated labor hours]]+VLOOKUP(tblWorkPackages[[#This Row],[Task type]],'Forecast validation'!$A$14:$E$25,IF(tblWorkPackages[[#This Row],[Time split]]="Validation H1",4,5),FALSE()))</f>
        <v/>
      </c>
      <c r="U2337" s="51" t="str">
        <f>IF(tblWorkPackages[[#This Row],[Calibrated forecast hours]]="","",ABS(tblWorkPackages[[#This Row],[Actual labor hours]]-tblWorkPackages[[#This Row],[Calibrated forecast hours]]))</f>
        <v/>
      </c>
      <c r="V2337" s="51">
        <f>IF(tblWorkPackages[[#This Row],[Time split]]="Train 2024",tblWorkPackages[[#This Row],[Estimated labor hours]],tblWorkPackages[[#This Row],[Calibrated forecast hours]])</f>
        <v>4.9</v>
      </c>
      <c r="W2337" s="64">
        <f>DATEVALUE(tblWorkPackages[[#This Row],[Request date]])</f>
        <v>45517.0</v>
      </c>
      <c r="X2337" s="64">
        <f>DATEVALUE(tblWorkPackages[[#This Row],[Due date]])</f>
        <v>45530.0</v>
      </c>
      <c r="Y2337" s="64">
        <f>DATEVALUE(tblWorkPackages[[#This Row],[Completion date]])</f>
        <v>45533.0</v>
      </c>
      <c r="Z2337" s="64">
        <f>_xlfn.MINIFS(tblLaborEntries[Work date serial],tblLaborEntries[Work package ID],tblWorkPackages[[#This Row],[Work package ID]])</f>
        <v>45530.0</v>
      </c>
      <c r="AA2337" s="64">
        <f>_xlfn.MAXIFS(tblLaborEntries[Work date serial],tblLaborEntries[Work package ID],tblWorkPackages[[#This Row],[Work package ID]])</f>
        <v>45530.0</v>
      </c>
      <c r="AB2337" s="65">
        <f>IF(tblWorkPackages[[#This Row],[Completion date serial]]&gt;tblWorkPackages[[#This Row],[Due date serial]],1,0)</f>
        <v>1</v>
      </c>
      <c r="AC2337" s="65">
        <f>MAX(0,tblWorkPackages[[#This Row],[Completion date serial]]-tblWorkPackages[[#This Row],[Due date serial]])</f>
        <v>3</v>
      </c>
      <c r="AD2337" s="65">
        <f>tblWorkPackages[[#This Row],[First labor date]]-tblWorkPackages[[#This Row],[Request date serial]]</f>
        <v>13</v>
      </c>
      <c r="AE2337" s="65">
        <f>tblWorkPackages[[#This Row],[Last labor date]]-tblWorkPackages[[#This Row],[First labor date]]</f>
        <v>0</v>
      </c>
      <c r="AF2337" s="65">
        <f>tblWorkPackages[[#This Row],[Completion date serial]]-tblWorkPackages[[#This Row],[Last labor date]]</f>
        <v>3</v>
      </c>
      <c r="AG2337" s="65">
        <f>tblWorkPackages[[#This Row],[Completion date serial]]-tblWorkPackages[[#This Row],[Request date serial]]</f>
        <v>16</v>
      </c>
      <c r="AH2337" s="65">
        <f>IFERROR(INDEX(tblParts[Delay days],MATCH(tblWorkPackages[[#This Row],[Work package ID]],tblParts[Work package ID],0)),0)</f>
        <v>0</v>
      </c>
      <c r="AI2337" s="51" t="str">
        <f>IFERROR(INDEX(tblDisruptions[Event type],MATCH(tblWorkPackages[[#This Row],[Work package ID]],tblDisruptions[Work package ID],0)),"None")</f>
        <v>None</v>
      </c>
      <c r="AJ2337" s="51" t="str">
        <f>TEXT(tblWorkPackages[[#This Row],[Due date serial]],"yyyy-mm")</f>
        <v>2024-08</v>
      </c>
    </row>
    <row r="2338" spans="1:36" ht="15" x14ac:dyDescent="0.25">
      <c r="A2338" s="53" t="s">
        <v>3256</v>
      </c>
      <c r="B2338" s="53" t="s">
        <v>250</v>
      </c>
      <c r="C2338" s="53" t="s">
        <v>183</v>
      </c>
      <c r="D2338" s="53" t="s">
        <v>1285</v>
      </c>
      <c r="E2338" s="53" t="s">
        <v>242</v>
      </c>
      <c r="F2338" s="53" t="s">
        <v>243</v>
      </c>
      <c r="G2338" s="53" t="s">
        <v>129</v>
      </c>
      <c r="H2338" s="53">
        <v>3</v>
      </c>
      <c r="I2338" s="53" t="s">
        <v>130</v>
      </c>
      <c r="J2338" s="53">
        <v>0</v>
      </c>
      <c r="K2338" s="53">
        <v>1</v>
      </c>
      <c r="L2338" s="53">
        <v>12.8</v>
      </c>
      <c r="M2338" s="53" t="s">
        <v>1184</v>
      </c>
      <c r="N2338" s="53">
        <v>16</v>
      </c>
      <c r="O2338" s="51" t="str">
        <f>TEXT(tblWorkPackages[[#This Row],[Request date serial]]-WEEKDAY(tblWorkPackages[[#This Row],[Request date serial]],3),"yyyy-mm-dd")</f>
        <v>2025-05-19</v>
      </c>
      <c r="P2338" s="51">
        <f>ABS(tblWorkPackages[[#This Row],[Actual labor hours]]-tblWorkPackages[[#This Row],[Estimated labor hours]])</f>
        <v>3.2</v>
      </c>
      <c r="Q2338" s="51">
        <f>IF(tblWorkPackages[[#This Row],[Actual labor hours]]&gt;tblWorkPackages[[#This Row],[Estimated labor hours]],1,0)</f>
        <v>1</v>
      </c>
      <c r="R2338" s="51">
        <f>tblWorkPackages[[#This Row],[Actual labor hours]]-tblWorkPackages[[#This Row],[Estimated labor hours]]</f>
        <v>3.2</v>
      </c>
      <c r="S2338" s="51" t="str">
        <f>IF(tblWorkPackages[[#This Row],[Request date serial]]&lt;ValidationStart,"Train 2024",IF(tblWorkPackages[[#This Row],[Request date serial]]&lt;HoldoutStart,"Validation H1","Holdout H2"))</f>
        <v>Validation H1</v>
      </c>
      <c r="T2338" s="51">
        <f>IF(tblWorkPackages[[#This Row],[Time split]]="Train 2024","",tblWorkPackages[[#This Row],[Estimated labor hours]]+VLOOKUP(tblWorkPackages[[#This Row],[Task type]],'Forecast validation'!$A$14:$E$25,IF(tblWorkPackages[[#This Row],[Time split]]="Validation H1",4,5),FALSE()))</f>
        <v>13.3561224489796</v>
      </c>
      <c r="U2338" s="51">
        <f>IF(tblWorkPackages[[#This Row],[Calibrated forecast hours]]="","",ABS(tblWorkPackages[[#This Row],[Actual labor hours]]-tblWorkPackages[[#This Row],[Calibrated forecast hours]]))</f>
        <v>2.64387755102041</v>
      </c>
      <c r="V2338" s="51">
        <f>IF(tblWorkPackages[[#This Row],[Time split]]="Train 2024",tblWorkPackages[[#This Row],[Estimated labor hours]],tblWorkPackages[[#This Row],[Calibrated forecast hours]])</f>
        <v>13.3561224489796</v>
      </c>
      <c r="W2338" s="64">
        <f>DATEVALUE(tblWorkPackages[[#This Row],[Request date]])</f>
        <v>45799.0</v>
      </c>
      <c r="X2338" s="64">
        <f>DATEVALUE(tblWorkPackages[[#This Row],[Due date]])</f>
        <v>45812.0</v>
      </c>
      <c r="Y2338" s="64">
        <f>DATEVALUE(tblWorkPackages[[#This Row],[Completion date]])</f>
        <v>45802.0</v>
      </c>
      <c r="Z2338" s="64">
        <f>_xlfn.MINIFS(tblLaborEntries[Work date serial],tblLaborEntries[Work package ID],tblWorkPackages[[#This Row],[Work package ID]])</f>
        <v>45802.0</v>
      </c>
      <c r="AA2338" s="64">
        <f>_xlfn.MAXIFS(tblLaborEntries[Work date serial],tblLaborEntries[Work package ID],tblWorkPackages[[#This Row],[Work package ID]])</f>
        <v>45802.0</v>
      </c>
      <c r="AB2338" s="65">
        <f>IF(tblWorkPackages[[#This Row],[Completion date serial]]&gt;tblWorkPackages[[#This Row],[Due date serial]],1,0)</f>
        <v>0</v>
      </c>
      <c r="AC2338" s="65">
        <f>MAX(0,tblWorkPackages[[#This Row],[Completion date serial]]-tblWorkPackages[[#This Row],[Due date serial]])</f>
        <v>0</v>
      </c>
      <c r="AD2338" s="65">
        <f>tblWorkPackages[[#This Row],[First labor date]]-tblWorkPackages[[#This Row],[Request date serial]]</f>
        <v>3</v>
      </c>
      <c r="AE2338" s="65">
        <f>tblWorkPackages[[#This Row],[Last labor date]]-tblWorkPackages[[#This Row],[First labor date]]</f>
        <v>0</v>
      </c>
      <c r="AF2338" s="65">
        <f>tblWorkPackages[[#This Row],[Completion date serial]]-tblWorkPackages[[#This Row],[Last labor date]]</f>
        <v>0</v>
      </c>
      <c r="AG2338" s="65">
        <f>tblWorkPackages[[#This Row],[Completion date serial]]-tblWorkPackages[[#This Row],[Request date serial]]</f>
        <v>3</v>
      </c>
      <c r="AH2338" s="65">
        <f>IFERROR(INDEX(tblParts[Delay days],MATCH(tblWorkPackages[[#This Row],[Work package ID]],tblParts[Work package ID],0)),0)</f>
        <v>0</v>
      </c>
      <c r="AI2338" s="51" t="str">
        <f>IFERROR(INDEX(tblDisruptions[Event type],MATCH(tblWorkPackages[[#This Row],[Work package ID]],tblDisruptions[Work package ID],0)),"None")</f>
        <v>None</v>
      </c>
      <c r="AJ2338" s="51" t="str">
        <f>TEXT(tblWorkPackages[[#This Row],[Due date serial]],"yyyy-mm")</f>
        <v>2025-06</v>
      </c>
    </row>
    <row r="2339" spans="1:36" ht="15" x14ac:dyDescent="0.25">
      <c r="A2339" s="53" t="s">
        <v>3257</v>
      </c>
      <c r="B2339" s="53" t="s">
        <v>203</v>
      </c>
      <c r="C2339" s="53" t="s">
        <v>447</v>
      </c>
      <c r="D2339" s="53" t="s">
        <v>1226</v>
      </c>
      <c r="E2339" s="53" t="s">
        <v>242</v>
      </c>
      <c r="F2339" s="53" t="s">
        <v>243</v>
      </c>
      <c r="G2339" s="53" t="s">
        <v>129</v>
      </c>
      <c r="H2339" s="53">
        <v>2</v>
      </c>
      <c r="I2339" s="53" t="s">
        <v>176</v>
      </c>
      <c r="J2339" s="53">
        <v>0</v>
      </c>
      <c r="K2339" s="53">
        <v>0</v>
      </c>
      <c r="L2339" s="53">
        <v>8.6999999999999993</v>
      </c>
      <c r="M2339" s="53" t="s">
        <v>517</v>
      </c>
      <c r="N2339" s="53">
        <v>7.6</v>
      </c>
      <c r="O2339" s="51" t="str">
        <f>TEXT(tblWorkPackages[[#This Row],[Request date serial]]-WEEKDAY(tblWorkPackages[[#This Row],[Request date serial]],3),"yyyy-mm-dd")</f>
        <v>2025-03-24</v>
      </c>
      <c r="P2339" s="51">
        <f>ABS(tblWorkPackages[[#This Row],[Actual labor hours]]-tblWorkPackages[[#This Row],[Estimated labor hours]])</f>
        <v>1.1</v>
      </c>
      <c r="Q2339" s="51">
        <f>IF(tblWorkPackages[[#This Row],[Actual labor hours]]&gt;tblWorkPackages[[#This Row],[Estimated labor hours]],1,0)</f>
        <v>0</v>
      </c>
      <c r="R2339" s="51">
        <f>tblWorkPackages[[#This Row],[Actual labor hours]]-tblWorkPackages[[#This Row],[Estimated labor hours]]</f>
        <v>-1.1</v>
      </c>
      <c r="S2339" s="51" t="str">
        <f>IF(tblWorkPackages[[#This Row],[Request date serial]]&lt;ValidationStart,"Train 2024",IF(tblWorkPackages[[#This Row],[Request date serial]]&lt;HoldoutStart,"Validation H1","Holdout H2"))</f>
        <v>Validation H1</v>
      </c>
      <c r="T2339" s="51">
        <f>IF(tblWorkPackages[[#This Row],[Time split]]="Train 2024","",tblWorkPackages[[#This Row],[Estimated labor hours]]+VLOOKUP(tblWorkPackages[[#This Row],[Task type]],'Forecast validation'!$A$14:$E$25,IF(tblWorkPackages[[#This Row],[Time split]]="Validation H1",4,5),FALSE()))</f>
        <v>9.25612244897959</v>
      </c>
      <c r="U2339" s="51">
        <f>IF(tblWorkPackages[[#This Row],[Calibrated forecast hours]]="","",ABS(tblWorkPackages[[#This Row],[Actual labor hours]]-tblWorkPackages[[#This Row],[Calibrated forecast hours]]))</f>
        <v>1.65612244897959</v>
      </c>
      <c r="V2339" s="51">
        <f>IF(tblWorkPackages[[#This Row],[Time split]]="Train 2024",tblWorkPackages[[#This Row],[Estimated labor hours]],tblWorkPackages[[#This Row],[Calibrated forecast hours]])</f>
        <v>9.25612244897959</v>
      </c>
      <c r="W2339" s="64">
        <f>DATEVALUE(tblWorkPackages[[#This Row],[Request date]])</f>
        <v>45744.0</v>
      </c>
      <c r="X2339" s="64">
        <f>DATEVALUE(tblWorkPackages[[#This Row],[Due date]])</f>
        <v>45750.0</v>
      </c>
      <c r="Y2339" s="64">
        <f>DATEVALUE(tblWorkPackages[[#This Row],[Completion date]])</f>
        <v>45788.0</v>
      </c>
      <c r="Z2339" s="64">
        <f>_xlfn.MINIFS(tblLaborEntries[Work date serial],tblLaborEntries[Work package ID],tblWorkPackages[[#This Row],[Work package ID]])</f>
        <v>45787.0</v>
      </c>
      <c r="AA2339" s="64">
        <f>_xlfn.MAXIFS(tblLaborEntries[Work date serial],tblLaborEntries[Work package ID],tblWorkPackages[[#This Row],[Work package ID]])</f>
        <v>45787.0</v>
      </c>
      <c r="AB2339" s="65">
        <f>IF(tblWorkPackages[[#This Row],[Completion date serial]]&gt;tblWorkPackages[[#This Row],[Due date serial]],1,0)</f>
        <v>1</v>
      </c>
      <c r="AC2339" s="65">
        <f>MAX(0,tblWorkPackages[[#This Row],[Completion date serial]]-tblWorkPackages[[#This Row],[Due date serial]])</f>
        <v>38</v>
      </c>
      <c r="AD2339" s="65">
        <f>tblWorkPackages[[#This Row],[First labor date]]-tblWorkPackages[[#This Row],[Request date serial]]</f>
        <v>43</v>
      </c>
      <c r="AE2339" s="65">
        <f>tblWorkPackages[[#This Row],[Last labor date]]-tblWorkPackages[[#This Row],[First labor date]]</f>
        <v>0</v>
      </c>
      <c r="AF2339" s="65">
        <f>tblWorkPackages[[#This Row],[Completion date serial]]-tblWorkPackages[[#This Row],[Last labor date]]</f>
        <v>1</v>
      </c>
      <c r="AG2339" s="65">
        <f>tblWorkPackages[[#This Row],[Completion date serial]]-tblWorkPackages[[#This Row],[Request date serial]]</f>
        <v>44</v>
      </c>
      <c r="AH2339" s="65">
        <f>IFERROR(INDEX(tblParts[Delay days],MATCH(tblWorkPackages[[#This Row],[Work package ID]],tblParts[Work package ID],0)),0)</f>
        <v>0</v>
      </c>
      <c r="AI2339" s="51" t="str">
        <f>IFERROR(INDEX(tblDisruptions[Event type],MATCH(tblWorkPackages[[#This Row],[Work package ID]],tblDisruptions[Work package ID],0)),"None")</f>
        <v>None</v>
      </c>
      <c r="AJ2339" s="51" t="str">
        <f>TEXT(tblWorkPackages[[#This Row],[Due date serial]],"yyyy-mm")</f>
        <v>2025-04</v>
      </c>
    </row>
    <row r="2340" spans="1:36" ht="15" x14ac:dyDescent="0.25">
      <c r="A2340" s="53" t="s">
        <v>3258</v>
      </c>
      <c r="B2340" s="53" t="s">
        <v>124</v>
      </c>
      <c r="C2340" s="53" t="s">
        <v>1026</v>
      </c>
      <c r="D2340" s="53" t="s">
        <v>667</v>
      </c>
      <c r="E2340" s="53" t="s">
        <v>160</v>
      </c>
      <c r="F2340" s="53" t="s">
        <v>128</v>
      </c>
      <c r="G2340" s="53" t="s">
        <v>138</v>
      </c>
      <c r="H2340" s="53">
        <v>4</v>
      </c>
      <c r="I2340" s="53" t="s">
        <v>147</v>
      </c>
      <c r="J2340" s="53">
        <v>1</v>
      </c>
      <c r="K2340" s="53">
        <v>0</v>
      </c>
      <c r="L2340" s="53">
        <v>9.5</v>
      </c>
      <c r="M2340" s="53" t="s">
        <v>631</v>
      </c>
      <c r="N2340" s="53">
        <v>10.1</v>
      </c>
      <c r="O2340" s="51" t="str">
        <f>TEXT(tblWorkPackages[[#This Row],[Request date serial]]-WEEKDAY(tblWorkPackages[[#This Row],[Request date serial]],3),"yyyy-mm-dd")</f>
        <v>2024-03-18</v>
      </c>
      <c r="P2340" s="51">
        <f>ABS(tblWorkPackages[[#This Row],[Actual labor hours]]-tblWorkPackages[[#This Row],[Estimated labor hours]])</f>
        <v>0.6</v>
      </c>
      <c r="Q2340" s="51">
        <f>IF(tblWorkPackages[[#This Row],[Actual labor hours]]&gt;tblWorkPackages[[#This Row],[Estimated labor hours]],1,0)</f>
        <v>1</v>
      </c>
      <c r="R2340" s="51">
        <f>tblWorkPackages[[#This Row],[Actual labor hours]]-tblWorkPackages[[#This Row],[Estimated labor hours]]</f>
        <v>0.6</v>
      </c>
      <c r="S2340" s="51" t="str">
        <f>IF(tblWorkPackages[[#This Row],[Request date serial]]&lt;ValidationStart,"Train 2024",IF(tblWorkPackages[[#This Row],[Request date serial]]&lt;HoldoutStart,"Validation H1","Holdout H2"))</f>
        <v>Train 2024</v>
      </c>
      <c r="T2340" s="51" t="str">
        <f>IF(tblWorkPackages[[#This Row],[Time split]]="Train 2024","",tblWorkPackages[[#This Row],[Estimated labor hours]]+VLOOKUP(tblWorkPackages[[#This Row],[Task type]],'Forecast validation'!$A$14:$E$25,IF(tblWorkPackages[[#This Row],[Time split]]="Validation H1",4,5),FALSE()))</f>
        <v/>
      </c>
      <c r="U2340" s="51" t="str">
        <f>IF(tblWorkPackages[[#This Row],[Calibrated forecast hours]]="","",ABS(tblWorkPackages[[#This Row],[Actual labor hours]]-tblWorkPackages[[#This Row],[Calibrated forecast hours]]))</f>
        <v/>
      </c>
      <c r="V2340" s="51">
        <f>IF(tblWorkPackages[[#This Row],[Time split]]="Train 2024",tblWorkPackages[[#This Row],[Estimated labor hours]],tblWorkPackages[[#This Row],[Calibrated forecast hours]])</f>
        <v>9.5</v>
      </c>
      <c r="W2340" s="64">
        <f>DATEVALUE(tblWorkPackages[[#This Row],[Request date]])</f>
        <v>45371.0</v>
      </c>
      <c r="X2340" s="64">
        <f>DATEVALUE(tblWorkPackages[[#This Row],[Due date]])</f>
        <v>45373.0</v>
      </c>
      <c r="Y2340" s="64">
        <f>DATEVALUE(tblWorkPackages[[#This Row],[Completion date]])</f>
        <v>45382.0</v>
      </c>
      <c r="Z2340" s="64">
        <f>_xlfn.MINIFS(tblLaborEntries[Work date serial],tblLaborEntries[Work package ID],tblWorkPackages[[#This Row],[Work package ID]])</f>
        <v>45378.0</v>
      </c>
      <c r="AA2340" s="64">
        <f>_xlfn.MAXIFS(tblLaborEntries[Work date serial],tblLaborEntries[Work package ID],tblWorkPackages[[#This Row],[Work package ID]])</f>
        <v>45380.0</v>
      </c>
      <c r="AB2340" s="65">
        <f>IF(tblWorkPackages[[#This Row],[Completion date serial]]&gt;tblWorkPackages[[#This Row],[Due date serial]],1,0)</f>
        <v>1</v>
      </c>
      <c r="AC2340" s="65">
        <f>MAX(0,tblWorkPackages[[#This Row],[Completion date serial]]-tblWorkPackages[[#This Row],[Due date serial]])</f>
        <v>9</v>
      </c>
      <c r="AD2340" s="65">
        <f>tblWorkPackages[[#This Row],[First labor date]]-tblWorkPackages[[#This Row],[Request date serial]]</f>
        <v>7</v>
      </c>
      <c r="AE2340" s="65">
        <f>tblWorkPackages[[#This Row],[Last labor date]]-tblWorkPackages[[#This Row],[First labor date]]</f>
        <v>2</v>
      </c>
      <c r="AF2340" s="65">
        <f>tblWorkPackages[[#This Row],[Completion date serial]]-tblWorkPackages[[#This Row],[Last labor date]]</f>
        <v>2</v>
      </c>
      <c r="AG2340" s="65">
        <f>tblWorkPackages[[#This Row],[Completion date serial]]-tblWorkPackages[[#This Row],[Request date serial]]</f>
        <v>11</v>
      </c>
      <c r="AH2340" s="65">
        <f>IFERROR(INDEX(tblParts[Delay days],MATCH(tblWorkPackages[[#This Row],[Work package ID]],tblParts[Work package ID],0)),0)</f>
        <v>0</v>
      </c>
      <c r="AI2340" s="51" t="str">
        <f>IFERROR(INDEX(tblDisruptions[Event type],MATCH(tblWorkPackages[[#This Row],[Work package ID]],tblDisruptions[Work package ID],0)),"None")</f>
        <v>None</v>
      </c>
      <c r="AJ2340" s="51" t="str">
        <f>TEXT(tblWorkPackages[[#This Row],[Due date serial]],"yyyy-mm")</f>
        <v>2024-03</v>
      </c>
    </row>
    <row r="2341" spans="1:36" ht="15" x14ac:dyDescent="0.25">
      <c r="A2341" s="53" t="s">
        <v>3259</v>
      </c>
      <c r="B2341" s="53" t="s">
        <v>185</v>
      </c>
      <c r="C2341" s="53" t="s">
        <v>1504</v>
      </c>
      <c r="D2341" s="53" t="s">
        <v>844</v>
      </c>
      <c r="E2341" s="53" t="s">
        <v>160</v>
      </c>
      <c r="F2341" s="53" t="s">
        <v>128</v>
      </c>
      <c r="G2341" s="53" t="s">
        <v>138</v>
      </c>
      <c r="H2341" s="53">
        <v>1</v>
      </c>
      <c r="I2341" s="53" t="s">
        <v>130</v>
      </c>
      <c r="J2341" s="53">
        <v>0</v>
      </c>
      <c r="K2341" s="53">
        <v>0</v>
      </c>
      <c r="L2341" s="53">
        <v>3.2</v>
      </c>
      <c r="M2341" s="53" t="s">
        <v>1333</v>
      </c>
      <c r="N2341" s="53">
        <v>3.8</v>
      </c>
      <c r="O2341" s="51" t="str">
        <f>TEXT(tblWorkPackages[[#This Row],[Request date serial]]-WEEKDAY(tblWorkPackages[[#This Row],[Request date serial]],3),"yyyy-mm-dd")</f>
        <v>2025-07-21</v>
      </c>
      <c r="P2341" s="51">
        <f>ABS(tblWorkPackages[[#This Row],[Actual labor hours]]-tblWorkPackages[[#This Row],[Estimated labor hours]])</f>
        <v>0.6</v>
      </c>
      <c r="Q2341" s="51">
        <f>IF(tblWorkPackages[[#This Row],[Actual labor hours]]&gt;tblWorkPackages[[#This Row],[Estimated labor hours]],1,0)</f>
        <v>1</v>
      </c>
      <c r="R2341" s="51">
        <f>tblWorkPackages[[#This Row],[Actual labor hours]]-tblWorkPackages[[#This Row],[Estimated labor hours]]</f>
        <v>0.6</v>
      </c>
      <c r="S2341" s="51" t="str">
        <f>IF(tblWorkPackages[[#This Row],[Request date serial]]&lt;ValidationStart,"Train 2024",IF(tblWorkPackages[[#This Row],[Request date serial]]&lt;HoldoutStart,"Validation H1","Holdout H2"))</f>
        <v>Holdout H2</v>
      </c>
      <c r="T2341" s="51">
        <f>IF(tblWorkPackages[[#This Row],[Time split]]="Train 2024","",tblWorkPackages[[#This Row],[Estimated labor hours]]+VLOOKUP(tblWorkPackages[[#This Row],[Task type]],'Forecast validation'!$A$14:$E$25,IF(tblWorkPackages[[#This Row],[Time split]]="Validation H1",4,5),FALSE()))</f>
        <v>3.63739837398374</v>
      </c>
      <c r="U2341" s="51">
        <f>IF(tblWorkPackages[[#This Row],[Calibrated forecast hours]]="","",ABS(tblWorkPackages[[#This Row],[Actual labor hours]]-tblWorkPackages[[#This Row],[Calibrated forecast hours]]))</f>
        <v>0.16260162601626</v>
      </c>
      <c r="V2341" s="51">
        <f>IF(tblWorkPackages[[#This Row],[Time split]]="Train 2024",tblWorkPackages[[#This Row],[Estimated labor hours]],tblWorkPackages[[#This Row],[Calibrated forecast hours]])</f>
        <v>3.63739837398374</v>
      </c>
      <c r="W2341" s="64">
        <f>DATEVALUE(tblWorkPackages[[#This Row],[Request date]])</f>
        <v>45861.0</v>
      </c>
      <c r="X2341" s="64">
        <f>DATEVALUE(tblWorkPackages[[#This Row],[Due date]])</f>
        <v>45874.0</v>
      </c>
      <c r="Y2341" s="64">
        <f>DATEVALUE(tblWorkPackages[[#This Row],[Completion date]])</f>
        <v>45868.0</v>
      </c>
      <c r="Z2341" s="64">
        <f>_xlfn.MINIFS(tblLaborEntries[Work date serial],tblLaborEntries[Work package ID],tblWorkPackages[[#This Row],[Work package ID]])</f>
        <v>45863.0</v>
      </c>
      <c r="AA2341" s="64">
        <f>_xlfn.MAXIFS(tblLaborEntries[Work date serial],tblLaborEntries[Work package ID],tblWorkPackages[[#This Row],[Work package ID]])</f>
        <v>45865.0</v>
      </c>
      <c r="AB2341" s="65">
        <f>IF(tblWorkPackages[[#This Row],[Completion date serial]]&gt;tblWorkPackages[[#This Row],[Due date serial]],1,0)</f>
        <v>0</v>
      </c>
      <c r="AC2341" s="65">
        <f>MAX(0,tblWorkPackages[[#This Row],[Completion date serial]]-tblWorkPackages[[#This Row],[Due date serial]])</f>
        <v>0</v>
      </c>
      <c r="AD2341" s="65">
        <f>tblWorkPackages[[#This Row],[First labor date]]-tblWorkPackages[[#This Row],[Request date serial]]</f>
        <v>2</v>
      </c>
      <c r="AE2341" s="65">
        <f>tblWorkPackages[[#This Row],[Last labor date]]-tblWorkPackages[[#This Row],[First labor date]]</f>
        <v>2</v>
      </c>
      <c r="AF2341" s="65">
        <f>tblWorkPackages[[#This Row],[Completion date serial]]-tblWorkPackages[[#This Row],[Last labor date]]</f>
        <v>3</v>
      </c>
      <c r="AG2341" s="65">
        <f>tblWorkPackages[[#This Row],[Completion date serial]]-tblWorkPackages[[#This Row],[Request date serial]]</f>
        <v>7</v>
      </c>
      <c r="AH2341" s="65">
        <f>IFERROR(INDEX(tblParts[Delay days],MATCH(tblWorkPackages[[#This Row],[Work package ID]],tblParts[Work package ID],0)),0)</f>
        <v>0</v>
      </c>
      <c r="AI2341" s="51" t="str">
        <f>IFERROR(INDEX(tblDisruptions[Event type],MATCH(tblWorkPackages[[#This Row],[Work package ID]],tblDisruptions[Work package ID],0)),"None")</f>
        <v>None</v>
      </c>
      <c r="AJ2341" s="51" t="str">
        <f>TEXT(tblWorkPackages[[#This Row],[Due date serial]],"yyyy-mm")</f>
        <v>2025-08</v>
      </c>
    </row>
    <row r="2342" spans="1:36" ht="15" x14ac:dyDescent="0.25">
      <c r="A2342" s="53" t="s">
        <v>3260</v>
      </c>
      <c r="B2342" s="53" t="s">
        <v>163</v>
      </c>
      <c r="C2342" s="53" t="s">
        <v>304</v>
      </c>
      <c r="D2342" s="53" t="s">
        <v>524</v>
      </c>
      <c r="E2342" s="53" t="s">
        <v>242</v>
      </c>
      <c r="F2342" s="53" t="s">
        <v>243</v>
      </c>
      <c r="G2342" s="53" t="s">
        <v>129</v>
      </c>
      <c r="H2342" s="53">
        <v>2</v>
      </c>
      <c r="I2342" s="53" t="s">
        <v>130</v>
      </c>
      <c r="J2342" s="53">
        <v>0</v>
      </c>
      <c r="K2342" s="53">
        <v>1</v>
      </c>
      <c r="L2342" s="53">
        <v>8.6999999999999993</v>
      </c>
      <c r="M2342" s="53" t="s">
        <v>642</v>
      </c>
      <c r="N2342" s="53">
        <v>9.1</v>
      </c>
      <c r="O2342" s="51" t="str">
        <f>TEXT(tblWorkPackages[[#This Row],[Request date serial]]-WEEKDAY(tblWorkPackages[[#This Row],[Request date serial]],3),"yyyy-mm-dd")</f>
        <v>2024-06-24</v>
      </c>
      <c r="P2342" s="51">
        <f>ABS(tblWorkPackages[[#This Row],[Actual labor hours]]-tblWorkPackages[[#This Row],[Estimated labor hours]])</f>
        <v>0.4</v>
      </c>
      <c r="Q2342" s="51">
        <f>IF(tblWorkPackages[[#This Row],[Actual labor hours]]&gt;tblWorkPackages[[#This Row],[Estimated labor hours]],1,0)</f>
        <v>1</v>
      </c>
      <c r="R2342" s="51">
        <f>tblWorkPackages[[#This Row],[Actual labor hours]]-tblWorkPackages[[#This Row],[Estimated labor hours]]</f>
        <v>0.4</v>
      </c>
      <c r="S2342" s="51" t="str">
        <f>IF(tblWorkPackages[[#This Row],[Request date serial]]&lt;ValidationStart,"Train 2024",IF(tblWorkPackages[[#This Row],[Request date serial]]&lt;HoldoutStart,"Validation H1","Holdout H2"))</f>
        <v>Train 2024</v>
      </c>
      <c r="T2342" s="51" t="str">
        <f>IF(tblWorkPackages[[#This Row],[Time split]]="Train 2024","",tblWorkPackages[[#This Row],[Estimated labor hours]]+VLOOKUP(tblWorkPackages[[#This Row],[Task type]],'Forecast validation'!$A$14:$E$25,IF(tblWorkPackages[[#This Row],[Time split]]="Validation H1",4,5),FALSE()))</f>
        <v/>
      </c>
      <c r="U2342" s="51" t="str">
        <f>IF(tblWorkPackages[[#This Row],[Calibrated forecast hours]]="","",ABS(tblWorkPackages[[#This Row],[Actual labor hours]]-tblWorkPackages[[#This Row],[Calibrated forecast hours]]))</f>
        <v/>
      </c>
      <c r="V2342" s="51">
        <f>IF(tblWorkPackages[[#This Row],[Time split]]="Train 2024",tblWorkPackages[[#This Row],[Estimated labor hours]],tblWorkPackages[[#This Row],[Calibrated forecast hours]])</f>
        <v>8.7</v>
      </c>
      <c r="W2342" s="64">
        <f>DATEVALUE(tblWorkPackages[[#This Row],[Request date]])</f>
        <v>45470.0</v>
      </c>
      <c r="X2342" s="64">
        <f>DATEVALUE(tblWorkPackages[[#This Row],[Due date]])</f>
        <v>45483.0</v>
      </c>
      <c r="Y2342" s="64">
        <f>DATEVALUE(tblWorkPackages[[#This Row],[Completion date]])</f>
        <v>45488.0</v>
      </c>
      <c r="Z2342" s="64">
        <f>_xlfn.MINIFS(tblLaborEntries[Work date serial],tblLaborEntries[Work package ID],tblWorkPackages[[#This Row],[Work package ID]])</f>
        <v>45488.0</v>
      </c>
      <c r="AA2342" s="64">
        <f>_xlfn.MAXIFS(tblLaborEntries[Work date serial],tblLaborEntries[Work package ID],tblWorkPackages[[#This Row],[Work package ID]])</f>
        <v>45488.0</v>
      </c>
      <c r="AB2342" s="65">
        <f>IF(tblWorkPackages[[#This Row],[Completion date serial]]&gt;tblWorkPackages[[#This Row],[Due date serial]],1,0)</f>
        <v>1</v>
      </c>
      <c r="AC2342" s="65">
        <f>MAX(0,tblWorkPackages[[#This Row],[Completion date serial]]-tblWorkPackages[[#This Row],[Due date serial]])</f>
        <v>5</v>
      </c>
      <c r="AD2342" s="65">
        <f>tblWorkPackages[[#This Row],[First labor date]]-tblWorkPackages[[#This Row],[Request date serial]]</f>
        <v>18</v>
      </c>
      <c r="AE2342" s="65">
        <f>tblWorkPackages[[#This Row],[Last labor date]]-tblWorkPackages[[#This Row],[First labor date]]</f>
        <v>0</v>
      </c>
      <c r="AF2342" s="65">
        <f>tblWorkPackages[[#This Row],[Completion date serial]]-tblWorkPackages[[#This Row],[Last labor date]]</f>
        <v>0</v>
      </c>
      <c r="AG2342" s="65">
        <f>tblWorkPackages[[#This Row],[Completion date serial]]-tblWorkPackages[[#This Row],[Request date serial]]</f>
        <v>18</v>
      </c>
      <c r="AH2342" s="65">
        <f>IFERROR(INDEX(tblParts[Delay days],MATCH(tblWorkPackages[[#This Row],[Work package ID]],tblParts[Work package ID],0)),0)</f>
        <v>0</v>
      </c>
      <c r="AI2342" s="51" t="str">
        <f>IFERROR(INDEX(tblDisruptions[Event type],MATCH(tblWorkPackages[[#This Row],[Work package ID]],tblDisruptions[Work package ID],0)),"None")</f>
        <v>None</v>
      </c>
      <c r="AJ2342" s="51" t="str">
        <f>TEXT(tblWorkPackages[[#This Row],[Due date serial]],"yyyy-mm")</f>
        <v>2024-07</v>
      </c>
    </row>
    <row r="2343" spans="1:36" ht="15" x14ac:dyDescent="0.25">
      <c r="A2343" s="53" t="s">
        <v>3261</v>
      </c>
      <c r="B2343" s="53" t="s">
        <v>173</v>
      </c>
      <c r="C2343" s="53" t="s">
        <v>441</v>
      </c>
      <c r="D2343" s="53" t="s">
        <v>442</v>
      </c>
      <c r="E2343" s="53" t="s">
        <v>160</v>
      </c>
      <c r="F2343" s="53" t="s">
        <v>128</v>
      </c>
      <c r="G2343" s="53" t="s">
        <v>138</v>
      </c>
      <c r="H2343" s="53">
        <v>1</v>
      </c>
      <c r="I2343" s="53" t="s">
        <v>130</v>
      </c>
      <c r="J2343" s="53">
        <v>0</v>
      </c>
      <c r="K2343" s="53">
        <v>0</v>
      </c>
      <c r="L2343" s="53">
        <v>2.9</v>
      </c>
      <c r="M2343" s="53" t="s">
        <v>142</v>
      </c>
      <c r="N2343" s="53">
        <v>2.2999999999999998</v>
      </c>
      <c r="O2343" s="51" t="str">
        <f>TEXT(tblWorkPackages[[#This Row],[Request date serial]]-WEEKDAY(tblWorkPackages[[#This Row],[Request date serial]],3),"yyyy-mm-dd")</f>
        <v>2024-01-22</v>
      </c>
      <c r="P2343" s="51">
        <f>ABS(tblWorkPackages[[#This Row],[Actual labor hours]]-tblWorkPackages[[#This Row],[Estimated labor hours]])</f>
        <v>0.6</v>
      </c>
      <c r="Q2343" s="51">
        <f>IF(tblWorkPackages[[#This Row],[Actual labor hours]]&gt;tblWorkPackages[[#This Row],[Estimated labor hours]],1,0)</f>
        <v>0</v>
      </c>
      <c r="R2343" s="51">
        <f>tblWorkPackages[[#This Row],[Actual labor hours]]-tblWorkPackages[[#This Row],[Estimated labor hours]]</f>
        <v>-0.6</v>
      </c>
      <c r="S2343" s="51" t="str">
        <f>IF(tblWorkPackages[[#This Row],[Request date serial]]&lt;ValidationStart,"Train 2024",IF(tblWorkPackages[[#This Row],[Request date serial]]&lt;HoldoutStart,"Validation H1","Holdout H2"))</f>
        <v>Train 2024</v>
      </c>
      <c r="T2343" s="51" t="str">
        <f>IF(tblWorkPackages[[#This Row],[Time split]]="Train 2024","",tblWorkPackages[[#This Row],[Estimated labor hours]]+VLOOKUP(tblWorkPackages[[#This Row],[Task type]],'Forecast validation'!$A$14:$E$25,IF(tblWorkPackages[[#This Row],[Time split]]="Validation H1",4,5),FALSE()))</f>
        <v/>
      </c>
      <c r="U2343" s="51" t="str">
        <f>IF(tblWorkPackages[[#This Row],[Calibrated forecast hours]]="","",ABS(tblWorkPackages[[#This Row],[Actual labor hours]]-tblWorkPackages[[#This Row],[Calibrated forecast hours]]))</f>
        <v/>
      </c>
      <c r="V2343" s="51">
        <f>IF(tblWorkPackages[[#This Row],[Time split]]="Train 2024",tblWorkPackages[[#This Row],[Estimated labor hours]],tblWorkPackages[[#This Row],[Calibrated forecast hours]])</f>
        <v>2.9</v>
      </c>
      <c r="W2343" s="64">
        <f>DATEVALUE(tblWorkPackages[[#This Row],[Request date]])</f>
        <v>45317.0</v>
      </c>
      <c r="X2343" s="64">
        <f>DATEVALUE(tblWorkPackages[[#This Row],[Due date]])</f>
        <v>45330.0</v>
      </c>
      <c r="Y2343" s="64">
        <f>DATEVALUE(tblWorkPackages[[#This Row],[Completion date]])</f>
        <v>45322.0</v>
      </c>
      <c r="Z2343" s="64">
        <f>_xlfn.MINIFS(tblLaborEntries[Work date serial],tblLaborEntries[Work package ID],tblWorkPackages[[#This Row],[Work package ID]])</f>
        <v>45321.0</v>
      </c>
      <c r="AA2343" s="64">
        <f>_xlfn.MAXIFS(tblLaborEntries[Work date serial],tblLaborEntries[Work package ID],tblWorkPackages[[#This Row],[Work package ID]])</f>
        <v>45321.0</v>
      </c>
      <c r="AB2343" s="65">
        <f>IF(tblWorkPackages[[#This Row],[Completion date serial]]&gt;tblWorkPackages[[#This Row],[Due date serial]],1,0)</f>
        <v>0</v>
      </c>
      <c r="AC2343" s="65">
        <f>MAX(0,tblWorkPackages[[#This Row],[Completion date serial]]-tblWorkPackages[[#This Row],[Due date serial]])</f>
        <v>0</v>
      </c>
      <c r="AD2343" s="65">
        <f>tblWorkPackages[[#This Row],[First labor date]]-tblWorkPackages[[#This Row],[Request date serial]]</f>
        <v>4</v>
      </c>
      <c r="AE2343" s="65">
        <f>tblWorkPackages[[#This Row],[Last labor date]]-tblWorkPackages[[#This Row],[First labor date]]</f>
        <v>0</v>
      </c>
      <c r="AF2343" s="65">
        <f>tblWorkPackages[[#This Row],[Completion date serial]]-tblWorkPackages[[#This Row],[Last labor date]]</f>
        <v>1</v>
      </c>
      <c r="AG2343" s="65">
        <f>tblWorkPackages[[#This Row],[Completion date serial]]-tblWorkPackages[[#This Row],[Request date serial]]</f>
        <v>5</v>
      </c>
      <c r="AH2343" s="65">
        <f>IFERROR(INDEX(tblParts[Delay days],MATCH(tblWorkPackages[[#This Row],[Work package ID]],tblParts[Work package ID],0)),0)</f>
        <v>0</v>
      </c>
      <c r="AI2343" s="51" t="str">
        <f>IFERROR(INDEX(tblDisruptions[Event type],MATCH(tblWorkPackages[[#This Row],[Work package ID]],tblDisruptions[Work package ID],0)),"None")</f>
        <v>None</v>
      </c>
      <c r="AJ2343" s="51" t="str">
        <f>TEXT(tblWorkPackages[[#This Row],[Due date serial]],"yyyy-mm")</f>
        <v>2024-02</v>
      </c>
    </row>
    <row r="2344" spans="1:36" ht="15" x14ac:dyDescent="0.25">
      <c r="A2344" s="53" t="s">
        <v>3262</v>
      </c>
      <c r="B2344" s="53" t="s">
        <v>250</v>
      </c>
      <c r="C2344" s="53" t="s">
        <v>445</v>
      </c>
      <c r="D2344" s="53" t="s">
        <v>446</v>
      </c>
      <c r="E2344" s="53" t="s">
        <v>237</v>
      </c>
      <c r="F2344" s="53" t="s">
        <v>182</v>
      </c>
      <c r="G2344" s="53" t="s">
        <v>138</v>
      </c>
      <c r="H2344" s="53">
        <v>2</v>
      </c>
      <c r="I2344" s="53" t="s">
        <v>147</v>
      </c>
      <c r="J2344" s="53">
        <v>0</v>
      </c>
      <c r="K2344" s="53">
        <v>0</v>
      </c>
      <c r="L2344" s="53">
        <v>5.7</v>
      </c>
      <c r="M2344" s="53" t="s">
        <v>589</v>
      </c>
      <c r="N2344" s="53">
        <v>6.8</v>
      </c>
      <c r="O2344" s="51" t="str">
        <f>TEXT(tblWorkPackages[[#This Row],[Request date serial]]-WEEKDAY(tblWorkPackages[[#This Row],[Request date serial]],3),"yyyy-mm-dd")</f>
        <v>2025-03-17</v>
      </c>
      <c r="P2344" s="51">
        <f>ABS(tblWorkPackages[[#This Row],[Actual labor hours]]-tblWorkPackages[[#This Row],[Estimated labor hours]])</f>
        <v>1.1</v>
      </c>
      <c r="Q2344" s="51">
        <f>IF(tblWorkPackages[[#This Row],[Actual labor hours]]&gt;tblWorkPackages[[#This Row],[Estimated labor hours]],1,0)</f>
        <v>1</v>
      </c>
      <c r="R2344" s="51">
        <f>tblWorkPackages[[#This Row],[Actual labor hours]]-tblWorkPackages[[#This Row],[Estimated labor hours]]</f>
        <v>1.1</v>
      </c>
      <c r="S2344" s="51" t="str">
        <f>IF(tblWorkPackages[[#This Row],[Request date serial]]&lt;ValidationStart,"Train 2024",IF(tblWorkPackages[[#This Row],[Request date serial]]&lt;HoldoutStart,"Validation H1","Holdout H2"))</f>
        <v>Validation H1</v>
      </c>
      <c r="T2344" s="51">
        <f>IF(tblWorkPackages[[#This Row],[Time split]]="Train 2024","",tblWorkPackages[[#This Row],[Estimated labor hours]]+VLOOKUP(tblWorkPackages[[#This Row],[Task type]],'Forecast validation'!$A$14:$E$25,IF(tblWorkPackages[[#This Row],[Time split]]="Validation H1",4,5),FALSE()))</f>
        <v>6.2037037037037</v>
      </c>
      <c r="U2344" s="51">
        <f>IF(tblWorkPackages[[#This Row],[Calibrated forecast hours]]="","",ABS(tblWorkPackages[[#This Row],[Actual labor hours]]-tblWorkPackages[[#This Row],[Calibrated forecast hours]]))</f>
        <v>0.596296296296296</v>
      </c>
      <c r="V2344" s="51">
        <f>IF(tblWorkPackages[[#This Row],[Time split]]="Train 2024",tblWorkPackages[[#This Row],[Estimated labor hours]],tblWorkPackages[[#This Row],[Calibrated forecast hours]])</f>
        <v>6.2037037037037</v>
      </c>
      <c r="W2344" s="64">
        <f>DATEVALUE(tblWorkPackages[[#This Row],[Request date]])</f>
        <v>45735.0</v>
      </c>
      <c r="X2344" s="64">
        <f>DATEVALUE(tblWorkPackages[[#This Row],[Due date]])</f>
        <v>45737.0</v>
      </c>
      <c r="Y2344" s="64">
        <f>DATEVALUE(tblWorkPackages[[#This Row],[Completion date]])</f>
        <v>45739.0</v>
      </c>
      <c r="Z2344" s="64">
        <f>_xlfn.MINIFS(tblLaborEntries[Work date serial],tblLaborEntries[Work package ID],tblWorkPackages[[#This Row],[Work package ID]])</f>
        <v>45736.0</v>
      </c>
      <c r="AA2344" s="64">
        <f>_xlfn.MAXIFS(tblLaborEntries[Work date serial],tblLaborEntries[Work package ID],tblWorkPackages[[#This Row],[Work package ID]])</f>
        <v>45737.0</v>
      </c>
      <c r="AB2344" s="65">
        <f>IF(tblWorkPackages[[#This Row],[Completion date serial]]&gt;tblWorkPackages[[#This Row],[Due date serial]],1,0)</f>
        <v>1</v>
      </c>
      <c r="AC2344" s="65">
        <f>MAX(0,tblWorkPackages[[#This Row],[Completion date serial]]-tblWorkPackages[[#This Row],[Due date serial]])</f>
        <v>2</v>
      </c>
      <c r="AD2344" s="65">
        <f>tblWorkPackages[[#This Row],[First labor date]]-tblWorkPackages[[#This Row],[Request date serial]]</f>
        <v>1</v>
      </c>
      <c r="AE2344" s="65">
        <f>tblWorkPackages[[#This Row],[Last labor date]]-tblWorkPackages[[#This Row],[First labor date]]</f>
        <v>1</v>
      </c>
      <c r="AF2344" s="65">
        <f>tblWorkPackages[[#This Row],[Completion date serial]]-tblWorkPackages[[#This Row],[Last labor date]]</f>
        <v>2</v>
      </c>
      <c r="AG2344" s="65">
        <f>tblWorkPackages[[#This Row],[Completion date serial]]-tblWorkPackages[[#This Row],[Request date serial]]</f>
        <v>4</v>
      </c>
      <c r="AH2344" s="65">
        <f>IFERROR(INDEX(tblParts[Delay days],MATCH(tblWorkPackages[[#This Row],[Work package ID]],tblParts[Work package ID],0)),0)</f>
        <v>0</v>
      </c>
      <c r="AI2344" s="51" t="str">
        <f>IFERROR(INDEX(tblDisruptions[Event type],MATCH(tblWorkPackages[[#This Row],[Work package ID]],tblDisruptions[Work package ID],0)),"None")</f>
        <v>None</v>
      </c>
      <c r="AJ2344" s="51" t="str">
        <f>TEXT(tblWorkPackages[[#This Row],[Due date serial]],"yyyy-mm")</f>
        <v>2025-03</v>
      </c>
    </row>
    <row r="2345" spans="1:36" ht="15" x14ac:dyDescent="0.25">
      <c r="A2345" s="53" t="s">
        <v>3263</v>
      </c>
      <c r="B2345" s="53" t="s">
        <v>163</v>
      </c>
      <c r="C2345" s="53" t="s">
        <v>329</v>
      </c>
      <c r="D2345" s="53" t="s">
        <v>613</v>
      </c>
      <c r="E2345" s="53" t="s">
        <v>242</v>
      </c>
      <c r="F2345" s="53" t="s">
        <v>243</v>
      </c>
      <c r="G2345" s="53" t="s">
        <v>129</v>
      </c>
      <c r="H2345" s="53">
        <v>2</v>
      </c>
      <c r="I2345" s="53" t="s">
        <v>130</v>
      </c>
      <c r="J2345" s="53">
        <v>1</v>
      </c>
      <c r="K2345" s="53">
        <v>0</v>
      </c>
      <c r="L2345" s="53">
        <v>9</v>
      </c>
      <c r="M2345" s="53" t="s">
        <v>631</v>
      </c>
      <c r="N2345" s="53">
        <v>13.4</v>
      </c>
      <c r="O2345" s="51" t="str">
        <f>TEXT(tblWorkPackages[[#This Row],[Request date serial]]-WEEKDAY(tblWorkPackages[[#This Row],[Request date serial]],3),"yyyy-mm-dd")</f>
        <v>2024-03-11</v>
      </c>
      <c r="P2345" s="51">
        <f>ABS(tblWorkPackages[[#This Row],[Actual labor hours]]-tblWorkPackages[[#This Row],[Estimated labor hours]])</f>
        <v>4.4</v>
      </c>
      <c r="Q2345" s="51">
        <f>IF(tblWorkPackages[[#This Row],[Actual labor hours]]&gt;tblWorkPackages[[#This Row],[Estimated labor hours]],1,0)</f>
        <v>1</v>
      </c>
      <c r="R2345" s="51">
        <f>tblWorkPackages[[#This Row],[Actual labor hours]]-tblWorkPackages[[#This Row],[Estimated labor hours]]</f>
        <v>4.4</v>
      </c>
      <c r="S2345" s="51" t="str">
        <f>IF(tblWorkPackages[[#This Row],[Request date serial]]&lt;ValidationStart,"Train 2024",IF(tblWorkPackages[[#This Row],[Request date serial]]&lt;HoldoutStart,"Validation H1","Holdout H2"))</f>
        <v>Train 2024</v>
      </c>
      <c r="T2345" s="51" t="str">
        <f>IF(tblWorkPackages[[#This Row],[Time split]]="Train 2024","",tblWorkPackages[[#This Row],[Estimated labor hours]]+VLOOKUP(tblWorkPackages[[#This Row],[Task type]],'Forecast validation'!$A$14:$E$25,IF(tblWorkPackages[[#This Row],[Time split]]="Validation H1",4,5),FALSE()))</f>
        <v/>
      </c>
      <c r="U2345" s="51" t="str">
        <f>IF(tblWorkPackages[[#This Row],[Calibrated forecast hours]]="","",ABS(tblWorkPackages[[#This Row],[Actual labor hours]]-tblWorkPackages[[#This Row],[Calibrated forecast hours]]))</f>
        <v/>
      </c>
      <c r="V2345" s="51">
        <f>IF(tblWorkPackages[[#This Row],[Time split]]="Train 2024",tblWorkPackages[[#This Row],[Estimated labor hours]],tblWorkPackages[[#This Row],[Calibrated forecast hours]])</f>
        <v>9</v>
      </c>
      <c r="W2345" s="64">
        <f>DATEVALUE(tblWorkPackages[[#This Row],[Request date]])</f>
        <v>45367.0</v>
      </c>
      <c r="X2345" s="64">
        <f>DATEVALUE(tblWorkPackages[[#This Row],[Due date]])</f>
        <v>45380.0</v>
      </c>
      <c r="Y2345" s="64">
        <f>DATEVALUE(tblWorkPackages[[#This Row],[Completion date]])</f>
        <v>45382.0</v>
      </c>
      <c r="Z2345" s="64">
        <f>_xlfn.MINIFS(tblLaborEntries[Work date serial],tblLaborEntries[Work package ID],tblWorkPackages[[#This Row],[Work package ID]])</f>
        <v>45378.0</v>
      </c>
      <c r="AA2345" s="64">
        <f>_xlfn.MAXIFS(tblLaborEntries[Work date serial],tblLaborEntries[Work package ID],tblWorkPackages[[#This Row],[Work package ID]])</f>
        <v>45379.0</v>
      </c>
      <c r="AB2345" s="65">
        <f>IF(tblWorkPackages[[#This Row],[Completion date serial]]&gt;tblWorkPackages[[#This Row],[Due date serial]],1,0)</f>
        <v>1</v>
      </c>
      <c r="AC2345" s="65">
        <f>MAX(0,tblWorkPackages[[#This Row],[Completion date serial]]-tblWorkPackages[[#This Row],[Due date serial]])</f>
        <v>2</v>
      </c>
      <c r="AD2345" s="65">
        <f>tblWorkPackages[[#This Row],[First labor date]]-tblWorkPackages[[#This Row],[Request date serial]]</f>
        <v>11</v>
      </c>
      <c r="AE2345" s="65">
        <f>tblWorkPackages[[#This Row],[Last labor date]]-tblWorkPackages[[#This Row],[First labor date]]</f>
        <v>1</v>
      </c>
      <c r="AF2345" s="65">
        <f>tblWorkPackages[[#This Row],[Completion date serial]]-tblWorkPackages[[#This Row],[Last labor date]]</f>
        <v>3</v>
      </c>
      <c r="AG2345" s="65">
        <f>tblWorkPackages[[#This Row],[Completion date serial]]-tblWorkPackages[[#This Row],[Request date serial]]</f>
        <v>15</v>
      </c>
      <c r="AH2345" s="65">
        <f>IFERROR(INDEX(tblParts[Delay days],MATCH(tblWorkPackages[[#This Row],[Work package ID]],tblParts[Work package ID],0)),0)</f>
        <v>0</v>
      </c>
      <c r="AI2345" s="51" t="str">
        <f>IFERROR(INDEX(tblDisruptions[Event type],MATCH(tblWorkPackages[[#This Row],[Work package ID]],tblDisruptions[Work package ID],0)),"None")</f>
        <v>Repeat inspection</v>
      </c>
      <c r="AJ2345" s="51" t="str">
        <f>TEXT(tblWorkPackages[[#This Row],[Due date serial]],"yyyy-mm")</f>
        <v>2024-03</v>
      </c>
    </row>
    <row r="2346" spans="1:36" ht="15" x14ac:dyDescent="0.25">
      <c r="A2346" s="53" t="s">
        <v>3264</v>
      </c>
      <c r="B2346" s="53" t="s">
        <v>141</v>
      </c>
      <c r="C2346" s="53" t="s">
        <v>1321</v>
      </c>
      <c r="D2346" s="53" t="s">
        <v>1042</v>
      </c>
      <c r="E2346" s="53" t="s">
        <v>153</v>
      </c>
      <c r="F2346" s="53" t="s">
        <v>128</v>
      </c>
      <c r="G2346" s="53" t="s">
        <v>154</v>
      </c>
      <c r="H2346" s="53">
        <v>3</v>
      </c>
      <c r="I2346" s="53" t="s">
        <v>147</v>
      </c>
      <c r="J2346" s="53">
        <v>0</v>
      </c>
      <c r="K2346" s="53">
        <v>0</v>
      </c>
      <c r="L2346" s="53">
        <v>12.1</v>
      </c>
      <c r="M2346" s="53" t="s">
        <v>1765</v>
      </c>
      <c r="N2346" s="53">
        <v>13.3</v>
      </c>
      <c r="O2346" s="51" t="str">
        <f>TEXT(tblWorkPackages[[#This Row],[Request date serial]]-WEEKDAY(tblWorkPackages[[#This Row],[Request date serial]],3),"yyyy-mm-dd")</f>
        <v>2024-08-12</v>
      </c>
      <c r="P2346" s="51">
        <f>ABS(tblWorkPackages[[#This Row],[Actual labor hours]]-tblWorkPackages[[#This Row],[Estimated labor hours]])</f>
        <v>1.2</v>
      </c>
      <c r="Q2346" s="51">
        <f>IF(tblWorkPackages[[#This Row],[Actual labor hours]]&gt;tblWorkPackages[[#This Row],[Estimated labor hours]],1,0)</f>
        <v>1</v>
      </c>
      <c r="R2346" s="51">
        <f>tblWorkPackages[[#This Row],[Actual labor hours]]-tblWorkPackages[[#This Row],[Estimated labor hours]]</f>
        <v>1.2</v>
      </c>
      <c r="S2346" s="51" t="str">
        <f>IF(tblWorkPackages[[#This Row],[Request date serial]]&lt;ValidationStart,"Train 2024",IF(tblWorkPackages[[#This Row],[Request date serial]]&lt;HoldoutStart,"Validation H1","Holdout H2"))</f>
        <v>Train 2024</v>
      </c>
      <c r="T2346" s="51" t="str">
        <f>IF(tblWorkPackages[[#This Row],[Time split]]="Train 2024","",tblWorkPackages[[#This Row],[Estimated labor hours]]+VLOOKUP(tblWorkPackages[[#This Row],[Task type]],'Forecast validation'!$A$14:$E$25,IF(tblWorkPackages[[#This Row],[Time split]]="Validation H1",4,5),FALSE()))</f>
        <v/>
      </c>
      <c r="U2346" s="51" t="str">
        <f>IF(tblWorkPackages[[#This Row],[Calibrated forecast hours]]="","",ABS(tblWorkPackages[[#This Row],[Actual labor hours]]-tblWorkPackages[[#This Row],[Calibrated forecast hours]]))</f>
        <v/>
      </c>
      <c r="V2346" s="51">
        <f>IF(tblWorkPackages[[#This Row],[Time split]]="Train 2024",tblWorkPackages[[#This Row],[Estimated labor hours]],tblWorkPackages[[#This Row],[Calibrated forecast hours]])</f>
        <v>12.1</v>
      </c>
      <c r="W2346" s="64">
        <f>DATEVALUE(tblWorkPackages[[#This Row],[Request date]])</f>
        <v>45516.0</v>
      </c>
      <c r="X2346" s="64">
        <f>DATEVALUE(tblWorkPackages[[#This Row],[Due date]])</f>
        <v>45518.0</v>
      </c>
      <c r="Y2346" s="64">
        <f>DATEVALUE(tblWorkPackages[[#This Row],[Completion date]])</f>
        <v>45519.0</v>
      </c>
      <c r="Z2346" s="64">
        <f>_xlfn.MINIFS(tblLaborEntries[Work date serial],tblLaborEntries[Work package ID],tblWorkPackages[[#This Row],[Work package ID]])</f>
        <v>45519.0</v>
      </c>
      <c r="AA2346" s="64">
        <f>_xlfn.MAXIFS(tblLaborEntries[Work date serial],tblLaborEntries[Work package ID],tblWorkPackages[[#This Row],[Work package ID]])</f>
        <v>45519.0</v>
      </c>
      <c r="AB2346" s="65">
        <f>IF(tblWorkPackages[[#This Row],[Completion date serial]]&gt;tblWorkPackages[[#This Row],[Due date serial]],1,0)</f>
        <v>1</v>
      </c>
      <c r="AC2346" s="65">
        <f>MAX(0,tblWorkPackages[[#This Row],[Completion date serial]]-tblWorkPackages[[#This Row],[Due date serial]])</f>
        <v>1</v>
      </c>
      <c r="AD2346" s="65">
        <f>tblWorkPackages[[#This Row],[First labor date]]-tblWorkPackages[[#This Row],[Request date serial]]</f>
        <v>3</v>
      </c>
      <c r="AE2346" s="65">
        <f>tblWorkPackages[[#This Row],[Last labor date]]-tblWorkPackages[[#This Row],[First labor date]]</f>
        <v>0</v>
      </c>
      <c r="AF2346" s="65">
        <f>tblWorkPackages[[#This Row],[Completion date serial]]-tblWorkPackages[[#This Row],[Last labor date]]</f>
        <v>0</v>
      </c>
      <c r="AG2346" s="65">
        <f>tblWorkPackages[[#This Row],[Completion date serial]]-tblWorkPackages[[#This Row],[Request date serial]]</f>
        <v>3</v>
      </c>
      <c r="AH2346" s="65">
        <f>IFERROR(INDEX(tblParts[Delay days],MATCH(tblWorkPackages[[#This Row],[Work package ID]],tblParts[Work package ID],0)),0)</f>
        <v>0</v>
      </c>
      <c r="AI2346" s="51" t="str">
        <f>IFERROR(INDEX(tblDisruptions[Event type],MATCH(tblWorkPackages[[#This Row],[Work package ID]],tblDisruptions[Work package ID],0)),"None")</f>
        <v>Technician absence</v>
      </c>
      <c r="AJ2346" s="51" t="str">
        <f>TEXT(tblWorkPackages[[#This Row],[Due date serial]],"yyyy-mm")</f>
        <v>2024-08</v>
      </c>
    </row>
    <row r="2347" spans="1:36" ht="15" x14ac:dyDescent="0.25">
      <c r="A2347" s="53" t="s">
        <v>3265</v>
      </c>
      <c r="B2347" s="53" t="s">
        <v>163</v>
      </c>
      <c r="C2347" s="53" t="s">
        <v>885</v>
      </c>
      <c r="D2347" s="53" t="s">
        <v>903</v>
      </c>
      <c r="E2347" s="53" t="s">
        <v>209</v>
      </c>
      <c r="F2347" s="53" t="s">
        <v>145</v>
      </c>
      <c r="G2347" s="53" t="s">
        <v>210</v>
      </c>
      <c r="H2347" s="53">
        <v>3</v>
      </c>
      <c r="I2347" s="53" t="s">
        <v>130</v>
      </c>
      <c r="J2347" s="53">
        <v>0</v>
      </c>
      <c r="K2347" s="53">
        <v>1</v>
      </c>
      <c r="L2347" s="53">
        <v>24.5</v>
      </c>
      <c r="M2347" s="53" t="s">
        <v>943</v>
      </c>
      <c r="N2347" s="53">
        <v>35.799999999999997</v>
      </c>
      <c r="O2347" s="51" t="str">
        <f>TEXT(tblWorkPackages[[#This Row],[Request date serial]]-WEEKDAY(tblWorkPackages[[#This Row],[Request date serial]],3),"yyyy-mm-dd")</f>
        <v>2025-09-01</v>
      </c>
      <c r="P2347" s="51">
        <f>ABS(tblWorkPackages[[#This Row],[Actual labor hours]]-tblWorkPackages[[#This Row],[Estimated labor hours]])</f>
        <v>11.3</v>
      </c>
      <c r="Q2347" s="51">
        <f>IF(tblWorkPackages[[#This Row],[Actual labor hours]]&gt;tblWorkPackages[[#This Row],[Estimated labor hours]],1,0)</f>
        <v>1</v>
      </c>
      <c r="R2347" s="51">
        <f>tblWorkPackages[[#This Row],[Actual labor hours]]-tblWorkPackages[[#This Row],[Estimated labor hours]]</f>
        <v>11.3</v>
      </c>
      <c r="S2347" s="51" t="str">
        <f>IF(tblWorkPackages[[#This Row],[Request date serial]]&lt;ValidationStart,"Train 2024",IF(tblWorkPackages[[#This Row],[Request date serial]]&lt;HoldoutStart,"Validation H1","Holdout H2"))</f>
        <v>Holdout H2</v>
      </c>
      <c r="T2347" s="51">
        <f>IF(tblWorkPackages[[#This Row],[Time split]]="Train 2024","",tblWorkPackages[[#This Row],[Estimated labor hours]]+VLOOKUP(tblWorkPackages[[#This Row],[Task type]],'Forecast validation'!$A$14:$E$25,IF(tblWorkPackages[[#This Row],[Time split]]="Validation H1",4,5),FALSE()))</f>
        <v>26.295652173913</v>
      </c>
      <c r="U2347" s="51">
        <f>IF(tblWorkPackages[[#This Row],[Calibrated forecast hours]]="","",ABS(tblWorkPackages[[#This Row],[Actual labor hours]]-tblWorkPackages[[#This Row],[Calibrated forecast hours]]))</f>
        <v>9.50434782608695</v>
      </c>
      <c r="V2347" s="51">
        <f>IF(tblWorkPackages[[#This Row],[Time split]]="Train 2024",tblWorkPackages[[#This Row],[Estimated labor hours]],tblWorkPackages[[#This Row],[Calibrated forecast hours]])</f>
        <v>26.295652173913</v>
      </c>
      <c r="W2347" s="64">
        <f>DATEVALUE(tblWorkPackages[[#This Row],[Request date]])</f>
        <v>45901.0</v>
      </c>
      <c r="X2347" s="64">
        <f>DATEVALUE(tblWorkPackages[[#This Row],[Due date]])</f>
        <v>45914.0</v>
      </c>
      <c r="Y2347" s="64">
        <f>DATEVALUE(tblWorkPackages[[#This Row],[Completion date]])</f>
        <v>45944.0</v>
      </c>
      <c r="Z2347" s="64">
        <f>_xlfn.MINIFS(tblLaborEntries[Work date serial],tblLaborEntries[Work package ID],tblWorkPackages[[#This Row],[Work package ID]])</f>
        <v>45941.0</v>
      </c>
      <c r="AA2347" s="64">
        <f>_xlfn.MAXIFS(tblLaborEntries[Work date serial],tblLaborEntries[Work package ID],tblWorkPackages[[#This Row],[Work package ID]])</f>
        <v>45943.0</v>
      </c>
      <c r="AB2347" s="65">
        <f>IF(tblWorkPackages[[#This Row],[Completion date serial]]&gt;tblWorkPackages[[#This Row],[Due date serial]],1,0)</f>
        <v>1</v>
      </c>
      <c r="AC2347" s="65">
        <f>MAX(0,tblWorkPackages[[#This Row],[Completion date serial]]-tblWorkPackages[[#This Row],[Due date serial]])</f>
        <v>30</v>
      </c>
      <c r="AD2347" s="65">
        <f>tblWorkPackages[[#This Row],[First labor date]]-tblWorkPackages[[#This Row],[Request date serial]]</f>
        <v>40</v>
      </c>
      <c r="AE2347" s="65">
        <f>tblWorkPackages[[#This Row],[Last labor date]]-tblWorkPackages[[#This Row],[First labor date]]</f>
        <v>2</v>
      </c>
      <c r="AF2347" s="65">
        <f>tblWorkPackages[[#This Row],[Completion date serial]]-tblWorkPackages[[#This Row],[Last labor date]]</f>
        <v>1</v>
      </c>
      <c r="AG2347" s="65">
        <f>tblWorkPackages[[#This Row],[Completion date serial]]-tblWorkPackages[[#This Row],[Request date serial]]</f>
        <v>43</v>
      </c>
      <c r="AH2347" s="65">
        <f>IFERROR(INDEX(tblParts[Delay days],MATCH(tblWorkPackages[[#This Row],[Work package ID]],tblParts[Work package ID],0)),0)</f>
        <v>9</v>
      </c>
      <c r="AI2347" s="51" t="str">
        <f>IFERROR(INDEX(tblDisruptions[Event type],MATCH(tblWorkPackages[[#This Row],[Work package ID]],tblDisruptions[Work package ID],0)),"None")</f>
        <v>Part delay</v>
      </c>
      <c r="AJ2347" s="51" t="str">
        <f>TEXT(tblWorkPackages[[#This Row],[Due date serial]],"yyyy-mm")</f>
        <v>2025-09</v>
      </c>
    </row>
    <row r="2348" spans="1:36" ht="15" x14ac:dyDescent="0.25">
      <c r="A2348" s="53" t="s">
        <v>3266</v>
      </c>
      <c r="B2348" s="53" t="s">
        <v>235</v>
      </c>
      <c r="C2348" s="53" t="s">
        <v>900</v>
      </c>
      <c r="D2348" s="53" t="s">
        <v>607</v>
      </c>
      <c r="E2348" s="53" t="s">
        <v>242</v>
      </c>
      <c r="F2348" s="53" t="s">
        <v>243</v>
      </c>
      <c r="G2348" s="53" t="s">
        <v>129</v>
      </c>
      <c r="H2348" s="53">
        <v>3</v>
      </c>
      <c r="I2348" s="53" t="s">
        <v>176</v>
      </c>
      <c r="J2348" s="53">
        <v>0</v>
      </c>
      <c r="K2348" s="53">
        <v>0</v>
      </c>
      <c r="L2348" s="53">
        <v>12.8</v>
      </c>
      <c r="M2348" s="53" t="s">
        <v>446</v>
      </c>
      <c r="N2348" s="53">
        <v>13.5</v>
      </c>
      <c r="O2348" s="51" t="str">
        <f>TEXT(tblWorkPackages[[#This Row],[Request date serial]]-WEEKDAY(tblWorkPackages[[#This Row],[Request date serial]],3),"yyyy-mm-dd")</f>
        <v>2025-03-10</v>
      </c>
      <c r="P2348" s="51">
        <f>ABS(tblWorkPackages[[#This Row],[Actual labor hours]]-tblWorkPackages[[#This Row],[Estimated labor hours]])</f>
        <v>0.699999999999999</v>
      </c>
      <c r="Q2348" s="51">
        <f>IF(tblWorkPackages[[#This Row],[Actual labor hours]]&gt;tblWorkPackages[[#This Row],[Estimated labor hours]],1,0)</f>
        <v>1</v>
      </c>
      <c r="R2348" s="51">
        <f>tblWorkPackages[[#This Row],[Actual labor hours]]-tblWorkPackages[[#This Row],[Estimated labor hours]]</f>
        <v>0.699999999999999</v>
      </c>
      <c r="S2348" s="51" t="str">
        <f>IF(tblWorkPackages[[#This Row],[Request date serial]]&lt;ValidationStart,"Train 2024",IF(tblWorkPackages[[#This Row],[Request date serial]]&lt;HoldoutStart,"Validation H1","Holdout H2"))</f>
        <v>Validation H1</v>
      </c>
      <c r="T2348" s="51">
        <f>IF(tblWorkPackages[[#This Row],[Time split]]="Train 2024","",tblWorkPackages[[#This Row],[Estimated labor hours]]+VLOOKUP(tblWorkPackages[[#This Row],[Task type]],'Forecast validation'!$A$14:$E$25,IF(tblWorkPackages[[#This Row],[Time split]]="Validation H1",4,5),FALSE()))</f>
        <v>13.3561224489796</v>
      </c>
      <c r="U2348" s="51">
        <f>IF(tblWorkPackages[[#This Row],[Calibrated forecast hours]]="","",ABS(tblWorkPackages[[#This Row],[Actual labor hours]]-tblWorkPackages[[#This Row],[Calibrated forecast hours]]))</f>
        <v>0.143877551020408</v>
      </c>
      <c r="V2348" s="51">
        <f>IF(tblWorkPackages[[#This Row],[Time split]]="Train 2024",tblWorkPackages[[#This Row],[Estimated labor hours]],tblWorkPackages[[#This Row],[Calibrated forecast hours]])</f>
        <v>13.3561224489796</v>
      </c>
      <c r="W2348" s="64">
        <f>DATEVALUE(tblWorkPackages[[#This Row],[Request date]])</f>
        <v>45728.0</v>
      </c>
      <c r="X2348" s="64">
        <f>DATEVALUE(tblWorkPackages[[#This Row],[Due date]])</f>
        <v>45734.0</v>
      </c>
      <c r="Y2348" s="64">
        <f>DATEVALUE(tblWorkPackages[[#This Row],[Completion date]])</f>
        <v>45737.0</v>
      </c>
      <c r="Z2348" s="64">
        <f>_xlfn.MINIFS(tblLaborEntries[Work date serial],tblLaborEntries[Work package ID],tblWorkPackages[[#This Row],[Work package ID]])</f>
        <v>45733.0</v>
      </c>
      <c r="AA2348" s="64">
        <f>_xlfn.MAXIFS(tblLaborEntries[Work date serial],tblLaborEntries[Work package ID],tblWorkPackages[[#This Row],[Work package ID]])</f>
        <v>45735.0</v>
      </c>
      <c r="AB2348" s="65">
        <f>IF(tblWorkPackages[[#This Row],[Completion date serial]]&gt;tblWorkPackages[[#This Row],[Due date serial]],1,0)</f>
        <v>1</v>
      </c>
      <c r="AC2348" s="65">
        <f>MAX(0,tblWorkPackages[[#This Row],[Completion date serial]]-tblWorkPackages[[#This Row],[Due date serial]])</f>
        <v>3</v>
      </c>
      <c r="AD2348" s="65">
        <f>tblWorkPackages[[#This Row],[First labor date]]-tblWorkPackages[[#This Row],[Request date serial]]</f>
        <v>5</v>
      </c>
      <c r="AE2348" s="65">
        <f>tblWorkPackages[[#This Row],[Last labor date]]-tblWorkPackages[[#This Row],[First labor date]]</f>
        <v>2</v>
      </c>
      <c r="AF2348" s="65">
        <f>tblWorkPackages[[#This Row],[Completion date serial]]-tblWorkPackages[[#This Row],[Last labor date]]</f>
        <v>2</v>
      </c>
      <c r="AG2348" s="65">
        <f>tblWorkPackages[[#This Row],[Completion date serial]]-tblWorkPackages[[#This Row],[Request date serial]]</f>
        <v>9</v>
      </c>
      <c r="AH2348" s="65">
        <f>IFERROR(INDEX(tblParts[Delay days],MATCH(tblWorkPackages[[#This Row],[Work package ID]],tblParts[Work package ID],0)),0)</f>
        <v>0</v>
      </c>
      <c r="AI2348" s="51" t="str">
        <f>IFERROR(INDEX(tblDisruptions[Event type],MATCH(tblWorkPackages[[#This Row],[Work package ID]],tblDisruptions[Work package ID],0)),"None")</f>
        <v>None</v>
      </c>
      <c r="AJ2348" s="51" t="str">
        <f>TEXT(tblWorkPackages[[#This Row],[Due date serial]],"yyyy-mm")</f>
        <v>2025-03</v>
      </c>
    </row>
    <row r="2349" spans="1:36" ht="15" x14ac:dyDescent="0.25">
      <c r="A2349" s="53" t="s">
        <v>3267</v>
      </c>
      <c r="B2349" s="53" t="s">
        <v>287</v>
      </c>
      <c r="C2349" s="53" t="s">
        <v>948</v>
      </c>
      <c r="D2349" s="53" t="s">
        <v>205</v>
      </c>
      <c r="E2349" s="53" t="s">
        <v>237</v>
      </c>
      <c r="F2349" s="53" t="s">
        <v>182</v>
      </c>
      <c r="G2349" s="53" t="s">
        <v>138</v>
      </c>
      <c r="H2349" s="53">
        <v>4</v>
      </c>
      <c r="I2349" s="53" t="s">
        <v>176</v>
      </c>
      <c r="J2349" s="53">
        <v>1</v>
      </c>
      <c r="K2349" s="53">
        <v>0</v>
      </c>
      <c r="L2349" s="53">
        <v>8.8000000000000007</v>
      </c>
      <c r="M2349" s="53" t="s">
        <v>205</v>
      </c>
      <c r="N2349" s="53">
        <v>11.7</v>
      </c>
      <c r="O2349" s="51" t="str">
        <f>TEXT(tblWorkPackages[[#This Row],[Request date serial]]-WEEKDAY(tblWorkPackages[[#This Row],[Request date serial]],3),"yyyy-mm-dd")</f>
        <v>2024-11-04</v>
      </c>
      <c r="P2349" s="51">
        <f>ABS(tblWorkPackages[[#This Row],[Actual labor hours]]-tblWorkPackages[[#This Row],[Estimated labor hours]])</f>
        <v>2.9</v>
      </c>
      <c r="Q2349" s="51">
        <f>IF(tblWorkPackages[[#This Row],[Actual labor hours]]&gt;tblWorkPackages[[#This Row],[Estimated labor hours]],1,0)</f>
        <v>1</v>
      </c>
      <c r="R2349" s="51">
        <f>tblWorkPackages[[#This Row],[Actual labor hours]]-tblWorkPackages[[#This Row],[Estimated labor hours]]</f>
        <v>2.9</v>
      </c>
      <c r="S2349" s="51" t="str">
        <f>IF(tblWorkPackages[[#This Row],[Request date serial]]&lt;ValidationStart,"Train 2024",IF(tblWorkPackages[[#This Row],[Request date serial]]&lt;HoldoutStart,"Validation H1","Holdout H2"))</f>
        <v>Train 2024</v>
      </c>
      <c r="T2349" s="51" t="str">
        <f>IF(tblWorkPackages[[#This Row],[Time split]]="Train 2024","",tblWorkPackages[[#This Row],[Estimated labor hours]]+VLOOKUP(tblWorkPackages[[#This Row],[Task type]],'Forecast validation'!$A$14:$E$25,IF(tblWorkPackages[[#This Row],[Time split]]="Validation H1",4,5),FALSE()))</f>
        <v/>
      </c>
      <c r="U2349" s="51" t="str">
        <f>IF(tblWorkPackages[[#This Row],[Calibrated forecast hours]]="","",ABS(tblWorkPackages[[#This Row],[Actual labor hours]]-tblWorkPackages[[#This Row],[Calibrated forecast hours]]))</f>
        <v/>
      </c>
      <c r="V2349" s="51">
        <f>IF(tblWorkPackages[[#This Row],[Time split]]="Train 2024",tblWorkPackages[[#This Row],[Estimated labor hours]],tblWorkPackages[[#This Row],[Calibrated forecast hours]])</f>
        <v>8.8</v>
      </c>
      <c r="W2349" s="64">
        <f>DATEVALUE(tblWorkPackages[[#This Row],[Request date]])</f>
        <v>45603.0</v>
      </c>
      <c r="X2349" s="64">
        <f>DATEVALUE(tblWorkPackages[[#This Row],[Due date]])</f>
        <v>45609.0</v>
      </c>
      <c r="Y2349" s="64">
        <f>DATEVALUE(tblWorkPackages[[#This Row],[Completion date]])</f>
        <v>45609.0</v>
      </c>
      <c r="Z2349" s="64">
        <f>_xlfn.MINIFS(tblLaborEntries[Work date serial],tblLaborEntries[Work package ID],tblWorkPackages[[#This Row],[Work package ID]])</f>
        <v>45605.0</v>
      </c>
      <c r="AA2349" s="64">
        <f>_xlfn.MAXIFS(tblLaborEntries[Work date serial],tblLaborEntries[Work package ID],tblWorkPackages[[#This Row],[Work package ID]])</f>
        <v>45606.0</v>
      </c>
      <c r="AB2349" s="65">
        <f>IF(tblWorkPackages[[#This Row],[Completion date serial]]&gt;tblWorkPackages[[#This Row],[Due date serial]],1,0)</f>
        <v>0</v>
      </c>
      <c r="AC2349" s="65">
        <f>MAX(0,tblWorkPackages[[#This Row],[Completion date serial]]-tblWorkPackages[[#This Row],[Due date serial]])</f>
        <v>0</v>
      </c>
      <c r="AD2349" s="65">
        <f>tblWorkPackages[[#This Row],[First labor date]]-tblWorkPackages[[#This Row],[Request date serial]]</f>
        <v>2</v>
      </c>
      <c r="AE2349" s="65">
        <f>tblWorkPackages[[#This Row],[Last labor date]]-tblWorkPackages[[#This Row],[First labor date]]</f>
        <v>1</v>
      </c>
      <c r="AF2349" s="65">
        <f>tblWorkPackages[[#This Row],[Completion date serial]]-tblWorkPackages[[#This Row],[Last labor date]]</f>
        <v>3</v>
      </c>
      <c r="AG2349" s="65">
        <f>tblWorkPackages[[#This Row],[Completion date serial]]-tblWorkPackages[[#This Row],[Request date serial]]</f>
        <v>6</v>
      </c>
      <c r="AH2349" s="65">
        <f>IFERROR(INDEX(tblParts[Delay days],MATCH(tblWorkPackages[[#This Row],[Work package ID]],tblParts[Work package ID],0)),0)</f>
        <v>0</v>
      </c>
      <c r="AI2349" s="51" t="str">
        <f>IFERROR(INDEX(tblDisruptions[Event type],MATCH(tblWorkPackages[[#This Row],[Work package ID]],tblDisruptions[Work package ID],0)),"None")</f>
        <v>None</v>
      </c>
      <c r="AJ2349" s="51" t="str">
        <f>TEXT(tblWorkPackages[[#This Row],[Due date serial]],"yyyy-mm")</f>
        <v>2024-11</v>
      </c>
    </row>
    <row r="2350" spans="1:36" ht="15" x14ac:dyDescent="0.25">
      <c r="A2350" s="53" t="s">
        <v>3268</v>
      </c>
      <c r="B2350" s="53" t="s">
        <v>235</v>
      </c>
      <c r="C2350" s="53" t="s">
        <v>449</v>
      </c>
      <c r="D2350" s="53" t="s">
        <v>362</v>
      </c>
      <c r="E2350" s="53" t="s">
        <v>136</v>
      </c>
      <c r="F2350" s="53" t="s">
        <v>137</v>
      </c>
      <c r="G2350" s="53" t="s">
        <v>138</v>
      </c>
      <c r="H2350" s="53">
        <v>1</v>
      </c>
      <c r="I2350" s="53" t="s">
        <v>130</v>
      </c>
      <c r="J2350" s="53">
        <v>0</v>
      </c>
      <c r="K2350" s="53">
        <v>0</v>
      </c>
      <c r="L2350" s="53">
        <v>9.3000000000000007</v>
      </c>
      <c r="M2350" s="53" t="s">
        <v>621</v>
      </c>
      <c r="N2350" s="53">
        <v>9.8000000000000007</v>
      </c>
      <c r="O2350" s="51" t="str">
        <f>TEXT(tblWorkPackages[[#This Row],[Request date serial]]-WEEKDAY(tblWorkPackages[[#This Row],[Request date serial]],3),"yyyy-mm-dd")</f>
        <v>2024-07-08</v>
      </c>
      <c r="P2350" s="51">
        <f>ABS(tblWorkPackages[[#This Row],[Actual labor hours]]-tblWorkPackages[[#This Row],[Estimated labor hours]])</f>
        <v>0.5</v>
      </c>
      <c r="Q2350" s="51">
        <f>IF(tblWorkPackages[[#This Row],[Actual labor hours]]&gt;tblWorkPackages[[#This Row],[Estimated labor hours]],1,0)</f>
        <v>1</v>
      </c>
      <c r="R2350" s="51">
        <f>tblWorkPackages[[#This Row],[Actual labor hours]]-tblWorkPackages[[#This Row],[Estimated labor hours]]</f>
        <v>0.5</v>
      </c>
      <c r="S2350" s="51" t="str">
        <f>IF(tblWorkPackages[[#This Row],[Request date serial]]&lt;ValidationStart,"Train 2024",IF(tblWorkPackages[[#This Row],[Request date serial]]&lt;HoldoutStart,"Validation H1","Holdout H2"))</f>
        <v>Train 2024</v>
      </c>
      <c r="T2350" s="51" t="str">
        <f>IF(tblWorkPackages[[#This Row],[Time split]]="Train 2024","",tblWorkPackages[[#This Row],[Estimated labor hours]]+VLOOKUP(tblWorkPackages[[#This Row],[Task type]],'Forecast validation'!$A$14:$E$25,IF(tblWorkPackages[[#This Row],[Time split]]="Validation H1",4,5),FALSE()))</f>
        <v/>
      </c>
      <c r="U2350" s="51" t="str">
        <f>IF(tblWorkPackages[[#This Row],[Calibrated forecast hours]]="","",ABS(tblWorkPackages[[#This Row],[Actual labor hours]]-tblWorkPackages[[#This Row],[Calibrated forecast hours]]))</f>
        <v/>
      </c>
      <c r="V2350" s="51">
        <f>IF(tblWorkPackages[[#This Row],[Time split]]="Train 2024",tblWorkPackages[[#This Row],[Estimated labor hours]],tblWorkPackages[[#This Row],[Calibrated forecast hours]])</f>
        <v>9.3</v>
      </c>
      <c r="W2350" s="64">
        <f>DATEVALUE(tblWorkPackages[[#This Row],[Request date]])</f>
        <v>45481.0</v>
      </c>
      <c r="X2350" s="64">
        <f>DATEVALUE(tblWorkPackages[[#This Row],[Due date]])</f>
        <v>45494.0</v>
      </c>
      <c r="Y2350" s="64">
        <f>DATEVALUE(tblWorkPackages[[#This Row],[Completion date]])</f>
        <v>45496.0</v>
      </c>
      <c r="Z2350" s="64">
        <f>_xlfn.MINIFS(tblLaborEntries[Work date serial],tblLaborEntries[Work package ID],tblWorkPackages[[#This Row],[Work package ID]])</f>
        <v>45495.0</v>
      </c>
      <c r="AA2350" s="64">
        <f>_xlfn.MAXIFS(tblLaborEntries[Work date serial],tblLaborEntries[Work package ID],tblWorkPackages[[#This Row],[Work package ID]])</f>
        <v>45496.0</v>
      </c>
      <c r="AB2350" s="65">
        <f>IF(tblWorkPackages[[#This Row],[Completion date serial]]&gt;tblWorkPackages[[#This Row],[Due date serial]],1,0)</f>
        <v>1</v>
      </c>
      <c r="AC2350" s="65">
        <f>MAX(0,tblWorkPackages[[#This Row],[Completion date serial]]-tblWorkPackages[[#This Row],[Due date serial]])</f>
        <v>2</v>
      </c>
      <c r="AD2350" s="65">
        <f>tblWorkPackages[[#This Row],[First labor date]]-tblWorkPackages[[#This Row],[Request date serial]]</f>
        <v>14</v>
      </c>
      <c r="AE2350" s="65">
        <f>tblWorkPackages[[#This Row],[Last labor date]]-tblWorkPackages[[#This Row],[First labor date]]</f>
        <v>1</v>
      </c>
      <c r="AF2350" s="65">
        <f>tblWorkPackages[[#This Row],[Completion date serial]]-tblWorkPackages[[#This Row],[Last labor date]]</f>
        <v>0</v>
      </c>
      <c r="AG2350" s="65">
        <f>tblWorkPackages[[#This Row],[Completion date serial]]-tblWorkPackages[[#This Row],[Request date serial]]</f>
        <v>15</v>
      </c>
      <c r="AH2350" s="65">
        <f>IFERROR(INDEX(tblParts[Delay days],MATCH(tblWorkPackages[[#This Row],[Work package ID]],tblParts[Work package ID],0)),0)</f>
        <v>0</v>
      </c>
      <c r="AI2350" s="51" t="str">
        <f>IFERROR(INDEX(tblDisruptions[Event type],MATCH(tblWorkPackages[[#This Row],[Work package ID]],tblDisruptions[Work package ID],0)),"None")</f>
        <v>None</v>
      </c>
      <c r="AJ2350" s="51" t="str">
        <f>TEXT(tblWorkPackages[[#This Row],[Due date serial]],"yyyy-mm")</f>
        <v>2024-07</v>
      </c>
    </row>
    <row r="2351" spans="1:36" ht="15" x14ac:dyDescent="0.25">
      <c r="A2351" s="53" t="s">
        <v>3269</v>
      </c>
      <c r="B2351" s="53" t="s">
        <v>235</v>
      </c>
      <c r="C2351" s="53" t="s">
        <v>342</v>
      </c>
      <c r="D2351" s="53" t="s">
        <v>1019</v>
      </c>
      <c r="E2351" s="53" t="s">
        <v>223</v>
      </c>
      <c r="F2351" s="53" t="s">
        <v>182</v>
      </c>
      <c r="G2351" s="53" t="s">
        <v>154</v>
      </c>
      <c r="H2351" s="53">
        <v>4</v>
      </c>
      <c r="I2351" s="53" t="s">
        <v>130</v>
      </c>
      <c r="J2351" s="53">
        <v>0</v>
      </c>
      <c r="K2351" s="53">
        <v>1</v>
      </c>
      <c r="L2351" s="53">
        <v>21.2</v>
      </c>
      <c r="M2351" s="53" t="s">
        <v>843</v>
      </c>
      <c r="N2351" s="53">
        <v>18.7</v>
      </c>
      <c r="O2351" s="51" t="str">
        <f>TEXT(tblWorkPackages[[#This Row],[Request date serial]]-WEEKDAY(tblWorkPackages[[#This Row],[Request date serial]],3),"yyyy-mm-dd")</f>
        <v>2025-07-28</v>
      </c>
      <c r="P2351" s="51">
        <f>ABS(tblWorkPackages[[#This Row],[Actual labor hours]]-tblWorkPackages[[#This Row],[Estimated labor hours]])</f>
        <v>2.5</v>
      </c>
      <c r="Q2351" s="51">
        <f>IF(tblWorkPackages[[#This Row],[Actual labor hours]]&gt;tblWorkPackages[[#This Row],[Estimated labor hours]],1,0)</f>
        <v>0</v>
      </c>
      <c r="R2351" s="51">
        <f>tblWorkPackages[[#This Row],[Actual labor hours]]-tblWorkPackages[[#This Row],[Estimated labor hours]]</f>
        <v>-2.5</v>
      </c>
      <c r="S2351" s="51" t="str">
        <f>IF(tblWorkPackages[[#This Row],[Request date serial]]&lt;ValidationStart,"Train 2024",IF(tblWorkPackages[[#This Row],[Request date serial]]&lt;HoldoutStart,"Validation H1","Holdout H2"))</f>
        <v>Holdout H2</v>
      </c>
      <c r="T2351" s="51">
        <f>IF(tblWorkPackages[[#This Row],[Time split]]="Train 2024","",tblWorkPackages[[#This Row],[Estimated labor hours]]+VLOOKUP(tblWorkPackages[[#This Row],[Task type]],'Forecast validation'!$A$14:$E$25,IF(tblWorkPackages[[#This Row],[Time split]]="Validation H1",4,5),FALSE()))</f>
        <v>22.1246575342466</v>
      </c>
      <c r="U2351" s="51">
        <f>IF(tblWorkPackages[[#This Row],[Calibrated forecast hours]]="","",ABS(tblWorkPackages[[#This Row],[Actual labor hours]]-tblWorkPackages[[#This Row],[Calibrated forecast hours]]))</f>
        <v>3.42465753424657</v>
      </c>
      <c r="V2351" s="51">
        <f>IF(tblWorkPackages[[#This Row],[Time split]]="Train 2024",tblWorkPackages[[#This Row],[Estimated labor hours]],tblWorkPackages[[#This Row],[Calibrated forecast hours]])</f>
        <v>22.1246575342466</v>
      </c>
      <c r="W2351" s="64">
        <f>DATEVALUE(tblWorkPackages[[#This Row],[Request date]])</f>
        <v>45871.0</v>
      </c>
      <c r="X2351" s="64">
        <f>DATEVALUE(tblWorkPackages[[#This Row],[Due date]])</f>
        <v>45884.0</v>
      </c>
      <c r="Y2351" s="64">
        <f>DATEVALUE(tblWorkPackages[[#This Row],[Completion date]])</f>
        <v>45878.0</v>
      </c>
      <c r="Z2351" s="64">
        <f>_xlfn.MINIFS(tblLaborEntries[Work date serial],tblLaborEntries[Work package ID],tblWorkPackages[[#This Row],[Work package ID]])</f>
        <v>45875.0</v>
      </c>
      <c r="AA2351" s="64">
        <f>_xlfn.MAXIFS(tblLaborEntries[Work date serial],tblLaborEntries[Work package ID],tblWorkPackages[[#This Row],[Work package ID]])</f>
        <v>45877.0</v>
      </c>
      <c r="AB2351" s="65">
        <f>IF(tblWorkPackages[[#This Row],[Completion date serial]]&gt;tblWorkPackages[[#This Row],[Due date serial]],1,0)</f>
        <v>0</v>
      </c>
      <c r="AC2351" s="65">
        <f>MAX(0,tblWorkPackages[[#This Row],[Completion date serial]]-tblWorkPackages[[#This Row],[Due date serial]])</f>
        <v>0</v>
      </c>
      <c r="AD2351" s="65">
        <f>tblWorkPackages[[#This Row],[First labor date]]-tblWorkPackages[[#This Row],[Request date serial]]</f>
        <v>4</v>
      </c>
      <c r="AE2351" s="65">
        <f>tblWorkPackages[[#This Row],[Last labor date]]-tblWorkPackages[[#This Row],[First labor date]]</f>
        <v>2</v>
      </c>
      <c r="AF2351" s="65">
        <f>tblWorkPackages[[#This Row],[Completion date serial]]-tblWorkPackages[[#This Row],[Last labor date]]</f>
        <v>1</v>
      </c>
      <c r="AG2351" s="65">
        <f>tblWorkPackages[[#This Row],[Completion date serial]]-tblWorkPackages[[#This Row],[Request date serial]]</f>
        <v>7</v>
      </c>
      <c r="AH2351" s="65">
        <f>IFERROR(INDEX(tblParts[Delay days],MATCH(tblWorkPackages[[#This Row],[Work package ID]],tblParts[Work package ID],0)),0)</f>
        <v>0</v>
      </c>
      <c r="AI2351" s="51" t="str">
        <f>IFERROR(INDEX(tblDisruptions[Event type],MATCH(tblWorkPackages[[#This Row],[Work package ID]],tblDisruptions[Work package ID],0)),"None")</f>
        <v>None</v>
      </c>
      <c r="AJ2351" s="51" t="str">
        <f>TEXT(tblWorkPackages[[#This Row],[Due date serial]],"yyyy-mm")</f>
        <v>2025-08</v>
      </c>
    </row>
    <row r="2352" spans="1:36" ht="15" x14ac:dyDescent="0.25">
      <c r="A2352" s="53" t="s">
        <v>3270</v>
      </c>
      <c r="B2352" s="53" t="s">
        <v>157</v>
      </c>
      <c r="C2352" s="53" t="s">
        <v>376</v>
      </c>
      <c r="D2352" s="53" t="s">
        <v>236</v>
      </c>
      <c r="E2352" s="53" t="s">
        <v>209</v>
      </c>
      <c r="F2352" s="53" t="s">
        <v>145</v>
      </c>
      <c r="G2352" s="53" t="s">
        <v>210</v>
      </c>
      <c r="H2352" s="53">
        <v>2</v>
      </c>
      <c r="I2352" s="53" t="s">
        <v>176</v>
      </c>
      <c r="J2352" s="53">
        <v>0</v>
      </c>
      <c r="K2352" s="53">
        <v>0</v>
      </c>
      <c r="L2352" s="53">
        <v>21.7</v>
      </c>
      <c r="M2352" s="53" t="s">
        <v>738</v>
      </c>
      <c r="N2352" s="53">
        <v>23.8</v>
      </c>
      <c r="O2352" s="51" t="str">
        <f>TEXT(tblWorkPackages[[#This Row],[Request date serial]]-WEEKDAY(tblWorkPackages[[#This Row],[Request date serial]],3),"yyyy-mm-dd")</f>
        <v>2025-04-28</v>
      </c>
      <c r="P2352" s="51">
        <f>ABS(tblWorkPackages[[#This Row],[Actual labor hours]]-tblWorkPackages[[#This Row],[Estimated labor hours]])</f>
        <v>2.1</v>
      </c>
      <c r="Q2352" s="51">
        <f>IF(tblWorkPackages[[#This Row],[Actual labor hours]]&gt;tblWorkPackages[[#This Row],[Estimated labor hours]],1,0)</f>
        <v>1</v>
      </c>
      <c r="R2352" s="51">
        <f>tblWorkPackages[[#This Row],[Actual labor hours]]-tblWorkPackages[[#This Row],[Estimated labor hours]]</f>
        <v>2.1</v>
      </c>
      <c r="S2352" s="51" t="str">
        <f>IF(tblWorkPackages[[#This Row],[Request date serial]]&lt;ValidationStart,"Train 2024",IF(tblWorkPackages[[#This Row],[Request date serial]]&lt;HoldoutStart,"Validation H1","Holdout H2"))</f>
        <v>Validation H1</v>
      </c>
      <c r="T2352" s="51">
        <f>IF(tblWorkPackages[[#This Row],[Time split]]="Train 2024","",tblWorkPackages[[#This Row],[Estimated labor hours]]+VLOOKUP(tblWorkPackages[[#This Row],[Task type]],'Forecast validation'!$A$14:$E$25,IF(tblWorkPackages[[#This Row],[Time split]]="Validation H1",4,5),FALSE()))</f>
        <v>22.8029850746269</v>
      </c>
      <c r="U2352" s="51">
        <f>IF(tblWorkPackages[[#This Row],[Calibrated forecast hours]]="","",ABS(tblWorkPackages[[#This Row],[Actual labor hours]]-tblWorkPackages[[#This Row],[Calibrated forecast hours]]))</f>
        <v>0.997014925373136</v>
      </c>
      <c r="V2352" s="51">
        <f>IF(tblWorkPackages[[#This Row],[Time split]]="Train 2024",tblWorkPackages[[#This Row],[Estimated labor hours]],tblWorkPackages[[#This Row],[Calibrated forecast hours]])</f>
        <v>22.8029850746269</v>
      </c>
      <c r="W2352" s="64">
        <f>DATEVALUE(tblWorkPackages[[#This Row],[Request date]])</f>
        <v>45776.0</v>
      </c>
      <c r="X2352" s="64">
        <f>DATEVALUE(tblWorkPackages[[#This Row],[Due date]])</f>
        <v>45782.0</v>
      </c>
      <c r="Y2352" s="64">
        <f>DATEVALUE(tblWorkPackages[[#This Row],[Completion date]])</f>
        <v>45839.0</v>
      </c>
      <c r="Z2352" s="64">
        <f>_xlfn.MINIFS(tblLaborEntries[Work date serial],tblLaborEntries[Work package ID],tblWorkPackages[[#This Row],[Work package ID]])</f>
        <v>45836.0</v>
      </c>
      <c r="AA2352" s="64">
        <f>_xlfn.MAXIFS(tblLaborEntries[Work date serial],tblLaborEntries[Work package ID],tblWorkPackages[[#This Row],[Work package ID]])</f>
        <v>45837.0</v>
      </c>
      <c r="AB2352" s="65">
        <f>IF(tblWorkPackages[[#This Row],[Completion date serial]]&gt;tblWorkPackages[[#This Row],[Due date serial]],1,0)</f>
        <v>1</v>
      </c>
      <c r="AC2352" s="65">
        <f>MAX(0,tblWorkPackages[[#This Row],[Completion date serial]]-tblWorkPackages[[#This Row],[Due date serial]])</f>
        <v>57</v>
      </c>
      <c r="AD2352" s="65">
        <f>tblWorkPackages[[#This Row],[First labor date]]-tblWorkPackages[[#This Row],[Request date serial]]</f>
        <v>60</v>
      </c>
      <c r="AE2352" s="65">
        <f>tblWorkPackages[[#This Row],[Last labor date]]-tblWorkPackages[[#This Row],[First labor date]]</f>
        <v>1</v>
      </c>
      <c r="AF2352" s="65">
        <f>tblWorkPackages[[#This Row],[Completion date serial]]-tblWorkPackages[[#This Row],[Last labor date]]</f>
        <v>2</v>
      </c>
      <c r="AG2352" s="65">
        <f>tblWorkPackages[[#This Row],[Completion date serial]]-tblWorkPackages[[#This Row],[Request date serial]]</f>
        <v>63</v>
      </c>
      <c r="AH2352" s="65">
        <f>IFERROR(INDEX(tblParts[Delay days],MATCH(tblWorkPackages[[#This Row],[Work package ID]],tblParts[Work package ID],0)),0)</f>
        <v>0</v>
      </c>
      <c r="AI2352" s="51" t="str">
        <f>IFERROR(INDEX(tblDisruptions[Event type],MATCH(tblWorkPackages[[#This Row],[Work package ID]],tblDisruptions[Work package ID],0)),"None")</f>
        <v>None</v>
      </c>
      <c r="AJ2352" s="51" t="str">
        <f>TEXT(tblWorkPackages[[#This Row],[Due date serial]],"yyyy-mm")</f>
        <v>2025-05</v>
      </c>
    </row>
    <row r="2353" spans="1:36" ht="15" x14ac:dyDescent="0.25">
      <c r="A2353" s="53" t="s">
        <v>3271</v>
      </c>
      <c r="B2353" s="53" t="s">
        <v>235</v>
      </c>
      <c r="C2353" s="53" t="s">
        <v>307</v>
      </c>
      <c r="D2353" s="53" t="s">
        <v>308</v>
      </c>
      <c r="E2353" s="53" t="s">
        <v>136</v>
      </c>
      <c r="F2353" s="53" t="s">
        <v>137</v>
      </c>
      <c r="G2353" s="53" t="s">
        <v>138</v>
      </c>
      <c r="H2353" s="53">
        <v>2</v>
      </c>
      <c r="I2353" s="53" t="s">
        <v>130</v>
      </c>
      <c r="J2353" s="53">
        <v>1</v>
      </c>
      <c r="K2353" s="53">
        <v>0</v>
      </c>
      <c r="L2353" s="53">
        <v>12.7</v>
      </c>
      <c r="M2353" s="53" t="s">
        <v>538</v>
      </c>
      <c r="N2353" s="53">
        <v>17.899999999999999</v>
      </c>
      <c r="O2353" s="51" t="str">
        <f>TEXT(tblWorkPackages[[#This Row],[Request date serial]]-WEEKDAY(tblWorkPackages[[#This Row],[Request date serial]],3),"yyyy-mm-dd")</f>
        <v>2025-11-03</v>
      </c>
      <c r="P2353" s="51">
        <f>ABS(tblWorkPackages[[#This Row],[Actual labor hours]]-tblWorkPackages[[#This Row],[Estimated labor hours]])</f>
        <v>5.2</v>
      </c>
      <c r="Q2353" s="51">
        <f>IF(tblWorkPackages[[#This Row],[Actual labor hours]]&gt;tblWorkPackages[[#This Row],[Estimated labor hours]],1,0)</f>
        <v>1</v>
      </c>
      <c r="R2353" s="51">
        <f>tblWorkPackages[[#This Row],[Actual labor hours]]-tblWorkPackages[[#This Row],[Estimated labor hours]]</f>
        <v>5.2</v>
      </c>
      <c r="S2353" s="51" t="str">
        <f>IF(tblWorkPackages[[#This Row],[Request date serial]]&lt;ValidationStart,"Train 2024",IF(tblWorkPackages[[#This Row],[Request date serial]]&lt;HoldoutStart,"Validation H1","Holdout H2"))</f>
        <v>Holdout H2</v>
      </c>
      <c r="T2353" s="51">
        <f>IF(tblWorkPackages[[#This Row],[Time split]]="Train 2024","",tblWorkPackages[[#This Row],[Estimated labor hours]]+VLOOKUP(tblWorkPackages[[#This Row],[Task type]],'Forecast validation'!$A$14:$E$25,IF(tblWorkPackages[[#This Row],[Time split]]="Validation H1",4,5),FALSE()))</f>
        <v>13.6207547169811</v>
      </c>
      <c r="U2353" s="51">
        <f>IF(tblWorkPackages[[#This Row],[Calibrated forecast hours]]="","",ABS(tblWorkPackages[[#This Row],[Actual labor hours]]-tblWorkPackages[[#This Row],[Calibrated forecast hours]]))</f>
        <v>4.27924528301887</v>
      </c>
      <c r="V2353" s="51">
        <f>IF(tblWorkPackages[[#This Row],[Time split]]="Train 2024",tblWorkPackages[[#This Row],[Estimated labor hours]],tblWorkPackages[[#This Row],[Calibrated forecast hours]])</f>
        <v>13.6207547169811</v>
      </c>
      <c r="W2353" s="64">
        <f>DATEVALUE(tblWorkPackages[[#This Row],[Request date]])</f>
        <v>45964.0</v>
      </c>
      <c r="X2353" s="64">
        <f>DATEVALUE(tblWorkPackages[[#This Row],[Due date]])</f>
        <v>45977.0</v>
      </c>
      <c r="Y2353" s="64">
        <f>DATEVALUE(tblWorkPackages[[#This Row],[Completion date]])</f>
        <v>45978.0</v>
      </c>
      <c r="Z2353" s="64">
        <f>_xlfn.MINIFS(tblLaborEntries[Work date serial],tblLaborEntries[Work package ID],tblWorkPackages[[#This Row],[Work package ID]])</f>
        <v>45973.0</v>
      </c>
      <c r="AA2353" s="64">
        <f>_xlfn.MAXIFS(tblLaborEntries[Work date serial],tblLaborEntries[Work package ID],tblWorkPackages[[#This Row],[Work package ID]])</f>
        <v>45975.0</v>
      </c>
      <c r="AB2353" s="65">
        <f>IF(tblWorkPackages[[#This Row],[Completion date serial]]&gt;tblWorkPackages[[#This Row],[Due date serial]],1,0)</f>
        <v>1</v>
      </c>
      <c r="AC2353" s="65">
        <f>MAX(0,tblWorkPackages[[#This Row],[Completion date serial]]-tblWorkPackages[[#This Row],[Due date serial]])</f>
        <v>1</v>
      </c>
      <c r="AD2353" s="65">
        <f>tblWorkPackages[[#This Row],[First labor date]]-tblWorkPackages[[#This Row],[Request date serial]]</f>
        <v>9</v>
      </c>
      <c r="AE2353" s="65">
        <f>tblWorkPackages[[#This Row],[Last labor date]]-tblWorkPackages[[#This Row],[First labor date]]</f>
        <v>2</v>
      </c>
      <c r="AF2353" s="65">
        <f>tblWorkPackages[[#This Row],[Completion date serial]]-tblWorkPackages[[#This Row],[Last labor date]]</f>
        <v>3</v>
      </c>
      <c r="AG2353" s="65">
        <f>tblWorkPackages[[#This Row],[Completion date serial]]-tblWorkPackages[[#This Row],[Request date serial]]</f>
        <v>14</v>
      </c>
      <c r="AH2353" s="65">
        <f>IFERROR(INDEX(tblParts[Delay days],MATCH(tblWorkPackages[[#This Row],[Work package ID]],tblParts[Work package ID],0)),0)</f>
        <v>0</v>
      </c>
      <c r="AI2353" s="51" t="str">
        <f>IFERROR(INDEX(tblDisruptions[Event type],MATCH(tblWorkPackages[[#This Row],[Work package ID]],tblDisruptions[Work package ID],0)),"None")</f>
        <v>None</v>
      </c>
      <c r="AJ2353" s="51" t="str">
        <f>TEXT(tblWorkPackages[[#This Row],[Due date serial]],"yyyy-mm")</f>
        <v>2025-11</v>
      </c>
    </row>
    <row r="2354" spans="1:36" ht="15" x14ac:dyDescent="0.25">
      <c r="A2354" s="53" t="s">
        <v>3272</v>
      </c>
      <c r="B2354" s="53" t="s">
        <v>235</v>
      </c>
      <c r="C2354" s="53" t="s">
        <v>1522</v>
      </c>
      <c r="D2354" s="53" t="s">
        <v>1523</v>
      </c>
      <c r="E2354" s="53" t="s">
        <v>200</v>
      </c>
      <c r="F2354" s="53" t="s">
        <v>128</v>
      </c>
      <c r="G2354" s="53" t="s">
        <v>129</v>
      </c>
      <c r="H2354" s="53">
        <v>4</v>
      </c>
      <c r="I2354" s="53" t="s">
        <v>130</v>
      </c>
      <c r="J2354" s="53">
        <v>0</v>
      </c>
      <c r="K2354" s="53">
        <v>0</v>
      </c>
      <c r="L2354" s="53">
        <v>5.5</v>
      </c>
      <c r="M2354" s="53" t="s">
        <v>546</v>
      </c>
      <c r="N2354" s="53">
        <v>6</v>
      </c>
      <c r="O2354" s="51" t="str">
        <f>TEXT(tblWorkPackages[[#This Row],[Request date serial]]-WEEKDAY(tblWorkPackages[[#This Row],[Request date serial]],3),"yyyy-mm-dd")</f>
        <v>2024-01-08</v>
      </c>
      <c r="P2354" s="51">
        <f>ABS(tblWorkPackages[[#This Row],[Actual labor hours]]-tblWorkPackages[[#This Row],[Estimated labor hours]])</f>
        <v>0.5</v>
      </c>
      <c r="Q2354" s="51">
        <f>IF(tblWorkPackages[[#This Row],[Actual labor hours]]&gt;tblWorkPackages[[#This Row],[Estimated labor hours]],1,0)</f>
        <v>1</v>
      </c>
      <c r="R2354" s="51">
        <f>tblWorkPackages[[#This Row],[Actual labor hours]]-tblWorkPackages[[#This Row],[Estimated labor hours]]</f>
        <v>0.5</v>
      </c>
      <c r="S2354" s="51" t="str">
        <f>IF(tblWorkPackages[[#This Row],[Request date serial]]&lt;ValidationStart,"Train 2024",IF(tblWorkPackages[[#This Row],[Request date serial]]&lt;HoldoutStart,"Validation H1","Holdout H2"))</f>
        <v>Train 2024</v>
      </c>
      <c r="T2354" s="51" t="str">
        <f>IF(tblWorkPackages[[#This Row],[Time split]]="Train 2024","",tblWorkPackages[[#This Row],[Estimated labor hours]]+VLOOKUP(tblWorkPackages[[#This Row],[Task type]],'Forecast validation'!$A$14:$E$25,IF(tblWorkPackages[[#This Row],[Time split]]="Validation H1",4,5),FALSE()))</f>
        <v/>
      </c>
      <c r="U2354" s="51" t="str">
        <f>IF(tblWorkPackages[[#This Row],[Calibrated forecast hours]]="","",ABS(tblWorkPackages[[#This Row],[Actual labor hours]]-tblWorkPackages[[#This Row],[Calibrated forecast hours]]))</f>
        <v/>
      </c>
      <c r="V2354" s="51">
        <f>IF(tblWorkPackages[[#This Row],[Time split]]="Train 2024",tblWorkPackages[[#This Row],[Estimated labor hours]],tblWorkPackages[[#This Row],[Calibrated forecast hours]])</f>
        <v>5.5</v>
      </c>
      <c r="W2354" s="64">
        <f>DATEVALUE(tblWorkPackages[[#This Row],[Request date]])</f>
        <v>45302.0</v>
      </c>
      <c r="X2354" s="64">
        <f>DATEVALUE(tblWorkPackages[[#This Row],[Due date]])</f>
        <v>45315.0</v>
      </c>
      <c r="Y2354" s="64">
        <f>DATEVALUE(tblWorkPackages[[#This Row],[Completion date]])</f>
        <v>45306.0</v>
      </c>
      <c r="Z2354" s="64">
        <f>_xlfn.MINIFS(tblLaborEntries[Work date serial],tblLaborEntries[Work package ID],tblWorkPackages[[#This Row],[Work package ID]])</f>
        <v>45304.0</v>
      </c>
      <c r="AA2354" s="64">
        <f>_xlfn.MAXIFS(tblLaborEntries[Work date serial],tblLaborEntries[Work package ID],tblWorkPackages[[#This Row],[Work package ID]])</f>
        <v>45306.0</v>
      </c>
      <c r="AB2354" s="65">
        <f>IF(tblWorkPackages[[#This Row],[Completion date serial]]&gt;tblWorkPackages[[#This Row],[Due date serial]],1,0)</f>
        <v>0</v>
      </c>
      <c r="AC2354" s="65">
        <f>MAX(0,tblWorkPackages[[#This Row],[Completion date serial]]-tblWorkPackages[[#This Row],[Due date serial]])</f>
        <v>0</v>
      </c>
      <c r="AD2354" s="65">
        <f>tblWorkPackages[[#This Row],[First labor date]]-tblWorkPackages[[#This Row],[Request date serial]]</f>
        <v>2</v>
      </c>
      <c r="AE2354" s="65">
        <f>tblWorkPackages[[#This Row],[Last labor date]]-tblWorkPackages[[#This Row],[First labor date]]</f>
        <v>2</v>
      </c>
      <c r="AF2354" s="65">
        <f>tblWorkPackages[[#This Row],[Completion date serial]]-tblWorkPackages[[#This Row],[Last labor date]]</f>
        <v>0</v>
      </c>
      <c r="AG2354" s="65">
        <f>tblWorkPackages[[#This Row],[Completion date serial]]-tblWorkPackages[[#This Row],[Request date serial]]</f>
        <v>4</v>
      </c>
      <c r="AH2354" s="65">
        <f>IFERROR(INDEX(tblParts[Delay days],MATCH(tblWorkPackages[[#This Row],[Work package ID]],tblParts[Work package ID],0)),0)</f>
        <v>0</v>
      </c>
      <c r="AI2354" s="51" t="str">
        <f>IFERROR(INDEX(tblDisruptions[Event type],MATCH(tblWorkPackages[[#This Row],[Work package ID]],tblDisruptions[Work package ID],0)),"None")</f>
        <v>None</v>
      </c>
      <c r="AJ2354" s="51" t="str">
        <f>TEXT(tblWorkPackages[[#This Row],[Due date serial]],"yyyy-mm")</f>
        <v>2024-01</v>
      </c>
    </row>
    <row r="2355" spans="1:36" ht="15" x14ac:dyDescent="0.25">
      <c r="A2355" s="53" t="s">
        <v>3273</v>
      </c>
      <c r="B2355" s="53" t="s">
        <v>141</v>
      </c>
      <c r="C2355" s="53" t="s">
        <v>545</v>
      </c>
      <c r="D2355" s="53" t="s">
        <v>546</v>
      </c>
      <c r="E2355" s="53" t="s">
        <v>209</v>
      </c>
      <c r="F2355" s="53" t="s">
        <v>145</v>
      </c>
      <c r="G2355" s="53" t="s">
        <v>210</v>
      </c>
      <c r="H2355" s="53">
        <v>1</v>
      </c>
      <c r="I2355" s="53" t="s">
        <v>130</v>
      </c>
      <c r="J2355" s="53">
        <v>0</v>
      </c>
      <c r="K2355" s="53">
        <v>0</v>
      </c>
      <c r="L2355" s="53">
        <v>13.7</v>
      </c>
      <c r="M2355" s="53" t="s">
        <v>351</v>
      </c>
      <c r="N2355" s="53">
        <v>12.5</v>
      </c>
      <c r="O2355" s="51" t="str">
        <f>TEXT(tblWorkPackages[[#This Row],[Request date serial]]-WEEKDAY(tblWorkPackages[[#This Row],[Request date serial]],3),"yyyy-mm-dd")</f>
        <v>2024-01-01</v>
      </c>
      <c r="P2355" s="51">
        <f>ABS(tblWorkPackages[[#This Row],[Actual labor hours]]-tblWorkPackages[[#This Row],[Estimated labor hours]])</f>
        <v>1.2</v>
      </c>
      <c r="Q2355" s="51">
        <f>IF(tblWorkPackages[[#This Row],[Actual labor hours]]&gt;tblWorkPackages[[#This Row],[Estimated labor hours]],1,0)</f>
        <v>0</v>
      </c>
      <c r="R2355" s="51">
        <f>tblWorkPackages[[#This Row],[Actual labor hours]]-tblWorkPackages[[#This Row],[Estimated labor hours]]</f>
        <v>-1.2</v>
      </c>
      <c r="S2355" s="51" t="str">
        <f>IF(tblWorkPackages[[#This Row],[Request date serial]]&lt;ValidationStart,"Train 2024",IF(tblWorkPackages[[#This Row],[Request date serial]]&lt;HoldoutStart,"Validation H1","Holdout H2"))</f>
        <v>Train 2024</v>
      </c>
      <c r="T2355" s="51" t="str">
        <f>IF(tblWorkPackages[[#This Row],[Time split]]="Train 2024","",tblWorkPackages[[#This Row],[Estimated labor hours]]+VLOOKUP(tblWorkPackages[[#This Row],[Task type]],'Forecast validation'!$A$14:$E$25,IF(tblWorkPackages[[#This Row],[Time split]]="Validation H1",4,5),FALSE()))</f>
        <v/>
      </c>
      <c r="U2355" s="51" t="str">
        <f>IF(tblWorkPackages[[#This Row],[Calibrated forecast hours]]="","",ABS(tblWorkPackages[[#This Row],[Actual labor hours]]-tblWorkPackages[[#This Row],[Calibrated forecast hours]]))</f>
        <v/>
      </c>
      <c r="V2355" s="51">
        <f>IF(tblWorkPackages[[#This Row],[Time split]]="Train 2024",tblWorkPackages[[#This Row],[Estimated labor hours]],tblWorkPackages[[#This Row],[Calibrated forecast hours]])</f>
        <v>13.7</v>
      </c>
      <c r="W2355" s="64">
        <f>DATEVALUE(tblWorkPackages[[#This Row],[Request date]])</f>
        <v>45293.0</v>
      </c>
      <c r="X2355" s="64">
        <f>DATEVALUE(tblWorkPackages[[#This Row],[Due date]])</f>
        <v>45306.0</v>
      </c>
      <c r="Y2355" s="64">
        <f>DATEVALUE(tblWorkPackages[[#This Row],[Completion date]])</f>
        <v>45319.0</v>
      </c>
      <c r="Z2355" s="64">
        <f>_xlfn.MINIFS(tblLaborEntries[Work date serial],tblLaborEntries[Work package ID],tblWorkPackages[[#This Row],[Work package ID]])</f>
        <v>45316.0</v>
      </c>
      <c r="AA2355" s="64">
        <f>_xlfn.MAXIFS(tblLaborEntries[Work date serial],tblLaborEntries[Work package ID],tblWorkPackages[[#This Row],[Work package ID]])</f>
        <v>45318.0</v>
      </c>
      <c r="AB2355" s="65">
        <f>IF(tblWorkPackages[[#This Row],[Completion date serial]]&gt;tblWorkPackages[[#This Row],[Due date serial]],1,0)</f>
        <v>1</v>
      </c>
      <c r="AC2355" s="65">
        <f>MAX(0,tblWorkPackages[[#This Row],[Completion date serial]]-tblWorkPackages[[#This Row],[Due date serial]])</f>
        <v>13</v>
      </c>
      <c r="AD2355" s="65">
        <f>tblWorkPackages[[#This Row],[First labor date]]-tblWorkPackages[[#This Row],[Request date serial]]</f>
        <v>23</v>
      </c>
      <c r="AE2355" s="65">
        <f>tblWorkPackages[[#This Row],[Last labor date]]-tblWorkPackages[[#This Row],[First labor date]]</f>
        <v>2</v>
      </c>
      <c r="AF2355" s="65">
        <f>tblWorkPackages[[#This Row],[Completion date serial]]-tblWorkPackages[[#This Row],[Last labor date]]</f>
        <v>1</v>
      </c>
      <c r="AG2355" s="65">
        <f>tblWorkPackages[[#This Row],[Completion date serial]]-tblWorkPackages[[#This Row],[Request date serial]]</f>
        <v>26</v>
      </c>
      <c r="AH2355" s="65">
        <f>IFERROR(INDEX(tblParts[Delay days],MATCH(tblWorkPackages[[#This Row],[Work package ID]],tblParts[Work package ID],0)),0)</f>
        <v>0</v>
      </c>
      <c r="AI2355" s="51" t="str">
        <f>IFERROR(INDEX(tblDisruptions[Event type],MATCH(tblWorkPackages[[#This Row],[Work package ID]],tblDisruptions[Work package ID],0)),"None")</f>
        <v>None</v>
      </c>
      <c r="AJ2355" s="51" t="str">
        <f>TEXT(tblWorkPackages[[#This Row],[Due date serial]],"yyyy-mm")</f>
        <v>2024-01</v>
      </c>
    </row>
    <row r="2356" spans="1:36" ht="15" x14ac:dyDescent="0.25">
      <c r="A2356" s="53" t="s">
        <v>3274</v>
      </c>
      <c r="B2356" s="53" t="s">
        <v>163</v>
      </c>
      <c r="C2356" s="53" t="s">
        <v>1301</v>
      </c>
      <c r="D2356" s="53" t="s">
        <v>909</v>
      </c>
      <c r="E2356" s="53" t="s">
        <v>144</v>
      </c>
      <c r="F2356" s="53" t="s">
        <v>145</v>
      </c>
      <c r="G2356" s="53" t="s">
        <v>146</v>
      </c>
      <c r="H2356" s="53">
        <v>4</v>
      </c>
      <c r="I2356" s="53" t="s">
        <v>130</v>
      </c>
      <c r="J2356" s="53">
        <v>0</v>
      </c>
      <c r="K2356" s="53">
        <v>1</v>
      </c>
      <c r="L2356" s="53">
        <v>16.5</v>
      </c>
      <c r="M2356" s="53" t="s">
        <v>764</v>
      </c>
      <c r="N2356" s="53">
        <v>24</v>
      </c>
      <c r="O2356" s="51" t="str">
        <f>TEXT(tblWorkPackages[[#This Row],[Request date serial]]-WEEKDAY(tblWorkPackages[[#This Row],[Request date serial]],3),"yyyy-mm-dd")</f>
        <v>2025-11-24</v>
      </c>
      <c r="P2356" s="51">
        <f>ABS(tblWorkPackages[[#This Row],[Actual labor hours]]-tblWorkPackages[[#This Row],[Estimated labor hours]])</f>
        <v>7.5</v>
      </c>
      <c r="Q2356" s="51">
        <f>IF(tblWorkPackages[[#This Row],[Actual labor hours]]&gt;tblWorkPackages[[#This Row],[Estimated labor hours]],1,0)</f>
        <v>1</v>
      </c>
      <c r="R2356" s="51">
        <f>tblWorkPackages[[#This Row],[Actual labor hours]]-tblWorkPackages[[#This Row],[Estimated labor hours]]</f>
        <v>7.5</v>
      </c>
      <c r="S2356" s="51" t="str">
        <f>IF(tblWorkPackages[[#This Row],[Request date serial]]&lt;ValidationStart,"Train 2024",IF(tblWorkPackages[[#This Row],[Request date serial]]&lt;HoldoutStart,"Validation H1","Holdout H2"))</f>
        <v>Holdout H2</v>
      </c>
      <c r="T2356" s="51">
        <f>IF(tblWorkPackages[[#This Row],[Time split]]="Train 2024","",tblWorkPackages[[#This Row],[Estimated labor hours]]+VLOOKUP(tblWorkPackages[[#This Row],[Task type]],'Forecast validation'!$A$14:$E$25,IF(tblWorkPackages[[#This Row],[Time split]]="Validation H1",4,5),FALSE()))</f>
        <v>17.4735483870968</v>
      </c>
      <c r="U2356" s="51">
        <f>IF(tblWorkPackages[[#This Row],[Calibrated forecast hours]]="","",ABS(tblWorkPackages[[#This Row],[Actual labor hours]]-tblWorkPackages[[#This Row],[Calibrated forecast hours]]))</f>
        <v>6.52645161290323</v>
      </c>
      <c r="V2356" s="51">
        <f>IF(tblWorkPackages[[#This Row],[Time split]]="Train 2024",tblWorkPackages[[#This Row],[Estimated labor hours]],tblWorkPackages[[#This Row],[Calibrated forecast hours]])</f>
        <v>17.4735483870968</v>
      </c>
      <c r="W2356" s="64">
        <f>DATEVALUE(tblWorkPackages[[#This Row],[Request date]])</f>
        <v>45986.0</v>
      </c>
      <c r="X2356" s="64">
        <f>DATEVALUE(tblWorkPackages[[#This Row],[Due date]])</f>
        <v>45999.0</v>
      </c>
      <c r="Y2356" s="64">
        <f>DATEVALUE(tblWorkPackages[[#This Row],[Completion date]])</f>
        <v>46007.0</v>
      </c>
      <c r="Z2356" s="64">
        <f>_xlfn.MINIFS(tblLaborEntries[Work date serial],tblLaborEntries[Work package ID],tblWorkPackages[[#This Row],[Work package ID]])</f>
        <v>46004.0</v>
      </c>
      <c r="AA2356" s="64">
        <f>_xlfn.MAXIFS(tblLaborEntries[Work date serial],tblLaborEntries[Work package ID],tblWorkPackages[[#This Row],[Work package ID]])</f>
        <v>46005.0</v>
      </c>
      <c r="AB2356" s="65">
        <f>IF(tblWorkPackages[[#This Row],[Completion date serial]]&gt;tblWorkPackages[[#This Row],[Due date serial]],1,0)</f>
        <v>1</v>
      </c>
      <c r="AC2356" s="65">
        <f>MAX(0,tblWorkPackages[[#This Row],[Completion date serial]]-tblWorkPackages[[#This Row],[Due date serial]])</f>
        <v>8</v>
      </c>
      <c r="AD2356" s="65">
        <f>tblWorkPackages[[#This Row],[First labor date]]-tblWorkPackages[[#This Row],[Request date serial]]</f>
        <v>18</v>
      </c>
      <c r="AE2356" s="65">
        <f>tblWorkPackages[[#This Row],[Last labor date]]-tblWorkPackages[[#This Row],[First labor date]]</f>
        <v>1</v>
      </c>
      <c r="AF2356" s="65">
        <f>tblWorkPackages[[#This Row],[Completion date serial]]-tblWorkPackages[[#This Row],[Last labor date]]</f>
        <v>2</v>
      </c>
      <c r="AG2356" s="65">
        <f>tblWorkPackages[[#This Row],[Completion date serial]]-tblWorkPackages[[#This Row],[Request date serial]]</f>
        <v>21</v>
      </c>
      <c r="AH2356" s="65">
        <f>IFERROR(INDEX(tblParts[Delay days],MATCH(tblWorkPackages[[#This Row],[Work package ID]],tblParts[Work package ID],0)),0)</f>
        <v>14</v>
      </c>
      <c r="AI2356" s="51" t="str">
        <f>IFERROR(INDEX(tblDisruptions[Event type],MATCH(tblWorkPackages[[#This Row],[Work package ID]],tblDisruptions[Work package ID],0)),"None")</f>
        <v>Part delay</v>
      </c>
      <c r="AJ2356" s="51" t="str">
        <f>TEXT(tblWorkPackages[[#This Row],[Due date serial]],"yyyy-mm")</f>
        <v>2025-12</v>
      </c>
    </row>
    <row r="2357" spans="1:36" ht="15" x14ac:dyDescent="0.25">
      <c r="A2357" s="53" t="s">
        <v>3275</v>
      </c>
      <c r="B2357" s="53" t="s">
        <v>150</v>
      </c>
      <c r="C2357" s="53" t="s">
        <v>963</v>
      </c>
      <c r="D2357" s="53" t="s">
        <v>505</v>
      </c>
      <c r="E2357" s="53" t="s">
        <v>127</v>
      </c>
      <c r="F2357" s="53" t="s">
        <v>128</v>
      </c>
      <c r="G2357" s="53" t="s">
        <v>129</v>
      </c>
      <c r="H2357" s="53">
        <v>3</v>
      </c>
      <c r="I2357" s="53" t="s">
        <v>147</v>
      </c>
      <c r="J2357" s="53">
        <v>1</v>
      </c>
      <c r="K2357" s="53">
        <v>0</v>
      </c>
      <c r="L2357" s="53">
        <v>10.9</v>
      </c>
      <c r="M2357" s="53" t="s">
        <v>1627</v>
      </c>
      <c r="N2357" s="53">
        <v>14.5</v>
      </c>
      <c r="O2357" s="51" t="str">
        <f>TEXT(tblWorkPackages[[#This Row],[Request date serial]]-WEEKDAY(tblWorkPackages[[#This Row],[Request date serial]],3),"yyyy-mm-dd")</f>
        <v>2025-02-10</v>
      </c>
      <c r="P2357" s="51">
        <f>ABS(tblWorkPackages[[#This Row],[Actual labor hours]]-tblWorkPackages[[#This Row],[Estimated labor hours]])</f>
        <v>3.6</v>
      </c>
      <c r="Q2357" s="51">
        <f>IF(tblWorkPackages[[#This Row],[Actual labor hours]]&gt;tblWorkPackages[[#This Row],[Estimated labor hours]],1,0)</f>
        <v>1</v>
      </c>
      <c r="R2357" s="51">
        <f>tblWorkPackages[[#This Row],[Actual labor hours]]-tblWorkPackages[[#This Row],[Estimated labor hours]]</f>
        <v>3.6</v>
      </c>
      <c r="S2357" s="51" t="str">
        <f>IF(tblWorkPackages[[#This Row],[Request date serial]]&lt;ValidationStart,"Train 2024",IF(tblWorkPackages[[#This Row],[Request date serial]]&lt;HoldoutStart,"Validation H1","Holdout H2"))</f>
        <v>Validation H1</v>
      </c>
      <c r="T2357" s="51">
        <f>IF(tblWorkPackages[[#This Row],[Time split]]="Train 2024","",tblWorkPackages[[#This Row],[Estimated labor hours]]+VLOOKUP(tblWorkPackages[[#This Row],[Task type]],'Forecast validation'!$A$14:$E$25,IF(tblWorkPackages[[#This Row],[Time split]]="Validation H1",4,5),FALSE()))</f>
        <v>11.375641025641</v>
      </c>
      <c r="U2357" s="51">
        <f>IF(tblWorkPackages[[#This Row],[Calibrated forecast hours]]="","",ABS(tblWorkPackages[[#This Row],[Actual labor hours]]-tblWorkPackages[[#This Row],[Calibrated forecast hours]]))</f>
        <v>3.12435897435898</v>
      </c>
      <c r="V2357" s="51">
        <f>IF(tblWorkPackages[[#This Row],[Time split]]="Train 2024",tblWorkPackages[[#This Row],[Estimated labor hours]],tblWorkPackages[[#This Row],[Calibrated forecast hours]])</f>
        <v>11.375641025641</v>
      </c>
      <c r="W2357" s="64">
        <f>DATEVALUE(tblWorkPackages[[#This Row],[Request date]])</f>
        <v>45700.0</v>
      </c>
      <c r="X2357" s="64">
        <f>DATEVALUE(tblWorkPackages[[#This Row],[Due date]])</f>
        <v>45702.0</v>
      </c>
      <c r="Y2357" s="64">
        <f>DATEVALUE(tblWorkPackages[[#This Row],[Completion date]])</f>
        <v>45704.0</v>
      </c>
      <c r="Z2357" s="64">
        <f>_xlfn.MINIFS(tblLaborEntries[Work date serial],tblLaborEntries[Work package ID],tblWorkPackages[[#This Row],[Work package ID]])</f>
        <v>45701.0</v>
      </c>
      <c r="AA2357" s="64">
        <f>_xlfn.MAXIFS(tblLaborEntries[Work date serial],tblLaborEntries[Work package ID],tblWorkPackages[[#This Row],[Work package ID]])</f>
        <v>45701.0</v>
      </c>
      <c r="AB2357" s="65">
        <f>IF(tblWorkPackages[[#This Row],[Completion date serial]]&gt;tblWorkPackages[[#This Row],[Due date serial]],1,0)</f>
        <v>1</v>
      </c>
      <c r="AC2357" s="65">
        <f>MAX(0,tblWorkPackages[[#This Row],[Completion date serial]]-tblWorkPackages[[#This Row],[Due date serial]])</f>
        <v>2</v>
      </c>
      <c r="AD2357" s="65">
        <f>tblWorkPackages[[#This Row],[First labor date]]-tblWorkPackages[[#This Row],[Request date serial]]</f>
        <v>1</v>
      </c>
      <c r="AE2357" s="65">
        <f>tblWorkPackages[[#This Row],[Last labor date]]-tblWorkPackages[[#This Row],[First labor date]]</f>
        <v>0</v>
      </c>
      <c r="AF2357" s="65">
        <f>tblWorkPackages[[#This Row],[Completion date serial]]-tblWorkPackages[[#This Row],[Last labor date]]</f>
        <v>3</v>
      </c>
      <c r="AG2357" s="65">
        <f>tblWorkPackages[[#This Row],[Completion date serial]]-tblWorkPackages[[#This Row],[Request date serial]]</f>
        <v>4</v>
      </c>
      <c r="AH2357" s="65">
        <f>IFERROR(INDEX(tblParts[Delay days],MATCH(tblWorkPackages[[#This Row],[Work package ID]],tblParts[Work package ID],0)),0)</f>
        <v>0</v>
      </c>
      <c r="AI2357" s="51" t="str">
        <f>IFERROR(INDEX(tblDisruptions[Event type],MATCH(tblWorkPackages[[#This Row],[Work package ID]],tblDisruptions[Work package ID],0)),"None")</f>
        <v>None</v>
      </c>
      <c r="AJ2357" s="51" t="str">
        <f>TEXT(tblWorkPackages[[#This Row],[Due date serial]],"yyyy-mm")</f>
        <v>2025-02</v>
      </c>
    </row>
    <row r="2358" spans="1:36" ht="15" x14ac:dyDescent="0.25">
      <c r="A2358" s="53" t="s">
        <v>3276</v>
      </c>
      <c r="B2358" s="53" t="s">
        <v>168</v>
      </c>
      <c r="C2358" s="53" t="s">
        <v>606</v>
      </c>
      <c r="D2358" s="53" t="s">
        <v>607</v>
      </c>
      <c r="E2358" s="53" t="s">
        <v>242</v>
      </c>
      <c r="F2358" s="53" t="s">
        <v>243</v>
      </c>
      <c r="G2358" s="53" t="s">
        <v>129</v>
      </c>
      <c r="H2358" s="53">
        <v>3</v>
      </c>
      <c r="I2358" s="53" t="s">
        <v>130</v>
      </c>
      <c r="J2358" s="53">
        <v>0</v>
      </c>
      <c r="K2358" s="53">
        <v>0</v>
      </c>
      <c r="L2358" s="53">
        <v>13.2</v>
      </c>
      <c r="M2358" s="53" t="s">
        <v>966</v>
      </c>
      <c r="N2358" s="53">
        <v>14.1</v>
      </c>
      <c r="O2358" s="51" t="str">
        <f>TEXT(tblWorkPackages[[#This Row],[Request date serial]]-WEEKDAY(tblWorkPackages[[#This Row],[Request date serial]],3),"yyyy-mm-dd")</f>
        <v>2025-03-03</v>
      </c>
      <c r="P2358" s="51">
        <f>ABS(tblWorkPackages[[#This Row],[Actual labor hours]]-tblWorkPackages[[#This Row],[Estimated labor hours]])</f>
        <v>0.9</v>
      </c>
      <c r="Q2358" s="51">
        <f>IF(tblWorkPackages[[#This Row],[Actual labor hours]]&gt;tblWorkPackages[[#This Row],[Estimated labor hours]],1,0)</f>
        <v>1</v>
      </c>
      <c r="R2358" s="51">
        <f>tblWorkPackages[[#This Row],[Actual labor hours]]-tblWorkPackages[[#This Row],[Estimated labor hours]]</f>
        <v>0.9</v>
      </c>
      <c r="S2358" s="51" t="str">
        <f>IF(tblWorkPackages[[#This Row],[Request date serial]]&lt;ValidationStart,"Train 2024",IF(tblWorkPackages[[#This Row],[Request date serial]]&lt;HoldoutStart,"Validation H1","Holdout H2"))</f>
        <v>Validation H1</v>
      </c>
      <c r="T2358" s="51">
        <f>IF(tblWorkPackages[[#This Row],[Time split]]="Train 2024","",tblWorkPackages[[#This Row],[Estimated labor hours]]+VLOOKUP(tblWorkPackages[[#This Row],[Task type]],'Forecast validation'!$A$14:$E$25,IF(tblWorkPackages[[#This Row],[Time split]]="Validation H1",4,5),FALSE()))</f>
        <v>13.7561224489796</v>
      </c>
      <c r="U2358" s="51">
        <f>IF(tblWorkPackages[[#This Row],[Calibrated forecast hours]]="","",ABS(tblWorkPackages[[#This Row],[Actual labor hours]]-tblWorkPackages[[#This Row],[Calibrated forecast hours]]))</f>
        <v>0.343877551020409</v>
      </c>
      <c r="V2358" s="51">
        <f>IF(tblWorkPackages[[#This Row],[Time split]]="Train 2024",tblWorkPackages[[#This Row],[Estimated labor hours]],tblWorkPackages[[#This Row],[Calibrated forecast hours]])</f>
        <v>13.7561224489796</v>
      </c>
      <c r="W2358" s="64">
        <f>DATEVALUE(tblWorkPackages[[#This Row],[Request date]])</f>
        <v>45721.0</v>
      </c>
      <c r="X2358" s="64">
        <f>DATEVALUE(tblWorkPackages[[#This Row],[Due date]])</f>
        <v>45734.0</v>
      </c>
      <c r="Y2358" s="64">
        <f>DATEVALUE(tblWorkPackages[[#This Row],[Completion date]])</f>
        <v>45733.0</v>
      </c>
      <c r="Z2358" s="64">
        <f>_xlfn.MINIFS(tblLaborEntries[Work date serial],tblLaborEntries[Work package ID],tblWorkPackages[[#This Row],[Work package ID]])</f>
        <v>45733.0</v>
      </c>
      <c r="AA2358" s="64">
        <f>_xlfn.MAXIFS(tblLaborEntries[Work date serial],tblLaborEntries[Work package ID],tblWorkPackages[[#This Row],[Work package ID]])</f>
        <v>45733.0</v>
      </c>
      <c r="AB2358" s="65">
        <f>IF(tblWorkPackages[[#This Row],[Completion date serial]]&gt;tblWorkPackages[[#This Row],[Due date serial]],1,0)</f>
        <v>0</v>
      </c>
      <c r="AC2358" s="65">
        <f>MAX(0,tblWorkPackages[[#This Row],[Completion date serial]]-tblWorkPackages[[#This Row],[Due date serial]])</f>
        <v>0</v>
      </c>
      <c r="AD2358" s="65">
        <f>tblWorkPackages[[#This Row],[First labor date]]-tblWorkPackages[[#This Row],[Request date serial]]</f>
        <v>12</v>
      </c>
      <c r="AE2358" s="65">
        <f>tblWorkPackages[[#This Row],[Last labor date]]-tblWorkPackages[[#This Row],[First labor date]]</f>
        <v>0</v>
      </c>
      <c r="AF2358" s="65">
        <f>tblWorkPackages[[#This Row],[Completion date serial]]-tblWorkPackages[[#This Row],[Last labor date]]</f>
        <v>0</v>
      </c>
      <c r="AG2358" s="65">
        <f>tblWorkPackages[[#This Row],[Completion date serial]]-tblWorkPackages[[#This Row],[Request date serial]]</f>
        <v>12</v>
      </c>
      <c r="AH2358" s="65">
        <f>IFERROR(INDEX(tblParts[Delay days],MATCH(tblWorkPackages[[#This Row],[Work package ID]],tblParts[Work package ID],0)),0)</f>
        <v>0</v>
      </c>
      <c r="AI2358" s="51" t="str">
        <f>IFERROR(INDEX(tblDisruptions[Event type],MATCH(tblWorkPackages[[#This Row],[Work package ID]],tblDisruptions[Work package ID],0)),"None")</f>
        <v>None</v>
      </c>
      <c r="AJ2358" s="51" t="str">
        <f>TEXT(tblWorkPackages[[#This Row],[Due date serial]],"yyyy-mm")</f>
        <v>2025-03</v>
      </c>
    </row>
    <row r="2359" spans="1:36" ht="15" x14ac:dyDescent="0.25">
      <c r="A2359" s="53" t="s">
        <v>3277</v>
      </c>
      <c r="B2359" s="53" t="s">
        <v>287</v>
      </c>
      <c r="C2359" s="53" t="s">
        <v>1473</v>
      </c>
      <c r="D2359" s="53" t="s">
        <v>211</v>
      </c>
      <c r="E2359" s="53" t="s">
        <v>181</v>
      </c>
      <c r="F2359" s="53" t="s">
        <v>182</v>
      </c>
      <c r="G2359" s="53" t="s">
        <v>138</v>
      </c>
      <c r="H2359" s="53">
        <v>4</v>
      </c>
      <c r="I2359" s="53" t="s">
        <v>130</v>
      </c>
      <c r="J2359" s="53">
        <v>1</v>
      </c>
      <c r="K2359" s="53">
        <v>0</v>
      </c>
      <c r="L2359" s="53">
        <v>14.3</v>
      </c>
      <c r="M2359" s="53" t="s">
        <v>1409</v>
      </c>
      <c r="N2359" s="53">
        <v>19.3</v>
      </c>
      <c r="O2359" s="51" t="str">
        <f>TEXT(tblWorkPackages[[#This Row],[Request date serial]]-WEEKDAY(tblWorkPackages[[#This Row],[Request date serial]],3),"yyyy-mm-dd")</f>
        <v>2025-07-28</v>
      </c>
      <c r="P2359" s="51">
        <f>ABS(tblWorkPackages[[#This Row],[Actual labor hours]]-tblWorkPackages[[#This Row],[Estimated labor hours]])</f>
        <v>5</v>
      </c>
      <c r="Q2359" s="51">
        <f>IF(tblWorkPackages[[#This Row],[Actual labor hours]]&gt;tblWorkPackages[[#This Row],[Estimated labor hours]],1,0)</f>
        <v>1</v>
      </c>
      <c r="R2359" s="51">
        <f>tblWorkPackages[[#This Row],[Actual labor hours]]-tblWorkPackages[[#This Row],[Estimated labor hours]]</f>
        <v>5</v>
      </c>
      <c r="S2359" s="51" t="str">
        <f>IF(tblWorkPackages[[#This Row],[Request date serial]]&lt;ValidationStart,"Train 2024",IF(tblWorkPackages[[#This Row],[Request date serial]]&lt;HoldoutStart,"Validation H1","Holdout H2"))</f>
        <v>Holdout H2</v>
      </c>
      <c r="T2359" s="51">
        <f>IF(tblWorkPackages[[#This Row],[Time split]]="Train 2024","",tblWorkPackages[[#This Row],[Estimated labor hours]]+VLOOKUP(tblWorkPackages[[#This Row],[Task type]],'Forecast validation'!$A$14:$E$25,IF(tblWorkPackages[[#This Row],[Time split]]="Validation H1",4,5),FALSE()))</f>
        <v>14.8916083916084</v>
      </c>
      <c r="U2359" s="51">
        <f>IF(tblWorkPackages[[#This Row],[Calibrated forecast hours]]="","",ABS(tblWorkPackages[[#This Row],[Actual labor hours]]-tblWorkPackages[[#This Row],[Calibrated forecast hours]]))</f>
        <v>4.40839160839161</v>
      </c>
      <c r="V2359" s="51">
        <f>IF(tblWorkPackages[[#This Row],[Time split]]="Train 2024",tblWorkPackages[[#This Row],[Estimated labor hours]],tblWorkPackages[[#This Row],[Calibrated forecast hours]])</f>
        <v>14.8916083916084</v>
      </c>
      <c r="W2359" s="64">
        <f>DATEVALUE(tblWorkPackages[[#This Row],[Request date]])</f>
        <v>45869.0</v>
      </c>
      <c r="X2359" s="64">
        <f>DATEVALUE(tblWorkPackages[[#This Row],[Due date]])</f>
        <v>45882.0</v>
      </c>
      <c r="Y2359" s="64">
        <f>DATEVALUE(tblWorkPackages[[#This Row],[Completion date]])</f>
        <v>45875.0</v>
      </c>
      <c r="Z2359" s="64">
        <f>_xlfn.MINIFS(tblLaborEntries[Work date serial],tblLaborEntries[Work package ID],tblWorkPackages[[#This Row],[Work package ID]])</f>
        <v>45872.0</v>
      </c>
      <c r="AA2359" s="64">
        <f>_xlfn.MAXIFS(tblLaborEntries[Work date serial],tblLaborEntries[Work package ID],tblWorkPackages[[#This Row],[Work package ID]])</f>
        <v>45874.0</v>
      </c>
      <c r="AB2359" s="65">
        <f>IF(tblWorkPackages[[#This Row],[Completion date serial]]&gt;tblWorkPackages[[#This Row],[Due date serial]],1,0)</f>
        <v>0</v>
      </c>
      <c r="AC2359" s="65">
        <f>MAX(0,tblWorkPackages[[#This Row],[Completion date serial]]-tblWorkPackages[[#This Row],[Due date serial]])</f>
        <v>0</v>
      </c>
      <c r="AD2359" s="65">
        <f>tblWorkPackages[[#This Row],[First labor date]]-tblWorkPackages[[#This Row],[Request date serial]]</f>
        <v>3</v>
      </c>
      <c r="AE2359" s="65">
        <f>tblWorkPackages[[#This Row],[Last labor date]]-tblWorkPackages[[#This Row],[First labor date]]</f>
        <v>2</v>
      </c>
      <c r="AF2359" s="65">
        <f>tblWorkPackages[[#This Row],[Completion date serial]]-tblWorkPackages[[#This Row],[Last labor date]]</f>
        <v>1</v>
      </c>
      <c r="AG2359" s="65">
        <f>tblWorkPackages[[#This Row],[Completion date serial]]-tblWorkPackages[[#This Row],[Request date serial]]</f>
        <v>6</v>
      </c>
      <c r="AH2359" s="65">
        <f>IFERROR(INDEX(tblParts[Delay days],MATCH(tblWorkPackages[[#This Row],[Work package ID]],tblParts[Work package ID],0)),0)</f>
        <v>0</v>
      </c>
      <c r="AI2359" s="51" t="str">
        <f>IFERROR(INDEX(tblDisruptions[Event type],MATCH(tblWorkPackages[[#This Row],[Work package ID]],tblDisruptions[Work package ID],0)),"None")</f>
        <v>None</v>
      </c>
      <c r="AJ2359" s="51" t="str">
        <f>TEXT(tblWorkPackages[[#This Row],[Due date serial]],"yyyy-mm")</f>
        <v>2025-08</v>
      </c>
    </row>
    <row r="2360" spans="1:36" ht="15" x14ac:dyDescent="0.25">
      <c r="A2360" s="53" t="s">
        <v>3278</v>
      </c>
      <c r="B2360" s="53" t="s">
        <v>287</v>
      </c>
      <c r="C2360" s="53" t="s">
        <v>1667</v>
      </c>
      <c r="D2360" s="53" t="s">
        <v>1668</v>
      </c>
      <c r="E2360" s="53" t="s">
        <v>237</v>
      </c>
      <c r="F2360" s="53" t="s">
        <v>182</v>
      </c>
      <c r="G2360" s="53" t="s">
        <v>138</v>
      </c>
      <c r="H2360" s="53">
        <v>2</v>
      </c>
      <c r="I2360" s="53" t="s">
        <v>130</v>
      </c>
      <c r="J2360" s="53">
        <v>0</v>
      </c>
      <c r="K2360" s="53">
        <v>1</v>
      </c>
      <c r="L2360" s="53">
        <v>5.3</v>
      </c>
      <c r="M2360" s="53" t="s">
        <v>926</v>
      </c>
      <c r="N2360" s="53">
        <v>4.5999999999999996</v>
      </c>
      <c r="O2360" s="51" t="str">
        <f>TEXT(tblWorkPackages[[#This Row],[Request date serial]]-WEEKDAY(tblWorkPackages[[#This Row],[Request date serial]],3),"yyyy-mm-dd")</f>
        <v>2024-01-08</v>
      </c>
      <c r="P2360" s="51">
        <f>ABS(tblWorkPackages[[#This Row],[Actual labor hours]]-tblWorkPackages[[#This Row],[Estimated labor hours]])</f>
        <v>0.7</v>
      </c>
      <c r="Q2360" s="51">
        <f>IF(tblWorkPackages[[#This Row],[Actual labor hours]]&gt;tblWorkPackages[[#This Row],[Estimated labor hours]],1,0)</f>
        <v>0</v>
      </c>
      <c r="R2360" s="51">
        <f>tblWorkPackages[[#This Row],[Actual labor hours]]-tblWorkPackages[[#This Row],[Estimated labor hours]]</f>
        <v>-0.7</v>
      </c>
      <c r="S2360" s="51" t="str">
        <f>IF(tblWorkPackages[[#This Row],[Request date serial]]&lt;ValidationStart,"Train 2024",IF(tblWorkPackages[[#This Row],[Request date serial]]&lt;HoldoutStart,"Validation H1","Holdout H2"))</f>
        <v>Train 2024</v>
      </c>
      <c r="T2360" s="51" t="str">
        <f>IF(tblWorkPackages[[#This Row],[Time split]]="Train 2024","",tblWorkPackages[[#This Row],[Estimated labor hours]]+VLOOKUP(tblWorkPackages[[#This Row],[Task type]],'Forecast validation'!$A$14:$E$25,IF(tblWorkPackages[[#This Row],[Time split]]="Validation H1",4,5),FALSE()))</f>
        <v/>
      </c>
      <c r="U2360" s="51" t="str">
        <f>IF(tblWorkPackages[[#This Row],[Calibrated forecast hours]]="","",ABS(tblWorkPackages[[#This Row],[Actual labor hours]]-tblWorkPackages[[#This Row],[Calibrated forecast hours]]))</f>
        <v/>
      </c>
      <c r="V2360" s="51">
        <f>IF(tblWorkPackages[[#This Row],[Time split]]="Train 2024",tblWorkPackages[[#This Row],[Estimated labor hours]],tblWorkPackages[[#This Row],[Calibrated forecast hours]])</f>
        <v>5.3</v>
      </c>
      <c r="W2360" s="64">
        <f>DATEVALUE(tblWorkPackages[[#This Row],[Request date]])</f>
        <v>45301.0</v>
      </c>
      <c r="X2360" s="64">
        <f>DATEVALUE(tblWorkPackages[[#This Row],[Due date]])</f>
        <v>45314.0</v>
      </c>
      <c r="Y2360" s="64">
        <f>DATEVALUE(tblWorkPackages[[#This Row],[Completion date]])</f>
        <v>45340.0</v>
      </c>
      <c r="Z2360" s="64">
        <f>_xlfn.MINIFS(tblLaborEntries[Work date serial],tblLaborEntries[Work package ID],tblWorkPackages[[#This Row],[Work package ID]])</f>
        <v>45336.0</v>
      </c>
      <c r="AA2360" s="64">
        <f>_xlfn.MAXIFS(tblLaborEntries[Work date serial],tblLaborEntries[Work package ID],tblWorkPackages[[#This Row],[Work package ID]])</f>
        <v>45338.0</v>
      </c>
      <c r="AB2360" s="65">
        <f>IF(tblWorkPackages[[#This Row],[Completion date serial]]&gt;tblWorkPackages[[#This Row],[Due date serial]],1,0)</f>
        <v>1</v>
      </c>
      <c r="AC2360" s="65">
        <f>MAX(0,tblWorkPackages[[#This Row],[Completion date serial]]-tblWorkPackages[[#This Row],[Due date serial]])</f>
        <v>26</v>
      </c>
      <c r="AD2360" s="65">
        <f>tblWorkPackages[[#This Row],[First labor date]]-tblWorkPackages[[#This Row],[Request date serial]]</f>
        <v>35</v>
      </c>
      <c r="AE2360" s="65">
        <f>tblWorkPackages[[#This Row],[Last labor date]]-tblWorkPackages[[#This Row],[First labor date]]</f>
        <v>2</v>
      </c>
      <c r="AF2360" s="65">
        <f>tblWorkPackages[[#This Row],[Completion date serial]]-tblWorkPackages[[#This Row],[Last labor date]]</f>
        <v>2</v>
      </c>
      <c r="AG2360" s="65">
        <f>tblWorkPackages[[#This Row],[Completion date serial]]-tblWorkPackages[[#This Row],[Request date serial]]</f>
        <v>39</v>
      </c>
      <c r="AH2360" s="65">
        <f>IFERROR(INDEX(tblParts[Delay days],MATCH(tblWorkPackages[[#This Row],[Work package ID]],tblParts[Work package ID],0)),0)</f>
        <v>0</v>
      </c>
      <c r="AI2360" s="51" t="str">
        <f>IFERROR(INDEX(tblDisruptions[Event type],MATCH(tblWorkPackages[[#This Row],[Work package ID]],tblDisruptions[Work package ID],0)),"None")</f>
        <v>None</v>
      </c>
      <c r="AJ2360" s="51" t="str">
        <f>TEXT(tblWorkPackages[[#This Row],[Due date serial]],"yyyy-mm")</f>
        <v>2024-01</v>
      </c>
    </row>
    <row r="2361" spans="1:36" ht="15" x14ac:dyDescent="0.25">
      <c r="A2361" s="53" t="s">
        <v>3279</v>
      </c>
      <c r="B2361" s="53" t="s">
        <v>185</v>
      </c>
      <c r="C2361" s="53" t="s">
        <v>2029</v>
      </c>
      <c r="D2361" s="53" t="s">
        <v>937</v>
      </c>
      <c r="E2361" s="53" t="s">
        <v>242</v>
      </c>
      <c r="F2361" s="53" t="s">
        <v>243</v>
      </c>
      <c r="G2361" s="53" t="s">
        <v>129</v>
      </c>
      <c r="H2361" s="53">
        <v>4</v>
      </c>
      <c r="I2361" s="53" t="s">
        <v>130</v>
      </c>
      <c r="J2361" s="53">
        <v>0</v>
      </c>
      <c r="K2361" s="53">
        <v>1</v>
      </c>
      <c r="L2361" s="53">
        <v>14.6</v>
      </c>
      <c r="M2361" s="53" t="s">
        <v>560</v>
      </c>
      <c r="N2361" s="53">
        <v>16.399999999999999</v>
      </c>
      <c r="O2361" s="51" t="str">
        <f>TEXT(tblWorkPackages[[#This Row],[Request date serial]]-WEEKDAY(tblWorkPackages[[#This Row],[Request date serial]],3),"yyyy-mm-dd")</f>
        <v>2025-10-27</v>
      </c>
      <c r="P2361" s="51">
        <f>ABS(tblWorkPackages[[#This Row],[Actual labor hours]]-tblWorkPackages[[#This Row],[Estimated labor hours]])</f>
        <v>1.8</v>
      </c>
      <c r="Q2361" s="51">
        <f>IF(tblWorkPackages[[#This Row],[Actual labor hours]]&gt;tblWorkPackages[[#This Row],[Estimated labor hours]],1,0)</f>
        <v>1</v>
      </c>
      <c r="R2361" s="51">
        <f>tblWorkPackages[[#This Row],[Actual labor hours]]-tblWorkPackages[[#This Row],[Estimated labor hours]]</f>
        <v>1.8</v>
      </c>
      <c r="S2361" s="51" t="str">
        <f>IF(tblWorkPackages[[#This Row],[Request date serial]]&lt;ValidationStart,"Train 2024",IF(tblWorkPackages[[#This Row],[Request date serial]]&lt;HoldoutStart,"Validation H1","Holdout H2"))</f>
        <v>Holdout H2</v>
      </c>
      <c r="T2361" s="51">
        <f>IF(tblWorkPackages[[#This Row],[Time split]]="Train 2024","",tblWorkPackages[[#This Row],[Estimated labor hours]]+VLOOKUP(tblWorkPackages[[#This Row],[Task type]],'Forecast validation'!$A$14:$E$25,IF(tblWorkPackages[[#This Row],[Time split]]="Validation H1",4,5),FALSE()))</f>
        <v>15.4254545454545</v>
      </c>
      <c r="U2361" s="51">
        <f>IF(tblWorkPackages[[#This Row],[Calibrated forecast hours]]="","",ABS(tblWorkPackages[[#This Row],[Actual labor hours]]-tblWorkPackages[[#This Row],[Calibrated forecast hours]]))</f>
        <v>0.974545454545453</v>
      </c>
      <c r="V2361" s="51">
        <f>IF(tblWorkPackages[[#This Row],[Time split]]="Train 2024",tblWorkPackages[[#This Row],[Estimated labor hours]],tblWorkPackages[[#This Row],[Calibrated forecast hours]])</f>
        <v>15.4254545454545</v>
      </c>
      <c r="W2361" s="64">
        <f>DATEVALUE(tblWorkPackages[[#This Row],[Request date]])</f>
        <v>45958.0</v>
      </c>
      <c r="X2361" s="64">
        <f>DATEVALUE(tblWorkPackages[[#This Row],[Due date]])</f>
        <v>45971.0</v>
      </c>
      <c r="Y2361" s="64">
        <f>DATEVALUE(tblWorkPackages[[#This Row],[Completion date]])</f>
        <v>45970.0</v>
      </c>
      <c r="Z2361" s="64">
        <f>_xlfn.MINIFS(tblLaborEntries[Work date serial],tblLaborEntries[Work package ID],tblWorkPackages[[#This Row],[Work package ID]])</f>
        <v>45965.0</v>
      </c>
      <c r="AA2361" s="64">
        <f>_xlfn.MAXIFS(tblLaborEntries[Work date serial],tblLaborEntries[Work package ID],tblWorkPackages[[#This Row],[Work package ID]])</f>
        <v>45967.0</v>
      </c>
      <c r="AB2361" s="65">
        <f>IF(tblWorkPackages[[#This Row],[Completion date serial]]&gt;tblWorkPackages[[#This Row],[Due date serial]],1,0)</f>
        <v>0</v>
      </c>
      <c r="AC2361" s="65">
        <f>MAX(0,tblWorkPackages[[#This Row],[Completion date serial]]-tblWorkPackages[[#This Row],[Due date serial]])</f>
        <v>0</v>
      </c>
      <c r="AD2361" s="65">
        <f>tblWorkPackages[[#This Row],[First labor date]]-tblWorkPackages[[#This Row],[Request date serial]]</f>
        <v>7</v>
      </c>
      <c r="AE2361" s="65">
        <f>tblWorkPackages[[#This Row],[Last labor date]]-tblWorkPackages[[#This Row],[First labor date]]</f>
        <v>2</v>
      </c>
      <c r="AF2361" s="65">
        <f>tblWorkPackages[[#This Row],[Completion date serial]]-tblWorkPackages[[#This Row],[Last labor date]]</f>
        <v>3</v>
      </c>
      <c r="AG2361" s="65">
        <f>tblWorkPackages[[#This Row],[Completion date serial]]-tblWorkPackages[[#This Row],[Request date serial]]</f>
        <v>12</v>
      </c>
      <c r="AH2361" s="65">
        <f>IFERROR(INDEX(tblParts[Delay days],MATCH(tblWorkPackages[[#This Row],[Work package ID]],tblParts[Work package ID],0)),0)</f>
        <v>0</v>
      </c>
      <c r="AI2361" s="51" t="str">
        <f>IFERROR(INDEX(tblDisruptions[Event type],MATCH(tblWorkPackages[[#This Row],[Work package ID]],tblDisruptions[Work package ID],0)),"None")</f>
        <v>None</v>
      </c>
      <c r="AJ2361" s="51" t="str">
        <f>TEXT(tblWorkPackages[[#This Row],[Due date serial]],"yyyy-mm")</f>
        <v>2025-11</v>
      </c>
    </row>
    <row r="2362" spans="1:36" ht="15" x14ac:dyDescent="0.25">
      <c r="A2362" s="53" t="s">
        <v>3280</v>
      </c>
      <c r="B2362" s="53" t="s">
        <v>133</v>
      </c>
      <c r="C2362" s="53" t="s">
        <v>751</v>
      </c>
      <c r="D2362" s="53" t="s">
        <v>1560</v>
      </c>
      <c r="E2362" s="53" t="s">
        <v>200</v>
      </c>
      <c r="F2362" s="53" t="s">
        <v>128</v>
      </c>
      <c r="G2362" s="53" t="s">
        <v>129</v>
      </c>
      <c r="H2362" s="53">
        <v>2</v>
      </c>
      <c r="I2362" s="53" t="s">
        <v>176</v>
      </c>
      <c r="J2362" s="53">
        <v>0</v>
      </c>
      <c r="K2362" s="53">
        <v>0</v>
      </c>
      <c r="L2362" s="53">
        <v>3.2</v>
      </c>
      <c r="M2362" s="53" t="s">
        <v>1183</v>
      </c>
      <c r="N2362" s="53">
        <v>4</v>
      </c>
      <c r="O2362" s="51" t="str">
        <f>TEXT(tblWorkPackages[[#This Row],[Request date serial]]-WEEKDAY(tblWorkPackages[[#This Row],[Request date serial]],3),"yyyy-mm-dd")</f>
        <v>2025-05-12</v>
      </c>
      <c r="P2362" s="51">
        <f>ABS(tblWorkPackages[[#This Row],[Actual labor hours]]-tblWorkPackages[[#This Row],[Estimated labor hours]])</f>
        <v>0.8</v>
      </c>
      <c r="Q2362" s="51">
        <f>IF(tblWorkPackages[[#This Row],[Actual labor hours]]&gt;tblWorkPackages[[#This Row],[Estimated labor hours]],1,0)</f>
        <v>1</v>
      </c>
      <c r="R2362" s="51">
        <f>tblWorkPackages[[#This Row],[Actual labor hours]]-tblWorkPackages[[#This Row],[Estimated labor hours]]</f>
        <v>0.8</v>
      </c>
      <c r="S2362" s="51" t="str">
        <f>IF(tblWorkPackages[[#This Row],[Request date serial]]&lt;ValidationStart,"Train 2024",IF(tblWorkPackages[[#This Row],[Request date serial]]&lt;HoldoutStart,"Validation H1","Holdout H2"))</f>
        <v>Validation H1</v>
      </c>
      <c r="T2362" s="51">
        <f>IF(tblWorkPackages[[#This Row],[Time split]]="Train 2024","",tblWorkPackages[[#This Row],[Estimated labor hours]]+VLOOKUP(tblWorkPackages[[#This Row],[Task type]],'Forecast validation'!$A$14:$E$25,IF(tblWorkPackages[[#This Row],[Time split]]="Validation H1",4,5),FALSE()))</f>
        <v>3.53069306930693</v>
      </c>
      <c r="U2362" s="51">
        <f>IF(tblWorkPackages[[#This Row],[Calibrated forecast hours]]="","",ABS(tblWorkPackages[[#This Row],[Actual labor hours]]-tblWorkPackages[[#This Row],[Calibrated forecast hours]]))</f>
        <v>0.469306930693069</v>
      </c>
      <c r="V2362" s="51">
        <f>IF(tblWorkPackages[[#This Row],[Time split]]="Train 2024",tblWorkPackages[[#This Row],[Estimated labor hours]],tblWorkPackages[[#This Row],[Calibrated forecast hours]])</f>
        <v>3.53069306930693</v>
      </c>
      <c r="W2362" s="64">
        <f>DATEVALUE(tblWorkPackages[[#This Row],[Request date]])</f>
        <v>45795.0</v>
      </c>
      <c r="X2362" s="64">
        <f>DATEVALUE(tblWorkPackages[[#This Row],[Due date]])</f>
        <v>45801.0</v>
      </c>
      <c r="Y2362" s="64">
        <f>DATEVALUE(tblWorkPackages[[#This Row],[Completion date]])</f>
        <v>45798.0</v>
      </c>
      <c r="Z2362" s="64">
        <f>_xlfn.MINIFS(tblLaborEntries[Work date serial],tblLaborEntries[Work package ID],tblWorkPackages[[#This Row],[Work package ID]])</f>
        <v>45797.0</v>
      </c>
      <c r="AA2362" s="64">
        <f>_xlfn.MAXIFS(tblLaborEntries[Work date serial],tblLaborEntries[Work package ID],tblWorkPackages[[#This Row],[Work package ID]])</f>
        <v>45798.0</v>
      </c>
      <c r="AB2362" s="65">
        <f>IF(tblWorkPackages[[#This Row],[Completion date serial]]&gt;tblWorkPackages[[#This Row],[Due date serial]],1,0)</f>
        <v>0</v>
      </c>
      <c r="AC2362" s="65">
        <f>MAX(0,tblWorkPackages[[#This Row],[Completion date serial]]-tblWorkPackages[[#This Row],[Due date serial]])</f>
        <v>0</v>
      </c>
      <c r="AD2362" s="65">
        <f>tblWorkPackages[[#This Row],[First labor date]]-tblWorkPackages[[#This Row],[Request date serial]]</f>
        <v>2</v>
      </c>
      <c r="AE2362" s="65">
        <f>tblWorkPackages[[#This Row],[Last labor date]]-tblWorkPackages[[#This Row],[First labor date]]</f>
        <v>1</v>
      </c>
      <c r="AF2362" s="65">
        <f>tblWorkPackages[[#This Row],[Completion date serial]]-tblWorkPackages[[#This Row],[Last labor date]]</f>
        <v>0</v>
      </c>
      <c r="AG2362" s="65">
        <f>tblWorkPackages[[#This Row],[Completion date serial]]-tblWorkPackages[[#This Row],[Request date serial]]</f>
        <v>3</v>
      </c>
      <c r="AH2362" s="65">
        <f>IFERROR(INDEX(tblParts[Delay days],MATCH(tblWorkPackages[[#This Row],[Work package ID]],tblParts[Work package ID],0)),0)</f>
        <v>0</v>
      </c>
      <c r="AI2362" s="51" t="str">
        <f>IFERROR(INDEX(tblDisruptions[Event type],MATCH(tblWorkPackages[[#This Row],[Work package ID]],tblDisruptions[Work package ID],0)),"None")</f>
        <v>None</v>
      </c>
      <c r="AJ2362" s="51" t="str">
        <f>TEXT(tblWorkPackages[[#This Row],[Due date serial]],"yyyy-mm")</f>
        <v>2025-05</v>
      </c>
    </row>
    <row r="2363" spans="1:36" ht="15" x14ac:dyDescent="0.25">
      <c r="A2363" s="53" t="s">
        <v>3281</v>
      </c>
      <c r="B2363" s="53" t="s">
        <v>250</v>
      </c>
      <c r="C2363" s="53" t="s">
        <v>710</v>
      </c>
      <c r="D2363" s="53" t="s">
        <v>603</v>
      </c>
      <c r="E2363" s="53" t="s">
        <v>200</v>
      </c>
      <c r="F2363" s="53" t="s">
        <v>128</v>
      </c>
      <c r="G2363" s="53" t="s">
        <v>129</v>
      </c>
      <c r="H2363" s="53">
        <v>4</v>
      </c>
      <c r="I2363" s="53" t="s">
        <v>130</v>
      </c>
      <c r="J2363" s="53">
        <v>0</v>
      </c>
      <c r="K2363" s="53">
        <v>0</v>
      </c>
      <c r="L2363" s="53">
        <v>5.9</v>
      </c>
      <c r="M2363" s="53" t="s">
        <v>863</v>
      </c>
      <c r="N2363" s="53">
        <v>5.3</v>
      </c>
      <c r="O2363" s="51" t="str">
        <f>TEXT(tblWorkPackages[[#This Row],[Request date serial]]-WEEKDAY(tblWorkPackages[[#This Row],[Request date serial]],3),"yyyy-mm-dd")</f>
        <v>2025-06-09</v>
      </c>
      <c r="P2363" s="51">
        <f>ABS(tblWorkPackages[[#This Row],[Actual labor hours]]-tblWorkPackages[[#This Row],[Estimated labor hours]])</f>
        <v>0.600000000000001</v>
      </c>
      <c r="Q2363" s="51">
        <f>IF(tblWorkPackages[[#This Row],[Actual labor hours]]&gt;tblWorkPackages[[#This Row],[Estimated labor hours]],1,0)</f>
        <v>0</v>
      </c>
      <c r="R2363" s="51">
        <f>tblWorkPackages[[#This Row],[Actual labor hours]]-tblWorkPackages[[#This Row],[Estimated labor hours]]</f>
        <v>-0.600000000000001</v>
      </c>
      <c r="S2363" s="51" t="str">
        <f>IF(tblWorkPackages[[#This Row],[Request date serial]]&lt;ValidationStart,"Train 2024",IF(tblWorkPackages[[#This Row],[Request date serial]]&lt;HoldoutStart,"Validation H1","Holdout H2"))</f>
        <v>Validation H1</v>
      </c>
      <c r="T2363" s="51">
        <f>IF(tblWorkPackages[[#This Row],[Time split]]="Train 2024","",tblWorkPackages[[#This Row],[Estimated labor hours]]+VLOOKUP(tblWorkPackages[[#This Row],[Task type]],'Forecast validation'!$A$14:$E$25,IF(tblWorkPackages[[#This Row],[Time split]]="Validation H1",4,5),FALSE()))</f>
        <v>6.23069306930693</v>
      </c>
      <c r="U2363" s="51">
        <f>IF(tblWorkPackages[[#This Row],[Calibrated forecast hours]]="","",ABS(tblWorkPackages[[#This Row],[Actual labor hours]]-tblWorkPackages[[#This Row],[Calibrated forecast hours]]))</f>
        <v>0.930693069306932</v>
      </c>
      <c r="V2363" s="51">
        <f>IF(tblWorkPackages[[#This Row],[Time split]]="Train 2024",tblWorkPackages[[#This Row],[Estimated labor hours]],tblWorkPackages[[#This Row],[Calibrated forecast hours]])</f>
        <v>6.23069306930693</v>
      </c>
      <c r="W2363" s="64">
        <f>DATEVALUE(tblWorkPackages[[#This Row],[Request date]])</f>
        <v>45821.0</v>
      </c>
      <c r="X2363" s="64">
        <f>DATEVALUE(tblWorkPackages[[#This Row],[Due date]])</f>
        <v>45834.0</v>
      </c>
      <c r="Y2363" s="64">
        <f>DATEVALUE(tblWorkPackages[[#This Row],[Completion date]])</f>
        <v>45837.0</v>
      </c>
      <c r="Z2363" s="64">
        <f>_xlfn.MINIFS(tblLaborEntries[Work date serial],tblLaborEntries[Work package ID],tblWorkPackages[[#This Row],[Work package ID]])</f>
        <v>45836.0</v>
      </c>
      <c r="AA2363" s="64">
        <f>_xlfn.MAXIFS(tblLaborEntries[Work date serial],tblLaborEntries[Work package ID],tblWorkPackages[[#This Row],[Work package ID]])</f>
        <v>45836.0</v>
      </c>
      <c r="AB2363" s="65">
        <f>IF(tblWorkPackages[[#This Row],[Completion date serial]]&gt;tblWorkPackages[[#This Row],[Due date serial]],1,0)</f>
        <v>1</v>
      </c>
      <c r="AC2363" s="65">
        <f>MAX(0,tblWorkPackages[[#This Row],[Completion date serial]]-tblWorkPackages[[#This Row],[Due date serial]])</f>
        <v>3</v>
      </c>
      <c r="AD2363" s="65">
        <f>tblWorkPackages[[#This Row],[First labor date]]-tblWorkPackages[[#This Row],[Request date serial]]</f>
        <v>15</v>
      </c>
      <c r="AE2363" s="65">
        <f>tblWorkPackages[[#This Row],[Last labor date]]-tblWorkPackages[[#This Row],[First labor date]]</f>
        <v>0</v>
      </c>
      <c r="AF2363" s="65">
        <f>tblWorkPackages[[#This Row],[Completion date serial]]-tblWorkPackages[[#This Row],[Last labor date]]</f>
        <v>1</v>
      </c>
      <c r="AG2363" s="65">
        <f>tblWorkPackages[[#This Row],[Completion date serial]]-tblWorkPackages[[#This Row],[Request date serial]]</f>
        <v>16</v>
      </c>
      <c r="AH2363" s="65">
        <f>IFERROR(INDEX(tblParts[Delay days],MATCH(tblWorkPackages[[#This Row],[Work package ID]],tblParts[Work package ID],0)),0)</f>
        <v>0</v>
      </c>
      <c r="AI2363" s="51" t="str">
        <f>IFERROR(INDEX(tblDisruptions[Event type],MATCH(tblWorkPackages[[#This Row],[Work package ID]],tblDisruptions[Work package ID],0)),"None")</f>
        <v>None</v>
      </c>
      <c r="AJ2363" s="51" t="str">
        <f>TEXT(tblWorkPackages[[#This Row],[Due date serial]],"yyyy-mm")</f>
        <v>2025-06</v>
      </c>
    </row>
    <row r="2364" spans="1:36" ht="15" x14ac:dyDescent="0.25">
      <c r="A2364" s="53" t="s">
        <v>3282</v>
      </c>
      <c r="B2364" s="53" t="s">
        <v>150</v>
      </c>
      <c r="C2364" s="53" t="s">
        <v>808</v>
      </c>
      <c r="D2364" s="53" t="s">
        <v>179</v>
      </c>
      <c r="E2364" s="53" t="s">
        <v>272</v>
      </c>
      <c r="F2364" s="53" t="s">
        <v>145</v>
      </c>
      <c r="G2364" s="53" t="s">
        <v>273</v>
      </c>
      <c r="H2364" s="53">
        <v>3</v>
      </c>
      <c r="I2364" s="53" t="s">
        <v>130</v>
      </c>
      <c r="J2364" s="53">
        <v>0</v>
      </c>
      <c r="K2364" s="53">
        <v>1</v>
      </c>
      <c r="L2364" s="53">
        <v>18.100000000000001</v>
      </c>
      <c r="M2364" s="53" t="s">
        <v>1004</v>
      </c>
      <c r="N2364" s="53">
        <v>14.1</v>
      </c>
      <c r="O2364" s="51" t="str">
        <f>TEXT(tblWorkPackages[[#This Row],[Request date serial]]-WEEKDAY(tblWorkPackages[[#This Row],[Request date serial]],3),"yyyy-mm-dd")</f>
        <v>2025-04-28</v>
      </c>
      <c r="P2364" s="51">
        <f>ABS(tblWorkPackages[[#This Row],[Actual labor hours]]-tblWorkPackages[[#This Row],[Estimated labor hours]])</f>
        <v>4</v>
      </c>
      <c r="Q2364" s="51">
        <f>IF(tblWorkPackages[[#This Row],[Actual labor hours]]&gt;tblWorkPackages[[#This Row],[Estimated labor hours]],1,0)</f>
        <v>0</v>
      </c>
      <c r="R2364" s="51">
        <f>tblWorkPackages[[#This Row],[Actual labor hours]]-tblWorkPackages[[#This Row],[Estimated labor hours]]</f>
        <v>-4</v>
      </c>
      <c r="S2364" s="51" t="str">
        <f>IF(tblWorkPackages[[#This Row],[Request date serial]]&lt;ValidationStart,"Train 2024",IF(tblWorkPackages[[#This Row],[Request date serial]]&lt;HoldoutStart,"Validation H1","Holdout H2"))</f>
        <v>Validation H1</v>
      </c>
      <c r="T2364" s="51">
        <f>IF(tblWorkPackages[[#This Row],[Time split]]="Train 2024","",tblWorkPackages[[#This Row],[Estimated labor hours]]+VLOOKUP(tblWorkPackages[[#This Row],[Task type]],'Forecast validation'!$A$14:$E$25,IF(tblWorkPackages[[#This Row],[Time split]]="Validation H1",4,5),FALSE()))</f>
        <v>19.1320512820513</v>
      </c>
      <c r="U2364" s="51">
        <f>IF(tblWorkPackages[[#This Row],[Calibrated forecast hours]]="","",ABS(tblWorkPackages[[#This Row],[Actual labor hours]]-tblWorkPackages[[#This Row],[Calibrated forecast hours]]))</f>
        <v>5.03205128205128</v>
      </c>
      <c r="V2364" s="51">
        <f>IF(tblWorkPackages[[#This Row],[Time split]]="Train 2024",tblWorkPackages[[#This Row],[Estimated labor hours]],tblWorkPackages[[#This Row],[Calibrated forecast hours]])</f>
        <v>19.1320512820513</v>
      </c>
      <c r="W2364" s="64">
        <f>DATEVALUE(tblWorkPackages[[#This Row],[Request date]])</f>
        <v>45779.0</v>
      </c>
      <c r="X2364" s="64">
        <f>DATEVALUE(tblWorkPackages[[#This Row],[Due date]])</f>
        <v>45792.0</v>
      </c>
      <c r="Y2364" s="64">
        <f>DATEVALUE(tblWorkPackages[[#This Row],[Completion date]])</f>
        <v>45785.0</v>
      </c>
      <c r="Z2364" s="64">
        <f>_xlfn.MINIFS(tblLaborEntries[Work date serial],tblLaborEntries[Work package ID],tblWorkPackages[[#This Row],[Work package ID]])</f>
        <v>45783.0</v>
      </c>
      <c r="AA2364" s="64">
        <f>_xlfn.MAXIFS(tblLaborEntries[Work date serial],tblLaborEntries[Work package ID],tblWorkPackages[[#This Row],[Work package ID]])</f>
        <v>45783.0</v>
      </c>
      <c r="AB2364" s="65">
        <f>IF(tblWorkPackages[[#This Row],[Completion date serial]]&gt;tblWorkPackages[[#This Row],[Due date serial]],1,0)</f>
        <v>0</v>
      </c>
      <c r="AC2364" s="65">
        <f>MAX(0,tblWorkPackages[[#This Row],[Completion date serial]]-tblWorkPackages[[#This Row],[Due date serial]])</f>
        <v>0</v>
      </c>
      <c r="AD2364" s="65">
        <f>tblWorkPackages[[#This Row],[First labor date]]-tblWorkPackages[[#This Row],[Request date serial]]</f>
        <v>4</v>
      </c>
      <c r="AE2364" s="65">
        <f>tblWorkPackages[[#This Row],[Last labor date]]-tblWorkPackages[[#This Row],[First labor date]]</f>
        <v>0</v>
      </c>
      <c r="AF2364" s="65">
        <f>tblWorkPackages[[#This Row],[Completion date serial]]-tblWorkPackages[[#This Row],[Last labor date]]</f>
        <v>2</v>
      </c>
      <c r="AG2364" s="65">
        <f>tblWorkPackages[[#This Row],[Completion date serial]]-tblWorkPackages[[#This Row],[Request date serial]]</f>
        <v>6</v>
      </c>
      <c r="AH2364" s="65">
        <f>IFERROR(INDEX(tblParts[Delay days],MATCH(tblWorkPackages[[#This Row],[Work package ID]],tblParts[Work package ID],0)),0)</f>
        <v>0</v>
      </c>
      <c r="AI2364" s="51" t="str">
        <f>IFERROR(INDEX(tblDisruptions[Event type],MATCH(tblWorkPackages[[#This Row],[Work package ID]],tblDisruptions[Work package ID],0)),"None")</f>
        <v>None</v>
      </c>
      <c r="AJ2364" s="51" t="str">
        <f>TEXT(tblWorkPackages[[#This Row],[Due date serial]],"yyyy-mm")</f>
        <v>2025-05</v>
      </c>
    </row>
    <row r="2365" spans="1:36" ht="15" x14ac:dyDescent="0.25">
      <c r="A2365" s="53" t="s">
        <v>3283</v>
      </c>
      <c r="B2365" s="53" t="s">
        <v>141</v>
      </c>
      <c r="C2365" s="53" t="s">
        <v>1036</v>
      </c>
      <c r="D2365" s="53" t="s">
        <v>424</v>
      </c>
      <c r="E2365" s="53" t="s">
        <v>181</v>
      </c>
      <c r="F2365" s="53" t="s">
        <v>182</v>
      </c>
      <c r="G2365" s="53" t="s">
        <v>138</v>
      </c>
      <c r="H2365" s="53">
        <v>1</v>
      </c>
      <c r="I2365" s="53" t="s">
        <v>147</v>
      </c>
      <c r="J2365" s="53">
        <v>0</v>
      </c>
      <c r="K2365" s="53">
        <v>0</v>
      </c>
      <c r="L2365" s="53">
        <v>5.3</v>
      </c>
      <c r="M2365" s="53" t="s">
        <v>713</v>
      </c>
      <c r="N2365" s="53">
        <v>4.8</v>
      </c>
      <c r="O2365" s="51" t="str">
        <f>TEXT(tblWorkPackages[[#This Row],[Request date serial]]-WEEKDAY(tblWorkPackages[[#This Row],[Request date serial]],3),"yyyy-mm-dd")</f>
        <v>2025-06-09</v>
      </c>
      <c r="P2365" s="51">
        <f>ABS(tblWorkPackages[[#This Row],[Actual labor hours]]-tblWorkPackages[[#This Row],[Estimated labor hours]])</f>
        <v>0.5</v>
      </c>
      <c r="Q2365" s="51">
        <f>IF(tblWorkPackages[[#This Row],[Actual labor hours]]&gt;tblWorkPackages[[#This Row],[Estimated labor hours]],1,0)</f>
        <v>0</v>
      </c>
      <c r="R2365" s="51">
        <f>tblWorkPackages[[#This Row],[Actual labor hours]]-tblWorkPackages[[#This Row],[Estimated labor hours]]</f>
        <v>-0.5</v>
      </c>
      <c r="S2365" s="51" t="str">
        <f>IF(tblWorkPackages[[#This Row],[Request date serial]]&lt;ValidationStart,"Train 2024",IF(tblWorkPackages[[#This Row],[Request date serial]]&lt;HoldoutStart,"Validation H1","Holdout H2"))</f>
        <v>Validation H1</v>
      </c>
      <c r="T2365" s="51">
        <f>IF(tblWorkPackages[[#This Row],[Time split]]="Train 2024","",tblWorkPackages[[#This Row],[Estimated labor hours]]+VLOOKUP(tblWorkPackages[[#This Row],[Task type]],'Forecast validation'!$A$14:$E$25,IF(tblWorkPackages[[#This Row],[Time split]]="Validation H1",4,5),FALSE()))</f>
        <v>5.88409090909091</v>
      </c>
      <c r="U2365" s="51">
        <f>IF(tblWorkPackages[[#This Row],[Calibrated forecast hours]]="","",ABS(tblWorkPackages[[#This Row],[Actual labor hours]]-tblWorkPackages[[#This Row],[Calibrated forecast hours]]))</f>
        <v>1.08409090909091</v>
      </c>
      <c r="V2365" s="51">
        <f>IF(tblWorkPackages[[#This Row],[Time split]]="Train 2024",tblWorkPackages[[#This Row],[Estimated labor hours]],tblWorkPackages[[#This Row],[Calibrated forecast hours]])</f>
        <v>5.88409090909091</v>
      </c>
      <c r="W2365" s="64">
        <f>DATEVALUE(tblWorkPackages[[#This Row],[Request date]])</f>
        <v>45817.0</v>
      </c>
      <c r="X2365" s="64">
        <f>DATEVALUE(tblWorkPackages[[#This Row],[Due date]])</f>
        <v>45819.0</v>
      </c>
      <c r="Y2365" s="64">
        <f>DATEVALUE(tblWorkPackages[[#This Row],[Completion date]])</f>
        <v>45823.0</v>
      </c>
      <c r="Z2365" s="64">
        <f>_xlfn.MINIFS(tblLaborEntries[Work date serial],tblLaborEntries[Work package ID],tblWorkPackages[[#This Row],[Work package ID]])</f>
        <v>45818.0</v>
      </c>
      <c r="AA2365" s="64">
        <f>_xlfn.MAXIFS(tblLaborEntries[Work date serial],tblLaborEntries[Work package ID],tblWorkPackages[[#This Row],[Work package ID]])</f>
        <v>45820.0</v>
      </c>
      <c r="AB2365" s="65">
        <f>IF(tblWorkPackages[[#This Row],[Completion date serial]]&gt;tblWorkPackages[[#This Row],[Due date serial]],1,0)</f>
        <v>1</v>
      </c>
      <c r="AC2365" s="65">
        <f>MAX(0,tblWorkPackages[[#This Row],[Completion date serial]]-tblWorkPackages[[#This Row],[Due date serial]])</f>
        <v>4</v>
      </c>
      <c r="AD2365" s="65">
        <f>tblWorkPackages[[#This Row],[First labor date]]-tblWorkPackages[[#This Row],[Request date serial]]</f>
        <v>1</v>
      </c>
      <c r="AE2365" s="65">
        <f>tblWorkPackages[[#This Row],[Last labor date]]-tblWorkPackages[[#This Row],[First labor date]]</f>
        <v>2</v>
      </c>
      <c r="AF2365" s="65">
        <f>tblWorkPackages[[#This Row],[Completion date serial]]-tblWorkPackages[[#This Row],[Last labor date]]</f>
        <v>3</v>
      </c>
      <c r="AG2365" s="65">
        <f>tblWorkPackages[[#This Row],[Completion date serial]]-tblWorkPackages[[#This Row],[Request date serial]]</f>
        <v>6</v>
      </c>
      <c r="AH2365" s="65">
        <f>IFERROR(INDEX(tblParts[Delay days],MATCH(tblWorkPackages[[#This Row],[Work package ID]],tblParts[Work package ID],0)),0)</f>
        <v>0</v>
      </c>
      <c r="AI2365" s="51" t="str">
        <f>IFERROR(INDEX(tblDisruptions[Event type],MATCH(tblWorkPackages[[#This Row],[Work package ID]],tblDisruptions[Work package ID],0)),"None")</f>
        <v>None</v>
      </c>
      <c r="AJ2365" s="51" t="str">
        <f>TEXT(tblWorkPackages[[#This Row],[Due date serial]],"yyyy-mm")</f>
        <v>2025-06</v>
      </c>
    </row>
    <row r="2366" spans="1:36" ht="15" x14ac:dyDescent="0.25">
      <c r="A2366" s="53" t="s">
        <v>3284</v>
      </c>
      <c r="B2366" s="53" t="s">
        <v>141</v>
      </c>
      <c r="C2366" s="53" t="s">
        <v>1148</v>
      </c>
      <c r="D2366" s="53" t="s">
        <v>1166</v>
      </c>
      <c r="E2366" s="53" t="s">
        <v>144</v>
      </c>
      <c r="F2366" s="53" t="s">
        <v>145</v>
      </c>
      <c r="G2366" s="53" t="s">
        <v>146</v>
      </c>
      <c r="H2366" s="53">
        <v>1</v>
      </c>
      <c r="I2366" s="53" t="s">
        <v>130</v>
      </c>
      <c r="J2366" s="53">
        <v>0</v>
      </c>
      <c r="K2366" s="53">
        <v>0</v>
      </c>
      <c r="L2366" s="53">
        <v>6.8</v>
      </c>
      <c r="M2366" s="53" t="s">
        <v>696</v>
      </c>
      <c r="N2366" s="53">
        <v>7.3</v>
      </c>
      <c r="O2366" s="51" t="str">
        <f>TEXT(tblWorkPackages[[#This Row],[Request date serial]]-WEEKDAY(tblWorkPackages[[#This Row],[Request date serial]],3),"yyyy-mm-dd")</f>
        <v>2025-01-20</v>
      </c>
      <c r="P2366" s="51">
        <f>ABS(tblWorkPackages[[#This Row],[Actual labor hours]]-tblWorkPackages[[#This Row],[Estimated labor hours]])</f>
        <v>0.5</v>
      </c>
      <c r="Q2366" s="51">
        <f>IF(tblWorkPackages[[#This Row],[Actual labor hours]]&gt;tblWorkPackages[[#This Row],[Estimated labor hours]],1,0)</f>
        <v>1</v>
      </c>
      <c r="R2366" s="51">
        <f>tblWorkPackages[[#This Row],[Actual labor hours]]-tblWorkPackages[[#This Row],[Estimated labor hours]]</f>
        <v>0.5</v>
      </c>
      <c r="S2366" s="51" t="str">
        <f>IF(tblWorkPackages[[#This Row],[Request date serial]]&lt;ValidationStart,"Train 2024",IF(tblWorkPackages[[#This Row],[Request date serial]]&lt;HoldoutStart,"Validation H1","Holdout H2"))</f>
        <v>Validation H1</v>
      </c>
      <c r="T2366" s="51">
        <f>IF(tblWorkPackages[[#This Row],[Time split]]="Train 2024","",tblWorkPackages[[#This Row],[Estimated labor hours]]+VLOOKUP(tblWorkPackages[[#This Row],[Task type]],'Forecast validation'!$A$14:$E$25,IF(tblWorkPackages[[#This Row],[Time split]]="Validation H1",4,5),FALSE()))</f>
        <v>7.55473684210526</v>
      </c>
      <c r="U2366" s="51">
        <f>IF(tblWorkPackages[[#This Row],[Calibrated forecast hours]]="","",ABS(tblWorkPackages[[#This Row],[Actual labor hours]]-tblWorkPackages[[#This Row],[Calibrated forecast hours]]))</f>
        <v>0.254736842105263</v>
      </c>
      <c r="V2366" s="51">
        <f>IF(tblWorkPackages[[#This Row],[Time split]]="Train 2024",tblWorkPackages[[#This Row],[Estimated labor hours]],tblWorkPackages[[#This Row],[Calibrated forecast hours]])</f>
        <v>7.55473684210526</v>
      </c>
      <c r="W2366" s="64">
        <f>DATEVALUE(tblWorkPackages[[#This Row],[Request date]])</f>
        <v>45678.0</v>
      </c>
      <c r="X2366" s="64">
        <f>DATEVALUE(tblWorkPackages[[#This Row],[Due date]])</f>
        <v>45691.0</v>
      </c>
      <c r="Y2366" s="64">
        <f>DATEVALUE(tblWorkPackages[[#This Row],[Completion date]])</f>
        <v>45690.0</v>
      </c>
      <c r="Z2366" s="64">
        <f>_xlfn.MINIFS(tblLaborEntries[Work date serial],tblLaborEntries[Work package ID],tblWorkPackages[[#This Row],[Work package ID]])</f>
        <v>45688.0</v>
      </c>
      <c r="AA2366" s="64">
        <f>_xlfn.MAXIFS(tblLaborEntries[Work date serial],tblLaborEntries[Work package ID],tblWorkPackages[[#This Row],[Work package ID]])</f>
        <v>45690.0</v>
      </c>
      <c r="AB2366" s="65">
        <f>IF(tblWorkPackages[[#This Row],[Completion date serial]]&gt;tblWorkPackages[[#This Row],[Due date serial]],1,0)</f>
        <v>0</v>
      </c>
      <c r="AC2366" s="65">
        <f>MAX(0,tblWorkPackages[[#This Row],[Completion date serial]]-tblWorkPackages[[#This Row],[Due date serial]])</f>
        <v>0</v>
      </c>
      <c r="AD2366" s="65">
        <f>tblWorkPackages[[#This Row],[First labor date]]-tblWorkPackages[[#This Row],[Request date serial]]</f>
        <v>10</v>
      </c>
      <c r="AE2366" s="65">
        <f>tblWorkPackages[[#This Row],[Last labor date]]-tblWorkPackages[[#This Row],[First labor date]]</f>
        <v>2</v>
      </c>
      <c r="AF2366" s="65">
        <f>tblWorkPackages[[#This Row],[Completion date serial]]-tblWorkPackages[[#This Row],[Last labor date]]</f>
        <v>0</v>
      </c>
      <c r="AG2366" s="65">
        <f>tblWorkPackages[[#This Row],[Completion date serial]]-tblWorkPackages[[#This Row],[Request date serial]]</f>
        <v>12</v>
      </c>
      <c r="AH2366" s="65">
        <f>IFERROR(INDEX(tblParts[Delay days],MATCH(tblWorkPackages[[#This Row],[Work package ID]],tblParts[Work package ID],0)),0)</f>
        <v>0</v>
      </c>
      <c r="AI2366" s="51" t="str">
        <f>IFERROR(INDEX(tblDisruptions[Event type],MATCH(tblWorkPackages[[#This Row],[Work package ID]],tblDisruptions[Work package ID],0)),"None")</f>
        <v>None</v>
      </c>
      <c r="AJ2366" s="51" t="str">
        <f>TEXT(tblWorkPackages[[#This Row],[Due date serial]],"yyyy-mm")</f>
        <v>2025-02</v>
      </c>
    </row>
    <row r="2367" spans="1:36" ht="15" x14ac:dyDescent="0.25">
      <c r="A2367" s="53" t="s">
        <v>3285</v>
      </c>
      <c r="B2367" s="53" t="s">
        <v>168</v>
      </c>
      <c r="C2367" s="53" t="s">
        <v>504</v>
      </c>
      <c r="D2367" s="53" t="s">
        <v>505</v>
      </c>
      <c r="E2367" s="53" t="s">
        <v>223</v>
      </c>
      <c r="F2367" s="53" t="s">
        <v>182</v>
      </c>
      <c r="G2367" s="53" t="s">
        <v>154</v>
      </c>
      <c r="H2367" s="53">
        <v>4</v>
      </c>
      <c r="I2367" s="53" t="s">
        <v>130</v>
      </c>
      <c r="J2367" s="53">
        <v>0</v>
      </c>
      <c r="K2367" s="53">
        <v>1</v>
      </c>
      <c r="L2367" s="53">
        <v>24.7</v>
      </c>
      <c r="M2367" s="53" t="s">
        <v>383</v>
      </c>
      <c r="N2367" s="53">
        <v>27.2</v>
      </c>
      <c r="O2367" s="51" t="str">
        <f>TEXT(tblWorkPackages[[#This Row],[Request date serial]]-WEEKDAY(tblWorkPackages[[#This Row],[Request date serial]],3),"yyyy-mm-dd")</f>
        <v>2025-01-27</v>
      </c>
      <c r="P2367" s="51">
        <f>ABS(tblWorkPackages[[#This Row],[Actual labor hours]]-tblWorkPackages[[#This Row],[Estimated labor hours]])</f>
        <v>2.5</v>
      </c>
      <c r="Q2367" s="51">
        <f>IF(tblWorkPackages[[#This Row],[Actual labor hours]]&gt;tblWorkPackages[[#This Row],[Estimated labor hours]],1,0)</f>
        <v>1</v>
      </c>
      <c r="R2367" s="51">
        <f>tblWorkPackages[[#This Row],[Actual labor hours]]-tblWorkPackages[[#This Row],[Estimated labor hours]]</f>
        <v>2.5</v>
      </c>
      <c r="S2367" s="51" t="str">
        <f>IF(tblWorkPackages[[#This Row],[Request date serial]]&lt;ValidationStart,"Train 2024",IF(tblWorkPackages[[#This Row],[Request date serial]]&lt;HoldoutStart,"Validation H1","Holdout H2"))</f>
        <v>Validation H1</v>
      </c>
      <c r="T2367" s="51">
        <f>IF(tblWorkPackages[[#This Row],[Time split]]="Train 2024","",tblWorkPackages[[#This Row],[Estimated labor hours]]+VLOOKUP(tblWorkPackages[[#This Row],[Task type]],'Forecast validation'!$A$14:$E$25,IF(tblWorkPackages[[#This Row],[Time split]]="Validation H1",4,5),FALSE()))</f>
        <v>25.5824175824176</v>
      </c>
      <c r="U2367" s="51">
        <f>IF(tblWorkPackages[[#This Row],[Calibrated forecast hours]]="","",ABS(tblWorkPackages[[#This Row],[Actual labor hours]]-tblWorkPackages[[#This Row],[Calibrated forecast hours]]))</f>
        <v>1.61758241758242</v>
      </c>
      <c r="V2367" s="51">
        <f>IF(tblWorkPackages[[#This Row],[Time split]]="Train 2024",tblWorkPackages[[#This Row],[Estimated labor hours]],tblWorkPackages[[#This Row],[Calibrated forecast hours]])</f>
        <v>25.5824175824176</v>
      </c>
      <c r="W2367" s="64">
        <f>DATEVALUE(tblWorkPackages[[#This Row],[Request date]])</f>
        <v>45689.0</v>
      </c>
      <c r="X2367" s="64">
        <f>DATEVALUE(tblWorkPackages[[#This Row],[Due date]])</f>
        <v>45702.0</v>
      </c>
      <c r="Y2367" s="64">
        <f>DATEVALUE(tblWorkPackages[[#This Row],[Completion date]])</f>
        <v>45693.0</v>
      </c>
      <c r="Z2367" s="64">
        <f>_xlfn.MINIFS(tblLaborEntries[Work date serial],tblLaborEntries[Work package ID],tblWorkPackages[[#This Row],[Work package ID]])</f>
        <v>45692.0</v>
      </c>
      <c r="AA2367" s="64">
        <f>_xlfn.MAXIFS(tblLaborEntries[Work date serial],tblLaborEntries[Work package ID],tblWorkPackages[[#This Row],[Work package ID]])</f>
        <v>45692.0</v>
      </c>
      <c r="AB2367" s="65">
        <f>IF(tblWorkPackages[[#This Row],[Completion date serial]]&gt;tblWorkPackages[[#This Row],[Due date serial]],1,0)</f>
        <v>0</v>
      </c>
      <c r="AC2367" s="65">
        <f>MAX(0,tblWorkPackages[[#This Row],[Completion date serial]]-tblWorkPackages[[#This Row],[Due date serial]])</f>
        <v>0</v>
      </c>
      <c r="AD2367" s="65">
        <f>tblWorkPackages[[#This Row],[First labor date]]-tblWorkPackages[[#This Row],[Request date serial]]</f>
        <v>3</v>
      </c>
      <c r="AE2367" s="65">
        <f>tblWorkPackages[[#This Row],[Last labor date]]-tblWorkPackages[[#This Row],[First labor date]]</f>
        <v>0</v>
      </c>
      <c r="AF2367" s="65">
        <f>tblWorkPackages[[#This Row],[Completion date serial]]-tblWorkPackages[[#This Row],[Last labor date]]</f>
        <v>1</v>
      </c>
      <c r="AG2367" s="65">
        <f>tblWorkPackages[[#This Row],[Completion date serial]]-tblWorkPackages[[#This Row],[Request date serial]]</f>
        <v>4</v>
      </c>
      <c r="AH2367" s="65">
        <f>IFERROR(INDEX(tblParts[Delay days],MATCH(tblWorkPackages[[#This Row],[Work package ID]],tblParts[Work package ID],0)),0)</f>
        <v>0</v>
      </c>
      <c r="AI2367" s="51" t="str">
        <f>IFERROR(INDEX(tblDisruptions[Event type],MATCH(tblWorkPackages[[#This Row],[Work package ID]],tblDisruptions[Work package ID],0)),"None")</f>
        <v>None</v>
      </c>
      <c r="AJ2367" s="51" t="str">
        <f>TEXT(tblWorkPackages[[#This Row],[Due date serial]],"yyyy-mm")</f>
        <v>2025-02</v>
      </c>
    </row>
    <row r="2368" spans="1:36" ht="15" x14ac:dyDescent="0.25">
      <c r="A2368" s="53" t="s">
        <v>3286</v>
      </c>
      <c r="B2368" s="53" t="s">
        <v>157</v>
      </c>
      <c r="C2368" s="53" t="s">
        <v>159</v>
      </c>
      <c r="D2368" s="53" t="s">
        <v>394</v>
      </c>
      <c r="E2368" s="53" t="s">
        <v>223</v>
      </c>
      <c r="F2368" s="53" t="s">
        <v>182</v>
      </c>
      <c r="G2368" s="53" t="s">
        <v>154</v>
      </c>
      <c r="H2368" s="53">
        <v>2</v>
      </c>
      <c r="I2368" s="53" t="s">
        <v>176</v>
      </c>
      <c r="J2368" s="53">
        <v>0</v>
      </c>
      <c r="K2368" s="53">
        <v>0</v>
      </c>
      <c r="L2368" s="53">
        <v>10.8</v>
      </c>
      <c r="M2368" s="53" t="s">
        <v>587</v>
      </c>
      <c r="N2368" s="53">
        <v>9.9</v>
      </c>
      <c r="O2368" s="51" t="str">
        <f>TEXT(tblWorkPackages[[#This Row],[Request date serial]]-WEEKDAY(tblWorkPackages[[#This Row],[Request date serial]],3),"yyyy-mm-dd")</f>
        <v>2024-12-09</v>
      </c>
      <c r="P2368" s="51">
        <f>ABS(tblWorkPackages[[#This Row],[Actual labor hours]]-tblWorkPackages[[#This Row],[Estimated labor hours]])</f>
        <v>0.9</v>
      </c>
      <c r="Q2368" s="51">
        <f>IF(tblWorkPackages[[#This Row],[Actual labor hours]]&gt;tblWorkPackages[[#This Row],[Estimated labor hours]],1,0)</f>
        <v>0</v>
      </c>
      <c r="R2368" s="51">
        <f>tblWorkPackages[[#This Row],[Actual labor hours]]-tblWorkPackages[[#This Row],[Estimated labor hours]]</f>
        <v>-0.9</v>
      </c>
      <c r="S2368" s="51" t="str">
        <f>IF(tblWorkPackages[[#This Row],[Request date serial]]&lt;ValidationStart,"Train 2024",IF(tblWorkPackages[[#This Row],[Request date serial]]&lt;HoldoutStart,"Validation H1","Holdout H2"))</f>
        <v>Train 2024</v>
      </c>
      <c r="T2368" s="51" t="str">
        <f>IF(tblWorkPackages[[#This Row],[Time split]]="Train 2024","",tblWorkPackages[[#This Row],[Estimated labor hours]]+VLOOKUP(tblWorkPackages[[#This Row],[Task type]],'Forecast validation'!$A$14:$E$25,IF(tblWorkPackages[[#This Row],[Time split]]="Validation H1",4,5),FALSE()))</f>
        <v/>
      </c>
      <c r="U2368" s="51" t="str">
        <f>IF(tblWorkPackages[[#This Row],[Calibrated forecast hours]]="","",ABS(tblWorkPackages[[#This Row],[Actual labor hours]]-tblWorkPackages[[#This Row],[Calibrated forecast hours]]))</f>
        <v/>
      </c>
      <c r="V2368" s="51">
        <f>IF(tblWorkPackages[[#This Row],[Time split]]="Train 2024",tblWorkPackages[[#This Row],[Estimated labor hours]],tblWorkPackages[[#This Row],[Calibrated forecast hours]])</f>
        <v>10.8</v>
      </c>
      <c r="W2368" s="64">
        <f>DATEVALUE(tblWorkPackages[[#This Row],[Request date]])</f>
        <v>45640.0</v>
      </c>
      <c r="X2368" s="64">
        <f>DATEVALUE(tblWorkPackages[[#This Row],[Due date]])</f>
        <v>45646.0</v>
      </c>
      <c r="Y2368" s="64">
        <f>DATEVALUE(tblWorkPackages[[#This Row],[Completion date]])</f>
        <v>45671.0</v>
      </c>
      <c r="Z2368" s="64">
        <f>_xlfn.MINIFS(tblLaborEntries[Work date serial],tblLaborEntries[Work package ID],tblWorkPackages[[#This Row],[Work package ID]])</f>
        <v>45668.0</v>
      </c>
      <c r="AA2368" s="64">
        <f>_xlfn.MAXIFS(tblLaborEntries[Work date serial],tblLaborEntries[Work package ID],tblWorkPackages[[#This Row],[Work package ID]])</f>
        <v>45669.0</v>
      </c>
      <c r="AB2368" s="65">
        <f>IF(tblWorkPackages[[#This Row],[Completion date serial]]&gt;tblWorkPackages[[#This Row],[Due date serial]],1,0)</f>
        <v>1</v>
      </c>
      <c r="AC2368" s="65">
        <f>MAX(0,tblWorkPackages[[#This Row],[Completion date serial]]-tblWorkPackages[[#This Row],[Due date serial]])</f>
        <v>25</v>
      </c>
      <c r="AD2368" s="65">
        <f>tblWorkPackages[[#This Row],[First labor date]]-tblWorkPackages[[#This Row],[Request date serial]]</f>
        <v>28</v>
      </c>
      <c r="AE2368" s="65">
        <f>tblWorkPackages[[#This Row],[Last labor date]]-tblWorkPackages[[#This Row],[First labor date]]</f>
        <v>1</v>
      </c>
      <c r="AF2368" s="65">
        <f>tblWorkPackages[[#This Row],[Completion date serial]]-tblWorkPackages[[#This Row],[Last labor date]]</f>
        <v>2</v>
      </c>
      <c r="AG2368" s="65">
        <f>tblWorkPackages[[#This Row],[Completion date serial]]-tblWorkPackages[[#This Row],[Request date serial]]</f>
        <v>31</v>
      </c>
      <c r="AH2368" s="65">
        <f>IFERROR(INDEX(tblParts[Delay days],MATCH(tblWorkPackages[[#This Row],[Work package ID]],tblParts[Work package ID],0)),0)</f>
        <v>0</v>
      </c>
      <c r="AI2368" s="51" t="str">
        <f>IFERROR(INDEX(tblDisruptions[Event type],MATCH(tblWorkPackages[[#This Row],[Work package ID]],tblDisruptions[Work package ID],0)),"None")</f>
        <v>None</v>
      </c>
      <c r="AJ2368" s="51" t="str">
        <f>TEXT(tblWorkPackages[[#This Row],[Due date serial]],"yyyy-mm")</f>
        <v>2024-12</v>
      </c>
    </row>
    <row r="2369" spans="1:36" ht="15" x14ac:dyDescent="0.25">
      <c r="A2369" s="53" t="s">
        <v>3287</v>
      </c>
      <c r="B2369" s="53" t="s">
        <v>133</v>
      </c>
      <c r="C2369" s="53" t="s">
        <v>443</v>
      </c>
      <c r="D2369" s="53" t="s">
        <v>1067</v>
      </c>
      <c r="E2369" s="53" t="s">
        <v>181</v>
      </c>
      <c r="F2369" s="53" t="s">
        <v>182</v>
      </c>
      <c r="G2369" s="53" t="s">
        <v>138</v>
      </c>
      <c r="H2369" s="53">
        <v>4</v>
      </c>
      <c r="I2369" s="53" t="s">
        <v>176</v>
      </c>
      <c r="J2369" s="53">
        <v>0</v>
      </c>
      <c r="K2369" s="53">
        <v>0</v>
      </c>
      <c r="L2369" s="53">
        <v>14.2</v>
      </c>
      <c r="M2369" s="53" t="s">
        <v>720</v>
      </c>
      <c r="N2369" s="53">
        <v>14.2</v>
      </c>
      <c r="O2369" s="51" t="str">
        <f>TEXT(tblWorkPackages[[#This Row],[Request date serial]]-WEEKDAY(tblWorkPackages[[#This Row],[Request date serial]],3),"yyyy-mm-dd")</f>
        <v>2024-02-26</v>
      </c>
      <c r="P2369" s="51">
        <f>ABS(tblWorkPackages[[#This Row],[Actual labor hours]]-tblWorkPackages[[#This Row],[Estimated labor hours]])</f>
        <v>0</v>
      </c>
      <c r="Q2369" s="51">
        <f>IF(tblWorkPackages[[#This Row],[Actual labor hours]]&gt;tblWorkPackages[[#This Row],[Estimated labor hours]],1,0)</f>
        <v>0</v>
      </c>
      <c r="R2369" s="51">
        <f>tblWorkPackages[[#This Row],[Actual labor hours]]-tblWorkPackages[[#This Row],[Estimated labor hours]]</f>
        <v>0</v>
      </c>
      <c r="S2369" s="51" t="str">
        <f>IF(tblWorkPackages[[#This Row],[Request date serial]]&lt;ValidationStart,"Train 2024",IF(tblWorkPackages[[#This Row],[Request date serial]]&lt;HoldoutStart,"Validation H1","Holdout H2"))</f>
        <v>Train 2024</v>
      </c>
      <c r="T2369" s="51" t="str">
        <f>IF(tblWorkPackages[[#This Row],[Time split]]="Train 2024","",tblWorkPackages[[#This Row],[Estimated labor hours]]+VLOOKUP(tblWorkPackages[[#This Row],[Task type]],'Forecast validation'!$A$14:$E$25,IF(tblWorkPackages[[#This Row],[Time split]]="Validation H1",4,5),FALSE()))</f>
        <v/>
      </c>
      <c r="U2369" s="51" t="str">
        <f>IF(tblWorkPackages[[#This Row],[Calibrated forecast hours]]="","",ABS(tblWorkPackages[[#This Row],[Actual labor hours]]-tblWorkPackages[[#This Row],[Calibrated forecast hours]]))</f>
        <v/>
      </c>
      <c r="V2369" s="51">
        <f>IF(tblWorkPackages[[#This Row],[Time split]]="Train 2024",tblWorkPackages[[#This Row],[Estimated labor hours]],tblWorkPackages[[#This Row],[Calibrated forecast hours]])</f>
        <v>14.2</v>
      </c>
      <c r="W2369" s="64">
        <f>DATEVALUE(tblWorkPackages[[#This Row],[Request date]])</f>
        <v>45351.0</v>
      </c>
      <c r="X2369" s="64">
        <f>DATEVALUE(tblWorkPackages[[#This Row],[Due date]])</f>
        <v>45357.0</v>
      </c>
      <c r="Y2369" s="64">
        <f>DATEVALUE(tblWorkPackages[[#This Row],[Completion date]])</f>
        <v>45359.0</v>
      </c>
      <c r="Z2369" s="64">
        <f>_xlfn.MINIFS(tblLaborEntries[Work date serial],tblLaborEntries[Work package ID],tblWorkPackages[[#This Row],[Work package ID]])</f>
        <v>45356.0</v>
      </c>
      <c r="AA2369" s="64">
        <f>_xlfn.MAXIFS(tblLaborEntries[Work date serial],tblLaborEntries[Work package ID],tblWorkPackages[[#This Row],[Work package ID]])</f>
        <v>45356.0</v>
      </c>
      <c r="AB2369" s="65">
        <f>IF(tblWorkPackages[[#This Row],[Completion date serial]]&gt;tblWorkPackages[[#This Row],[Due date serial]],1,0)</f>
        <v>1</v>
      </c>
      <c r="AC2369" s="65">
        <f>MAX(0,tblWorkPackages[[#This Row],[Completion date serial]]-tblWorkPackages[[#This Row],[Due date serial]])</f>
        <v>2</v>
      </c>
      <c r="AD2369" s="65">
        <f>tblWorkPackages[[#This Row],[First labor date]]-tblWorkPackages[[#This Row],[Request date serial]]</f>
        <v>5</v>
      </c>
      <c r="AE2369" s="65">
        <f>tblWorkPackages[[#This Row],[Last labor date]]-tblWorkPackages[[#This Row],[First labor date]]</f>
        <v>0</v>
      </c>
      <c r="AF2369" s="65">
        <f>tblWorkPackages[[#This Row],[Completion date serial]]-tblWorkPackages[[#This Row],[Last labor date]]</f>
        <v>3</v>
      </c>
      <c r="AG2369" s="65">
        <f>tblWorkPackages[[#This Row],[Completion date serial]]-tblWorkPackages[[#This Row],[Request date serial]]</f>
        <v>8</v>
      </c>
      <c r="AH2369" s="65">
        <f>IFERROR(INDEX(tblParts[Delay days],MATCH(tblWorkPackages[[#This Row],[Work package ID]],tblParts[Work package ID],0)),0)</f>
        <v>0</v>
      </c>
      <c r="AI2369" s="51" t="str">
        <f>IFERROR(INDEX(tblDisruptions[Event type],MATCH(tblWorkPackages[[#This Row],[Work package ID]],tblDisruptions[Work package ID],0)),"None")</f>
        <v>None</v>
      </c>
      <c r="AJ2369" s="51" t="str">
        <f>TEXT(tblWorkPackages[[#This Row],[Due date serial]],"yyyy-mm")</f>
        <v>2024-03</v>
      </c>
    </row>
    <row r="2370" spans="1:36" ht="15" x14ac:dyDescent="0.25">
      <c r="A2370" s="53" t="s">
        <v>3288</v>
      </c>
      <c r="B2370" s="53" t="s">
        <v>230</v>
      </c>
      <c r="C2370" s="53" t="s">
        <v>978</v>
      </c>
      <c r="D2370" s="53" t="s">
        <v>979</v>
      </c>
      <c r="E2370" s="53" t="s">
        <v>209</v>
      </c>
      <c r="F2370" s="53" t="s">
        <v>145</v>
      </c>
      <c r="G2370" s="53" t="s">
        <v>210</v>
      </c>
      <c r="H2370" s="53">
        <v>2</v>
      </c>
      <c r="I2370" s="53" t="s">
        <v>176</v>
      </c>
      <c r="J2370" s="53">
        <v>0</v>
      </c>
      <c r="K2370" s="53">
        <v>0</v>
      </c>
      <c r="L2370" s="53">
        <v>19.399999999999999</v>
      </c>
      <c r="M2370" s="53" t="s">
        <v>325</v>
      </c>
      <c r="N2370" s="53">
        <v>16.899999999999999</v>
      </c>
      <c r="O2370" s="51" t="str">
        <f>TEXT(tblWorkPackages[[#This Row],[Request date serial]]-WEEKDAY(tblWorkPackages[[#This Row],[Request date serial]],3),"yyyy-mm-dd")</f>
        <v>2025-10-27</v>
      </c>
      <c r="P2370" s="51">
        <f>ABS(tblWorkPackages[[#This Row],[Actual labor hours]]-tblWorkPackages[[#This Row],[Estimated labor hours]])</f>
        <v>2.5</v>
      </c>
      <c r="Q2370" s="51">
        <f>IF(tblWorkPackages[[#This Row],[Actual labor hours]]&gt;tblWorkPackages[[#This Row],[Estimated labor hours]],1,0)</f>
        <v>0</v>
      </c>
      <c r="R2370" s="51">
        <f>tblWorkPackages[[#This Row],[Actual labor hours]]-tblWorkPackages[[#This Row],[Estimated labor hours]]</f>
        <v>-2.5</v>
      </c>
      <c r="S2370" s="51" t="str">
        <f>IF(tblWorkPackages[[#This Row],[Request date serial]]&lt;ValidationStart,"Train 2024",IF(tblWorkPackages[[#This Row],[Request date serial]]&lt;HoldoutStart,"Validation H1","Holdout H2"))</f>
        <v>Holdout H2</v>
      </c>
      <c r="T2370" s="51">
        <f>IF(tblWorkPackages[[#This Row],[Time split]]="Train 2024","",tblWorkPackages[[#This Row],[Estimated labor hours]]+VLOOKUP(tblWorkPackages[[#This Row],[Task type]],'Forecast validation'!$A$14:$E$25,IF(tblWorkPackages[[#This Row],[Time split]]="Validation H1",4,5),FALSE()))</f>
        <v>21.195652173913</v>
      </c>
      <c r="U2370" s="51">
        <f>IF(tblWorkPackages[[#This Row],[Calibrated forecast hours]]="","",ABS(tblWorkPackages[[#This Row],[Actual labor hours]]-tblWorkPackages[[#This Row],[Calibrated forecast hours]]))</f>
        <v>4.29565217391304</v>
      </c>
      <c r="V2370" s="51">
        <f>IF(tblWorkPackages[[#This Row],[Time split]]="Train 2024",tblWorkPackages[[#This Row],[Estimated labor hours]],tblWorkPackages[[#This Row],[Calibrated forecast hours]])</f>
        <v>21.195652173913</v>
      </c>
      <c r="W2370" s="64">
        <f>DATEVALUE(tblWorkPackages[[#This Row],[Request date]])</f>
        <v>45959.0</v>
      </c>
      <c r="X2370" s="64">
        <f>DATEVALUE(tblWorkPackages[[#This Row],[Due date]])</f>
        <v>45965.0</v>
      </c>
      <c r="Y2370" s="64">
        <f>DATEVALUE(tblWorkPackages[[#This Row],[Completion date]])</f>
        <v>45962.0</v>
      </c>
      <c r="Z2370" s="64">
        <f>_xlfn.MINIFS(tblLaborEntries[Work date serial],tblLaborEntries[Work package ID],tblWorkPackages[[#This Row],[Work package ID]])</f>
        <v>45960.0</v>
      </c>
      <c r="AA2370" s="64">
        <f>_xlfn.MAXIFS(tblLaborEntries[Work date serial],tblLaborEntries[Work package ID],tblWorkPackages[[#This Row],[Work package ID]])</f>
        <v>45962.0</v>
      </c>
      <c r="AB2370" s="65">
        <f>IF(tblWorkPackages[[#This Row],[Completion date serial]]&gt;tblWorkPackages[[#This Row],[Due date serial]],1,0)</f>
        <v>0</v>
      </c>
      <c r="AC2370" s="65">
        <f>MAX(0,tblWorkPackages[[#This Row],[Completion date serial]]-tblWorkPackages[[#This Row],[Due date serial]])</f>
        <v>0</v>
      </c>
      <c r="AD2370" s="65">
        <f>tblWorkPackages[[#This Row],[First labor date]]-tblWorkPackages[[#This Row],[Request date serial]]</f>
        <v>1</v>
      </c>
      <c r="AE2370" s="65">
        <f>tblWorkPackages[[#This Row],[Last labor date]]-tblWorkPackages[[#This Row],[First labor date]]</f>
        <v>2</v>
      </c>
      <c r="AF2370" s="65">
        <f>tblWorkPackages[[#This Row],[Completion date serial]]-tblWorkPackages[[#This Row],[Last labor date]]</f>
        <v>0</v>
      </c>
      <c r="AG2370" s="65">
        <f>tblWorkPackages[[#This Row],[Completion date serial]]-tblWorkPackages[[#This Row],[Request date serial]]</f>
        <v>3</v>
      </c>
      <c r="AH2370" s="65">
        <f>IFERROR(INDEX(tblParts[Delay days],MATCH(tblWorkPackages[[#This Row],[Work package ID]],tblParts[Work package ID],0)),0)</f>
        <v>0</v>
      </c>
      <c r="AI2370" s="51" t="str">
        <f>IFERROR(INDEX(tblDisruptions[Event type],MATCH(tblWorkPackages[[#This Row],[Work package ID]],tblDisruptions[Work package ID],0)),"None")</f>
        <v>None</v>
      </c>
      <c r="AJ2370" s="51" t="str">
        <f>TEXT(tblWorkPackages[[#This Row],[Due date serial]],"yyyy-mm")</f>
        <v>2025-11</v>
      </c>
    </row>
    <row r="2371" spans="1:36" ht="15" x14ac:dyDescent="0.25">
      <c r="A2371" s="53" t="s">
        <v>3289</v>
      </c>
      <c r="B2371" s="53" t="s">
        <v>168</v>
      </c>
      <c r="C2371" s="53" t="s">
        <v>634</v>
      </c>
      <c r="D2371" s="53" t="s">
        <v>865</v>
      </c>
      <c r="E2371" s="53" t="s">
        <v>237</v>
      </c>
      <c r="F2371" s="53" t="s">
        <v>182</v>
      </c>
      <c r="G2371" s="53" t="s">
        <v>138</v>
      </c>
      <c r="H2371" s="53">
        <v>1</v>
      </c>
      <c r="I2371" s="53" t="s">
        <v>130</v>
      </c>
      <c r="J2371" s="53">
        <v>0</v>
      </c>
      <c r="K2371" s="53">
        <v>1</v>
      </c>
      <c r="L2371" s="53">
        <v>3.9</v>
      </c>
      <c r="M2371" s="53" t="s">
        <v>762</v>
      </c>
      <c r="N2371" s="53">
        <v>4.7</v>
      </c>
      <c r="O2371" s="51" t="str">
        <f>TEXT(tblWorkPackages[[#This Row],[Request date serial]]-WEEKDAY(tblWorkPackages[[#This Row],[Request date serial]],3),"yyyy-mm-dd")</f>
        <v>2024-05-20</v>
      </c>
      <c r="P2371" s="51">
        <f>ABS(tblWorkPackages[[#This Row],[Actual labor hours]]-tblWorkPackages[[#This Row],[Estimated labor hours]])</f>
        <v>0.8</v>
      </c>
      <c r="Q2371" s="51">
        <f>IF(tblWorkPackages[[#This Row],[Actual labor hours]]&gt;tblWorkPackages[[#This Row],[Estimated labor hours]],1,0)</f>
        <v>1</v>
      </c>
      <c r="R2371" s="51">
        <f>tblWorkPackages[[#This Row],[Actual labor hours]]-tblWorkPackages[[#This Row],[Estimated labor hours]]</f>
        <v>0.8</v>
      </c>
      <c r="S2371" s="51" t="str">
        <f>IF(tblWorkPackages[[#This Row],[Request date serial]]&lt;ValidationStart,"Train 2024",IF(tblWorkPackages[[#This Row],[Request date serial]]&lt;HoldoutStart,"Validation H1","Holdout H2"))</f>
        <v>Train 2024</v>
      </c>
      <c r="T2371" s="51" t="str">
        <f>IF(tblWorkPackages[[#This Row],[Time split]]="Train 2024","",tblWorkPackages[[#This Row],[Estimated labor hours]]+VLOOKUP(tblWorkPackages[[#This Row],[Task type]],'Forecast validation'!$A$14:$E$25,IF(tblWorkPackages[[#This Row],[Time split]]="Validation H1",4,5),FALSE()))</f>
        <v/>
      </c>
      <c r="U2371" s="51" t="str">
        <f>IF(tblWorkPackages[[#This Row],[Calibrated forecast hours]]="","",ABS(tblWorkPackages[[#This Row],[Actual labor hours]]-tblWorkPackages[[#This Row],[Calibrated forecast hours]]))</f>
        <v/>
      </c>
      <c r="V2371" s="51">
        <f>IF(tblWorkPackages[[#This Row],[Time split]]="Train 2024",tblWorkPackages[[#This Row],[Estimated labor hours]],tblWorkPackages[[#This Row],[Calibrated forecast hours]])</f>
        <v>3.9</v>
      </c>
      <c r="W2371" s="64">
        <f>DATEVALUE(tblWorkPackages[[#This Row],[Request date]])</f>
        <v>45438.0</v>
      </c>
      <c r="X2371" s="64">
        <f>DATEVALUE(tblWorkPackages[[#This Row],[Due date]])</f>
        <v>45451.0</v>
      </c>
      <c r="Y2371" s="64">
        <f>DATEVALUE(tblWorkPackages[[#This Row],[Completion date]])</f>
        <v>45452.0</v>
      </c>
      <c r="Z2371" s="64">
        <f>_xlfn.MINIFS(tblLaborEntries[Work date serial],tblLaborEntries[Work package ID],tblWorkPackages[[#This Row],[Work package ID]])</f>
        <v>45451.0</v>
      </c>
      <c r="AA2371" s="64">
        <f>_xlfn.MAXIFS(tblLaborEntries[Work date serial],tblLaborEntries[Work package ID],tblWorkPackages[[#This Row],[Work package ID]])</f>
        <v>45451.0</v>
      </c>
      <c r="AB2371" s="65">
        <f>IF(tblWorkPackages[[#This Row],[Completion date serial]]&gt;tblWorkPackages[[#This Row],[Due date serial]],1,0)</f>
        <v>1</v>
      </c>
      <c r="AC2371" s="65">
        <f>MAX(0,tblWorkPackages[[#This Row],[Completion date serial]]-tblWorkPackages[[#This Row],[Due date serial]])</f>
        <v>1</v>
      </c>
      <c r="AD2371" s="65">
        <f>tblWorkPackages[[#This Row],[First labor date]]-tblWorkPackages[[#This Row],[Request date serial]]</f>
        <v>13</v>
      </c>
      <c r="AE2371" s="65">
        <f>tblWorkPackages[[#This Row],[Last labor date]]-tblWorkPackages[[#This Row],[First labor date]]</f>
        <v>0</v>
      </c>
      <c r="AF2371" s="65">
        <f>tblWorkPackages[[#This Row],[Completion date serial]]-tblWorkPackages[[#This Row],[Last labor date]]</f>
        <v>1</v>
      </c>
      <c r="AG2371" s="65">
        <f>tblWorkPackages[[#This Row],[Completion date serial]]-tblWorkPackages[[#This Row],[Request date serial]]</f>
        <v>14</v>
      </c>
      <c r="AH2371" s="65">
        <f>IFERROR(INDEX(tblParts[Delay days],MATCH(tblWorkPackages[[#This Row],[Work package ID]],tblParts[Work package ID],0)),0)</f>
        <v>0</v>
      </c>
      <c r="AI2371" s="51" t="str">
        <f>IFERROR(INDEX(tblDisruptions[Event type],MATCH(tblWorkPackages[[#This Row],[Work package ID]],tblDisruptions[Work package ID],0)),"None")</f>
        <v>None</v>
      </c>
      <c r="AJ2371" s="51" t="str">
        <f>TEXT(tblWorkPackages[[#This Row],[Due date serial]],"yyyy-mm")</f>
        <v>2024-06</v>
      </c>
    </row>
    <row r="2372" spans="1:36" ht="15" x14ac:dyDescent="0.25">
      <c r="A2372" s="53" t="s">
        <v>3290</v>
      </c>
      <c r="B2372" s="53" t="s">
        <v>250</v>
      </c>
      <c r="C2372" s="53" t="s">
        <v>528</v>
      </c>
      <c r="D2372" s="53" t="s">
        <v>135</v>
      </c>
      <c r="E2372" s="53" t="s">
        <v>237</v>
      </c>
      <c r="F2372" s="53" t="s">
        <v>182</v>
      </c>
      <c r="G2372" s="53" t="s">
        <v>138</v>
      </c>
      <c r="H2372" s="53">
        <v>1</v>
      </c>
      <c r="I2372" s="53" t="s">
        <v>176</v>
      </c>
      <c r="J2372" s="53">
        <v>0</v>
      </c>
      <c r="K2372" s="53">
        <v>0</v>
      </c>
      <c r="L2372" s="53">
        <v>3.1</v>
      </c>
      <c r="M2372" s="53" t="s">
        <v>1178</v>
      </c>
      <c r="N2372" s="53">
        <v>2.9</v>
      </c>
      <c r="O2372" s="51" t="str">
        <f>TEXT(tblWorkPackages[[#This Row],[Request date serial]]-WEEKDAY(tblWorkPackages[[#This Row],[Request date serial]],3),"yyyy-mm-dd")</f>
        <v>2025-09-08</v>
      </c>
      <c r="P2372" s="51">
        <f>ABS(tblWorkPackages[[#This Row],[Actual labor hours]]-tblWorkPackages[[#This Row],[Estimated labor hours]])</f>
        <v>0.2</v>
      </c>
      <c r="Q2372" s="51">
        <f>IF(tblWorkPackages[[#This Row],[Actual labor hours]]&gt;tblWorkPackages[[#This Row],[Estimated labor hours]],1,0)</f>
        <v>0</v>
      </c>
      <c r="R2372" s="51">
        <f>tblWorkPackages[[#This Row],[Actual labor hours]]-tblWorkPackages[[#This Row],[Estimated labor hours]]</f>
        <v>-0.2</v>
      </c>
      <c r="S2372" s="51" t="str">
        <f>IF(tblWorkPackages[[#This Row],[Request date serial]]&lt;ValidationStart,"Train 2024",IF(tblWorkPackages[[#This Row],[Request date serial]]&lt;HoldoutStart,"Validation H1","Holdout H2"))</f>
        <v>Holdout H2</v>
      </c>
      <c r="T2372" s="51">
        <f>IF(tblWorkPackages[[#This Row],[Time split]]="Train 2024","",tblWorkPackages[[#This Row],[Estimated labor hours]]+VLOOKUP(tblWorkPackages[[#This Row],[Task type]],'Forecast validation'!$A$14:$E$25,IF(tblWorkPackages[[#This Row],[Time split]]="Validation H1",4,5),FALSE()))</f>
        <v>3.553125</v>
      </c>
      <c r="U2372" s="51">
        <f>IF(tblWorkPackages[[#This Row],[Calibrated forecast hours]]="","",ABS(tblWorkPackages[[#This Row],[Actual labor hours]]-tblWorkPackages[[#This Row],[Calibrated forecast hours]]))</f>
        <v>0.653125</v>
      </c>
      <c r="V2372" s="51">
        <f>IF(tblWorkPackages[[#This Row],[Time split]]="Train 2024",tblWorkPackages[[#This Row],[Estimated labor hours]],tblWorkPackages[[#This Row],[Calibrated forecast hours]])</f>
        <v>3.553125</v>
      </c>
      <c r="W2372" s="64">
        <f>DATEVALUE(tblWorkPackages[[#This Row],[Request date]])</f>
        <v>45912.0</v>
      </c>
      <c r="X2372" s="64">
        <f>DATEVALUE(tblWorkPackages[[#This Row],[Due date]])</f>
        <v>45918.0</v>
      </c>
      <c r="Y2372" s="64">
        <f>DATEVALUE(tblWorkPackages[[#This Row],[Completion date]])</f>
        <v>45919.0</v>
      </c>
      <c r="Z2372" s="64">
        <f>_xlfn.MINIFS(tblLaborEntries[Work date serial],tblLaborEntries[Work package ID],tblWorkPackages[[#This Row],[Work package ID]])</f>
        <v>45915.0</v>
      </c>
      <c r="AA2372" s="64">
        <f>_xlfn.MAXIFS(tblLaborEntries[Work date serial],tblLaborEntries[Work package ID],tblWorkPackages[[#This Row],[Work package ID]])</f>
        <v>45917.0</v>
      </c>
      <c r="AB2372" s="65">
        <f>IF(tblWorkPackages[[#This Row],[Completion date serial]]&gt;tblWorkPackages[[#This Row],[Due date serial]],1,0)</f>
        <v>1</v>
      </c>
      <c r="AC2372" s="65">
        <f>MAX(0,tblWorkPackages[[#This Row],[Completion date serial]]-tblWorkPackages[[#This Row],[Due date serial]])</f>
        <v>1</v>
      </c>
      <c r="AD2372" s="65">
        <f>tblWorkPackages[[#This Row],[First labor date]]-tblWorkPackages[[#This Row],[Request date serial]]</f>
        <v>3</v>
      </c>
      <c r="AE2372" s="65">
        <f>tblWorkPackages[[#This Row],[Last labor date]]-tblWorkPackages[[#This Row],[First labor date]]</f>
        <v>2</v>
      </c>
      <c r="AF2372" s="65">
        <f>tblWorkPackages[[#This Row],[Completion date serial]]-tblWorkPackages[[#This Row],[Last labor date]]</f>
        <v>2</v>
      </c>
      <c r="AG2372" s="65">
        <f>tblWorkPackages[[#This Row],[Completion date serial]]-tblWorkPackages[[#This Row],[Request date serial]]</f>
        <v>7</v>
      </c>
      <c r="AH2372" s="65">
        <f>IFERROR(INDEX(tblParts[Delay days],MATCH(tblWorkPackages[[#This Row],[Work package ID]],tblParts[Work package ID],0)),0)</f>
        <v>0</v>
      </c>
      <c r="AI2372" s="51" t="str">
        <f>IFERROR(INDEX(tblDisruptions[Event type],MATCH(tblWorkPackages[[#This Row],[Work package ID]],tblDisruptions[Work package ID],0)),"None")</f>
        <v>None</v>
      </c>
      <c r="AJ2372" s="51" t="str">
        <f>TEXT(tblWorkPackages[[#This Row],[Due date serial]],"yyyy-mm")</f>
        <v>2025-09</v>
      </c>
    </row>
    <row r="2373" spans="1:36" ht="15" x14ac:dyDescent="0.25">
      <c r="A2373" s="53" t="s">
        <v>3291</v>
      </c>
      <c r="B2373" s="53" t="s">
        <v>124</v>
      </c>
      <c r="C2373" s="53" t="s">
        <v>711</v>
      </c>
      <c r="D2373" s="53" t="s">
        <v>238</v>
      </c>
      <c r="E2373" s="53" t="s">
        <v>160</v>
      </c>
      <c r="F2373" s="53" t="s">
        <v>128</v>
      </c>
      <c r="G2373" s="53" t="s">
        <v>138</v>
      </c>
      <c r="H2373" s="53">
        <v>1</v>
      </c>
      <c r="I2373" s="53" t="s">
        <v>176</v>
      </c>
      <c r="J2373" s="53">
        <v>0</v>
      </c>
      <c r="K2373" s="53">
        <v>0</v>
      </c>
      <c r="L2373" s="53">
        <v>3.3</v>
      </c>
      <c r="M2373" s="53" t="s">
        <v>311</v>
      </c>
      <c r="N2373" s="53">
        <v>3.8</v>
      </c>
      <c r="O2373" s="51" t="str">
        <f>TEXT(tblWorkPackages[[#This Row],[Request date serial]]-WEEKDAY(tblWorkPackages[[#This Row],[Request date serial]],3),"yyyy-mm-dd")</f>
        <v>2025-06-16</v>
      </c>
      <c r="P2373" s="51">
        <f>ABS(tblWorkPackages[[#This Row],[Actual labor hours]]-tblWorkPackages[[#This Row],[Estimated labor hours]])</f>
        <v>0.5</v>
      </c>
      <c r="Q2373" s="51">
        <f>IF(tblWorkPackages[[#This Row],[Actual labor hours]]&gt;tblWorkPackages[[#This Row],[Estimated labor hours]],1,0)</f>
        <v>1</v>
      </c>
      <c r="R2373" s="51">
        <f>tblWorkPackages[[#This Row],[Actual labor hours]]-tblWorkPackages[[#This Row],[Estimated labor hours]]</f>
        <v>0.5</v>
      </c>
      <c r="S2373" s="51" t="str">
        <f>IF(tblWorkPackages[[#This Row],[Request date serial]]&lt;ValidationStart,"Train 2024",IF(tblWorkPackages[[#This Row],[Request date serial]]&lt;HoldoutStart,"Validation H1","Holdout H2"))</f>
        <v>Validation H1</v>
      </c>
      <c r="T2373" s="51">
        <f>IF(tblWorkPackages[[#This Row],[Time split]]="Train 2024","",tblWorkPackages[[#This Row],[Estimated labor hours]]+VLOOKUP(tblWorkPackages[[#This Row],[Task type]],'Forecast validation'!$A$14:$E$25,IF(tblWorkPackages[[#This Row],[Time split]]="Validation H1",4,5),FALSE()))</f>
        <v>3.74146341463415</v>
      </c>
      <c r="U2373" s="51">
        <f>IF(tblWorkPackages[[#This Row],[Calibrated forecast hours]]="","",ABS(tblWorkPackages[[#This Row],[Actual labor hours]]-tblWorkPackages[[#This Row],[Calibrated forecast hours]]))</f>
        <v>0.0585365853658537</v>
      </c>
      <c r="V2373" s="51">
        <f>IF(tblWorkPackages[[#This Row],[Time split]]="Train 2024",tblWorkPackages[[#This Row],[Estimated labor hours]],tblWorkPackages[[#This Row],[Calibrated forecast hours]])</f>
        <v>3.74146341463415</v>
      </c>
      <c r="W2373" s="64">
        <f>DATEVALUE(tblWorkPackages[[#This Row],[Request date]])</f>
        <v>45827.0</v>
      </c>
      <c r="X2373" s="64">
        <f>DATEVALUE(tblWorkPackages[[#This Row],[Due date]])</f>
        <v>45833.0</v>
      </c>
      <c r="Y2373" s="64">
        <f>DATEVALUE(tblWorkPackages[[#This Row],[Completion date]])</f>
        <v>45881.0</v>
      </c>
      <c r="Z2373" s="64">
        <f>_xlfn.MINIFS(tblLaborEntries[Work date serial],tblLaborEntries[Work package ID],tblWorkPackages[[#This Row],[Work package ID]])</f>
        <v>45877.0</v>
      </c>
      <c r="AA2373" s="64">
        <f>_xlfn.MAXIFS(tblLaborEntries[Work date serial],tblLaborEntries[Work package ID],tblWorkPackages[[#This Row],[Work package ID]])</f>
        <v>45878.0</v>
      </c>
      <c r="AB2373" s="65">
        <f>IF(tblWorkPackages[[#This Row],[Completion date serial]]&gt;tblWorkPackages[[#This Row],[Due date serial]],1,0)</f>
        <v>1</v>
      </c>
      <c r="AC2373" s="65">
        <f>MAX(0,tblWorkPackages[[#This Row],[Completion date serial]]-tblWorkPackages[[#This Row],[Due date serial]])</f>
        <v>48</v>
      </c>
      <c r="AD2373" s="65">
        <f>tblWorkPackages[[#This Row],[First labor date]]-tblWorkPackages[[#This Row],[Request date serial]]</f>
        <v>50</v>
      </c>
      <c r="AE2373" s="65">
        <f>tblWorkPackages[[#This Row],[Last labor date]]-tblWorkPackages[[#This Row],[First labor date]]</f>
        <v>1</v>
      </c>
      <c r="AF2373" s="65">
        <f>tblWorkPackages[[#This Row],[Completion date serial]]-tblWorkPackages[[#This Row],[Last labor date]]</f>
        <v>3</v>
      </c>
      <c r="AG2373" s="65">
        <f>tblWorkPackages[[#This Row],[Completion date serial]]-tblWorkPackages[[#This Row],[Request date serial]]</f>
        <v>54</v>
      </c>
      <c r="AH2373" s="65">
        <f>IFERROR(INDEX(tblParts[Delay days],MATCH(tblWorkPackages[[#This Row],[Work package ID]],tblParts[Work package ID],0)),0)</f>
        <v>0</v>
      </c>
      <c r="AI2373" s="51" t="str">
        <f>IFERROR(INDEX(tblDisruptions[Event type],MATCH(tblWorkPackages[[#This Row],[Work package ID]],tblDisruptions[Work package ID],0)),"None")</f>
        <v>None</v>
      </c>
      <c r="AJ2373" s="51" t="str">
        <f>TEXT(tblWorkPackages[[#This Row],[Due date serial]],"yyyy-mm")</f>
        <v>2025-06</v>
      </c>
    </row>
    <row r="2374" spans="1:36" ht="15" x14ac:dyDescent="0.25">
      <c r="A2374" s="53" t="s">
        <v>3292</v>
      </c>
      <c r="B2374" s="53" t="s">
        <v>287</v>
      </c>
      <c r="C2374" s="53" t="s">
        <v>489</v>
      </c>
      <c r="D2374" s="53" t="s">
        <v>319</v>
      </c>
      <c r="E2374" s="53" t="s">
        <v>200</v>
      </c>
      <c r="F2374" s="53" t="s">
        <v>128</v>
      </c>
      <c r="G2374" s="53" t="s">
        <v>129</v>
      </c>
      <c r="H2374" s="53">
        <v>1</v>
      </c>
      <c r="I2374" s="53" t="s">
        <v>176</v>
      </c>
      <c r="J2374" s="53">
        <v>0</v>
      </c>
      <c r="K2374" s="53">
        <v>0</v>
      </c>
      <c r="L2374" s="53">
        <v>2.2000000000000002</v>
      </c>
      <c r="M2374" s="53" t="s">
        <v>700</v>
      </c>
      <c r="N2374" s="53">
        <v>2.1</v>
      </c>
      <c r="O2374" s="51" t="str">
        <f>TEXT(tblWorkPackages[[#This Row],[Request date serial]]-WEEKDAY(tblWorkPackages[[#This Row],[Request date serial]],3),"yyyy-mm-dd")</f>
        <v>2024-02-19</v>
      </c>
      <c r="P2374" s="51">
        <f>ABS(tblWorkPackages[[#This Row],[Actual labor hours]]-tblWorkPackages[[#This Row],[Estimated labor hours]])</f>
        <v>0.1</v>
      </c>
      <c r="Q2374" s="51">
        <f>IF(tblWorkPackages[[#This Row],[Actual labor hours]]&gt;tblWorkPackages[[#This Row],[Estimated labor hours]],1,0)</f>
        <v>0</v>
      </c>
      <c r="R2374" s="51">
        <f>tblWorkPackages[[#This Row],[Actual labor hours]]-tblWorkPackages[[#This Row],[Estimated labor hours]]</f>
        <v>-0.1</v>
      </c>
      <c r="S2374" s="51" t="str">
        <f>IF(tblWorkPackages[[#This Row],[Request date serial]]&lt;ValidationStart,"Train 2024",IF(tblWorkPackages[[#This Row],[Request date serial]]&lt;HoldoutStart,"Validation H1","Holdout H2"))</f>
        <v>Train 2024</v>
      </c>
      <c r="T2374" s="51" t="str">
        <f>IF(tblWorkPackages[[#This Row],[Time split]]="Train 2024","",tblWorkPackages[[#This Row],[Estimated labor hours]]+VLOOKUP(tblWorkPackages[[#This Row],[Task type]],'Forecast validation'!$A$14:$E$25,IF(tblWorkPackages[[#This Row],[Time split]]="Validation H1",4,5),FALSE()))</f>
        <v/>
      </c>
      <c r="U2374" s="51" t="str">
        <f>IF(tblWorkPackages[[#This Row],[Calibrated forecast hours]]="","",ABS(tblWorkPackages[[#This Row],[Actual labor hours]]-tblWorkPackages[[#This Row],[Calibrated forecast hours]]))</f>
        <v/>
      </c>
      <c r="V2374" s="51">
        <f>IF(tblWorkPackages[[#This Row],[Time split]]="Train 2024",tblWorkPackages[[#This Row],[Estimated labor hours]],tblWorkPackages[[#This Row],[Calibrated forecast hours]])</f>
        <v>2.2</v>
      </c>
      <c r="W2374" s="64">
        <f>DATEVALUE(tblWorkPackages[[#This Row],[Request date]])</f>
        <v>45341.0</v>
      </c>
      <c r="X2374" s="64">
        <f>DATEVALUE(tblWorkPackages[[#This Row],[Due date]])</f>
        <v>45347.0</v>
      </c>
      <c r="Y2374" s="64">
        <f>DATEVALUE(tblWorkPackages[[#This Row],[Completion date]])</f>
        <v>45349.0</v>
      </c>
      <c r="Z2374" s="64">
        <f>_xlfn.MINIFS(tblLaborEntries[Work date serial],tblLaborEntries[Work package ID],tblWorkPackages[[#This Row],[Work package ID]])</f>
        <v>45349.0</v>
      </c>
      <c r="AA2374" s="64">
        <f>_xlfn.MAXIFS(tblLaborEntries[Work date serial],tblLaborEntries[Work package ID],tblWorkPackages[[#This Row],[Work package ID]])</f>
        <v>45349.0</v>
      </c>
      <c r="AB2374" s="65">
        <f>IF(tblWorkPackages[[#This Row],[Completion date serial]]&gt;tblWorkPackages[[#This Row],[Due date serial]],1,0)</f>
        <v>1</v>
      </c>
      <c r="AC2374" s="65">
        <f>MAX(0,tblWorkPackages[[#This Row],[Completion date serial]]-tblWorkPackages[[#This Row],[Due date serial]])</f>
        <v>2</v>
      </c>
      <c r="AD2374" s="65">
        <f>tblWorkPackages[[#This Row],[First labor date]]-tblWorkPackages[[#This Row],[Request date serial]]</f>
        <v>8</v>
      </c>
      <c r="AE2374" s="65">
        <f>tblWorkPackages[[#This Row],[Last labor date]]-tblWorkPackages[[#This Row],[First labor date]]</f>
        <v>0</v>
      </c>
      <c r="AF2374" s="65">
        <f>tblWorkPackages[[#This Row],[Completion date serial]]-tblWorkPackages[[#This Row],[Last labor date]]</f>
        <v>0</v>
      </c>
      <c r="AG2374" s="65">
        <f>tblWorkPackages[[#This Row],[Completion date serial]]-tblWorkPackages[[#This Row],[Request date serial]]</f>
        <v>8</v>
      </c>
      <c r="AH2374" s="65">
        <f>IFERROR(INDEX(tblParts[Delay days],MATCH(tblWorkPackages[[#This Row],[Work package ID]],tblParts[Work package ID],0)),0)</f>
        <v>0</v>
      </c>
      <c r="AI2374" s="51" t="str">
        <f>IFERROR(INDEX(tblDisruptions[Event type],MATCH(tblWorkPackages[[#This Row],[Work package ID]],tblDisruptions[Work package ID],0)),"None")</f>
        <v>None</v>
      </c>
      <c r="AJ2374" s="51" t="str">
        <f>TEXT(tblWorkPackages[[#This Row],[Due date serial]],"yyyy-mm")</f>
        <v>2024-02</v>
      </c>
    </row>
    <row r="2375" spans="1:36" ht="15" x14ac:dyDescent="0.25">
      <c r="A2375" s="53" t="s">
        <v>3293</v>
      </c>
      <c r="B2375" s="53" t="s">
        <v>235</v>
      </c>
      <c r="C2375" s="53" t="s">
        <v>601</v>
      </c>
      <c r="D2375" s="53" t="s">
        <v>394</v>
      </c>
      <c r="E2375" s="53" t="s">
        <v>144</v>
      </c>
      <c r="F2375" s="53" t="s">
        <v>145</v>
      </c>
      <c r="G2375" s="53" t="s">
        <v>146</v>
      </c>
      <c r="H2375" s="53">
        <v>3</v>
      </c>
      <c r="I2375" s="53" t="s">
        <v>130</v>
      </c>
      <c r="J2375" s="53">
        <v>1</v>
      </c>
      <c r="K2375" s="53">
        <v>1</v>
      </c>
      <c r="L2375" s="53">
        <v>13.3</v>
      </c>
      <c r="M2375" s="53" t="s">
        <v>1128</v>
      </c>
      <c r="N2375" s="53">
        <v>17.399999999999999</v>
      </c>
      <c r="O2375" s="51" t="str">
        <f>TEXT(tblWorkPackages[[#This Row],[Request date serial]]-WEEKDAY(tblWorkPackages[[#This Row],[Request date serial]],3),"yyyy-mm-dd")</f>
        <v>2024-12-02</v>
      </c>
      <c r="P2375" s="51">
        <f>ABS(tblWorkPackages[[#This Row],[Actual labor hours]]-tblWorkPackages[[#This Row],[Estimated labor hours]])</f>
        <v>4.1</v>
      </c>
      <c r="Q2375" s="51">
        <f>IF(tblWorkPackages[[#This Row],[Actual labor hours]]&gt;tblWorkPackages[[#This Row],[Estimated labor hours]],1,0)</f>
        <v>1</v>
      </c>
      <c r="R2375" s="51">
        <f>tblWorkPackages[[#This Row],[Actual labor hours]]-tblWorkPackages[[#This Row],[Estimated labor hours]]</f>
        <v>4.1</v>
      </c>
      <c r="S2375" s="51" t="str">
        <f>IF(tblWorkPackages[[#This Row],[Request date serial]]&lt;ValidationStart,"Train 2024",IF(tblWorkPackages[[#This Row],[Request date serial]]&lt;HoldoutStart,"Validation H1","Holdout H2"))</f>
        <v>Train 2024</v>
      </c>
      <c r="T2375" s="51" t="str">
        <f>IF(tblWorkPackages[[#This Row],[Time split]]="Train 2024","",tblWorkPackages[[#This Row],[Estimated labor hours]]+VLOOKUP(tblWorkPackages[[#This Row],[Task type]],'Forecast validation'!$A$14:$E$25,IF(tblWorkPackages[[#This Row],[Time split]]="Validation H1",4,5),FALSE()))</f>
        <v/>
      </c>
      <c r="U2375" s="51" t="str">
        <f>IF(tblWorkPackages[[#This Row],[Calibrated forecast hours]]="","",ABS(tblWorkPackages[[#This Row],[Actual labor hours]]-tblWorkPackages[[#This Row],[Calibrated forecast hours]]))</f>
        <v/>
      </c>
      <c r="V2375" s="51">
        <f>IF(tblWorkPackages[[#This Row],[Time split]]="Train 2024",tblWorkPackages[[#This Row],[Estimated labor hours]],tblWorkPackages[[#This Row],[Calibrated forecast hours]])</f>
        <v>13.3</v>
      </c>
      <c r="W2375" s="64">
        <f>DATEVALUE(tblWorkPackages[[#This Row],[Request date]])</f>
        <v>45633.0</v>
      </c>
      <c r="X2375" s="64">
        <f>DATEVALUE(tblWorkPackages[[#This Row],[Due date]])</f>
        <v>45646.0</v>
      </c>
      <c r="Y2375" s="64">
        <f>DATEVALUE(tblWorkPackages[[#This Row],[Completion date]])</f>
        <v>45639.0</v>
      </c>
      <c r="Z2375" s="64">
        <f>_xlfn.MINIFS(tblLaborEntries[Work date serial],tblLaborEntries[Work package ID],tblWorkPackages[[#This Row],[Work package ID]])</f>
        <v>45637.0</v>
      </c>
      <c r="AA2375" s="64">
        <f>_xlfn.MAXIFS(tblLaborEntries[Work date serial],tblLaborEntries[Work package ID],tblWorkPackages[[#This Row],[Work package ID]])</f>
        <v>45638.0</v>
      </c>
      <c r="AB2375" s="65">
        <f>IF(tblWorkPackages[[#This Row],[Completion date serial]]&gt;tblWorkPackages[[#This Row],[Due date serial]],1,0)</f>
        <v>0</v>
      </c>
      <c r="AC2375" s="65">
        <f>MAX(0,tblWorkPackages[[#This Row],[Completion date serial]]-tblWorkPackages[[#This Row],[Due date serial]])</f>
        <v>0</v>
      </c>
      <c r="AD2375" s="65">
        <f>tblWorkPackages[[#This Row],[First labor date]]-tblWorkPackages[[#This Row],[Request date serial]]</f>
        <v>4</v>
      </c>
      <c r="AE2375" s="65">
        <f>tblWorkPackages[[#This Row],[Last labor date]]-tblWorkPackages[[#This Row],[First labor date]]</f>
        <v>1</v>
      </c>
      <c r="AF2375" s="65">
        <f>tblWorkPackages[[#This Row],[Completion date serial]]-tblWorkPackages[[#This Row],[Last labor date]]</f>
        <v>1</v>
      </c>
      <c r="AG2375" s="65">
        <f>tblWorkPackages[[#This Row],[Completion date serial]]-tblWorkPackages[[#This Row],[Request date serial]]</f>
        <v>6</v>
      </c>
      <c r="AH2375" s="65">
        <f>IFERROR(INDEX(tblParts[Delay days],MATCH(tblWorkPackages[[#This Row],[Work package ID]],tblParts[Work package ID],0)),0)</f>
        <v>2</v>
      </c>
      <c r="AI2375" s="51" t="str">
        <f>IFERROR(INDEX(tblDisruptions[Event type],MATCH(tblWorkPackages[[#This Row],[Work package ID]],tblDisruptions[Work package ID],0)),"None")</f>
        <v>Part delay</v>
      </c>
      <c r="AJ2375" s="51" t="str">
        <f>TEXT(tblWorkPackages[[#This Row],[Due date serial]],"yyyy-mm")</f>
        <v>2024-12</v>
      </c>
    </row>
    <row r="2376" spans="1:36" ht="15" x14ac:dyDescent="0.25">
      <c r="A2376" s="53" t="s">
        <v>3294</v>
      </c>
      <c r="B2376" s="53" t="s">
        <v>230</v>
      </c>
      <c r="C2376" s="53" t="s">
        <v>846</v>
      </c>
      <c r="D2376" s="53" t="s">
        <v>874</v>
      </c>
      <c r="E2376" s="53" t="s">
        <v>200</v>
      </c>
      <c r="F2376" s="53" t="s">
        <v>128</v>
      </c>
      <c r="G2376" s="53" t="s">
        <v>129</v>
      </c>
      <c r="H2376" s="53">
        <v>4</v>
      </c>
      <c r="I2376" s="53" t="s">
        <v>176</v>
      </c>
      <c r="J2376" s="53">
        <v>0</v>
      </c>
      <c r="K2376" s="53">
        <v>0</v>
      </c>
      <c r="L2376" s="53">
        <v>5.3</v>
      </c>
      <c r="M2376" s="53" t="s">
        <v>951</v>
      </c>
      <c r="N2376" s="53">
        <v>4.3</v>
      </c>
      <c r="O2376" s="51" t="str">
        <f>TEXT(tblWorkPackages[[#This Row],[Request date serial]]-WEEKDAY(tblWorkPackages[[#This Row],[Request date serial]],3),"yyyy-mm-dd")</f>
        <v>2024-09-02</v>
      </c>
      <c r="P2376" s="51">
        <f>ABS(tblWorkPackages[[#This Row],[Actual labor hours]]-tblWorkPackages[[#This Row],[Estimated labor hours]])</f>
        <v>1</v>
      </c>
      <c r="Q2376" s="51">
        <f>IF(tblWorkPackages[[#This Row],[Actual labor hours]]&gt;tblWorkPackages[[#This Row],[Estimated labor hours]],1,0)</f>
        <v>0</v>
      </c>
      <c r="R2376" s="51">
        <f>tblWorkPackages[[#This Row],[Actual labor hours]]-tblWorkPackages[[#This Row],[Estimated labor hours]]</f>
        <v>-1</v>
      </c>
      <c r="S2376" s="51" t="str">
        <f>IF(tblWorkPackages[[#This Row],[Request date serial]]&lt;ValidationStart,"Train 2024",IF(tblWorkPackages[[#This Row],[Request date serial]]&lt;HoldoutStart,"Validation H1","Holdout H2"))</f>
        <v>Train 2024</v>
      </c>
      <c r="T2376" s="51" t="str">
        <f>IF(tblWorkPackages[[#This Row],[Time split]]="Train 2024","",tblWorkPackages[[#This Row],[Estimated labor hours]]+VLOOKUP(tblWorkPackages[[#This Row],[Task type]],'Forecast validation'!$A$14:$E$25,IF(tblWorkPackages[[#This Row],[Time split]]="Validation H1",4,5),FALSE()))</f>
        <v/>
      </c>
      <c r="U2376" s="51" t="str">
        <f>IF(tblWorkPackages[[#This Row],[Calibrated forecast hours]]="","",ABS(tblWorkPackages[[#This Row],[Actual labor hours]]-tblWorkPackages[[#This Row],[Calibrated forecast hours]]))</f>
        <v/>
      </c>
      <c r="V2376" s="51">
        <f>IF(tblWorkPackages[[#This Row],[Time split]]="Train 2024",tblWorkPackages[[#This Row],[Estimated labor hours]],tblWorkPackages[[#This Row],[Calibrated forecast hours]])</f>
        <v>5.3</v>
      </c>
      <c r="W2376" s="64">
        <f>DATEVALUE(tblWorkPackages[[#This Row],[Request date]])</f>
        <v>45542.0</v>
      </c>
      <c r="X2376" s="64">
        <f>DATEVALUE(tblWorkPackages[[#This Row],[Due date]])</f>
        <v>45548.0</v>
      </c>
      <c r="Y2376" s="64">
        <f>DATEVALUE(tblWorkPackages[[#This Row],[Completion date]])</f>
        <v>45565.0</v>
      </c>
      <c r="Z2376" s="64">
        <f>_xlfn.MINIFS(tblLaborEntries[Work date serial],tblLaborEntries[Work package ID],tblWorkPackages[[#This Row],[Work package ID]])</f>
        <v>45562.0</v>
      </c>
      <c r="AA2376" s="64">
        <f>_xlfn.MAXIFS(tblLaborEntries[Work date serial],tblLaborEntries[Work package ID],tblWorkPackages[[#This Row],[Work package ID]])</f>
        <v>45563.0</v>
      </c>
      <c r="AB2376" s="65">
        <f>IF(tblWorkPackages[[#This Row],[Completion date serial]]&gt;tblWorkPackages[[#This Row],[Due date serial]],1,0)</f>
        <v>1</v>
      </c>
      <c r="AC2376" s="65">
        <f>MAX(0,tblWorkPackages[[#This Row],[Completion date serial]]-tblWorkPackages[[#This Row],[Due date serial]])</f>
        <v>17</v>
      </c>
      <c r="AD2376" s="65">
        <f>tblWorkPackages[[#This Row],[First labor date]]-tblWorkPackages[[#This Row],[Request date serial]]</f>
        <v>20</v>
      </c>
      <c r="AE2376" s="65">
        <f>tblWorkPackages[[#This Row],[Last labor date]]-tblWorkPackages[[#This Row],[First labor date]]</f>
        <v>1</v>
      </c>
      <c r="AF2376" s="65">
        <f>tblWorkPackages[[#This Row],[Completion date serial]]-tblWorkPackages[[#This Row],[Last labor date]]</f>
        <v>2</v>
      </c>
      <c r="AG2376" s="65">
        <f>tblWorkPackages[[#This Row],[Completion date serial]]-tblWorkPackages[[#This Row],[Request date serial]]</f>
        <v>23</v>
      </c>
      <c r="AH2376" s="65">
        <f>IFERROR(INDEX(tblParts[Delay days],MATCH(tblWorkPackages[[#This Row],[Work package ID]],tblParts[Work package ID],0)),0)</f>
        <v>0</v>
      </c>
      <c r="AI2376" s="51" t="str">
        <f>IFERROR(INDEX(tblDisruptions[Event type],MATCH(tblWorkPackages[[#This Row],[Work package ID]],tblDisruptions[Work package ID],0)),"None")</f>
        <v>None</v>
      </c>
      <c r="AJ2376" s="51" t="str">
        <f>TEXT(tblWorkPackages[[#This Row],[Due date serial]],"yyyy-mm")</f>
        <v>2024-09</v>
      </c>
    </row>
    <row r="2377" spans="1:36" ht="15" x14ac:dyDescent="0.25">
      <c r="A2377" s="53" t="s">
        <v>3295</v>
      </c>
      <c r="B2377" s="53" t="s">
        <v>173</v>
      </c>
      <c r="C2377" s="53" t="s">
        <v>575</v>
      </c>
      <c r="D2377" s="53" t="s">
        <v>576</v>
      </c>
      <c r="E2377" s="53" t="s">
        <v>181</v>
      </c>
      <c r="F2377" s="53" t="s">
        <v>182</v>
      </c>
      <c r="G2377" s="53" t="s">
        <v>138</v>
      </c>
      <c r="H2377" s="53">
        <v>3</v>
      </c>
      <c r="I2377" s="53" t="s">
        <v>130</v>
      </c>
      <c r="J2377" s="53">
        <v>0</v>
      </c>
      <c r="K2377" s="53">
        <v>0</v>
      </c>
      <c r="L2377" s="53">
        <v>10.5</v>
      </c>
      <c r="M2377" s="53" t="s">
        <v>867</v>
      </c>
      <c r="N2377" s="53">
        <v>10.7</v>
      </c>
      <c r="O2377" s="51" t="str">
        <f>TEXT(tblWorkPackages[[#This Row],[Request date serial]]-WEEKDAY(tblWorkPackages[[#This Row],[Request date serial]],3),"yyyy-mm-dd")</f>
        <v>2024-06-10</v>
      </c>
      <c r="P2377" s="51">
        <f>ABS(tblWorkPackages[[#This Row],[Actual labor hours]]-tblWorkPackages[[#This Row],[Estimated labor hours]])</f>
        <v>0.199999999999999</v>
      </c>
      <c r="Q2377" s="51">
        <f>IF(tblWorkPackages[[#This Row],[Actual labor hours]]&gt;tblWorkPackages[[#This Row],[Estimated labor hours]],1,0)</f>
        <v>1</v>
      </c>
      <c r="R2377" s="51">
        <f>tblWorkPackages[[#This Row],[Actual labor hours]]-tblWorkPackages[[#This Row],[Estimated labor hours]]</f>
        <v>0.199999999999999</v>
      </c>
      <c r="S2377" s="51" t="str">
        <f>IF(tblWorkPackages[[#This Row],[Request date serial]]&lt;ValidationStart,"Train 2024",IF(tblWorkPackages[[#This Row],[Request date serial]]&lt;HoldoutStart,"Validation H1","Holdout H2"))</f>
        <v>Train 2024</v>
      </c>
      <c r="T2377" s="51" t="str">
        <f>IF(tblWorkPackages[[#This Row],[Time split]]="Train 2024","",tblWorkPackages[[#This Row],[Estimated labor hours]]+VLOOKUP(tblWorkPackages[[#This Row],[Task type]],'Forecast validation'!$A$14:$E$25,IF(tblWorkPackages[[#This Row],[Time split]]="Validation H1",4,5),FALSE()))</f>
        <v/>
      </c>
      <c r="U2377" s="51" t="str">
        <f>IF(tblWorkPackages[[#This Row],[Calibrated forecast hours]]="","",ABS(tblWorkPackages[[#This Row],[Actual labor hours]]-tblWorkPackages[[#This Row],[Calibrated forecast hours]]))</f>
        <v/>
      </c>
      <c r="V2377" s="51">
        <f>IF(tblWorkPackages[[#This Row],[Time split]]="Train 2024",tblWorkPackages[[#This Row],[Estimated labor hours]],tblWorkPackages[[#This Row],[Calibrated forecast hours]])</f>
        <v>10.5</v>
      </c>
      <c r="W2377" s="64">
        <f>DATEVALUE(tblWorkPackages[[#This Row],[Request date]])</f>
        <v>45458.0</v>
      </c>
      <c r="X2377" s="64">
        <f>DATEVALUE(tblWorkPackages[[#This Row],[Due date]])</f>
        <v>45471.0</v>
      </c>
      <c r="Y2377" s="64">
        <f>DATEVALUE(tblWorkPackages[[#This Row],[Completion date]])</f>
        <v>45465.0</v>
      </c>
      <c r="Z2377" s="64">
        <f>_xlfn.MINIFS(tblLaborEntries[Work date serial],tblLaborEntries[Work package ID],tblWorkPackages[[#This Row],[Work package ID]])</f>
        <v>45462.0</v>
      </c>
      <c r="AA2377" s="64">
        <f>_xlfn.MAXIFS(tblLaborEntries[Work date serial],tblLaborEntries[Work package ID],tblWorkPackages[[#This Row],[Work package ID]])</f>
        <v>45462.0</v>
      </c>
      <c r="AB2377" s="65">
        <f>IF(tblWorkPackages[[#This Row],[Completion date serial]]&gt;tblWorkPackages[[#This Row],[Due date serial]],1,0)</f>
        <v>0</v>
      </c>
      <c r="AC2377" s="65">
        <f>MAX(0,tblWorkPackages[[#This Row],[Completion date serial]]-tblWorkPackages[[#This Row],[Due date serial]])</f>
        <v>0</v>
      </c>
      <c r="AD2377" s="65">
        <f>tblWorkPackages[[#This Row],[First labor date]]-tblWorkPackages[[#This Row],[Request date serial]]</f>
        <v>4</v>
      </c>
      <c r="AE2377" s="65">
        <f>tblWorkPackages[[#This Row],[Last labor date]]-tblWorkPackages[[#This Row],[First labor date]]</f>
        <v>0</v>
      </c>
      <c r="AF2377" s="65">
        <f>tblWorkPackages[[#This Row],[Completion date serial]]-tblWorkPackages[[#This Row],[Last labor date]]</f>
        <v>3</v>
      </c>
      <c r="AG2377" s="65">
        <f>tblWorkPackages[[#This Row],[Completion date serial]]-tblWorkPackages[[#This Row],[Request date serial]]</f>
        <v>7</v>
      </c>
      <c r="AH2377" s="65">
        <f>IFERROR(INDEX(tblParts[Delay days],MATCH(tblWorkPackages[[#This Row],[Work package ID]],tblParts[Work package ID],0)),0)</f>
        <v>0</v>
      </c>
      <c r="AI2377" s="51" t="str">
        <f>IFERROR(INDEX(tblDisruptions[Event type],MATCH(tblWorkPackages[[#This Row],[Work package ID]],tblDisruptions[Work package ID],0)),"None")</f>
        <v>None</v>
      </c>
      <c r="AJ2377" s="51" t="str">
        <f>TEXT(tblWorkPackages[[#This Row],[Due date serial]],"yyyy-mm")</f>
        <v>2024-06</v>
      </c>
    </row>
    <row r="2378" spans="1:36" ht="15" x14ac:dyDescent="0.25">
      <c r="A2378" s="53" t="s">
        <v>3296</v>
      </c>
      <c r="B2378" s="53" t="s">
        <v>173</v>
      </c>
      <c r="C2378" s="53" t="s">
        <v>179</v>
      </c>
      <c r="D2378" s="53" t="s">
        <v>518</v>
      </c>
      <c r="E2378" s="53" t="s">
        <v>272</v>
      </c>
      <c r="F2378" s="53" t="s">
        <v>145</v>
      </c>
      <c r="G2378" s="53" t="s">
        <v>273</v>
      </c>
      <c r="H2378" s="53">
        <v>1</v>
      </c>
      <c r="I2378" s="53" t="s">
        <v>147</v>
      </c>
      <c r="J2378" s="53">
        <v>0</v>
      </c>
      <c r="K2378" s="53">
        <v>1</v>
      </c>
      <c r="L2378" s="53">
        <v>8</v>
      </c>
      <c r="M2378" s="53" t="s">
        <v>518</v>
      </c>
      <c r="N2378" s="53">
        <v>7.8</v>
      </c>
      <c r="O2378" s="51" t="str">
        <f>TEXT(tblWorkPackages[[#This Row],[Request date serial]]-WEEKDAY(tblWorkPackages[[#This Row],[Request date serial]],3),"yyyy-mm-dd")</f>
        <v>2025-05-12</v>
      </c>
      <c r="P2378" s="51">
        <f>ABS(tblWorkPackages[[#This Row],[Actual labor hours]]-tblWorkPackages[[#This Row],[Estimated labor hours]])</f>
        <v>0.2</v>
      </c>
      <c r="Q2378" s="51">
        <f>IF(tblWorkPackages[[#This Row],[Actual labor hours]]&gt;tblWorkPackages[[#This Row],[Estimated labor hours]],1,0)</f>
        <v>0</v>
      </c>
      <c r="R2378" s="51">
        <f>tblWorkPackages[[#This Row],[Actual labor hours]]-tblWorkPackages[[#This Row],[Estimated labor hours]]</f>
        <v>-0.2</v>
      </c>
      <c r="S2378" s="51" t="str">
        <f>IF(tblWorkPackages[[#This Row],[Request date serial]]&lt;ValidationStart,"Train 2024",IF(tblWorkPackages[[#This Row],[Request date serial]]&lt;HoldoutStart,"Validation H1","Holdout H2"))</f>
        <v>Validation H1</v>
      </c>
      <c r="T2378" s="51">
        <f>IF(tblWorkPackages[[#This Row],[Time split]]="Train 2024","",tblWorkPackages[[#This Row],[Estimated labor hours]]+VLOOKUP(tblWorkPackages[[#This Row],[Task type]],'Forecast validation'!$A$14:$E$25,IF(tblWorkPackages[[#This Row],[Time split]]="Validation H1",4,5),FALSE()))</f>
        <v>9.03205128205128</v>
      </c>
      <c r="U2378" s="51">
        <f>IF(tblWorkPackages[[#This Row],[Calibrated forecast hours]]="","",ABS(tblWorkPackages[[#This Row],[Actual labor hours]]-tblWorkPackages[[#This Row],[Calibrated forecast hours]]))</f>
        <v>1.23205128205128</v>
      </c>
      <c r="V2378" s="51">
        <f>IF(tblWorkPackages[[#This Row],[Time split]]="Train 2024",tblWorkPackages[[#This Row],[Estimated labor hours]],tblWorkPackages[[#This Row],[Calibrated forecast hours]])</f>
        <v>9.03205128205128</v>
      </c>
      <c r="W2378" s="64">
        <f>DATEVALUE(tblWorkPackages[[#This Row],[Request date]])</f>
        <v>45792.0</v>
      </c>
      <c r="X2378" s="64">
        <f>DATEVALUE(tblWorkPackages[[#This Row],[Due date]])</f>
        <v>45794.0</v>
      </c>
      <c r="Y2378" s="64">
        <f>DATEVALUE(tblWorkPackages[[#This Row],[Completion date]])</f>
        <v>45794.0</v>
      </c>
      <c r="Z2378" s="64">
        <f>_xlfn.MINIFS(tblLaborEntries[Work date serial],tblLaborEntries[Work package ID],tblWorkPackages[[#This Row],[Work package ID]])</f>
        <v>45793.0</v>
      </c>
      <c r="AA2378" s="64">
        <f>_xlfn.MAXIFS(tblLaborEntries[Work date serial],tblLaborEntries[Work package ID],tblWorkPackages[[#This Row],[Work package ID]])</f>
        <v>45794.0</v>
      </c>
      <c r="AB2378" s="65">
        <f>IF(tblWorkPackages[[#This Row],[Completion date serial]]&gt;tblWorkPackages[[#This Row],[Due date serial]],1,0)</f>
        <v>0</v>
      </c>
      <c r="AC2378" s="65">
        <f>MAX(0,tblWorkPackages[[#This Row],[Completion date serial]]-tblWorkPackages[[#This Row],[Due date serial]])</f>
        <v>0</v>
      </c>
      <c r="AD2378" s="65">
        <f>tblWorkPackages[[#This Row],[First labor date]]-tblWorkPackages[[#This Row],[Request date serial]]</f>
        <v>1</v>
      </c>
      <c r="AE2378" s="65">
        <f>tblWorkPackages[[#This Row],[Last labor date]]-tblWorkPackages[[#This Row],[First labor date]]</f>
        <v>1</v>
      </c>
      <c r="AF2378" s="65">
        <f>tblWorkPackages[[#This Row],[Completion date serial]]-tblWorkPackages[[#This Row],[Last labor date]]</f>
        <v>0</v>
      </c>
      <c r="AG2378" s="65">
        <f>tblWorkPackages[[#This Row],[Completion date serial]]-tblWorkPackages[[#This Row],[Request date serial]]</f>
        <v>2</v>
      </c>
      <c r="AH2378" s="65">
        <f>IFERROR(INDEX(tblParts[Delay days],MATCH(tblWorkPackages[[#This Row],[Work package ID]],tblParts[Work package ID],0)),0)</f>
        <v>0</v>
      </c>
      <c r="AI2378" s="51" t="str">
        <f>IFERROR(INDEX(tblDisruptions[Event type],MATCH(tblWorkPackages[[#This Row],[Work package ID]],tblDisruptions[Work package ID],0)),"None")</f>
        <v>None</v>
      </c>
      <c r="AJ2378" s="51" t="str">
        <f>TEXT(tblWorkPackages[[#This Row],[Due date serial]],"yyyy-mm")</f>
        <v>2025-05</v>
      </c>
    </row>
    <row r="2379" spans="1:36" ht="15" x14ac:dyDescent="0.25">
      <c r="A2379" s="53" t="s">
        <v>3297</v>
      </c>
      <c r="B2379" s="53" t="s">
        <v>157</v>
      </c>
      <c r="C2379" s="53" t="s">
        <v>639</v>
      </c>
      <c r="D2379" s="53" t="s">
        <v>710</v>
      </c>
      <c r="E2379" s="53" t="s">
        <v>144</v>
      </c>
      <c r="F2379" s="53" t="s">
        <v>145</v>
      </c>
      <c r="G2379" s="53" t="s">
        <v>146</v>
      </c>
      <c r="H2379" s="53">
        <v>1</v>
      </c>
      <c r="I2379" s="53" t="s">
        <v>176</v>
      </c>
      <c r="J2379" s="53">
        <v>1</v>
      </c>
      <c r="K2379" s="53">
        <v>1</v>
      </c>
      <c r="L2379" s="53">
        <v>6.8</v>
      </c>
      <c r="M2379" s="53" t="s">
        <v>199</v>
      </c>
      <c r="N2379" s="53">
        <v>9.5</v>
      </c>
      <c r="O2379" s="51" t="str">
        <f>TEXT(tblWorkPackages[[#This Row],[Request date serial]]-WEEKDAY(tblWorkPackages[[#This Row],[Request date serial]],3),"yyyy-mm-dd")</f>
        <v>2025-06-02</v>
      </c>
      <c r="P2379" s="51">
        <f>ABS(tblWorkPackages[[#This Row],[Actual labor hours]]-tblWorkPackages[[#This Row],[Estimated labor hours]])</f>
        <v>2.7</v>
      </c>
      <c r="Q2379" s="51">
        <f>IF(tblWorkPackages[[#This Row],[Actual labor hours]]&gt;tblWorkPackages[[#This Row],[Estimated labor hours]],1,0)</f>
        <v>1</v>
      </c>
      <c r="R2379" s="51">
        <f>tblWorkPackages[[#This Row],[Actual labor hours]]-tblWorkPackages[[#This Row],[Estimated labor hours]]</f>
        <v>2.7</v>
      </c>
      <c r="S2379" s="51" t="str">
        <f>IF(tblWorkPackages[[#This Row],[Request date serial]]&lt;ValidationStart,"Train 2024",IF(tblWorkPackages[[#This Row],[Request date serial]]&lt;HoldoutStart,"Validation H1","Holdout H2"))</f>
        <v>Validation H1</v>
      </c>
      <c r="T2379" s="51">
        <f>IF(tblWorkPackages[[#This Row],[Time split]]="Train 2024","",tblWorkPackages[[#This Row],[Estimated labor hours]]+VLOOKUP(tblWorkPackages[[#This Row],[Task type]],'Forecast validation'!$A$14:$E$25,IF(tblWorkPackages[[#This Row],[Time split]]="Validation H1",4,5),FALSE()))</f>
        <v>7.55473684210526</v>
      </c>
      <c r="U2379" s="51">
        <f>IF(tblWorkPackages[[#This Row],[Calibrated forecast hours]]="","",ABS(tblWorkPackages[[#This Row],[Actual labor hours]]-tblWorkPackages[[#This Row],[Calibrated forecast hours]]))</f>
        <v>1.94526315789474</v>
      </c>
      <c r="V2379" s="51">
        <f>IF(tblWorkPackages[[#This Row],[Time split]]="Train 2024",tblWorkPackages[[#This Row],[Estimated labor hours]],tblWorkPackages[[#This Row],[Calibrated forecast hours]])</f>
        <v>7.55473684210526</v>
      </c>
      <c r="W2379" s="64">
        <f>DATEVALUE(tblWorkPackages[[#This Row],[Request date]])</f>
        <v>45815.0</v>
      </c>
      <c r="X2379" s="64">
        <f>DATEVALUE(tblWorkPackages[[#This Row],[Due date]])</f>
        <v>45821.0</v>
      </c>
      <c r="Y2379" s="64">
        <f>DATEVALUE(tblWorkPackages[[#This Row],[Completion date]])</f>
        <v>45838.0</v>
      </c>
      <c r="Z2379" s="64">
        <f>_xlfn.MINIFS(tblLaborEntries[Work date serial],tblLaborEntries[Work package ID],tblWorkPackages[[#This Row],[Work package ID]])</f>
        <v>45835.0</v>
      </c>
      <c r="AA2379" s="64">
        <f>_xlfn.MAXIFS(tblLaborEntries[Work date serial],tblLaborEntries[Work package ID],tblWorkPackages[[#This Row],[Work package ID]])</f>
        <v>45837.0</v>
      </c>
      <c r="AB2379" s="65">
        <f>IF(tblWorkPackages[[#This Row],[Completion date serial]]&gt;tblWorkPackages[[#This Row],[Due date serial]],1,0)</f>
        <v>1</v>
      </c>
      <c r="AC2379" s="65">
        <f>MAX(0,tblWorkPackages[[#This Row],[Completion date serial]]-tblWorkPackages[[#This Row],[Due date serial]])</f>
        <v>17</v>
      </c>
      <c r="AD2379" s="65">
        <f>tblWorkPackages[[#This Row],[First labor date]]-tblWorkPackages[[#This Row],[Request date serial]]</f>
        <v>20</v>
      </c>
      <c r="AE2379" s="65">
        <f>tblWorkPackages[[#This Row],[Last labor date]]-tblWorkPackages[[#This Row],[First labor date]]</f>
        <v>2</v>
      </c>
      <c r="AF2379" s="65">
        <f>tblWorkPackages[[#This Row],[Completion date serial]]-tblWorkPackages[[#This Row],[Last labor date]]</f>
        <v>1</v>
      </c>
      <c r="AG2379" s="65">
        <f>tblWorkPackages[[#This Row],[Completion date serial]]-tblWorkPackages[[#This Row],[Request date serial]]</f>
        <v>23</v>
      </c>
      <c r="AH2379" s="65">
        <f>IFERROR(INDEX(tblParts[Delay days],MATCH(tblWorkPackages[[#This Row],[Work package ID]],tblParts[Work package ID],0)),0)</f>
        <v>9</v>
      </c>
      <c r="AI2379" s="51" t="str">
        <f>IFERROR(INDEX(tblDisruptions[Event type],MATCH(tblWorkPackages[[#This Row],[Work package ID]],tblDisruptions[Work package ID],0)),"None")</f>
        <v>Part delay</v>
      </c>
      <c r="AJ2379" s="51" t="str">
        <f>TEXT(tblWorkPackages[[#This Row],[Due date serial]],"yyyy-mm")</f>
        <v>2025-06</v>
      </c>
    </row>
    <row r="2380" spans="1:36" ht="15" x14ac:dyDescent="0.25">
      <c r="A2380" s="53" t="s">
        <v>3298</v>
      </c>
      <c r="B2380" s="53" t="s">
        <v>235</v>
      </c>
      <c r="C2380" s="53" t="s">
        <v>658</v>
      </c>
      <c r="D2380" s="53" t="s">
        <v>584</v>
      </c>
      <c r="E2380" s="53" t="s">
        <v>160</v>
      </c>
      <c r="F2380" s="53" t="s">
        <v>128</v>
      </c>
      <c r="G2380" s="53" t="s">
        <v>138</v>
      </c>
      <c r="H2380" s="53">
        <v>4</v>
      </c>
      <c r="I2380" s="53" t="s">
        <v>176</v>
      </c>
      <c r="J2380" s="53">
        <v>0</v>
      </c>
      <c r="K2380" s="53">
        <v>1</v>
      </c>
      <c r="L2380" s="53">
        <v>7.8</v>
      </c>
      <c r="M2380" s="53" t="s">
        <v>1151</v>
      </c>
      <c r="N2380" s="53">
        <v>7.5</v>
      </c>
      <c r="O2380" s="51" t="str">
        <f>TEXT(tblWorkPackages[[#This Row],[Request date serial]]-WEEKDAY(tblWorkPackages[[#This Row],[Request date serial]],3),"yyyy-mm-dd")</f>
        <v>2025-08-04</v>
      </c>
      <c r="P2380" s="51">
        <f>ABS(tblWorkPackages[[#This Row],[Actual labor hours]]-tblWorkPackages[[#This Row],[Estimated labor hours]])</f>
        <v>0.3</v>
      </c>
      <c r="Q2380" s="51">
        <f>IF(tblWorkPackages[[#This Row],[Actual labor hours]]&gt;tblWorkPackages[[#This Row],[Estimated labor hours]],1,0)</f>
        <v>0</v>
      </c>
      <c r="R2380" s="51">
        <f>tblWorkPackages[[#This Row],[Actual labor hours]]-tblWorkPackages[[#This Row],[Estimated labor hours]]</f>
        <v>-0.3</v>
      </c>
      <c r="S2380" s="51" t="str">
        <f>IF(tblWorkPackages[[#This Row],[Request date serial]]&lt;ValidationStart,"Train 2024",IF(tblWorkPackages[[#This Row],[Request date serial]]&lt;HoldoutStart,"Validation H1","Holdout H2"))</f>
        <v>Holdout H2</v>
      </c>
      <c r="T2380" s="51">
        <f>IF(tblWorkPackages[[#This Row],[Time split]]="Train 2024","",tblWorkPackages[[#This Row],[Estimated labor hours]]+VLOOKUP(tblWorkPackages[[#This Row],[Task type]],'Forecast validation'!$A$14:$E$25,IF(tblWorkPackages[[#This Row],[Time split]]="Validation H1",4,5),FALSE()))</f>
        <v>8.23739837398374</v>
      </c>
      <c r="U2380" s="51">
        <f>IF(tblWorkPackages[[#This Row],[Calibrated forecast hours]]="","",ABS(tblWorkPackages[[#This Row],[Actual labor hours]]-tblWorkPackages[[#This Row],[Calibrated forecast hours]]))</f>
        <v>0.737398373983739</v>
      </c>
      <c r="V2380" s="51">
        <f>IF(tblWorkPackages[[#This Row],[Time split]]="Train 2024",tblWorkPackages[[#This Row],[Estimated labor hours]],tblWorkPackages[[#This Row],[Calibrated forecast hours]])</f>
        <v>8.23739837398374</v>
      </c>
      <c r="W2380" s="64">
        <f>DATEVALUE(tblWorkPackages[[#This Row],[Request date]])</f>
        <v>45873.0</v>
      </c>
      <c r="X2380" s="64">
        <f>DATEVALUE(tblWorkPackages[[#This Row],[Due date]])</f>
        <v>45879.0</v>
      </c>
      <c r="Y2380" s="64">
        <f>DATEVALUE(tblWorkPackages[[#This Row],[Completion date]])</f>
        <v>45880.0</v>
      </c>
      <c r="Z2380" s="64">
        <f>_xlfn.MINIFS(tblLaborEntries[Work date serial],tblLaborEntries[Work package ID],tblWorkPackages[[#This Row],[Work package ID]])</f>
        <v>45876.0</v>
      </c>
      <c r="AA2380" s="64">
        <f>_xlfn.MAXIFS(tblLaborEntries[Work date serial],tblLaborEntries[Work package ID],tblWorkPackages[[#This Row],[Work package ID]])</f>
        <v>45878.0</v>
      </c>
      <c r="AB2380" s="65">
        <f>IF(tblWorkPackages[[#This Row],[Completion date serial]]&gt;tblWorkPackages[[#This Row],[Due date serial]],1,0)</f>
        <v>1</v>
      </c>
      <c r="AC2380" s="65">
        <f>MAX(0,tblWorkPackages[[#This Row],[Completion date serial]]-tblWorkPackages[[#This Row],[Due date serial]])</f>
        <v>1</v>
      </c>
      <c r="AD2380" s="65">
        <f>tblWorkPackages[[#This Row],[First labor date]]-tblWorkPackages[[#This Row],[Request date serial]]</f>
        <v>3</v>
      </c>
      <c r="AE2380" s="65">
        <f>tblWorkPackages[[#This Row],[Last labor date]]-tblWorkPackages[[#This Row],[First labor date]]</f>
        <v>2</v>
      </c>
      <c r="AF2380" s="65">
        <f>tblWorkPackages[[#This Row],[Completion date serial]]-tblWorkPackages[[#This Row],[Last labor date]]</f>
        <v>2</v>
      </c>
      <c r="AG2380" s="65">
        <f>tblWorkPackages[[#This Row],[Completion date serial]]-tblWorkPackages[[#This Row],[Request date serial]]</f>
        <v>7</v>
      </c>
      <c r="AH2380" s="65">
        <f>IFERROR(INDEX(tblParts[Delay days],MATCH(tblWorkPackages[[#This Row],[Work package ID]],tblParts[Work package ID],0)),0)</f>
        <v>0</v>
      </c>
      <c r="AI2380" s="51" t="str">
        <f>IFERROR(INDEX(tblDisruptions[Event type],MATCH(tblWorkPackages[[#This Row],[Work package ID]],tblDisruptions[Work package ID],0)),"None")</f>
        <v>None</v>
      </c>
      <c r="AJ2380" s="51" t="str">
        <f>TEXT(tblWorkPackages[[#This Row],[Due date serial]],"yyyy-mm")</f>
        <v>2025-08</v>
      </c>
    </row>
    <row r="2381" spans="1:36" ht="15" x14ac:dyDescent="0.25">
      <c r="A2381" s="53" t="s">
        <v>3299</v>
      </c>
      <c r="B2381" s="53" t="s">
        <v>141</v>
      </c>
      <c r="C2381" s="53" t="s">
        <v>323</v>
      </c>
      <c r="D2381" s="53" t="s">
        <v>341</v>
      </c>
      <c r="E2381" s="53" t="s">
        <v>237</v>
      </c>
      <c r="F2381" s="53" t="s">
        <v>182</v>
      </c>
      <c r="G2381" s="53" t="s">
        <v>138</v>
      </c>
      <c r="H2381" s="53">
        <v>3</v>
      </c>
      <c r="I2381" s="53" t="s">
        <v>130</v>
      </c>
      <c r="J2381" s="53">
        <v>0</v>
      </c>
      <c r="K2381" s="53">
        <v>1</v>
      </c>
      <c r="L2381" s="53">
        <v>7.1</v>
      </c>
      <c r="M2381" s="53" t="s">
        <v>311</v>
      </c>
      <c r="N2381" s="53">
        <v>7.4</v>
      </c>
      <c r="O2381" s="51" t="str">
        <f>TEXT(tblWorkPackages[[#This Row],[Request date serial]]-WEEKDAY(tblWorkPackages[[#This Row],[Request date serial]],3),"yyyy-mm-dd")</f>
        <v>2025-07-07</v>
      </c>
      <c r="P2381" s="51">
        <f>ABS(tblWorkPackages[[#This Row],[Actual labor hours]]-tblWorkPackages[[#This Row],[Estimated labor hours]])</f>
        <v>0.300000000000001</v>
      </c>
      <c r="Q2381" s="51">
        <f>IF(tblWorkPackages[[#This Row],[Actual labor hours]]&gt;tblWorkPackages[[#This Row],[Estimated labor hours]],1,0)</f>
        <v>1</v>
      </c>
      <c r="R2381" s="51">
        <f>tblWorkPackages[[#This Row],[Actual labor hours]]-tblWorkPackages[[#This Row],[Estimated labor hours]]</f>
        <v>0.300000000000001</v>
      </c>
      <c r="S2381" s="51" t="str">
        <f>IF(tblWorkPackages[[#This Row],[Request date serial]]&lt;ValidationStart,"Train 2024",IF(tblWorkPackages[[#This Row],[Request date serial]]&lt;HoldoutStart,"Validation H1","Holdout H2"))</f>
        <v>Holdout H2</v>
      </c>
      <c r="T2381" s="51">
        <f>IF(tblWorkPackages[[#This Row],[Time split]]="Train 2024","",tblWorkPackages[[#This Row],[Estimated labor hours]]+VLOOKUP(tblWorkPackages[[#This Row],[Task type]],'Forecast validation'!$A$14:$E$25,IF(tblWorkPackages[[#This Row],[Time split]]="Validation H1",4,5),FALSE()))</f>
        <v>7.553125</v>
      </c>
      <c r="U2381" s="51">
        <f>IF(tblWorkPackages[[#This Row],[Calibrated forecast hours]]="","",ABS(tblWorkPackages[[#This Row],[Actual labor hours]]-tblWorkPackages[[#This Row],[Calibrated forecast hours]]))</f>
        <v>0.153124999999999</v>
      </c>
      <c r="V2381" s="51">
        <f>IF(tblWorkPackages[[#This Row],[Time split]]="Train 2024",tblWorkPackages[[#This Row],[Estimated labor hours]],tblWorkPackages[[#This Row],[Calibrated forecast hours]])</f>
        <v>7.553125</v>
      </c>
      <c r="W2381" s="64">
        <f>DATEVALUE(tblWorkPackages[[#This Row],[Request date]])</f>
        <v>45845.0</v>
      </c>
      <c r="X2381" s="64">
        <f>DATEVALUE(tblWorkPackages[[#This Row],[Due date]])</f>
        <v>45858.0</v>
      </c>
      <c r="Y2381" s="64">
        <f>DATEVALUE(tblWorkPackages[[#This Row],[Completion date]])</f>
        <v>45881.0</v>
      </c>
      <c r="Z2381" s="64">
        <f>_xlfn.MINIFS(tblLaborEntries[Work date serial],tblLaborEntries[Work package ID],tblWorkPackages[[#This Row],[Work package ID]])</f>
        <v>45877.0</v>
      </c>
      <c r="AA2381" s="64">
        <f>_xlfn.MAXIFS(tblLaborEntries[Work date serial],tblLaborEntries[Work package ID],tblWorkPackages[[#This Row],[Work package ID]])</f>
        <v>45878.0</v>
      </c>
      <c r="AB2381" s="65">
        <f>IF(tblWorkPackages[[#This Row],[Completion date serial]]&gt;tblWorkPackages[[#This Row],[Due date serial]],1,0)</f>
        <v>1</v>
      </c>
      <c r="AC2381" s="65">
        <f>MAX(0,tblWorkPackages[[#This Row],[Completion date serial]]-tblWorkPackages[[#This Row],[Due date serial]])</f>
        <v>23</v>
      </c>
      <c r="AD2381" s="65">
        <f>tblWorkPackages[[#This Row],[First labor date]]-tblWorkPackages[[#This Row],[Request date serial]]</f>
        <v>32</v>
      </c>
      <c r="AE2381" s="65">
        <f>tblWorkPackages[[#This Row],[Last labor date]]-tblWorkPackages[[#This Row],[First labor date]]</f>
        <v>1</v>
      </c>
      <c r="AF2381" s="65">
        <f>tblWorkPackages[[#This Row],[Completion date serial]]-tblWorkPackages[[#This Row],[Last labor date]]</f>
        <v>3</v>
      </c>
      <c r="AG2381" s="65">
        <f>tblWorkPackages[[#This Row],[Completion date serial]]-tblWorkPackages[[#This Row],[Request date serial]]</f>
        <v>36</v>
      </c>
      <c r="AH2381" s="65">
        <f>IFERROR(INDEX(tblParts[Delay days],MATCH(tblWorkPackages[[#This Row],[Work package ID]],tblParts[Work package ID],0)),0)</f>
        <v>0</v>
      </c>
      <c r="AI2381" s="51" t="str">
        <f>IFERROR(INDEX(tblDisruptions[Event type],MATCH(tblWorkPackages[[#This Row],[Work package ID]],tblDisruptions[Work package ID],0)),"None")</f>
        <v>None</v>
      </c>
      <c r="AJ2381" s="51" t="str">
        <f>TEXT(tblWorkPackages[[#This Row],[Due date serial]],"yyyy-mm")</f>
        <v>2025-07</v>
      </c>
    </row>
    <row r="2382" spans="1:36" ht="15" x14ac:dyDescent="0.25">
      <c r="A2382" s="53" t="s">
        <v>3300</v>
      </c>
      <c r="B2382" s="53" t="s">
        <v>124</v>
      </c>
      <c r="C2382" s="53" t="s">
        <v>1262</v>
      </c>
      <c r="D2382" s="53" t="s">
        <v>1263</v>
      </c>
      <c r="E2382" s="53" t="s">
        <v>160</v>
      </c>
      <c r="F2382" s="53" t="s">
        <v>128</v>
      </c>
      <c r="G2382" s="53" t="s">
        <v>138</v>
      </c>
      <c r="H2382" s="53">
        <v>2</v>
      </c>
      <c r="I2382" s="53" t="s">
        <v>130</v>
      </c>
      <c r="J2382" s="53">
        <v>0</v>
      </c>
      <c r="K2382" s="53">
        <v>0</v>
      </c>
      <c r="L2382" s="53">
        <v>4.9000000000000004</v>
      </c>
      <c r="M2382" s="53" t="s">
        <v>1095</v>
      </c>
      <c r="N2382" s="53">
        <v>4.9000000000000004</v>
      </c>
      <c r="O2382" s="51" t="str">
        <f>TEXT(tblWorkPackages[[#This Row],[Request date serial]]-WEEKDAY(tblWorkPackages[[#This Row],[Request date serial]],3),"yyyy-mm-dd")</f>
        <v>2024-02-12</v>
      </c>
      <c r="P2382" s="51">
        <f>ABS(tblWorkPackages[[#This Row],[Actual labor hours]]-tblWorkPackages[[#This Row],[Estimated labor hours]])</f>
        <v>0</v>
      </c>
      <c r="Q2382" s="51">
        <f>IF(tblWorkPackages[[#This Row],[Actual labor hours]]&gt;tblWorkPackages[[#This Row],[Estimated labor hours]],1,0)</f>
        <v>0</v>
      </c>
      <c r="R2382" s="51">
        <f>tblWorkPackages[[#This Row],[Actual labor hours]]-tblWorkPackages[[#This Row],[Estimated labor hours]]</f>
        <v>0</v>
      </c>
      <c r="S2382" s="51" t="str">
        <f>IF(tblWorkPackages[[#This Row],[Request date serial]]&lt;ValidationStart,"Train 2024",IF(tblWorkPackages[[#This Row],[Request date serial]]&lt;HoldoutStart,"Validation H1","Holdout H2"))</f>
        <v>Train 2024</v>
      </c>
      <c r="T2382" s="51" t="str">
        <f>IF(tblWorkPackages[[#This Row],[Time split]]="Train 2024","",tblWorkPackages[[#This Row],[Estimated labor hours]]+VLOOKUP(tblWorkPackages[[#This Row],[Task type]],'Forecast validation'!$A$14:$E$25,IF(tblWorkPackages[[#This Row],[Time split]]="Validation H1",4,5),FALSE()))</f>
        <v/>
      </c>
      <c r="U2382" s="51" t="str">
        <f>IF(tblWorkPackages[[#This Row],[Calibrated forecast hours]]="","",ABS(tblWorkPackages[[#This Row],[Actual labor hours]]-tblWorkPackages[[#This Row],[Calibrated forecast hours]]))</f>
        <v/>
      </c>
      <c r="V2382" s="51">
        <f>IF(tblWorkPackages[[#This Row],[Time split]]="Train 2024",tblWorkPackages[[#This Row],[Estimated labor hours]],tblWorkPackages[[#This Row],[Calibrated forecast hours]])</f>
        <v>4.9</v>
      </c>
      <c r="W2382" s="64">
        <f>DATEVALUE(tblWorkPackages[[#This Row],[Request date]])</f>
        <v>45337.0</v>
      </c>
      <c r="X2382" s="64">
        <f>DATEVALUE(tblWorkPackages[[#This Row],[Due date]])</f>
        <v>45350.0</v>
      </c>
      <c r="Y2382" s="64">
        <f>DATEVALUE(tblWorkPackages[[#This Row],[Completion date]])</f>
        <v>45344.0</v>
      </c>
      <c r="Z2382" s="64">
        <f>_xlfn.MINIFS(tblLaborEntries[Work date serial],tblLaborEntries[Work package ID],tblWorkPackages[[#This Row],[Work package ID]])</f>
        <v>45343.0</v>
      </c>
      <c r="AA2382" s="64">
        <f>_xlfn.MAXIFS(tblLaborEntries[Work date serial],tblLaborEntries[Work package ID],tblWorkPackages[[#This Row],[Work package ID]])</f>
        <v>45344.0</v>
      </c>
      <c r="AB2382" s="65">
        <f>IF(tblWorkPackages[[#This Row],[Completion date serial]]&gt;tblWorkPackages[[#This Row],[Due date serial]],1,0)</f>
        <v>0</v>
      </c>
      <c r="AC2382" s="65">
        <f>MAX(0,tblWorkPackages[[#This Row],[Completion date serial]]-tblWorkPackages[[#This Row],[Due date serial]])</f>
        <v>0</v>
      </c>
      <c r="AD2382" s="65">
        <f>tblWorkPackages[[#This Row],[First labor date]]-tblWorkPackages[[#This Row],[Request date serial]]</f>
        <v>6</v>
      </c>
      <c r="AE2382" s="65">
        <f>tblWorkPackages[[#This Row],[Last labor date]]-tblWorkPackages[[#This Row],[First labor date]]</f>
        <v>1</v>
      </c>
      <c r="AF2382" s="65">
        <f>tblWorkPackages[[#This Row],[Completion date serial]]-tblWorkPackages[[#This Row],[Last labor date]]</f>
        <v>0</v>
      </c>
      <c r="AG2382" s="65">
        <f>tblWorkPackages[[#This Row],[Completion date serial]]-tblWorkPackages[[#This Row],[Request date serial]]</f>
        <v>7</v>
      </c>
      <c r="AH2382" s="65">
        <f>IFERROR(INDEX(tblParts[Delay days],MATCH(tblWorkPackages[[#This Row],[Work package ID]],tblParts[Work package ID],0)),0)</f>
        <v>0</v>
      </c>
      <c r="AI2382" s="51" t="str">
        <f>IFERROR(INDEX(tblDisruptions[Event type],MATCH(tblWorkPackages[[#This Row],[Work package ID]],tblDisruptions[Work package ID],0)),"None")</f>
        <v>None</v>
      </c>
      <c r="AJ2382" s="51" t="str">
        <f>TEXT(tblWorkPackages[[#This Row],[Due date serial]],"yyyy-mm")</f>
        <v>2024-02</v>
      </c>
    </row>
    <row r="2383" spans="1:36" ht="15" x14ac:dyDescent="0.25">
      <c r="A2383" s="53" t="s">
        <v>3301</v>
      </c>
      <c r="B2383" s="53" t="s">
        <v>157</v>
      </c>
      <c r="C2383" s="53" t="s">
        <v>139</v>
      </c>
      <c r="D2383" s="53" t="s">
        <v>624</v>
      </c>
      <c r="E2383" s="53" t="s">
        <v>181</v>
      </c>
      <c r="F2383" s="53" t="s">
        <v>182</v>
      </c>
      <c r="G2383" s="53" t="s">
        <v>138</v>
      </c>
      <c r="H2383" s="53">
        <v>2</v>
      </c>
      <c r="I2383" s="53" t="s">
        <v>130</v>
      </c>
      <c r="J2383" s="53">
        <v>0</v>
      </c>
      <c r="K2383" s="53">
        <v>0</v>
      </c>
      <c r="L2383" s="53">
        <v>6.3</v>
      </c>
      <c r="M2383" s="53" t="s">
        <v>529</v>
      </c>
      <c r="N2383" s="53">
        <v>5.9</v>
      </c>
      <c r="O2383" s="51" t="str">
        <f>TEXT(tblWorkPackages[[#This Row],[Request date serial]]-WEEKDAY(tblWorkPackages[[#This Row],[Request date serial]],3),"yyyy-mm-dd")</f>
        <v>2025-09-08</v>
      </c>
      <c r="P2383" s="51">
        <f>ABS(tblWorkPackages[[#This Row],[Actual labor hours]]-tblWorkPackages[[#This Row],[Estimated labor hours]])</f>
        <v>0.399999999999999</v>
      </c>
      <c r="Q2383" s="51">
        <f>IF(tblWorkPackages[[#This Row],[Actual labor hours]]&gt;tblWorkPackages[[#This Row],[Estimated labor hours]],1,0)</f>
        <v>0</v>
      </c>
      <c r="R2383" s="51">
        <f>tblWorkPackages[[#This Row],[Actual labor hours]]-tblWorkPackages[[#This Row],[Estimated labor hours]]</f>
        <v>-0.399999999999999</v>
      </c>
      <c r="S2383" s="51" t="str">
        <f>IF(tblWorkPackages[[#This Row],[Request date serial]]&lt;ValidationStart,"Train 2024",IF(tblWorkPackages[[#This Row],[Request date serial]]&lt;HoldoutStart,"Validation H1","Holdout H2"))</f>
        <v>Holdout H2</v>
      </c>
      <c r="T2383" s="51">
        <f>IF(tblWorkPackages[[#This Row],[Time split]]="Train 2024","",tblWorkPackages[[#This Row],[Estimated labor hours]]+VLOOKUP(tblWorkPackages[[#This Row],[Task type]],'Forecast validation'!$A$14:$E$25,IF(tblWorkPackages[[#This Row],[Time split]]="Validation H1",4,5),FALSE()))</f>
        <v>6.89160839160839</v>
      </c>
      <c r="U2383" s="51">
        <f>IF(tblWorkPackages[[#This Row],[Calibrated forecast hours]]="","",ABS(tblWorkPackages[[#This Row],[Actual labor hours]]-tblWorkPackages[[#This Row],[Calibrated forecast hours]]))</f>
        <v>0.991608391608391</v>
      </c>
      <c r="V2383" s="51">
        <f>IF(tblWorkPackages[[#This Row],[Time split]]="Train 2024",tblWorkPackages[[#This Row],[Estimated labor hours]],tblWorkPackages[[#This Row],[Calibrated forecast hours]])</f>
        <v>6.89160839160839</v>
      </c>
      <c r="W2383" s="64">
        <f>DATEVALUE(tblWorkPackages[[#This Row],[Request date]])</f>
        <v>45908.0</v>
      </c>
      <c r="X2383" s="64">
        <f>DATEVALUE(tblWorkPackages[[#This Row],[Due date]])</f>
        <v>45921.0</v>
      </c>
      <c r="Y2383" s="64">
        <f>DATEVALUE(tblWorkPackages[[#This Row],[Completion date]])</f>
        <v>45911.0</v>
      </c>
      <c r="Z2383" s="64">
        <f>_xlfn.MINIFS(tblLaborEntries[Work date serial],tblLaborEntries[Work package ID],tblWorkPackages[[#This Row],[Work package ID]])</f>
        <v>45910.0</v>
      </c>
      <c r="AA2383" s="64">
        <f>_xlfn.MAXIFS(tblLaborEntries[Work date serial],tblLaborEntries[Work package ID],tblWorkPackages[[#This Row],[Work package ID]])</f>
        <v>45910.0</v>
      </c>
      <c r="AB2383" s="65">
        <f>IF(tblWorkPackages[[#This Row],[Completion date serial]]&gt;tblWorkPackages[[#This Row],[Due date serial]],1,0)</f>
        <v>0</v>
      </c>
      <c r="AC2383" s="65">
        <f>MAX(0,tblWorkPackages[[#This Row],[Completion date serial]]-tblWorkPackages[[#This Row],[Due date serial]])</f>
        <v>0</v>
      </c>
      <c r="AD2383" s="65">
        <f>tblWorkPackages[[#This Row],[First labor date]]-tblWorkPackages[[#This Row],[Request date serial]]</f>
        <v>2</v>
      </c>
      <c r="AE2383" s="65">
        <f>tblWorkPackages[[#This Row],[Last labor date]]-tblWorkPackages[[#This Row],[First labor date]]</f>
        <v>0</v>
      </c>
      <c r="AF2383" s="65">
        <f>tblWorkPackages[[#This Row],[Completion date serial]]-tblWorkPackages[[#This Row],[Last labor date]]</f>
        <v>1</v>
      </c>
      <c r="AG2383" s="65">
        <f>tblWorkPackages[[#This Row],[Completion date serial]]-tblWorkPackages[[#This Row],[Request date serial]]</f>
        <v>3</v>
      </c>
      <c r="AH2383" s="65">
        <f>IFERROR(INDEX(tblParts[Delay days],MATCH(tblWorkPackages[[#This Row],[Work package ID]],tblParts[Work package ID],0)),0)</f>
        <v>0</v>
      </c>
      <c r="AI2383" s="51" t="str">
        <f>IFERROR(INDEX(tblDisruptions[Event type],MATCH(tblWorkPackages[[#This Row],[Work package ID]],tblDisruptions[Work package ID],0)),"None")</f>
        <v>None</v>
      </c>
      <c r="AJ2383" s="51" t="str">
        <f>TEXT(tblWorkPackages[[#This Row],[Due date serial]],"yyyy-mm")</f>
        <v>2025-09</v>
      </c>
    </row>
    <row r="2384" spans="1:36" ht="15" x14ac:dyDescent="0.25">
      <c r="A2384" s="53" t="s">
        <v>3302</v>
      </c>
      <c r="B2384" s="53" t="s">
        <v>168</v>
      </c>
      <c r="C2384" s="53" t="s">
        <v>788</v>
      </c>
      <c r="D2384" s="53" t="s">
        <v>1730</v>
      </c>
      <c r="E2384" s="53" t="s">
        <v>181</v>
      </c>
      <c r="F2384" s="53" t="s">
        <v>182</v>
      </c>
      <c r="G2384" s="53" t="s">
        <v>138</v>
      </c>
      <c r="H2384" s="53">
        <v>2</v>
      </c>
      <c r="I2384" s="53" t="s">
        <v>130</v>
      </c>
      <c r="J2384" s="53">
        <v>0</v>
      </c>
      <c r="K2384" s="53">
        <v>0</v>
      </c>
      <c r="L2384" s="53">
        <v>6.8</v>
      </c>
      <c r="M2384" s="53" t="s">
        <v>276</v>
      </c>
      <c r="N2384" s="53">
        <v>6.8</v>
      </c>
      <c r="O2384" s="51" t="str">
        <f>TEXT(tblWorkPackages[[#This Row],[Request date serial]]-WEEKDAY(tblWorkPackages[[#This Row],[Request date serial]],3),"yyyy-mm-dd")</f>
        <v>2024-09-30</v>
      </c>
      <c r="P2384" s="51">
        <f>ABS(tblWorkPackages[[#This Row],[Actual labor hours]]-tblWorkPackages[[#This Row],[Estimated labor hours]])</f>
        <v>0</v>
      </c>
      <c r="Q2384" s="51">
        <f>IF(tblWorkPackages[[#This Row],[Actual labor hours]]&gt;tblWorkPackages[[#This Row],[Estimated labor hours]],1,0)</f>
        <v>0</v>
      </c>
      <c r="R2384" s="51">
        <f>tblWorkPackages[[#This Row],[Actual labor hours]]-tblWorkPackages[[#This Row],[Estimated labor hours]]</f>
        <v>0</v>
      </c>
      <c r="S2384" s="51" t="str">
        <f>IF(tblWorkPackages[[#This Row],[Request date serial]]&lt;ValidationStart,"Train 2024",IF(tblWorkPackages[[#This Row],[Request date serial]]&lt;HoldoutStart,"Validation H1","Holdout H2"))</f>
        <v>Train 2024</v>
      </c>
      <c r="T2384" s="51" t="str">
        <f>IF(tblWorkPackages[[#This Row],[Time split]]="Train 2024","",tblWorkPackages[[#This Row],[Estimated labor hours]]+VLOOKUP(tblWorkPackages[[#This Row],[Task type]],'Forecast validation'!$A$14:$E$25,IF(tblWorkPackages[[#This Row],[Time split]]="Validation H1",4,5),FALSE()))</f>
        <v/>
      </c>
      <c r="U2384" s="51" t="str">
        <f>IF(tblWorkPackages[[#This Row],[Calibrated forecast hours]]="","",ABS(tblWorkPackages[[#This Row],[Actual labor hours]]-tblWorkPackages[[#This Row],[Calibrated forecast hours]]))</f>
        <v/>
      </c>
      <c r="V2384" s="51">
        <f>IF(tblWorkPackages[[#This Row],[Time split]]="Train 2024",tblWorkPackages[[#This Row],[Estimated labor hours]],tblWorkPackages[[#This Row],[Calibrated forecast hours]])</f>
        <v>6.8</v>
      </c>
      <c r="W2384" s="64">
        <f>DATEVALUE(tblWorkPackages[[#This Row],[Request date]])</f>
        <v>45566.0</v>
      </c>
      <c r="X2384" s="64">
        <f>DATEVALUE(tblWorkPackages[[#This Row],[Due date]])</f>
        <v>45579.0</v>
      </c>
      <c r="Y2384" s="64">
        <f>DATEVALUE(tblWorkPackages[[#This Row],[Completion date]])</f>
        <v>45584.0</v>
      </c>
      <c r="Z2384" s="64">
        <f>_xlfn.MINIFS(tblLaborEntries[Work date serial],tblLaborEntries[Work package ID],tblWorkPackages[[#This Row],[Work package ID]])</f>
        <v>45581.0</v>
      </c>
      <c r="AA2384" s="64">
        <f>_xlfn.MAXIFS(tblLaborEntries[Work date serial],tblLaborEntries[Work package ID],tblWorkPackages[[#This Row],[Work package ID]])</f>
        <v>45582.0</v>
      </c>
      <c r="AB2384" s="65">
        <f>IF(tblWorkPackages[[#This Row],[Completion date serial]]&gt;tblWorkPackages[[#This Row],[Due date serial]],1,0)</f>
        <v>1</v>
      </c>
      <c r="AC2384" s="65">
        <f>MAX(0,tblWorkPackages[[#This Row],[Completion date serial]]-tblWorkPackages[[#This Row],[Due date serial]])</f>
        <v>5</v>
      </c>
      <c r="AD2384" s="65">
        <f>tblWorkPackages[[#This Row],[First labor date]]-tblWorkPackages[[#This Row],[Request date serial]]</f>
        <v>15</v>
      </c>
      <c r="AE2384" s="65">
        <f>tblWorkPackages[[#This Row],[Last labor date]]-tblWorkPackages[[#This Row],[First labor date]]</f>
        <v>1</v>
      </c>
      <c r="AF2384" s="65">
        <f>tblWorkPackages[[#This Row],[Completion date serial]]-tblWorkPackages[[#This Row],[Last labor date]]</f>
        <v>2</v>
      </c>
      <c r="AG2384" s="65">
        <f>tblWorkPackages[[#This Row],[Completion date serial]]-tblWorkPackages[[#This Row],[Request date serial]]</f>
        <v>18</v>
      </c>
      <c r="AH2384" s="65">
        <f>IFERROR(INDEX(tblParts[Delay days],MATCH(tblWorkPackages[[#This Row],[Work package ID]],tblParts[Work package ID],0)),0)</f>
        <v>0</v>
      </c>
      <c r="AI2384" s="51" t="str">
        <f>IFERROR(INDEX(tblDisruptions[Event type],MATCH(tblWorkPackages[[#This Row],[Work package ID]],tblDisruptions[Work package ID],0)),"None")</f>
        <v>None</v>
      </c>
      <c r="AJ2384" s="51" t="str">
        <f>TEXT(tblWorkPackages[[#This Row],[Due date serial]],"yyyy-mm")</f>
        <v>2024-10</v>
      </c>
    </row>
    <row r="2385" spans="1:36" ht="15" x14ac:dyDescent="0.25">
      <c r="A2385" s="53" t="s">
        <v>3303</v>
      </c>
      <c r="B2385" s="53" t="s">
        <v>287</v>
      </c>
      <c r="C2385" s="53" t="s">
        <v>1466</v>
      </c>
      <c r="D2385" s="53" t="s">
        <v>805</v>
      </c>
      <c r="E2385" s="53" t="s">
        <v>160</v>
      </c>
      <c r="F2385" s="53" t="s">
        <v>128</v>
      </c>
      <c r="G2385" s="53" t="s">
        <v>138</v>
      </c>
      <c r="H2385" s="53">
        <v>1</v>
      </c>
      <c r="I2385" s="53" t="s">
        <v>147</v>
      </c>
      <c r="J2385" s="53">
        <v>0</v>
      </c>
      <c r="K2385" s="53">
        <v>0</v>
      </c>
      <c r="L2385" s="53">
        <v>3.3</v>
      </c>
      <c r="M2385" s="53" t="s">
        <v>926</v>
      </c>
      <c r="N2385" s="53">
        <v>3.3</v>
      </c>
      <c r="O2385" s="51" t="str">
        <f>TEXT(tblWorkPackages[[#This Row],[Request date serial]]-WEEKDAY(tblWorkPackages[[#This Row],[Request date serial]],3),"yyyy-mm-dd")</f>
        <v>2024-02-05</v>
      </c>
      <c r="P2385" s="51">
        <f>ABS(tblWorkPackages[[#This Row],[Actual labor hours]]-tblWorkPackages[[#This Row],[Estimated labor hours]])</f>
        <v>0</v>
      </c>
      <c r="Q2385" s="51">
        <f>IF(tblWorkPackages[[#This Row],[Actual labor hours]]&gt;tblWorkPackages[[#This Row],[Estimated labor hours]],1,0)</f>
        <v>0</v>
      </c>
      <c r="R2385" s="51">
        <f>tblWorkPackages[[#This Row],[Actual labor hours]]-tblWorkPackages[[#This Row],[Estimated labor hours]]</f>
        <v>0</v>
      </c>
      <c r="S2385" s="51" t="str">
        <f>IF(tblWorkPackages[[#This Row],[Request date serial]]&lt;ValidationStart,"Train 2024",IF(tblWorkPackages[[#This Row],[Request date serial]]&lt;HoldoutStart,"Validation H1","Holdout H2"))</f>
        <v>Train 2024</v>
      </c>
      <c r="T2385" s="51" t="str">
        <f>IF(tblWorkPackages[[#This Row],[Time split]]="Train 2024","",tblWorkPackages[[#This Row],[Estimated labor hours]]+VLOOKUP(tblWorkPackages[[#This Row],[Task type]],'Forecast validation'!$A$14:$E$25,IF(tblWorkPackages[[#This Row],[Time split]]="Validation H1",4,5),FALSE()))</f>
        <v/>
      </c>
      <c r="U2385" s="51" t="str">
        <f>IF(tblWorkPackages[[#This Row],[Calibrated forecast hours]]="","",ABS(tblWorkPackages[[#This Row],[Actual labor hours]]-tblWorkPackages[[#This Row],[Calibrated forecast hours]]))</f>
        <v/>
      </c>
      <c r="V2385" s="51">
        <f>IF(tblWorkPackages[[#This Row],[Time split]]="Train 2024",tblWorkPackages[[#This Row],[Estimated labor hours]],tblWorkPackages[[#This Row],[Calibrated forecast hours]])</f>
        <v>3.3</v>
      </c>
      <c r="W2385" s="64">
        <f>DATEVALUE(tblWorkPackages[[#This Row],[Request date]])</f>
        <v>45333.0</v>
      </c>
      <c r="X2385" s="64">
        <f>DATEVALUE(tblWorkPackages[[#This Row],[Due date]])</f>
        <v>45335.0</v>
      </c>
      <c r="Y2385" s="64">
        <f>DATEVALUE(tblWorkPackages[[#This Row],[Completion date]])</f>
        <v>45340.0</v>
      </c>
      <c r="Z2385" s="64">
        <f>_xlfn.MINIFS(tblLaborEntries[Work date serial],tblLaborEntries[Work package ID],tblWorkPackages[[#This Row],[Work package ID]])</f>
        <v>45337.0</v>
      </c>
      <c r="AA2385" s="64">
        <f>_xlfn.MAXIFS(tblLaborEntries[Work date serial],tblLaborEntries[Work package ID],tblWorkPackages[[#This Row],[Work package ID]])</f>
        <v>45337.0</v>
      </c>
      <c r="AB2385" s="65">
        <f>IF(tblWorkPackages[[#This Row],[Completion date serial]]&gt;tblWorkPackages[[#This Row],[Due date serial]],1,0)</f>
        <v>1</v>
      </c>
      <c r="AC2385" s="65">
        <f>MAX(0,tblWorkPackages[[#This Row],[Completion date serial]]-tblWorkPackages[[#This Row],[Due date serial]])</f>
        <v>5</v>
      </c>
      <c r="AD2385" s="65">
        <f>tblWorkPackages[[#This Row],[First labor date]]-tblWorkPackages[[#This Row],[Request date serial]]</f>
        <v>4</v>
      </c>
      <c r="AE2385" s="65">
        <f>tblWorkPackages[[#This Row],[Last labor date]]-tblWorkPackages[[#This Row],[First labor date]]</f>
        <v>0</v>
      </c>
      <c r="AF2385" s="65">
        <f>tblWorkPackages[[#This Row],[Completion date serial]]-tblWorkPackages[[#This Row],[Last labor date]]</f>
        <v>3</v>
      </c>
      <c r="AG2385" s="65">
        <f>tblWorkPackages[[#This Row],[Completion date serial]]-tblWorkPackages[[#This Row],[Request date serial]]</f>
        <v>7</v>
      </c>
      <c r="AH2385" s="65">
        <f>IFERROR(INDEX(tblParts[Delay days],MATCH(tblWorkPackages[[#This Row],[Work package ID]],tblParts[Work package ID],0)),0)</f>
        <v>0</v>
      </c>
      <c r="AI2385" s="51" t="str">
        <f>IFERROR(INDEX(tblDisruptions[Event type],MATCH(tblWorkPackages[[#This Row],[Work package ID]],tblDisruptions[Work package ID],0)),"None")</f>
        <v>None</v>
      </c>
      <c r="AJ2385" s="51" t="str">
        <f>TEXT(tblWorkPackages[[#This Row],[Due date serial]],"yyyy-mm")</f>
        <v>2024-02</v>
      </c>
    </row>
    <row r="2386" spans="1:36" ht="15" x14ac:dyDescent="0.25">
      <c r="A2386" s="53" t="s">
        <v>3304</v>
      </c>
      <c r="B2386" s="53" t="s">
        <v>124</v>
      </c>
      <c r="C2386" s="53" t="s">
        <v>134</v>
      </c>
      <c r="D2386" s="53" t="s">
        <v>135</v>
      </c>
      <c r="E2386" s="53" t="s">
        <v>242</v>
      </c>
      <c r="F2386" s="53" t="s">
        <v>243</v>
      </c>
      <c r="G2386" s="53" t="s">
        <v>129</v>
      </c>
      <c r="H2386" s="53">
        <v>2</v>
      </c>
      <c r="I2386" s="53" t="s">
        <v>130</v>
      </c>
      <c r="J2386" s="53">
        <v>0</v>
      </c>
      <c r="K2386" s="53">
        <v>0</v>
      </c>
      <c r="L2386" s="53">
        <v>7.8</v>
      </c>
      <c r="M2386" s="53" t="s">
        <v>886</v>
      </c>
      <c r="N2386" s="53">
        <v>7</v>
      </c>
      <c r="O2386" s="51" t="str">
        <f>TEXT(tblWorkPackages[[#This Row],[Request date serial]]-WEEKDAY(tblWorkPackages[[#This Row],[Request date serial]],3),"yyyy-mm-dd")</f>
        <v>2025-09-01</v>
      </c>
      <c r="P2386" s="51">
        <f>ABS(tblWorkPackages[[#This Row],[Actual labor hours]]-tblWorkPackages[[#This Row],[Estimated labor hours]])</f>
        <v>0.8</v>
      </c>
      <c r="Q2386" s="51">
        <f>IF(tblWorkPackages[[#This Row],[Actual labor hours]]&gt;tblWorkPackages[[#This Row],[Estimated labor hours]],1,0)</f>
        <v>0</v>
      </c>
      <c r="R2386" s="51">
        <f>tblWorkPackages[[#This Row],[Actual labor hours]]-tblWorkPackages[[#This Row],[Estimated labor hours]]</f>
        <v>-0.8</v>
      </c>
      <c r="S2386" s="51" t="str">
        <f>IF(tblWorkPackages[[#This Row],[Request date serial]]&lt;ValidationStart,"Train 2024",IF(tblWorkPackages[[#This Row],[Request date serial]]&lt;HoldoutStart,"Validation H1","Holdout H2"))</f>
        <v>Holdout H2</v>
      </c>
      <c r="T2386" s="51">
        <f>IF(tblWorkPackages[[#This Row],[Time split]]="Train 2024","",tblWorkPackages[[#This Row],[Estimated labor hours]]+VLOOKUP(tblWorkPackages[[#This Row],[Task type]],'Forecast validation'!$A$14:$E$25,IF(tblWorkPackages[[#This Row],[Time split]]="Validation H1",4,5),FALSE()))</f>
        <v>8.62545454545455</v>
      </c>
      <c r="U2386" s="51">
        <f>IF(tblWorkPackages[[#This Row],[Calibrated forecast hours]]="","",ABS(tblWorkPackages[[#This Row],[Actual labor hours]]-tblWorkPackages[[#This Row],[Calibrated forecast hours]]))</f>
        <v>1.62545454545455</v>
      </c>
      <c r="V2386" s="51">
        <f>IF(tblWorkPackages[[#This Row],[Time split]]="Train 2024",tblWorkPackages[[#This Row],[Estimated labor hours]],tblWorkPackages[[#This Row],[Calibrated forecast hours]])</f>
        <v>8.62545454545455</v>
      </c>
      <c r="W2386" s="64">
        <f>DATEVALUE(tblWorkPackages[[#This Row],[Request date]])</f>
        <v>45905.0</v>
      </c>
      <c r="X2386" s="64">
        <f>DATEVALUE(tblWorkPackages[[#This Row],[Due date]])</f>
        <v>45918.0</v>
      </c>
      <c r="Y2386" s="64">
        <f>DATEVALUE(tblWorkPackages[[#This Row],[Completion date]])</f>
        <v>45907.0</v>
      </c>
      <c r="Z2386" s="64">
        <f>_xlfn.MINIFS(tblLaborEntries[Work date serial],tblLaborEntries[Work package ID],tblWorkPackages[[#This Row],[Work package ID]])</f>
        <v>45906.0</v>
      </c>
      <c r="AA2386" s="64">
        <f>_xlfn.MAXIFS(tblLaborEntries[Work date serial],tblLaborEntries[Work package ID],tblWorkPackages[[#This Row],[Work package ID]])</f>
        <v>45907.0</v>
      </c>
      <c r="AB2386" s="65">
        <f>IF(tblWorkPackages[[#This Row],[Completion date serial]]&gt;tblWorkPackages[[#This Row],[Due date serial]],1,0)</f>
        <v>0</v>
      </c>
      <c r="AC2386" s="65">
        <f>MAX(0,tblWorkPackages[[#This Row],[Completion date serial]]-tblWorkPackages[[#This Row],[Due date serial]])</f>
        <v>0</v>
      </c>
      <c r="AD2386" s="65">
        <f>tblWorkPackages[[#This Row],[First labor date]]-tblWorkPackages[[#This Row],[Request date serial]]</f>
        <v>1</v>
      </c>
      <c r="AE2386" s="65">
        <f>tblWorkPackages[[#This Row],[Last labor date]]-tblWorkPackages[[#This Row],[First labor date]]</f>
        <v>1</v>
      </c>
      <c r="AF2386" s="65">
        <f>tblWorkPackages[[#This Row],[Completion date serial]]-tblWorkPackages[[#This Row],[Last labor date]]</f>
        <v>0</v>
      </c>
      <c r="AG2386" s="65">
        <f>tblWorkPackages[[#This Row],[Completion date serial]]-tblWorkPackages[[#This Row],[Request date serial]]</f>
        <v>2</v>
      </c>
      <c r="AH2386" s="65">
        <f>IFERROR(INDEX(tblParts[Delay days],MATCH(tblWorkPackages[[#This Row],[Work package ID]],tblParts[Work package ID],0)),0)</f>
        <v>0</v>
      </c>
      <c r="AI2386" s="51" t="str">
        <f>IFERROR(INDEX(tblDisruptions[Event type],MATCH(tblWorkPackages[[#This Row],[Work package ID]],tblDisruptions[Work package ID],0)),"None")</f>
        <v>None</v>
      </c>
      <c r="AJ2386" s="51" t="str">
        <f>TEXT(tblWorkPackages[[#This Row],[Due date serial]],"yyyy-mm")</f>
        <v>2025-09</v>
      </c>
    </row>
    <row r="2387" spans="1:36" ht="15" x14ac:dyDescent="0.25">
      <c r="A2387" s="53" t="s">
        <v>3305</v>
      </c>
      <c r="B2387" s="53" t="s">
        <v>235</v>
      </c>
      <c r="C2387" s="53" t="s">
        <v>339</v>
      </c>
      <c r="D2387" s="53" t="s">
        <v>1311</v>
      </c>
      <c r="E2387" s="53" t="s">
        <v>136</v>
      </c>
      <c r="F2387" s="53" t="s">
        <v>137</v>
      </c>
      <c r="G2387" s="53" t="s">
        <v>138</v>
      </c>
      <c r="H2387" s="53">
        <v>4</v>
      </c>
      <c r="I2387" s="53" t="s">
        <v>130</v>
      </c>
      <c r="J2387" s="53">
        <v>0</v>
      </c>
      <c r="K2387" s="53">
        <v>0</v>
      </c>
      <c r="L2387" s="53">
        <v>28.7</v>
      </c>
      <c r="M2387" s="53" t="s">
        <v>399</v>
      </c>
      <c r="N2387" s="53">
        <v>31</v>
      </c>
      <c r="O2387" s="51" t="str">
        <f>TEXT(tblWorkPackages[[#This Row],[Request date serial]]-WEEKDAY(tblWorkPackages[[#This Row],[Request date serial]],3),"yyyy-mm-dd")</f>
        <v>2024-05-13</v>
      </c>
      <c r="P2387" s="51">
        <f>ABS(tblWorkPackages[[#This Row],[Actual labor hours]]-tblWorkPackages[[#This Row],[Estimated labor hours]])</f>
        <v>2.3</v>
      </c>
      <c r="Q2387" s="51">
        <f>IF(tblWorkPackages[[#This Row],[Actual labor hours]]&gt;tblWorkPackages[[#This Row],[Estimated labor hours]],1,0)</f>
        <v>1</v>
      </c>
      <c r="R2387" s="51">
        <f>tblWorkPackages[[#This Row],[Actual labor hours]]-tblWorkPackages[[#This Row],[Estimated labor hours]]</f>
        <v>2.3</v>
      </c>
      <c r="S2387" s="51" t="str">
        <f>IF(tblWorkPackages[[#This Row],[Request date serial]]&lt;ValidationStart,"Train 2024",IF(tblWorkPackages[[#This Row],[Request date serial]]&lt;HoldoutStart,"Validation H1","Holdout H2"))</f>
        <v>Train 2024</v>
      </c>
      <c r="T2387" s="51" t="str">
        <f>IF(tblWorkPackages[[#This Row],[Time split]]="Train 2024","",tblWorkPackages[[#This Row],[Estimated labor hours]]+VLOOKUP(tblWorkPackages[[#This Row],[Task type]],'Forecast validation'!$A$14:$E$25,IF(tblWorkPackages[[#This Row],[Time split]]="Validation H1",4,5),FALSE()))</f>
        <v/>
      </c>
      <c r="U2387" s="51" t="str">
        <f>IF(tblWorkPackages[[#This Row],[Calibrated forecast hours]]="","",ABS(tblWorkPackages[[#This Row],[Actual labor hours]]-tblWorkPackages[[#This Row],[Calibrated forecast hours]]))</f>
        <v/>
      </c>
      <c r="V2387" s="51">
        <f>IF(tblWorkPackages[[#This Row],[Time split]]="Train 2024",tblWorkPackages[[#This Row],[Estimated labor hours]],tblWorkPackages[[#This Row],[Calibrated forecast hours]])</f>
        <v>28.7</v>
      </c>
      <c r="W2387" s="64">
        <f>DATEVALUE(tblWorkPackages[[#This Row],[Request date]])</f>
        <v>45426.0</v>
      </c>
      <c r="X2387" s="64">
        <f>DATEVALUE(tblWorkPackages[[#This Row],[Due date]])</f>
        <v>45439.0</v>
      </c>
      <c r="Y2387" s="64">
        <f>DATEVALUE(tblWorkPackages[[#This Row],[Completion date]])</f>
        <v>45436.0</v>
      </c>
      <c r="Z2387" s="64">
        <f>_xlfn.MINIFS(tblLaborEntries[Work date serial],tblLaborEntries[Work package ID],tblWorkPackages[[#This Row],[Work package ID]])</f>
        <v>45435.0</v>
      </c>
      <c r="AA2387" s="64">
        <f>_xlfn.MAXIFS(tblLaborEntries[Work date serial],tblLaborEntries[Work package ID],tblWorkPackages[[#This Row],[Work package ID]])</f>
        <v>45435.0</v>
      </c>
      <c r="AB2387" s="65">
        <f>IF(tblWorkPackages[[#This Row],[Completion date serial]]&gt;tblWorkPackages[[#This Row],[Due date serial]],1,0)</f>
        <v>0</v>
      </c>
      <c r="AC2387" s="65">
        <f>MAX(0,tblWorkPackages[[#This Row],[Completion date serial]]-tblWorkPackages[[#This Row],[Due date serial]])</f>
        <v>0</v>
      </c>
      <c r="AD2387" s="65">
        <f>tblWorkPackages[[#This Row],[First labor date]]-tblWorkPackages[[#This Row],[Request date serial]]</f>
        <v>9</v>
      </c>
      <c r="AE2387" s="65">
        <f>tblWorkPackages[[#This Row],[Last labor date]]-tblWorkPackages[[#This Row],[First labor date]]</f>
        <v>0</v>
      </c>
      <c r="AF2387" s="65">
        <f>tblWorkPackages[[#This Row],[Completion date serial]]-tblWorkPackages[[#This Row],[Last labor date]]</f>
        <v>1</v>
      </c>
      <c r="AG2387" s="65">
        <f>tblWorkPackages[[#This Row],[Completion date serial]]-tblWorkPackages[[#This Row],[Request date serial]]</f>
        <v>10</v>
      </c>
      <c r="AH2387" s="65">
        <f>IFERROR(INDEX(tblParts[Delay days],MATCH(tblWorkPackages[[#This Row],[Work package ID]],tblParts[Work package ID],0)),0)</f>
        <v>0</v>
      </c>
      <c r="AI2387" s="51" t="str">
        <f>IFERROR(INDEX(tblDisruptions[Event type],MATCH(tblWorkPackages[[#This Row],[Work package ID]],tblDisruptions[Work package ID],0)),"None")</f>
        <v>None</v>
      </c>
      <c r="AJ2387" s="51" t="str">
        <f>TEXT(tblWorkPackages[[#This Row],[Due date serial]],"yyyy-mm")</f>
        <v>2024-05</v>
      </c>
    </row>
    <row r="2388" spans="1:36" ht="15" x14ac:dyDescent="0.25">
      <c r="A2388" s="53" t="s">
        <v>3306</v>
      </c>
      <c r="B2388" s="53" t="s">
        <v>168</v>
      </c>
      <c r="C2388" s="53" t="s">
        <v>3062</v>
      </c>
      <c r="D2388" s="53" t="s">
        <v>1524</v>
      </c>
      <c r="E2388" s="53" t="s">
        <v>153</v>
      </c>
      <c r="F2388" s="53" t="s">
        <v>128</v>
      </c>
      <c r="G2388" s="53" t="s">
        <v>154</v>
      </c>
      <c r="H2388" s="53">
        <v>2</v>
      </c>
      <c r="I2388" s="53" t="s">
        <v>130</v>
      </c>
      <c r="J2388" s="53">
        <v>0</v>
      </c>
      <c r="K2388" s="53">
        <v>0</v>
      </c>
      <c r="L2388" s="53">
        <v>9.6999999999999993</v>
      </c>
      <c r="M2388" s="53" t="s">
        <v>1667</v>
      </c>
      <c r="N2388" s="53">
        <v>10.5</v>
      </c>
      <c r="O2388" s="51" t="str">
        <f>TEXT(tblWorkPackages[[#This Row],[Request date serial]]-WEEKDAY(tblWorkPackages[[#This Row],[Request date serial]],3),"yyyy-mm-dd")</f>
        <v>2024-01-01</v>
      </c>
      <c r="P2388" s="51">
        <f>ABS(tblWorkPackages[[#This Row],[Actual labor hours]]-tblWorkPackages[[#This Row],[Estimated labor hours]])</f>
        <v>0.800000000000001</v>
      </c>
      <c r="Q2388" s="51">
        <f>IF(tblWorkPackages[[#This Row],[Actual labor hours]]&gt;tblWorkPackages[[#This Row],[Estimated labor hours]],1,0)</f>
        <v>1</v>
      </c>
      <c r="R2388" s="51">
        <f>tblWorkPackages[[#This Row],[Actual labor hours]]-tblWorkPackages[[#This Row],[Estimated labor hours]]</f>
        <v>0.800000000000001</v>
      </c>
      <c r="S2388" s="51" t="str">
        <f>IF(tblWorkPackages[[#This Row],[Request date serial]]&lt;ValidationStart,"Train 2024",IF(tblWorkPackages[[#This Row],[Request date serial]]&lt;HoldoutStart,"Validation H1","Holdout H2"))</f>
        <v>Train 2024</v>
      </c>
      <c r="T2388" s="51" t="str">
        <f>IF(tblWorkPackages[[#This Row],[Time split]]="Train 2024","",tblWorkPackages[[#This Row],[Estimated labor hours]]+VLOOKUP(tblWorkPackages[[#This Row],[Task type]],'Forecast validation'!$A$14:$E$25,IF(tblWorkPackages[[#This Row],[Time split]]="Validation H1",4,5),FALSE()))</f>
        <v/>
      </c>
      <c r="U2388" s="51" t="str">
        <f>IF(tblWorkPackages[[#This Row],[Calibrated forecast hours]]="","",ABS(tblWorkPackages[[#This Row],[Actual labor hours]]-tblWorkPackages[[#This Row],[Calibrated forecast hours]]))</f>
        <v/>
      </c>
      <c r="V2388" s="51">
        <f>IF(tblWorkPackages[[#This Row],[Time split]]="Train 2024",tblWorkPackages[[#This Row],[Estimated labor hours]],tblWorkPackages[[#This Row],[Calibrated forecast hours]])</f>
        <v>9.7</v>
      </c>
      <c r="W2388" s="64">
        <f>DATEVALUE(tblWorkPackages[[#This Row],[Request date]])</f>
        <v>45295.0</v>
      </c>
      <c r="X2388" s="64">
        <f>DATEVALUE(tblWorkPackages[[#This Row],[Due date]])</f>
        <v>45308.0</v>
      </c>
      <c r="Y2388" s="64">
        <f>DATEVALUE(tblWorkPackages[[#This Row],[Completion date]])</f>
        <v>45301.0</v>
      </c>
      <c r="Z2388" s="64">
        <f>_xlfn.MINIFS(tblLaborEntries[Work date serial],tblLaborEntries[Work package ID],tblWorkPackages[[#This Row],[Work package ID]])</f>
        <v>45297.0</v>
      </c>
      <c r="AA2388" s="64">
        <f>_xlfn.MAXIFS(tblLaborEntries[Work date serial],tblLaborEntries[Work package ID],tblWorkPackages[[#This Row],[Work package ID]])</f>
        <v>45299.0</v>
      </c>
      <c r="AB2388" s="65">
        <f>IF(tblWorkPackages[[#This Row],[Completion date serial]]&gt;tblWorkPackages[[#This Row],[Due date serial]],1,0)</f>
        <v>0</v>
      </c>
      <c r="AC2388" s="65">
        <f>MAX(0,tblWorkPackages[[#This Row],[Completion date serial]]-tblWorkPackages[[#This Row],[Due date serial]])</f>
        <v>0</v>
      </c>
      <c r="AD2388" s="65">
        <f>tblWorkPackages[[#This Row],[First labor date]]-tblWorkPackages[[#This Row],[Request date serial]]</f>
        <v>2</v>
      </c>
      <c r="AE2388" s="65">
        <f>tblWorkPackages[[#This Row],[Last labor date]]-tblWorkPackages[[#This Row],[First labor date]]</f>
        <v>2</v>
      </c>
      <c r="AF2388" s="65">
        <f>tblWorkPackages[[#This Row],[Completion date serial]]-tblWorkPackages[[#This Row],[Last labor date]]</f>
        <v>2</v>
      </c>
      <c r="AG2388" s="65">
        <f>tblWorkPackages[[#This Row],[Completion date serial]]-tblWorkPackages[[#This Row],[Request date serial]]</f>
        <v>6</v>
      </c>
      <c r="AH2388" s="65">
        <f>IFERROR(INDEX(tblParts[Delay days],MATCH(tblWorkPackages[[#This Row],[Work package ID]],tblParts[Work package ID],0)),0)</f>
        <v>0</v>
      </c>
      <c r="AI2388" s="51" t="str">
        <f>IFERROR(INDEX(tblDisruptions[Event type],MATCH(tblWorkPackages[[#This Row],[Work package ID]],tblDisruptions[Work package ID],0)),"None")</f>
        <v>None</v>
      </c>
      <c r="AJ2388" s="51" t="str">
        <f>TEXT(tblWorkPackages[[#This Row],[Due date serial]],"yyyy-mm")</f>
        <v>2024-01</v>
      </c>
    </row>
    <row r="2389" spans="1:36" ht="15" x14ac:dyDescent="0.25">
      <c r="A2389" s="53" t="s">
        <v>3307</v>
      </c>
      <c r="B2389" s="53" t="s">
        <v>250</v>
      </c>
      <c r="C2389" s="53" t="s">
        <v>569</v>
      </c>
      <c r="D2389" s="53" t="s">
        <v>425</v>
      </c>
      <c r="E2389" s="53" t="s">
        <v>144</v>
      </c>
      <c r="F2389" s="53" t="s">
        <v>145</v>
      </c>
      <c r="G2389" s="53" t="s">
        <v>146</v>
      </c>
      <c r="H2389" s="53">
        <v>4</v>
      </c>
      <c r="I2389" s="53" t="s">
        <v>130</v>
      </c>
      <c r="J2389" s="53">
        <v>0</v>
      </c>
      <c r="K2389" s="53">
        <v>0</v>
      </c>
      <c r="L2389" s="53">
        <v>21</v>
      </c>
      <c r="M2389" s="53" t="s">
        <v>174</v>
      </c>
      <c r="N2389" s="53">
        <v>25.7</v>
      </c>
      <c r="O2389" s="51" t="str">
        <f>TEXT(tblWorkPackages[[#This Row],[Request date serial]]-WEEKDAY(tblWorkPackages[[#This Row],[Request date serial]],3),"yyyy-mm-dd")</f>
        <v>2025-05-26</v>
      </c>
      <c r="P2389" s="51">
        <f>ABS(tblWorkPackages[[#This Row],[Actual labor hours]]-tblWorkPackages[[#This Row],[Estimated labor hours]])</f>
        <v>4.7</v>
      </c>
      <c r="Q2389" s="51">
        <f>IF(tblWorkPackages[[#This Row],[Actual labor hours]]&gt;tblWorkPackages[[#This Row],[Estimated labor hours]],1,0)</f>
        <v>1</v>
      </c>
      <c r="R2389" s="51">
        <f>tblWorkPackages[[#This Row],[Actual labor hours]]-tblWorkPackages[[#This Row],[Estimated labor hours]]</f>
        <v>4.7</v>
      </c>
      <c r="S2389" s="51" t="str">
        <f>IF(tblWorkPackages[[#This Row],[Request date serial]]&lt;ValidationStart,"Train 2024",IF(tblWorkPackages[[#This Row],[Request date serial]]&lt;HoldoutStart,"Validation H1","Holdout H2"))</f>
        <v>Validation H1</v>
      </c>
      <c r="T2389" s="51">
        <f>IF(tblWorkPackages[[#This Row],[Time split]]="Train 2024","",tblWorkPackages[[#This Row],[Estimated labor hours]]+VLOOKUP(tblWorkPackages[[#This Row],[Task type]],'Forecast validation'!$A$14:$E$25,IF(tblWorkPackages[[#This Row],[Time split]]="Validation H1",4,5),FALSE()))</f>
        <v>21.7547368421053</v>
      </c>
      <c r="U2389" s="51">
        <f>IF(tblWorkPackages[[#This Row],[Calibrated forecast hours]]="","",ABS(tblWorkPackages[[#This Row],[Actual labor hours]]-tblWorkPackages[[#This Row],[Calibrated forecast hours]]))</f>
        <v>3.94526315789474</v>
      </c>
      <c r="V2389" s="51">
        <f>IF(tblWorkPackages[[#This Row],[Time split]]="Train 2024",tblWorkPackages[[#This Row],[Estimated labor hours]],tblWorkPackages[[#This Row],[Calibrated forecast hours]])</f>
        <v>21.7547368421053</v>
      </c>
      <c r="W2389" s="64">
        <f>DATEVALUE(tblWorkPackages[[#This Row],[Request date]])</f>
        <v>45807.0</v>
      </c>
      <c r="X2389" s="64">
        <f>DATEVALUE(tblWorkPackages[[#This Row],[Due date]])</f>
        <v>45820.0</v>
      </c>
      <c r="Y2389" s="64">
        <f>DATEVALUE(tblWorkPackages[[#This Row],[Completion date]])</f>
        <v>45836.0</v>
      </c>
      <c r="Z2389" s="64">
        <f>_xlfn.MINIFS(tblLaborEntries[Work date serial],tblLaborEntries[Work package ID],tblWorkPackages[[#This Row],[Work package ID]])</f>
        <v>45832.0</v>
      </c>
      <c r="AA2389" s="64">
        <f>_xlfn.MAXIFS(tblLaborEntries[Work date serial],tblLaborEntries[Work package ID],tblWorkPackages[[#This Row],[Work package ID]])</f>
        <v>45833.0</v>
      </c>
      <c r="AB2389" s="65">
        <f>IF(tblWorkPackages[[#This Row],[Completion date serial]]&gt;tblWorkPackages[[#This Row],[Due date serial]],1,0)</f>
        <v>1</v>
      </c>
      <c r="AC2389" s="65">
        <f>MAX(0,tblWorkPackages[[#This Row],[Completion date serial]]-tblWorkPackages[[#This Row],[Due date serial]])</f>
        <v>16</v>
      </c>
      <c r="AD2389" s="65">
        <f>tblWorkPackages[[#This Row],[First labor date]]-tblWorkPackages[[#This Row],[Request date serial]]</f>
        <v>25</v>
      </c>
      <c r="AE2389" s="65">
        <f>tblWorkPackages[[#This Row],[Last labor date]]-tblWorkPackages[[#This Row],[First labor date]]</f>
        <v>1</v>
      </c>
      <c r="AF2389" s="65">
        <f>tblWorkPackages[[#This Row],[Completion date serial]]-tblWorkPackages[[#This Row],[Last labor date]]</f>
        <v>3</v>
      </c>
      <c r="AG2389" s="65">
        <f>tblWorkPackages[[#This Row],[Completion date serial]]-tblWorkPackages[[#This Row],[Request date serial]]</f>
        <v>29</v>
      </c>
      <c r="AH2389" s="65">
        <f>IFERROR(INDEX(tblParts[Delay days],MATCH(tblWorkPackages[[#This Row],[Work package ID]],tblParts[Work package ID],0)),0)</f>
        <v>0</v>
      </c>
      <c r="AI2389" s="51" t="str">
        <f>IFERROR(INDEX(tblDisruptions[Event type],MATCH(tblWorkPackages[[#This Row],[Work package ID]],tblDisruptions[Work package ID],0)),"None")</f>
        <v>None</v>
      </c>
      <c r="AJ2389" s="51" t="str">
        <f>TEXT(tblWorkPackages[[#This Row],[Due date serial]],"yyyy-mm")</f>
        <v>2025-06</v>
      </c>
    </row>
    <row r="2390" spans="1:36" ht="15" x14ac:dyDescent="0.25">
      <c r="A2390" s="53" t="s">
        <v>3308</v>
      </c>
      <c r="B2390" s="53" t="s">
        <v>150</v>
      </c>
      <c r="C2390" s="53" t="s">
        <v>517</v>
      </c>
      <c r="D2390" s="53" t="s">
        <v>1560</v>
      </c>
      <c r="E2390" s="53" t="s">
        <v>272</v>
      </c>
      <c r="F2390" s="53" t="s">
        <v>145</v>
      </c>
      <c r="G2390" s="53" t="s">
        <v>273</v>
      </c>
      <c r="H2390" s="53">
        <v>4</v>
      </c>
      <c r="I2390" s="53" t="s">
        <v>130</v>
      </c>
      <c r="J2390" s="53">
        <v>0</v>
      </c>
      <c r="K2390" s="53">
        <v>1</v>
      </c>
      <c r="L2390" s="53">
        <v>24.5</v>
      </c>
      <c r="M2390" s="53" t="s">
        <v>183</v>
      </c>
      <c r="N2390" s="53">
        <v>23.1</v>
      </c>
      <c r="O2390" s="51" t="str">
        <f>TEXT(tblWorkPackages[[#This Row],[Request date serial]]-WEEKDAY(tblWorkPackages[[#This Row],[Request date serial]],3),"yyyy-mm-dd")</f>
        <v>2025-05-05</v>
      </c>
      <c r="P2390" s="51">
        <f>ABS(tblWorkPackages[[#This Row],[Actual labor hours]]-tblWorkPackages[[#This Row],[Estimated labor hours]])</f>
        <v>1.4</v>
      </c>
      <c r="Q2390" s="51">
        <f>IF(tblWorkPackages[[#This Row],[Actual labor hours]]&gt;tblWorkPackages[[#This Row],[Estimated labor hours]],1,0)</f>
        <v>0</v>
      </c>
      <c r="R2390" s="51">
        <f>tblWorkPackages[[#This Row],[Actual labor hours]]-tblWorkPackages[[#This Row],[Estimated labor hours]]</f>
        <v>-1.4</v>
      </c>
      <c r="S2390" s="51" t="str">
        <f>IF(tblWorkPackages[[#This Row],[Request date serial]]&lt;ValidationStart,"Train 2024",IF(tblWorkPackages[[#This Row],[Request date serial]]&lt;HoldoutStart,"Validation H1","Holdout H2"))</f>
        <v>Validation H1</v>
      </c>
      <c r="T2390" s="51">
        <f>IF(tblWorkPackages[[#This Row],[Time split]]="Train 2024","",tblWorkPackages[[#This Row],[Estimated labor hours]]+VLOOKUP(tblWorkPackages[[#This Row],[Task type]],'Forecast validation'!$A$14:$E$25,IF(tblWorkPackages[[#This Row],[Time split]]="Validation H1",4,5),FALSE()))</f>
        <v>25.5320512820513</v>
      </c>
      <c r="U2390" s="51">
        <f>IF(tblWorkPackages[[#This Row],[Calibrated forecast hours]]="","",ABS(tblWorkPackages[[#This Row],[Actual labor hours]]-tblWorkPackages[[#This Row],[Calibrated forecast hours]]))</f>
        <v>2.43205128205128</v>
      </c>
      <c r="V2390" s="51">
        <f>IF(tblWorkPackages[[#This Row],[Time split]]="Train 2024",tblWorkPackages[[#This Row],[Estimated labor hours]],tblWorkPackages[[#This Row],[Calibrated forecast hours]])</f>
        <v>25.5320512820513</v>
      </c>
      <c r="W2390" s="64">
        <f>DATEVALUE(tblWorkPackages[[#This Row],[Request date]])</f>
        <v>45788.0</v>
      </c>
      <c r="X2390" s="64">
        <f>DATEVALUE(tblWorkPackages[[#This Row],[Due date]])</f>
        <v>45801.0</v>
      </c>
      <c r="Y2390" s="64">
        <f>DATEVALUE(tblWorkPackages[[#This Row],[Completion date]])</f>
        <v>45799.0</v>
      </c>
      <c r="Z2390" s="64">
        <f>_xlfn.MINIFS(tblLaborEntries[Work date serial],tblLaborEntries[Work package ID],tblWorkPackages[[#This Row],[Work package ID]])</f>
        <v>45798.0</v>
      </c>
      <c r="AA2390" s="64">
        <f>_xlfn.MAXIFS(tblLaborEntries[Work date serial],tblLaborEntries[Work package ID],tblWorkPackages[[#This Row],[Work package ID]])</f>
        <v>45799.0</v>
      </c>
      <c r="AB2390" s="65">
        <f>IF(tblWorkPackages[[#This Row],[Completion date serial]]&gt;tblWorkPackages[[#This Row],[Due date serial]],1,0)</f>
        <v>0</v>
      </c>
      <c r="AC2390" s="65">
        <f>MAX(0,tblWorkPackages[[#This Row],[Completion date serial]]-tblWorkPackages[[#This Row],[Due date serial]])</f>
        <v>0</v>
      </c>
      <c r="AD2390" s="65">
        <f>tblWorkPackages[[#This Row],[First labor date]]-tblWorkPackages[[#This Row],[Request date serial]]</f>
        <v>10</v>
      </c>
      <c r="AE2390" s="65">
        <f>tblWorkPackages[[#This Row],[Last labor date]]-tblWorkPackages[[#This Row],[First labor date]]</f>
        <v>1</v>
      </c>
      <c r="AF2390" s="65">
        <f>tblWorkPackages[[#This Row],[Completion date serial]]-tblWorkPackages[[#This Row],[Last labor date]]</f>
        <v>0</v>
      </c>
      <c r="AG2390" s="65">
        <f>tblWorkPackages[[#This Row],[Completion date serial]]-tblWorkPackages[[#This Row],[Request date serial]]</f>
        <v>11</v>
      </c>
      <c r="AH2390" s="65">
        <f>IFERROR(INDEX(tblParts[Delay days],MATCH(tblWorkPackages[[#This Row],[Work package ID]],tblParts[Work package ID],0)),0)</f>
        <v>6</v>
      </c>
      <c r="AI2390" s="51" t="str">
        <f>IFERROR(INDEX(tblDisruptions[Event type],MATCH(tblWorkPackages[[#This Row],[Work package ID]],tblDisruptions[Work package ID],0)),"None")</f>
        <v>Part delay</v>
      </c>
      <c r="AJ2390" s="51" t="str">
        <f>TEXT(tblWorkPackages[[#This Row],[Due date serial]],"yyyy-mm")</f>
        <v>2025-05</v>
      </c>
    </row>
    <row r="2391" spans="1:36" ht="15" x14ac:dyDescent="0.25">
      <c r="A2391" s="53" t="s">
        <v>3309</v>
      </c>
      <c r="B2391" s="53" t="s">
        <v>163</v>
      </c>
      <c r="C2391" s="53" t="s">
        <v>394</v>
      </c>
      <c r="D2391" s="53" t="s">
        <v>224</v>
      </c>
      <c r="E2391" s="53" t="s">
        <v>209</v>
      </c>
      <c r="F2391" s="53" t="s">
        <v>145</v>
      </c>
      <c r="G2391" s="53" t="s">
        <v>210</v>
      </c>
      <c r="H2391" s="53">
        <v>3</v>
      </c>
      <c r="I2391" s="53" t="s">
        <v>147</v>
      </c>
      <c r="J2391" s="53">
        <v>0</v>
      </c>
      <c r="K2391" s="53">
        <v>1</v>
      </c>
      <c r="L2391" s="53">
        <v>25.7</v>
      </c>
      <c r="M2391" s="53" t="s">
        <v>707</v>
      </c>
      <c r="N2391" s="53">
        <v>24</v>
      </c>
      <c r="O2391" s="51" t="str">
        <f>TEXT(tblWorkPackages[[#This Row],[Request date serial]]-WEEKDAY(tblWorkPackages[[#This Row],[Request date serial]],3),"yyyy-mm-dd")</f>
        <v>2024-12-16</v>
      </c>
      <c r="P2391" s="51">
        <f>ABS(tblWorkPackages[[#This Row],[Actual labor hours]]-tblWorkPackages[[#This Row],[Estimated labor hours]])</f>
        <v>1.7</v>
      </c>
      <c r="Q2391" s="51">
        <f>IF(tblWorkPackages[[#This Row],[Actual labor hours]]&gt;tblWorkPackages[[#This Row],[Estimated labor hours]],1,0)</f>
        <v>0</v>
      </c>
      <c r="R2391" s="51">
        <f>tblWorkPackages[[#This Row],[Actual labor hours]]-tblWorkPackages[[#This Row],[Estimated labor hours]]</f>
        <v>-1.7</v>
      </c>
      <c r="S2391" s="51" t="str">
        <f>IF(tblWorkPackages[[#This Row],[Request date serial]]&lt;ValidationStart,"Train 2024",IF(tblWorkPackages[[#This Row],[Request date serial]]&lt;HoldoutStart,"Validation H1","Holdout H2"))</f>
        <v>Train 2024</v>
      </c>
      <c r="T2391" s="51" t="str">
        <f>IF(tblWorkPackages[[#This Row],[Time split]]="Train 2024","",tblWorkPackages[[#This Row],[Estimated labor hours]]+VLOOKUP(tblWorkPackages[[#This Row],[Task type]],'Forecast validation'!$A$14:$E$25,IF(tblWorkPackages[[#This Row],[Time split]]="Validation H1",4,5),FALSE()))</f>
        <v/>
      </c>
      <c r="U2391" s="51" t="str">
        <f>IF(tblWorkPackages[[#This Row],[Calibrated forecast hours]]="","",ABS(tblWorkPackages[[#This Row],[Actual labor hours]]-tblWorkPackages[[#This Row],[Calibrated forecast hours]]))</f>
        <v/>
      </c>
      <c r="V2391" s="51">
        <f>IF(tblWorkPackages[[#This Row],[Time split]]="Train 2024",tblWorkPackages[[#This Row],[Estimated labor hours]],tblWorkPackages[[#This Row],[Calibrated forecast hours]])</f>
        <v>25.7</v>
      </c>
      <c r="W2391" s="64">
        <f>DATEVALUE(tblWorkPackages[[#This Row],[Request date]])</f>
        <v>45646.0</v>
      </c>
      <c r="X2391" s="64">
        <f>DATEVALUE(tblWorkPackages[[#This Row],[Due date]])</f>
        <v>45648.0</v>
      </c>
      <c r="Y2391" s="64">
        <f>DATEVALUE(tblWorkPackages[[#This Row],[Completion date]])</f>
        <v>45650.0</v>
      </c>
      <c r="Z2391" s="64">
        <f>_xlfn.MINIFS(tblLaborEntries[Work date serial],tblLaborEntries[Work package ID],tblWorkPackages[[#This Row],[Work package ID]])</f>
        <v>45647.0</v>
      </c>
      <c r="AA2391" s="64">
        <f>_xlfn.MAXIFS(tblLaborEntries[Work date serial],tblLaborEntries[Work package ID],tblWorkPackages[[#This Row],[Work package ID]])</f>
        <v>45649.0</v>
      </c>
      <c r="AB2391" s="65">
        <f>IF(tblWorkPackages[[#This Row],[Completion date serial]]&gt;tblWorkPackages[[#This Row],[Due date serial]],1,0)</f>
        <v>1</v>
      </c>
      <c r="AC2391" s="65">
        <f>MAX(0,tblWorkPackages[[#This Row],[Completion date serial]]-tblWorkPackages[[#This Row],[Due date serial]])</f>
        <v>2</v>
      </c>
      <c r="AD2391" s="65">
        <f>tblWorkPackages[[#This Row],[First labor date]]-tblWorkPackages[[#This Row],[Request date serial]]</f>
        <v>1</v>
      </c>
      <c r="AE2391" s="65">
        <f>tblWorkPackages[[#This Row],[Last labor date]]-tblWorkPackages[[#This Row],[First labor date]]</f>
        <v>2</v>
      </c>
      <c r="AF2391" s="65">
        <f>tblWorkPackages[[#This Row],[Completion date serial]]-tblWorkPackages[[#This Row],[Last labor date]]</f>
        <v>1</v>
      </c>
      <c r="AG2391" s="65">
        <f>tblWorkPackages[[#This Row],[Completion date serial]]-tblWorkPackages[[#This Row],[Request date serial]]</f>
        <v>4</v>
      </c>
      <c r="AH2391" s="65">
        <f>IFERROR(INDEX(tblParts[Delay days],MATCH(tblWorkPackages[[#This Row],[Work package ID]],tblParts[Work package ID],0)),0)</f>
        <v>0</v>
      </c>
      <c r="AI2391" s="51" t="str">
        <f>IFERROR(INDEX(tblDisruptions[Event type],MATCH(tblWorkPackages[[#This Row],[Work package ID]],tblDisruptions[Work package ID],0)),"None")</f>
        <v>None</v>
      </c>
      <c r="AJ2391" s="51" t="str">
        <f>TEXT(tblWorkPackages[[#This Row],[Due date serial]],"yyyy-mm")</f>
        <v>2024-12</v>
      </c>
    </row>
    <row r="2392" spans="1:36" ht="15" x14ac:dyDescent="0.25">
      <c r="A2392" s="53" t="s">
        <v>3310</v>
      </c>
      <c r="B2392" s="53" t="s">
        <v>173</v>
      </c>
      <c r="C2392" s="53" t="s">
        <v>403</v>
      </c>
      <c r="D2392" s="53" t="s">
        <v>171</v>
      </c>
      <c r="E2392" s="53" t="s">
        <v>160</v>
      </c>
      <c r="F2392" s="53" t="s">
        <v>128</v>
      </c>
      <c r="G2392" s="53" t="s">
        <v>138</v>
      </c>
      <c r="H2392" s="53">
        <v>2</v>
      </c>
      <c r="I2392" s="53" t="s">
        <v>130</v>
      </c>
      <c r="J2392" s="53">
        <v>0</v>
      </c>
      <c r="K2392" s="53">
        <v>0</v>
      </c>
      <c r="L2392" s="53">
        <v>3.8</v>
      </c>
      <c r="M2392" s="53" t="s">
        <v>594</v>
      </c>
      <c r="N2392" s="53">
        <v>4.5</v>
      </c>
      <c r="O2392" s="51" t="str">
        <f>TEXT(tblWorkPackages[[#This Row],[Request date serial]]-WEEKDAY(tblWorkPackages[[#This Row],[Request date serial]],3),"yyyy-mm-dd")</f>
        <v>2024-10-07</v>
      </c>
      <c r="P2392" s="51">
        <f>ABS(tblWorkPackages[[#This Row],[Actual labor hours]]-tblWorkPackages[[#This Row],[Estimated labor hours]])</f>
        <v>0.7</v>
      </c>
      <c r="Q2392" s="51">
        <f>IF(tblWorkPackages[[#This Row],[Actual labor hours]]&gt;tblWorkPackages[[#This Row],[Estimated labor hours]],1,0)</f>
        <v>1</v>
      </c>
      <c r="R2392" s="51">
        <f>tblWorkPackages[[#This Row],[Actual labor hours]]-tblWorkPackages[[#This Row],[Estimated labor hours]]</f>
        <v>0.7</v>
      </c>
      <c r="S2392" s="51" t="str">
        <f>IF(tblWorkPackages[[#This Row],[Request date serial]]&lt;ValidationStart,"Train 2024",IF(tblWorkPackages[[#This Row],[Request date serial]]&lt;HoldoutStart,"Validation H1","Holdout H2"))</f>
        <v>Train 2024</v>
      </c>
      <c r="T2392" s="51" t="str">
        <f>IF(tblWorkPackages[[#This Row],[Time split]]="Train 2024","",tblWorkPackages[[#This Row],[Estimated labor hours]]+VLOOKUP(tblWorkPackages[[#This Row],[Task type]],'Forecast validation'!$A$14:$E$25,IF(tblWorkPackages[[#This Row],[Time split]]="Validation H1",4,5),FALSE()))</f>
        <v/>
      </c>
      <c r="U2392" s="51" t="str">
        <f>IF(tblWorkPackages[[#This Row],[Calibrated forecast hours]]="","",ABS(tblWorkPackages[[#This Row],[Actual labor hours]]-tblWorkPackages[[#This Row],[Calibrated forecast hours]]))</f>
        <v/>
      </c>
      <c r="V2392" s="51">
        <f>IF(tblWorkPackages[[#This Row],[Time split]]="Train 2024",tblWorkPackages[[#This Row],[Estimated labor hours]],tblWorkPackages[[#This Row],[Calibrated forecast hours]])</f>
        <v>3.8</v>
      </c>
      <c r="W2392" s="64">
        <f>DATEVALUE(tblWorkPackages[[#This Row],[Request date]])</f>
        <v>45577.0</v>
      </c>
      <c r="X2392" s="64">
        <f>DATEVALUE(tblWorkPackages[[#This Row],[Due date]])</f>
        <v>45590.0</v>
      </c>
      <c r="Y2392" s="64">
        <f>DATEVALUE(tblWorkPackages[[#This Row],[Completion date]])</f>
        <v>45593.0</v>
      </c>
      <c r="Z2392" s="64">
        <f>_xlfn.MINIFS(tblLaborEntries[Work date serial],tblLaborEntries[Work package ID],tblWorkPackages[[#This Row],[Work package ID]])</f>
        <v>45590.0</v>
      </c>
      <c r="AA2392" s="64">
        <f>_xlfn.MAXIFS(tblLaborEntries[Work date serial],tblLaborEntries[Work package ID],tblWorkPackages[[#This Row],[Work package ID]])</f>
        <v>45591.0</v>
      </c>
      <c r="AB2392" s="65">
        <f>IF(tblWorkPackages[[#This Row],[Completion date serial]]&gt;tblWorkPackages[[#This Row],[Due date serial]],1,0)</f>
        <v>1</v>
      </c>
      <c r="AC2392" s="65">
        <f>MAX(0,tblWorkPackages[[#This Row],[Completion date serial]]-tblWorkPackages[[#This Row],[Due date serial]])</f>
        <v>3</v>
      </c>
      <c r="AD2392" s="65">
        <f>tblWorkPackages[[#This Row],[First labor date]]-tblWorkPackages[[#This Row],[Request date serial]]</f>
        <v>13</v>
      </c>
      <c r="AE2392" s="65">
        <f>tblWorkPackages[[#This Row],[Last labor date]]-tblWorkPackages[[#This Row],[First labor date]]</f>
        <v>1</v>
      </c>
      <c r="AF2392" s="65">
        <f>tblWorkPackages[[#This Row],[Completion date serial]]-tblWorkPackages[[#This Row],[Last labor date]]</f>
        <v>2</v>
      </c>
      <c r="AG2392" s="65">
        <f>tblWorkPackages[[#This Row],[Completion date serial]]-tblWorkPackages[[#This Row],[Request date serial]]</f>
        <v>16</v>
      </c>
      <c r="AH2392" s="65">
        <f>IFERROR(INDEX(tblParts[Delay days],MATCH(tblWorkPackages[[#This Row],[Work package ID]],tblParts[Work package ID],0)),0)</f>
        <v>0</v>
      </c>
      <c r="AI2392" s="51" t="str">
        <f>IFERROR(INDEX(tblDisruptions[Event type],MATCH(tblWorkPackages[[#This Row],[Work package ID]],tblDisruptions[Work package ID],0)),"None")</f>
        <v>None</v>
      </c>
      <c r="AJ2392" s="51" t="str">
        <f>TEXT(tblWorkPackages[[#This Row],[Due date serial]],"yyyy-mm")</f>
        <v>2024-10</v>
      </c>
    </row>
    <row r="2393" spans="1:36" ht="15" x14ac:dyDescent="0.25">
      <c r="A2393" s="53" t="s">
        <v>3311</v>
      </c>
      <c r="B2393" s="53" t="s">
        <v>235</v>
      </c>
      <c r="C2393" s="53" t="s">
        <v>542</v>
      </c>
      <c r="D2393" s="53" t="s">
        <v>558</v>
      </c>
      <c r="E2393" s="53" t="s">
        <v>181</v>
      </c>
      <c r="F2393" s="53" t="s">
        <v>182</v>
      </c>
      <c r="G2393" s="53" t="s">
        <v>138</v>
      </c>
      <c r="H2393" s="53">
        <v>4</v>
      </c>
      <c r="I2393" s="53" t="s">
        <v>130</v>
      </c>
      <c r="J2393" s="53">
        <v>0</v>
      </c>
      <c r="K2393" s="53">
        <v>0</v>
      </c>
      <c r="L2393" s="53">
        <v>12.2</v>
      </c>
      <c r="M2393" s="53" t="s">
        <v>332</v>
      </c>
      <c r="N2393" s="53">
        <v>14</v>
      </c>
      <c r="O2393" s="51" t="str">
        <f>TEXT(tblWorkPackages[[#This Row],[Request date serial]]-WEEKDAY(tblWorkPackages[[#This Row],[Request date serial]],3),"yyyy-mm-dd")</f>
        <v>2025-10-13</v>
      </c>
      <c r="P2393" s="51">
        <f>ABS(tblWorkPackages[[#This Row],[Actual labor hours]]-tblWorkPackages[[#This Row],[Estimated labor hours]])</f>
        <v>1.8</v>
      </c>
      <c r="Q2393" s="51">
        <f>IF(tblWorkPackages[[#This Row],[Actual labor hours]]&gt;tblWorkPackages[[#This Row],[Estimated labor hours]],1,0)</f>
        <v>1</v>
      </c>
      <c r="R2393" s="51">
        <f>tblWorkPackages[[#This Row],[Actual labor hours]]-tblWorkPackages[[#This Row],[Estimated labor hours]]</f>
        <v>1.8</v>
      </c>
      <c r="S2393" s="51" t="str">
        <f>IF(tblWorkPackages[[#This Row],[Request date serial]]&lt;ValidationStart,"Train 2024",IF(tblWorkPackages[[#This Row],[Request date serial]]&lt;HoldoutStart,"Validation H1","Holdout H2"))</f>
        <v>Holdout H2</v>
      </c>
      <c r="T2393" s="51">
        <f>IF(tblWorkPackages[[#This Row],[Time split]]="Train 2024","",tblWorkPackages[[#This Row],[Estimated labor hours]]+VLOOKUP(tblWorkPackages[[#This Row],[Task type]],'Forecast validation'!$A$14:$E$25,IF(tblWorkPackages[[#This Row],[Time split]]="Validation H1",4,5),FALSE()))</f>
        <v>12.7916083916084</v>
      </c>
      <c r="U2393" s="51">
        <f>IF(tblWorkPackages[[#This Row],[Calibrated forecast hours]]="","",ABS(tblWorkPackages[[#This Row],[Actual labor hours]]-tblWorkPackages[[#This Row],[Calibrated forecast hours]]))</f>
        <v>1.20839160839161</v>
      </c>
      <c r="V2393" s="51">
        <f>IF(tblWorkPackages[[#This Row],[Time split]]="Train 2024",tblWorkPackages[[#This Row],[Estimated labor hours]],tblWorkPackages[[#This Row],[Calibrated forecast hours]])</f>
        <v>12.7916083916084</v>
      </c>
      <c r="W2393" s="64">
        <f>DATEVALUE(tblWorkPackages[[#This Row],[Request date]])</f>
        <v>45948.0</v>
      </c>
      <c r="X2393" s="64">
        <f>DATEVALUE(tblWorkPackages[[#This Row],[Due date]])</f>
        <v>45961.0</v>
      </c>
      <c r="Y2393" s="64">
        <f>DATEVALUE(tblWorkPackages[[#This Row],[Completion date]])</f>
        <v>45954.0</v>
      </c>
      <c r="Z2393" s="64">
        <f>_xlfn.MINIFS(tblLaborEntries[Work date serial],tblLaborEntries[Work package ID],tblWorkPackages[[#This Row],[Work package ID]])</f>
        <v>45951.0</v>
      </c>
      <c r="AA2393" s="64">
        <f>_xlfn.MAXIFS(tblLaborEntries[Work date serial],tblLaborEntries[Work package ID],tblWorkPackages[[#This Row],[Work package ID]])</f>
        <v>45951.0</v>
      </c>
      <c r="AB2393" s="65">
        <f>IF(tblWorkPackages[[#This Row],[Completion date serial]]&gt;tblWorkPackages[[#This Row],[Due date serial]],1,0)</f>
        <v>0</v>
      </c>
      <c r="AC2393" s="65">
        <f>MAX(0,tblWorkPackages[[#This Row],[Completion date serial]]-tblWorkPackages[[#This Row],[Due date serial]])</f>
        <v>0</v>
      </c>
      <c r="AD2393" s="65">
        <f>tblWorkPackages[[#This Row],[First labor date]]-tblWorkPackages[[#This Row],[Request date serial]]</f>
        <v>3</v>
      </c>
      <c r="AE2393" s="65">
        <f>tblWorkPackages[[#This Row],[Last labor date]]-tblWorkPackages[[#This Row],[First labor date]]</f>
        <v>0</v>
      </c>
      <c r="AF2393" s="65">
        <f>tblWorkPackages[[#This Row],[Completion date serial]]-tblWorkPackages[[#This Row],[Last labor date]]</f>
        <v>3</v>
      </c>
      <c r="AG2393" s="65">
        <f>tblWorkPackages[[#This Row],[Completion date serial]]-tblWorkPackages[[#This Row],[Request date serial]]</f>
        <v>6</v>
      </c>
      <c r="AH2393" s="65">
        <f>IFERROR(INDEX(tblParts[Delay days],MATCH(tblWorkPackages[[#This Row],[Work package ID]],tblParts[Work package ID],0)),0)</f>
        <v>0</v>
      </c>
      <c r="AI2393" s="51" t="str">
        <f>IFERROR(INDEX(tblDisruptions[Event type],MATCH(tblWorkPackages[[#This Row],[Work package ID]],tblDisruptions[Work package ID],0)),"None")</f>
        <v>None</v>
      </c>
      <c r="AJ2393" s="51" t="str">
        <f>TEXT(tblWorkPackages[[#This Row],[Due date serial]],"yyyy-mm")</f>
        <v>2025-10</v>
      </c>
    </row>
    <row r="2394" spans="1:36" ht="15" x14ac:dyDescent="0.25">
      <c r="A2394" s="53" t="s">
        <v>3312</v>
      </c>
      <c r="B2394" s="53" t="s">
        <v>185</v>
      </c>
      <c r="C2394" s="53" t="s">
        <v>631</v>
      </c>
      <c r="D2394" s="53" t="s">
        <v>299</v>
      </c>
      <c r="E2394" s="53" t="s">
        <v>209</v>
      </c>
      <c r="F2394" s="53" t="s">
        <v>145</v>
      </c>
      <c r="G2394" s="53" t="s">
        <v>210</v>
      </c>
      <c r="H2394" s="53">
        <v>1</v>
      </c>
      <c r="I2394" s="53" t="s">
        <v>130</v>
      </c>
      <c r="J2394" s="53">
        <v>0</v>
      </c>
      <c r="K2394" s="53">
        <v>1</v>
      </c>
      <c r="L2394" s="53">
        <v>16.100000000000001</v>
      </c>
      <c r="M2394" s="53" t="s">
        <v>1469</v>
      </c>
      <c r="N2394" s="53">
        <v>12.8</v>
      </c>
      <c r="O2394" s="51" t="str">
        <f>TEXT(tblWorkPackages[[#This Row],[Request date serial]]-WEEKDAY(tblWorkPackages[[#This Row],[Request date serial]],3),"yyyy-mm-dd")</f>
        <v>2024-03-25</v>
      </c>
      <c r="P2394" s="51">
        <f>ABS(tblWorkPackages[[#This Row],[Actual labor hours]]-tblWorkPackages[[#This Row],[Estimated labor hours]])</f>
        <v>3.3</v>
      </c>
      <c r="Q2394" s="51">
        <f>IF(tblWorkPackages[[#This Row],[Actual labor hours]]&gt;tblWorkPackages[[#This Row],[Estimated labor hours]],1,0)</f>
        <v>0</v>
      </c>
      <c r="R2394" s="51">
        <f>tblWorkPackages[[#This Row],[Actual labor hours]]-tblWorkPackages[[#This Row],[Estimated labor hours]]</f>
        <v>-3.3</v>
      </c>
      <c r="S2394" s="51" t="str">
        <f>IF(tblWorkPackages[[#This Row],[Request date serial]]&lt;ValidationStart,"Train 2024",IF(tblWorkPackages[[#This Row],[Request date serial]]&lt;HoldoutStart,"Validation H1","Holdout H2"))</f>
        <v>Train 2024</v>
      </c>
      <c r="T2394" s="51" t="str">
        <f>IF(tblWorkPackages[[#This Row],[Time split]]="Train 2024","",tblWorkPackages[[#This Row],[Estimated labor hours]]+VLOOKUP(tblWorkPackages[[#This Row],[Task type]],'Forecast validation'!$A$14:$E$25,IF(tblWorkPackages[[#This Row],[Time split]]="Validation H1",4,5),FALSE()))</f>
        <v/>
      </c>
      <c r="U2394" s="51" t="str">
        <f>IF(tblWorkPackages[[#This Row],[Calibrated forecast hours]]="","",ABS(tblWorkPackages[[#This Row],[Actual labor hours]]-tblWorkPackages[[#This Row],[Calibrated forecast hours]]))</f>
        <v/>
      </c>
      <c r="V2394" s="51">
        <f>IF(tblWorkPackages[[#This Row],[Time split]]="Train 2024",tblWorkPackages[[#This Row],[Estimated labor hours]],tblWorkPackages[[#This Row],[Calibrated forecast hours]])</f>
        <v>16.1</v>
      </c>
      <c r="W2394" s="64">
        <f>DATEVALUE(tblWorkPackages[[#This Row],[Request date]])</f>
        <v>45382.0</v>
      </c>
      <c r="X2394" s="64">
        <f>DATEVALUE(tblWorkPackages[[#This Row],[Due date]])</f>
        <v>45395.0</v>
      </c>
      <c r="Y2394" s="64">
        <f>DATEVALUE(tblWorkPackages[[#This Row],[Completion date]])</f>
        <v>45421.0</v>
      </c>
      <c r="Z2394" s="64">
        <f>_xlfn.MINIFS(tblLaborEntries[Work date serial],tblLaborEntries[Work package ID],tblWorkPackages[[#This Row],[Work package ID]])</f>
        <v>45421.0</v>
      </c>
      <c r="AA2394" s="64">
        <f>_xlfn.MAXIFS(tblLaborEntries[Work date serial],tblLaborEntries[Work package ID],tblWorkPackages[[#This Row],[Work package ID]])</f>
        <v>45421.0</v>
      </c>
      <c r="AB2394" s="65">
        <f>IF(tblWorkPackages[[#This Row],[Completion date serial]]&gt;tblWorkPackages[[#This Row],[Due date serial]],1,0)</f>
        <v>1</v>
      </c>
      <c r="AC2394" s="65">
        <f>MAX(0,tblWorkPackages[[#This Row],[Completion date serial]]-tblWorkPackages[[#This Row],[Due date serial]])</f>
        <v>26</v>
      </c>
      <c r="AD2394" s="65">
        <f>tblWorkPackages[[#This Row],[First labor date]]-tblWorkPackages[[#This Row],[Request date serial]]</f>
        <v>39</v>
      </c>
      <c r="AE2394" s="65">
        <f>tblWorkPackages[[#This Row],[Last labor date]]-tblWorkPackages[[#This Row],[First labor date]]</f>
        <v>0</v>
      </c>
      <c r="AF2394" s="65">
        <f>tblWorkPackages[[#This Row],[Completion date serial]]-tblWorkPackages[[#This Row],[Last labor date]]</f>
        <v>0</v>
      </c>
      <c r="AG2394" s="65">
        <f>tblWorkPackages[[#This Row],[Completion date serial]]-tblWorkPackages[[#This Row],[Request date serial]]</f>
        <v>39</v>
      </c>
      <c r="AH2394" s="65">
        <f>IFERROR(INDEX(tblParts[Delay days],MATCH(tblWorkPackages[[#This Row],[Work package ID]],tblParts[Work package ID],0)),0)</f>
        <v>0</v>
      </c>
      <c r="AI2394" s="51" t="str">
        <f>IFERROR(INDEX(tblDisruptions[Event type],MATCH(tblWorkPackages[[#This Row],[Work package ID]],tblDisruptions[Work package ID],0)),"None")</f>
        <v>None</v>
      </c>
      <c r="AJ2394" s="51" t="str">
        <f>TEXT(tblWorkPackages[[#This Row],[Due date serial]],"yyyy-mm")</f>
        <v>2024-04</v>
      </c>
    </row>
    <row r="2395" spans="1:36" ht="15" x14ac:dyDescent="0.25">
      <c r="A2395" s="53" t="s">
        <v>3313</v>
      </c>
      <c r="B2395" s="53" t="s">
        <v>185</v>
      </c>
      <c r="C2395" s="53" t="s">
        <v>1084</v>
      </c>
      <c r="D2395" s="53" t="s">
        <v>1085</v>
      </c>
      <c r="E2395" s="53" t="s">
        <v>136</v>
      </c>
      <c r="F2395" s="53" t="s">
        <v>137</v>
      </c>
      <c r="G2395" s="53" t="s">
        <v>138</v>
      </c>
      <c r="H2395" s="53">
        <v>3</v>
      </c>
      <c r="I2395" s="53" t="s">
        <v>176</v>
      </c>
      <c r="J2395" s="53">
        <v>0</v>
      </c>
      <c r="K2395" s="53">
        <v>0</v>
      </c>
      <c r="L2395" s="53">
        <v>21.8</v>
      </c>
      <c r="M2395" s="53" t="s">
        <v>1100</v>
      </c>
      <c r="N2395" s="53">
        <v>25.9</v>
      </c>
      <c r="O2395" s="51" t="str">
        <f>TEXT(tblWorkPackages[[#This Row],[Request date serial]]-WEEKDAY(tblWorkPackages[[#This Row],[Request date serial]],3),"yyyy-mm-dd")</f>
        <v>2025-02-03</v>
      </c>
      <c r="P2395" s="51">
        <f>ABS(tblWorkPackages[[#This Row],[Actual labor hours]]-tblWorkPackages[[#This Row],[Estimated labor hours]])</f>
        <v>4.1</v>
      </c>
      <c r="Q2395" s="51">
        <f>IF(tblWorkPackages[[#This Row],[Actual labor hours]]&gt;tblWorkPackages[[#This Row],[Estimated labor hours]],1,0)</f>
        <v>1</v>
      </c>
      <c r="R2395" s="51">
        <f>tblWorkPackages[[#This Row],[Actual labor hours]]-tblWorkPackages[[#This Row],[Estimated labor hours]]</f>
        <v>4.1</v>
      </c>
      <c r="S2395" s="51" t="str">
        <f>IF(tblWorkPackages[[#This Row],[Request date serial]]&lt;ValidationStart,"Train 2024",IF(tblWorkPackages[[#This Row],[Request date serial]]&lt;HoldoutStart,"Validation H1","Holdout H2"))</f>
        <v>Validation H1</v>
      </c>
      <c r="T2395" s="51">
        <f>IF(tblWorkPackages[[#This Row],[Time split]]="Train 2024","",tblWorkPackages[[#This Row],[Estimated labor hours]]+VLOOKUP(tblWorkPackages[[#This Row],[Task type]],'Forecast validation'!$A$14:$E$25,IF(tblWorkPackages[[#This Row],[Time split]]="Validation H1",4,5),FALSE()))</f>
        <v>22.6765306122449</v>
      </c>
      <c r="U2395" s="51">
        <f>IF(tblWorkPackages[[#This Row],[Calibrated forecast hours]]="","",ABS(tblWorkPackages[[#This Row],[Actual labor hours]]-tblWorkPackages[[#This Row],[Calibrated forecast hours]]))</f>
        <v>3.2234693877551</v>
      </c>
      <c r="V2395" s="51">
        <f>IF(tblWorkPackages[[#This Row],[Time split]]="Train 2024",tblWorkPackages[[#This Row],[Estimated labor hours]],tblWorkPackages[[#This Row],[Calibrated forecast hours]])</f>
        <v>22.6765306122449</v>
      </c>
      <c r="W2395" s="64">
        <f>DATEVALUE(tblWorkPackages[[#This Row],[Request date]])</f>
        <v>45695.0</v>
      </c>
      <c r="X2395" s="64">
        <f>DATEVALUE(tblWorkPackages[[#This Row],[Due date]])</f>
        <v>45701.0</v>
      </c>
      <c r="Y2395" s="64">
        <f>DATEVALUE(tblWorkPackages[[#This Row],[Completion date]])</f>
        <v>45705.0</v>
      </c>
      <c r="Z2395" s="64">
        <f>_xlfn.MINIFS(tblLaborEntries[Work date serial],tblLaborEntries[Work package ID],tblWorkPackages[[#This Row],[Work package ID]])</f>
        <v>45702.0</v>
      </c>
      <c r="AA2395" s="64">
        <f>_xlfn.MAXIFS(tblLaborEntries[Work date serial],tblLaborEntries[Work package ID],tblWorkPackages[[#This Row],[Work package ID]])</f>
        <v>45704.0</v>
      </c>
      <c r="AB2395" s="65">
        <f>IF(tblWorkPackages[[#This Row],[Completion date serial]]&gt;tblWorkPackages[[#This Row],[Due date serial]],1,0)</f>
        <v>1</v>
      </c>
      <c r="AC2395" s="65">
        <f>MAX(0,tblWorkPackages[[#This Row],[Completion date serial]]-tblWorkPackages[[#This Row],[Due date serial]])</f>
        <v>4</v>
      </c>
      <c r="AD2395" s="65">
        <f>tblWorkPackages[[#This Row],[First labor date]]-tblWorkPackages[[#This Row],[Request date serial]]</f>
        <v>7</v>
      </c>
      <c r="AE2395" s="65">
        <f>tblWorkPackages[[#This Row],[Last labor date]]-tblWorkPackages[[#This Row],[First labor date]]</f>
        <v>2</v>
      </c>
      <c r="AF2395" s="65">
        <f>tblWorkPackages[[#This Row],[Completion date serial]]-tblWorkPackages[[#This Row],[Last labor date]]</f>
        <v>1</v>
      </c>
      <c r="AG2395" s="65">
        <f>tblWorkPackages[[#This Row],[Completion date serial]]-tblWorkPackages[[#This Row],[Request date serial]]</f>
        <v>10</v>
      </c>
      <c r="AH2395" s="65">
        <f>IFERROR(INDEX(tblParts[Delay days],MATCH(tblWorkPackages[[#This Row],[Work package ID]],tblParts[Work package ID],0)),0)</f>
        <v>0</v>
      </c>
      <c r="AI2395" s="51" t="str">
        <f>IFERROR(INDEX(tblDisruptions[Event type],MATCH(tblWorkPackages[[#This Row],[Work package ID]],tblDisruptions[Work package ID],0)),"None")</f>
        <v>None</v>
      </c>
      <c r="AJ2395" s="51" t="str">
        <f>TEXT(tblWorkPackages[[#This Row],[Due date serial]],"yyyy-mm")</f>
        <v>2025-02</v>
      </c>
    </row>
    <row r="2396" spans="1:36" ht="15" x14ac:dyDescent="0.25">
      <c r="A2396" s="53" t="s">
        <v>3314</v>
      </c>
      <c r="B2396" s="53" t="s">
        <v>124</v>
      </c>
      <c r="C2396" s="53" t="s">
        <v>294</v>
      </c>
      <c r="D2396" s="53" t="s">
        <v>660</v>
      </c>
      <c r="E2396" s="53" t="s">
        <v>153</v>
      </c>
      <c r="F2396" s="53" t="s">
        <v>128</v>
      </c>
      <c r="G2396" s="53" t="s">
        <v>154</v>
      </c>
      <c r="H2396" s="53">
        <v>1</v>
      </c>
      <c r="I2396" s="53" t="s">
        <v>130</v>
      </c>
      <c r="J2396" s="53">
        <v>0</v>
      </c>
      <c r="K2396" s="53">
        <v>0</v>
      </c>
      <c r="L2396" s="53">
        <v>5.7</v>
      </c>
      <c r="M2396" s="53" t="s">
        <v>874</v>
      </c>
      <c r="N2396" s="53">
        <v>6.1</v>
      </c>
      <c r="O2396" s="51" t="str">
        <f>TEXT(tblWorkPackages[[#This Row],[Request date serial]]-WEEKDAY(tblWorkPackages[[#This Row],[Request date serial]],3),"yyyy-mm-dd")</f>
        <v>2024-09-02</v>
      </c>
      <c r="P2396" s="51">
        <f>ABS(tblWorkPackages[[#This Row],[Actual labor hours]]-tblWorkPackages[[#This Row],[Estimated labor hours]])</f>
        <v>0.399999999999999</v>
      </c>
      <c r="Q2396" s="51">
        <f>IF(tblWorkPackages[[#This Row],[Actual labor hours]]&gt;tblWorkPackages[[#This Row],[Estimated labor hours]],1,0)</f>
        <v>1</v>
      </c>
      <c r="R2396" s="51">
        <f>tblWorkPackages[[#This Row],[Actual labor hours]]-tblWorkPackages[[#This Row],[Estimated labor hours]]</f>
        <v>0.399999999999999</v>
      </c>
      <c r="S2396" s="51" t="str">
        <f>IF(tblWorkPackages[[#This Row],[Request date serial]]&lt;ValidationStart,"Train 2024",IF(tblWorkPackages[[#This Row],[Request date serial]]&lt;HoldoutStart,"Validation H1","Holdout H2"))</f>
        <v>Train 2024</v>
      </c>
      <c r="T2396" s="51" t="str">
        <f>IF(tblWorkPackages[[#This Row],[Time split]]="Train 2024","",tblWorkPackages[[#This Row],[Estimated labor hours]]+VLOOKUP(tblWorkPackages[[#This Row],[Task type]],'Forecast validation'!$A$14:$E$25,IF(tblWorkPackages[[#This Row],[Time split]]="Validation H1",4,5),FALSE()))</f>
        <v/>
      </c>
      <c r="U2396" s="51" t="str">
        <f>IF(tblWorkPackages[[#This Row],[Calibrated forecast hours]]="","",ABS(tblWorkPackages[[#This Row],[Actual labor hours]]-tblWorkPackages[[#This Row],[Calibrated forecast hours]]))</f>
        <v/>
      </c>
      <c r="V2396" s="51">
        <f>IF(tblWorkPackages[[#This Row],[Time split]]="Train 2024",tblWorkPackages[[#This Row],[Estimated labor hours]],tblWorkPackages[[#This Row],[Calibrated forecast hours]])</f>
        <v>5.7</v>
      </c>
      <c r="W2396" s="64">
        <f>DATEVALUE(tblWorkPackages[[#This Row],[Request date]])</f>
        <v>45543.0</v>
      </c>
      <c r="X2396" s="64">
        <f>DATEVALUE(tblWorkPackages[[#This Row],[Due date]])</f>
        <v>45556.0</v>
      </c>
      <c r="Y2396" s="64">
        <f>DATEVALUE(tblWorkPackages[[#This Row],[Completion date]])</f>
        <v>45548.0</v>
      </c>
      <c r="Z2396" s="64">
        <f>_xlfn.MINIFS(tblLaborEntries[Work date serial],tblLaborEntries[Work package ID],tblWorkPackages[[#This Row],[Work package ID]])</f>
        <v>45545.0</v>
      </c>
      <c r="AA2396" s="64">
        <f>_xlfn.MAXIFS(tblLaborEntries[Work date serial],tblLaborEntries[Work package ID],tblWorkPackages[[#This Row],[Work package ID]])</f>
        <v>45546.0</v>
      </c>
      <c r="AB2396" s="65">
        <f>IF(tblWorkPackages[[#This Row],[Completion date serial]]&gt;tblWorkPackages[[#This Row],[Due date serial]],1,0)</f>
        <v>0</v>
      </c>
      <c r="AC2396" s="65">
        <f>MAX(0,tblWorkPackages[[#This Row],[Completion date serial]]-tblWorkPackages[[#This Row],[Due date serial]])</f>
        <v>0</v>
      </c>
      <c r="AD2396" s="65">
        <f>tblWorkPackages[[#This Row],[First labor date]]-tblWorkPackages[[#This Row],[Request date serial]]</f>
        <v>2</v>
      </c>
      <c r="AE2396" s="65">
        <f>tblWorkPackages[[#This Row],[Last labor date]]-tblWorkPackages[[#This Row],[First labor date]]</f>
        <v>1</v>
      </c>
      <c r="AF2396" s="65">
        <f>tblWorkPackages[[#This Row],[Completion date serial]]-tblWorkPackages[[#This Row],[Last labor date]]</f>
        <v>2</v>
      </c>
      <c r="AG2396" s="65">
        <f>tblWorkPackages[[#This Row],[Completion date serial]]-tblWorkPackages[[#This Row],[Request date serial]]</f>
        <v>5</v>
      </c>
      <c r="AH2396" s="65">
        <f>IFERROR(INDEX(tblParts[Delay days],MATCH(tblWorkPackages[[#This Row],[Work package ID]],tblParts[Work package ID],0)),0)</f>
        <v>0</v>
      </c>
      <c r="AI2396" s="51" t="str">
        <f>IFERROR(INDEX(tblDisruptions[Event type],MATCH(tblWorkPackages[[#This Row],[Work package ID]],tblDisruptions[Work package ID],0)),"None")</f>
        <v>None</v>
      </c>
      <c r="AJ2396" s="51" t="str">
        <f>TEXT(tblWorkPackages[[#This Row],[Due date serial]],"yyyy-mm")</f>
        <v>2024-09</v>
      </c>
    </row>
    <row r="2397" spans="1:36" ht="15" x14ac:dyDescent="0.25">
      <c r="A2397" s="53" t="s">
        <v>3315</v>
      </c>
      <c r="B2397" s="53" t="s">
        <v>230</v>
      </c>
      <c r="C2397" s="53" t="s">
        <v>1361</v>
      </c>
      <c r="D2397" s="53" t="s">
        <v>415</v>
      </c>
      <c r="E2397" s="53" t="s">
        <v>272</v>
      </c>
      <c r="F2397" s="53" t="s">
        <v>145</v>
      </c>
      <c r="G2397" s="53" t="s">
        <v>273</v>
      </c>
      <c r="H2397" s="53">
        <v>1</v>
      </c>
      <c r="I2397" s="53" t="s">
        <v>130</v>
      </c>
      <c r="J2397" s="53">
        <v>0</v>
      </c>
      <c r="K2397" s="53">
        <v>1</v>
      </c>
      <c r="L2397" s="53">
        <v>7.5</v>
      </c>
      <c r="M2397" s="53" t="s">
        <v>284</v>
      </c>
      <c r="N2397" s="53">
        <v>6.5</v>
      </c>
      <c r="O2397" s="51" t="str">
        <f>TEXT(tblWorkPackages[[#This Row],[Request date serial]]-WEEKDAY(tblWorkPackages[[#This Row],[Request date serial]],3),"yyyy-mm-dd")</f>
        <v>2025-08-18</v>
      </c>
      <c r="P2397" s="51">
        <f>ABS(tblWorkPackages[[#This Row],[Actual labor hours]]-tblWorkPackages[[#This Row],[Estimated labor hours]])</f>
        <v>1</v>
      </c>
      <c r="Q2397" s="51">
        <f>IF(tblWorkPackages[[#This Row],[Actual labor hours]]&gt;tblWorkPackages[[#This Row],[Estimated labor hours]],1,0)</f>
        <v>0</v>
      </c>
      <c r="R2397" s="51">
        <f>tblWorkPackages[[#This Row],[Actual labor hours]]-tblWorkPackages[[#This Row],[Estimated labor hours]]</f>
        <v>-1</v>
      </c>
      <c r="S2397" s="51" t="str">
        <f>IF(tblWorkPackages[[#This Row],[Request date serial]]&lt;ValidationStart,"Train 2024",IF(tblWorkPackages[[#This Row],[Request date serial]]&lt;HoldoutStart,"Validation H1","Holdout H2"))</f>
        <v>Holdout H2</v>
      </c>
      <c r="T2397" s="51">
        <f>IF(tblWorkPackages[[#This Row],[Time split]]="Train 2024","",tblWorkPackages[[#This Row],[Estimated labor hours]]+VLOOKUP(tblWorkPackages[[#This Row],[Task type]],'Forecast validation'!$A$14:$E$25,IF(tblWorkPackages[[#This Row],[Time split]]="Validation H1",4,5),FALSE()))</f>
        <v>8.48515625</v>
      </c>
      <c r="U2397" s="51">
        <f>IF(tblWorkPackages[[#This Row],[Calibrated forecast hours]]="","",ABS(tblWorkPackages[[#This Row],[Actual labor hours]]-tblWorkPackages[[#This Row],[Calibrated forecast hours]]))</f>
        <v>1.98515625</v>
      </c>
      <c r="V2397" s="51">
        <f>IF(tblWorkPackages[[#This Row],[Time split]]="Train 2024",tblWorkPackages[[#This Row],[Estimated labor hours]],tblWorkPackages[[#This Row],[Calibrated forecast hours]])</f>
        <v>8.48515625</v>
      </c>
      <c r="W2397" s="64">
        <f>DATEVALUE(tblWorkPackages[[#This Row],[Request date]])</f>
        <v>45889.0</v>
      </c>
      <c r="X2397" s="64">
        <f>DATEVALUE(tblWorkPackages[[#This Row],[Due date]])</f>
        <v>45902.0</v>
      </c>
      <c r="Y2397" s="64">
        <f>DATEVALUE(tblWorkPackages[[#This Row],[Completion date]])</f>
        <v>45910.0</v>
      </c>
      <c r="Z2397" s="64">
        <f>_xlfn.MINIFS(tblLaborEntries[Work date serial],tblLaborEntries[Work package ID],tblWorkPackages[[#This Row],[Work package ID]])</f>
        <v>45906.0</v>
      </c>
      <c r="AA2397" s="64">
        <f>_xlfn.MAXIFS(tblLaborEntries[Work date serial],tblLaborEntries[Work package ID],tblWorkPackages[[#This Row],[Work package ID]])</f>
        <v>45907.0</v>
      </c>
      <c r="AB2397" s="65">
        <f>IF(tblWorkPackages[[#This Row],[Completion date serial]]&gt;tblWorkPackages[[#This Row],[Due date serial]],1,0)</f>
        <v>1</v>
      </c>
      <c r="AC2397" s="65">
        <f>MAX(0,tblWorkPackages[[#This Row],[Completion date serial]]-tblWorkPackages[[#This Row],[Due date serial]])</f>
        <v>8</v>
      </c>
      <c r="AD2397" s="65">
        <f>tblWorkPackages[[#This Row],[First labor date]]-tblWorkPackages[[#This Row],[Request date serial]]</f>
        <v>17</v>
      </c>
      <c r="AE2397" s="65">
        <f>tblWorkPackages[[#This Row],[Last labor date]]-tblWorkPackages[[#This Row],[First labor date]]</f>
        <v>1</v>
      </c>
      <c r="AF2397" s="65">
        <f>tblWorkPackages[[#This Row],[Completion date serial]]-tblWorkPackages[[#This Row],[Last labor date]]</f>
        <v>3</v>
      </c>
      <c r="AG2397" s="65">
        <f>tblWorkPackages[[#This Row],[Completion date serial]]-tblWorkPackages[[#This Row],[Request date serial]]</f>
        <v>21</v>
      </c>
      <c r="AH2397" s="65">
        <f>IFERROR(INDEX(tblParts[Delay days],MATCH(tblWorkPackages[[#This Row],[Work package ID]],tblParts[Work package ID],0)),0)</f>
        <v>0</v>
      </c>
      <c r="AI2397" s="51" t="str">
        <f>IFERROR(INDEX(tblDisruptions[Event type],MATCH(tblWorkPackages[[#This Row],[Work package ID]],tblDisruptions[Work package ID],0)),"None")</f>
        <v>None</v>
      </c>
      <c r="AJ2397" s="51" t="str">
        <f>TEXT(tblWorkPackages[[#This Row],[Due date serial]],"yyyy-mm")</f>
        <v>2025-09</v>
      </c>
    </row>
    <row r="2398" spans="1:36" ht="15" x14ac:dyDescent="0.25">
      <c r="A2398" s="53" t="s">
        <v>3316</v>
      </c>
      <c r="B2398" s="53" t="s">
        <v>173</v>
      </c>
      <c r="C2398" s="53" t="s">
        <v>780</v>
      </c>
      <c r="D2398" s="53" t="s">
        <v>976</v>
      </c>
      <c r="E2398" s="53" t="s">
        <v>181</v>
      </c>
      <c r="F2398" s="53" t="s">
        <v>182</v>
      </c>
      <c r="G2398" s="53" t="s">
        <v>138</v>
      </c>
      <c r="H2398" s="53">
        <v>3</v>
      </c>
      <c r="I2398" s="53" t="s">
        <v>130</v>
      </c>
      <c r="J2398" s="53">
        <v>0</v>
      </c>
      <c r="K2398" s="53">
        <v>0</v>
      </c>
      <c r="L2398" s="53">
        <v>9.3000000000000007</v>
      </c>
      <c r="M2398" s="53" t="s">
        <v>914</v>
      </c>
      <c r="N2398" s="53">
        <v>10</v>
      </c>
      <c r="O2398" s="51" t="str">
        <f>TEXT(tblWorkPackages[[#This Row],[Request date serial]]-WEEKDAY(tblWorkPackages[[#This Row],[Request date serial]],3),"yyyy-mm-dd")</f>
        <v>2025-12-15</v>
      </c>
      <c r="P2398" s="51">
        <f>ABS(tblWorkPackages[[#This Row],[Actual labor hours]]-tblWorkPackages[[#This Row],[Estimated labor hours]])</f>
        <v>0.699999999999999</v>
      </c>
      <c r="Q2398" s="51">
        <f>IF(tblWorkPackages[[#This Row],[Actual labor hours]]&gt;tblWorkPackages[[#This Row],[Estimated labor hours]],1,0)</f>
        <v>1</v>
      </c>
      <c r="R2398" s="51">
        <f>tblWorkPackages[[#This Row],[Actual labor hours]]-tblWorkPackages[[#This Row],[Estimated labor hours]]</f>
        <v>0.699999999999999</v>
      </c>
      <c r="S2398" s="51" t="str">
        <f>IF(tblWorkPackages[[#This Row],[Request date serial]]&lt;ValidationStart,"Train 2024",IF(tblWorkPackages[[#This Row],[Request date serial]]&lt;HoldoutStart,"Validation H1","Holdout H2"))</f>
        <v>Holdout H2</v>
      </c>
      <c r="T2398" s="51">
        <f>IF(tblWorkPackages[[#This Row],[Time split]]="Train 2024","",tblWorkPackages[[#This Row],[Estimated labor hours]]+VLOOKUP(tblWorkPackages[[#This Row],[Task type]],'Forecast validation'!$A$14:$E$25,IF(tblWorkPackages[[#This Row],[Time split]]="Validation H1",4,5),FALSE()))</f>
        <v>9.89160839160839</v>
      </c>
      <c r="U2398" s="51">
        <f>IF(tblWorkPackages[[#This Row],[Calibrated forecast hours]]="","",ABS(tblWorkPackages[[#This Row],[Actual labor hours]]-tblWorkPackages[[#This Row],[Calibrated forecast hours]]))</f>
        <v>0.108391608391608</v>
      </c>
      <c r="V2398" s="51">
        <f>IF(tblWorkPackages[[#This Row],[Time split]]="Train 2024",tblWorkPackages[[#This Row],[Estimated labor hours]],tblWorkPackages[[#This Row],[Calibrated forecast hours]])</f>
        <v>9.89160839160839</v>
      </c>
      <c r="W2398" s="64">
        <f>DATEVALUE(tblWorkPackages[[#This Row],[Request date]])</f>
        <v>46009.0</v>
      </c>
      <c r="X2398" s="64">
        <f>DATEVALUE(tblWorkPackages[[#This Row],[Due date]])</f>
        <v>46022.0</v>
      </c>
      <c r="Y2398" s="64">
        <f>DATEVALUE(tblWorkPackages[[#This Row],[Completion date]])</f>
        <v>46013.0</v>
      </c>
      <c r="Z2398" s="64">
        <f>_xlfn.MINIFS(tblLaborEntries[Work date serial],tblLaborEntries[Work package ID],tblWorkPackages[[#This Row],[Work package ID]])</f>
        <v>46013.0</v>
      </c>
      <c r="AA2398" s="64">
        <f>_xlfn.MAXIFS(tblLaborEntries[Work date serial],tblLaborEntries[Work package ID],tblWorkPackages[[#This Row],[Work package ID]])</f>
        <v>46013.0</v>
      </c>
      <c r="AB2398" s="65">
        <f>IF(tblWorkPackages[[#This Row],[Completion date serial]]&gt;tblWorkPackages[[#This Row],[Due date serial]],1,0)</f>
        <v>0</v>
      </c>
      <c r="AC2398" s="65">
        <f>MAX(0,tblWorkPackages[[#This Row],[Completion date serial]]-tblWorkPackages[[#This Row],[Due date serial]])</f>
        <v>0</v>
      </c>
      <c r="AD2398" s="65">
        <f>tblWorkPackages[[#This Row],[First labor date]]-tblWorkPackages[[#This Row],[Request date serial]]</f>
        <v>4</v>
      </c>
      <c r="AE2398" s="65">
        <f>tblWorkPackages[[#This Row],[Last labor date]]-tblWorkPackages[[#This Row],[First labor date]]</f>
        <v>0</v>
      </c>
      <c r="AF2398" s="65">
        <f>tblWorkPackages[[#This Row],[Completion date serial]]-tblWorkPackages[[#This Row],[Last labor date]]</f>
        <v>0</v>
      </c>
      <c r="AG2398" s="65">
        <f>tblWorkPackages[[#This Row],[Completion date serial]]-tblWorkPackages[[#This Row],[Request date serial]]</f>
        <v>4</v>
      </c>
      <c r="AH2398" s="65">
        <f>IFERROR(INDEX(tblParts[Delay days],MATCH(tblWorkPackages[[#This Row],[Work package ID]],tblParts[Work package ID],0)),0)</f>
        <v>0</v>
      </c>
      <c r="AI2398" s="51" t="str">
        <f>IFERROR(INDEX(tblDisruptions[Event type],MATCH(tblWorkPackages[[#This Row],[Work package ID]],tblDisruptions[Work package ID],0)),"None")</f>
        <v>None</v>
      </c>
      <c r="AJ2398" s="51" t="str">
        <f>TEXT(tblWorkPackages[[#This Row],[Due date serial]],"yyyy-mm")</f>
        <v>2025-12</v>
      </c>
    </row>
    <row r="2399" spans="1:36" ht="15" x14ac:dyDescent="0.25">
      <c r="A2399" s="53" t="s">
        <v>3317</v>
      </c>
      <c r="B2399" s="53" t="s">
        <v>173</v>
      </c>
      <c r="C2399" s="53" t="s">
        <v>723</v>
      </c>
      <c r="D2399" s="53" t="s">
        <v>534</v>
      </c>
      <c r="E2399" s="53" t="s">
        <v>237</v>
      </c>
      <c r="F2399" s="53" t="s">
        <v>182</v>
      </c>
      <c r="G2399" s="53" t="s">
        <v>138</v>
      </c>
      <c r="H2399" s="53">
        <v>1</v>
      </c>
      <c r="I2399" s="53" t="s">
        <v>147</v>
      </c>
      <c r="J2399" s="53">
        <v>0</v>
      </c>
      <c r="K2399" s="53">
        <v>0</v>
      </c>
      <c r="L2399" s="53">
        <v>2.9</v>
      </c>
      <c r="M2399" s="53" t="s">
        <v>534</v>
      </c>
      <c r="N2399" s="53">
        <v>2.9</v>
      </c>
      <c r="O2399" s="51" t="str">
        <f>TEXT(tblWorkPackages[[#This Row],[Request date serial]]-WEEKDAY(tblWorkPackages[[#This Row],[Request date serial]],3),"yyyy-mm-dd")</f>
        <v>2024-10-21</v>
      </c>
      <c r="P2399" s="51">
        <f>ABS(tblWorkPackages[[#This Row],[Actual labor hours]]-tblWorkPackages[[#This Row],[Estimated labor hours]])</f>
        <v>0</v>
      </c>
      <c r="Q2399" s="51">
        <f>IF(tblWorkPackages[[#This Row],[Actual labor hours]]&gt;tblWorkPackages[[#This Row],[Estimated labor hours]],1,0)</f>
        <v>0</v>
      </c>
      <c r="R2399" s="51">
        <f>tblWorkPackages[[#This Row],[Actual labor hours]]-tblWorkPackages[[#This Row],[Estimated labor hours]]</f>
        <v>0</v>
      </c>
      <c r="S2399" s="51" t="str">
        <f>IF(tblWorkPackages[[#This Row],[Request date serial]]&lt;ValidationStart,"Train 2024",IF(tblWorkPackages[[#This Row],[Request date serial]]&lt;HoldoutStart,"Validation H1","Holdout H2"))</f>
        <v>Train 2024</v>
      </c>
      <c r="T2399" s="51" t="str">
        <f>IF(tblWorkPackages[[#This Row],[Time split]]="Train 2024","",tblWorkPackages[[#This Row],[Estimated labor hours]]+VLOOKUP(tblWorkPackages[[#This Row],[Task type]],'Forecast validation'!$A$14:$E$25,IF(tblWorkPackages[[#This Row],[Time split]]="Validation H1",4,5),FALSE()))</f>
        <v/>
      </c>
      <c r="U2399" s="51" t="str">
        <f>IF(tblWorkPackages[[#This Row],[Calibrated forecast hours]]="","",ABS(tblWorkPackages[[#This Row],[Actual labor hours]]-tblWorkPackages[[#This Row],[Calibrated forecast hours]]))</f>
        <v/>
      </c>
      <c r="V2399" s="51">
        <f>IF(tblWorkPackages[[#This Row],[Time split]]="Train 2024",tblWorkPackages[[#This Row],[Estimated labor hours]],tblWorkPackages[[#This Row],[Calibrated forecast hours]])</f>
        <v>2.9</v>
      </c>
      <c r="W2399" s="64">
        <f>DATEVALUE(tblWorkPackages[[#This Row],[Request date]])</f>
        <v>45589.0</v>
      </c>
      <c r="X2399" s="64">
        <f>DATEVALUE(tblWorkPackages[[#This Row],[Due date]])</f>
        <v>45591.0</v>
      </c>
      <c r="Y2399" s="64">
        <f>DATEVALUE(tblWorkPackages[[#This Row],[Completion date]])</f>
        <v>45591.0</v>
      </c>
      <c r="Z2399" s="64">
        <f>_xlfn.MINIFS(tblLaborEntries[Work date serial],tblLaborEntries[Work package ID],tblWorkPackages[[#This Row],[Work package ID]])</f>
        <v>45590.0</v>
      </c>
      <c r="AA2399" s="64">
        <f>_xlfn.MAXIFS(tblLaborEntries[Work date serial],tblLaborEntries[Work package ID],tblWorkPackages[[#This Row],[Work package ID]])</f>
        <v>45590.0</v>
      </c>
      <c r="AB2399" s="65">
        <f>IF(tblWorkPackages[[#This Row],[Completion date serial]]&gt;tblWorkPackages[[#This Row],[Due date serial]],1,0)</f>
        <v>0</v>
      </c>
      <c r="AC2399" s="65">
        <f>MAX(0,tblWorkPackages[[#This Row],[Completion date serial]]-tblWorkPackages[[#This Row],[Due date serial]])</f>
        <v>0</v>
      </c>
      <c r="AD2399" s="65">
        <f>tblWorkPackages[[#This Row],[First labor date]]-tblWorkPackages[[#This Row],[Request date serial]]</f>
        <v>1</v>
      </c>
      <c r="AE2399" s="65">
        <f>tblWorkPackages[[#This Row],[Last labor date]]-tblWorkPackages[[#This Row],[First labor date]]</f>
        <v>0</v>
      </c>
      <c r="AF2399" s="65">
        <f>tblWorkPackages[[#This Row],[Completion date serial]]-tblWorkPackages[[#This Row],[Last labor date]]</f>
        <v>1</v>
      </c>
      <c r="AG2399" s="65">
        <f>tblWorkPackages[[#This Row],[Completion date serial]]-tblWorkPackages[[#This Row],[Request date serial]]</f>
        <v>2</v>
      </c>
      <c r="AH2399" s="65">
        <f>IFERROR(INDEX(tblParts[Delay days],MATCH(tblWorkPackages[[#This Row],[Work package ID]],tblParts[Work package ID],0)),0)</f>
        <v>0</v>
      </c>
      <c r="AI2399" s="51" t="str">
        <f>IFERROR(INDEX(tblDisruptions[Event type],MATCH(tblWorkPackages[[#This Row],[Work package ID]],tblDisruptions[Work package ID],0)),"None")</f>
        <v>None</v>
      </c>
      <c r="AJ2399" s="51" t="str">
        <f>TEXT(tblWorkPackages[[#This Row],[Due date serial]],"yyyy-mm")</f>
        <v>2024-10</v>
      </c>
    </row>
    <row r="2400" spans="1:36" ht="15" x14ac:dyDescent="0.25">
      <c r="A2400" s="53" t="s">
        <v>3318</v>
      </c>
      <c r="B2400" s="53" t="s">
        <v>168</v>
      </c>
      <c r="C2400" s="53" t="s">
        <v>821</v>
      </c>
      <c r="D2400" s="53" t="s">
        <v>407</v>
      </c>
      <c r="E2400" s="53" t="s">
        <v>242</v>
      </c>
      <c r="F2400" s="53" t="s">
        <v>243</v>
      </c>
      <c r="G2400" s="53" t="s">
        <v>129</v>
      </c>
      <c r="H2400" s="53">
        <v>4</v>
      </c>
      <c r="I2400" s="53" t="s">
        <v>130</v>
      </c>
      <c r="J2400" s="53">
        <v>0</v>
      </c>
      <c r="K2400" s="53">
        <v>0</v>
      </c>
      <c r="L2400" s="53">
        <v>17.8</v>
      </c>
      <c r="M2400" s="53" t="s">
        <v>407</v>
      </c>
      <c r="N2400" s="53">
        <v>19.100000000000001</v>
      </c>
      <c r="O2400" s="51" t="str">
        <f>TEXT(tblWorkPackages[[#This Row],[Request date serial]]-WEEKDAY(tblWorkPackages[[#This Row],[Request date serial]],3),"yyyy-mm-dd")</f>
        <v>2024-05-13</v>
      </c>
      <c r="P2400" s="51">
        <f>ABS(tblWorkPackages[[#This Row],[Actual labor hours]]-tblWorkPackages[[#This Row],[Estimated labor hours]])</f>
        <v>1.3</v>
      </c>
      <c r="Q2400" s="51">
        <f>IF(tblWorkPackages[[#This Row],[Actual labor hours]]&gt;tblWorkPackages[[#This Row],[Estimated labor hours]],1,0)</f>
        <v>1</v>
      </c>
      <c r="R2400" s="51">
        <f>tblWorkPackages[[#This Row],[Actual labor hours]]-tblWorkPackages[[#This Row],[Estimated labor hours]]</f>
        <v>1.3</v>
      </c>
      <c r="S2400" s="51" t="str">
        <f>IF(tblWorkPackages[[#This Row],[Request date serial]]&lt;ValidationStart,"Train 2024",IF(tblWorkPackages[[#This Row],[Request date serial]]&lt;HoldoutStart,"Validation H1","Holdout H2"))</f>
        <v>Train 2024</v>
      </c>
      <c r="T2400" s="51" t="str">
        <f>IF(tblWorkPackages[[#This Row],[Time split]]="Train 2024","",tblWorkPackages[[#This Row],[Estimated labor hours]]+VLOOKUP(tblWorkPackages[[#This Row],[Task type]],'Forecast validation'!$A$14:$E$25,IF(tblWorkPackages[[#This Row],[Time split]]="Validation H1",4,5),FALSE()))</f>
        <v/>
      </c>
      <c r="U2400" s="51" t="str">
        <f>IF(tblWorkPackages[[#This Row],[Calibrated forecast hours]]="","",ABS(tblWorkPackages[[#This Row],[Actual labor hours]]-tblWorkPackages[[#This Row],[Calibrated forecast hours]]))</f>
        <v/>
      </c>
      <c r="V2400" s="51">
        <f>IF(tblWorkPackages[[#This Row],[Time split]]="Train 2024",tblWorkPackages[[#This Row],[Estimated labor hours]],tblWorkPackages[[#This Row],[Calibrated forecast hours]])</f>
        <v>17.8</v>
      </c>
      <c r="W2400" s="64">
        <f>DATEVALUE(tblWorkPackages[[#This Row],[Request date]])</f>
        <v>45428.0</v>
      </c>
      <c r="X2400" s="64">
        <f>DATEVALUE(tblWorkPackages[[#This Row],[Due date]])</f>
        <v>45441.0</v>
      </c>
      <c r="Y2400" s="64">
        <f>DATEVALUE(tblWorkPackages[[#This Row],[Completion date]])</f>
        <v>45441.0</v>
      </c>
      <c r="Z2400" s="64">
        <f>_xlfn.MINIFS(tblLaborEntries[Work date serial],tblLaborEntries[Work package ID],tblWorkPackages[[#This Row],[Work package ID]])</f>
        <v>45438.0</v>
      </c>
      <c r="AA2400" s="64">
        <f>_xlfn.MAXIFS(tblLaborEntries[Work date serial],tblLaborEntries[Work package ID],tblWorkPackages[[#This Row],[Work package ID]])</f>
        <v>45439.0</v>
      </c>
      <c r="AB2400" s="65">
        <f>IF(tblWorkPackages[[#This Row],[Completion date serial]]&gt;tblWorkPackages[[#This Row],[Due date serial]],1,0)</f>
        <v>0</v>
      </c>
      <c r="AC2400" s="65">
        <f>MAX(0,tblWorkPackages[[#This Row],[Completion date serial]]-tblWorkPackages[[#This Row],[Due date serial]])</f>
        <v>0</v>
      </c>
      <c r="AD2400" s="65">
        <f>tblWorkPackages[[#This Row],[First labor date]]-tblWorkPackages[[#This Row],[Request date serial]]</f>
        <v>10</v>
      </c>
      <c r="AE2400" s="65">
        <f>tblWorkPackages[[#This Row],[Last labor date]]-tblWorkPackages[[#This Row],[First labor date]]</f>
        <v>1</v>
      </c>
      <c r="AF2400" s="65">
        <f>tblWorkPackages[[#This Row],[Completion date serial]]-tblWorkPackages[[#This Row],[Last labor date]]</f>
        <v>2</v>
      </c>
      <c r="AG2400" s="65">
        <f>tblWorkPackages[[#This Row],[Completion date serial]]-tblWorkPackages[[#This Row],[Request date serial]]</f>
        <v>13</v>
      </c>
      <c r="AH2400" s="65">
        <f>IFERROR(INDEX(tblParts[Delay days],MATCH(tblWorkPackages[[#This Row],[Work package ID]],tblParts[Work package ID],0)),0)</f>
        <v>0</v>
      </c>
      <c r="AI2400" s="51" t="str">
        <f>IFERROR(INDEX(tblDisruptions[Event type],MATCH(tblWorkPackages[[#This Row],[Work package ID]],tblDisruptions[Work package ID],0)),"None")</f>
        <v>None</v>
      </c>
      <c r="AJ2400" s="51" t="str">
        <f>TEXT(tblWorkPackages[[#This Row],[Due date serial]],"yyyy-mm")</f>
        <v>2024-05</v>
      </c>
    </row>
    <row r="2401" spans="1:36" ht="15" x14ac:dyDescent="0.25">
      <c r="A2401" s="53" t="s">
        <v>3319</v>
      </c>
      <c r="B2401" s="53" t="s">
        <v>124</v>
      </c>
      <c r="C2401" s="53" t="s">
        <v>1644</v>
      </c>
      <c r="D2401" s="53" t="s">
        <v>1442</v>
      </c>
      <c r="E2401" s="53" t="s">
        <v>200</v>
      </c>
      <c r="F2401" s="53" t="s">
        <v>128</v>
      </c>
      <c r="G2401" s="53" t="s">
        <v>129</v>
      </c>
      <c r="H2401" s="53">
        <v>3</v>
      </c>
      <c r="I2401" s="53" t="s">
        <v>176</v>
      </c>
      <c r="J2401" s="53">
        <v>0</v>
      </c>
      <c r="K2401" s="53">
        <v>0</v>
      </c>
      <c r="L2401" s="53">
        <v>4</v>
      </c>
      <c r="M2401" s="53" t="s">
        <v>945</v>
      </c>
      <c r="N2401" s="53">
        <v>4</v>
      </c>
      <c r="O2401" s="51" t="str">
        <f>TEXT(tblWorkPackages[[#This Row],[Request date serial]]-WEEKDAY(tblWorkPackages[[#This Row],[Request date serial]],3),"yyyy-mm-dd")</f>
        <v>2024-08-05</v>
      </c>
      <c r="P2401" s="51">
        <f>ABS(tblWorkPackages[[#This Row],[Actual labor hours]]-tblWorkPackages[[#This Row],[Estimated labor hours]])</f>
        <v>0</v>
      </c>
      <c r="Q2401" s="51">
        <f>IF(tblWorkPackages[[#This Row],[Actual labor hours]]&gt;tblWorkPackages[[#This Row],[Estimated labor hours]],1,0)</f>
        <v>0</v>
      </c>
      <c r="R2401" s="51">
        <f>tblWorkPackages[[#This Row],[Actual labor hours]]-tblWorkPackages[[#This Row],[Estimated labor hours]]</f>
        <v>0</v>
      </c>
      <c r="S2401" s="51" t="str">
        <f>IF(tblWorkPackages[[#This Row],[Request date serial]]&lt;ValidationStart,"Train 2024",IF(tblWorkPackages[[#This Row],[Request date serial]]&lt;HoldoutStart,"Validation H1","Holdout H2"))</f>
        <v>Train 2024</v>
      </c>
      <c r="T2401" s="51" t="str">
        <f>IF(tblWorkPackages[[#This Row],[Time split]]="Train 2024","",tblWorkPackages[[#This Row],[Estimated labor hours]]+VLOOKUP(tblWorkPackages[[#This Row],[Task type]],'Forecast validation'!$A$14:$E$25,IF(tblWorkPackages[[#This Row],[Time split]]="Validation H1",4,5),FALSE()))</f>
        <v/>
      </c>
      <c r="U2401" s="51" t="str">
        <f>IF(tblWorkPackages[[#This Row],[Calibrated forecast hours]]="","",ABS(tblWorkPackages[[#This Row],[Actual labor hours]]-tblWorkPackages[[#This Row],[Calibrated forecast hours]]))</f>
        <v/>
      </c>
      <c r="V2401" s="51">
        <f>IF(tblWorkPackages[[#This Row],[Time split]]="Train 2024",tblWorkPackages[[#This Row],[Estimated labor hours]],tblWorkPackages[[#This Row],[Calibrated forecast hours]])</f>
        <v>4</v>
      </c>
      <c r="W2401" s="64">
        <f>DATEVALUE(tblWorkPackages[[#This Row],[Request date]])</f>
        <v>45514.0</v>
      </c>
      <c r="X2401" s="64">
        <f>DATEVALUE(tblWorkPackages[[#This Row],[Due date]])</f>
        <v>45520.0</v>
      </c>
      <c r="Y2401" s="64">
        <f>DATEVALUE(tblWorkPackages[[#This Row],[Completion date]])</f>
        <v>45521.0</v>
      </c>
      <c r="Z2401" s="64">
        <f>_xlfn.MINIFS(tblLaborEntries[Work date serial],tblLaborEntries[Work package ID],tblWorkPackages[[#This Row],[Work package ID]])</f>
        <v>45517.0</v>
      </c>
      <c r="AA2401" s="64">
        <f>_xlfn.MAXIFS(tblLaborEntries[Work date serial],tblLaborEntries[Work package ID],tblWorkPackages[[#This Row],[Work package ID]])</f>
        <v>45518.0</v>
      </c>
      <c r="AB2401" s="65">
        <f>IF(tblWorkPackages[[#This Row],[Completion date serial]]&gt;tblWorkPackages[[#This Row],[Due date serial]],1,0)</f>
        <v>1</v>
      </c>
      <c r="AC2401" s="65">
        <f>MAX(0,tblWorkPackages[[#This Row],[Completion date serial]]-tblWorkPackages[[#This Row],[Due date serial]])</f>
        <v>1</v>
      </c>
      <c r="AD2401" s="65">
        <f>tblWorkPackages[[#This Row],[First labor date]]-tblWorkPackages[[#This Row],[Request date serial]]</f>
        <v>3</v>
      </c>
      <c r="AE2401" s="65">
        <f>tblWorkPackages[[#This Row],[Last labor date]]-tblWorkPackages[[#This Row],[First labor date]]</f>
        <v>1</v>
      </c>
      <c r="AF2401" s="65">
        <f>tblWorkPackages[[#This Row],[Completion date serial]]-tblWorkPackages[[#This Row],[Last labor date]]</f>
        <v>3</v>
      </c>
      <c r="AG2401" s="65">
        <f>tblWorkPackages[[#This Row],[Completion date serial]]-tblWorkPackages[[#This Row],[Request date serial]]</f>
        <v>7</v>
      </c>
      <c r="AH2401" s="65">
        <f>IFERROR(INDEX(tblParts[Delay days],MATCH(tblWorkPackages[[#This Row],[Work package ID]],tblParts[Work package ID],0)),0)</f>
        <v>0</v>
      </c>
      <c r="AI2401" s="51" t="str">
        <f>IFERROR(INDEX(tblDisruptions[Event type],MATCH(tblWorkPackages[[#This Row],[Work package ID]],tblDisruptions[Work package ID],0)),"None")</f>
        <v>None</v>
      </c>
      <c r="AJ2401" s="51" t="str">
        <f>TEXT(tblWorkPackages[[#This Row],[Due date serial]],"yyyy-mm")</f>
        <v>2024-08</v>
      </c>
    </row>
  </sheetData>
  <pageMargins left="0.7" right="0.7" top="0.75" bottom="0.75"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476"/>
  <sheetViews>
    <sheetView showGridLines="0" zoomScaleNormal="100" workbookViewId="0">
      <pane ySplit="1" topLeftCell="A2" activePane="bottomLeft" state="frozen"/>
      <selection pane="bottomLeft" activeCell="K13" sqref="K13"/>
    </sheetView>
  </sheetViews>
  <sheetFormatPr defaultColWidth="8.7109375" defaultRowHeight="12.75" x14ac:dyDescent="0.2"/>
  <cols>
    <col min="1" max="3" width="18" style="51" customWidth="1"/>
    <col min="4" max="4" width="17" style="51" customWidth="1"/>
    <col min="5" max="5" width="16" style="51" customWidth="1"/>
    <col min="6" max="6" width="17" style="51" customWidth="1"/>
    <col min="7" max="7" width="18" style="51" customWidth="1"/>
    <col min="8" max="8" width="24" style="51" customWidth="1"/>
    <col min="9" max="9" width="19" style="51" customWidth="1"/>
    <col min="10" max="16384" width="8.7109375" style="51"/>
  </cols>
  <sheetData>
    <row r="1" spans="1:9" x14ac:dyDescent="0.2">
      <c r="A1" s="63" t="s">
        <v>3320</v>
      </c>
      <c r="B1" s="63" t="s">
        <v>87</v>
      </c>
      <c r="C1" s="63" t="s">
        <v>3321</v>
      </c>
      <c r="D1" s="63" t="s">
        <v>3322</v>
      </c>
      <c r="E1" s="63" t="s">
        <v>3323</v>
      </c>
      <c r="F1" s="63" t="s">
        <v>3324</v>
      </c>
      <c r="G1" s="63" t="s">
        <v>3325</v>
      </c>
      <c r="H1" s="63" t="s">
        <v>3326</v>
      </c>
      <c r="I1" s="63" t="s">
        <v>3327</v>
      </c>
    </row>
    <row r="2" spans="1:9" ht="15" x14ac:dyDescent="0.25">
      <c r="A2" s="53" t="inlineStr">
        <is>
          <t>LAB-000001</t>
        </is>
      </c>
      <c r="B2" s="53" t="inlineStr">
        <is>
          <t>WP-00001</t>
        </is>
      </c>
      <c r="C2" s="53" t="inlineStr">
        <is>
          <t>TECH-007</t>
        </is>
      </c>
      <c r="D2" s="53" t="inlineStr">
        <is>
          <t>Airframe</t>
        </is>
      </c>
      <c r="E2" s="53" t="inlineStr">
        <is>
          <t>2025-05-12</t>
        </is>
      </c>
      <c r="F2" s="53">
        <v>3.8</v>
      </c>
      <c r="G2" s="53">
        <v>0</v>
      </c>
      <c r="H2" s="51" t="str">
        <f>TEXT(tblLaborEntries[[#This Row],[Work date serial]]-WEEKDAY(tblLaborEntries[[#This Row],[Work date serial]],3),"yyyy-mm-dd")</f>
        <v>2025-05-12</v>
      </c>
      <c r="I2" s="64">
        <f>DATEVALUE(tblLaborEntries[[#This Row],[Work date]])</f>
        <v>45789.0</v>
      </c>
    </row>
    <row r="3" spans="1:9" ht="15" x14ac:dyDescent="0.25">
      <c r="A3" s="53" t="inlineStr">
        <is>
          <t>LAB-000002</t>
        </is>
      </c>
      <c r="B3" s="53" t="inlineStr">
        <is>
          <t>WP-00001</t>
        </is>
      </c>
      <c r="C3" s="53" t="inlineStr">
        <is>
          <t>TECH-055</t>
        </is>
      </c>
      <c r="D3" s="53" t="inlineStr">
        <is>
          <t>Airframe</t>
        </is>
      </c>
      <c r="E3" s="53" t="inlineStr">
        <is>
          <t>2025-05-13</t>
        </is>
      </c>
      <c r="F3" s="53">
        <v>4</v>
      </c>
      <c r="G3" s="53">
        <v>0</v>
      </c>
      <c r="H3" s="51" t="str">
        <f>TEXT(tblLaborEntries[[#This Row],[Work date serial]]-WEEKDAY(tblLaborEntries[[#This Row],[Work date serial]],3),"yyyy-mm-dd")</f>
        <v>2025-05-12</v>
      </c>
      <c r="I3" s="64">
        <f>DATEVALUE(tblLaborEntries[[#This Row],[Work date]])</f>
        <v>45790.0</v>
      </c>
    </row>
    <row r="4" spans="1:9" ht="15" x14ac:dyDescent="0.25">
      <c r="A4" s="53" t="inlineStr">
        <is>
          <t>LAB-000003</t>
        </is>
      </c>
      <c r="B4" s="53" t="inlineStr">
        <is>
          <t>WP-00001</t>
        </is>
      </c>
      <c r="C4" s="53" t="inlineStr">
        <is>
          <t>TECH-055</t>
        </is>
      </c>
      <c r="D4" s="53" t="inlineStr">
        <is>
          <t>Airframe</t>
        </is>
      </c>
      <c r="E4" s="53" t="inlineStr">
        <is>
          <t>2025-05-14</t>
        </is>
      </c>
      <c r="F4" s="53">
        <v>3</v>
      </c>
      <c r="G4" s="53">
        <v>0</v>
      </c>
      <c r="H4" s="51" t="str">
        <f>TEXT(tblLaborEntries[[#This Row],[Work date serial]]-WEEKDAY(tblLaborEntries[[#This Row],[Work date serial]],3),"yyyy-mm-dd")</f>
        <v>2025-05-12</v>
      </c>
      <c r="I4" s="64">
        <f>DATEVALUE(tblLaborEntries[[#This Row],[Work date]])</f>
        <v>45791.0</v>
      </c>
    </row>
    <row r="5" spans="1:9" ht="15" x14ac:dyDescent="0.25">
      <c r="A5" s="53" t="inlineStr">
        <is>
          <t>LAB-000004</t>
        </is>
      </c>
      <c r="B5" s="53" t="inlineStr">
        <is>
          <t>WP-00002</t>
        </is>
      </c>
      <c r="C5" s="53" t="inlineStr">
        <is>
          <t>TECH-038</t>
        </is>
      </c>
      <c r="D5" s="53" t="inlineStr">
        <is>
          <t>Avionics</t>
        </is>
      </c>
      <c r="E5" s="53" t="inlineStr">
        <is>
          <t>2025-09-07</t>
        </is>
      </c>
      <c r="F5" s="53">
        <v>6.9</v>
      </c>
      <c r="G5" s="53">
        <v>0</v>
      </c>
      <c r="H5" s="51" t="str">
        <f>TEXT(tblLaborEntries[[#This Row],[Work date serial]]-WEEKDAY(tblLaborEntries[[#This Row],[Work date serial]],3),"yyyy-mm-dd")</f>
        <v>2025-09-01</v>
      </c>
      <c r="I5" s="64">
        <f>DATEVALUE(tblLaborEntries[[#This Row],[Work date]])</f>
        <v>45907.0</v>
      </c>
    </row>
    <row r="6" spans="1:9" ht="15" x14ac:dyDescent="0.25">
      <c r="A6" s="53" t="inlineStr">
        <is>
          <t>LAB-000005</t>
        </is>
      </c>
      <c r="B6" s="53" t="inlineStr">
        <is>
          <t>WP-00003</t>
        </is>
      </c>
      <c r="C6" s="53" t="inlineStr">
        <is>
          <t>TECH-033</t>
        </is>
      </c>
      <c r="D6" s="53" t="inlineStr">
        <is>
          <t>Hydraulics</t>
        </is>
      </c>
      <c r="E6" s="53" t="inlineStr">
        <is>
          <t>2024-02-23</t>
        </is>
      </c>
      <c r="F6" s="53">
        <v>7.9</v>
      </c>
      <c r="G6" s="53">
        <v>0</v>
      </c>
      <c r="H6" s="51" t="str">
        <f>TEXT(tblLaborEntries[[#This Row],[Work date serial]]-WEEKDAY(tblLaborEntries[[#This Row],[Work date serial]],3),"yyyy-mm-dd")</f>
        <v>2024-02-19</v>
      </c>
      <c r="I6" s="64">
        <f>DATEVALUE(tblLaborEntries[[#This Row],[Work date]])</f>
        <v>45345.0</v>
      </c>
    </row>
    <row r="7" spans="1:9" ht="15" x14ac:dyDescent="0.25">
      <c r="A7" s="53" t="inlineStr">
        <is>
          <t>LAB-000006</t>
        </is>
      </c>
      <c r="B7" s="53" t="inlineStr">
        <is>
          <t>WP-00003</t>
        </is>
      </c>
      <c r="C7" s="53" t="inlineStr">
        <is>
          <t>TECH-063</t>
        </is>
      </c>
      <c r="D7" s="53" t="inlineStr">
        <is>
          <t>Hydraulics</t>
        </is>
      </c>
      <c r="E7" s="53" t="inlineStr">
        <is>
          <t>2024-02-24</t>
        </is>
      </c>
      <c r="F7" s="53">
        <v>6.8</v>
      </c>
      <c r="G7" s="53">
        <v>0</v>
      </c>
      <c r="H7" s="51" t="str">
        <f>TEXT(tblLaborEntries[[#This Row],[Work date serial]]-WEEKDAY(tblLaborEntries[[#This Row],[Work date serial]],3),"yyyy-mm-dd")</f>
        <v>2024-02-19</v>
      </c>
      <c r="I7" s="64">
        <f>DATEVALUE(tblLaborEntries[[#This Row],[Work date]])</f>
        <v>45346.0</v>
      </c>
    </row>
    <row r="8" spans="1:9" ht="15" x14ac:dyDescent="0.25">
      <c r="A8" s="53" t="inlineStr">
        <is>
          <t>LAB-000007</t>
        </is>
      </c>
      <c r="B8" s="53" t="inlineStr">
        <is>
          <t>WP-00004</t>
        </is>
      </c>
      <c r="C8" s="53" t="inlineStr">
        <is>
          <t>TECH-030</t>
        </is>
      </c>
      <c r="D8" s="53" t="inlineStr">
        <is>
          <t>Powerplant</t>
        </is>
      </c>
      <c r="E8" s="53" t="inlineStr">
        <is>
          <t>2024-08-27</t>
        </is>
      </c>
      <c r="F8" s="53">
        <v>6.2</v>
      </c>
      <c r="G8" s="53">
        <v>0</v>
      </c>
      <c r="H8" s="51" t="str">
        <f>TEXT(tblLaborEntries[[#This Row],[Work date serial]]-WEEKDAY(tblLaborEntries[[#This Row],[Work date serial]],3),"yyyy-mm-dd")</f>
        <v>2024-08-26</v>
      </c>
      <c r="I8" s="64">
        <f>DATEVALUE(tblLaborEntries[[#This Row],[Work date]])</f>
        <v>45531.0</v>
      </c>
    </row>
    <row r="9" spans="1:9" ht="15" x14ac:dyDescent="0.25">
      <c r="A9" s="53" t="inlineStr">
        <is>
          <t>LAB-000008</t>
        </is>
      </c>
      <c r="B9" s="53" t="inlineStr">
        <is>
          <t>WP-00004</t>
        </is>
      </c>
      <c r="C9" s="53" t="inlineStr">
        <is>
          <t>TECH-054</t>
        </is>
      </c>
      <c r="D9" s="53" t="inlineStr">
        <is>
          <t>Powerplant</t>
        </is>
      </c>
      <c r="E9" s="53" t="inlineStr">
        <is>
          <t>2024-08-28</t>
        </is>
      </c>
      <c r="F9" s="53">
        <v>6.7</v>
      </c>
      <c r="G9" s="53">
        <v>0</v>
      </c>
      <c r="H9" s="51" t="str">
        <f>TEXT(tblLaborEntries[[#This Row],[Work date serial]]-WEEKDAY(tblLaborEntries[[#This Row],[Work date serial]],3),"yyyy-mm-dd")</f>
        <v>2024-08-26</v>
      </c>
      <c r="I9" s="64">
        <f>DATEVALUE(tblLaborEntries[[#This Row],[Work date]])</f>
        <v>45532.0</v>
      </c>
    </row>
    <row r="10" spans="1:9" ht="15" x14ac:dyDescent="0.25">
      <c r="A10" s="53" t="inlineStr">
        <is>
          <t>LAB-000009</t>
        </is>
      </c>
      <c r="B10" s="53" t="inlineStr">
        <is>
          <t>WP-00005</t>
        </is>
      </c>
      <c r="C10" s="53" t="inlineStr">
        <is>
          <t>TECH-002</t>
        </is>
      </c>
      <c r="D10" s="53" t="inlineStr">
        <is>
          <t>Avionics</t>
        </is>
      </c>
      <c r="E10" s="53" t="inlineStr">
        <is>
          <t>2024-12-02</t>
        </is>
      </c>
      <c r="F10" s="53">
        <v>8</v>
      </c>
      <c r="G10" s="53">
        <v>0</v>
      </c>
      <c r="H10" s="51" t="str">
        <f>TEXT(tblLaborEntries[[#This Row],[Work date serial]]-WEEKDAY(tblLaborEntries[[#This Row],[Work date serial]],3),"yyyy-mm-dd")</f>
        <v>2024-12-02</v>
      </c>
      <c r="I10" s="64">
        <f>DATEVALUE(tblLaborEntries[[#This Row],[Work date]])</f>
        <v>45628.0</v>
      </c>
    </row>
    <row r="11" spans="1:9" ht="15" x14ac:dyDescent="0.25">
      <c r="A11" s="53" t="inlineStr">
        <is>
          <t>LAB-000010</t>
        </is>
      </c>
      <c r="B11" s="53" t="inlineStr">
        <is>
          <t>WP-00006</t>
        </is>
      </c>
      <c r="C11" s="53" t="inlineStr">
        <is>
          <t>TECH-019</t>
        </is>
      </c>
      <c r="D11" s="53" t="inlineStr">
        <is>
          <t>Airframe</t>
        </is>
      </c>
      <c r="E11" s="53" t="inlineStr">
        <is>
          <t>2024-07-11</t>
        </is>
      </c>
      <c r="F11" s="53">
        <v>7.2</v>
      </c>
      <c r="G11" s="53">
        <v>0</v>
      </c>
      <c r="H11" s="51" t="str">
        <f>TEXT(tblLaborEntries[[#This Row],[Work date serial]]-WEEKDAY(tblLaborEntries[[#This Row],[Work date serial]],3),"yyyy-mm-dd")</f>
        <v>2024-07-08</v>
      </c>
      <c r="I11" s="64">
        <f>DATEVALUE(tblLaborEntries[[#This Row],[Work date]])</f>
        <v>45484.0</v>
      </c>
    </row>
    <row r="12" spans="1:9" ht="15" x14ac:dyDescent="0.25">
      <c r="A12" s="53" t="inlineStr">
        <is>
          <t>LAB-000011</t>
        </is>
      </c>
      <c r="B12" s="53" t="inlineStr">
        <is>
          <t>WP-00007</t>
        </is>
      </c>
      <c r="C12" s="53" t="inlineStr">
        <is>
          <t>TECH-031</t>
        </is>
      </c>
      <c r="D12" s="53" t="inlineStr">
        <is>
          <t>Airframe</t>
        </is>
      </c>
      <c r="E12" s="53" t="inlineStr">
        <is>
          <t>2024-10-23</t>
        </is>
      </c>
      <c r="F12" s="53">
        <v>4.9</v>
      </c>
      <c r="G12" s="53">
        <v>0</v>
      </c>
      <c r="H12" s="51" t="str">
        <f>TEXT(tblLaborEntries[[#This Row],[Work date serial]]-WEEKDAY(tblLaborEntries[[#This Row],[Work date serial]],3),"yyyy-mm-dd")</f>
        <v>2024-10-21</v>
      </c>
      <c r="I12" s="64">
        <f>DATEVALUE(tblLaborEntries[[#This Row],[Work date]])</f>
        <v>45588.0</v>
      </c>
    </row>
    <row r="13" spans="1:9" ht="15" x14ac:dyDescent="0.25">
      <c r="A13" s="53" t="inlineStr">
        <is>
          <t>LAB-000012</t>
        </is>
      </c>
      <c r="B13" s="53" t="inlineStr">
        <is>
          <t>WP-00008</t>
        </is>
      </c>
      <c r="C13" s="53" t="inlineStr">
        <is>
          <t>TECH-033</t>
        </is>
      </c>
      <c r="D13" s="53" t="inlineStr">
        <is>
          <t>Hydraulics</t>
        </is>
      </c>
      <c r="E13" s="53" t="inlineStr">
        <is>
          <t>2025-08-13</t>
        </is>
      </c>
      <c r="F13" s="53">
        <v>5.3</v>
      </c>
      <c r="G13" s="53">
        <v>0</v>
      </c>
      <c r="H13" s="51" t="str">
        <f>TEXT(tblLaborEntries[[#This Row],[Work date serial]]-WEEKDAY(tblLaborEntries[[#This Row],[Work date serial]],3),"yyyy-mm-dd")</f>
        <v>2025-08-11</v>
      </c>
      <c r="I13" s="64">
        <f>DATEVALUE(tblLaborEntries[[#This Row],[Work date]])</f>
        <v>45882.0</v>
      </c>
    </row>
    <row r="14" spans="1:9" ht="15" x14ac:dyDescent="0.25">
      <c r="A14" s="53" t="inlineStr">
        <is>
          <t>LAB-000013</t>
        </is>
      </c>
      <c r="B14" s="53" t="inlineStr">
        <is>
          <t>WP-00008</t>
        </is>
      </c>
      <c r="C14" s="53" t="inlineStr">
        <is>
          <t>TECH-069</t>
        </is>
      </c>
      <c r="D14" s="53" t="inlineStr">
        <is>
          <t>Hydraulics</t>
        </is>
      </c>
      <c r="E14" s="53" t="inlineStr">
        <is>
          <t>2025-08-14</t>
        </is>
      </c>
      <c r="F14" s="53">
        <v>5.7</v>
      </c>
      <c r="G14" s="53">
        <v>0</v>
      </c>
      <c r="H14" s="51" t="str">
        <f>TEXT(tblLaborEntries[[#This Row],[Work date serial]]-WEEKDAY(tblLaborEntries[[#This Row],[Work date serial]],3),"yyyy-mm-dd")</f>
        <v>2025-08-11</v>
      </c>
      <c r="I14" s="64">
        <f>DATEVALUE(tblLaborEntries[[#This Row],[Work date]])</f>
        <v>45883.0</v>
      </c>
    </row>
    <row r="15" spans="1:9" ht="15" x14ac:dyDescent="0.25">
      <c r="A15" s="53" t="inlineStr">
        <is>
          <t>LAB-000014</t>
        </is>
      </c>
      <c r="B15" s="53" t="inlineStr">
        <is>
          <t>WP-00009</t>
        </is>
      </c>
      <c r="C15" s="53" t="inlineStr">
        <is>
          <t>TECH-014</t>
        </is>
      </c>
      <c r="D15" s="53" t="inlineStr">
        <is>
          <t>Avionics</t>
        </is>
      </c>
      <c r="E15" s="53" t="inlineStr">
        <is>
          <t>2025-05-22</t>
        </is>
      </c>
      <c r="F15" s="53">
        <v>8.2</v>
      </c>
      <c r="G15" s="53">
        <v>0.2</v>
      </c>
      <c r="H15" s="51" t="str">
        <f>TEXT(tblLaborEntries[[#This Row],[Work date serial]]-WEEKDAY(tblLaborEntries[[#This Row],[Work date serial]],3),"yyyy-mm-dd")</f>
        <v>2025-05-19</v>
      </c>
      <c r="I15" s="64">
        <f>DATEVALUE(tblLaborEntries[[#This Row],[Work date]])</f>
        <v>45799.0</v>
      </c>
    </row>
    <row r="16" spans="1:9" ht="15" x14ac:dyDescent="0.25">
      <c r="A16" s="53" t="inlineStr">
        <is>
          <t>LAB-000015</t>
        </is>
      </c>
      <c r="B16" s="53" t="inlineStr">
        <is>
          <t>WP-00010</t>
        </is>
      </c>
      <c r="C16" s="53" t="inlineStr">
        <is>
          <t>TECH-008</t>
        </is>
      </c>
      <c r="D16" s="53" t="inlineStr">
        <is>
          <t>Avionics</t>
        </is>
      </c>
      <c r="E16" s="53" t="inlineStr">
        <is>
          <t>2025-02-21</t>
        </is>
      </c>
      <c r="F16" s="53">
        <v>4.4</v>
      </c>
      <c r="G16" s="53">
        <v>0</v>
      </c>
      <c r="H16" s="51" t="str">
        <f>TEXT(tblLaborEntries[[#This Row],[Work date serial]]-WEEKDAY(tblLaborEntries[[#This Row],[Work date serial]],3),"yyyy-mm-dd")</f>
        <v>2025-02-17</v>
      </c>
      <c r="I16" s="64">
        <f>DATEVALUE(tblLaborEntries[[#This Row],[Work date]])</f>
        <v>45709.0</v>
      </c>
    </row>
    <row r="17" spans="1:9" ht="15" x14ac:dyDescent="0.25">
      <c r="A17" s="53" t="inlineStr">
        <is>
          <t>LAB-000016</t>
        </is>
      </c>
      <c r="B17" s="53" t="inlineStr">
        <is>
          <t>WP-00010</t>
        </is>
      </c>
      <c r="C17" s="53" t="inlineStr">
        <is>
          <t>TECH-062</t>
        </is>
      </c>
      <c r="D17" s="53" t="inlineStr">
        <is>
          <t>Avionics</t>
        </is>
      </c>
      <c r="E17" s="53" t="inlineStr">
        <is>
          <t>2025-02-22</t>
        </is>
      </c>
      <c r="F17" s="53">
        <v>4.6</v>
      </c>
      <c r="G17" s="53">
        <v>0</v>
      </c>
      <c r="H17" s="51" t="str">
        <f>TEXT(tblLaborEntries[[#This Row],[Work date serial]]-WEEKDAY(tblLaborEntries[[#This Row],[Work date serial]],3),"yyyy-mm-dd")</f>
        <v>2025-02-17</v>
      </c>
      <c r="I17" s="64">
        <f>DATEVALUE(tblLaborEntries[[#This Row],[Work date]])</f>
        <v>45710.0</v>
      </c>
    </row>
    <row r="18" spans="1:9" ht="15" x14ac:dyDescent="0.25">
      <c r="A18" s="53" t="inlineStr">
        <is>
          <t>LAB-000017</t>
        </is>
      </c>
      <c r="B18" s="53" t="inlineStr">
        <is>
          <t>WP-00011</t>
        </is>
      </c>
      <c r="C18" s="53" t="inlineStr">
        <is>
          <t>TECH-002</t>
        </is>
      </c>
      <c r="D18" s="53" t="inlineStr">
        <is>
          <t>Avionics</t>
        </is>
      </c>
      <c r="E18" s="53" t="inlineStr">
        <is>
          <t>2025-08-29</t>
        </is>
      </c>
      <c r="F18" s="53">
        <v>5.2</v>
      </c>
      <c r="G18" s="53">
        <v>0</v>
      </c>
      <c r="H18" s="51" t="str">
        <f>TEXT(tblLaborEntries[[#This Row],[Work date serial]]-WEEKDAY(tblLaborEntries[[#This Row],[Work date serial]],3),"yyyy-mm-dd")</f>
        <v>2025-08-25</v>
      </c>
      <c r="I18" s="64">
        <f>DATEVALUE(tblLaborEntries[[#This Row],[Work date]])</f>
        <v>45898.0</v>
      </c>
    </row>
    <row r="19" spans="1:9" ht="15" x14ac:dyDescent="0.25">
      <c r="A19" s="53" t="inlineStr">
        <is>
          <t>LAB-000018</t>
        </is>
      </c>
      <c r="B19" s="53" t="inlineStr">
        <is>
          <t>WP-00012</t>
        </is>
      </c>
      <c r="C19" s="53" t="inlineStr">
        <is>
          <t>TECH-002</t>
        </is>
      </c>
      <c r="D19" s="53" t="inlineStr">
        <is>
          <t>Avionics</t>
        </is>
      </c>
      <c r="E19" s="53" t="inlineStr">
        <is>
          <t>2024-10-13</t>
        </is>
      </c>
      <c r="F19" s="53">
        <v>3.2</v>
      </c>
      <c r="G19" s="53">
        <v>0</v>
      </c>
      <c r="H19" s="51" t="str">
        <f>TEXT(tblLaborEntries[[#This Row],[Work date serial]]-WEEKDAY(tblLaborEntries[[#This Row],[Work date serial]],3),"yyyy-mm-dd")</f>
        <v>2024-10-07</v>
      </c>
      <c r="I19" s="64">
        <f>DATEVALUE(tblLaborEntries[[#This Row],[Work date]])</f>
        <v>45578.0</v>
      </c>
    </row>
    <row r="20" spans="1:9" ht="15" x14ac:dyDescent="0.25">
      <c r="A20" s="53" t="inlineStr">
        <is>
          <t>LAB-000019</t>
        </is>
      </c>
      <c r="B20" s="53" t="inlineStr">
        <is>
          <t>WP-00012</t>
        </is>
      </c>
      <c r="C20" s="53" t="inlineStr">
        <is>
          <t>TECH-050</t>
        </is>
      </c>
      <c r="D20" s="53" t="inlineStr">
        <is>
          <t>Avionics</t>
        </is>
      </c>
      <c r="E20" s="53" t="inlineStr">
        <is>
          <t>2024-10-14</t>
        </is>
      </c>
      <c r="F20" s="53">
        <v>2.5</v>
      </c>
      <c r="G20" s="53">
        <v>0</v>
      </c>
      <c r="H20" s="51" t="str">
        <f>TEXT(tblLaborEntries[[#This Row],[Work date serial]]-WEEKDAY(tblLaborEntries[[#This Row],[Work date serial]],3),"yyyy-mm-dd")</f>
        <v>2024-10-14</v>
      </c>
      <c r="I20" s="64">
        <f>DATEVALUE(tblLaborEntries[[#This Row],[Work date]])</f>
        <v>45579.0</v>
      </c>
    </row>
    <row r="21" spans="1:9" ht="15" x14ac:dyDescent="0.25">
      <c r="A21" s="53" t="inlineStr">
        <is>
          <t>LAB-000020</t>
        </is>
      </c>
      <c r="B21" s="53" t="inlineStr">
        <is>
          <t>WP-00013</t>
        </is>
      </c>
      <c r="C21" s="53" t="inlineStr">
        <is>
          <t>TECH-073</t>
        </is>
      </c>
      <c r="D21" s="53" t="inlineStr">
        <is>
          <t>Airframe</t>
        </is>
      </c>
      <c r="E21" s="53" t="inlineStr">
        <is>
          <t>2025-06-25</t>
        </is>
      </c>
      <c r="F21" s="53">
        <v>1.9</v>
      </c>
      <c r="G21" s="53">
        <v>0</v>
      </c>
      <c r="H21" s="51" t="str">
        <f>TEXT(tblLaborEntries[[#This Row],[Work date serial]]-WEEKDAY(tblLaborEntries[[#This Row],[Work date serial]],3),"yyyy-mm-dd")</f>
        <v>2025-06-23</v>
      </c>
      <c r="I21" s="64">
        <f>DATEVALUE(tblLaborEntries[[#This Row],[Work date]])</f>
        <v>45833.0</v>
      </c>
    </row>
    <row r="22" spans="1:9" ht="15" x14ac:dyDescent="0.25">
      <c r="A22" s="53" t="inlineStr">
        <is>
          <t>LAB-000021</t>
        </is>
      </c>
      <c r="B22" s="53" t="inlineStr">
        <is>
          <t>WP-00013</t>
        </is>
      </c>
      <c r="C22" s="53" t="inlineStr">
        <is>
          <t>TECH-061</t>
        </is>
      </c>
      <c r="D22" s="53" t="inlineStr">
        <is>
          <t>Airframe</t>
        </is>
      </c>
      <c r="E22" s="53" t="inlineStr">
        <is>
          <t>2025-06-26</t>
        </is>
      </c>
      <c r="F22" s="53">
        <v>2</v>
      </c>
      <c r="G22" s="53">
        <v>0</v>
      </c>
      <c r="H22" s="51" t="str">
        <f>TEXT(tblLaborEntries[[#This Row],[Work date serial]]-WEEKDAY(tblLaborEntries[[#This Row],[Work date serial]],3),"yyyy-mm-dd")</f>
        <v>2025-06-23</v>
      </c>
      <c r="I22" s="64">
        <f>DATEVALUE(tblLaborEntries[[#This Row],[Work date]])</f>
        <v>45834.0</v>
      </c>
    </row>
    <row r="23" spans="1:9" ht="15" x14ac:dyDescent="0.25">
      <c r="A23" s="53" t="inlineStr">
        <is>
          <t>LAB-000022</t>
        </is>
      </c>
      <c r="B23" s="53" t="inlineStr">
        <is>
          <t>WP-00013</t>
        </is>
      </c>
      <c r="C23" s="53" t="inlineStr">
        <is>
          <t>TECH-043</t>
        </is>
      </c>
      <c r="D23" s="53" t="inlineStr">
        <is>
          <t>Airframe</t>
        </is>
      </c>
      <c r="E23" s="53" t="inlineStr">
        <is>
          <t>2025-06-27</t>
        </is>
      </c>
      <c r="F23" s="53">
        <v>3</v>
      </c>
      <c r="G23" s="53">
        <v>0</v>
      </c>
      <c r="H23" s="51" t="str">
        <f>TEXT(tblLaborEntries[[#This Row],[Work date serial]]-WEEKDAY(tblLaborEntries[[#This Row],[Work date serial]],3),"yyyy-mm-dd")</f>
        <v>2025-06-23</v>
      </c>
      <c r="I23" s="64">
        <f>DATEVALUE(tblLaborEntries[[#This Row],[Work date]])</f>
        <v>45835.0</v>
      </c>
    </row>
    <row r="24" spans="1:9" ht="15" x14ac:dyDescent="0.25">
      <c r="A24" s="53" t="inlineStr">
        <is>
          <t>LAB-000023</t>
        </is>
      </c>
      <c r="B24" s="53" t="inlineStr">
        <is>
          <t>WP-00014</t>
        </is>
      </c>
      <c r="C24" s="53" t="inlineStr">
        <is>
          <t>TECH-068</t>
        </is>
      </c>
      <c r="D24" s="53" t="inlineStr">
        <is>
          <t>Avionics</t>
        </is>
      </c>
      <c r="E24" s="53" t="inlineStr">
        <is>
          <t>2024-11-10</t>
        </is>
      </c>
      <c r="F24" s="53">
        <v>9.4</v>
      </c>
      <c r="G24" s="53">
        <v>1.4</v>
      </c>
      <c r="H24" s="51" t="str">
        <f>TEXT(tblLaborEntries[[#This Row],[Work date serial]]-WEEKDAY(tblLaborEntries[[#This Row],[Work date serial]],3),"yyyy-mm-dd")</f>
        <v>2024-11-04</v>
      </c>
      <c r="I24" s="64">
        <f>DATEVALUE(tblLaborEntries[[#This Row],[Work date]])</f>
        <v>45606.0</v>
      </c>
    </row>
    <row r="25" spans="1:9" ht="15" x14ac:dyDescent="0.25">
      <c r="A25" s="53" t="inlineStr">
        <is>
          <t>LAB-000024</t>
        </is>
      </c>
      <c r="B25" s="53" t="inlineStr">
        <is>
          <t>WP-00015</t>
        </is>
      </c>
      <c r="C25" s="53" t="inlineStr">
        <is>
          <t>TECH-005</t>
        </is>
      </c>
      <c r="D25" s="53" t="inlineStr">
        <is>
          <t>Structures</t>
        </is>
      </c>
      <c r="E25" s="53" t="inlineStr">
        <is>
          <t>2025-08-11</t>
        </is>
      </c>
      <c r="F25" s="53">
        <v>12</v>
      </c>
      <c r="G25" s="53">
        <v>4</v>
      </c>
      <c r="H25" s="51" t="str">
        <f>TEXT(tblLaborEntries[[#This Row],[Work date serial]]-WEEKDAY(tblLaborEntries[[#This Row],[Work date serial]],3),"yyyy-mm-dd")</f>
        <v>2025-08-11</v>
      </c>
      <c r="I25" s="64">
        <f>DATEVALUE(tblLaborEntries[[#This Row],[Work date]])</f>
        <v>45880.0</v>
      </c>
    </row>
    <row r="26" spans="1:9" ht="15" x14ac:dyDescent="0.25">
      <c r="A26" s="53" t="inlineStr">
        <is>
          <t>LAB-000025</t>
        </is>
      </c>
      <c r="B26" s="53" t="inlineStr">
        <is>
          <t>WP-00015</t>
        </is>
      </c>
      <c r="C26" s="53" t="inlineStr">
        <is>
          <t>TECH-011</t>
        </is>
      </c>
      <c r="D26" s="53" t="inlineStr">
        <is>
          <t>Structures</t>
        </is>
      </c>
      <c r="E26" s="53" t="inlineStr">
        <is>
          <t>2025-08-11</t>
        </is>
      </c>
      <c r="F26" s="53">
        <v>9.7</v>
      </c>
      <c r="G26" s="53">
        <v>1.7</v>
      </c>
      <c r="H26" s="51" t="str">
        <f>TEXT(tblLaborEntries[[#This Row],[Work date serial]]-WEEKDAY(tblLaborEntries[[#This Row],[Work date serial]],3),"yyyy-mm-dd")</f>
        <v>2025-08-11</v>
      </c>
      <c r="I26" s="64">
        <f>DATEVALUE(tblLaborEntries[[#This Row],[Work date]])</f>
        <v>45880.0</v>
      </c>
    </row>
    <row r="27" spans="1:9" ht="15" x14ac:dyDescent="0.25">
      <c r="A27" s="53" t="inlineStr">
        <is>
          <t>LAB-000026</t>
        </is>
      </c>
      <c r="B27" s="53" t="inlineStr">
        <is>
          <t>WP-00015</t>
        </is>
      </c>
      <c r="C27" s="53" t="inlineStr">
        <is>
          <t>TECH-035</t>
        </is>
      </c>
      <c r="D27" s="53" t="inlineStr">
        <is>
          <t>Structures</t>
        </is>
      </c>
      <c r="E27" s="53" t="inlineStr">
        <is>
          <t>2025-08-11</t>
        </is>
      </c>
      <c r="F27" s="53">
        <v>12</v>
      </c>
      <c r="G27" s="53">
        <v>4</v>
      </c>
      <c r="H27" s="51" t="str">
        <f>TEXT(tblLaborEntries[[#This Row],[Work date serial]]-WEEKDAY(tblLaborEntries[[#This Row],[Work date serial]],3),"yyyy-mm-dd")</f>
        <v>2025-08-11</v>
      </c>
      <c r="I27" s="64">
        <f>DATEVALUE(tblLaborEntries[[#This Row],[Work date]])</f>
        <v>45880.0</v>
      </c>
    </row>
    <row r="28" spans="1:9" ht="15" x14ac:dyDescent="0.25">
      <c r="A28" s="53" t="inlineStr">
        <is>
          <t>LAB-000027</t>
        </is>
      </c>
      <c r="B28" s="53" t="inlineStr">
        <is>
          <t>WP-00016</t>
        </is>
      </c>
      <c r="C28" s="53" t="inlineStr">
        <is>
          <t>TECH-073</t>
        </is>
      </c>
      <c r="D28" s="53" t="inlineStr">
        <is>
          <t>Airframe</t>
        </is>
      </c>
      <c r="E28" s="53" t="inlineStr">
        <is>
          <t>2024-02-11</t>
        </is>
      </c>
      <c r="F28" s="53">
        <v>7</v>
      </c>
      <c r="G28" s="53">
        <v>0</v>
      </c>
      <c r="H28" s="51" t="str">
        <f>TEXT(tblLaborEntries[[#This Row],[Work date serial]]-WEEKDAY(tblLaborEntries[[#This Row],[Work date serial]],3),"yyyy-mm-dd")</f>
        <v>2024-02-05</v>
      </c>
      <c r="I28" s="64">
        <f>DATEVALUE(tblLaborEntries[[#This Row],[Work date]])</f>
        <v>45333.0</v>
      </c>
    </row>
    <row r="29" spans="1:9" ht="15" x14ac:dyDescent="0.25">
      <c r="A29" s="53" t="inlineStr">
        <is>
          <t>LAB-000028</t>
        </is>
      </c>
      <c r="B29" s="53" t="inlineStr">
        <is>
          <t>WP-00017</t>
        </is>
      </c>
      <c r="C29" s="53" t="inlineStr">
        <is>
          <t>TECH-037</t>
        </is>
      </c>
      <c r="D29" s="53" t="inlineStr">
        <is>
          <t>Airframe</t>
        </is>
      </c>
      <c r="E29" s="53" t="inlineStr">
        <is>
          <t>2025-12-18</t>
        </is>
      </c>
      <c r="F29" s="53">
        <v>2.6</v>
      </c>
      <c r="G29" s="53">
        <v>0</v>
      </c>
      <c r="H29" s="51" t="str">
        <f>TEXT(tblLaborEntries[[#This Row],[Work date serial]]-WEEKDAY(tblLaborEntries[[#This Row],[Work date serial]],3),"yyyy-mm-dd")</f>
        <v>2025-12-15</v>
      </c>
      <c r="I29" s="64">
        <f>DATEVALUE(tblLaborEntries[[#This Row],[Work date]])</f>
        <v>46009.0</v>
      </c>
    </row>
    <row r="30" spans="1:9" ht="15" x14ac:dyDescent="0.25">
      <c r="A30" s="53" t="inlineStr">
        <is>
          <t>LAB-000029</t>
        </is>
      </c>
      <c r="B30" s="53" t="inlineStr">
        <is>
          <t>WP-00017</t>
        </is>
      </c>
      <c r="C30" s="53" t="inlineStr">
        <is>
          <t>TECH-013</t>
        </is>
      </c>
      <c r="D30" s="53" t="inlineStr">
        <is>
          <t>Airframe</t>
        </is>
      </c>
      <c r="E30" s="53" t="inlineStr">
        <is>
          <t>2025-12-19</t>
        </is>
      </c>
      <c r="F30" s="53">
        <v>2.4</v>
      </c>
      <c r="G30" s="53">
        <v>0</v>
      </c>
      <c r="H30" s="51" t="str">
        <f>TEXT(tblLaborEntries[[#This Row],[Work date serial]]-WEEKDAY(tblLaborEntries[[#This Row],[Work date serial]],3),"yyyy-mm-dd")</f>
        <v>2025-12-15</v>
      </c>
      <c r="I30" s="64">
        <f>DATEVALUE(tblLaborEntries[[#This Row],[Work date]])</f>
        <v>46010.0</v>
      </c>
    </row>
    <row r="31" spans="1:9" ht="15" x14ac:dyDescent="0.25">
      <c r="A31" s="53" t="inlineStr">
        <is>
          <t>LAB-000030</t>
        </is>
      </c>
      <c r="B31" s="53" t="inlineStr">
        <is>
          <t>WP-00017</t>
        </is>
      </c>
      <c r="C31" s="53" t="inlineStr">
        <is>
          <t>TECH-019</t>
        </is>
      </c>
      <c r="D31" s="53" t="inlineStr">
        <is>
          <t>Airframe</t>
        </is>
      </c>
      <c r="E31" s="53" t="inlineStr">
        <is>
          <t>2025-12-20</t>
        </is>
      </c>
      <c r="F31" s="53">
        <v>1.8</v>
      </c>
      <c r="G31" s="53">
        <v>0</v>
      </c>
      <c r="H31" s="51" t="str">
        <f>TEXT(tblLaborEntries[[#This Row],[Work date serial]]-WEEKDAY(tblLaborEntries[[#This Row],[Work date serial]],3),"yyyy-mm-dd")</f>
        <v>2025-12-15</v>
      </c>
      <c r="I31" s="64">
        <f>DATEVALUE(tblLaborEntries[[#This Row],[Work date]])</f>
        <v>46011.0</v>
      </c>
    </row>
    <row r="32" spans="1:9" ht="15" x14ac:dyDescent="0.25">
      <c r="A32" s="53" t="inlineStr">
        <is>
          <t>LAB-000031</t>
        </is>
      </c>
      <c r="B32" s="53" t="inlineStr">
        <is>
          <t>WP-00018</t>
        </is>
      </c>
      <c r="C32" s="53" t="inlineStr">
        <is>
          <t>TECH-018</t>
        </is>
      </c>
      <c r="D32" s="53" t="inlineStr">
        <is>
          <t>Powerplant</t>
        </is>
      </c>
      <c r="E32" s="53" t="inlineStr">
        <is>
          <t>2024-12-20</t>
        </is>
      </c>
      <c r="F32" s="53">
        <v>3.5</v>
      </c>
      <c r="G32" s="53">
        <v>0</v>
      </c>
      <c r="H32" s="51" t="str">
        <f>TEXT(tblLaborEntries[[#This Row],[Work date serial]]-WEEKDAY(tblLaborEntries[[#This Row],[Work date serial]],3),"yyyy-mm-dd")</f>
        <v>2024-12-16</v>
      </c>
      <c r="I32" s="64">
        <f>DATEVALUE(tblLaborEntries[[#This Row],[Work date]])</f>
        <v>45646.0</v>
      </c>
    </row>
    <row r="33" spans="1:9" ht="15" x14ac:dyDescent="0.25">
      <c r="A33" s="53" t="inlineStr">
        <is>
          <t>LAB-000032</t>
        </is>
      </c>
      <c r="B33" s="53" t="inlineStr">
        <is>
          <t>WP-00018</t>
        </is>
      </c>
      <c r="C33" s="53" t="inlineStr">
        <is>
          <t>TECH-024</t>
        </is>
      </c>
      <c r="D33" s="53" t="inlineStr">
        <is>
          <t>Powerplant</t>
        </is>
      </c>
      <c r="E33" s="53" t="inlineStr">
        <is>
          <t>2024-12-21</t>
        </is>
      </c>
      <c r="F33" s="53">
        <v>5</v>
      </c>
      <c r="G33" s="53">
        <v>0</v>
      </c>
      <c r="H33" s="51" t="str">
        <f>TEXT(tblLaborEntries[[#This Row],[Work date serial]]-WEEKDAY(tblLaborEntries[[#This Row],[Work date serial]],3),"yyyy-mm-dd")</f>
        <v>2024-12-16</v>
      </c>
      <c r="I33" s="64">
        <f>DATEVALUE(tblLaborEntries[[#This Row],[Work date]])</f>
        <v>45647.0</v>
      </c>
    </row>
    <row r="34" spans="1:9" ht="15" x14ac:dyDescent="0.25">
      <c r="A34" s="53" t="inlineStr">
        <is>
          <t>LAB-000033</t>
        </is>
      </c>
      <c r="B34" s="53" t="inlineStr">
        <is>
          <t>WP-00019</t>
        </is>
      </c>
      <c r="C34" s="53" t="inlineStr">
        <is>
          <t>TECH-002</t>
        </is>
      </c>
      <c r="D34" s="53" t="inlineStr">
        <is>
          <t>Avionics</t>
        </is>
      </c>
      <c r="E34" s="53" t="inlineStr">
        <is>
          <t>2025-08-01</t>
        </is>
      </c>
      <c r="F34" s="53">
        <v>0.1</v>
      </c>
      <c r="G34" s="53">
        <v>0</v>
      </c>
      <c r="H34" s="51" t="str">
        <f>TEXT(tblLaborEntries[[#This Row],[Work date serial]]-WEEKDAY(tblLaborEntries[[#This Row],[Work date serial]],3),"yyyy-mm-dd")</f>
        <v>2025-07-28</v>
      </c>
      <c r="I34" s="64">
        <f>DATEVALUE(tblLaborEntries[[#This Row],[Work date]])</f>
        <v>45870.0</v>
      </c>
    </row>
    <row r="35" spans="1:9" ht="15" x14ac:dyDescent="0.25">
      <c r="A35" s="53" t="inlineStr">
        <is>
          <t>LAB-000034</t>
        </is>
      </c>
      <c r="B35" s="53" t="inlineStr">
        <is>
          <t>WP-00019</t>
        </is>
      </c>
      <c r="C35" s="53" t="inlineStr">
        <is>
          <t>TECH-032</t>
        </is>
      </c>
      <c r="D35" s="53" t="inlineStr">
        <is>
          <t>Avionics</t>
        </is>
      </c>
      <c r="E35" s="53" t="inlineStr">
        <is>
          <t>2025-08-01</t>
        </is>
      </c>
      <c r="F35" s="53">
        <v>12</v>
      </c>
      <c r="G35" s="53">
        <v>4</v>
      </c>
      <c r="H35" s="51" t="str">
        <f>TEXT(tblLaborEntries[[#This Row],[Work date serial]]-WEEKDAY(tblLaborEntries[[#This Row],[Work date serial]],3),"yyyy-mm-dd")</f>
        <v>2025-07-28</v>
      </c>
      <c r="I35" s="64">
        <f>DATEVALUE(tblLaborEntries[[#This Row],[Work date]])</f>
        <v>45870.0</v>
      </c>
    </row>
    <row r="36" spans="1:9" ht="15" x14ac:dyDescent="0.25">
      <c r="A36" s="53" t="inlineStr">
        <is>
          <t>LAB-000035</t>
        </is>
      </c>
      <c r="B36" s="53" t="inlineStr">
        <is>
          <t>WP-00020</t>
        </is>
      </c>
      <c r="C36" s="53" t="inlineStr">
        <is>
          <t>TECH-002</t>
        </is>
      </c>
      <c r="D36" s="53" t="inlineStr">
        <is>
          <t>Avionics</t>
        </is>
      </c>
      <c r="E36" s="53" t="inlineStr">
        <is>
          <t>2025-01-01</t>
        </is>
      </c>
      <c r="F36" s="53">
        <v>12</v>
      </c>
      <c r="G36" s="53">
        <v>4</v>
      </c>
      <c r="H36" s="51" t="str">
        <f>TEXT(tblLaborEntries[[#This Row],[Work date serial]]-WEEKDAY(tblLaborEntries[[#This Row],[Work date serial]],3),"yyyy-mm-dd")</f>
        <v>2024-12-30</v>
      </c>
      <c r="I36" s="64">
        <f>DATEVALUE(tblLaborEntries[[#This Row],[Work date]])</f>
        <v>45658.0</v>
      </c>
    </row>
    <row r="37" spans="1:9" ht="15" x14ac:dyDescent="0.25">
      <c r="A37" s="53" t="inlineStr">
        <is>
          <t>LAB-000036</t>
        </is>
      </c>
      <c r="B37" s="53" t="inlineStr">
        <is>
          <t>WP-00020</t>
        </is>
      </c>
      <c r="C37" s="53" t="inlineStr">
        <is>
          <t>TECH-008</t>
        </is>
      </c>
      <c r="D37" s="53" t="inlineStr">
        <is>
          <t>Avionics</t>
        </is>
      </c>
      <c r="E37" s="53" t="inlineStr">
        <is>
          <t>2025-01-01</t>
        </is>
      </c>
      <c r="F37" s="53">
        <v>0.6</v>
      </c>
      <c r="G37" s="53">
        <v>0</v>
      </c>
      <c r="H37" s="51" t="str">
        <f>TEXT(tblLaborEntries[[#This Row],[Work date serial]]-WEEKDAY(tblLaborEntries[[#This Row],[Work date serial]],3),"yyyy-mm-dd")</f>
        <v>2024-12-30</v>
      </c>
      <c r="I37" s="64">
        <f>DATEVALUE(tblLaborEntries[[#This Row],[Work date]])</f>
        <v>45658.0</v>
      </c>
    </row>
    <row r="38" spans="1:9" ht="15" x14ac:dyDescent="0.25">
      <c r="A38" s="53" t="inlineStr">
        <is>
          <t>LAB-000037</t>
        </is>
      </c>
      <c r="B38" s="53" t="inlineStr">
        <is>
          <t>WP-00020</t>
        </is>
      </c>
      <c r="C38" s="53" t="inlineStr">
        <is>
          <t>TECH-068</t>
        </is>
      </c>
      <c r="D38" s="53" t="inlineStr">
        <is>
          <t>Avionics</t>
        </is>
      </c>
      <c r="E38" s="53" t="inlineStr">
        <is>
          <t>2025-01-01</t>
        </is>
      </c>
      <c r="F38" s="53">
        <v>12</v>
      </c>
      <c r="G38" s="53">
        <v>4</v>
      </c>
      <c r="H38" s="51" t="str">
        <f>TEXT(tblLaborEntries[[#This Row],[Work date serial]]-WEEKDAY(tblLaborEntries[[#This Row],[Work date serial]],3),"yyyy-mm-dd")</f>
        <v>2024-12-30</v>
      </c>
      <c r="I38" s="64">
        <f>DATEVALUE(tblLaborEntries[[#This Row],[Work date]])</f>
        <v>45658.0</v>
      </c>
    </row>
    <row r="39" spans="1:9" ht="15" x14ac:dyDescent="0.25">
      <c r="A39" s="53" t="inlineStr">
        <is>
          <t>LAB-000038</t>
        </is>
      </c>
      <c r="B39" s="53" t="inlineStr">
        <is>
          <t>WP-00021</t>
        </is>
      </c>
      <c r="C39" s="53" t="inlineStr">
        <is>
          <t>TECH-044</t>
        </is>
      </c>
      <c r="D39" s="53" t="inlineStr">
        <is>
          <t>Avionics</t>
        </is>
      </c>
      <c r="E39" s="53" t="inlineStr">
        <is>
          <t>2025-06-23</t>
        </is>
      </c>
      <c r="F39" s="53">
        <v>2</v>
      </c>
      <c r="G39" s="53">
        <v>0</v>
      </c>
      <c r="H39" s="51" t="str">
        <f>TEXT(tblLaborEntries[[#This Row],[Work date serial]]-WEEKDAY(tblLaborEntries[[#This Row],[Work date serial]],3),"yyyy-mm-dd")</f>
        <v>2025-06-23</v>
      </c>
      <c r="I39" s="64">
        <f>DATEVALUE(tblLaborEntries[[#This Row],[Work date]])</f>
        <v>45831.0</v>
      </c>
    </row>
    <row r="40" spans="1:9" ht="15" x14ac:dyDescent="0.25">
      <c r="A40" s="53" t="inlineStr">
        <is>
          <t>LAB-000039</t>
        </is>
      </c>
      <c r="B40" s="53" t="inlineStr">
        <is>
          <t>WP-00021</t>
        </is>
      </c>
      <c r="C40" s="53" t="inlineStr">
        <is>
          <t>TECH-068</t>
        </is>
      </c>
      <c r="D40" s="53" t="inlineStr">
        <is>
          <t>Avionics</t>
        </is>
      </c>
      <c r="E40" s="53" t="inlineStr">
        <is>
          <t>2025-06-24</t>
        </is>
      </c>
      <c r="F40" s="53">
        <v>2.5</v>
      </c>
      <c r="G40" s="53">
        <v>0</v>
      </c>
      <c r="H40" s="51" t="str">
        <f>TEXT(tblLaborEntries[[#This Row],[Work date serial]]-WEEKDAY(tblLaborEntries[[#This Row],[Work date serial]],3),"yyyy-mm-dd")</f>
        <v>2025-06-23</v>
      </c>
      <c r="I40" s="64">
        <f>DATEVALUE(tblLaborEntries[[#This Row],[Work date]])</f>
        <v>45832.0</v>
      </c>
    </row>
    <row r="41" spans="1:9" ht="15" x14ac:dyDescent="0.25">
      <c r="A41" s="53" t="inlineStr">
        <is>
          <t>LAB-000040</t>
        </is>
      </c>
      <c r="B41" s="53" t="inlineStr">
        <is>
          <t>WP-00021</t>
        </is>
      </c>
      <c r="C41" s="53" t="inlineStr">
        <is>
          <t>TECH-038</t>
        </is>
      </c>
      <c r="D41" s="53" t="inlineStr">
        <is>
          <t>Avionics</t>
        </is>
      </c>
      <c r="E41" s="53" t="inlineStr">
        <is>
          <t>2025-06-25</t>
        </is>
      </c>
      <c r="F41" s="53">
        <v>2</v>
      </c>
      <c r="G41" s="53">
        <v>0</v>
      </c>
      <c r="H41" s="51" t="str">
        <f>TEXT(tblLaborEntries[[#This Row],[Work date serial]]-WEEKDAY(tblLaborEntries[[#This Row],[Work date serial]],3),"yyyy-mm-dd")</f>
        <v>2025-06-23</v>
      </c>
      <c r="I41" s="64">
        <f>DATEVALUE(tblLaborEntries[[#This Row],[Work date]])</f>
        <v>45833.0</v>
      </c>
    </row>
    <row r="42" spans="1:9" ht="15" x14ac:dyDescent="0.25">
      <c r="A42" s="53" t="inlineStr">
        <is>
          <t>LAB-000041</t>
        </is>
      </c>
      <c r="B42" s="53" t="inlineStr">
        <is>
          <t>WP-00022</t>
        </is>
      </c>
      <c r="C42" s="53" t="inlineStr">
        <is>
          <t>TECH-055</t>
        </is>
      </c>
      <c r="D42" s="53" t="inlineStr">
        <is>
          <t>Airframe</t>
        </is>
      </c>
      <c r="E42" s="53" t="inlineStr">
        <is>
          <t>2024-11-16</t>
        </is>
      </c>
      <c r="F42" s="53">
        <v>8.1</v>
      </c>
      <c r="G42" s="53">
        <v>0.1</v>
      </c>
      <c r="H42" s="51" t="str">
        <f>TEXT(tblLaborEntries[[#This Row],[Work date serial]]-WEEKDAY(tblLaborEntries[[#This Row],[Work date serial]],3),"yyyy-mm-dd")</f>
        <v>2024-11-11</v>
      </c>
      <c r="I42" s="64">
        <f>DATEVALUE(tblLaborEntries[[#This Row],[Work date]])</f>
        <v>45612.0</v>
      </c>
    </row>
    <row r="43" spans="1:9" ht="15" x14ac:dyDescent="0.25">
      <c r="A43" s="53" t="inlineStr">
        <is>
          <t>LAB-000042</t>
        </is>
      </c>
      <c r="B43" s="53" t="inlineStr">
        <is>
          <t>WP-00022</t>
        </is>
      </c>
      <c r="C43" s="53" t="inlineStr">
        <is>
          <t>TECH-019</t>
        </is>
      </c>
      <c r="D43" s="53" t="inlineStr">
        <is>
          <t>Airframe</t>
        </is>
      </c>
      <c r="E43" s="53" t="inlineStr">
        <is>
          <t>2024-11-17</t>
        </is>
      </c>
      <c r="F43" s="53">
        <v>8.7</v>
      </c>
      <c r="G43" s="53">
        <v>0.7</v>
      </c>
      <c r="H43" s="51" t="str">
        <f>TEXT(tblLaborEntries[[#This Row],[Work date serial]]-WEEKDAY(tblLaborEntries[[#This Row],[Work date serial]],3),"yyyy-mm-dd")</f>
        <v>2024-11-11</v>
      </c>
      <c r="I43" s="64">
        <f>DATEVALUE(tblLaborEntries[[#This Row],[Work date]])</f>
        <v>45613.0</v>
      </c>
    </row>
    <row r="44" spans="1:9" ht="15" x14ac:dyDescent="0.25">
      <c r="A44" s="53" t="inlineStr">
        <is>
          <t>LAB-000043</t>
        </is>
      </c>
      <c r="B44" s="53" t="inlineStr">
        <is>
          <t>WP-00023</t>
        </is>
      </c>
      <c r="C44" s="53" t="inlineStr">
        <is>
          <t>TECH-002</t>
        </is>
      </c>
      <c r="D44" s="53" t="inlineStr">
        <is>
          <t>Avionics</t>
        </is>
      </c>
      <c r="E44" s="53" t="inlineStr">
        <is>
          <t>2024-03-15</t>
        </is>
      </c>
      <c r="F44" s="53">
        <v>12</v>
      </c>
      <c r="G44" s="53">
        <v>4</v>
      </c>
      <c r="H44" s="51" t="str">
        <f>TEXT(tblLaborEntries[[#This Row],[Work date serial]]-WEEKDAY(tblLaborEntries[[#This Row],[Work date serial]],3),"yyyy-mm-dd")</f>
        <v>2024-03-11</v>
      </c>
      <c r="I44" s="64">
        <f>DATEVALUE(tblLaborEntries[[#This Row],[Work date]])</f>
        <v>45366.0</v>
      </c>
    </row>
    <row r="45" spans="1:9" ht="15" x14ac:dyDescent="0.25">
      <c r="A45" s="53" t="inlineStr">
        <is>
          <t>LAB-000044</t>
        </is>
      </c>
      <c r="B45" s="53" t="inlineStr">
        <is>
          <t>WP-00023</t>
        </is>
      </c>
      <c r="C45" s="53" t="inlineStr">
        <is>
          <t>TECH-014</t>
        </is>
      </c>
      <c r="D45" s="53" t="inlineStr">
        <is>
          <t>Avionics</t>
        </is>
      </c>
      <c r="E45" s="53" t="inlineStr">
        <is>
          <t>2024-03-15</t>
        </is>
      </c>
      <c r="F45" s="53">
        <v>1.7</v>
      </c>
      <c r="G45" s="53">
        <v>0</v>
      </c>
      <c r="H45" s="51" t="str">
        <f>TEXT(tblLaborEntries[[#This Row],[Work date serial]]-WEEKDAY(tblLaborEntries[[#This Row],[Work date serial]],3),"yyyy-mm-dd")</f>
        <v>2024-03-11</v>
      </c>
      <c r="I45" s="64">
        <f>DATEVALUE(tblLaborEntries[[#This Row],[Work date]])</f>
        <v>45366.0</v>
      </c>
    </row>
    <row r="46" spans="1:9" ht="15" x14ac:dyDescent="0.25">
      <c r="A46" s="53" t="inlineStr">
        <is>
          <t>LAB-000045</t>
        </is>
      </c>
      <c r="B46" s="53" t="inlineStr">
        <is>
          <t>WP-00023</t>
        </is>
      </c>
      <c r="C46" s="53" t="inlineStr">
        <is>
          <t>TECH-020</t>
        </is>
      </c>
      <c r="D46" s="53" t="inlineStr">
        <is>
          <t>Avionics</t>
        </is>
      </c>
      <c r="E46" s="53" t="inlineStr">
        <is>
          <t>2024-03-15</t>
        </is>
      </c>
      <c r="F46" s="53">
        <v>12</v>
      </c>
      <c r="G46" s="53">
        <v>4</v>
      </c>
      <c r="H46" s="51" t="str">
        <f>TEXT(tblLaborEntries[[#This Row],[Work date serial]]-WEEKDAY(tblLaborEntries[[#This Row],[Work date serial]],3),"yyyy-mm-dd")</f>
        <v>2024-03-11</v>
      </c>
      <c r="I46" s="64">
        <f>DATEVALUE(tblLaborEntries[[#This Row],[Work date]])</f>
        <v>45366.0</v>
      </c>
    </row>
    <row r="47" spans="1:9" ht="15" x14ac:dyDescent="0.25">
      <c r="A47" s="53" t="inlineStr">
        <is>
          <t>LAB-000046</t>
        </is>
      </c>
      <c r="B47" s="53" t="inlineStr">
        <is>
          <t>WP-00024</t>
        </is>
      </c>
      <c r="C47" s="53" t="inlineStr">
        <is>
          <t>TECH-009</t>
        </is>
      </c>
      <c r="D47" s="53" t="inlineStr">
        <is>
          <t>Hydraulics</t>
        </is>
      </c>
      <c r="E47" s="53" t="inlineStr">
        <is>
          <t>2025-01-15</t>
        </is>
      </c>
      <c r="F47" s="53">
        <v>5.7</v>
      </c>
      <c r="G47" s="53">
        <v>0</v>
      </c>
      <c r="H47" s="51" t="str">
        <f>TEXT(tblLaborEntries[[#This Row],[Work date serial]]-WEEKDAY(tblLaborEntries[[#This Row],[Work date serial]],3),"yyyy-mm-dd")</f>
        <v>2025-01-13</v>
      </c>
      <c r="I47" s="64">
        <f>DATEVALUE(tblLaborEntries[[#This Row],[Work date]])</f>
        <v>45672.0</v>
      </c>
    </row>
    <row r="48" spans="1:9" ht="15" x14ac:dyDescent="0.25">
      <c r="A48" s="53" t="inlineStr">
        <is>
          <t>LAB-000047</t>
        </is>
      </c>
      <c r="B48" s="53" t="inlineStr">
        <is>
          <t>WP-00024</t>
        </is>
      </c>
      <c r="C48" s="53" t="inlineStr">
        <is>
          <t>TECH-015</t>
        </is>
      </c>
      <c r="D48" s="53" t="inlineStr">
        <is>
          <t>Hydraulics</t>
        </is>
      </c>
      <c r="E48" s="53" t="inlineStr">
        <is>
          <t>2025-01-16</t>
        </is>
      </c>
      <c r="F48" s="53">
        <v>5.7</v>
      </c>
      <c r="G48" s="53">
        <v>0</v>
      </c>
      <c r="H48" s="51" t="str">
        <f>TEXT(tblLaborEntries[[#This Row],[Work date serial]]-WEEKDAY(tblLaborEntries[[#This Row],[Work date serial]],3),"yyyy-mm-dd")</f>
        <v>2025-01-13</v>
      </c>
      <c r="I48" s="64">
        <f>DATEVALUE(tblLaborEntries[[#This Row],[Work date]])</f>
        <v>45673.0</v>
      </c>
    </row>
    <row r="49" spans="1:9" ht="15" x14ac:dyDescent="0.25">
      <c r="A49" s="53" t="inlineStr">
        <is>
          <t>LAB-000048</t>
        </is>
      </c>
      <c r="B49" s="53" t="inlineStr">
        <is>
          <t>WP-00024</t>
        </is>
      </c>
      <c r="C49" s="53" t="inlineStr">
        <is>
          <t>TECH-021</t>
        </is>
      </c>
      <c r="D49" s="53" t="inlineStr">
        <is>
          <t>Hydraulics</t>
        </is>
      </c>
      <c r="E49" s="53" t="inlineStr">
        <is>
          <t>2025-01-17</t>
        </is>
      </c>
      <c r="F49" s="53">
        <v>5.2</v>
      </c>
      <c r="G49" s="53">
        <v>0</v>
      </c>
      <c r="H49" s="51" t="str">
        <f>TEXT(tblLaborEntries[[#This Row],[Work date serial]]-WEEKDAY(tblLaborEntries[[#This Row],[Work date serial]],3),"yyyy-mm-dd")</f>
        <v>2025-01-13</v>
      </c>
      <c r="I49" s="64">
        <f>DATEVALUE(tblLaborEntries[[#This Row],[Work date]])</f>
        <v>45674.0</v>
      </c>
    </row>
    <row r="50" spans="1:9" ht="15" x14ac:dyDescent="0.25">
      <c r="A50" s="53" t="inlineStr">
        <is>
          <t>LAB-000049</t>
        </is>
      </c>
      <c r="B50" s="53" t="inlineStr">
        <is>
          <t>WP-00025</t>
        </is>
      </c>
      <c r="C50" s="53" t="inlineStr">
        <is>
          <t>TECH-002</t>
        </is>
      </c>
      <c r="D50" s="53" t="inlineStr">
        <is>
          <t>Avionics</t>
        </is>
      </c>
      <c r="E50" s="53" t="inlineStr">
        <is>
          <t>2024-12-10</t>
        </is>
      </c>
      <c r="F50" s="53">
        <v>2.5</v>
      </c>
      <c r="G50" s="53">
        <v>0</v>
      </c>
      <c r="H50" s="51" t="str">
        <f>TEXT(tblLaborEntries[[#This Row],[Work date serial]]-WEEKDAY(tblLaborEntries[[#This Row],[Work date serial]],3),"yyyy-mm-dd")</f>
        <v>2024-12-09</v>
      </c>
      <c r="I50" s="64">
        <f>DATEVALUE(tblLaborEntries[[#This Row],[Work date]])</f>
        <v>45636.0</v>
      </c>
    </row>
    <row r="51" spans="1:9" ht="15" x14ac:dyDescent="0.25">
      <c r="A51" s="53" t="inlineStr">
        <is>
          <t>LAB-000050</t>
        </is>
      </c>
      <c r="B51" s="53" t="inlineStr">
        <is>
          <t>WP-00025</t>
        </is>
      </c>
      <c r="C51" s="53" t="inlineStr">
        <is>
          <t>TECH-038</t>
        </is>
      </c>
      <c r="D51" s="53" t="inlineStr">
        <is>
          <t>Avionics</t>
        </is>
      </c>
      <c r="E51" s="53" t="inlineStr">
        <is>
          <t>2024-12-11</t>
        </is>
      </c>
      <c r="F51" s="53">
        <v>2.2</v>
      </c>
      <c r="G51" s="53">
        <v>0</v>
      </c>
      <c r="H51" s="51" t="str">
        <f>TEXT(tblLaborEntries[[#This Row],[Work date serial]]-WEEKDAY(tblLaborEntries[[#This Row],[Work date serial]],3),"yyyy-mm-dd")</f>
        <v>2024-12-09</v>
      </c>
      <c r="I51" s="64">
        <f>DATEVALUE(tblLaborEntries[[#This Row],[Work date]])</f>
        <v>45637.0</v>
      </c>
    </row>
    <row r="52" spans="1:9" ht="15" x14ac:dyDescent="0.25">
      <c r="A52" s="53" t="inlineStr">
        <is>
          <t>LAB-000051</t>
        </is>
      </c>
      <c r="B52" s="53" t="inlineStr">
        <is>
          <t>WP-00025</t>
        </is>
      </c>
      <c r="C52" s="53" t="inlineStr">
        <is>
          <t>TECH-026</t>
        </is>
      </c>
      <c r="D52" s="53" t="inlineStr">
        <is>
          <t>Avionics</t>
        </is>
      </c>
      <c r="E52" s="53" t="inlineStr">
        <is>
          <t>2024-12-12</t>
        </is>
      </c>
      <c r="F52" s="53">
        <v>1.9</v>
      </c>
      <c r="G52" s="53">
        <v>0</v>
      </c>
      <c r="H52" s="51" t="str">
        <f>TEXT(tblLaborEntries[[#This Row],[Work date serial]]-WEEKDAY(tblLaborEntries[[#This Row],[Work date serial]],3),"yyyy-mm-dd")</f>
        <v>2024-12-09</v>
      </c>
      <c r="I52" s="64">
        <f>DATEVALUE(tblLaborEntries[[#This Row],[Work date]])</f>
        <v>45638.0</v>
      </c>
    </row>
    <row r="53" spans="1:9" ht="15" x14ac:dyDescent="0.25">
      <c r="A53" s="53" t="inlineStr">
        <is>
          <t>LAB-000052</t>
        </is>
      </c>
      <c r="B53" s="53" t="inlineStr">
        <is>
          <t>WP-00026</t>
        </is>
      </c>
      <c r="C53" s="53" t="inlineStr">
        <is>
          <t>TECH-007</t>
        </is>
      </c>
      <c r="D53" s="53" t="inlineStr">
        <is>
          <t>Airframe</t>
        </is>
      </c>
      <c r="E53" s="53" t="inlineStr">
        <is>
          <t>2025-01-17</t>
        </is>
      </c>
      <c r="F53" s="53">
        <v>1.7</v>
      </c>
      <c r="G53" s="53">
        <v>0</v>
      </c>
      <c r="H53" s="51" t="str">
        <f>TEXT(tblLaborEntries[[#This Row],[Work date serial]]-WEEKDAY(tblLaborEntries[[#This Row],[Work date serial]],3),"yyyy-mm-dd")</f>
        <v>2025-01-13</v>
      </c>
      <c r="I53" s="64">
        <f>DATEVALUE(tblLaborEntries[[#This Row],[Work date]])</f>
        <v>45674.0</v>
      </c>
    </row>
    <row r="54" spans="1:9" ht="15" x14ac:dyDescent="0.25">
      <c r="A54" s="53" t="inlineStr">
        <is>
          <t>LAB-000053</t>
        </is>
      </c>
      <c r="B54" s="53" t="inlineStr">
        <is>
          <t>WP-00026</t>
        </is>
      </c>
      <c r="C54" s="53" t="inlineStr">
        <is>
          <t>TECH-043</t>
        </is>
      </c>
      <c r="D54" s="53" t="inlineStr">
        <is>
          <t>Airframe</t>
        </is>
      </c>
      <c r="E54" s="53" t="inlineStr">
        <is>
          <t>2025-01-18</t>
        </is>
      </c>
      <c r="F54" s="53">
        <v>2.6</v>
      </c>
      <c r="G54" s="53">
        <v>0</v>
      </c>
      <c r="H54" s="51" t="str">
        <f>TEXT(tblLaborEntries[[#This Row],[Work date serial]]-WEEKDAY(tblLaborEntries[[#This Row],[Work date serial]],3),"yyyy-mm-dd")</f>
        <v>2025-01-13</v>
      </c>
      <c r="I54" s="64">
        <f>DATEVALUE(tblLaborEntries[[#This Row],[Work date]])</f>
        <v>45675.0</v>
      </c>
    </row>
    <row r="55" spans="1:9" ht="15" x14ac:dyDescent="0.25">
      <c r="A55" s="53" t="inlineStr">
        <is>
          <t>LAB-000054</t>
        </is>
      </c>
      <c r="B55" s="53" t="inlineStr">
        <is>
          <t>WP-00027</t>
        </is>
      </c>
      <c r="C55" s="53" t="inlineStr">
        <is>
          <t>TECH-050</t>
        </is>
      </c>
      <c r="D55" s="53" t="inlineStr">
        <is>
          <t>Avionics</t>
        </is>
      </c>
      <c r="E55" s="53" t="inlineStr">
        <is>
          <t>2024-08-29</t>
        </is>
      </c>
      <c r="F55" s="53">
        <v>1.9</v>
      </c>
      <c r="G55" s="53">
        <v>0</v>
      </c>
      <c r="H55" s="51" t="str">
        <f>TEXT(tblLaborEntries[[#This Row],[Work date serial]]-WEEKDAY(tblLaborEntries[[#This Row],[Work date serial]],3),"yyyy-mm-dd")</f>
        <v>2024-08-26</v>
      </c>
      <c r="I55" s="64">
        <f>DATEVALUE(tblLaborEntries[[#This Row],[Work date]])</f>
        <v>45533.0</v>
      </c>
    </row>
    <row r="56" spans="1:9" ht="15" x14ac:dyDescent="0.25">
      <c r="A56" s="53" t="inlineStr">
        <is>
          <t>LAB-000055</t>
        </is>
      </c>
      <c r="B56" s="53" t="inlineStr">
        <is>
          <t>WP-00027</t>
        </is>
      </c>
      <c r="C56" s="53" t="inlineStr">
        <is>
          <t>TECH-050</t>
        </is>
      </c>
      <c r="D56" s="53" t="inlineStr">
        <is>
          <t>Avionics</t>
        </is>
      </c>
      <c r="E56" s="53" t="inlineStr">
        <is>
          <t>2024-08-30</t>
        </is>
      </c>
      <c r="F56" s="53">
        <v>1.4</v>
      </c>
      <c r="G56" s="53">
        <v>0</v>
      </c>
      <c r="H56" s="51" t="str">
        <f>TEXT(tblLaborEntries[[#This Row],[Work date serial]]-WEEKDAY(tblLaborEntries[[#This Row],[Work date serial]],3),"yyyy-mm-dd")</f>
        <v>2024-08-26</v>
      </c>
      <c r="I56" s="64">
        <f>DATEVALUE(tblLaborEntries[[#This Row],[Work date]])</f>
        <v>45534.0</v>
      </c>
    </row>
    <row r="57" spans="1:9" ht="15" x14ac:dyDescent="0.25">
      <c r="A57" s="53" t="inlineStr">
        <is>
          <t>LAB-000056</t>
        </is>
      </c>
      <c r="B57" s="53" t="inlineStr">
        <is>
          <t>WP-00028</t>
        </is>
      </c>
      <c r="C57" s="53" t="inlineStr">
        <is>
          <t>TECH-020</t>
        </is>
      </c>
      <c r="D57" s="53" t="inlineStr">
        <is>
          <t>Avionics</t>
        </is>
      </c>
      <c r="E57" s="53" t="inlineStr">
        <is>
          <t>2024-12-08</t>
        </is>
      </c>
      <c r="F57" s="53">
        <v>9.7</v>
      </c>
      <c r="G57" s="53">
        <v>1.7</v>
      </c>
      <c r="H57" s="51" t="str">
        <f>TEXT(tblLaborEntries[[#This Row],[Work date serial]]-WEEKDAY(tblLaborEntries[[#This Row],[Work date serial]],3),"yyyy-mm-dd")</f>
        <v>2024-12-02</v>
      </c>
      <c r="I57" s="64">
        <f>DATEVALUE(tblLaborEntries[[#This Row],[Work date]])</f>
        <v>45634.0</v>
      </c>
    </row>
    <row r="58" spans="1:9" ht="15" x14ac:dyDescent="0.25">
      <c r="A58" s="53" t="inlineStr">
        <is>
          <t>LAB-000057</t>
        </is>
      </c>
      <c r="B58" s="53" t="inlineStr">
        <is>
          <t>WP-00028</t>
        </is>
      </c>
      <c r="C58" s="53" t="inlineStr">
        <is>
          <t>TECH-002</t>
        </is>
      </c>
      <c r="D58" s="53" t="inlineStr">
        <is>
          <t>Avionics</t>
        </is>
      </c>
      <c r="E58" s="53" t="inlineStr">
        <is>
          <t>2024-12-09</t>
        </is>
      </c>
      <c r="F58" s="53">
        <v>1.5</v>
      </c>
      <c r="G58" s="53">
        <v>0</v>
      </c>
      <c r="H58" s="51" t="str">
        <f>TEXT(tblLaborEntries[[#This Row],[Work date serial]]-WEEKDAY(tblLaborEntries[[#This Row],[Work date serial]],3),"yyyy-mm-dd")</f>
        <v>2024-12-09</v>
      </c>
      <c r="I58" s="64">
        <f>DATEVALUE(tblLaborEntries[[#This Row],[Work date]])</f>
        <v>45635.0</v>
      </c>
    </row>
    <row r="59" spans="1:9" ht="15" x14ac:dyDescent="0.25">
      <c r="A59" s="53" t="inlineStr">
        <is>
          <t>LAB-000058</t>
        </is>
      </c>
      <c r="B59" s="53" t="inlineStr">
        <is>
          <t>WP-00028</t>
        </is>
      </c>
      <c r="C59" s="53" t="inlineStr">
        <is>
          <t>TECH-074</t>
        </is>
      </c>
      <c r="D59" s="53" t="inlineStr">
        <is>
          <t>Avionics</t>
        </is>
      </c>
      <c r="E59" s="53" t="inlineStr">
        <is>
          <t>2024-12-09</t>
        </is>
      </c>
      <c r="F59" s="53">
        <v>12</v>
      </c>
      <c r="G59" s="53">
        <v>4</v>
      </c>
      <c r="H59" s="51" t="str">
        <f>TEXT(tblLaborEntries[[#This Row],[Work date serial]]-WEEKDAY(tblLaborEntries[[#This Row],[Work date serial]],3),"yyyy-mm-dd")</f>
        <v>2024-12-09</v>
      </c>
      <c r="I59" s="64">
        <f>DATEVALUE(tblLaborEntries[[#This Row],[Work date]])</f>
        <v>45635.0</v>
      </c>
    </row>
    <row r="60" spans="1:9" ht="15" x14ac:dyDescent="0.25">
      <c r="A60" s="53" t="inlineStr">
        <is>
          <t>LAB-000059</t>
        </is>
      </c>
      <c r="B60" s="53" t="inlineStr">
        <is>
          <t>WP-00029</t>
        </is>
      </c>
      <c r="C60" s="53" t="inlineStr">
        <is>
          <t>TECH-004</t>
        </is>
      </c>
      <c r="D60" s="53" t="inlineStr">
        <is>
          <t>Electrical</t>
        </is>
      </c>
      <c r="E60" s="53" t="inlineStr">
        <is>
          <t>2025-05-04</t>
        </is>
      </c>
      <c r="F60" s="53">
        <v>2.6</v>
      </c>
      <c r="G60" s="53">
        <v>0</v>
      </c>
      <c r="H60" s="51" t="str">
        <f>TEXT(tblLaborEntries[[#This Row],[Work date serial]]-WEEKDAY(tblLaborEntries[[#This Row],[Work date serial]],3),"yyyy-mm-dd")</f>
        <v>2025-04-28</v>
      </c>
      <c r="I60" s="64">
        <f>DATEVALUE(tblLaborEntries[[#This Row],[Work date]])</f>
        <v>45781.0</v>
      </c>
    </row>
    <row r="61" spans="1:9" ht="15" x14ac:dyDescent="0.25">
      <c r="A61" s="53" t="inlineStr">
        <is>
          <t>LAB-000060</t>
        </is>
      </c>
      <c r="B61" s="53" t="inlineStr">
        <is>
          <t>WP-00029</t>
        </is>
      </c>
      <c r="C61" s="53" t="inlineStr">
        <is>
          <t>TECH-040</t>
        </is>
      </c>
      <c r="D61" s="53" t="inlineStr">
        <is>
          <t>Electrical</t>
        </is>
      </c>
      <c r="E61" s="53" t="inlineStr">
        <is>
          <t>2025-05-04</t>
        </is>
      </c>
      <c r="F61" s="53">
        <v>6.7</v>
      </c>
      <c r="G61" s="53">
        <v>0</v>
      </c>
      <c r="H61" s="51" t="str">
        <f>TEXT(tblLaborEntries[[#This Row],[Work date serial]]-WEEKDAY(tblLaborEntries[[#This Row],[Work date serial]],3),"yyyy-mm-dd")</f>
        <v>2025-04-28</v>
      </c>
      <c r="I61" s="64">
        <f>DATEVALUE(tblLaborEntries[[#This Row],[Work date]])</f>
        <v>45781.0</v>
      </c>
    </row>
    <row r="62" spans="1:9" ht="15" x14ac:dyDescent="0.25">
      <c r="A62" s="53" t="inlineStr">
        <is>
          <t>LAB-000061</t>
        </is>
      </c>
      <c r="B62" s="53" t="inlineStr">
        <is>
          <t>WP-00029</t>
        </is>
      </c>
      <c r="C62" s="53" t="inlineStr">
        <is>
          <t>TECH-070</t>
        </is>
      </c>
      <c r="D62" s="53" t="inlineStr">
        <is>
          <t>Electrical</t>
        </is>
      </c>
      <c r="E62" s="53" t="inlineStr">
        <is>
          <t>2025-05-05</t>
        </is>
      </c>
      <c r="F62" s="53">
        <v>7.8</v>
      </c>
      <c r="G62" s="53">
        <v>0</v>
      </c>
      <c r="H62" s="51" t="str">
        <f>TEXT(tblLaborEntries[[#This Row],[Work date serial]]-WEEKDAY(tblLaborEntries[[#This Row],[Work date serial]],3),"yyyy-mm-dd")</f>
        <v>2025-05-05</v>
      </c>
      <c r="I62" s="64">
        <f>DATEVALUE(tblLaborEntries[[#This Row],[Work date]])</f>
        <v>45782.0</v>
      </c>
    </row>
    <row r="63" spans="1:9" ht="15" x14ac:dyDescent="0.25">
      <c r="A63" s="53" t="inlineStr">
        <is>
          <t>LAB-000062</t>
        </is>
      </c>
      <c r="B63" s="53" t="inlineStr">
        <is>
          <t>WP-00029</t>
        </is>
      </c>
      <c r="C63" s="53" t="inlineStr">
        <is>
          <t>TECH-058</t>
        </is>
      </c>
      <c r="D63" s="53" t="inlineStr">
        <is>
          <t>Electrical</t>
        </is>
      </c>
      <c r="E63" s="53" t="inlineStr">
        <is>
          <t>2025-05-06</t>
        </is>
      </c>
      <c r="F63" s="53">
        <v>8.1</v>
      </c>
      <c r="G63" s="53">
        <v>0.1</v>
      </c>
      <c r="H63" s="51" t="str">
        <f>TEXT(tblLaborEntries[[#This Row],[Work date serial]]-WEEKDAY(tblLaborEntries[[#This Row],[Work date serial]],3),"yyyy-mm-dd")</f>
        <v>2025-05-05</v>
      </c>
      <c r="I63" s="64">
        <f>DATEVALUE(tblLaborEntries[[#This Row],[Work date]])</f>
        <v>45783.0</v>
      </c>
    </row>
    <row r="64" spans="1:9" ht="15" x14ac:dyDescent="0.25">
      <c r="A64" s="53" t="inlineStr">
        <is>
          <t>LAB-000063</t>
        </is>
      </c>
      <c r="B64" s="53" t="inlineStr">
        <is>
          <t>WP-00030</t>
        </is>
      </c>
      <c r="C64" s="53" t="inlineStr">
        <is>
          <t>TECH-054</t>
        </is>
      </c>
      <c r="D64" s="53" t="inlineStr">
        <is>
          <t>Powerplant</t>
        </is>
      </c>
      <c r="E64" s="53" t="inlineStr">
        <is>
          <t>2024-10-25</t>
        </is>
      </c>
      <c r="F64" s="53">
        <v>7.8</v>
      </c>
      <c r="G64" s="53">
        <v>0</v>
      </c>
      <c r="H64" s="51" t="str">
        <f>TEXT(tblLaborEntries[[#This Row],[Work date serial]]-WEEKDAY(tblLaborEntries[[#This Row],[Work date serial]],3),"yyyy-mm-dd")</f>
        <v>2024-10-21</v>
      </c>
      <c r="I64" s="64">
        <f>DATEVALUE(tblLaborEntries[[#This Row],[Work date]])</f>
        <v>45590.0</v>
      </c>
    </row>
    <row r="65" spans="1:9" ht="15" x14ac:dyDescent="0.25">
      <c r="A65" s="53" t="inlineStr">
        <is>
          <t>LAB-000064</t>
        </is>
      </c>
      <c r="B65" s="53" t="inlineStr">
        <is>
          <t>WP-00030</t>
        </is>
      </c>
      <c r="C65" s="53" t="inlineStr">
        <is>
          <t>TECH-018</t>
        </is>
      </c>
      <c r="D65" s="53" t="inlineStr">
        <is>
          <t>Powerplant</t>
        </is>
      </c>
      <c r="E65" s="53" t="inlineStr">
        <is>
          <t>2024-10-26</t>
        </is>
      </c>
      <c r="F65" s="53">
        <v>5.5</v>
      </c>
      <c r="G65" s="53">
        <v>0</v>
      </c>
      <c r="H65" s="51" t="str">
        <f>TEXT(tblLaborEntries[[#This Row],[Work date serial]]-WEEKDAY(tblLaborEntries[[#This Row],[Work date serial]],3),"yyyy-mm-dd")</f>
        <v>2024-10-21</v>
      </c>
      <c r="I65" s="64">
        <f>DATEVALUE(tblLaborEntries[[#This Row],[Work date]])</f>
        <v>45591.0</v>
      </c>
    </row>
    <row r="66" spans="1:9" ht="15" x14ac:dyDescent="0.25">
      <c r="A66" s="53" t="inlineStr">
        <is>
          <t>LAB-000065</t>
        </is>
      </c>
      <c r="B66" s="53" t="inlineStr">
        <is>
          <t>WP-00031</t>
        </is>
      </c>
      <c r="C66" s="53" t="inlineStr">
        <is>
          <t>TECH-027</t>
        </is>
      </c>
      <c r="D66" s="53" t="inlineStr">
        <is>
          <t>Hydraulics</t>
        </is>
      </c>
      <c r="E66" s="53" t="inlineStr">
        <is>
          <t>2025-01-24</t>
        </is>
      </c>
      <c r="F66" s="53">
        <v>3.2</v>
      </c>
      <c r="G66" s="53">
        <v>0</v>
      </c>
      <c r="H66" s="51" t="str">
        <f>TEXT(tblLaborEntries[[#This Row],[Work date serial]]-WEEKDAY(tblLaborEntries[[#This Row],[Work date serial]],3),"yyyy-mm-dd")</f>
        <v>2025-01-20</v>
      </c>
      <c r="I66" s="64">
        <f>DATEVALUE(tblLaborEntries[[#This Row],[Work date]])</f>
        <v>45681.0</v>
      </c>
    </row>
    <row r="67" spans="1:9" ht="15" x14ac:dyDescent="0.25">
      <c r="A67" s="53" t="inlineStr">
        <is>
          <t>LAB-000066</t>
        </is>
      </c>
      <c r="B67" s="53" t="inlineStr">
        <is>
          <t>WP-00031</t>
        </is>
      </c>
      <c r="C67" s="53" t="inlineStr">
        <is>
          <t>TECH-027</t>
        </is>
      </c>
      <c r="D67" s="53" t="inlineStr">
        <is>
          <t>Hydraulics</t>
        </is>
      </c>
      <c r="E67" s="53" t="inlineStr">
        <is>
          <t>2025-01-25</t>
        </is>
      </c>
      <c r="F67" s="53">
        <v>2.7</v>
      </c>
      <c r="G67" s="53">
        <v>0</v>
      </c>
      <c r="H67" s="51" t="str">
        <f>TEXT(tblLaborEntries[[#This Row],[Work date serial]]-WEEKDAY(tblLaborEntries[[#This Row],[Work date serial]],3),"yyyy-mm-dd")</f>
        <v>2025-01-20</v>
      </c>
      <c r="I67" s="64">
        <f>DATEVALUE(tblLaborEntries[[#This Row],[Work date]])</f>
        <v>45682.0</v>
      </c>
    </row>
    <row r="68" spans="1:9" ht="15" x14ac:dyDescent="0.25">
      <c r="A68" s="53" t="inlineStr">
        <is>
          <t>LAB-000067</t>
        </is>
      </c>
      <c r="B68" s="53" t="inlineStr">
        <is>
          <t>WP-00032</t>
        </is>
      </c>
      <c r="C68" s="53" t="inlineStr">
        <is>
          <t>TECH-049</t>
        </is>
      </c>
      <c r="D68" s="53" t="inlineStr">
        <is>
          <t>Airframe</t>
        </is>
      </c>
      <c r="E68" s="53" t="inlineStr">
        <is>
          <t>2025-09-12</t>
        </is>
      </c>
      <c r="F68" s="53">
        <v>4.2</v>
      </c>
      <c r="G68" s="53">
        <v>0</v>
      </c>
      <c r="H68" s="51" t="str">
        <f>TEXT(tblLaborEntries[[#This Row],[Work date serial]]-WEEKDAY(tblLaborEntries[[#This Row],[Work date serial]],3),"yyyy-mm-dd")</f>
        <v>2025-09-08</v>
      </c>
      <c r="I68" s="64">
        <f>DATEVALUE(tblLaborEntries[[#This Row],[Work date]])</f>
        <v>45912.0</v>
      </c>
    </row>
    <row r="69" spans="1:9" ht="15" x14ac:dyDescent="0.25">
      <c r="A69" s="53" t="inlineStr">
        <is>
          <t>LAB-000068</t>
        </is>
      </c>
      <c r="B69" s="53" t="inlineStr">
        <is>
          <t>WP-00033</t>
        </is>
      </c>
      <c r="C69" s="53" t="inlineStr">
        <is>
          <t>TECH-008</t>
        </is>
      </c>
      <c r="D69" s="53" t="inlineStr">
        <is>
          <t>Avionics</t>
        </is>
      </c>
      <c r="E69" s="53" t="inlineStr">
        <is>
          <t>2025-09-19</t>
        </is>
      </c>
      <c r="F69" s="53">
        <v>1.7</v>
      </c>
      <c r="G69" s="53">
        <v>0</v>
      </c>
      <c r="H69" s="51" t="str">
        <f>TEXT(tblLaborEntries[[#This Row],[Work date serial]]-WEEKDAY(tblLaborEntries[[#This Row],[Work date serial]],3),"yyyy-mm-dd")</f>
        <v>2025-09-15</v>
      </c>
      <c r="I69" s="64">
        <f>DATEVALUE(tblLaborEntries[[#This Row],[Work date]])</f>
        <v>45919.0</v>
      </c>
    </row>
    <row r="70" spans="1:9" ht="15" x14ac:dyDescent="0.25">
      <c r="A70" s="53" t="inlineStr">
        <is>
          <t>LAB-000069</t>
        </is>
      </c>
      <c r="B70" s="53" t="inlineStr">
        <is>
          <t>WP-00033</t>
        </is>
      </c>
      <c r="C70" s="53" t="inlineStr">
        <is>
          <t>TECH-014</t>
        </is>
      </c>
      <c r="D70" s="53" t="inlineStr">
        <is>
          <t>Avionics</t>
        </is>
      </c>
      <c r="E70" s="53" t="inlineStr">
        <is>
          <t>2025-09-20</t>
        </is>
      </c>
      <c r="F70" s="53">
        <v>2.4</v>
      </c>
      <c r="G70" s="53">
        <v>0</v>
      </c>
      <c r="H70" s="51" t="str">
        <f>TEXT(tblLaborEntries[[#This Row],[Work date serial]]-WEEKDAY(tblLaborEntries[[#This Row],[Work date serial]],3),"yyyy-mm-dd")</f>
        <v>2025-09-15</v>
      </c>
      <c r="I70" s="64">
        <f>DATEVALUE(tblLaborEntries[[#This Row],[Work date]])</f>
        <v>45920.0</v>
      </c>
    </row>
    <row r="71" spans="1:9" ht="15" x14ac:dyDescent="0.25">
      <c r="A71" s="53" t="inlineStr">
        <is>
          <t>LAB-000070</t>
        </is>
      </c>
      <c r="B71" s="53" t="inlineStr">
        <is>
          <t>WP-00034</t>
        </is>
      </c>
      <c r="C71" s="53" t="inlineStr">
        <is>
          <t>TECH-038</t>
        </is>
      </c>
      <c r="D71" s="53" t="inlineStr">
        <is>
          <t>Avionics</t>
        </is>
      </c>
      <c r="E71" s="53" t="inlineStr">
        <is>
          <t>2025-02-20</t>
        </is>
      </c>
      <c r="F71" s="53">
        <v>11.7</v>
      </c>
      <c r="G71" s="53">
        <v>3.7</v>
      </c>
      <c r="H71" s="51" t="str">
        <f>TEXT(tblLaborEntries[[#This Row],[Work date serial]]-WEEKDAY(tblLaborEntries[[#This Row],[Work date serial]],3),"yyyy-mm-dd")</f>
        <v>2025-02-17</v>
      </c>
      <c r="I71" s="64">
        <f>DATEVALUE(tblLaborEntries[[#This Row],[Work date]])</f>
        <v>45708.0</v>
      </c>
    </row>
    <row r="72" spans="1:9" ht="15" x14ac:dyDescent="0.25">
      <c r="A72" s="53" t="inlineStr">
        <is>
          <t>LAB-000071</t>
        </is>
      </c>
      <c r="B72" s="53" t="inlineStr">
        <is>
          <t>WP-00035</t>
        </is>
      </c>
      <c r="C72" s="53" t="inlineStr">
        <is>
          <t>TECH-074</t>
        </is>
      </c>
      <c r="D72" s="53" t="inlineStr">
        <is>
          <t>Avionics</t>
        </is>
      </c>
      <c r="E72" s="53" t="inlineStr">
        <is>
          <t>2024-09-04</t>
        </is>
      </c>
      <c r="F72" s="53">
        <v>2.7</v>
      </c>
      <c r="G72" s="53">
        <v>0</v>
      </c>
      <c r="H72" s="51" t="str">
        <f>TEXT(tblLaborEntries[[#This Row],[Work date serial]]-WEEKDAY(tblLaborEntries[[#This Row],[Work date serial]],3),"yyyy-mm-dd")</f>
        <v>2024-09-02</v>
      </c>
      <c r="I72" s="64">
        <f>DATEVALUE(tblLaborEntries[[#This Row],[Work date]])</f>
        <v>45539.0</v>
      </c>
    </row>
    <row r="73" spans="1:9" ht="15" x14ac:dyDescent="0.25">
      <c r="A73" s="53" t="inlineStr">
        <is>
          <t>LAB-000072</t>
        </is>
      </c>
      <c r="B73" s="53" t="inlineStr">
        <is>
          <t>WP-00035</t>
        </is>
      </c>
      <c r="C73" s="53" t="inlineStr">
        <is>
          <t>TECH-074</t>
        </is>
      </c>
      <c r="D73" s="53" t="inlineStr">
        <is>
          <t>Avionics</t>
        </is>
      </c>
      <c r="E73" s="53" t="inlineStr">
        <is>
          <t>2024-09-05</t>
        </is>
      </c>
      <c r="F73" s="53">
        <v>3.1</v>
      </c>
      <c r="G73" s="53">
        <v>0</v>
      </c>
      <c r="H73" s="51" t="str">
        <f>TEXT(tblLaborEntries[[#This Row],[Work date serial]]-WEEKDAY(tblLaborEntries[[#This Row],[Work date serial]],3),"yyyy-mm-dd")</f>
        <v>2024-09-02</v>
      </c>
      <c r="I73" s="64">
        <f>DATEVALUE(tblLaborEntries[[#This Row],[Work date]])</f>
        <v>45540.0</v>
      </c>
    </row>
    <row r="74" spans="1:9" ht="15" x14ac:dyDescent="0.25">
      <c r="A74" s="53" t="inlineStr">
        <is>
          <t>LAB-000073</t>
        </is>
      </c>
      <c r="B74" s="53" t="inlineStr">
        <is>
          <t>WP-00035</t>
        </is>
      </c>
      <c r="C74" s="53" t="inlineStr">
        <is>
          <t>TECH-044</t>
        </is>
      </c>
      <c r="D74" s="53" t="inlineStr">
        <is>
          <t>Avionics</t>
        </is>
      </c>
      <c r="E74" s="53" t="inlineStr">
        <is>
          <t>2024-09-06</t>
        </is>
      </c>
      <c r="F74" s="53">
        <v>3.6</v>
      </c>
      <c r="G74" s="53">
        <v>0</v>
      </c>
      <c r="H74" s="51" t="str">
        <f>TEXT(tblLaborEntries[[#This Row],[Work date serial]]-WEEKDAY(tblLaborEntries[[#This Row],[Work date serial]],3),"yyyy-mm-dd")</f>
        <v>2024-09-02</v>
      </c>
      <c r="I74" s="64">
        <f>DATEVALUE(tblLaborEntries[[#This Row],[Work date]])</f>
        <v>45541.0</v>
      </c>
    </row>
    <row r="75" spans="1:9" ht="15" x14ac:dyDescent="0.25">
      <c r="A75" s="53" t="inlineStr">
        <is>
          <t>LAB-000074</t>
        </is>
      </c>
      <c r="B75" s="53" t="inlineStr">
        <is>
          <t>WP-00036</t>
        </is>
      </c>
      <c r="C75" s="53" t="inlineStr">
        <is>
          <t>TECH-036</t>
        </is>
      </c>
      <c r="D75" s="53" t="inlineStr">
        <is>
          <t>Powerplant</t>
        </is>
      </c>
      <c r="E75" s="53" t="inlineStr">
        <is>
          <t>2024-08-21</t>
        </is>
      </c>
      <c r="F75" s="53">
        <v>5.3</v>
      </c>
      <c r="G75" s="53">
        <v>0</v>
      </c>
      <c r="H75" s="51" t="str">
        <f>TEXT(tblLaborEntries[[#This Row],[Work date serial]]-WEEKDAY(tblLaborEntries[[#This Row],[Work date serial]],3),"yyyy-mm-dd")</f>
        <v>2024-08-19</v>
      </c>
      <c r="I75" s="64">
        <f>DATEVALUE(tblLaborEntries[[#This Row],[Work date]])</f>
        <v>45525.0</v>
      </c>
    </row>
    <row r="76" spans="1:9" ht="15" x14ac:dyDescent="0.25">
      <c r="A76" s="53" t="inlineStr">
        <is>
          <t>LAB-000075</t>
        </is>
      </c>
      <c r="B76" s="53" t="inlineStr">
        <is>
          <t>WP-00036</t>
        </is>
      </c>
      <c r="C76" s="53" t="inlineStr">
        <is>
          <t>TECH-024</t>
        </is>
      </c>
      <c r="D76" s="53" t="inlineStr">
        <is>
          <t>Powerplant</t>
        </is>
      </c>
      <c r="E76" s="53" t="inlineStr">
        <is>
          <t>2024-08-22</t>
        </is>
      </c>
      <c r="F76" s="53">
        <v>6.2</v>
      </c>
      <c r="G76" s="53">
        <v>0</v>
      </c>
      <c r="H76" s="51" t="str">
        <f>TEXT(tblLaborEntries[[#This Row],[Work date serial]]-WEEKDAY(tblLaborEntries[[#This Row],[Work date serial]],3),"yyyy-mm-dd")</f>
        <v>2024-08-19</v>
      </c>
      <c r="I76" s="64">
        <f>DATEVALUE(tblLaborEntries[[#This Row],[Work date]])</f>
        <v>45526.0</v>
      </c>
    </row>
    <row r="77" spans="1:9" ht="15" x14ac:dyDescent="0.25">
      <c r="A77" s="53" t="inlineStr">
        <is>
          <t>LAB-000076</t>
        </is>
      </c>
      <c r="B77" s="53" t="inlineStr">
        <is>
          <t>WP-00036</t>
        </is>
      </c>
      <c r="C77" s="53" t="inlineStr">
        <is>
          <t>TECH-006</t>
        </is>
      </c>
      <c r="D77" s="53" t="inlineStr">
        <is>
          <t>Powerplant</t>
        </is>
      </c>
      <c r="E77" s="53" t="inlineStr">
        <is>
          <t>2024-08-23</t>
        </is>
      </c>
      <c r="F77" s="53">
        <v>0.3</v>
      </c>
      <c r="G77" s="53">
        <v>0</v>
      </c>
      <c r="H77" s="51" t="str">
        <f>TEXT(tblLaborEntries[[#This Row],[Work date serial]]-WEEKDAY(tblLaborEntries[[#This Row],[Work date serial]],3),"yyyy-mm-dd")</f>
        <v>2024-08-19</v>
      </c>
      <c r="I77" s="64">
        <f>DATEVALUE(tblLaborEntries[[#This Row],[Work date]])</f>
        <v>45527.0</v>
      </c>
    </row>
    <row r="78" spans="1:9" ht="15" x14ac:dyDescent="0.25">
      <c r="A78" s="53" t="inlineStr">
        <is>
          <t>LAB-000077</t>
        </is>
      </c>
      <c r="B78" s="53" t="inlineStr">
        <is>
          <t>WP-00036</t>
        </is>
      </c>
      <c r="C78" s="53" t="inlineStr">
        <is>
          <t>TECH-030</t>
        </is>
      </c>
      <c r="D78" s="53" t="inlineStr">
        <is>
          <t>Powerplant</t>
        </is>
      </c>
      <c r="E78" s="53" t="inlineStr">
        <is>
          <t>2024-08-23</t>
        </is>
      </c>
      <c r="F78" s="53">
        <v>7.7</v>
      </c>
      <c r="G78" s="53">
        <v>0</v>
      </c>
      <c r="H78" s="51" t="str">
        <f>TEXT(tblLaborEntries[[#This Row],[Work date serial]]-WEEKDAY(tblLaborEntries[[#This Row],[Work date serial]],3),"yyyy-mm-dd")</f>
        <v>2024-08-19</v>
      </c>
      <c r="I78" s="64">
        <f>DATEVALUE(tblLaborEntries[[#This Row],[Work date]])</f>
        <v>45527.0</v>
      </c>
    </row>
    <row r="79" spans="1:9" ht="15" x14ac:dyDescent="0.25">
      <c r="A79" s="53" t="inlineStr">
        <is>
          <t>LAB-000078</t>
        </is>
      </c>
      <c r="B79" s="53" t="inlineStr">
        <is>
          <t>WP-00037</t>
        </is>
      </c>
      <c r="C79" s="53" t="inlineStr">
        <is>
          <t>TECH-066</t>
        </is>
      </c>
      <c r="D79" s="53" t="inlineStr">
        <is>
          <t>Powerplant</t>
        </is>
      </c>
      <c r="E79" s="53" t="inlineStr">
        <is>
          <t>2024-05-08</t>
        </is>
      </c>
      <c r="F79" s="53">
        <v>4.7</v>
      </c>
      <c r="G79" s="53">
        <v>0</v>
      </c>
      <c r="H79" s="51" t="str">
        <f>TEXT(tblLaborEntries[[#This Row],[Work date serial]]-WEEKDAY(tblLaborEntries[[#This Row],[Work date serial]],3),"yyyy-mm-dd")</f>
        <v>2024-05-06</v>
      </c>
      <c r="I79" s="64">
        <f>DATEVALUE(tblLaborEntries[[#This Row],[Work date]])</f>
        <v>45420.0</v>
      </c>
    </row>
    <row r="80" spans="1:9" ht="15" x14ac:dyDescent="0.25">
      <c r="A80" s="53" t="inlineStr">
        <is>
          <t>LAB-000079</t>
        </is>
      </c>
      <c r="B80" s="53" t="inlineStr">
        <is>
          <t>WP-00037</t>
        </is>
      </c>
      <c r="C80" s="53" t="inlineStr">
        <is>
          <t>TECH-006</t>
        </is>
      </c>
      <c r="D80" s="53" t="inlineStr">
        <is>
          <t>Powerplant</t>
        </is>
      </c>
      <c r="E80" s="53" t="inlineStr">
        <is>
          <t>2024-05-09</t>
        </is>
      </c>
      <c r="F80" s="53">
        <v>5.5</v>
      </c>
      <c r="G80" s="53">
        <v>0</v>
      </c>
      <c r="H80" s="51" t="str">
        <f>TEXT(tblLaborEntries[[#This Row],[Work date serial]]-WEEKDAY(tblLaborEntries[[#This Row],[Work date serial]],3),"yyyy-mm-dd")</f>
        <v>2024-05-06</v>
      </c>
      <c r="I80" s="64">
        <f>DATEVALUE(tblLaborEntries[[#This Row],[Work date]])</f>
        <v>45421.0</v>
      </c>
    </row>
    <row r="81" spans="1:9" ht="15" x14ac:dyDescent="0.25">
      <c r="A81" s="53" t="inlineStr">
        <is>
          <t>LAB-000080</t>
        </is>
      </c>
      <c r="B81" s="53" t="inlineStr">
        <is>
          <t>WP-00037</t>
        </is>
      </c>
      <c r="C81" s="53" t="inlineStr">
        <is>
          <t>TECH-042</t>
        </is>
      </c>
      <c r="D81" s="53" t="inlineStr">
        <is>
          <t>Powerplant</t>
        </is>
      </c>
      <c r="E81" s="53" t="inlineStr">
        <is>
          <t>2024-05-10</t>
        </is>
      </c>
      <c r="F81" s="53">
        <v>3.9</v>
      </c>
      <c r="G81" s="53">
        <v>0</v>
      </c>
      <c r="H81" s="51" t="str">
        <f>TEXT(tblLaborEntries[[#This Row],[Work date serial]]-WEEKDAY(tblLaborEntries[[#This Row],[Work date serial]],3),"yyyy-mm-dd")</f>
        <v>2024-05-06</v>
      </c>
      <c r="I81" s="64">
        <f>DATEVALUE(tblLaborEntries[[#This Row],[Work date]])</f>
        <v>45422.0</v>
      </c>
    </row>
    <row r="82" spans="1:9" ht="15" x14ac:dyDescent="0.25">
      <c r="A82" s="53" t="inlineStr">
        <is>
          <t>LAB-000081</t>
        </is>
      </c>
      <c r="B82" s="53" t="inlineStr">
        <is>
          <t>WP-00038</t>
        </is>
      </c>
      <c r="C82" s="53" t="inlineStr">
        <is>
          <t>TECH-072</t>
        </is>
      </c>
      <c r="D82" s="53" t="inlineStr">
        <is>
          <t>Powerplant</t>
        </is>
      </c>
      <c r="E82" s="53" t="inlineStr">
        <is>
          <t>2024-06-29</t>
        </is>
      </c>
      <c r="F82" s="53">
        <v>4.8</v>
      </c>
      <c r="G82" s="53">
        <v>0</v>
      </c>
      <c r="H82" s="51" t="str">
        <f>TEXT(tblLaborEntries[[#This Row],[Work date serial]]-WEEKDAY(tblLaborEntries[[#This Row],[Work date serial]],3),"yyyy-mm-dd")</f>
        <v>2024-06-24</v>
      </c>
      <c r="I82" s="64">
        <f>DATEVALUE(tblLaborEntries[[#This Row],[Work date]])</f>
        <v>45472.0</v>
      </c>
    </row>
    <row r="83" spans="1:9" ht="15" x14ac:dyDescent="0.25">
      <c r="A83" s="53" t="inlineStr">
        <is>
          <t>LAB-000082</t>
        </is>
      </c>
      <c r="B83" s="53" t="inlineStr">
        <is>
          <t>WP-00038</t>
        </is>
      </c>
      <c r="C83" s="53" t="inlineStr">
        <is>
          <t>TECH-036</t>
        </is>
      </c>
      <c r="D83" s="53" t="inlineStr">
        <is>
          <t>Powerplant</t>
        </is>
      </c>
      <c r="E83" s="53" t="inlineStr">
        <is>
          <t>2024-06-30</t>
        </is>
      </c>
      <c r="F83" s="53">
        <v>3.9</v>
      </c>
      <c r="G83" s="53">
        <v>0</v>
      </c>
      <c r="H83" s="51" t="str">
        <f>TEXT(tblLaborEntries[[#This Row],[Work date serial]]-WEEKDAY(tblLaborEntries[[#This Row],[Work date serial]],3),"yyyy-mm-dd")</f>
        <v>2024-06-24</v>
      </c>
      <c r="I83" s="64">
        <f>DATEVALUE(tblLaborEntries[[#This Row],[Work date]])</f>
        <v>45473.0</v>
      </c>
    </row>
    <row r="84" spans="1:9" ht="15" x14ac:dyDescent="0.25">
      <c r="A84" s="53" t="inlineStr">
        <is>
          <t>LAB-000083</t>
        </is>
      </c>
      <c r="B84" s="53" t="inlineStr">
        <is>
          <t>WP-00038</t>
        </is>
      </c>
      <c r="C84" s="53" t="inlineStr">
        <is>
          <t>TECH-066</t>
        </is>
      </c>
      <c r="D84" s="53" t="inlineStr">
        <is>
          <t>Powerplant</t>
        </is>
      </c>
      <c r="E84" s="53" t="inlineStr">
        <is>
          <t>2024-07-01</t>
        </is>
      </c>
      <c r="F84" s="53">
        <v>3.7</v>
      </c>
      <c r="G84" s="53">
        <v>0</v>
      </c>
      <c r="H84" s="51" t="str">
        <f>TEXT(tblLaborEntries[[#This Row],[Work date serial]]-WEEKDAY(tblLaborEntries[[#This Row],[Work date serial]],3),"yyyy-mm-dd")</f>
        <v>2024-07-01</v>
      </c>
      <c r="I84" s="64">
        <f>DATEVALUE(tblLaborEntries[[#This Row],[Work date]])</f>
        <v>45474.0</v>
      </c>
    </row>
    <row r="85" spans="1:9" ht="15" x14ac:dyDescent="0.25">
      <c r="A85" s="53" t="inlineStr">
        <is>
          <t>LAB-000084</t>
        </is>
      </c>
      <c r="B85" s="53" t="inlineStr">
        <is>
          <t>WP-00039</t>
        </is>
      </c>
      <c r="C85" s="53" t="inlineStr">
        <is>
          <t>TECH-026</t>
        </is>
      </c>
      <c r="D85" s="53" t="inlineStr">
        <is>
          <t>Avionics</t>
        </is>
      </c>
      <c r="E85" s="53" t="inlineStr">
        <is>
          <t>2025-11-04</t>
        </is>
      </c>
      <c r="F85" s="53">
        <v>4.7</v>
      </c>
      <c r="G85" s="53">
        <v>0</v>
      </c>
      <c r="H85" s="51" t="str">
        <f>TEXT(tblLaborEntries[[#This Row],[Work date serial]]-WEEKDAY(tblLaborEntries[[#This Row],[Work date serial]],3),"yyyy-mm-dd")</f>
        <v>2025-11-03</v>
      </c>
      <c r="I85" s="64">
        <f>DATEVALUE(tblLaborEntries[[#This Row],[Work date]])</f>
        <v>45965.0</v>
      </c>
    </row>
    <row r="86" spans="1:9" ht="15" x14ac:dyDescent="0.25">
      <c r="A86" s="53" t="inlineStr">
        <is>
          <t>LAB-000085</t>
        </is>
      </c>
      <c r="B86" s="53" t="inlineStr">
        <is>
          <t>WP-00040</t>
        </is>
      </c>
      <c r="C86" s="53" t="inlineStr">
        <is>
          <t>TECH-024</t>
        </is>
      </c>
      <c r="D86" s="53" t="inlineStr">
        <is>
          <t>Powerplant</t>
        </is>
      </c>
      <c r="E86" s="53" t="inlineStr">
        <is>
          <t>2025-08-25</t>
        </is>
      </c>
      <c r="F86" s="53">
        <v>8.1</v>
      </c>
      <c r="G86" s="53">
        <v>0.1</v>
      </c>
      <c r="H86" s="51" t="str">
        <f>TEXT(tblLaborEntries[[#This Row],[Work date serial]]-WEEKDAY(tblLaborEntries[[#This Row],[Work date serial]],3),"yyyy-mm-dd")</f>
        <v>2025-08-25</v>
      </c>
      <c r="I86" s="64">
        <f>DATEVALUE(tblLaborEntries[[#This Row],[Work date]])</f>
        <v>45894.0</v>
      </c>
    </row>
    <row r="87" spans="1:9" ht="15" x14ac:dyDescent="0.25">
      <c r="A87" s="53" t="inlineStr">
        <is>
          <t>LAB-000086</t>
        </is>
      </c>
      <c r="B87" s="53" t="inlineStr">
        <is>
          <t>WP-00040</t>
        </is>
      </c>
      <c r="C87" s="53" t="inlineStr">
        <is>
          <t>TECH-042</t>
        </is>
      </c>
      <c r="D87" s="53" t="inlineStr">
        <is>
          <t>Powerplant</t>
        </is>
      </c>
      <c r="E87" s="53" t="inlineStr">
        <is>
          <t>2025-08-26</t>
        </is>
      </c>
      <c r="F87" s="53">
        <v>5.8</v>
      </c>
      <c r="G87" s="53">
        <v>0</v>
      </c>
      <c r="H87" s="51" t="str">
        <f>TEXT(tblLaborEntries[[#This Row],[Work date serial]]-WEEKDAY(tblLaborEntries[[#This Row],[Work date serial]],3),"yyyy-mm-dd")</f>
        <v>2025-08-25</v>
      </c>
      <c r="I87" s="64">
        <f>DATEVALUE(tblLaborEntries[[#This Row],[Work date]])</f>
        <v>45895.0</v>
      </c>
    </row>
    <row r="88" spans="1:9" ht="15" x14ac:dyDescent="0.25">
      <c r="A88" s="53" t="inlineStr">
        <is>
          <t>LAB-000087</t>
        </is>
      </c>
      <c r="B88" s="53" t="inlineStr">
        <is>
          <t>WP-00040</t>
        </is>
      </c>
      <c r="C88" s="53" t="inlineStr">
        <is>
          <t>TECH-060</t>
        </is>
      </c>
      <c r="D88" s="53" t="inlineStr">
        <is>
          <t>Powerplant</t>
        </is>
      </c>
      <c r="E88" s="53" t="inlineStr">
        <is>
          <t>2025-08-27</t>
        </is>
      </c>
      <c r="F88" s="53">
        <v>7.4</v>
      </c>
      <c r="G88" s="53">
        <v>0</v>
      </c>
      <c r="H88" s="51" t="str">
        <f>TEXT(tblLaborEntries[[#This Row],[Work date serial]]-WEEKDAY(tblLaborEntries[[#This Row],[Work date serial]],3),"yyyy-mm-dd")</f>
        <v>2025-08-25</v>
      </c>
      <c r="I88" s="64">
        <f>DATEVALUE(tblLaborEntries[[#This Row],[Work date]])</f>
        <v>45896.0</v>
      </c>
    </row>
    <row r="89" spans="1:9" ht="15" x14ac:dyDescent="0.25">
      <c r="A89" s="53" t="inlineStr">
        <is>
          <t>LAB-000088</t>
        </is>
      </c>
      <c r="B89" s="53" t="inlineStr">
        <is>
          <t>WP-00041</t>
        </is>
      </c>
      <c r="C89" s="53" t="inlineStr">
        <is>
          <t>TECH-068</t>
        </is>
      </c>
      <c r="D89" s="53" t="inlineStr">
        <is>
          <t>Avionics</t>
        </is>
      </c>
      <c r="E89" s="53" t="inlineStr">
        <is>
          <t>2024-04-11</t>
        </is>
      </c>
      <c r="F89" s="53">
        <v>5.5</v>
      </c>
      <c r="G89" s="53">
        <v>0</v>
      </c>
      <c r="H89" s="51" t="str">
        <f>TEXT(tblLaborEntries[[#This Row],[Work date serial]]-WEEKDAY(tblLaborEntries[[#This Row],[Work date serial]],3),"yyyy-mm-dd")</f>
        <v>2024-04-08</v>
      </c>
      <c r="I89" s="64">
        <f>DATEVALUE(tblLaborEntries[[#This Row],[Work date]])</f>
        <v>45393.0</v>
      </c>
    </row>
    <row r="90" spans="1:9" ht="15" x14ac:dyDescent="0.25">
      <c r="A90" s="53" t="inlineStr">
        <is>
          <t>LAB-000089</t>
        </is>
      </c>
      <c r="B90" s="53" t="inlineStr">
        <is>
          <t>WP-00041</t>
        </is>
      </c>
      <c r="C90" s="53" t="inlineStr">
        <is>
          <t>TECH-044</t>
        </is>
      </c>
      <c r="D90" s="53" t="inlineStr">
        <is>
          <t>Avionics</t>
        </is>
      </c>
      <c r="E90" s="53" t="inlineStr">
        <is>
          <t>2024-04-12</t>
        </is>
      </c>
      <c r="F90" s="53">
        <v>3.9</v>
      </c>
      <c r="G90" s="53">
        <v>0</v>
      </c>
      <c r="H90" s="51" t="str">
        <f>TEXT(tblLaborEntries[[#This Row],[Work date serial]]-WEEKDAY(tblLaborEntries[[#This Row],[Work date serial]],3),"yyyy-mm-dd")</f>
        <v>2024-04-08</v>
      </c>
      <c r="I90" s="64">
        <f>DATEVALUE(tblLaborEntries[[#This Row],[Work date]])</f>
        <v>45394.0</v>
      </c>
    </row>
    <row r="91" spans="1:9" ht="15" x14ac:dyDescent="0.25">
      <c r="A91" s="53" t="inlineStr">
        <is>
          <t>LAB-000090</t>
        </is>
      </c>
      <c r="B91" s="53" t="inlineStr">
        <is>
          <t>WP-00042</t>
        </is>
      </c>
      <c r="C91" s="53" t="inlineStr">
        <is>
          <t>TECH-031</t>
        </is>
      </c>
      <c r="D91" s="53" t="inlineStr">
        <is>
          <t>Airframe</t>
        </is>
      </c>
      <c r="E91" s="53" t="inlineStr">
        <is>
          <t>2024-04-05</t>
        </is>
      </c>
      <c r="F91" s="53">
        <v>5.7</v>
      </c>
      <c r="G91" s="53">
        <v>0</v>
      </c>
      <c r="H91" s="51" t="str">
        <f>TEXT(tblLaborEntries[[#This Row],[Work date serial]]-WEEKDAY(tblLaborEntries[[#This Row],[Work date serial]],3),"yyyy-mm-dd")</f>
        <v>2024-04-01</v>
      </c>
      <c r="I91" s="64">
        <f>DATEVALUE(tblLaborEntries[[#This Row],[Work date]])</f>
        <v>45387.0</v>
      </c>
    </row>
    <row r="92" spans="1:9" ht="15" x14ac:dyDescent="0.25">
      <c r="A92" s="53" t="inlineStr">
        <is>
          <t>LAB-000091</t>
        </is>
      </c>
      <c r="B92" s="53" t="inlineStr">
        <is>
          <t>WP-00043</t>
        </is>
      </c>
      <c r="C92" s="53" t="inlineStr">
        <is>
          <t>TECH-001</t>
        </is>
      </c>
      <c r="D92" s="53" t="inlineStr">
        <is>
          <t>Airframe</t>
        </is>
      </c>
      <c r="E92" s="53" t="inlineStr">
        <is>
          <t>2025-07-05</t>
        </is>
      </c>
      <c r="F92" s="53">
        <v>4.4</v>
      </c>
      <c r="G92" s="53">
        <v>0</v>
      </c>
      <c r="H92" s="51" t="str">
        <f>TEXT(tblLaborEntries[[#This Row],[Work date serial]]-WEEKDAY(tblLaborEntries[[#This Row],[Work date serial]],3),"yyyy-mm-dd")</f>
        <v>2025-06-30</v>
      </c>
      <c r="I92" s="64">
        <f>DATEVALUE(tblLaborEntries[[#This Row],[Work date]])</f>
        <v>45843.0</v>
      </c>
    </row>
    <row r="93" spans="1:9" ht="15" x14ac:dyDescent="0.25">
      <c r="A93" s="53" t="inlineStr">
        <is>
          <t>LAB-000092</t>
        </is>
      </c>
      <c r="B93" s="53" t="inlineStr">
        <is>
          <t>WP-00043</t>
        </is>
      </c>
      <c r="C93" s="53" t="inlineStr">
        <is>
          <t>TECH-019</t>
        </is>
      </c>
      <c r="D93" s="53" t="inlineStr">
        <is>
          <t>Airframe</t>
        </is>
      </c>
      <c r="E93" s="53" t="inlineStr">
        <is>
          <t>2025-07-05</t>
        </is>
      </c>
      <c r="F93" s="53">
        <v>7.7</v>
      </c>
      <c r="G93" s="53">
        <v>0</v>
      </c>
      <c r="H93" s="51" t="str">
        <f>TEXT(tblLaborEntries[[#This Row],[Work date serial]]-WEEKDAY(tblLaborEntries[[#This Row],[Work date serial]],3),"yyyy-mm-dd")</f>
        <v>2025-06-30</v>
      </c>
      <c r="I93" s="64">
        <f>DATEVALUE(tblLaborEntries[[#This Row],[Work date]])</f>
        <v>45843.0</v>
      </c>
    </row>
    <row r="94" spans="1:9" ht="15" x14ac:dyDescent="0.25">
      <c r="A94" s="53" t="inlineStr">
        <is>
          <t>LAB-000093</t>
        </is>
      </c>
      <c r="B94" s="53" t="inlineStr">
        <is>
          <t>WP-00044</t>
        </is>
      </c>
      <c r="C94" s="53" t="inlineStr">
        <is>
          <t>TECH-061</t>
        </is>
      </c>
      <c r="D94" s="53" t="inlineStr">
        <is>
          <t>Airframe</t>
        </is>
      </c>
      <c r="E94" s="53" t="inlineStr">
        <is>
          <t>2025-11-03</t>
        </is>
      </c>
      <c r="F94" s="53">
        <v>4.1</v>
      </c>
      <c r="G94" s="53">
        <v>0</v>
      </c>
      <c r="H94" s="51" t="str">
        <f>TEXT(tblLaborEntries[[#This Row],[Work date serial]]-WEEKDAY(tblLaborEntries[[#This Row],[Work date serial]],3),"yyyy-mm-dd")</f>
        <v>2025-11-03</v>
      </c>
      <c r="I94" s="64">
        <f>DATEVALUE(tblLaborEntries[[#This Row],[Work date]])</f>
        <v>45964.0</v>
      </c>
    </row>
    <row r="95" spans="1:9" ht="15" x14ac:dyDescent="0.25">
      <c r="A95" s="53" t="inlineStr">
        <is>
          <t>LAB-000094</t>
        </is>
      </c>
      <c r="B95" s="53" t="inlineStr">
        <is>
          <t>WP-00045</t>
        </is>
      </c>
      <c r="C95" s="53" t="inlineStr">
        <is>
          <t>TECH-025</t>
        </is>
      </c>
      <c r="D95" s="53" t="inlineStr">
        <is>
          <t>Airframe</t>
        </is>
      </c>
      <c r="E95" s="53" t="inlineStr">
        <is>
          <t>2024-03-14</t>
        </is>
      </c>
      <c r="F95" s="53">
        <v>5.9</v>
      </c>
      <c r="G95" s="53">
        <v>0</v>
      </c>
      <c r="H95" s="51" t="str">
        <f>TEXT(tblLaborEntries[[#This Row],[Work date serial]]-WEEKDAY(tblLaborEntries[[#This Row],[Work date serial]],3),"yyyy-mm-dd")</f>
        <v>2024-03-11</v>
      </c>
      <c r="I95" s="64">
        <f>DATEVALUE(tblLaborEntries[[#This Row],[Work date]])</f>
        <v>45365.0</v>
      </c>
    </row>
    <row r="96" spans="1:9" ht="15" x14ac:dyDescent="0.25">
      <c r="A96" s="53" t="inlineStr">
        <is>
          <t>LAB-000095</t>
        </is>
      </c>
      <c r="B96" s="53" t="inlineStr">
        <is>
          <t>WP-00045</t>
        </is>
      </c>
      <c r="C96" s="53" t="inlineStr">
        <is>
          <t>TECH-007</t>
        </is>
      </c>
      <c r="D96" s="53" t="inlineStr">
        <is>
          <t>Airframe</t>
        </is>
      </c>
      <c r="E96" s="53" t="inlineStr">
        <is>
          <t>2024-03-15</t>
        </is>
      </c>
      <c r="F96" s="53">
        <v>6.6</v>
      </c>
      <c r="G96" s="53">
        <v>0</v>
      </c>
      <c r="H96" s="51" t="str">
        <f>TEXT(tblLaborEntries[[#This Row],[Work date serial]]-WEEKDAY(tblLaborEntries[[#This Row],[Work date serial]],3),"yyyy-mm-dd")</f>
        <v>2024-03-11</v>
      </c>
      <c r="I96" s="64">
        <f>DATEVALUE(tblLaborEntries[[#This Row],[Work date]])</f>
        <v>45366.0</v>
      </c>
    </row>
    <row r="97" spans="1:9" ht="15" x14ac:dyDescent="0.25">
      <c r="A97" s="53" t="inlineStr">
        <is>
          <t>LAB-000096</t>
        </is>
      </c>
      <c r="B97" s="53" t="inlineStr">
        <is>
          <t>WP-00045</t>
        </is>
      </c>
      <c r="C97" s="53" t="inlineStr">
        <is>
          <t>TECH-067</t>
        </is>
      </c>
      <c r="D97" s="53" t="inlineStr">
        <is>
          <t>Airframe</t>
        </is>
      </c>
      <c r="E97" s="53" t="inlineStr">
        <is>
          <t>2024-03-16</t>
        </is>
      </c>
      <c r="F97" s="53">
        <v>5.1</v>
      </c>
      <c r="G97" s="53">
        <v>0</v>
      </c>
      <c r="H97" s="51" t="str">
        <f>TEXT(tblLaborEntries[[#This Row],[Work date serial]]-WEEKDAY(tblLaborEntries[[#This Row],[Work date serial]],3),"yyyy-mm-dd")</f>
        <v>2024-03-11</v>
      </c>
      <c r="I97" s="64">
        <f>DATEVALUE(tblLaborEntries[[#This Row],[Work date]])</f>
        <v>45367.0</v>
      </c>
    </row>
    <row r="98" spans="1:9" ht="15" x14ac:dyDescent="0.25">
      <c r="A98" s="53" t="inlineStr">
        <is>
          <t>LAB-000097</t>
        </is>
      </c>
      <c r="B98" s="53" t="inlineStr">
        <is>
          <t>WP-00046</t>
        </is>
      </c>
      <c r="C98" s="53" t="inlineStr">
        <is>
          <t>TECH-012</t>
        </is>
      </c>
      <c r="D98" s="53" t="inlineStr">
        <is>
          <t>Powerplant</t>
        </is>
      </c>
      <c r="E98" s="53" t="inlineStr">
        <is>
          <t>2025-10-23</t>
        </is>
      </c>
      <c r="F98" s="53">
        <v>11</v>
      </c>
      <c r="G98" s="53">
        <v>3</v>
      </c>
      <c r="H98" s="51" t="str">
        <f>TEXT(tblLaborEntries[[#This Row],[Work date serial]]-WEEKDAY(tblLaborEntries[[#This Row],[Work date serial]],3),"yyyy-mm-dd")</f>
        <v>2025-10-20</v>
      </c>
      <c r="I98" s="64">
        <f>DATEVALUE(tblLaborEntries[[#This Row],[Work date]])</f>
        <v>45953.0</v>
      </c>
    </row>
    <row r="99" spans="1:9" ht="15" x14ac:dyDescent="0.25">
      <c r="A99" s="53" t="inlineStr">
        <is>
          <t>LAB-000098</t>
        </is>
      </c>
      <c r="B99" s="53" t="inlineStr">
        <is>
          <t>WP-00047</t>
        </is>
      </c>
      <c r="C99" s="53" t="inlineStr">
        <is>
          <t>TECH-005</t>
        </is>
      </c>
      <c r="D99" s="53" t="inlineStr">
        <is>
          <t>Structures</t>
        </is>
      </c>
      <c r="E99" s="53" t="inlineStr">
        <is>
          <t>2025-11-21</t>
        </is>
      </c>
      <c r="F99" s="53">
        <v>12</v>
      </c>
      <c r="G99" s="53">
        <v>4</v>
      </c>
      <c r="H99" s="51" t="str">
        <f>TEXT(tblLaborEntries[[#This Row],[Work date serial]]-WEEKDAY(tblLaborEntries[[#This Row],[Work date serial]],3),"yyyy-mm-dd")</f>
        <v>2025-11-17</v>
      </c>
      <c r="I99" s="64">
        <f>DATEVALUE(tblLaborEntries[[#This Row],[Work date]])</f>
        <v>45982.0</v>
      </c>
    </row>
    <row r="100" spans="1:9" ht="15" x14ac:dyDescent="0.25">
      <c r="A100" s="53" t="inlineStr">
        <is>
          <t>LAB-000099</t>
        </is>
      </c>
      <c r="B100" s="53" t="inlineStr">
        <is>
          <t>WP-00047</t>
        </is>
      </c>
      <c r="C100" s="53" t="inlineStr">
        <is>
          <t>TECH-011</t>
        </is>
      </c>
      <c r="D100" s="53" t="inlineStr">
        <is>
          <t>Structures</t>
        </is>
      </c>
      <c r="E100" s="53" t="inlineStr">
        <is>
          <t>2025-11-21</t>
        </is>
      </c>
      <c r="F100" s="53">
        <v>4</v>
      </c>
      <c r="G100" s="53">
        <v>0</v>
      </c>
      <c r="H100" s="51" t="str">
        <f>TEXT(tblLaborEntries[[#This Row],[Work date serial]]-WEEKDAY(tblLaborEntries[[#This Row],[Work date serial]],3),"yyyy-mm-dd")</f>
        <v>2025-11-17</v>
      </c>
      <c r="I100" s="64">
        <f>DATEVALUE(tblLaborEntries[[#This Row],[Work date]])</f>
        <v>45982.0</v>
      </c>
    </row>
    <row r="101" spans="1:9" ht="15" x14ac:dyDescent="0.25">
      <c r="A101" s="53" t="inlineStr">
        <is>
          <t>LAB-000100</t>
        </is>
      </c>
      <c r="B101" s="53" t="inlineStr">
        <is>
          <t>WP-00048</t>
        </is>
      </c>
      <c r="C101" s="53" t="inlineStr">
        <is>
          <t>TECH-002</t>
        </is>
      </c>
      <c r="D101" s="53" t="inlineStr">
        <is>
          <t>Avionics</t>
        </is>
      </c>
      <c r="E101" s="53" t="inlineStr">
        <is>
          <t>2024-05-10</t>
        </is>
      </c>
      <c r="F101" s="53">
        <v>7.6</v>
      </c>
      <c r="G101" s="53">
        <v>0</v>
      </c>
      <c r="H101" s="51" t="str">
        <f>TEXT(tblLaborEntries[[#This Row],[Work date serial]]-WEEKDAY(tblLaborEntries[[#This Row],[Work date serial]],3),"yyyy-mm-dd")</f>
        <v>2024-05-06</v>
      </c>
      <c r="I101" s="64">
        <f>DATEVALUE(tblLaborEntries[[#This Row],[Work date]])</f>
        <v>45422.0</v>
      </c>
    </row>
    <row r="102" spans="1:9" ht="15" x14ac:dyDescent="0.25">
      <c r="A102" s="53" t="inlineStr">
        <is>
          <t>LAB-000101</t>
        </is>
      </c>
      <c r="B102" s="53" t="inlineStr">
        <is>
          <t>WP-00048</t>
        </is>
      </c>
      <c r="C102" s="53" t="inlineStr">
        <is>
          <t>TECH-062</t>
        </is>
      </c>
      <c r="D102" s="53" t="inlineStr">
        <is>
          <t>Avionics</t>
        </is>
      </c>
      <c r="E102" s="53" t="inlineStr">
        <is>
          <t>2024-05-11</t>
        </is>
      </c>
      <c r="F102" s="53">
        <v>7.8</v>
      </c>
      <c r="G102" s="53">
        <v>0</v>
      </c>
      <c r="H102" s="51" t="str">
        <f>TEXT(tblLaborEntries[[#This Row],[Work date serial]]-WEEKDAY(tblLaborEntries[[#This Row],[Work date serial]],3),"yyyy-mm-dd")</f>
        <v>2024-05-06</v>
      </c>
      <c r="I102" s="64">
        <f>DATEVALUE(tblLaborEntries[[#This Row],[Work date]])</f>
        <v>45423.0</v>
      </c>
    </row>
    <row r="103" spans="1:9" ht="15" x14ac:dyDescent="0.25">
      <c r="A103" s="53" t="inlineStr">
        <is>
          <t>LAB-000102</t>
        </is>
      </c>
      <c r="B103" s="53" t="inlineStr">
        <is>
          <t>WP-00049</t>
        </is>
      </c>
      <c r="C103" s="53" t="inlineStr">
        <is>
          <t>TECH-036</t>
        </is>
      </c>
      <c r="D103" s="53" t="inlineStr">
        <is>
          <t>Powerplant</t>
        </is>
      </c>
      <c r="E103" s="53" t="inlineStr">
        <is>
          <t>2025-07-23</t>
        </is>
      </c>
      <c r="F103" s="53">
        <v>9</v>
      </c>
      <c r="G103" s="53">
        <v>1</v>
      </c>
      <c r="H103" s="51" t="str">
        <f>TEXT(tblLaborEntries[[#This Row],[Work date serial]]-WEEKDAY(tblLaborEntries[[#This Row],[Work date serial]],3),"yyyy-mm-dd")</f>
        <v>2025-07-21</v>
      </c>
      <c r="I103" s="64">
        <f>DATEVALUE(tblLaborEntries[[#This Row],[Work date]])</f>
        <v>45861.0</v>
      </c>
    </row>
    <row r="104" spans="1:9" ht="15" x14ac:dyDescent="0.25">
      <c r="A104" s="53" t="inlineStr">
        <is>
          <t>LAB-000103</t>
        </is>
      </c>
      <c r="B104" s="53" t="inlineStr">
        <is>
          <t>WP-00049</t>
        </is>
      </c>
      <c r="C104" s="53" t="inlineStr">
        <is>
          <t>TECH-036</t>
        </is>
      </c>
      <c r="D104" s="53" t="inlineStr">
        <is>
          <t>Powerplant</t>
        </is>
      </c>
      <c r="E104" s="53" t="inlineStr">
        <is>
          <t>2025-07-24</t>
        </is>
      </c>
      <c r="F104" s="53">
        <v>8.5</v>
      </c>
      <c r="G104" s="53">
        <v>0.5</v>
      </c>
      <c r="H104" s="51" t="str">
        <f>TEXT(tblLaborEntries[[#This Row],[Work date serial]]-WEEKDAY(tblLaborEntries[[#This Row],[Work date serial]],3),"yyyy-mm-dd")</f>
        <v>2025-07-21</v>
      </c>
      <c r="I104" s="64">
        <f>DATEVALUE(tblLaborEntries[[#This Row],[Work date]])</f>
        <v>45862.0</v>
      </c>
    </row>
    <row r="105" spans="1:9" ht="15" x14ac:dyDescent="0.25">
      <c r="A105" s="53" t="inlineStr">
        <is>
          <t>LAB-000104</t>
        </is>
      </c>
      <c r="B105" s="53" t="inlineStr">
        <is>
          <t>WP-00050</t>
        </is>
      </c>
      <c r="C105" s="53" t="inlineStr">
        <is>
          <t>TECH-002</t>
        </is>
      </c>
      <c r="D105" s="53" t="inlineStr">
        <is>
          <t>Avionics</t>
        </is>
      </c>
      <c r="E105" s="53" t="inlineStr">
        <is>
          <t>2024-03-04</t>
        </is>
      </c>
      <c r="F105" s="53">
        <v>1.3</v>
      </c>
      <c r="G105" s="53">
        <v>0</v>
      </c>
      <c r="H105" s="51" t="str">
        <f>TEXT(tblLaborEntries[[#This Row],[Work date serial]]-WEEKDAY(tblLaborEntries[[#This Row],[Work date serial]],3),"yyyy-mm-dd")</f>
        <v>2024-03-04</v>
      </c>
      <c r="I105" s="64">
        <f>DATEVALUE(tblLaborEntries[[#This Row],[Work date]])</f>
        <v>45355.0</v>
      </c>
    </row>
    <row r="106" spans="1:9" ht="15" x14ac:dyDescent="0.25">
      <c r="A106" s="53" t="inlineStr">
        <is>
          <t>LAB-000105</t>
        </is>
      </c>
      <c r="B106" s="53" t="inlineStr">
        <is>
          <t>WP-00050</t>
        </is>
      </c>
      <c r="C106" s="53" t="inlineStr">
        <is>
          <t>TECH-014</t>
        </is>
      </c>
      <c r="D106" s="53" t="inlineStr">
        <is>
          <t>Avionics</t>
        </is>
      </c>
      <c r="E106" s="53" t="inlineStr">
        <is>
          <t>2024-03-05</t>
        </is>
      </c>
      <c r="F106" s="53">
        <v>1.3</v>
      </c>
      <c r="G106" s="53">
        <v>0</v>
      </c>
      <c r="H106" s="51" t="str">
        <f>TEXT(tblLaborEntries[[#This Row],[Work date serial]]-WEEKDAY(tblLaborEntries[[#This Row],[Work date serial]],3),"yyyy-mm-dd")</f>
        <v>2024-03-04</v>
      </c>
      <c r="I106" s="64">
        <f>DATEVALUE(tblLaborEntries[[#This Row],[Work date]])</f>
        <v>45356.0</v>
      </c>
    </row>
    <row r="107" spans="1:9" ht="15" x14ac:dyDescent="0.25">
      <c r="A107" s="53" t="inlineStr">
        <is>
          <t>LAB-000106</t>
        </is>
      </c>
      <c r="B107" s="53" t="inlineStr">
        <is>
          <t>WP-00050</t>
        </is>
      </c>
      <c r="C107" s="53" t="inlineStr">
        <is>
          <t>TECH-056</t>
        </is>
      </c>
      <c r="D107" s="53" t="inlineStr">
        <is>
          <t>Avionics</t>
        </is>
      </c>
      <c r="E107" s="53" t="inlineStr">
        <is>
          <t>2024-03-06</t>
        </is>
      </c>
      <c r="F107" s="53">
        <v>1.1</v>
      </c>
      <c r="G107" s="53">
        <v>0</v>
      </c>
      <c r="H107" s="51" t="str">
        <f>TEXT(tblLaborEntries[[#This Row],[Work date serial]]-WEEKDAY(tblLaborEntries[[#This Row],[Work date serial]],3),"yyyy-mm-dd")</f>
        <v>2024-03-04</v>
      </c>
      <c r="I107" s="64">
        <f>DATEVALUE(tblLaborEntries[[#This Row],[Work date]])</f>
        <v>45357.0</v>
      </c>
    </row>
    <row r="108" spans="1:9" ht="15" x14ac:dyDescent="0.25">
      <c r="A108" s="53" t="inlineStr">
        <is>
          <t>LAB-000107</t>
        </is>
      </c>
      <c r="B108" s="53" t="inlineStr">
        <is>
          <t>WP-00051</t>
        </is>
      </c>
      <c r="C108" s="53" t="inlineStr">
        <is>
          <t>TECH-074</t>
        </is>
      </c>
      <c r="D108" s="53" t="inlineStr">
        <is>
          <t>Avionics</t>
        </is>
      </c>
      <c r="E108" s="53" t="inlineStr">
        <is>
          <t>2024-01-24</t>
        </is>
      </c>
      <c r="F108" s="53">
        <v>1.8</v>
      </c>
      <c r="G108" s="53">
        <v>0</v>
      </c>
      <c r="H108" s="51" t="str">
        <f>TEXT(tblLaborEntries[[#This Row],[Work date serial]]-WEEKDAY(tblLaborEntries[[#This Row],[Work date serial]],3),"yyyy-mm-dd")</f>
        <v>2024-01-22</v>
      </c>
      <c r="I108" s="64">
        <f>DATEVALUE(tblLaborEntries[[#This Row],[Work date]])</f>
        <v>45315.0</v>
      </c>
    </row>
    <row r="109" spans="1:9" ht="15" x14ac:dyDescent="0.25">
      <c r="A109" s="53" t="inlineStr">
        <is>
          <t>LAB-000108</t>
        </is>
      </c>
      <c r="B109" s="53" t="inlineStr">
        <is>
          <t>WP-00051</t>
        </is>
      </c>
      <c r="C109" s="53" t="inlineStr">
        <is>
          <t>TECH-044</t>
        </is>
      </c>
      <c r="D109" s="53" t="inlineStr">
        <is>
          <t>Avionics</t>
        </is>
      </c>
      <c r="E109" s="53" t="inlineStr">
        <is>
          <t>2024-01-25</t>
        </is>
      </c>
      <c r="F109" s="53">
        <v>2</v>
      </c>
      <c r="G109" s="53">
        <v>0</v>
      </c>
      <c r="H109" s="51" t="str">
        <f>TEXT(tblLaborEntries[[#This Row],[Work date serial]]-WEEKDAY(tblLaborEntries[[#This Row],[Work date serial]],3),"yyyy-mm-dd")</f>
        <v>2024-01-22</v>
      </c>
      <c r="I109" s="64">
        <f>DATEVALUE(tblLaborEntries[[#This Row],[Work date]])</f>
        <v>45316.0</v>
      </c>
    </row>
    <row r="110" spans="1:9" ht="15" x14ac:dyDescent="0.25">
      <c r="A110" s="53" t="inlineStr">
        <is>
          <t>LAB-000109</t>
        </is>
      </c>
      <c r="B110" s="53" t="inlineStr">
        <is>
          <t>WP-00051</t>
        </is>
      </c>
      <c r="C110" s="53" t="inlineStr">
        <is>
          <t>TECH-020</t>
        </is>
      </c>
      <c r="D110" s="53" t="inlineStr">
        <is>
          <t>Avionics</t>
        </is>
      </c>
      <c r="E110" s="53" t="inlineStr">
        <is>
          <t>2024-01-26</t>
        </is>
      </c>
      <c r="F110" s="53">
        <v>1.8</v>
      </c>
      <c r="G110" s="53">
        <v>0</v>
      </c>
      <c r="H110" s="51" t="str">
        <f>TEXT(tblLaborEntries[[#This Row],[Work date serial]]-WEEKDAY(tblLaborEntries[[#This Row],[Work date serial]],3),"yyyy-mm-dd")</f>
        <v>2024-01-22</v>
      </c>
      <c r="I110" s="64">
        <f>DATEVALUE(tblLaborEntries[[#This Row],[Work date]])</f>
        <v>45317.0</v>
      </c>
    </row>
    <row r="111" spans="1:9" ht="15" x14ac:dyDescent="0.25">
      <c r="A111" s="53" t="inlineStr">
        <is>
          <t>LAB-000110</t>
        </is>
      </c>
      <c r="B111" s="53" t="inlineStr">
        <is>
          <t>WP-00052</t>
        </is>
      </c>
      <c r="C111" s="53" t="inlineStr">
        <is>
          <t>TECH-002</t>
        </is>
      </c>
      <c r="D111" s="53" t="inlineStr">
        <is>
          <t>Avionics</t>
        </is>
      </c>
      <c r="E111" s="53" t="inlineStr">
        <is>
          <t>2025-02-23</t>
        </is>
      </c>
      <c r="F111" s="53">
        <v>2.8</v>
      </c>
      <c r="G111" s="53">
        <v>0</v>
      </c>
      <c r="H111" s="51" t="str">
        <f>TEXT(tblLaborEntries[[#This Row],[Work date serial]]-WEEKDAY(tblLaborEntries[[#This Row],[Work date serial]],3),"yyyy-mm-dd")</f>
        <v>2025-02-17</v>
      </c>
      <c r="I111" s="64">
        <f>DATEVALUE(tblLaborEntries[[#This Row],[Work date]])</f>
        <v>45711.0</v>
      </c>
    </row>
    <row r="112" spans="1:9" ht="15" x14ac:dyDescent="0.25">
      <c r="A112" s="53" t="inlineStr">
        <is>
          <t>LAB-000111</t>
        </is>
      </c>
      <c r="B112" s="53" t="inlineStr">
        <is>
          <t>WP-00052</t>
        </is>
      </c>
      <c r="C112" s="53" t="inlineStr">
        <is>
          <t>TECH-008</t>
        </is>
      </c>
      <c r="D112" s="53" t="inlineStr">
        <is>
          <t>Avionics</t>
        </is>
      </c>
      <c r="E112" s="53" t="inlineStr">
        <is>
          <t>2025-02-24</t>
        </is>
      </c>
      <c r="F112" s="53">
        <v>2.4</v>
      </c>
      <c r="G112" s="53">
        <v>0</v>
      </c>
      <c r="H112" s="51" t="str">
        <f>TEXT(tblLaborEntries[[#This Row],[Work date serial]]-WEEKDAY(tblLaborEntries[[#This Row],[Work date serial]],3),"yyyy-mm-dd")</f>
        <v>2025-02-24</v>
      </c>
      <c r="I112" s="64">
        <f>DATEVALUE(tblLaborEntries[[#This Row],[Work date]])</f>
        <v>45712.0</v>
      </c>
    </row>
    <row r="113" spans="1:9" ht="15" x14ac:dyDescent="0.25">
      <c r="A113" s="53" t="inlineStr">
        <is>
          <t>LAB-000112</t>
        </is>
      </c>
      <c r="B113" s="53" t="inlineStr">
        <is>
          <t>WP-00052</t>
        </is>
      </c>
      <c r="C113" s="53" t="inlineStr">
        <is>
          <t>TECH-008</t>
        </is>
      </c>
      <c r="D113" s="53" t="inlineStr">
        <is>
          <t>Avionics</t>
        </is>
      </c>
      <c r="E113" s="53" t="inlineStr">
        <is>
          <t>2025-02-25</t>
        </is>
      </c>
      <c r="F113" s="53">
        <v>2.8</v>
      </c>
      <c r="G113" s="53">
        <v>0</v>
      </c>
      <c r="H113" s="51" t="str">
        <f>TEXT(tblLaborEntries[[#This Row],[Work date serial]]-WEEKDAY(tblLaborEntries[[#This Row],[Work date serial]],3),"yyyy-mm-dd")</f>
        <v>2025-02-24</v>
      </c>
      <c r="I113" s="64">
        <f>DATEVALUE(tblLaborEntries[[#This Row],[Work date]])</f>
        <v>45713.0</v>
      </c>
    </row>
    <row r="114" spans="1:9" ht="15" x14ac:dyDescent="0.25">
      <c r="A114" s="53" t="inlineStr">
        <is>
          <t>LAB-000113</t>
        </is>
      </c>
      <c r="B114" s="53" t="inlineStr">
        <is>
          <t>WP-00053</t>
        </is>
      </c>
      <c r="C114" s="53" t="inlineStr">
        <is>
          <t>TECH-008</t>
        </is>
      </c>
      <c r="D114" s="53" t="inlineStr">
        <is>
          <t>Avionics</t>
        </is>
      </c>
      <c r="E114" s="53" t="inlineStr">
        <is>
          <t>2026-01-04</t>
        </is>
      </c>
      <c r="F114" s="53">
        <v>2.8</v>
      </c>
      <c r="G114" s="53">
        <v>0</v>
      </c>
      <c r="H114" s="51" t="str">
        <f>TEXT(tblLaborEntries[[#This Row],[Work date serial]]-WEEKDAY(tblLaborEntries[[#This Row],[Work date serial]],3),"yyyy-mm-dd")</f>
        <v>2025-12-29</v>
      </c>
      <c r="I114" s="64">
        <f>DATEVALUE(tblLaborEntries[[#This Row],[Work date]])</f>
        <v>46026.0</v>
      </c>
    </row>
    <row r="115" spans="1:9" ht="15" x14ac:dyDescent="0.25">
      <c r="A115" s="53" t="inlineStr">
        <is>
          <t>LAB-000114</t>
        </is>
      </c>
      <c r="B115" s="53" t="inlineStr">
        <is>
          <t>WP-00054</t>
        </is>
      </c>
      <c r="C115" s="53" t="inlineStr">
        <is>
          <t>TECH-044</t>
        </is>
      </c>
      <c r="D115" s="53" t="inlineStr">
        <is>
          <t>Avionics</t>
        </is>
      </c>
      <c r="E115" s="53" t="inlineStr">
        <is>
          <t>2024-07-19</t>
        </is>
      </c>
      <c r="F115" s="53">
        <v>2.8</v>
      </c>
      <c r="G115" s="53">
        <v>0</v>
      </c>
      <c r="H115" s="51" t="str">
        <f>TEXT(tblLaborEntries[[#This Row],[Work date serial]]-WEEKDAY(tblLaborEntries[[#This Row],[Work date serial]],3),"yyyy-mm-dd")</f>
        <v>2024-07-15</v>
      </c>
      <c r="I115" s="64">
        <f>DATEVALUE(tblLaborEntries[[#This Row],[Work date]])</f>
        <v>45492.0</v>
      </c>
    </row>
    <row r="116" spans="1:9" ht="15" x14ac:dyDescent="0.25">
      <c r="A116" s="53" t="inlineStr">
        <is>
          <t>LAB-000115</t>
        </is>
      </c>
      <c r="B116" s="53" t="inlineStr">
        <is>
          <t>WP-00054</t>
        </is>
      </c>
      <c r="C116" s="53" t="inlineStr">
        <is>
          <t>TECH-062</t>
        </is>
      </c>
      <c r="D116" s="53" t="inlineStr">
        <is>
          <t>Avionics</t>
        </is>
      </c>
      <c r="E116" s="53" t="inlineStr">
        <is>
          <t>2024-07-20</t>
        </is>
      </c>
      <c r="F116" s="53">
        <v>3.8</v>
      </c>
      <c r="G116" s="53">
        <v>0</v>
      </c>
      <c r="H116" s="51" t="str">
        <f>TEXT(tblLaborEntries[[#This Row],[Work date serial]]-WEEKDAY(tblLaborEntries[[#This Row],[Work date serial]],3),"yyyy-mm-dd")</f>
        <v>2024-07-15</v>
      </c>
      <c r="I116" s="64">
        <f>DATEVALUE(tblLaborEntries[[#This Row],[Work date]])</f>
        <v>45493.0</v>
      </c>
    </row>
    <row r="117" spans="1:9" ht="15" x14ac:dyDescent="0.25">
      <c r="A117" s="53" t="inlineStr">
        <is>
          <t>LAB-000116</t>
        </is>
      </c>
      <c r="B117" s="53" t="inlineStr">
        <is>
          <t>WP-00055</t>
        </is>
      </c>
      <c r="C117" s="53" t="inlineStr">
        <is>
          <t>TECH-037</t>
        </is>
      </c>
      <c r="D117" s="53" t="inlineStr">
        <is>
          <t>Airframe</t>
        </is>
      </c>
      <c r="E117" s="53" t="inlineStr">
        <is>
          <t>2025-07-09</t>
        </is>
      </c>
      <c r="F117" s="53">
        <v>6.7</v>
      </c>
      <c r="G117" s="53">
        <v>0</v>
      </c>
      <c r="H117" s="51" t="str">
        <f>TEXT(tblLaborEntries[[#This Row],[Work date serial]]-WEEKDAY(tblLaborEntries[[#This Row],[Work date serial]],3),"yyyy-mm-dd")</f>
        <v>2025-07-07</v>
      </c>
      <c r="I117" s="64">
        <f>DATEVALUE(tblLaborEntries[[#This Row],[Work date]])</f>
        <v>45847.0</v>
      </c>
    </row>
    <row r="118" spans="1:9" ht="15" x14ac:dyDescent="0.25">
      <c r="A118" s="53" t="inlineStr">
        <is>
          <t>LAB-000117</t>
        </is>
      </c>
      <c r="B118" s="53" t="inlineStr">
        <is>
          <t>WP-00055</t>
        </is>
      </c>
      <c r="C118" s="53" t="inlineStr">
        <is>
          <t>TECH-043</t>
        </is>
      </c>
      <c r="D118" s="53" t="inlineStr">
        <is>
          <t>Airframe</t>
        </is>
      </c>
      <c r="E118" s="53" t="inlineStr">
        <is>
          <t>2025-07-10</t>
        </is>
      </c>
      <c r="F118" s="53">
        <v>5.7</v>
      </c>
      <c r="G118" s="53">
        <v>0</v>
      </c>
      <c r="H118" s="51" t="str">
        <f>TEXT(tblLaborEntries[[#This Row],[Work date serial]]-WEEKDAY(tblLaborEntries[[#This Row],[Work date serial]],3),"yyyy-mm-dd")</f>
        <v>2025-07-07</v>
      </c>
      <c r="I118" s="64">
        <f>DATEVALUE(tblLaborEntries[[#This Row],[Work date]])</f>
        <v>45848.0</v>
      </c>
    </row>
    <row r="119" spans="1:9" ht="15" x14ac:dyDescent="0.25">
      <c r="A119" s="53" t="inlineStr">
        <is>
          <t>LAB-000118</t>
        </is>
      </c>
      <c r="B119" s="53" t="inlineStr">
        <is>
          <t>WP-00055</t>
        </is>
      </c>
      <c r="C119" s="53" t="inlineStr">
        <is>
          <t>TECH-073</t>
        </is>
      </c>
      <c r="D119" s="53" t="inlineStr">
        <is>
          <t>Airframe</t>
        </is>
      </c>
      <c r="E119" s="53" t="inlineStr">
        <is>
          <t>2025-07-11</t>
        </is>
      </c>
      <c r="F119" s="53">
        <v>5.5</v>
      </c>
      <c r="G119" s="53">
        <v>0</v>
      </c>
      <c r="H119" s="51" t="str">
        <f>TEXT(tblLaborEntries[[#This Row],[Work date serial]]-WEEKDAY(tblLaborEntries[[#This Row],[Work date serial]],3),"yyyy-mm-dd")</f>
        <v>2025-07-07</v>
      </c>
      <c r="I119" s="64">
        <f>DATEVALUE(tblLaborEntries[[#This Row],[Work date]])</f>
        <v>45849.0</v>
      </c>
    </row>
    <row r="120" spans="1:9" ht="15" x14ac:dyDescent="0.25">
      <c r="A120" s="53" t="inlineStr">
        <is>
          <t>LAB-000119</t>
        </is>
      </c>
      <c r="B120" s="53" t="inlineStr">
        <is>
          <t>WP-00056</t>
        </is>
      </c>
      <c r="C120" s="53" t="inlineStr">
        <is>
          <t>TECH-018</t>
        </is>
      </c>
      <c r="D120" s="53" t="inlineStr">
        <is>
          <t>Powerplant</t>
        </is>
      </c>
      <c r="E120" s="53" t="inlineStr">
        <is>
          <t>2024-06-08</t>
        </is>
      </c>
      <c r="F120" s="53">
        <v>6.2</v>
      </c>
      <c r="G120" s="53">
        <v>0</v>
      </c>
      <c r="H120" s="51" t="str">
        <f>TEXT(tblLaborEntries[[#This Row],[Work date serial]]-WEEKDAY(tblLaborEntries[[#This Row],[Work date serial]],3),"yyyy-mm-dd")</f>
        <v>2024-06-03</v>
      </c>
      <c r="I120" s="64">
        <f>DATEVALUE(tblLaborEntries[[#This Row],[Work date]])</f>
        <v>45451.0</v>
      </c>
    </row>
    <row r="121" spans="1:9" ht="15" x14ac:dyDescent="0.25">
      <c r="A121" s="53" t="inlineStr">
        <is>
          <t>LAB-000120</t>
        </is>
      </c>
      <c r="B121" s="53" t="inlineStr">
        <is>
          <t>WP-00056</t>
        </is>
      </c>
      <c r="C121" s="53" t="inlineStr">
        <is>
          <t>TECH-048</t>
        </is>
      </c>
      <c r="D121" s="53" t="inlineStr">
        <is>
          <t>Powerplant</t>
        </is>
      </c>
      <c r="E121" s="53" t="inlineStr">
        <is>
          <t>2024-06-09</t>
        </is>
      </c>
      <c r="F121" s="53">
        <v>4.5</v>
      </c>
      <c r="G121" s="53">
        <v>0</v>
      </c>
      <c r="H121" s="51" t="str">
        <f>TEXT(tblLaborEntries[[#This Row],[Work date serial]]-WEEKDAY(tblLaborEntries[[#This Row],[Work date serial]],3),"yyyy-mm-dd")</f>
        <v>2024-06-03</v>
      </c>
      <c r="I121" s="64">
        <f>DATEVALUE(tblLaborEntries[[#This Row],[Work date]])</f>
        <v>45452.0</v>
      </c>
    </row>
    <row r="122" spans="1:9" ht="15" x14ac:dyDescent="0.25">
      <c r="A122" s="53" t="inlineStr">
        <is>
          <t>LAB-000121</t>
        </is>
      </c>
      <c r="B122" s="53" t="inlineStr">
        <is>
          <t>WP-00057</t>
        </is>
      </c>
      <c r="C122" s="53" t="inlineStr">
        <is>
          <t>TECH-060</t>
        </is>
      </c>
      <c r="D122" s="53" t="inlineStr">
        <is>
          <t>Powerplant</t>
        </is>
      </c>
      <c r="E122" s="53" t="inlineStr">
        <is>
          <t>2024-10-10</t>
        </is>
      </c>
      <c r="F122" s="53">
        <v>7.5</v>
      </c>
      <c r="G122" s="53">
        <v>0</v>
      </c>
      <c r="H122" s="51" t="str">
        <f>TEXT(tblLaborEntries[[#This Row],[Work date serial]]-WEEKDAY(tblLaborEntries[[#This Row],[Work date serial]],3),"yyyy-mm-dd")</f>
        <v>2024-10-07</v>
      </c>
      <c r="I122" s="64">
        <f>DATEVALUE(tblLaborEntries[[#This Row],[Work date]])</f>
        <v>45575.0</v>
      </c>
    </row>
    <row r="123" spans="1:9" ht="15" x14ac:dyDescent="0.25">
      <c r="A123" s="53" t="inlineStr">
        <is>
          <t>LAB-000122</t>
        </is>
      </c>
      <c r="B123" s="53" t="inlineStr">
        <is>
          <t>WP-00058</t>
        </is>
      </c>
      <c r="C123" s="53" t="inlineStr">
        <is>
          <t>TECH-006</t>
        </is>
      </c>
      <c r="D123" s="53" t="inlineStr">
        <is>
          <t>Powerplant</t>
        </is>
      </c>
      <c r="E123" s="53" t="inlineStr">
        <is>
          <t>2025-05-15</t>
        </is>
      </c>
      <c r="F123" s="53">
        <v>3.5</v>
      </c>
      <c r="G123" s="53">
        <v>0</v>
      </c>
      <c r="H123" s="51" t="str">
        <f>TEXT(tblLaborEntries[[#This Row],[Work date serial]]-WEEKDAY(tblLaborEntries[[#This Row],[Work date serial]],3),"yyyy-mm-dd")</f>
        <v>2025-05-12</v>
      </c>
      <c r="I123" s="64">
        <f>DATEVALUE(tblLaborEntries[[#This Row],[Work date]])</f>
        <v>45792.0</v>
      </c>
    </row>
    <row r="124" spans="1:9" ht="15" x14ac:dyDescent="0.25">
      <c r="A124" s="53" t="inlineStr">
        <is>
          <t>LAB-000123</t>
        </is>
      </c>
      <c r="B124" s="53" t="inlineStr">
        <is>
          <t>WP-00058</t>
        </is>
      </c>
      <c r="C124" s="53" t="inlineStr">
        <is>
          <t>TECH-066</t>
        </is>
      </c>
      <c r="D124" s="53" t="inlineStr">
        <is>
          <t>Powerplant</t>
        </is>
      </c>
      <c r="E124" s="53" t="inlineStr">
        <is>
          <t>2025-05-15</t>
        </is>
      </c>
      <c r="F124" s="53">
        <v>12</v>
      </c>
      <c r="G124" s="53">
        <v>4</v>
      </c>
      <c r="H124" s="51" t="str">
        <f>TEXT(tblLaborEntries[[#This Row],[Work date serial]]-WEEKDAY(tblLaborEntries[[#This Row],[Work date serial]],3),"yyyy-mm-dd")</f>
        <v>2025-05-12</v>
      </c>
      <c r="I124" s="64">
        <f>DATEVALUE(tblLaborEntries[[#This Row],[Work date]])</f>
        <v>45792.0</v>
      </c>
    </row>
    <row r="125" spans="1:9" ht="15" x14ac:dyDescent="0.25">
      <c r="A125" s="53" t="inlineStr">
        <is>
          <t>LAB-000124</t>
        </is>
      </c>
      <c r="B125" s="53" t="inlineStr">
        <is>
          <t>WP-00059</t>
        </is>
      </c>
      <c r="C125" s="53" t="inlineStr">
        <is>
          <t>TECH-006</t>
        </is>
      </c>
      <c r="D125" s="53" t="inlineStr">
        <is>
          <t>Powerplant</t>
        </is>
      </c>
      <c r="E125" s="53" t="inlineStr">
        <is>
          <t>2025-10-17</t>
        </is>
      </c>
      <c r="F125" s="53">
        <v>12</v>
      </c>
      <c r="G125" s="53">
        <v>4</v>
      </c>
      <c r="H125" s="51" t="str">
        <f>TEXT(tblLaborEntries[[#This Row],[Work date serial]]-WEEKDAY(tblLaborEntries[[#This Row],[Work date serial]],3),"yyyy-mm-dd")</f>
        <v>2025-10-13</v>
      </c>
      <c r="I125" s="64">
        <f>DATEVALUE(tblLaborEntries[[#This Row],[Work date]])</f>
        <v>45947.0</v>
      </c>
    </row>
    <row r="126" spans="1:9" ht="15" x14ac:dyDescent="0.25">
      <c r="A126" s="53" t="inlineStr">
        <is>
          <t>LAB-000125</t>
        </is>
      </c>
      <c r="B126" s="53" t="inlineStr">
        <is>
          <t>WP-00059</t>
        </is>
      </c>
      <c r="C126" s="53" t="inlineStr">
        <is>
          <t>TECH-012</t>
        </is>
      </c>
      <c r="D126" s="53" t="inlineStr">
        <is>
          <t>Powerplant</t>
        </is>
      </c>
      <c r="E126" s="53" t="inlineStr">
        <is>
          <t>2025-10-17</t>
        </is>
      </c>
      <c r="F126" s="53">
        <v>6.4</v>
      </c>
      <c r="G126" s="53">
        <v>0</v>
      </c>
      <c r="H126" s="51" t="str">
        <f>TEXT(tblLaborEntries[[#This Row],[Work date serial]]-WEEKDAY(tblLaborEntries[[#This Row],[Work date serial]],3),"yyyy-mm-dd")</f>
        <v>2025-10-13</v>
      </c>
      <c r="I126" s="64">
        <f>DATEVALUE(tblLaborEntries[[#This Row],[Work date]])</f>
        <v>45947.0</v>
      </c>
    </row>
    <row r="127" spans="1:9" ht="15" x14ac:dyDescent="0.25">
      <c r="A127" s="53" t="inlineStr">
        <is>
          <t>LAB-000126</t>
        </is>
      </c>
      <c r="B127" s="53" t="inlineStr">
        <is>
          <t>WP-00059</t>
        </is>
      </c>
      <c r="C127" s="53" t="inlineStr">
        <is>
          <t>TECH-072</t>
        </is>
      </c>
      <c r="D127" s="53" t="inlineStr">
        <is>
          <t>Powerplant</t>
        </is>
      </c>
      <c r="E127" s="53" t="inlineStr">
        <is>
          <t>2025-10-17</t>
        </is>
      </c>
      <c r="F127" s="53">
        <v>12</v>
      </c>
      <c r="G127" s="53">
        <v>4</v>
      </c>
      <c r="H127" s="51" t="str">
        <f>TEXT(tblLaborEntries[[#This Row],[Work date serial]]-WEEKDAY(tblLaborEntries[[#This Row],[Work date serial]],3),"yyyy-mm-dd")</f>
        <v>2025-10-13</v>
      </c>
      <c r="I127" s="64">
        <f>DATEVALUE(tblLaborEntries[[#This Row],[Work date]])</f>
        <v>45947.0</v>
      </c>
    </row>
    <row r="128" spans="1:9" ht="15" x14ac:dyDescent="0.25">
      <c r="A128" s="53" t="inlineStr">
        <is>
          <t>LAB-000127</t>
        </is>
      </c>
      <c r="B128" s="53" t="inlineStr">
        <is>
          <t>WP-00060</t>
        </is>
      </c>
      <c r="C128" s="53" t="inlineStr">
        <is>
          <t>TECH-004</t>
        </is>
      </c>
      <c r="D128" s="53" t="inlineStr">
        <is>
          <t>Electrical</t>
        </is>
      </c>
      <c r="E128" s="53" t="inlineStr">
        <is>
          <t>2024-10-22</t>
        </is>
      </c>
      <c r="F128" s="53">
        <v>10.9</v>
      </c>
      <c r="G128" s="53">
        <v>2.9</v>
      </c>
      <c r="H128" s="51" t="str">
        <f>TEXT(tblLaborEntries[[#This Row],[Work date serial]]-WEEKDAY(tblLaborEntries[[#This Row],[Work date serial]],3),"yyyy-mm-dd")</f>
        <v>2024-10-21</v>
      </c>
      <c r="I128" s="64">
        <f>DATEVALUE(tblLaborEntries[[#This Row],[Work date]])</f>
        <v>45587.0</v>
      </c>
    </row>
    <row r="129" spans="1:9" ht="15" x14ac:dyDescent="0.25">
      <c r="A129" s="53" t="inlineStr">
        <is>
          <t>LAB-000128</t>
        </is>
      </c>
      <c r="B129" s="53" t="inlineStr">
        <is>
          <t>WP-00060</t>
        </is>
      </c>
      <c r="C129" s="53" t="inlineStr">
        <is>
          <t>TECH-046</t>
        </is>
      </c>
      <c r="D129" s="53" t="inlineStr">
        <is>
          <t>Electrical</t>
        </is>
      </c>
      <c r="E129" s="53" t="inlineStr">
        <is>
          <t>2024-10-22</t>
        </is>
      </c>
      <c r="F129" s="53">
        <v>12</v>
      </c>
      <c r="G129" s="53">
        <v>4</v>
      </c>
      <c r="H129" s="51" t="str">
        <f>TEXT(tblLaborEntries[[#This Row],[Work date serial]]-WEEKDAY(tblLaborEntries[[#This Row],[Work date serial]],3),"yyyy-mm-dd")</f>
        <v>2024-10-21</v>
      </c>
      <c r="I129" s="64">
        <f>DATEVALUE(tblLaborEntries[[#This Row],[Work date]])</f>
        <v>45587.0</v>
      </c>
    </row>
    <row r="130" spans="1:9" ht="15" x14ac:dyDescent="0.25">
      <c r="A130" s="53" t="inlineStr">
        <is>
          <t>LAB-000129</t>
        </is>
      </c>
      <c r="B130" s="53" t="inlineStr">
        <is>
          <t>WP-00061</t>
        </is>
      </c>
      <c r="C130" s="53" t="inlineStr">
        <is>
          <t>TECH-019</t>
        </is>
      </c>
      <c r="D130" s="53" t="inlineStr">
        <is>
          <t>Airframe</t>
        </is>
      </c>
      <c r="E130" s="53" t="inlineStr">
        <is>
          <t>2025-02-17</t>
        </is>
      </c>
      <c r="F130" s="53">
        <v>1</v>
      </c>
      <c r="G130" s="53">
        <v>0</v>
      </c>
      <c r="H130" s="51" t="str">
        <f>TEXT(tblLaborEntries[[#This Row],[Work date serial]]-WEEKDAY(tblLaborEntries[[#This Row],[Work date serial]],3),"yyyy-mm-dd")</f>
        <v>2025-02-17</v>
      </c>
      <c r="I130" s="64">
        <f>DATEVALUE(tblLaborEntries[[#This Row],[Work date]])</f>
        <v>45705.0</v>
      </c>
    </row>
    <row r="131" spans="1:9" ht="15" x14ac:dyDescent="0.25">
      <c r="A131" s="53" t="inlineStr">
        <is>
          <t>LAB-000130</t>
        </is>
      </c>
      <c r="B131" s="53" t="inlineStr">
        <is>
          <t>WP-00061</t>
        </is>
      </c>
      <c r="C131" s="53" t="inlineStr">
        <is>
          <t>TECH-061</t>
        </is>
      </c>
      <c r="D131" s="53" t="inlineStr">
        <is>
          <t>Airframe</t>
        </is>
      </c>
      <c r="E131" s="53" t="inlineStr">
        <is>
          <t>2025-02-18</t>
        </is>
      </c>
      <c r="F131" s="53">
        <v>1.1</v>
      </c>
      <c r="G131" s="53">
        <v>0</v>
      </c>
      <c r="H131" s="51" t="str">
        <f>TEXT(tblLaborEntries[[#This Row],[Work date serial]]-WEEKDAY(tblLaborEntries[[#This Row],[Work date serial]],3),"yyyy-mm-dd")</f>
        <v>2025-02-17</v>
      </c>
      <c r="I131" s="64">
        <f>DATEVALUE(tblLaborEntries[[#This Row],[Work date]])</f>
        <v>45706.0</v>
      </c>
    </row>
    <row r="132" spans="1:9" ht="15" x14ac:dyDescent="0.25">
      <c r="A132" s="53" t="inlineStr">
        <is>
          <t>LAB-000131</t>
        </is>
      </c>
      <c r="B132" s="53" t="inlineStr">
        <is>
          <t>WP-00062</t>
        </is>
      </c>
      <c r="C132" s="53" t="inlineStr">
        <is>
          <t>TECH-006</t>
        </is>
      </c>
      <c r="D132" s="53" t="inlineStr">
        <is>
          <t>Powerplant</t>
        </is>
      </c>
      <c r="E132" s="53" t="inlineStr">
        <is>
          <t>2024-09-01</t>
        </is>
      </c>
      <c r="F132" s="53">
        <v>12</v>
      </c>
      <c r="G132" s="53">
        <v>4</v>
      </c>
      <c r="H132" s="51" t="str">
        <f>TEXT(tblLaborEntries[[#This Row],[Work date serial]]-WEEKDAY(tblLaborEntries[[#This Row],[Work date serial]],3),"yyyy-mm-dd")</f>
        <v>2024-08-26</v>
      </c>
      <c r="I132" s="64">
        <f>DATEVALUE(tblLaborEntries[[#This Row],[Work date]])</f>
        <v>45536.0</v>
      </c>
    </row>
    <row r="133" spans="1:9" ht="15" x14ac:dyDescent="0.25">
      <c r="A133" s="53" t="inlineStr">
        <is>
          <t>LAB-000132</t>
        </is>
      </c>
      <c r="B133" s="53" t="inlineStr">
        <is>
          <t>WP-00062</t>
        </is>
      </c>
      <c r="C133" s="53" t="inlineStr">
        <is>
          <t>TECH-012</t>
        </is>
      </c>
      <c r="D133" s="53" t="inlineStr">
        <is>
          <t>Powerplant</t>
        </is>
      </c>
      <c r="E133" s="53" t="inlineStr">
        <is>
          <t>2024-09-01</t>
        </is>
      </c>
      <c r="F133" s="53">
        <v>0.9</v>
      </c>
      <c r="G133" s="53">
        <v>0</v>
      </c>
      <c r="H133" s="51" t="str">
        <f>TEXT(tblLaborEntries[[#This Row],[Work date serial]]-WEEKDAY(tblLaborEntries[[#This Row],[Work date serial]],3),"yyyy-mm-dd")</f>
        <v>2024-08-26</v>
      </c>
      <c r="I133" s="64">
        <f>DATEVALUE(tblLaborEntries[[#This Row],[Work date]])</f>
        <v>45536.0</v>
      </c>
    </row>
    <row r="134" spans="1:9" ht="15" x14ac:dyDescent="0.25">
      <c r="A134" s="53" t="inlineStr">
        <is>
          <t>LAB-000133</t>
        </is>
      </c>
      <c r="B134" s="53" t="inlineStr">
        <is>
          <t>WP-00063</t>
        </is>
      </c>
      <c r="C134" s="53" t="inlineStr">
        <is>
          <t>TECH-002</t>
        </is>
      </c>
      <c r="D134" s="53" t="inlineStr">
        <is>
          <t>Avionics</t>
        </is>
      </c>
      <c r="E134" s="53" t="inlineStr">
        <is>
          <t>2024-08-28</t>
        </is>
      </c>
      <c r="F134" s="53">
        <v>12</v>
      </c>
      <c r="G134" s="53">
        <v>4</v>
      </c>
      <c r="H134" s="51" t="str">
        <f>TEXT(tblLaborEntries[[#This Row],[Work date serial]]-WEEKDAY(tblLaborEntries[[#This Row],[Work date serial]],3),"yyyy-mm-dd")</f>
        <v>2024-08-26</v>
      </c>
      <c r="I134" s="64">
        <f>DATEVALUE(tblLaborEntries[[#This Row],[Work date]])</f>
        <v>45532.0</v>
      </c>
    </row>
    <row r="135" spans="1:9" ht="15" x14ac:dyDescent="0.25">
      <c r="A135" s="53" t="inlineStr">
        <is>
          <t>LAB-000134</t>
        </is>
      </c>
      <c r="B135" s="53" t="inlineStr">
        <is>
          <t>WP-00063</t>
        </is>
      </c>
      <c r="C135" s="53" t="inlineStr">
        <is>
          <t>TECH-008</t>
        </is>
      </c>
      <c r="D135" s="53" t="inlineStr">
        <is>
          <t>Avionics</t>
        </is>
      </c>
      <c r="E135" s="53" t="inlineStr">
        <is>
          <t>2024-08-28</t>
        </is>
      </c>
      <c r="F135" s="53">
        <v>1.2</v>
      </c>
      <c r="G135" s="53">
        <v>0</v>
      </c>
      <c r="H135" s="51" t="str">
        <f>TEXT(tblLaborEntries[[#This Row],[Work date serial]]-WEEKDAY(tblLaborEntries[[#This Row],[Work date serial]],3),"yyyy-mm-dd")</f>
        <v>2024-08-26</v>
      </c>
      <c r="I135" s="64">
        <f>DATEVALUE(tblLaborEntries[[#This Row],[Work date]])</f>
        <v>45532.0</v>
      </c>
    </row>
    <row r="136" spans="1:9" ht="15" x14ac:dyDescent="0.25">
      <c r="A136" s="53" t="inlineStr">
        <is>
          <t>LAB-000135</t>
        </is>
      </c>
      <c r="B136" s="53" t="inlineStr">
        <is>
          <t>WP-00063</t>
        </is>
      </c>
      <c r="C136" s="53" t="inlineStr">
        <is>
          <t>TECH-032</t>
        </is>
      </c>
      <c r="D136" s="53" t="inlineStr">
        <is>
          <t>Avionics</t>
        </is>
      </c>
      <c r="E136" s="53" t="inlineStr">
        <is>
          <t>2024-08-28</t>
        </is>
      </c>
      <c r="F136" s="53">
        <v>12</v>
      </c>
      <c r="G136" s="53">
        <v>4</v>
      </c>
      <c r="H136" s="51" t="str">
        <f>TEXT(tblLaborEntries[[#This Row],[Work date serial]]-WEEKDAY(tblLaborEntries[[#This Row],[Work date serial]],3),"yyyy-mm-dd")</f>
        <v>2024-08-26</v>
      </c>
      <c r="I136" s="64">
        <f>DATEVALUE(tblLaborEntries[[#This Row],[Work date]])</f>
        <v>45532.0</v>
      </c>
    </row>
    <row r="137" spans="1:9" ht="15" x14ac:dyDescent="0.25">
      <c r="A137" s="53" t="inlineStr">
        <is>
          <t>LAB-000136</t>
        </is>
      </c>
      <c r="B137" s="53" t="inlineStr">
        <is>
          <t>WP-00064</t>
        </is>
      </c>
      <c r="C137" s="53" t="inlineStr">
        <is>
          <t>TECH-061</t>
        </is>
      </c>
      <c r="D137" s="53" t="inlineStr">
        <is>
          <t>Airframe</t>
        </is>
      </c>
      <c r="E137" s="53" t="inlineStr">
        <is>
          <t>2024-12-26</t>
        </is>
      </c>
      <c r="F137" s="53">
        <v>2.2</v>
      </c>
      <c r="G137" s="53">
        <v>0</v>
      </c>
      <c r="H137" s="51" t="str">
        <f>TEXT(tblLaborEntries[[#This Row],[Work date serial]]-WEEKDAY(tblLaborEntries[[#This Row],[Work date serial]],3),"yyyy-mm-dd")</f>
        <v>2024-12-23</v>
      </c>
      <c r="I137" s="64">
        <f>DATEVALUE(tblLaborEntries[[#This Row],[Work date]])</f>
        <v>45652.0</v>
      </c>
    </row>
    <row r="138" spans="1:9" ht="15" x14ac:dyDescent="0.25">
      <c r="A138" s="53" t="inlineStr">
        <is>
          <t>LAB-000137</t>
        </is>
      </c>
      <c r="B138" s="53" t="inlineStr">
        <is>
          <t>WP-00064</t>
        </is>
      </c>
      <c r="C138" s="53" t="inlineStr">
        <is>
          <t>TECH-067</t>
        </is>
      </c>
      <c r="D138" s="53" t="inlineStr">
        <is>
          <t>Airframe</t>
        </is>
      </c>
      <c r="E138" s="53" t="inlineStr">
        <is>
          <t>2024-12-27</t>
        </is>
      </c>
      <c r="F138" s="53">
        <v>1.7</v>
      </c>
      <c r="G138" s="53">
        <v>0</v>
      </c>
      <c r="H138" s="51" t="str">
        <f>TEXT(tblLaborEntries[[#This Row],[Work date serial]]-WEEKDAY(tblLaborEntries[[#This Row],[Work date serial]],3),"yyyy-mm-dd")</f>
        <v>2024-12-23</v>
      </c>
      <c r="I138" s="64">
        <f>DATEVALUE(tblLaborEntries[[#This Row],[Work date]])</f>
        <v>45653.0</v>
      </c>
    </row>
    <row r="139" spans="1:9" ht="15" x14ac:dyDescent="0.25">
      <c r="A139" s="53" t="inlineStr">
        <is>
          <t>LAB-000138</t>
        </is>
      </c>
      <c r="B139" s="53" t="inlineStr">
        <is>
          <t>WP-00064</t>
        </is>
      </c>
      <c r="C139" s="53" t="inlineStr">
        <is>
          <t>TECH-025</t>
        </is>
      </c>
      <c r="D139" s="53" t="inlineStr">
        <is>
          <t>Airframe</t>
        </is>
      </c>
      <c r="E139" s="53" t="inlineStr">
        <is>
          <t>2024-12-28</t>
        </is>
      </c>
      <c r="F139" s="53">
        <v>2.6</v>
      </c>
      <c r="G139" s="53">
        <v>0</v>
      </c>
      <c r="H139" s="51" t="str">
        <f>TEXT(tblLaborEntries[[#This Row],[Work date serial]]-WEEKDAY(tblLaborEntries[[#This Row],[Work date serial]],3),"yyyy-mm-dd")</f>
        <v>2024-12-23</v>
      </c>
      <c r="I139" s="64">
        <f>DATEVALUE(tblLaborEntries[[#This Row],[Work date]])</f>
        <v>45654.0</v>
      </c>
    </row>
    <row r="140" spans="1:9" ht="15" x14ac:dyDescent="0.25">
      <c r="A140" s="53" t="inlineStr">
        <is>
          <t>LAB-000139</t>
        </is>
      </c>
      <c r="B140" s="53" t="inlineStr">
        <is>
          <t>WP-00065</t>
        </is>
      </c>
      <c r="C140" s="53" t="inlineStr">
        <is>
          <t>TECH-014</t>
        </is>
      </c>
      <c r="D140" s="53" t="inlineStr">
        <is>
          <t>Avionics</t>
        </is>
      </c>
      <c r="E140" s="53" t="inlineStr">
        <is>
          <t>2024-05-20</t>
        </is>
      </c>
      <c r="F140" s="53">
        <v>2.2</v>
      </c>
      <c r="G140" s="53">
        <v>0</v>
      </c>
      <c r="H140" s="51" t="str">
        <f>TEXT(tblLaborEntries[[#This Row],[Work date serial]]-WEEKDAY(tblLaborEntries[[#This Row],[Work date serial]],3),"yyyy-mm-dd")</f>
        <v>2024-05-20</v>
      </c>
      <c r="I140" s="64">
        <f>DATEVALUE(tblLaborEntries[[#This Row],[Work date]])</f>
        <v>45432.0</v>
      </c>
    </row>
    <row r="141" spans="1:9" ht="15" x14ac:dyDescent="0.25">
      <c r="A141" s="53" t="inlineStr">
        <is>
          <t>LAB-000140</t>
        </is>
      </c>
      <c r="B141" s="53" t="inlineStr">
        <is>
          <t>WP-00065</t>
        </is>
      </c>
      <c r="C141" s="53" t="inlineStr">
        <is>
          <t>TECH-044</t>
        </is>
      </c>
      <c r="D141" s="53" t="inlineStr">
        <is>
          <t>Avionics</t>
        </is>
      </c>
      <c r="E141" s="53" t="inlineStr">
        <is>
          <t>2024-05-21</t>
        </is>
      </c>
      <c r="F141" s="53">
        <v>1.7</v>
      </c>
      <c r="G141" s="53">
        <v>0</v>
      </c>
      <c r="H141" s="51" t="str">
        <f>TEXT(tblLaborEntries[[#This Row],[Work date serial]]-WEEKDAY(tblLaborEntries[[#This Row],[Work date serial]],3),"yyyy-mm-dd")</f>
        <v>2024-05-20</v>
      </c>
      <c r="I141" s="64">
        <f>DATEVALUE(tblLaborEntries[[#This Row],[Work date]])</f>
        <v>45433.0</v>
      </c>
    </row>
    <row r="142" spans="1:9" ht="15" x14ac:dyDescent="0.25">
      <c r="A142" s="53" t="inlineStr">
        <is>
          <t>LAB-000141</t>
        </is>
      </c>
      <c r="B142" s="53" t="inlineStr">
        <is>
          <t>WP-00065</t>
        </is>
      </c>
      <c r="C142" s="53" t="inlineStr">
        <is>
          <t>TECH-050</t>
        </is>
      </c>
      <c r="D142" s="53" t="inlineStr">
        <is>
          <t>Avionics</t>
        </is>
      </c>
      <c r="E142" s="53" t="inlineStr">
        <is>
          <t>2024-05-22</t>
        </is>
      </c>
      <c r="F142" s="53">
        <v>1.8</v>
      </c>
      <c r="G142" s="53">
        <v>0</v>
      </c>
      <c r="H142" s="51" t="str">
        <f>TEXT(tblLaborEntries[[#This Row],[Work date serial]]-WEEKDAY(tblLaborEntries[[#This Row],[Work date serial]],3),"yyyy-mm-dd")</f>
        <v>2024-05-20</v>
      </c>
      <c r="I142" s="64">
        <f>DATEVALUE(tblLaborEntries[[#This Row],[Work date]])</f>
        <v>45434.0</v>
      </c>
    </row>
    <row r="143" spans="1:9" ht="15" x14ac:dyDescent="0.25">
      <c r="A143" s="53" t="inlineStr">
        <is>
          <t>LAB-000142</t>
        </is>
      </c>
      <c r="B143" s="53" t="inlineStr">
        <is>
          <t>WP-00066</t>
        </is>
      </c>
      <c r="C143" s="53" t="inlineStr">
        <is>
          <t>TECH-020</t>
        </is>
      </c>
      <c r="D143" s="53" t="inlineStr">
        <is>
          <t>Avionics</t>
        </is>
      </c>
      <c r="E143" s="53" t="inlineStr">
        <is>
          <t>2024-10-11</t>
        </is>
      </c>
      <c r="F143" s="53">
        <v>7.1</v>
      </c>
      <c r="G143" s="53">
        <v>0</v>
      </c>
      <c r="H143" s="51" t="str">
        <f>TEXT(tblLaborEntries[[#This Row],[Work date serial]]-WEEKDAY(tblLaborEntries[[#This Row],[Work date serial]],3),"yyyy-mm-dd")</f>
        <v>2024-10-07</v>
      </c>
      <c r="I143" s="64">
        <f>DATEVALUE(tblLaborEntries[[#This Row],[Work date]])</f>
        <v>45576.0</v>
      </c>
    </row>
    <row r="144" spans="1:9" ht="15" x14ac:dyDescent="0.25">
      <c r="A144" s="53" t="inlineStr">
        <is>
          <t>LAB-000143</t>
        </is>
      </c>
      <c r="B144" s="53" t="inlineStr">
        <is>
          <t>WP-00067</t>
        </is>
      </c>
      <c r="C144" s="53" t="inlineStr">
        <is>
          <t>TECH-055</t>
        </is>
      </c>
      <c r="D144" s="53" t="inlineStr">
        <is>
          <t>Airframe</t>
        </is>
      </c>
      <c r="E144" s="53" t="inlineStr">
        <is>
          <t>2024-05-25</t>
        </is>
      </c>
      <c r="F144" s="53">
        <v>1.8</v>
      </c>
      <c r="G144" s="53">
        <v>0</v>
      </c>
      <c r="H144" s="51" t="str">
        <f>TEXT(tblLaborEntries[[#This Row],[Work date serial]]-WEEKDAY(tblLaborEntries[[#This Row],[Work date serial]],3),"yyyy-mm-dd")</f>
        <v>2024-05-20</v>
      </c>
      <c r="I144" s="64">
        <f>DATEVALUE(tblLaborEntries[[#This Row],[Work date]])</f>
        <v>45437.0</v>
      </c>
    </row>
    <row r="145" spans="1:9" ht="15" x14ac:dyDescent="0.25">
      <c r="A145" s="53" t="inlineStr">
        <is>
          <t>LAB-000144</t>
        </is>
      </c>
      <c r="B145" s="53" t="inlineStr">
        <is>
          <t>WP-00067</t>
        </is>
      </c>
      <c r="C145" s="53" t="inlineStr">
        <is>
          <t>TECH-049</t>
        </is>
      </c>
      <c r="D145" s="53" t="inlineStr">
        <is>
          <t>Airframe</t>
        </is>
      </c>
      <c r="E145" s="53" t="inlineStr">
        <is>
          <t>2024-05-26</t>
        </is>
      </c>
      <c r="F145" s="53">
        <v>2.6</v>
      </c>
      <c r="G145" s="53">
        <v>0</v>
      </c>
      <c r="H145" s="51" t="str">
        <f>TEXT(tblLaborEntries[[#This Row],[Work date serial]]-WEEKDAY(tblLaborEntries[[#This Row],[Work date serial]],3),"yyyy-mm-dd")</f>
        <v>2024-05-20</v>
      </c>
      <c r="I145" s="64">
        <f>DATEVALUE(tblLaborEntries[[#This Row],[Work date]])</f>
        <v>45438.0</v>
      </c>
    </row>
    <row r="146" spans="1:9" ht="15" x14ac:dyDescent="0.25">
      <c r="A146" s="53" t="inlineStr">
        <is>
          <t>LAB-000145</t>
        </is>
      </c>
      <c r="B146" s="53" t="inlineStr">
        <is>
          <t>WP-00067</t>
        </is>
      </c>
      <c r="C146" s="53" t="inlineStr">
        <is>
          <t>TECH-019</t>
        </is>
      </c>
      <c r="D146" s="53" t="inlineStr">
        <is>
          <t>Airframe</t>
        </is>
      </c>
      <c r="E146" s="53" t="inlineStr">
        <is>
          <t>2024-05-27</t>
        </is>
      </c>
      <c r="F146" s="53">
        <v>2.7</v>
      </c>
      <c r="G146" s="53">
        <v>0</v>
      </c>
      <c r="H146" s="51" t="str">
        <f>TEXT(tblLaborEntries[[#This Row],[Work date serial]]-WEEKDAY(tblLaborEntries[[#This Row],[Work date serial]],3),"yyyy-mm-dd")</f>
        <v>2024-05-27</v>
      </c>
      <c r="I146" s="64">
        <f>DATEVALUE(tblLaborEntries[[#This Row],[Work date]])</f>
        <v>45439.0</v>
      </c>
    </row>
    <row r="147" spans="1:9" ht="15" x14ac:dyDescent="0.25">
      <c r="A147" s="53" t="inlineStr">
        <is>
          <t>LAB-000146</t>
        </is>
      </c>
      <c r="B147" s="53" t="inlineStr">
        <is>
          <t>WP-00068</t>
        </is>
      </c>
      <c r="C147" s="53" t="inlineStr">
        <is>
          <t>TECH-056</t>
        </is>
      </c>
      <c r="D147" s="53" t="inlineStr">
        <is>
          <t>Avionics</t>
        </is>
      </c>
      <c r="E147" s="53" t="inlineStr">
        <is>
          <t>2025-04-26</t>
        </is>
      </c>
      <c r="F147" s="53">
        <v>2.3</v>
      </c>
      <c r="G147" s="53">
        <v>0</v>
      </c>
      <c r="H147" s="51" t="str">
        <f>TEXT(tblLaborEntries[[#This Row],[Work date serial]]-WEEKDAY(tblLaborEntries[[#This Row],[Work date serial]],3),"yyyy-mm-dd")</f>
        <v>2025-04-21</v>
      </c>
      <c r="I147" s="64">
        <f>DATEVALUE(tblLaborEntries[[#This Row],[Work date]])</f>
        <v>45773.0</v>
      </c>
    </row>
    <row r="148" spans="1:9" ht="15" x14ac:dyDescent="0.25">
      <c r="A148" s="53" t="inlineStr">
        <is>
          <t>LAB-000147</t>
        </is>
      </c>
      <c r="B148" s="53" t="inlineStr">
        <is>
          <t>WP-00068</t>
        </is>
      </c>
      <c r="C148" s="53" t="inlineStr">
        <is>
          <t>TECH-068</t>
        </is>
      </c>
      <c r="D148" s="53" t="inlineStr">
        <is>
          <t>Avionics</t>
        </is>
      </c>
      <c r="E148" s="53" t="inlineStr">
        <is>
          <t>2025-04-27</t>
        </is>
      </c>
      <c r="F148" s="53">
        <v>2.4</v>
      </c>
      <c r="G148" s="53">
        <v>0</v>
      </c>
      <c r="H148" s="51" t="str">
        <f>TEXT(tblLaborEntries[[#This Row],[Work date serial]]-WEEKDAY(tblLaborEntries[[#This Row],[Work date serial]],3),"yyyy-mm-dd")</f>
        <v>2025-04-21</v>
      </c>
      <c r="I148" s="64">
        <f>DATEVALUE(tblLaborEntries[[#This Row],[Work date]])</f>
        <v>45774.0</v>
      </c>
    </row>
    <row r="149" spans="1:9" ht="15" x14ac:dyDescent="0.25">
      <c r="A149" s="53" t="inlineStr">
        <is>
          <t>LAB-000148</t>
        </is>
      </c>
      <c r="B149" s="53" t="inlineStr">
        <is>
          <t>WP-00068</t>
        </is>
      </c>
      <c r="C149" s="53" t="inlineStr">
        <is>
          <t>TECH-062</t>
        </is>
      </c>
      <c r="D149" s="53" t="inlineStr">
        <is>
          <t>Avionics</t>
        </is>
      </c>
      <c r="E149" s="53" t="inlineStr">
        <is>
          <t>2025-04-28</t>
        </is>
      </c>
      <c r="F149" s="53">
        <v>2.1</v>
      </c>
      <c r="G149" s="53">
        <v>0</v>
      </c>
      <c r="H149" s="51" t="str">
        <f>TEXT(tblLaborEntries[[#This Row],[Work date serial]]-WEEKDAY(tblLaborEntries[[#This Row],[Work date serial]],3),"yyyy-mm-dd")</f>
        <v>2025-04-28</v>
      </c>
      <c r="I149" s="64">
        <f>DATEVALUE(tblLaborEntries[[#This Row],[Work date]])</f>
        <v>45775.0</v>
      </c>
    </row>
    <row r="150" spans="1:9" ht="15" x14ac:dyDescent="0.25">
      <c r="A150" s="53" t="inlineStr">
        <is>
          <t>LAB-000149</t>
        </is>
      </c>
      <c r="B150" s="53" t="inlineStr">
        <is>
          <t>WP-00069</t>
        </is>
      </c>
      <c r="C150" s="53" t="inlineStr">
        <is>
          <t>TECH-008</t>
        </is>
      </c>
      <c r="D150" s="53" t="inlineStr">
        <is>
          <t>Avionics</t>
        </is>
      </c>
      <c r="E150" s="53" t="inlineStr">
        <is>
          <t>2025-02-28</t>
        </is>
      </c>
      <c r="F150" s="53">
        <v>8.7</v>
      </c>
      <c r="G150" s="53">
        <v>0.7</v>
      </c>
      <c r="H150" s="51" t="str">
        <f>TEXT(tblLaborEntries[[#This Row],[Work date serial]]-WEEKDAY(tblLaborEntries[[#This Row],[Work date serial]],3),"yyyy-mm-dd")</f>
        <v>2025-02-24</v>
      </c>
      <c r="I150" s="64">
        <f>DATEVALUE(tblLaborEntries[[#This Row],[Work date]])</f>
        <v>45716.0</v>
      </c>
    </row>
    <row r="151" spans="1:9" ht="15" x14ac:dyDescent="0.25">
      <c r="A151" s="53" t="inlineStr">
        <is>
          <t>LAB-000150</t>
        </is>
      </c>
      <c r="B151" s="53" t="inlineStr">
        <is>
          <t>WP-00069</t>
        </is>
      </c>
      <c r="C151" s="53" t="inlineStr">
        <is>
          <t>TECH-056</t>
        </is>
      </c>
      <c r="D151" s="53" t="inlineStr">
        <is>
          <t>Avionics</t>
        </is>
      </c>
      <c r="E151" s="53" t="inlineStr">
        <is>
          <t>2025-03-01</t>
        </is>
      </c>
      <c r="F151" s="53">
        <v>11.5</v>
      </c>
      <c r="G151" s="53">
        <v>3.5</v>
      </c>
      <c r="H151" s="51" t="str">
        <f>TEXT(tblLaborEntries[[#This Row],[Work date serial]]-WEEKDAY(tblLaborEntries[[#This Row],[Work date serial]],3),"yyyy-mm-dd")</f>
        <v>2025-02-24</v>
      </c>
      <c r="I151" s="64">
        <f>DATEVALUE(tblLaborEntries[[#This Row],[Work date]])</f>
        <v>45717.0</v>
      </c>
    </row>
    <row r="152" spans="1:9" ht="15" x14ac:dyDescent="0.25">
      <c r="A152" s="53" t="inlineStr">
        <is>
          <t>LAB-000151</t>
        </is>
      </c>
      <c r="B152" s="53" t="inlineStr">
        <is>
          <t>WP-00070</t>
        </is>
      </c>
      <c r="C152" s="53" t="inlineStr">
        <is>
          <t>TECH-053</t>
        </is>
      </c>
      <c r="D152" s="53" t="inlineStr">
        <is>
          <t>Structures</t>
        </is>
      </c>
      <c r="E152" s="53" t="inlineStr">
        <is>
          <t>2025-08-30</t>
        </is>
      </c>
      <c r="F152" s="53">
        <v>7.7</v>
      </c>
      <c r="G152" s="53">
        <v>0</v>
      </c>
      <c r="H152" s="51" t="str">
        <f>TEXT(tblLaborEntries[[#This Row],[Work date serial]]-WEEKDAY(tblLaborEntries[[#This Row],[Work date serial]],3),"yyyy-mm-dd")</f>
        <v>2025-08-25</v>
      </c>
      <c r="I152" s="64">
        <f>DATEVALUE(tblLaborEntries[[#This Row],[Work date]])</f>
        <v>45899.0</v>
      </c>
    </row>
    <row r="153" spans="1:9" ht="15" x14ac:dyDescent="0.25">
      <c r="A153" s="53" t="inlineStr">
        <is>
          <t>LAB-000152</t>
        </is>
      </c>
      <c r="B153" s="53" t="inlineStr">
        <is>
          <t>WP-00070</t>
        </is>
      </c>
      <c r="C153" s="53" t="inlineStr">
        <is>
          <t>TECH-029</t>
        </is>
      </c>
      <c r="D153" s="53" t="inlineStr">
        <is>
          <t>Structures</t>
        </is>
      </c>
      <c r="E153" s="53" t="inlineStr">
        <is>
          <t>2025-08-31</t>
        </is>
      </c>
      <c r="F153" s="53">
        <v>7.7</v>
      </c>
      <c r="G153" s="53">
        <v>0</v>
      </c>
      <c r="H153" s="51" t="str">
        <f>TEXT(tblLaborEntries[[#This Row],[Work date serial]]-WEEKDAY(tblLaborEntries[[#This Row],[Work date serial]],3),"yyyy-mm-dd")</f>
        <v>2025-08-25</v>
      </c>
      <c r="I153" s="64">
        <f>DATEVALUE(tblLaborEntries[[#This Row],[Work date]])</f>
        <v>45900.0</v>
      </c>
    </row>
    <row r="154" spans="1:9" ht="15" x14ac:dyDescent="0.25">
      <c r="A154" s="53" t="inlineStr">
        <is>
          <t>LAB-000153</t>
        </is>
      </c>
      <c r="B154" s="53" t="inlineStr">
        <is>
          <t>WP-00070</t>
        </is>
      </c>
      <c r="C154" s="53" t="inlineStr">
        <is>
          <t>TECH-047</t>
        </is>
      </c>
      <c r="D154" s="53" t="inlineStr">
        <is>
          <t>Structures</t>
        </is>
      </c>
      <c r="E154" s="53" t="inlineStr">
        <is>
          <t>2025-09-01</t>
        </is>
      </c>
      <c r="F154" s="53">
        <v>9.4</v>
      </c>
      <c r="G154" s="53">
        <v>1.4</v>
      </c>
      <c r="H154" s="51" t="str">
        <f>TEXT(tblLaborEntries[[#This Row],[Work date serial]]-WEEKDAY(tblLaborEntries[[#This Row],[Work date serial]],3),"yyyy-mm-dd")</f>
        <v>2025-09-01</v>
      </c>
      <c r="I154" s="64">
        <f>DATEVALUE(tblLaborEntries[[#This Row],[Work date]])</f>
        <v>45901.0</v>
      </c>
    </row>
    <row r="155" spans="1:9" ht="15" x14ac:dyDescent="0.25">
      <c r="A155" s="53" t="inlineStr">
        <is>
          <t>LAB-000154</t>
        </is>
      </c>
      <c r="B155" s="53" t="inlineStr">
        <is>
          <t>WP-00071</t>
        </is>
      </c>
      <c r="C155" s="53" t="inlineStr">
        <is>
          <t>TECH-046</t>
        </is>
      </c>
      <c r="D155" s="53" t="inlineStr">
        <is>
          <t>Electrical</t>
        </is>
      </c>
      <c r="E155" s="53" t="inlineStr">
        <is>
          <t>2024-06-10</t>
        </is>
      </c>
      <c r="F155" s="53">
        <v>8.4</v>
      </c>
      <c r="G155" s="53">
        <v>0.4</v>
      </c>
      <c r="H155" s="51" t="str">
        <f>TEXT(tblLaborEntries[[#This Row],[Work date serial]]-WEEKDAY(tblLaborEntries[[#This Row],[Work date serial]],3),"yyyy-mm-dd")</f>
        <v>2024-06-10</v>
      </c>
      <c r="I155" s="64">
        <f>DATEVALUE(tblLaborEntries[[#This Row],[Work date]])</f>
        <v>45453.0</v>
      </c>
    </row>
    <row r="156" spans="1:9" ht="15" x14ac:dyDescent="0.25">
      <c r="A156" s="53" t="inlineStr">
        <is>
          <t>LAB-000155</t>
        </is>
      </c>
      <c r="B156" s="53" t="inlineStr">
        <is>
          <t>WP-00071</t>
        </is>
      </c>
      <c r="C156" s="53" t="inlineStr">
        <is>
          <t>TECH-058</t>
        </is>
      </c>
      <c r="D156" s="53" t="inlineStr">
        <is>
          <t>Electrical</t>
        </is>
      </c>
      <c r="E156" s="53" t="inlineStr">
        <is>
          <t>2024-06-11</t>
        </is>
      </c>
      <c r="F156" s="53">
        <v>9.3</v>
      </c>
      <c r="G156" s="53">
        <v>1.3</v>
      </c>
      <c r="H156" s="51" t="str">
        <f>TEXT(tblLaborEntries[[#This Row],[Work date serial]]-WEEKDAY(tblLaborEntries[[#This Row],[Work date serial]],3),"yyyy-mm-dd")</f>
        <v>2024-06-10</v>
      </c>
      <c r="I156" s="64">
        <f>DATEVALUE(tblLaborEntries[[#This Row],[Work date]])</f>
        <v>45454.0</v>
      </c>
    </row>
    <row r="157" spans="1:9" ht="15" x14ac:dyDescent="0.25">
      <c r="A157" s="53" t="inlineStr">
        <is>
          <t>LAB-000156</t>
        </is>
      </c>
      <c r="B157" s="53" t="inlineStr">
        <is>
          <t>WP-00071</t>
        </is>
      </c>
      <c r="C157" s="53" t="inlineStr">
        <is>
          <t>TECH-010</t>
        </is>
      </c>
      <c r="D157" s="53" t="inlineStr">
        <is>
          <t>Electrical</t>
        </is>
      </c>
      <c r="E157" s="53" t="inlineStr">
        <is>
          <t>2024-06-12</t>
        </is>
      </c>
      <c r="F157" s="53">
        <v>7.1</v>
      </c>
      <c r="G157" s="53">
        <v>0</v>
      </c>
      <c r="H157" s="51" t="str">
        <f>TEXT(tblLaborEntries[[#This Row],[Work date serial]]-WEEKDAY(tblLaborEntries[[#This Row],[Work date serial]],3),"yyyy-mm-dd")</f>
        <v>2024-06-10</v>
      </c>
      <c r="I157" s="64">
        <f>DATEVALUE(tblLaborEntries[[#This Row],[Work date]])</f>
        <v>45455.0</v>
      </c>
    </row>
    <row r="158" spans="1:9" ht="15" x14ac:dyDescent="0.25">
      <c r="A158" s="53" t="inlineStr">
        <is>
          <t>LAB-000157</t>
        </is>
      </c>
      <c r="B158" s="53" t="inlineStr">
        <is>
          <t>WP-00072</t>
        </is>
      </c>
      <c r="C158" s="53" t="inlineStr">
        <is>
          <t>TECH-073</t>
        </is>
      </c>
      <c r="D158" s="53" t="inlineStr">
        <is>
          <t>Airframe</t>
        </is>
      </c>
      <c r="E158" s="53" t="inlineStr">
        <is>
          <t>2025-11-03</t>
        </is>
      </c>
      <c r="F158" s="53">
        <v>1.6</v>
      </c>
      <c r="G158" s="53">
        <v>0</v>
      </c>
      <c r="H158" s="51" t="str">
        <f>TEXT(tblLaborEntries[[#This Row],[Work date serial]]-WEEKDAY(tblLaborEntries[[#This Row],[Work date serial]],3),"yyyy-mm-dd")</f>
        <v>2025-11-03</v>
      </c>
      <c r="I158" s="64">
        <f>DATEVALUE(tblLaborEntries[[#This Row],[Work date]])</f>
        <v>45964.0</v>
      </c>
    </row>
    <row r="159" spans="1:9" ht="15" x14ac:dyDescent="0.25">
      <c r="A159" s="53" t="inlineStr">
        <is>
          <t>LAB-000158</t>
        </is>
      </c>
      <c r="B159" s="53" t="inlineStr">
        <is>
          <t>WP-00073</t>
        </is>
      </c>
      <c r="C159" s="53" t="inlineStr">
        <is>
          <t>TECH-019</t>
        </is>
      </c>
      <c r="D159" s="53" t="inlineStr">
        <is>
          <t>Airframe</t>
        </is>
      </c>
      <c r="E159" s="53" t="inlineStr">
        <is>
          <t>2025-06-12</t>
        </is>
      </c>
      <c r="F159" s="53">
        <v>5.9</v>
      </c>
      <c r="G159" s="53">
        <v>0</v>
      </c>
      <c r="H159" s="51" t="str">
        <f>TEXT(tblLaborEntries[[#This Row],[Work date serial]]-WEEKDAY(tblLaborEntries[[#This Row],[Work date serial]],3),"yyyy-mm-dd")</f>
        <v>2025-06-09</v>
      </c>
      <c r="I159" s="64">
        <f>DATEVALUE(tblLaborEntries[[#This Row],[Work date]])</f>
        <v>45820.0</v>
      </c>
    </row>
    <row r="160" spans="1:9" ht="15" x14ac:dyDescent="0.25">
      <c r="A160" s="53" t="inlineStr">
        <is>
          <t>LAB-000159</t>
        </is>
      </c>
      <c r="B160" s="53" t="inlineStr">
        <is>
          <t>WP-00074</t>
        </is>
      </c>
      <c r="C160" s="53" t="inlineStr">
        <is>
          <t>TECH-067</t>
        </is>
      </c>
      <c r="D160" s="53" t="inlineStr">
        <is>
          <t>Airframe</t>
        </is>
      </c>
      <c r="E160" s="53" t="inlineStr">
        <is>
          <t>2024-04-27</t>
        </is>
      </c>
      <c r="F160" s="53">
        <v>2.3</v>
      </c>
      <c r="G160" s="53">
        <v>0</v>
      </c>
      <c r="H160" s="51" t="str">
        <f>TEXT(tblLaborEntries[[#This Row],[Work date serial]]-WEEKDAY(tblLaborEntries[[#This Row],[Work date serial]],3),"yyyy-mm-dd")</f>
        <v>2024-04-22</v>
      </c>
      <c r="I160" s="64">
        <f>DATEVALUE(tblLaborEntries[[#This Row],[Work date]])</f>
        <v>45409.0</v>
      </c>
    </row>
    <row r="161" spans="1:9" ht="15" x14ac:dyDescent="0.25">
      <c r="A161" s="53" t="inlineStr">
        <is>
          <t>LAB-000160</t>
        </is>
      </c>
      <c r="B161" s="53" t="inlineStr">
        <is>
          <t>WP-00074</t>
        </is>
      </c>
      <c r="C161" s="53" t="inlineStr">
        <is>
          <t>TECH-019</t>
        </is>
      </c>
      <c r="D161" s="53" t="inlineStr">
        <is>
          <t>Airframe</t>
        </is>
      </c>
      <c r="E161" s="53" t="inlineStr">
        <is>
          <t>2024-04-28</t>
        </is>
      </c>
      <c r="F161" s="53">
        <v>3</v>
      </c>
      <c r="G161" s="53">
        <v>0</v>
      </c>
      <c r="H161" s="51" t="str">
        <f>TEXT(tblLaborEntries[[#This Row],[Work date serial]]-WEEKDAY(tblLaborEntries[[#This Row],[Work date serial]],3),"yyyy-mm-dd")</f>
        <v>2024-04-22</v>
      </c>
      <c r="I161" s="64">
        <f>DATEVALUE(tblLaborEntries[[#This Row],[Work date]])</f>
        <v>45410.0</v>
      </c>
    </row>
    <row r="162" spans="1:9" ht="15" x14ac:dyDescent="0.25">
      <c r="A162" s="53" t="inlineStr">
        <is>
          <t>LAB-000161</t>
        </is>
      </c>
      <c r="B162" s="53" t="inlineStr">
        <is>
          <t>WP-00075</t>
        </is>
      </c>
      <c r="C162" s="53" t="inlineStr">
        <is>
          <t>TECH-056</t>
        </is>
      </c>
      <c r="D162" s="53" t="inlineStr">
        <is>
          <t>Avionics</t>
        </is>
      </c>
      <c r="E162" s="53" t="inlineStr">
        <is>
          <t>2025-07-11</t>
        </is>
      </c>
      <c r="F162" s="53">
        <v>4.1</v>
      </c>
      <c r="G162" s="53">
        <v>0</v>
      </c>
      <c r="H162" s="51" t="str">
        <f>TEXT(tblLaborEntries[[#This Row],[Work date serial]]-WEEKDAY(tblLaborEntries[[#This Row],[Work date serial]],3),"yyyy-mm-dd")</f>
        <v>2025-07-07</v>
      </c>
      <c r="I162" s="64">
        <f>DATEVALUE(tblLaborEntries[[#This Row],[Work date]])</f>
        <v>45849.0</v>
      </c>
    </row>
    <row r="163" spans="1:9" ht="15" x14ac:dyDescent="0.25">
      <c r="A163" s="53" t="inlineStr">
        <is>
          <t>LAB-000162</t>
        </is>
      </c>
      <c r="B163" s="53" t="inlineStr">
        <is>
          <t>WP-00075</t>
        </is>
      </c>
      <c r="C163" s="53" t="inlineStr">
        <is>
          <t>TECH-050</t>
        </is>
      </c>
      <c r="D163" s="53" t="inlineStr">
        <is>
          <t>Avionics</t>
        </is>
      </c>
      <c r="E163" s="53" t="inlineStr">
        <is>
          <t>2025-07-12</t>
        </is>
      </c>
      <c r="F163" s="53">
        <v>3.6</v>
      </c>
      <c r="G163" s="53">
        <v>0</v>
      </c>
      <c r="H163" s="51" t="str">
        <f>TEXT(tblLaborEntries[[#This Row],[Work date serial]]-WEEKDAY(tblLaborEntries[[#This Row],[Work date serial]],3),"yyyy-mm-dd")</f>
        <v>2025-07-07</v>
      </c>
      <c r="I163" s="64">
        <f>DATEVALUE(tblLaborEntries[[#This Row],[Work date]])</f>
        <v>45850.0</v>
      </c>
    </row>
    <row r="164" spans="1:9" ht="15" x14ac:dyDescent="0.25">
      <c r="A164" s="53" t="inlineStr">
        <is>
          <t>LAB-000163</t>
        </is>
      </c>
      <c r="B164" s="53" t="inlineStr">
        <is>
          <t>WP-00076</t>
        </is>
      </c>
      <c r="C164" s="53" t="inlineStr">
        <is>
          <t>TECH-048</t>
        </is>
      </c>
      <c r="D164" s="53" t="inlineStr">
        <is>
          <t>Powerplant</t>
        </is>
      </c>
      <c r="E164" s="53" t="inlineStr">
        <is>
          <t>2024-10-21</t>
        </is>
      </c>
      <c r="F164" s="53">
        <v>4.4</v>
      </c>
      <c r="G164" s="53">
        <v>0</v>
      </c>
      <c r="H164" s="51" t="str">
        <f>TEXT(tblLaborEntries[[#This Row],[Work date serial]]-WEEKDAY(tblLaborEntries[[#This Row],[Work date serial]],3),"yyyy-mm-dd")</f>
        <v>2024-10-21</v>
      </c>
      <c r="I164" s="64">
        <f>DATEVALUE(tblLaborEntries[[#This Row],[Work date]])</f>
        <v>45586.0</v>
      </c>
    </row>
    <row r="165" spans="1:9" ht="15" x14ac:dyDescent="0.25">
      <c r="A165" s="53" t="inlineStr">
        <is>
          <t>LAB-000164</t>
        </is>
      </c>
      <c r="B165" s="53" t="inlineStr">
        <is>
          <t>WP-00076</t>
        </is>
      </c>
      <c r="C165" s="53" t="inlineStr">
        <is>
          <t>TECH-072</t>
        </is>
      </c>
      <c r="D165" s="53" t="inlineStr">
        <is>
          <t>Powerplant</t>
        </is>
      </c>
      <c r="E165" s="53" t="inlineStr">
        <is>
          <t>2024-10-22</t>
        </is>
      </c>
      <c r="F165" s="53">
        <v>5.3</v>
      </c>
      <c r="G165" s="53">
        <v>0</v>
      </c>
      <c r="H165" s="51" t="str">
        <f>TEXT(tblLaborEntries[[#This Row],[Work date serial]]-WEEKDAY(tblLaborEntries[[#This Row],[Work date serial]],3),"yyyy-mm-dd")</f>
        <v>2024-10-21</v>
      </c>
      <c r="I165" s="64">
        <f>DATEVALUE(tblLaborEntries[[#This Row],[Work date]])</f>
        <v>45587.0</v>
      </c>
    </row>
    <row r="166" spans="1:9" ht="15" x14ac:dyDescent="0.25">
      <c r="A166" s="53" t="inlineStr">
        <is>
          <t>LAB-000165</t>
        </is>
      </c>
      <c r="B166" s="53" t="inlineStr">
        <is>
          <t>WP-00077</t>
        </is>
      </c>
      <c r="C166" s="53" t="inlineStr">
        <is>
          <t>TECH-001</t>
        </is>
      </c>
      <c r="D166" s="53" t="inlineStr">
        <is>
          <t>Airframe</t>
        </is>
      </c>
      <c r="E166" s="53" t="inlineStr">
        <is>
          <t>2024-04-09</t>
        </is>
      </c>
      <c r="F166" s="53">
        <v>3.4</v>
      </c>
      <c r="G166" s="53">
        <v>0</v>
      </c>
      <c r="H166" s="51" t="str">
        <f>TEXT(tblLaborEntries[[#This Row],[Work date serial]]-WEEKDAY(tblLaborEntries[[#This Row],[Work date serial]],3),"yyyy-mm-dd")</f>
        <v>2024-04-08</v>
      </c>
      <c r="I166" s="64">
        <f>DATEVALUE(tblLaborEntries[[#This Row],[Work date]])</f>
        <v>45391.0</v>
      </c>
    </row>
    <row r="167" spans="1:9" ht="15" x14ac:dyDescent="0.25">
      <c r="A167" s="53" t="inlineStr">
        <is>
          <t>LAB-000166</t>
        </is>
      </c>
      <c r="B167" s="53" t="inlineStr">
        <is>
          <t>WP-00077</t>
        </is>
      </c>
      <c r="C167" s="53" t="inlineStr">
        <is>
          <t>TECH-019</t>
        </is>
      </c>
      <c r="D167" s="53" t="inlineStr">
        <is>
          <t>Airframe</t>
        </is>
      </c>
      <c r="E167" s="53" t="inlineStr">
        <is>
          <t>2024-04-10</t>
        </is>
      </c>
      <c r="F167" s="53">
        <v>3.9</v>
      </c>
      <c r="G167" s="53">
        <v>0</v>
      </c>
      <c r="H167" s="51" t="str">
        <f>TEXT(tblLaborEntries[[#This Row],[Work date serial]]-WEEKDAY(tblLaborEntries[[#This Row],[Work date serial]],3),"yyyy-mm-dd")</f>
        <v>2024-04-08</v>
      </c>
      <c r="I167" s="64">
        <f>DATEVALUE(tblLaborEntries[[#This Row],[Work date]])</f>
        <v>45392.0</v>
      </c>
    </row>
    <row r="168" spans="1:9" ht="15" x14ac:dyDescent="0.25">
      <c r="A168" s="53" t="inlineStr">
        <is>
          <t>LAB-000167</t>
        </is>
      </c>
      <c r="B168" s="53" t="inlineStr">
        <is>
          <t>WP-00077</t>
        </is>
      </c>
      <c r="C168" s="53" t="inlineStr">
        <is>
          <t>TECH-007</t>
        </is>
      </c>
      <c r="D168" s="53" t="inlineStr">
        <is>
          <t>Airframe</t>
        </is>
      </c>
      <c r="E168" s="53" t="inlineStr">
        <is>
          <t>2024-04-11</t>
        </is>
      </c>
      <c r="F168" s="53">
        <v>3.5</v>
      </c>
      <c r="G168" s="53">
        <v>0</v>
      </c>
      <c r="H168" s="51" t="str">
        <f>TEXT(tblLaborEntries[[#This Row],[Work date serial]]-WEEKDAY(tblLaborEntries[[#This Row],[Work date serial]],3),"yyyy-mm-dd")</f>
        <v>2024-04-08</v>
      </c>
      <c r="I168" s="64">
        <f>DATEVALUE(tblLaborEntries[[#This Row],[Work date]])</f>
        <v>45393.0</v>
      </c>
    </row>
    <row r="169" spans="1:9" ht="15" x14ac:dyDescent="0.25">
      <c r="A169" s="53" t="inlineStr">
        <is>
          <t>LAB-000168</t>
        </is>
      </c>
      <c r="B169" s="53" t="inlineStr">
        <is>
          <t>WP-00078</t>
        </is>
      </c>
      <c r="C169" s="53" t="inlineStr">
        <is>
          <t>TECH-039</t>
        </is>
      </c>
      <c r="D169" s="53" t="inlineStr">
        <is>
          <t>Hydraulics</t>
        </is>
      </c>
      <c r="E169" s="53" t="inlineStr">
        <is>
          <t>2024-07-05</t>
        </is>
      </c>
      <c r="F169" s="53">
        <v>3.8</v>
      </c>
      <c r="G169" s="53">
        <v>0</v>
      </c>
      <c r="H169" s="51" t="str">
        <f>TEXT(tblLaborEntries[[#This Row],[Work date serial]]-WEEKDAY(tblLaborEntries[[#This Row],[Work date serial]],3),"yyyy-mm-dd")</f>
        <v>2024-07-01</v>
      </c>
      <c r="I169" s="64">
        <f>DATEVALUE(tblLaborEntries[[#This Row],[Work date]])</f>
        <v>45478.0</v>
      </c>
    </row>
    <row r="170" spans="1:9" ht="15" x14ac:dyDescent="0.25">
      <c r="A170" s="53" t="inlineStr">
        <is>
          <t>LAB-000169</t>
        </is>
      </c>
      <c r="B170" s="53" t="inlineStr">
        <is>
          <t>WP-00078</t>
        </is>
      </c>
      <c r="C170" s="53" t="inlineStr">
        <is>
          <t>TECH-027</t>
        </is>
      </c>
      <c r="D170" s="53" t="inlineStr">
        <is>
          <t>Hydraulics</t>
        </is>
      </c>
      <c r="E170" s="53" t="inlineStr">
        <is>
          <t>2024-07-06</t>
        </is>
      </c>
      <c r="F170" s="53">
        <v>6</v>
      </c>
      <c r="G170" s="53">
        <v>0</v>
      </c>
      <c r="H170" s="51" t="str">
        <f>TEXT(tblLaborEntries[[#This Row],[Work date serial]]-WEEKDAY(tblLaborEntries[[#This Row],[Work date serial]],3),"yyyy-mm-dd")</f>
        <v>2024-07-01</v>
      </c>
      <c r="I170" s="64">
        <f>DATEVALUE(tblLaborEntries[[#This Row],[Work date]])</f>
        <v>45479.0</v>
      </c>
    </row>
    <row r="171" spans="1:9" ht="15" x14ac:dyDescent="0.25">
      <c r="A171" s="53" t="inlineStr">
        <is>
          <t>LAB-000170</t>
        </is>
      </c>
      <c r="B171" s="53" t="inlineStr">
        <is>
          <t>WP-00079</t>
        </is>
      </c>
      <c r="C171" s="53" t="inlineStr">
        <is>
          <t>TECH-027</t>
        </is>
      </c>
      <c r="D171" s="53" t="inlineStr">
        <is>
          <t>Hydraulics</t>
        </is>
      </c>
      <c r="E171" s="53" t="inlineStr">
        <is>
          <t>2024-02-25</t>
        </is>
      </c>
      <c r="F171" s="53">
        <v>2.4</v>
      </c>
      <c r="G171" s="53">
        <v>0</v>
      </c>
      <c r="H171" s="51" t="str">
        <f>TEXT(tblLaborEntries[[#This Row],[Work date serial]]-WEEKDAY(tblLaborEntries[[#This Row],[Work date serial]],3),"yyyy-mm-dd")</f>
        <v>2024-02-19</v>
      </c>
      <c r="I171" s="64">
        <f>DATEVALUE(tblLaborEntries[[#This Row],[Work date]])</f>
        <v>45347.0</v>
      </c>
    </row>
    <row r="172" spans="1:9" ht="15" x14ac:dyDescent="0.25">
      <c r="A172" s="53" t="inlineStr">
        <is>
          <t>LAB-000171</t>
        </is>
      </c>
      <c r="B172" s="53" t="inlineStr">
        <is>
          <t>WP-00079</t>
        </is>
      </c>
      <c r="C172" s="53" t="inlineStr">
        <is>
          <t>TECH-045</t>
        </is>
      </c>
      <c r="D172" s="53" t="inlineStr">
        <is>
          <t>Hydraulics</t>
        </is>
      </c>
      <c r="E172" s="53" t="inlineStr">
        <is>
          <t>2024-02-26</t>
        </is>
      </c>
      <c r="F172" s="53">
        <v>2.9</v>
      </c>
      <c r="G172" s="53">
        <v>0</v>
      </c>
      <c r="H172" s="51" t="str">
        <f>TEXT(tblLaborEntries[[#This Row],[Work date serial]]-WEEKDAY(tblLaborEntries[[#This Row],[Work date serial]],3),"yyyy-mm-dd")</f>
        <v>2024-02-26</v>
      </c>
      <c r="I172" s="64">
        <f>DATEVALUE(tblLaborEntries[[#This Row],[Work date]])</f>
        <v>45348.0</v>
      </c>
    </row>
    <row r="173" spans="1:9" ht="15" x14ac:dyDescent="0.25">
      <c r="A173" s="53" t="inlineStr">
        <is>
          <t>LAB-000172</t>
        </is>
      </c>
      <c r="B173" s="53" t="inlineStr">
        <is>
          <t>WP-00079</t>
        </is>
      </c>
      <c r="C173" s="53" t="inlineStr">
        <is>
          <t>TECH-015</t>
        </is>
      </c>
      <c r="D173" s="53" t="inlineStr">
        <is>
          <t>Hydraulics</t>
        </is>
      </c>
      <c r="E173" s="53" t="inlineStr">
        <is>
          <t>2024-02-27</t>
        </is>
      </c>
      <c r="F173" s="53">
        <v>2.6</v>
      </c>
      <c r="G173" s="53">
        <v>0</v>
      </c>
      <c r="H173" s="51" t="str">
        <f>TEXT(tblLaborEntries[[#This Row],[Work date serial]]-WEEKDAY(tblLaborEntries[[#This Row],[Work date serial]],3),"yyyy-mm-dd")</f>
        <v>2024-02-26</v>
      </c>
      <c r="I173" s="64">
        <f>DATEVALUE(tblLaborEntries[[#This Row],[Work date]])</f>
        <v>45349.0</v>
      </c>
    </row>
    <row r="174" spans="1:9" ht="15" x14ac:dyDescent="0.25">
      <c r="A174" s="53" t="inlineStr">
        <is>
          <t>LAB-000173</t>
        </is>
      </c>
      <c r="B174" s="53" t="inlineStr">
        <is>
          <t>WP-00080</t>
        </is>
      </c>
      <c r="C174" s="53" t="inlineStr">
        <is>
          <t>TECH-074</t>
        </is>
      </c>
      <c r="D174" s="53" t="inlineStr">
        <is>
          <t>Avionics</t>
        </is>
      </c>
      <c r="E174" s="53" t="inlineStr">
        <is>
          <t>2025-03-23</t>
        </is>
      </c>
      <c r="F174" s="53">
        <v>1.6</v>
      </c>
      <c r="G174" s="53">
        <v>0</v>
      </c>
      <c r="H174" s="51" t="str">
        <f>TEXT(tblLaborEntries[[#This Row],[Work date serial]]-WEEKDAY(tblLaborEntries[[#This Row],[Work date serial]],3),"yyyy-mm-dd")</f>
        <v>2025-03-17</v>
      </c>
      <c r="I174" s="64">
        <f>DATEVALUE(tblLaborEntries[[#This Row],[Work date]])</f>
        <v>45739.0</v>
      </c>
    </row>
    <row r="175" spans="1:9" ht="15" x14ac:dyDescent="0.25">
      <c r="A175" s="53" t="inlineStr">
        <is>
          <t>LAB-000174</t>
        </is>
      </c>
      <c r="B175" s="53" t="inlineStr">
        <is>
          <t>WP-00080</t>
        </is>
      </c>
      <c r="C175" s="53" t="inlineStr">
        <is>
          <t>TECH-008</t>
        </is>
      </c>
      <c r="D175" s="53" t="inlineStr">
        <is>
          <t>Avionics</t>
        </is>
      </c>
      <c r="E175" s="53" t="inlineStr">
        <is>
          <t>2025-03-24</t>
        </is>
      </c>
      <c r="F175" s="53">
        <v>1.6</v>
      </c>
      <c r="G175" s="53">
        <v>0</v>
      </c>
      <c r="H175" s="51" t="str">
        <f>TEXT(tblLaborEntries[[#This Row],[Work date serial]]-WEEKDAY(tblLaborEntries[[#This Row],[Work date serial]],3),"yyyy-mm-dd")</f>
        <v>2025-03-24</v>
      </c>
      <c r="I175" s="64">
        <f>DATEVALUE(tblLaborEntries[[#This Row],[Work date]])</f>
        <v>45740.0</v>
      </c>
    </row>
    <row r="176" spans="1:9" ht="15" x14ac:dyDescent="0.25">
      <c r="A176" s="53" t="inlineStr">
        <is>
          <t>LAB-000175</t>
        </is>
      </c>
      <c r="B176" s="53" t="inlineStr">
        <is>
          <t>WP-00080</t>
        </is>
      </c>
      <c r="C176" s="53" t="inlineStr">
        <is>
          <t>TECH-056</t>
        </is>
      </c>
      <c r="D176" s="53" t="inlineStr">
        <is>
          <t>Avionics</t>
        </is>
      </c>
      <c r="E176" s="53" t="inlineStr">
        <is>
          <t>2025-03-25</t>
        </is>
      </c>
      <c r="F176" s="53">
        <v>1.7</v>
      </c>
      <c r="G176" s="53">
        <v>0</v>
      </c>
      <c r="H176" s="51" t="str">
        <f>TEXT(tblLaborEntries[[#This Row],[Work date serial]]-WEEKDAY(tblLaborEntries[[#This Row],[Work date serial]],3),"yyyy-mm-dd")</f>
        <v>2025-03-24</v>
      </c>
      <c r="I176" s="64">
        <f>DATEVALUE(tblLaborEntries[[#This Row],[Work date]])</f>
        <v>45741.0</v>
      </c>
    </row>
    <row r="177" spans="1:9" ht="15" x14ac:dyDescent="0.25">
      <c r="A177" s="53" t="inlineStr">
        <is>
          <t>LAB-000176</t>
        </is>
      </c>
      <c r="B177" s="53" t="inlineStr">
        <is>
          <t>WP-00081</t>
        </is>
      </c>
      <c r="C177" s="53" t="inlineStr">
        <is>
          <t>TECH-013</t>
        </is>
      </c>
      <c r="D177" s="53" t="inlineStr">
        <is>
          <t>Airframe</t>
        </is>
      </c>
      <c r="E177" s="53" t="inlineStr">
        <is>
          <t>2024-07-09</t>
        </is>
      </c>
      <c r="F177" s="53">
        <v>3.5</v>
      </c>
      <c r="G177" s="53">
        <v>0</v>
      </c>
      <c r="H177" s="51" t="str">
        <f>TEXT(tblLaborEntries[[#This Row],[Work date serial]]-WEEKDAY(tblLaborEntries[[#This Row],[Work date serial]],3),"yyyy-mm-dd")</f>
        <v>2024-07-08</v>
      </c>
      <c r="I177" s="64">
        <f>DATEVALUE(tblLaborEntries[[#This Row],[Work date]])</f>
        <v>45482.0</v>
      </c>
    </row>
    <row r="178" spans="1:9" ht="15" x14ac:dyDescent="0.25">
      <c r="A178" s="53" t="inlineStr">
        <is>
          <t>LAB-000177</t>
        </is>
      </c>
      <c r="B178" s="53" t="inlineStr">
        <is>
          <t>WP-00081</t>
        </is>
      </c>
      <c r="C178" s="53" t="inlineStr">
        <is>
          <t>TECH-067</t>
        </is>
      </c>
      <c r="D178" s="53" t="inlineStr">
        <is>
          <t>Airframe</t>
        </is>
      </c>
      <c r="E178" s="53" t="inlineStr">
        <is>
          <t>2024-07-10</t>
        </is>
      </c>
      <c r="F178" s="53">
        <v>3.8</v>
      </c>
      <c r="G178" s="53">
        <v>0</v>
      </c>
      <c r="H178" s="51" t="str">
        <f>TEXT(tblLaborEntries[[#This Row],[Work date serial]]-WEEKDAY(tblLaborEntries[[#This Row],[Work date serial]],3),"yyyy-mm-dd")</f>
        <v>2024-07-08</v>
      </c>
      <c r="I178" s="64">
        <f>DATEVALUE(tblLaborEntries[[#This Row],[Work date]])</f>
        <v>45483.0</v>
      </c>
    </row>
    <row r="179" spans="1:9" ht="15" x14ac:dyDescent="0.25">
      <c r="A179" s="53" t="inlineStr">
        <is>
          <t>LAB-000178</t>
        </is>
      </c>
      <c r="B179" s="53" t="inlineStr">
        <is>
          <t>WP-00081</t>
        </is>
      </c>
      <c r="C179" s="53" t="inlineStr">
        <is>
          <t>TECH-049</t>
        </is>
      </c>
      <c r="D179" s="53" t="inlineStr">
        <is>
          <t>Airframe</t>
        </is>
      </c>
      <c r="E179" s="53" t="inlineStr">
        <is>
          <t>2024-07-11</t>
        </is>
      </c>
      <c r="F179" s="53">
        <v>3</v>
      </c>
      <c r="G179" s="53">
        <v>0</v>
      </c>
      <c r="H179" s="51" t="str">
        <f>TEXT(tblLaborEntries[[#This Row],[Work date serial]]-WEEKDAY(tblLaborEntries[[#This Row],[Work date serial]],3),"yyyy-mm-dd")</f>
        <v>2024-07-08</v>
      </c>
      <c r="I179" s="64">
        <f>DATEVALUE(tblLaborEntries[[#This Row],[Work date]])</f>
        <v>45484.0</v>
      </c>
    </row>
    <row r="180" spans="1:9" ht="15" x14ac:dyDescent="0.25">
      <c r="A180" s="53" t="inlineStr">
        <is>
          <t>LAB-000179</t>
        </is>
      </c>
      <c r="B180" s="53" t="inlineStr">
        <is>
          <t>WP-00082</t>
        </is>
      </c>
      <c r="C180" s="53" t="inlineStr">
        <is>
          <t>TECH-026</t>
        </is>
      </c>
      <c r="D180" s="53" t="inlineStr">
        <is>
          <t>Avionics</t>
        </is>
      </c>
      <c r="E180" s="53" t="inlineStr">
        <is>
          <t>2024-01-25</t>
        </is>
      </c>
      <c r="F180" s="53">
        <v>5</v>
      </c>
      <c r="G180" s="53">
        <v>0</v>
      </c>
      <c r="H180" s="51" t="str">
        <f>TEXT(tblLaborEntries[[#This Row],[Work date serial]]-WEEKDAY(tblLaborEntries[[#This Row],[Work date serial]],3),"yyyy-mm-dd")</f>
        <v>2024-01-22</v>
      </c>
      <c r="I180" s="64">
        <f>DATEVALUE(tblLaborEntries[[#This Row],[Work date]])</f>
        <v>45316.0</v>
      </c>
    </row>
    <row r="181" spans="1:9" ht="15" x14ac:dyDescent="0.25">
      <c r="A181" s="53" t="inlineStr">
        <is>
          <t>LAB-000180</t>
        </is>
      </c>
      <c r="B181" s="53" t="inlineStr">
        <is>
          <t>WP-00082</t>
        </is>
      </c>
      <c r="C181" s="53" t="inlineStr">
        <is>
          <t>TECH-074</t>
        </is>
      </c>
      <c r="D181" s="53" t="inlineStr">
        <is>
          <t>Avionics</t>
        </is>
      </c>
      <c r="E181" s="53" t="inlineStr">
        <is>
          <t>2024-01-26</t>
        </is>
      </c>
      <c r="F181" s="53">
        <v>3.6</v>
      </c>
      <c r="G181" s="53">
        <v>0</v>
      </c>
      <c r="H181" s="51" t="str">
        <f>TEXT(tblLaborEntries[[#This Row],[Work date serial]]-WEEKDAY(tblLaborEntries[[#This Row],[Work date serial]],3),"yyyy-mm-dd")</f>
        <v>2024-01-22</v>
      </c>
      <c r="I181" s="64">
        <f>DATEVALUE(tblLaborEntries[[#This Row],[Work date]])</f>
        <v>45317.0</v>
      </c>
    </row>
    <row r="182" spans="1:9" ht="15" x14ac:dyDescent="0.25">
      <c r="A182" s="53" t="inlineStr">
        <is>
          <t>LAB-000181</t>
        </is>
      </c>
      <c r="B182" s="53" t="inlineStr">
        <is>
          <t>WP-00083</t>
        </is>
      </c>
      <c r="C182" s="53" t="inlineStr">
        <is>
          <t>TECH-061</t>
        </is>
      </c>
      <c r="D182" s="53" t="inlineStr">
        <is>
          <t>Airframe</t>
        </is>
      </c>
      <c r="E182" s="53" t="inlineStr">
        <is>
          <t>2025-01-10</t>
        </is>
      </c>
      <c r="F182" s="53">
        <v>4.9</v>
      </c>
      <c r="G182" s="53">
        <v>0</v>
      </c>
      <c r="H182" s="51" t="str">
        <f>TEXT(tblLaborEntries[[#This Row],[Work date serial]]-WEEKDAY(tblLaborEntries[[#This Row],[Work date serial]],3),"yyyy-mm-dd")</f>
        <v>2025-01-06</v>
      </c>
      <c r="I182" s="64">
        <f>DATEVALUE(tblLaborEntries[[#This Row],[Work date]])</f>
        <v>45667.0</v>
      </c>
    </row>
    <row r="183" spans="1:9" ht="15" x14ac:dyDescent="0.25">
      <c r="A183" s="53" t="inlineStr">
        <is>
          <t>LAB-000182</t>
        </is>
      </c>
      <c r="B183" s="53" t="inlineStr">
        <is>
          <t>WP-00084</t>
        </is>
      </c>
      <c r="C183" s="53" t="inlineStr">
        <is>
          <t>TECH-006</t>
        </is>
      </c>
      <c r="D183" s="53" t="inlineStr">
        <is>
          <t>Powerplant</t>
        </is>
      </c>
      <c r="E183" s="53" t="inlineStr">
        <is>
          <t>2025-08-20</t>
        </is>
      </c>
      <c r="F183" s="53">
        <v>8.2</v>
      </c>
      <c r="G183" s="53">
        <v>0.2</v>
      </c>
      <c r="H183" s="51" t="str">
        <f>TEXT(tblLaborEntries[[#This Row],[Work date serial]]-WEEKDAY(tblLaborEntries[[#This Row],[Work date serial]],3),"yyyy-mm-dd")</f>
        <v>2025-08-18</v>
      </c>
      <c r="I183" s="64">
        <f>DATEVALUE(tblLaborEntries[[#This Row],[Work date]])</f>
        <v>45889.0</v>
      </c>
    </row>
    <row r="184" spans="1:9" ht="15" x14ac:dyDescent="0.25">
      <c r="A184" s="53" t="inlineStr">
        <is>
          <t>LAB-000183</t>
        </is>
      </c>
      <c r="B184" s="53" t="inlineStr">
        <is>
          <t>WP-00084</t>
        </is>
      </c>
      <c r="C184" s="53" t="inlineStr">
        <is>
          <t>TECH-042</t>
        </is>
      </c>
      <c r="D184" s="53" t="inlineStr">
        <is>
          <t>Powerplant</t>
        </is>
      </c>
      <c r="E184" s="53" t="inlineStr">
        <is>
          <t>2025-08-20</t>
        </is>
      </c>
      <c r="F184" s="53">
        <v>6.9</v>
      </c>
      <c r="G184" s="53">
        <v>0</v>
      </c>
      <c r="H184" s="51" t="str">
        <f>TEXT(tblLaborEntries[[#This Row],[Work date serial]]-WEEKDAY(tblLaborEntries[[#This Row],[Work date serial]],3),"yyyy-mm-dd")</f>
        <v>2025-08-18</v>
      </c>
      <c r="I184" s="64">
        <f>DATEVALUE(tblLaborEntries[[#This Row],[Work date]])</f>
        <v>45889.0</v>
      </c>
    </row>
    <row r="185" spans="1:9" ht="15" x14ac:dyDescent="0.25">
      <c r="A185" s="53" t="inlineStr">
        <is>
          <t>LAB-000184</t>
        </is>
      </c>
      <c r="B185" s="53" t="inlineStr">
        <is>
          <t>WP-00085</t>
        </is>
      </c>
      <c r="C185" s="53" t="inlineStr">
        <is>
          <t>TECH-060</t>
        </is>
      </c>
      <c r="D185" s="53" t="inlineStr">
        <is>
          <t>Powerplant</t>
        </is>
      </c>
      <c r="E185" s="53" t="inlineStr">
        <is>
          <t>2024-08-31</t>
        </is>
      </c>
      <c r="F185" s="53">
        <v>2.3</v>
      </c>
      <c r="G185" s="53">
        <v>0</v>
      </c>
      <c r="H185" s="51" t="str">
        <f>TEXT(tblLaborEntries[[#This Row],[Work date serial]]-WEEKDAY(tblLaborEntries[[#This Row],[Work date serial]],3),"yyyy-mm-dd")</f>
        <v>2024-08-26</v>
      </c>
      <c r="I185" s="64">
        <f>DATEVALUE(tblLaborEntries[[#This Row],[Work date]])</f>
        <v>45535.0</v>
      </c>
    </row>
    <row r="186" spans="1:9" ht="15" x14ac:dyDescent="0.25">
      <c r="A186" s="53" t="inlineStr">
        <is>
          <t>LAB-000185</t>
        </is>
      </c>
      <c r="B186" s="53" t="inlineStr">
        <is>
          <t>WP-00085</t>
        </is>
      </c>
      <c r="C186" s="53" t="inlineStr">
        <is>
          <t>TECH-036</t>
        </is>
      </c>
      <c r="D186" s="53" t="inlineStr">
        <is>
          <t>Powerplant</t>
        </is>
      </c>
      <c r="E186" s="53" t="inlineStr">
        <is>
          <t>2024-09-01</t>
        </is>
      </c>
      <c r="F186" s="53">
        <v>2.8</v>
      </c>
      <c r="G186" s="53">
        <v>0</v>
      </c>
      <c r="H186" s="51" t="str">
        <f>TEXT(tblLaborEntries[[#This Row],[Work date serial]]-WEEKDAY(tblLaborEntries[[#This Row],[Work date serial]],3),"yyyy-mm-dd")</f>
        <v>2024-08-26</v>
      </c>
      <c r="I186" s="64">
        <f>DATEVALUE(tblLaborEntries[[#This Row],[Work date]])</f>
        <v>45536.0</v>
      </c>
    </row>
    <row r="187" spans="1:9" ht="15" x14ac:dyDescent="0.25">
      <c r="A187" s="53" t="inlineStr">
        <is>
          <t>LAB-000186</t>
        </is>
      </c>
      <c r="B187" s="53" t="inlineStr">
        <is>
          <t>WP-00086</t>
        </is>
      </c>
      <c r="C187" s="53" t="inlineStr">
        <is>
          <t>TECH-044</t>
        </is>
      </c>
      <c r="D187" s="53" t="inlineStr">
        <is>
          <t>Avionics</t>
        </is>
      </c>
      <c r="E187" s="53" t="inlineStr">
        <is>
          <t>2025-09-27</t>
        </is>
      </c>
      <c r="F187" s="53">
        <v>2.7</v>
      </c>
      <c r="G187" s="53">
        <v>0</v>
      </c>
      <c r="H187" s="51" t="str">
        <f>TEXT(tblLaborEntries[[#This Row],[Work date serial]]-WEEKDAY(tblLaborEntries[[#This Row],[Work date serial]],3),"yyyy-mm-dd")</f>
        <v>2025-09-22</v>
      </c>
      <c r="I187" s="64">
        <f>DATEVALUE(tblLaborEntries[[#This Row],[Work date]])</f>
        <v>45927.0</v>
      </c>
    </row>
    <row r="188" spans="1:9" ht="15" x14ac:dyDescent="0.25">
      <c r="A188" s="53" t="inlineStr">
        <is>
          <t>LAB-000187</t>
        </is>
      </c>
      <c r="B188" s="53" t="inlineStr">
        <is>
          <t>WP-00086</t>
        </is>
      </c>
      <c r="C188" s="53" t="inlineStr">
        <is>
          <t>TECH-020</t>
        </is>
      </c>
      <c r="D188" s="53" t="inlineStr">
        <is>
          <t>Avionics</t>
        </is>
      </c>
      <c r="E188" s="53" t="inlineStr">
        <is>
          <t>2025-09-28</t>
        </is>
      </c>
      <c r="F188" s="53">
        <v>4</v>
      </c>
      <c r="G188" s="53">
        <v>0</v>
      </c>
      <c r="H188" s="51" t="str">
        <f>TEXT(tblLaborEntries[[#This Row],[Work date serial]]-WEEKDAY(tblLaborEntries[[#This Row],[Work date serial]],3),"yyyy-mm-dd")</f>
        <v>2025-09-22</v>
      </c>
      <c r="I188" s="64">
        <f>DATEVALUE(tblLaborEntries[[#This Row],[Work date]])</f>
        <v>45928.0</v>
      </c>
    </row>
    <row r="189" spans="1:9" ht="15" x14ac:dyDescent="0.25">
      <c r="A189" s="53" t="inlineStr">
        <is>
          <t>LAB-000188</t>
        </is>
      </c>
      <c r="B189" s="53" t="inlineStr">
        <is>
          <t>WP-00087</t>
        </is>
      </c>
      <c r="C189" s="53" t="inlineStr">
        <is>
          <t>TECH-002</t>
        </is>
      </c>
      <c r="D189" s="53" t="inlineStr">
        <is>
          <t>Avionics</t>
        </is>
      </c>
      <c r="E189" s="53" t="inlineStr">
        <is>
          <t>2025-04-25</t>
        </is>
      </c>
      <c r="F189" s="53">
        <v>0.2</v>
      </c>
      <c r="G189" s="53">
        <v>0</v>
      </c>
      <c r="H189" s="51" t="str">
        <f>TEXT(tblLaborEntries[[#This Row],[Work date serial]]-WEEKDAY(tblLaborEntries[[#This Row],[Work date serial]],3),"yyyy-mm-dd")</f>
        <v>2025-04-21</v>
      </c>
      <c r="I189" s="64">
        <f>DATEVALUE(tblLaborEntries[[#This Row],[Work date]])</f>
        <v>45772.0</v>
      </c>
    </row>
    <row r="190" spans="1:9" ht="15" x14ac:dyDescent="0.25">
      <c r="A190" s="53" t="inlineStr">
        <is>
          <t>LAB-000189</t>
        </is>
      </c>
      <c r="B190" s="53" t="inlineStr">
        <is>
          <t>WP-00087</t>
        </is>
      </c>
      <c r="C190" s="53" t="inlineStr">
        <is>
          <t>TECH-020</t>
        </is>
      </c>
      <c r="D190" s="53" t="inlineStr">
        <is>
          <t>Avionics</t>
        </is>
      </c>
      <c r="E190" s="53" t="inlineStr">
        <is>
          <t>2025-04-25</t>
        </is>
      </c>
      <c r="F190" s="53">
        <v>12</v>
      </c>
      <c r="G190" s="53">
        <v>4</v>
      </c>
      <c r="H190" s="51" t="str">
        <f>TEXT(tblLaborEntries[[#This Row],[Work date serial]]-WEEKDAY(tblLaborEntries[[#This Row],[Work date serial]],3),"yyyy-mm-dd")</f>
        <v>2025-04-21</v>
      </c>
      <c r="I190" s="64">
        <f>DATEVALUE(tblLaborEntries[[#This Row],[Work date]])</f>
        <v>45772.0</v>
      </c>
    </row>
    <row r="191" spans="1:9" ht="15" x14ac:dyDescent="0.25">
      <c r="A191" s="53" t="inlineStr">
        <is>
          <t>LAB-000190</t>
        </is>
      </c>
      <c r="B191" s="53" t="inlineStr">
        <is>
          <t>WP-00087</t>
        </is>
      </c>
      <c r="C191" s="53" t="inlineStr">
        <is>
          <t>TECH-014</t>
        </is>
      </c>
      <c r="D191" s="53" t="inlineStr">
        <is>
          <t>Avionics</t>
        </is>
      </c>
      <c r="E191" s="53" t="inlineStr">
        <is>
          <t>2025-04-26</t>
        </is>
      </c>
      <c r="F191" s="53">
        <v>1.3</v>
      </c>
      <c r="G191" s="53">
        <v>0</v>
      </c>
      <c r="H191" s="51" t="str">
        <f>TEXT(tblLaborEntries[[#This Row],[Work date serial]]-WEEKDAY(tblLaborEntries[[#This Row],[Work date serial]],3),"yyyy-mm-dd")</f>
        <v>2025-04-21</v>
      </c>
      <c r="I191" s="64">
        <f>DATEVALUE(tblLaborEntries[[#This Row],[Work date]])</f>
        <v>45773.0</v>
      </c>
    </row>
    <row r="192" spans="1:9" ht="15" x14ac:dyDescent="0.25">
      <c r="A192" s="53" t="inlineStr">
        <is>
          <t>LAB-000191</t>
        </is>
      </c>
      <c r="B192" s="53" t="inlineStr">
        <is>
          <t>WP-00087</t>
        </is>
      </c>
      <c r="C192" s="53" t="inlineStr">
        <is>
          <t>TECH-074</t>
        </is>
      </c>
      <c r="D192" s="53" t="inlineStr">
        <is>
          <t>Avionics</t>
        </is>
      </c>
      <c r="E192" s="53" t="inlineStr">
        <is>
          <t>2025-04-26</t>
        </is>
      </c>
      <c r="F192" s="53">
        <v>12</v>
      </c>
      <c r="G192" s="53">
        <v>4</v>
      </c>
      <c r="H192" s="51" t="str">
        <f>TEXT(tblLaborEntries[[#This Row],[Work date serial]]-WEEKDAY(tblLaborEntries[[#This Row],[Work date serial]],3),"yyyy-mm-dd")</f>
        <v>2025-04-21</v>
      </c>
      <c r="I192" s="64">
        <f>DATEVALUE(tblLaborEntries[[#This Row],[Work date]])</f>
        <v>45773.0</v>
      </c>
    </row>
    <row r="193" spans="1:9" ht="15" x14ac:dyDescent="0.25">
      <c r="A193" s="53" t="inlineStr">
        <is>
          <t>LAB-000192</t>
        </is>
      </c>
      <c r="B193" s="53" t="inlineStr">
        <is>
          <t>WP-00088</t>
        </is>
      </c>
      <c r="C193" s="53" t="inlineStr">
        <is>
          <t>TECH-003</t>
        </is>
      </c>
      <c r="D193" s="53" t="inlineStr">
        <is>
          <t>Hydraulics</t>
        </is>
      </c>
      <c r="E193" s="53" t="inlineStr">
        <is>
          <t>2024-04-22</t>
        </is>
      </c>
      <c r="F193" s="53">
        <v>3.1</v>
      </c>
      <c r="G193" s="53">
        <v>0</v>
      </c>
      <c r="H193" s="51" t="str">
        <f>TEXT(tblLaborEntries[[#This Row],[Work date serial]]-WEEKDAY(tblLaborEntries[[#This Row],[Work date serial]],3),"yyyy-mm-dd")</f>
        <v>2024-04-22</v>
      </c>
      <c r="I193" s="64">
        <f>DATEVALUE(tblLaborEntries[[#This Row],[Work date]])</f>
        <v>45404.0</v>
      </c>
    </row>
    <row r="194" spans="1:9" ht="15" x14ac:dyDescent="0.25">
      <c r="A194" s="53" t="inlineStr">
        <is>
          <t>LAB-000193</t>
        </is>
      </c>
      <c r="B194" s="53" t="inlineStr">
        <is>
          <t>WP-00088</t>
        </is>
      </c>
      <c r="C194" s="53" t="inlineStr">
        <is>
          <t>TECH-015</t>
        </is>
      </c>
      <c r="D194" s="53" t="inlineStr">
        <is>
          <t>Hydraulics</t>
        </is>
      </c>
      <c r="E194" s="53" t="inlineStr">
        <is>
          <t>2024-04-23</t>
        </is>
      </c>
      <c r="F194" s="53">
        <v>3.9</v>
      </c>
      <c r="G194" s="53">
        <v>0</v>
      </c>
      <c r="H194" s="51" t="str">
        <f>TEXT(tblLaborEntries[[#This Row],[Work date serial]]-WEEKDAY(tblLaborEntries[[#This Row],[Work date serial]],3),"yyyy-mm-dd")</f>
        <v>2024-04-22</v>
      </c>
      <c r="I194" s="64">
        <f>DATEVALUE(tblLaborEntries[[#This Row],[Work date]])</f>
        <v>45405.0</v>
      </c>
    </row>
    <row r="195" spans="1:9" ht="15" x14ac:dyDescent="0.25">
      <c r="A195" s="53" t="inlineStr">
        <is>
          <t>LAB-000194</t>
        </is>
      </c>
      <c r="B195" s="53" t="inlineStr">
        <is>
          <t>WP-00089</t>
        </is>
      </c>
      <c r="C195" s="53" t="inlineStr">
        <is>
          <t>TECH-044</t>
        </is>
      </c>
      <c r="D195" s="53" t="inlineStr">
        <is>
          <t>Avionics</t>
        </is>
      </c>
      <c r="E195" s="53" t="inlineStr">
        <is>
          <t>2024-03-02</t>
        </is>
      </c>
      <c r="F195" s="53">
        <v>10.5</v>
      </c>
      <c r="G195" s="53">
        <v>2.5</v>
      </c>
      <c r="H195" s="51" t="str">
        <f>TEXT(tblLaborEntries[[#This Row],[Work date serial]]-WEEKDAY(tblLaborEntries[[#This Row],[Work date serial]],3),"yyyy-mm-dd")</f>
        <v>2024-02-26</v>
      </c>
      <c r="I195" s="64">
        <f>DATEVALUE(tblLaborEntries[[#This Row],[Work date]])</f>
        <v>45353.0</v>
      </c>
    </row>
    <row r="196" spans="1:9" ht="15" x14ac:dyDescent="0.25">
      <c r="A196" s="53" t="inlineStr">
        <is>
          <t>LAB-000195</t>
        </is>
      </c>
      <c r="B196" s="53" t="inlineStr">
        <is>
          <t>WP-00090</t>
        </is>
      </c>
      <c r="C196" s="53" t="inlineStr">
        <is>
          <t>TECH-021</t>
        </is>
      </c>
      <c r="D196" s="53" t="inlineStr">
        <is>
          <t>Hydraulics</t>
        </is>
      </c>
      <c r="E196" s="53" t="inlineStr">
        <is>
          <t>2025-02-20</t>
        </is>
      </c>
      <c r="F196" s="53">
        <v>6.1</v>
      </c>
      <c r="G196" s="53">
        <v>0</v>
      </c>
      <c r="H196" s="51" t="str">
        <f>TEXT(tblLaborEntries[[#This Row],[Work date serial]]-WEEKDAY(tblLaborEntries[[#This Row],[Work date serial]],3),"yyyy-mm-dd")</f>
        <v>2025-02-17</v>
      </c>
      <c r="I196" s="64">
        <f>DATEVALUE(tblLaborEntries[[#This Row],[Work date]])</f>
        <v>45708.0</v>
      </c>
    </row>
    <row r="197" spans="1:9" ht="15" x14ac:dyDescent="0.25">
      <c r="A197" s="53" t="inlineStr">
        <is>
          <t>LAB-000196</t>
        </is>
      </c>
      <c r="B197" s="53" t="inlineStr">
        <is>
          <t>WP-00090</t>
        </is>
      </c>
      <c r="C197" s="53" t="inlineStr">
        <is>
          <t>TECH-075</t>
        </is>
      </c>
      <c r="D197" s="53" t="inlineStr">
        <is>
          <t>Hydraulics</t>
        </is>
      </c>
      <c r="E197" s="53" t="inlineStr">
        <is>
          <t>2025-02-21</t>
        </is>
      </c>
      <c r="F197" s="53">
        <v>6.4</v>
      </c>
      <c r="G197" s="53">
        <v>0</v>
      </c>
      <c r="H197" s="51" t="str">
        <f>TEXT(tblLaborEntries[[#This Row],[Work date serial]]-WEEKDAY(tblLaborEntries[[#This Row],[Work date serial]],3),"yyyy-mm-dd")</f>
        <v>2025-02-17</v>
      </c>
      <c r="I197" s="64">
        <f>DATEVALUE(tblLaborEntries[[#This Row],[Work date]])</f>
        <v>45709.0</v>
      </c>
    </row>
    <row r="198" spans="1:9" ht="15" x14ac:dyDescent="0.25">
      <c r="A198" s="53" t="inlineStr">
        <is>
          <t>LAB-000197</t>
        </is>
      </c>
      <c r="B198" s="53" t="inlineStr">
        <is>
          <t>WP-00090</t>
        </is>
      </c>
      <c r="C198" s="53" t="inlineStr">
        <is>
          <t>TECH-039</t>
        </is>
      </c>
      <c r="D198" s="53" t="inlineStr">
        <is>
          <t>Hydraulics</t>
        </is>
      </c>
      <c r="E198" s="53" t="inlineStr">
        <is>
          <t>2025-02-22</t>
        </is>
      </c>
      <c r="F198" s="53">
        <v>5.2</v>
      </c>
      <c r="G198" s="53">
        <v>0</v>
      </c>
      <c r="H198" s="51" t="str">
        <f>TEXT(tblLaborEntries[[#This Row],[Work date serial]]-WEEKDAY(tblLaborEntries[[#This Row],[Work date serial]],3),"yyyy-mm-dd")</f>
        <v>2025-02-17</v>
      </c>
      <c r="I198" s="64">
        <f>DATEVALUE(tblLaborEntries[[#This Row],[Work date]])</f>
        <v>45710.0</v>
      </c>
    </row>
    <row r="199" spans="1:9" ht="15" x14ac:dyDescent="0.25">
      <c r="A199" s="53" t="inlineStr">
        <is>
          <t>LAB-000198</t>
        </is>
      </c>
      <c r="B199" s="53" t="inlineStr">
        <is>
          <t>WP-00091</t>
        </is>
      </c>
      <c r="C199" s="53" t="inlineStr">
        <is>
          <t>TECH-024</t>
        </is>
      </c>
      <c r="D199" s="53" t="inlineStr">
        <is>
          <t>Powerplant</t>
        </is>
      </c>
      <c r="E199" s="53" t="inlineStr">
        <is>
          <t>2025-02-07</t>
        </is>
      </c>
      <c r="F199" s="53">
        <v>9.2</v>
      </c>
      <c r="G199" s="53">
        <v>1.2</v>
      </c>
      <c r="H199" s="51" t="str">
        <f>TEXT(tblLaborEntries[[#This Row],[Work date serial]]-WEEKDAY(tblLaborEntries[[#This Row],[Work date serial]],3),"yyyy-mm-dd")</f>
        <v>2025-02-03</v>
      </c>
      <c r="I199" s="64">
        <f>DATEVALUE(tblLaborEntries[[#This Row],[Work date]])</f>
        <v>45695.0</v>
      </c>
    </row>
    <row r="200" spans="1:9" ht="15" x14ac:dyDescent="0.25">
      <c r="A200" s="53" t="inlineStr">
        <is>
          <t>LAB-000199</t>
        </is>
      </c>
      <c r="B200" s="53" t="inlineStr">
        <is>
          <t>WP-00091</t>
        </is>
      </c>
      <c r="C200" s="53" t="inlineStr">
        <is>
          <t>TECH-006</t>
        </is>
      </c>
      <c r="D200" s="53" t="inlineStr">
        <is>
          <t>Powerplant</t>
        </is>
      </c>
      <c r="E200" s="53" t="inlineStr">
        <is>
          <t>2025-02-08</t>
        </is>
      </c>
      <c r="F200" s="53">
        <v>10.3</v>
      </c>
      <c r="G200" s="53">
        <v>2.3</v>
      </c>
      <c r="H200" s="51" t="str">
        <f>TEXT(tblLaborEntries[[#This Row],[Work date serial]]-WEEKDAY(tblLaborEntries[[#This Row],[Work date serial]],3),"yyyy-mm-dd")</f>
        <v>2025-02-03</v>
      </c>
      <c r="I200" s="64">
        <f>DATEVALUE(tblLaborEntries[[#This Row],[Work date]])</f>
        <v>45696.0</v>
      </c>
    </row>
    <row r="201" spans="1:9" ht="15" x14ac:dyDescent="0.25">
      <c r="A201" s="53" t="inlineStr">
        <is>
          <t>LAB-000200</t>
        </is>
      </c>
      <c r="B201" s="53" t="inlineStr">
        <is>
          <t>WP-00091</t>
        </is>
      </c>
      <c r="C201" s="53" t="inlineStr">
        <is>
          <t>TECH-072</t>
        </is>
      </c>
      <c r="D201" s="53" t="inlineStr">
        <is>
          <t>Powerplant</t>
        </is>
      </c>
      <c r="E201" s="53" t="inlineStr">
        <is>
          <t>2025-02-09</t>
        </is>
      </c>
      <c r="F201" s="53">
        <v>8</v>
      </c>
      <c r="G201" s="53">
        <v>0</v>
      </c>
      <c r="H201" s="51" t="str">
        <f>TEXT(tblLaborEntries[[#This Row],[Work date serial]]-WEEKDAY(tblLaborEntries[[#This Row],[Work date serial]],3),"yyyy-mm-dd")</f>
        <v>2025-02-03</v>
      </c>
      <c r="I201" s="64">
        <f>DATEVALUE(tblLaborEntries[[#This Row],[Work date]])</f>
        <v>45697.0</v>
      </c>
    </row>
    <row r="202" spans="1:9" ht="15" x14ac:dyDescent="0.25">
      <c r="A202" s="53" t="inlineStr">
        <is>
          <t>LAB-000201</t>
        </is>
      </c>
      <c r="B202" s="53" t="inlineStr">
        <is>
          <t>WP-00092</t>
        </is>
      </c>
      <c r="C202" s="53" t="inlineStr">
        <is>
          <t>TECH-066</t>
        </is>
      </c>
      <c r="D202" s="53" t="inlineStr">
        <is>
          <t>Powerplant</t>
        </is>
      </c>
      <c r="E202" s="53" t="inlineStr">
        <is>
          <t>2025-11-18</t>
        </is>
      </c>
      <c r="F202" s="53">
        <v>7.7</v>
      </c>
      <c r="G202" s="53">
        <v>0</v>
      </c>
      <c r="H202" s="51" t="str">
        <f>TEXT(tblLaborEntries[[#This Row],[Work date serial]]-WEEKDAY(tblLaborEntries[[#This Row],[Work date serial]],3),"yyyy-mm-dd")</f>
        <v>2025-11-17</v>
      </c>
      <c r="I202" s="64">
        <f>DATEVALUE(tblLaborEntries[[#This Row],[Work date]])</f>
        <v>45979.0</v>
      </c>
    </row>
    <row r="203" spans="1:9" ht="15" x14ac:dyDescent="0.25">
      <c r="A203" s="53" t="inlineStr">
        <is>
          <t>LAB-000202</t>
        </is>
      </c>
      <c r="B203" s="53" t="inlineStr">
        <is>
          <t>WP-00092</t>
        </is>
      </c>
      <c r="C203" s="53" t="inlineStr">
        <is>
          <t>TECH-054</t>
        </is>
      </c>
      <c r="D203" s="53" t="inlineStr">
        <is>
          <t>Powerplant</t>
        </is>
      </c>
      <c r="E203" s="53" t="inlineStr">
        <is>
          <t>2025-11-19</t>
        </is>
      </c>
      <c r="F203" s="53">
        <v>9.6</v>
      </c>
      <c r="G203" s="53">
        <v>1.6</v>
      </c>
      <c r="H203" s="51" t="str">
        <f>TEXT(tblLaborEntries[[#This Row],[Work date serial]]-WEEKDAY(tblLaborEntries[[#This Row],[Work date serial]],3),"yyyy-mm-dd")</f>
        <v>2025-11-17</v>
      </c>
      <c r="I203" s="64">
        <f>DATEVALUE(tblLaborEntries[[#This Row],[Work date]])</f>
        <v>45980.0</v>
      </c>
    </row>
    <row r="204" spans="1:9" ht="15" x14ac:dyDescent="0.25">
      <c r="A204" s="53" t="inlineStr">
        <is>
          <t>LAB-000203</t>
        </is>
      </c>
      <c r="B204" s="53" t="inlineStr">
        <is>
          <t>WP-00093</t>
        </is>
      </c>
      <c r="C204" s="53" t="inlineStr">
        <is>
          <t>TECH-074</t>
        </is>
      </c>
      <c r="D204" s="53" t="inlineStr">
        <is>
          <t>Avionics</t>
        </is>
      </c>
      <c r="E204" s="53" t="inlineStr">
        <is>
          <t>2025-01-09</t>
        </is>
      </c>
      <c r="F204" s="53">
        <v>5.5</v>
      </c>
      <c r="G204" s="53">
        <v>0</v>
      </c>
      <c r="H204" s="51" t="str">
        <f>TEXT(tblLaborEntries[[#This Row],[Work date serial]]-WEEKDAY(tblLaborEntries[[#This Row],[Work date serial]],3),"yyyy-mm-dd")</f>
        <v>2025-01-06</v>
      </c>
      <c r="I204" s="64">
        <f>DATEVALUE(tblLaborEntries[[#This Row],[Work date]])</f>
        <v>45666.0</v>
      </c>
    </row>
    <row r="205" spans="1:9" ht="15" x14ac:dyDescent="0.25">
      <c r="A205" s="53" t="inlineStr">
        <is>
          <t>LAB-000204</t>
        </is>
      </c>
      <c r="B205" s="53" t="inlineStr">
        <is>
          <t>WP-00093</t>
        </is>
      </c>
      <c r="C205" s="53" t="inlineStr">
        <is>
          <t>TECH-062</t>
        </is>
      </c>
      <c r="D205" s="53" t="inlineStr">
        <is>
          <t>Avionics</t>
        </is>
      </c>
      <c r="E205" s="53" t="inlineStr">
        <is>
          <t>2025-01-10</t>
        </is>
      </c>
      <c r="F205" s="53">
        <v>4.1</v>
      </c>
      <c r="G205" s="53">
        <v>0</v>
      </c>
      <c r="H205" s="51" t="str">
        <f>TEXT(tblLaborEntries[[#This Row],[Work date serial]]-WEEKDAY(tblLaborEntries[[#This Row],[Work date serial]],3),"yyyy-mm-dd")</f>
        <v>2025-01-06</v>
      </c>
      <c r="I205" s="64">
        <f>DATEVALUE(tblLaborEntries[[#This Row],[Work date]])</f>
        <v>45667.0</v>
      </c>
    </row>
    <row r="206" spans="1:9" ht="15" x14ac:dyDescent="0.25">
      <c r="A206" s="53" t="inlineStr">
        <is>
          <t>LAB-000205</t>
        </is>
      </c>
      <c r="B206" s="53" t="inlineStr">
        <is>
          <t>WP-00094</t>
        </is>
      </c>
      <c r="C206" s="53" t="inlineStr">
        <is>
          <t>TECH-048</t>
        </is>
      </c>
      <c r="D206" s="53" t="inlineStr">
        <is>
          <t>Powerplant</t>
        </is>
      </c>
      <c r="E206" s="53" t="inlineStr">
        <is>
          <t>2024-02-07</t>
        </is>
      </c>
      <c r="F206" s="53">
        <v>2.3</v>
      </c>
      <c r="G206" s="53">
        <v>0</v>
      </c>
      <c r="H206" s="51" t="str">
        <f>TEXT(tblLaborEntries[[#This Row],[Work date serial]]-WEEKDAY(tblLaborEntries[[#This Row],[Work date serial]],3),"yyyy-mm-dd")</f>
        <v>2024-02-05</v>
      </c>
      <c r="I206" s="64">
        <f>DATEVALUE(tblLaborEntries[[#This Row],[Work date]])</f>
        <v>45329.0</v>
      </c>
    </row>
    <row r="207" spans="1:9" ht="15" x14ac:dyDescent="0.25">
      <c r="A207" s="53" t="inlineStr">
        <is>
          <t>LAB-000206</t>
        </is>
      </c>
      <c r="B207" s="53" t="inlineStr">
        <is>
          <t>WP-00094</t>
        </is>
      </c>
      <c r="C207" s="53" t="inlineStr">
        <is>
          <t>TECH-018</t>
        </is>
      </c>
      <c r="D207" s="53" t="inlineStr">
        <is>
          <t>Powerplant</t>
        </is>
      </c>
      <c r="E207" s="53" t="inlineStr">
        <is>
          <t>2024-02-08</t>
        </is>
      </c>
      <c r="F207" s="53">
        <v>2.4</v>
      </c>
      <c r="G207" s="53">
        <v>0</v>
      </c>
      <c r="H207" s="51" t="str">
        <f>TEXT(tblLaborEntries[[#This Row],[Work date serial]]-WEEKDAY(tblLaborEntries[[#This Row],[Work date serial]],3),"yyyy-mm-dd")</f>
        <v>2024-02-05</v>
      </c>
      <c r="I207" s="64">
        <f>DATEVALUE(tblLaborEntries[[#This Row],[Work date]])</f>
        <v>45330.0</v>
      </c>
    </row>
    <row r="208" spans="1:9" ht="15" x14ac:dyDescent="0.25">
      <c r="A208" s="53" t="inlineStr">
        <is>
          <t>LAB-000207</t>
        </is>
      </c>
      <c r="B208" s="53" t="inlineStr">
        <is>
          <t>WP-00094</t>
        </is>
      </c>
      <c r="C208" s="53" t="inlineStr">
        <is>
          <t>TECH-054</t>
        </is>
      </c>
      <c r="D208" s="53" t="inlineStr">
        <is>
          <t>Powerplant</t>
        </is>
      </c>
      <c r="E208" s="53" t="inlineStr">
        <is>
          <t>2024-02-09</t>
        </is>
      </c>
      <c r="F208" s="53">
        <v>3.6</v>
      </c>
      <c r="G208" s="53">
        <v>0</v>
      </c>
      <c r="H208" s="51" t="str">
        <f>TEXT(tblLaborEntries[[#This Row],[Work date serial]]-WEEKDAY(tblLaborEntries[[#This Row],[Work date serial]],3),"yyyy-mm-dd")</f>
        <v>2024-02-05</v>
      </c>
      <c r="I208" s="64">
        <f>DATEVALUE(tblLaborEntries[[#This Row],[Work date]])</f>
        <v>45331.0</v>
      </c>
    </row>
    <row r="209" spans="1:9" ht="15" x14ac:dyDescent="0.25">
      <c r="A209" s="53" t="inlineStr">
        <is>
          <t>LAB-000208</t>
        </is>
      </c>
      <c r="B209" s="53" t="inlineStr">
        <is>
          <t>WP-00095</t>
        </is>
      </c>
      <c r="C209" s="53" t="inlineStr">
        <is>
          <t>TECH-002</t>
        </is>
      </c>
      <c r="D209" s="53" t="inlineStr">
        <is>
          <t>Avionics</t>
        </is>
      </c>
      <c r="E209" s="53" t="inlineStr">
        <is>
          <t>2025-09-06</t>
        </is>
      </c>
      <c r="F209" s="53">
        <v>9</v>
      </c>
      <c r="G209" s="53">
        <v>1</v>
      </c>
      <c r="H209" s="51" t="str">
        <f>TEXT(tblLaborEntries[[#This Row],[Work date serial]]-WEEKDAY(tblLaborEntries[[#This Row],[Work date serial]],3),"yyyy-mm-dd")</f>
        <v>2025-09-01</v>
      </c>
      <c r="I209" s="64">
        <f>DATEVALUE(tblLaborEntries[[#This Row],[Work date]])</f>
        <v>45906.0</v>
      </c>
    </row>
    <row r="210" spans="1:9" ht="15" x14ac:dyDescent="0.25">
      <c r="A210" s="53" t="inlineStr">
        <is>
          <t>LAB-000209</t>
        </is>
      </c>
      <c r="B210" s="53" t="inlineStr">
        <is>
          <t>WP-00096</t>
        </is>
      </c>
      <c r="C210" s="53" t="inlineStr">
        <is>
          <t>TECH-074</t>
        </is>
      </c>
      <c r="D210" s="53" t="inlineStr">
        <is>
          <t>Avionics</t>
        </is>
      </c>
      <c r="E210" s="53" t="inlineStr">
        <is>
          <t>2025-10-03</t>
        </is>
      </c>
      <c r="F210" s="53">
        <v>1.2</v>
      </c>
      <c r="G210" s="53">
        <v>0</v>
      </c>
      <c r="H210" s="51" t="str">
        <f>TEXT(tblLaborEntries[[#This Row],[Work date serial]]-WEEKDAY(tblLaborEntries[[#This Row],[Work date serial]],3),"yyyy-mm-dd")</f>
        <v>2025-09-29</v>
      </c>
      <c r="I210" s="64">
        <f>DATEVALUE(tblLaborEntries[[#This Row],[Work date]])</f>
        <v>45933.0</v>
      </c>
    </row>
    <row r="211" spans="1:9" ht="15" x14ac:dyDescent="0.25">
      <c r="A211" s="53" t="inlineStr">
        <is>
          <t>LAB-000210</t>
        </is>
      </c>
      <c r="B211" s="53" t="inlineStr">
        <is>
          <t>WP-00096</t>
        </is>
      </c>
      <c r="C211" s="53" t="inlineStr">
        <is>
          <t>TECH-020</t>
        </is>
      </c>
      <c r="D211" s="53" t="inlineStr">
        <is>
          <t>Avionics</t>
        </is>
      </c>
      <c r="E211" s="53" t="inlineStr">
        <is>
          <t>2025-10-04</t>
        </is>
      </c>
      <c r="F211" s="53">
        <v>1.7</v>
      </c>
      <c r="G211" s="53">
        <v>0</v>
      </c>
      <c r="H211" s="51" t="str">
        <f>TEXT(tblLaborEntries[[#This Row],[Work date serial]]-WEEKDAY(tblLaborEntries[[#This Row],[Work date serial]],3),"yyyy-mm-dd")</f>
        <v>2025-09-29</v>
      </c>
      <c r="I211" s="64">
        <f>DATEVALUE(tblLaborEntries[[#This Row],[Work date]])</f>
        <v>45934.0</v>
      </c>
    </row>
    <row r="212" spans="1:9" ht="15" x14ac:dyDescent="0.25">
      <c r="A212" s="53" t="inlineStr">
        <is>
          <t>LAB-000211</t>
        </is>
      </c>
      <c r="B212" s="53" t="inlineStr">
        <is>
          <t>WP-00096</t>
        </is>
      </c>
      <c r="C212" s="53" t="inlineStr">
        <is>
          <t>TECH-062</t>
        </is>
      </c>
      <c r="D212" s="53" t="inlineStr">
        <is>
          <t>Avionics</t>
        </is>
      </c>
      <c r="E212" s="53" t="inlineStr">
        <is>
          <t>2025-10-05</t>
        </is>
      </c>
      <c r="F212" s="53">
        <v>1.7</v>
      </c>
      <c r="G212" s="53">
        <v>0</v>
      </c>
      <c r="H212" s="51" t="str">
        <f>TEXT(tblLaborEntries[[#This Row],[Work date serial]]-WEEKDAY(tblLaborEntries[[#This Row],[Work date serial]],3),"yyyy-mm-dd")</f>
        <v>2025-09-29</v>
      </c>
      <c r="I212" s="64">
        <f>DATEVALUE(tblLaborEntries[[#This Row],[Work date]])</f>
        <v>45935.0</v>
      </c>
    </row>
    <row r="213" spans="1:9" ht="15" x14ac:dyDescent="0.25">
      <c r="A213" s="53" t="inlineStr">
        <is>
          <t>LAB-000212</t>
        </is>
      </c>
      <c r="B213" s="53" t="inlineStr">
        <is>
          <t>WP-00097</t>
        </is>
      </c>
      <c r="C213" s="53" t="inlineStr">
        <is>
          <t>TECH-061</t>
        </is>
      </c>
      <c r="D213" s="53" t="inlineStr">
        <is>
          <t>Airframe</t>
        </is>
      </c>
      <c r="E213" s="53" t="inlineStr">
        <is>
          <t>2024-02-29</t>
        </is>
      </c>
      <c r="F213" s="53">
        <v>1.8</v>
      </c>
      <c r="G213" s="53">
        <v>0</v>
      </c>
      <c r="H213" s="51" t="str">
        <f>TEXT(tblLaborEntries[[#This Row],[Work date serial]]-WEEKDAY(tblLaborEntries[[#This Row],[Work date serial]],3),"yyyy-mm-dd")</f>
        <v>2024-02-26</v>
      </c>
      <c r="I213" s="64">
        <f>DATEVALUE(tblLaborEntries[[#This Row],[Work date]])</f>
        <v>45351.0</v>
      </c>
    </row>
    <row r="214" spans="1:9" ht="15" x14ac:dyDescent="0.25">
      <c r="A214" s="53" t="inlineStr">
        <is>
          <t>LAB-000213</t>
        </is>
      </c>
      <c r="B214" s="53" t="inlineStr">
        <is>
          <t>WP-00097</t>
        </is>
      </c>
      <c r="C214" s="53" t="inlineStr">
        <is>
          <t>TECH-043</t>
        </is>
      </c>
      <c r="D214" s="53" t="inlineStr">
        <is>
          <t>Airframe</t>
        </is>
      </c>
      <c r="E214" s="53" t="inlineStr">
        <is>
          <t>2024-03-01</t>
        </is>
      </c>
      <c r="F214" s="53">
        <v>1.2</v>
      </c>
      <c r="G214" s="53">
        <v>0</v>
      </c>
      <c r="H214" s="51" t="str">
        <f>TEXT(tblLaborEntries[[#This Row],[Work date serial]]-WEEKDAY(tblLaborEntries[[#This Row],[Work date serial]],3),"yyyy-mm-dd")</f>
        <v>2024-02-26</v>
      </c>
      <c r="I214" s="64">
        <f>DATEVALUE(tblLaborEntries[[#This Row],[Work date]])</f>
        <v>45352.0</v>
      </c>
    </row>
    <row r="215" spans="1:9" ht="15" x14ac:dyDescent="0.25">
      <c r="A215" s="53" t="inlineStr">
        <is>
          <t>LAB-000214</t>
        </is>
      </c>
      <c r="B215" s="53" t="inlineStr">
        <is>
          <t>WP-00097</t>
        </is>
      </c>
      <c r="C215" s="53" t="inlineStr">
        <is>
          <t>TECH-073</t>
        </is>
      </c>
      <c r="D215" s="53" t="inlineStr">
        <is>
          <t>Airframe</t>
        </is>
      </c>
      <c r="E215" s="53" t="inlineStr">
        <is>
          <t>2024-03-02</t>
        </is>
      </c>
      <c r="F215" s="53">
        <v>1.7</v>
      </c>
      <c r="G215" s="53">
        <v>0</v>
      </c>
      <c r="H215" s="51" t="str">
        <f>TEXT(tblLaborEntries[[#This Row],[Work date serial]]-WEEKDAY(tblLaborEntries[[#This Row],[Work date serial]],3),"yyyy-mm-dd")</f>
        <v>2024-02-26</v>
      </c>
      <c r="I215" s="64">
        <f>DATEVALUE(tblLaborEntries[[#This Row],[Work date]])</f>
        <v>45353.0</v>
      </c>
    </row>
    <row r="216" spans="1:9" ht="15" x14ac:dyDescent="0.25">
      <c r="A216" s="53" t="inlineStr">
        <is>
          <t>LAB-000215</t>
        </is>
      </c>
      <c r="B216" s="53" t="inlineStr">
        <is>
          <t>WP-00098</t>
        </is>
      </c>
      <c r="C216" s="53" t="inlineStr">
        <is>
          <t>TECH-043</t>
        </is>
      </c>
      <c r="D216" s="53" t="inlineStr">
        <is>
          <t>Airframe</t>
        </is>
      </c>
      <c r="E216" s="53" t="inlineStr">
        <is>
          <t>2025-11-28</t>
        </is>
      </c>
      <c r="F216" s="53">
        <v>10.4</v>
      </c>
      <c r="G216" s="53">
        <v>2.4</v>
      </c>
      <c r="H216" s="51" t="str">
        <f>TEXT(tblLaborEntries[[#This Row],[Work date serial]]-WEEKDAY(tblLaborEntries[[#This Row],[Work date serial]],3),"yyyy-mm-dd")</f>
        <v>2025-11-24</v>
      </c>
      <c r="I216" s="64">
        <f>DATEVALUE(tblLaborEntries[[#This Row],[Work date]])</f>
        <v>45989.0</v>
      </c>
    </row>
    <row r="217" spans="1:9" ht="15" x14ac:dyDescent="0.25">
      <c r="A217" s="53" t="inlineStr">
        <is>
          <t>LAB-000216</t>
        </is>
      </c>
      <c r="B217" s="53" t="inlineStr">
        <is>
          <t>WP-00099</t>
        </is>
      </c>
      <c r="C217" s="53" t="inlineStr">
        <is>
          <t>TECH-060</t>
        </is>
      </c>
      <c r="D217" s="53" t="inlineStr">
        <is>
          <t>Powerplant</t>
        </is>
      </c>
      <c r="E217" s="53" t="inlineStr">
        <is>
          <t>2025-06-29</t>
        </is>
      </c>
      <c r="F217" s="53">
        <v>6</v>
      </c>
      <c r="G217" s="53">
        <v>0</v>
      </c>
      <c r="H217" s="51" t="str">
        <f>TEXT(tblLaborEntries[[#This Row],[Work date serial]]-WEEKDAY(tblLaborEntries[[#This Row],[Work date serial]],3),"yyyy-mm-dd")</f>
        <v>2025-06-23</v>
      </c>
      <c r="I217" s="64">
        <f>DATEVALUE(tblLaborEntries[[#This Row],[Work date]])</f>
        <v>45837.0</v>
      </c>
    </row>
    <row r="218" spans="1:9" ht="15" x14ac:dyDescent="0.25">
      <c r="A218" s="53" t="inlineStr">
        <is>
          <t>LAB-000217</t>
        </is>
      </c>
      <c r="B218" s="53" t="inlineStr">
        <is>
          <t>WP-00099</t>
        </is>
      </c>
      <c r="C218" s="53" t="inlineStr">
        <is>
          <t>TECH-054</t>
        </is>
      </c>
      <c r="D218" s="53" t="inlineStr">
        <is>
          <t>Powerplant</t>
        </is>
      </c>
      <c r="E218" s="53" t="inlineStr">
        <is>
          <t>2025-06-30</t>
        </is>
      </c>
      <c r="F218" s="53">
        <v>5.6</v>
      </c>
      <c r="G218" s="53">
        <v>0</v>
      </c>
      <c r="H218" s="51" t="str">
        <f>TEXT(tblLaborEntries[[#This Row],[Work date serial]]-WEEKDAY(tblLaborEntries[[#This Row],[Work date serial]],3),"yyyy-mm-dd")</f>
        <v>2025-06-30</v>
      </c>
      <c r="I218" s="64">
        <f>DATEVALUE(tblLaborEntries[[#This Row],[Work date]])</f>
        <v>45838.0</v>
      </c>
    </row>
    <row r="219" spans="1:9" ht="15" x14ac:dyDescent="0.25">
      <c r="A219" s="53" t="inlineStr">
        <is>
          <t>LAB-000218</t>
        </is>
      </c>
      <c r="B219" s="53" t="inlineStr">
        <is>
          <t>WP-00100</t>
        </is>
      </c>
      <c r="C219" s="53" t="inlineStr">
        <is>
          <t>TECH-005</t>
        </is>
      </c>
      <c r="D219" s="53" t="inlineStr">
        <is>
          <t>Structures</t>
        </is>
      </c>
      <c r="E219" s="53" t="inlineStr">
        <is>
          <t>2025-02-17</t>
        </is>
      </c>
      <c r="F219" s="53">
        <v>12</v>
      </c>
      <c r="G219" s="53">
        <v>4</v>
      </c>
      <c r="H219" s="51" t="str">
        <f>TEXT(tblLaborEntries[[#This Row],[Work date serial]]-WEEKDAY(tblLaborEntries[[#This Row],[Work date serial]],3),"yyyy-mm-dd")</f>
        <v>2025-02-17</v>
      </c>
      <c r="I219" s="64">
        <f>DATEVALUE(tblLaborEntries[[#This Row],[Work date]])</f>
        <v>45705.0</v>
      </c>
    </row>
    <row r="220" spans="1:9" ht="15" x14ac:dyDescent="0.25">
      <c r="A220" s="53" t="inlineStr">
        <is>
          <t>LAB-000219</t>
        </is>
      </c>
      <c r="B220" s="53" t="inlineStr">
        <is>
          <t>WP-00100</t>
        </is>
      </c>
      <c r="C220" s="53" t="inlineStr">
        <is>
          <t>TECH-011</t>
        </is>
      </c>
      <c r="D220" s="53" t="inlineStr">
        <is>
          <t>Structures</t>
        </is>
      </c>
      <c r="E220" s="53" t="inlineStr">
        <is>
          <t>2025-02-17</t>
        </is>
      </c>
      <c r="F220" s="53">
        <v>1.5</v>
      </c>
      <c r="G220" s="53">
        <v>0</v>
      </c>
      <c r="H220" s="51" t="str">
        <f>TEXT(tblLaborEntries[[#This Row],[Work date serial]]-WEEKDAY(tblLaborEntries[[#This Row],[Work date serial]],3),"yyyy-mm-dd")</f>
        <v>2025-02-17</v>
      </c>
      <c r="I220" s="64">
        <f>DATEVALUE(tblLaborEntries[[#This Row],[Work date]])</f>
        <v>45705.0</v>
      </c>
    </row>
    <row r="221" spans="1:9" ht="15" x14ac:dyDescent="0.25">
      <c r="A221" s="53" t="inlineStr">
        <is>
          <t>LAB-000220</t>
        </is>
      </c>
      <c r="B221" s="53" t="inlineStr">
        <is>
          <t>WP-00100</t>
        </is>
      </c>
      <c r="C221" s="53" t="inlineStr">
        <is>
          <t>TECH-017</t>
        </is>
      </c>
      <c r="D221" s="53" t="inlineStr">
        <is>
          <t>Structures</t>
        </is>
      </c>
      <c r="E221" s="53" t="inlineStr">
        <is>
          <t>2025-02-17</t>
        </is>
      </c>
      <c r="F221" s="53">
        <v>12</v>
      </c>
      <c r="G221" s="53">
        <v>4</v>
      </c>
      <c r="H221" s="51" t="str">
        <f>TEXT(tblLaborEntries[[#This Row],[Work date serial]]-WEEKDAY(tblLaborEntries[[#This Row],[Work date serial]],3),"yyyy-mm-dd")</f>
        <v>2025-02-17</v>
      </c>
      <c r="I221" s="64">
        <f>DATEVALUE(tblLaborEntries[[#This Row],[Work date]])</f>
        <v>45705.0</v>
      </c>
    </row>
    <row r="222" spans="1:9" ht="15" x14ac:dyDescent="0.25">
      <c r="A222" s="53" t="inlineStr">
        <is>
          <t>LAB-000221</t>
        </is>
      </c>
      <c r="B222" s="53" t="inlineStr">
        <is>
          <t>WP-00101</t>
        </is>
      </c>
      <c r="C222" s="53" t="inlineStr">
        <is>
          <t>TECH-067</t>
        </is>
      </c>
      <c r="D222" s="53" t="inlineStr">
        <is>
          <t>Airframe</t>
        </is>
      </c>
      <c r="E222" s="53" t="inlineStr">
        <is>
          <t>2025-05-19</t>
        </is>
      </c>
      <c r="F222" s="53">
        <v>9</v>
      </c>
      <c r="G222" s="53">
        <v>1</v>
      </c>
      <c r="H222" s="51" t="str">
        <f>TEXT(tblLaborEntries[[#This Row],[Work date serial]]-WEEKDAY(tblLaborEntries[[#This Row],[Work date serial]],3),"yyyy-mm-dd")</f>
        <v>2025-05-19</v>
      </c>
      <c r="I222" s="64">
        <f>DATEVALUE(tblLaborEntries[[#This Row],[Work date]])</f>
        <v>45796.0</v>
      </c>
    </row>
    <row r="223" spans="1:9" ht="15" x14ac:dyDescent="0.25">
      <c r="A223" s="53" t="inlineStr">
        <is>
          <t>LAB-000222</t>
        </is>
      </c>
      <c r="B223" s="53" t="inlineStr">
        <is>
          <t>WP-00102</t>
        </is>
      </c>
      <c r="C223" s="53" t="inlineStr">
        <is>
          <t>TECH-072</t>
        </is>
      </c>
      <c r="D223" s="53" t="inlineStr">
        <is>
          <t>Powerplant</t>
        </is>
      </c>
      <c r="E223" s="53" t="inlineStr">
        <is>
          <t>2024-10-20</t>
        </is>
      </c>
      <c r="F223" s="53">
        <v>6.6</v>
      </c>
      <c r="G223" s="53">
        <v>0</v>
      </c>
      <c r="H223" s="51" t="str">
        <f>TEXT(tblLaborEntries[[#This Row],[Work date serial]]-WEEKDAY(tblLaborEntries[[#This Row],[Work date serial]],3),"yyyy-mm-dd")</f>
        <v>2024-10-14</v>
      </c>
      <c r="I223" s="64">
        <f>DATEVALUE(tblLaborEntries[[#This Row],[Work date]])</f>
        <v>45585.0</v>
      </c>
    </row>
    <row r="224" spans="1:9" ht="15" x14ac:dyDescent="0.25">
      <c r="A224" s="53" t="inlineStr">
        <is>
          <t>LAB-000223</t>
        </is>
      </c>
      <c r="B224" s="53" t="inlineStr">
        <is>
          <t>WP-00102</t>
        </is>
      </c>
      <c r="C224" s="53" t="inlineStr">
        <is>
          <t>TECH-018</t>
        </is>
      </c>
      <c r="D224" s="53" t="inlineStr">
        <is>
          <t>Powerplant</t>
        </is>
      </c>
      <c r="E224" s="53" t="inlineStr">
        <is>
          <t>2024-10-21</t>
        </is>
      </c>
      <c r="F224" s="53">
        <v>7</v>
      </c>
      <c r="G224" s="53">
        <v>0</v>
      </c>
      <c r="H224" s="51" t="str">
        <f>TEXT(tblLaborEntries[[#This Row],[Work date serial]]-WEEKDAY(tblLaborEntries[[#This Row],[Work date serial]],3),"yyyy-mm-dd")</f>
        <v>2024-10-21</v>
      </c>
      <c r="I224" s="64">
        <f>DATEVALUE(tblLaborEntries[[#This Row],[Work date]])</f>
        <v>45586.0</v>
      </c>
    </row>
    <row r="225" spans="1:9" ht="15" x14ac:dyDescent="0.25">
      <c r="A225" s="53" t="inlineStr">
        <is>
          <t>LAB-000224</t>
        </is>
      </c>
      <c r="B225" s="53" t="inlineStr">
        <is>
          <t>WP-00103</t>
        </is>
      </c>
      <c r="C225" s="53" t="inlineStr">
        <is>
          <t>TECH-060</t>
        </is>
      </c>
      <c r="D225" s="53" t="inlineStr">
        <is>
          <t>Powerplant</t>
        </is>
      </c>
      <c r="E225" s="53" t="inlineStr">
        <is>
          <t>2024-04-18</t>
        </is>
      </c>
      <c r="F225" s="53">
        <v>9.1</v>
      </c>
      <c r="G225" s="53">
        <v>1.1</v>
      </c>
      <c r="H225" s="51" t="str">
        <f>TEXT(tblLaborEntries[[#This Row],[Work date serial]]-WEEKDAY(tblLaborEntries[[#This Row],[Work date serial]],3),"yyyy-mm-dd")</f>
        <v>2024-04-15</v>
      </c>
      <c r="I225" s="64">
        <f>DATEVALUE(tblLaborEntries[[#This Row],[Work date]])</f>
        <v>45400.0</v>
      </c>
    </row>
    <row r="226" spans="1:9" ht="15" x14ac:dyDescent="0.25">
      <c r="A226" s="53" t="inlineStr">
        <is>
          <t>LAB-000225</t>
        </is>
      </c>
      <c r="B226" s="53" t="inlineStr">
        <is>
          <t>WP-00103</t>
        </is>
      </c>
      <c r="C226" s="53" t="inlineStr">
        <is>
          <t>TECH-006</t>
        </is>
      </c>
      <c r="D226" s="53" t="inlineStr">
        <is>
          <t>Powerplant</t>
        </is>
      </c>
      <c r="E226" s="53" t="inlineStr">
        <is>
          <t>2024-04-19</t>
        </is>
      </c>
      <c r="F226" s="53">
        <v>11.6</v>
      </c>
      <c r="G226" s="53">
        <v>3.6</v>
      </c>
      <c r="H226" s="51" t="str">
        <f>TEXT(tblLaborEntries[[#This Row],[Work date serial]]-WEEKDAY(tblLaborEntries[[#This Row],[Work date serial]],3),"yyyy-mm-dd")</f>
        <v>2024-04-15</v>
      </c>
      <c r="I226" s="64">
        <f>DATEVALUE(tblLaborEntries[[#This Row],[Work date]])</f>
        <v>45401.0</v>
      </c>
    </row>
    <row r="227" spans="1:9" ht="15" x14ac:dyDescent="0.25">
      <c r="A227" s="53" t="inlineStr">
        <is>
          <t>LAB-000226</t>
        </is>
      </c>
      <c r="B227" s="53" t="inlineStr">
        <is>
          <t>WP-00104</t>
        </is>
      </c>
      <c r="C227" s="53" t="inlineStr">
        <is>
          <t>TECH-055</t>
        </is>
      </c>
      <c r="D227" s="53" t="inlineStr">
        <is>
          <t>Airframe</t>
        </is>
      </c>
      <c r="E227" s="53" t="inlineStr">
        <is>
          <t>2024-12-18</t>
        </is>
      </c>
      <c r="F227" s="53">
        <v>1.3</v>
      </c>
      <c r="G227" s="53">
        <v>0</v>
      </c>
      <c r="H227" s="51" t="str">
        <f>TEXT(tblLaborEntries[[#This Row],[Work date serial]]-WEEKDAY(tblLaborEntries[[#This Row],[Work date serial]],3),"yyyy-mm-dd")</f>
        <v>2024-12-16</v>
      </c>
      <c r="I227" s="64">
        <f>DATEVALUE(tblLaborEntries[[#This Row],[Work date]])</f>
        <v>45644.0</v>
      </c>
    </row>
    <row r="228" spans="1:9" ht="15" x14ac:dyDescent="0.25">
      <c r="A228" s="53" t="inlineStr">
        <is>
          <t>LAB-000227</t>
        </is>
      </c>
      <c r="B228" s="53" t="inlineStr">
        <is>
          <t>WP-00104</t>
        </is>
      </c>
      <c r="C228" s="53" t="inlineStr">
        <is>
          <t>TECH-067</t>
        </is>
      </c>
      <c r="D228" s="53" t="inlineStr">
        <is>
          <t>Airframe</t>
        </is>
      </c>
      <c r="E228" s="53" t="inlineStr">
        <is>
          <t>2024-12-19</t>
        </is>
      </c>
      <c r="F228" s="53">
        <v>1.2</v>
      </c>
      <c r="G228" s="53">
        <v>0</v>
      </c>
      <c r="H228" s="51" t="str">
        <f>TEXT(tblLaborEntries[[#This Row],[Work date serial]]-WEEKDAY(tblLaborEntries[[#This Row],[Work date serial]],3),"yyyy-mm-dd")</f>
        <v>2024-12-16</v>
      </c>
      <c r="I228" s="64">
        <f>DATEVALUE(tblLaborEntries[[#This Row],[Work date]])</f>
        <v>45645.0</v>
      </c>
    </row>
    <row r="229" spans="1:9" ht="15" x14ac:dyDescent="0.25">
      <c r="A229" s="53" t="inlineStr">
        <is>
          <t>LAB-000228</t>
        </is>
      </c>
      <c r="B229" s="53" t="inlineStr">
        <is>
          <t>WP-00104</t>
        </is>
      </c>
      <c r="C229" s="53" t="inlineStr">
        <is>
          <t>TECH-031</t>
        </is>
      </c>
      <c r="D229" s="53" t="inlineStr">
        <is>
          <t>Airframe</t>
        </is>
      </c>
      <c r="E229" s="53" t="inlineStr">
        <is>
          <t>2024-12-20</t>
        </is>
      </c>
      <c r="F229" s="53">
        <v>1.2</v>
      </c>
      <c r="G229" s="53">
        <v>0</v>
      </c>
      <c r="H229" s="51" t="str">
        <f>TEXT(tblLaborEntries[[#This Row],[Work date serial]]-WEEKDAY(tblLaborEntries[[#This Row],[Work date serial]],3),"yyyy-mm-dd")</f>
        <v>2024-12-16</v>
      </c>
      <c r="I229" s="64">
        <f>DATEVALUE(tblLaborEntries[[#This Row],[Work date]])</f>
        <v>45646.0</v>
      </c>
    </row>
    <row r="230" spans="1:9" ht="15" x14ac:dyDescent="0.25">
      <c r="A230" s="53" t="inlineStr">
        <is>
          <t>LAB-000229</t>
        </is>
      </c>
      <c r="B230" s="53" t="inlineStr">
        <is>
          <t>WP-00105</t>
        </is>
      </c>
      <c r="C230" s="53" t="inlineStr">
        <is>
          <t>TECH-005</t>
        </is>
      </c>
      <c r="D230" s="53" t="inlineStr">
        <is>
          <t>Structures</t>
        </is>
      </c>
      <c r="E230" s="53" t="inlineStr">
        <is>
          <t>2024-12-24</t>
        </is>
      </c>
      <c r="F230" s="53">
        <v>0.2</v>
      </c>
      <c r="G230" s="53">
        <v>0</v>
      </c>
      <c r="H230" s="51" t="str">
        <f>TEXT(tblLaborEntries[[#This Row],[Work date serial]]-WEEKDAY(tblLaborEntries[[#This Row],[Work date serial]],3),"yyyy-mm-dd")</f>
        <v>2024-12-23</v>
      </c>
      <c r="I230" s="64">
        <f>DATEVALUE(tblLaborEntries[[#This Row],[Work date]])</f>
        <v>45650.0</v>
      </c>
    </row>
    <row r="231" spans="1:9" ht="15" x14ac:dyDescent="0.25">
      <c r="A231" s="53" t="inlineStr">
        <is>
          <t>LAB-000230</t>
        </is>
      </c>
      <c r="B231" s="53" t="inlineStr">
        <is>
          <t>WP-00105</t>
        </is>
      </c>
      <c r="C231" s="53" t="inlineStr">
        <is>
          <t>TECH-029</t>
        </is>
      </c>
      <c r="D231" s="53" t="inlineStr">
        <is>
          <t>Structures</t>
        </is>
      </c>
      <c r="E231" s="53" t="inlineStr">
        <is>
          <t>2024-12-24</t>
        </is>
      </c>
      <c r="F231" s="53">
        <v>12</v>
      </c>
      <c r="G231" s="53">
        <v>4</v>
      </c>
      <c r="H231" s="51" t="str">
        <f>TEXT(tblLaborEntries[[#This Row],[Work date serial]]-WEEKDAY(tblLaborEntries[[#This Row],[Work date serial]],3),"yyyy-mm-dd")</f>
        <v>2024-12-23</v>
      </c>
      <c r="I231" s="64">
        <f>DATEVALUE(tblLaborEntries[[#This Row],[Work date]])</f>
        <v>45650.0</v>
      </c>
    </row>
    <row r="232" spans="1:9" ht="15" x14ac:dyDescent="0.25">
      <c r="A232" s="53" t="inlineStr">
        <is>
          <t>LAB-000231</t>
        </is>
      </c>
      <c r="B232" s="53" t="inlineStr">
        <is>
          <t>WP-00105</t>
        </is>
      </c>
      <c r="C232" s="53" t="inlineStr">
        <is>
          <t>TECH-071</t>
        </is>
      </c>
      <c r="D232" s="53" t="inlineStr">
        <is>
          <t>Structures</t>
        </is>
      </c>
      <c r="E232" s="53" t="inlineStr">
        <is>
          <t>2024-12-25</t>
        </is>
      </c>
      <c r="F232" s="53">
        <v>11.6</v>
      </c>
      <c r="G232" s="53">
        <v>3.6</v>
      </c>
      <c r="H232" s="51" t="str">
        <f>TEXT(tblLaborEntries[[#This Row],[Work date serial]]-WEEKDAY(tblLaborEntries[[#This Row],[Work date serial]],3),"yyyy-mm-dd")</f>
        <v>2024-12-23</v>
      </c>
      <c r="I232" s="64">
        <f>DATEVALUE(tblLaborEntries[[#This Row],[Work date]])</f>
        <v>45651.0</v>
      </c>
    </row>
    <row r="233" spans="1:9" ht="15" x14ac:dyDescent="0.25">
      <c r="A233" s="53" t="inlineStr">
        <is>
          <t>LAB-000232</t>
        </is>
      </c>
      <c r="B233" s="53" t="inlineStr">
        <is>
          <t>WP-00105</t>
        </is>
      </c>
      <c r="C233" s="53" t="inlineStr">
        <is>
          <t>TECH-059</t>
        </is>
      </c>
      <c r="D233" s="53" t="inlineStr">
        <is>
          <t>Structures</t>
        </is>
      </c>
      <c r="E233" s="53" t="inlineStr">
        <is>
          <t>2024-12-26</t>
        </is>
      </c>
      <c r="F233" s="53">
        <v>8.5</v>
      </c>
      <c r="G233" s="53">
        <v>0.5</v>
      </c>
      <c r="H233" s="51" t="str">
        <f>TEXT(tblLaborEntries[[#This Row],[Work date serial]]-WEEKDAY(tblLaborEntries[[#This Row],[Work date serial]],3),"yyyy-mm-dd")</f>
        <v>2024-12-23</v>
      </c>
      <c r="I233" s="64">
        <f>DATEVALUE(tblLaborEntries[[#This Row],[Work date]])</f>
        <v>45652.0</v>
      </c>
    </row>
    <row r="234" spans="1:9" ht="15" x14ac:dyDescent="0.25">
      <c r="A234" s="53" t="inlineStr">
        <is>
          <t>LAB-000233</t>
        </is>
      </c>
      <c r="B234" s="53" t="inlineStr">
        <is>
          <t>WP-00106</t>
        </is>
      </c>
      <c r="C234" s="53" t="inlineStr">
        <is>
          <t>TECH-003</t>
        </is>
      </c>
      <c r="D234" s="53" t="inlineStr">
        <is>
          <t>Hydraulics</t>
        </is>
      </c>
      <c r="E234" s="53" t="inlineStr">
        <is>
          <t>2025-05-16</t>
        </is>
      </c>
      <c r="F234" s="53">
        <v>12</v>
      </c>
      <c r="G234" s="53">
        <v>4</v>
      </c>
      <c r="H234" s="51" t="str">
        <f>TEXT(tblLaborEntries[[#This Row],[Work date serial]]-WEEKDAY(tblLaborEntries[[#This Row],[Work date serial]],3),"yyyy-mm-dd")</f>
        <v>2025-05-12</v>
      </c>
      <c r="I234" s="64">
        <f>DATEVALUE(tblLaborEntries[[#This Row],[Work date]])</f>
        <v>45793.0</v>
      </c>
    </row>
    <row r="235" spans="1:9" ht="15" x14ac:dyDescent="0.25">
      <c r="A235" s="53" t="inlineStr">
        <is>
          <t>LAB-000234</t>
        </is>
      </c>
      <c r="B235" s="53" t="inlineStr">
        <is>
          <t>WP-00106</t>
        </is>
      </c>
      <c r="C235" s="53" t="inlineStr">
        <is>
          <t>TECH-009</t>
        </is>
      </c>
      <c r="D235" s="53" t="inlineStr">
        <is>
          <t>Hydraulics</t>
        </is>
      </c>
      <c r="E235" s="53" t="inlineStr">
        <is>
          <t>2025-05-16</t>
        </is>
      </c>
      <c r="F235" s="53">
        <v>6.9</v>
      </c>
      <c r="G235" s="53">
        <v>0</v>
      </c>
      <c r="H235" s="51" t="str">
        <f>TEXT(tblLaborEntries[[#This Row],[Work date serial]]-WEEKDAY(tblLaborEntries[[#This Row],[Work date serial]],3),"yyyy-mm-dd")</f>
        <v>2025-05-12</v>
      </c>
      <c r="I235" s="64">
        <f>DATEVALUE(tblLaborEntries[[#This Row],[Work date]])</f>
        <v>45793.0</v>
      </c>
    </row>
    <row r="236" spans="1:9" ht="15" x14ac:dyDescent="0.25">
      <c r="A236" s="53" t="inlineStr">
        <is>
          <t>LAB-000235</t>
        </is>
      </c>
      <c r="B236" s="53" t="inlineStr">
        <is>
          <t>WP-00107</t>
        </is>
      </c>
      <c r="C236" s="53" t="inlineStr">
        <is>
          <t>TECH-068</t>
        </is>
      </c>
      <c r="D236" s="53" t="inlineStr">
        <is>
          <t>Avionics</t>
        </is>
      </c>
      <c r="E236" s="53" t="inlineStr">
        <is>
          <t>2025-08-23</t>
        </is>
      </c>
      <c r="F236" s="53">
        <v>12</v>
      </c>
      <c r="G236" s="53">
        <v>4</v>
      </c>
      <c r="H236" s="51" t="str">
        <f>TEXT(tblLaborEntries[[#This Row],[Work date serial]]-WEEKDAY(tblLaborEntries[[#This Row],[Work date serial]],3),"yyyy-mm-dd")</f>
        <v>2025-08-18</v>
      </c>
      <c r="I236" s="64">
        <f>DATEVALUE(tblLaborEntries[[#This Row],[Work date]])</f>
        <v>45892.0</v>
      </c>
    </row>
    <row r="237" spans="1:9" ht="15" x14ac:dyDescent="0.25">
      <c r="A237" s="53" t="inlineStr">
        <is>
          <t>LAB-000236</t>
        </is>
      </c>
      <c r="B237" s="53" t="inlineStr">
        <is>
          <t>WP-00107</t>
        </is>
      </c>
      <c r="C237" s="53" t="inlineStr">
        <is>
          <t>TECH-068</t>
        </is>
      </c>
      <c r="D237" s="53" t="inlineStr">
        <is>
          <t>Avionics</t>
        </is>
      </c>
      <c r="E237" s="53" t="inlineStr">
        <is>
          <t>2025-08-24</t>
        </is>
      </c>
      <c r="F237" s="53">
        <v>10.9</v>
      </c>
      <c r="G237" s="53">
        <v>2.9</v>
      </c>
      <c r="H237" s="51" t="str">
        <f>TEXT(tblLaborEntries[[#This Row],[Work date serial]]-WEEKDAY(tblLaborEntries[[#This Row],[Work date serial]],3),"yyyy-mm-dd")</f>
        <v>2025-08-18</v>
      </c>
      <c r="I237" s="64">
        <f>DATEVALUE(tblLaborEntries[[#This Row],[Work date]])</f>
        <v>45893.0</v>
      </c>
    </row>
    <row r="238" spans="1:9" ht="15" x14ac:dyDescent="0.25">
      <c r="A238" s="53" t="inlineStr">
        <is>
          <t>LAB-000237</t>
        </is>
      </c>
      <c r="B238" s="53" t="inlineStr">
        <is>
          <t>WP-00108</t>
        </is>
      </c>
      <c r="C238" s="53" t="inlineStr">
        <is>
          <t>TECH-012</t>
        </is>
      </c>
      <c r="D238" s="53" t="inlineStr">
        <is>
          <t>Powerplant</t>
        </is>
      </c>
      <c r="E238" s="53" t="inlineStr">
        <is>
          <t>2024-07-24</t>
        </is>
      </c>
      <c r="F238" s="53">
        <v>7.9</v>
      </c>
      <c r="G238" s="53">
        <v>0</v>
      </c>
      <c r="H238" s="51" t="str">
        <f>TEXT(tblLaborEntries[[#This Row],[Work date serial]]-WEEKDAY(tblLaborEntries[[#This Row],[Work date serial]],3),"yyyy-mm-dd")</f>
        <v>2024-07-22</v>
      </c>
      <c r="I238" s="64">
        <f>DATEVALUE(tblLaborEntries[[#This Row],[Work date]])</f>
        <v>45497.0</v>
      </c>
    </row>
    <row r="239" spans="1:9" ht="15" x14ac:dyDescent="0.25">
      <c r="A239" s="53" t="inlineStr">
        <is>
          <t>LAB-000238</t>
        </is>
      </c>
      <c r="B239" s="53" t="inlineStr">
        <is>
          <t>WP-00108</t>
        </is>
      </c>
      <c r="C239" s="53" t="inlineStr">
        <is>
          <t>TECH-042</t>
        </is>
      </c>
      <c r="D239" s="53" t="inlineStr">
        <is>
          <t>Powerplant</t>
        </is>
      </c>
      <c r="E239" s="53" t="inlineStr">
        <is>
          <t>2024-07-25</t>
        </is>
      </c>
      <c r="F239" s="53">
        <v>11.1</v>
      </c>
      <c r="G239" s="53">
        <v>3.1</v>
      </c>
      <c r="H239" s="51" t="str">
        <f>TEXT(tblLaborEntries[[#This Row],[Work date serial]]-WEEKDAY(tblLaborEntries[[#This Row],[Work date serial]],3),"yyyy-mm-dd")</f>
        <v>2024-07-22</v>
      </c>
      <c r="I239" s="64">
        <f>DATEVALUE(tblLaborEntries[[#This Row],[Work date]])</f>
        <v>45498.0</v>
      </c>
    </row>
    <row r="240" spans="1:9" ht="15" x14ac:dyDescent="0.25">
      <c r="A240" s="53" t="inlineStr">
        <is>
          <t>LAB-000239</t>
        </is>
      </c>
      <c r="B240" s="53" t="inlineStr">
        <is>
          <t>WP-00109</t>
        </is>
      </c>
      <c r="C240" s="53" t="inlineStr">
        <is>
          <t>TECH-048</t>
        </is>
      </c>
      <c r="D240" s="53" t="inlineStr">
        <is>
          <t>Powerplant</t>
        </is>
      </c>
      <c r="E240" s="53" t="inlineStr">
        <is>
          <t>2025-09-09</t>
        </is>
      </c>
      <c r="F240" s="53">
        <v>1.3</v>
      </c>
      <c r="G240" s="53">
        <v>0</v>
      </c>
      <c r="H240" s="51" t="str">
        <f>TEXT(tblLaborEntries[[#This Row],[Work date serial]]-WEEKDAY(tblLaborEntries[[#This Row],[Work date serial]],3),"yyyy-mm-dd")</f>
        <v>2025-09-08</v>
      </c>
      <c r="I240" s="64">
        <f>DATEVALUE(tblLaborEntries[[#This Row],[Work date]])</f>
        <v>45909.0</v>
      </c>
    </row>
    <row r="241" spans="1:9" ht="15" x14ac:dyDescent="0.25">
      <c r="A241" s="53" t="inlineStr">
        <is>
          <t>LAB-000240</t>
        </is>
      </c>
      <c r="B241" s="53" t="inlineStr">
        <is>
          <t>WP-00109</t>
        </is>
      </c>
      <c r="C241" s="53" t="inlineStr">
        <is>
          <t>TECH-024</t>
        </is>
      </c>
      <c r="D241" s="53" t="inlineStr">
        <is>
          <t>Powerplant</t>
        </is>
      </c>
      <c r="E241" s="53" t="inlineStr">
        <is>
          <t>2025-09-10</t>
        </is>
      </c>
      <c r="F241" s="53">
        <v>1.6</v>
      </c>
      <c r="G241" s="53">
        <v>0</v>
      </c>
      <c r="H241" s="51" t="str">
        <f>TEXT(tblLaborEntries[[#This Row],[Work date serial]]-WEEKDAY(tblLaborEntries[[#This Row],[Work date serial]],3),"yyyy-mm-dd")</f>
        <v>2025-09-08</v>
      </c>
      <c r="I241" s="64">
        <f>DATEVALUE(tblLaborEntries[[#This Row],[Work date]])</f>
        <v>45910.0</v>
      </c>
    </row>
    <row r="242" spans="1:9" ht="15" x14ac:dyDescent="0.25">
      <c r="A242" s="53" t="inlineStr">
        <is>
          <t>LAB-000241</t>
        </is>
      </c>
      <c r="B242" s="53" t="inlineStr">
        <is>
          <t>WP-00109</t>
        </is>
      </c>
      <c r="C242" s="53" t="inlineStr">
        <is>
          <t>TECH-012</t>
        </is>
      </c>
      <c r="D242" s="53" t="inlineStr">
        <is>
          <t>Powerplant</t>
        </is>
      </c>
      <c r="E242" s="53" t="inlineStr">
        <is>
          <t>2025-09-11</t>
        </is>
      </c>
      <c r="F242" s="53">
        <v>1.3</v>
      </c>
      <c r="G242" s="53">
        <v>0</v>
      </c>
      <c r="H242" s="51" t="str">
        <f>TEXT(tblLaborEntries[[#This Row],[Work date serial]]-WEEKDAY(tblLaborEntries[[#This Row],[Work date serial]],3),"yyyy-mm-dd")</f>
        <v>2025-09-08</v>
      </c>
      <c r="I242" s="64">
        <f>DATEVALUE(tblLaborEntries[[#This Row],[Work date]])</f>
        <v>45911.0</v>
      </c>
    </row>
    <row r="243" spans="1:9" ht="15" x14ac:dyDescent="0.25">
      <c r="A243" s="53" t="inlineStr">
        <is>
          <t>LAB-000242</t>
        </is>
      </c>
      <c r="B243" s="53" t="inlineStr">
        <is>
          <t>WP-00110</t>
        </is>
      </c>
      <c r="C243" s="53" t="inlineStr">
        <is>
          <t>TECH-038</t>
        </is>
      </c>
      <c r="D243" s="53" t="inlineStr">
        <is>
          <t>Avionics</t>
        </is>
      </c>
      <c r="E243" s="53" t="inlineStr">
        <is>
          <t>2025-09-01</t>
        </is>
      </c>
      <c r="F243" s="53">
        <v>3.4</v>
      </c>
      <c r="G243" s="53">
        <v>0</v>
      </c>
      <c r="H243" s="51" t="str">
        <f>TEXT(tblLaborEntries[[#This Row],[Work date serial]]-WEEKDAY(tblLaborEntries[[#This Row],[Work date serial]],3),"yyyy-mm-dd")</f>
        <v>2025-09-01</v>
      </c>
      <c r="I243" s="64">
        <f>DATEVALUE(tblLaborEntries[[#This Row],[Work date]])</f>
        <v>45901.0</v>
      </c>
    </row>
    <row r="244" spans="1:9" ht="15" x14ac:dyDescent="0.25">
      <c r="A244" s="53" t="inlineStr">
        <is>
          <t>LAB-000243</t>
        </is>
      </c>
      <c r="B244" s="53" t="inlineStr">
        <is>
          <t>WP-00110</t>
        </is>
      </c>
      <c r="C244" s="53" t="inlineStr">
        <is>
          <t>TECH-050</t>
        </is>
      </c>
      <c r="D244" s="53" t="inlineStr">
        <is>
          <t>Avionics</t>
        </is>
      </c>
      <c r="E244" s="53" t="inlineStr">
        <is>
          <t>2025-09-02</t>
        </is>
      </c>
      <c r="F244" s="53">
        <v>4.8</v>
      </c>
      <c r="G244" s="53">
        <v>0</v>
      </c>
      <c r="H244" s="51" t="str">
        <f>TEXT(tblLaborEntries[[#This Row],[Work date serial]]-WEEKDAY(tblLaborEntries[[#This Row],[Work date serial]],3),"yyyy-mm-dd")</f>
        <v>2025-09-01</v>
      </c>
      <c r="I244" s="64">
        <f>DATEVALUE(tblLaborEntries[[#This Row],[Work date]])</f>
        <v>45902.0</v>
      </c>
    </row>
    <row r="245" spans="1:9" ht="15" x14ac:dyDescent="0.25">
      <c r="A245" s="53" t="inlineStr">
        <is>
          <t>LAB-000244</t>
        </is>
      </c>
      <c r="B245" s="53" t="inlineStr">
        <is>
          <t>WP-00110</t>
        </is>
      </c>
      <c r="C245" s="53" t="inlineStr">
        <is>
          <t>TECH-044</t>
        </is>
      </c>
      <c r="D245" s="53" t="inlineStr">
        <is>
          <t>Avionics</t>
        </is>
      </c>
      <c r="E245" s="53" t="inlineStr">
        <is>
          <t>2025-09-03</t>
        </is>
      </c>
      <c r="F245" s="53">
        <v>4.3</v>
      </c>
      <c r="G245" s="53">
        <v>0</v>
      </c>
      <c r="H245" s="51" t="str">
        <f>TEXT(tblLaborEntries[[#This Row],[Work date serial]]-WEEKDAY(tblLaborEntries[[#This Row],[Work date serial]],3),"yyyy-mm-dd")</f>
        <v>2025-09-01</v>
      </c>
      <c r="I245" s="64">
        <f>DATEVALUE(tblLaborEntries[[#This Row],[Work date]])</f>
        <v>45903.0</v>
      </c>
    </row>
    <row r="246" spans="1:9" ht="15" x14ac:dyDescent="0.25">
      <c r="A246" s="53" t="inlineStr">
        <is>
          <t>LAB-000245</t>
        </is>
      </c>
      <c r="B246" s="53" t="inlineStr">
        <is>
          <t>WP-00111</t>
        </is>
      </c>
      <c r="C246" s="53" t="inlineStr">
        <is>
          <t>TECH-068</t>
        </is>
      </c>
      <c r="D246" s="53" t="inlineStr">
        <is>
          <t>Avionics</t>
        </is>
      </c>
      <c r="E246" s="53" t="inlineStr">
        <is>
          <t>2024-11-03</t>
        </is>
      </c>
      <c r="F246" s="53">
        <v>3.7</v>
      </c>
      <c r="G246" s="53">
        <v>0</v>
      </c>
      <c r="H246" s="51" t="str">
        <f>TEXT(tblLaborEntries[[#This Row],[Work date serial]]-WEEKDAY(tblLaborEntries[[#This Row],[Work date serial]],3),"yyyy-mm-dd")</f>
        <v>2024-10-28</v>
      </c>
      <c r="I246" s="64">
        <f>DATEVALUE(tblLaborEntries[[#This Row],[Work date]])</f>
        <v>45599.0</v>
      </c>
    </row>
    <row r="247" spans="1:9" ht="15" x14ac:dyDescent="0.25">
      <c r="A247" s="53" t="inlineStr">
        <is>
          <t>LAB-000246</t>
        </is>
      </c>
      <c r="B247" s="53" t="inlineStr">
        <is>
          <t>WP-00111</t>
        </is>
      </c>
      <c r="C247" s="53" t="inlineStr">
        <is>
          <t>TECH-038</t>
        </is>
      </c>
      <c r="D247" s="53" t="inlineStr">
        <is>
          <t>Avionics</t>
        </is>
      </c>
      <c r="E247" s="53" t="inlineStr">
        <is>
          <t>2024-11-04</t>
        </is>
      </c>
      <c r="F247" s="53">
        <v>2.7</v>
      </c>
      <c r="G247" s="53">
        <v>0</v>
      </c>
      <c r="H247" s="51" t="str">
        <f>TEXT(tblLaborEntries[[#This Row],[Work date serial]]-WEEKDAY(tblLaborEntries[[#This Row],[Work date serial]],3),"yyyy-mm-dd")</f>
        <v>2024-11-04</v>
      </c>
      <c r="I247" s="64">
        <f>DATEVALUE(tblLaborEntries[[#This Row],[Work date]])</f>
        <v>45600.0</v>
      </c>
    </row>
    <row r="248" spans="1:9" ht="15" x14ac:dyDescent="0.25">
      <c r="A248" s="53" t="inlineStr">
        <is>
          <t>LAB-000247</t>
        </is>
      </c>
      <c r="B248" s="53" t="inlineStr">
        <is>
          <t>WP-00112</t>
        </is>
      </c>
      <c r="C248" s="53" t="inlineStr">
        <is>
          <t>TECH-001</t>
        </is>
      </c>
      <c r="D248" s="53" t="inlineStr">
        <is>
          <t>Airframe</t>
        </is>
      </c>
      <c r="E248" s="53" t="inlineStr">
        <is>
          <t>2025-11-14</t>
        </is>
      </c>
      <c r="F248" s="53">
        <v>6.9</v>
      </c>
      <c r="G248" s="53">
        <v>0</v>
      </c>
      <c r="H248" s="51" t="str">
        <f>TEXT(tblLaborEntries[[#This Row],[Work date serial]]-WEEKDAY(tblLaborEntries[[#This Row],[Work date serial]],3),"yyyy-mm-dd")</f>
        <v>2025-11-10</v>
      </c>
      <c r="I248" s="64">
        <f>DATEVALUE(tblLaborEntries[[#This Row],[Work date]])</f>
        <v>45975.0</v>
      </c>
    </row>
    <row r="249" spans="1:9" ht="15" x14ac:dyDescent="0.25">
      <c r="A249" s="53" t="inlineStr">
        <is>
          <t>LAB-000248</t>
        </is>
      </c>
      <c r="B249" s="53" t="inlineStr">
        <is>
          <t>WP-00113</t>
        </is>
      </c>
      <c r="C249" s="53" t="inlineStr">
        <is>
          <t>TECH-062</t>
        </is>
      </c>
      <c r="D249" s="53" t="inlineStr">
        <is>
          <t>Avionics</t>
        </is>
      </c>
      <c r="E249" s="53" t="inlineStr">
        <is>
          <t>2024-09-11</t>
        </is>
      </c>
      <c r="F249" s="53">
        <v>3.5</v>
      </c>
      <c r="G249" s="53">
        <v>0</v>
      </c>
      <c r="H249" s="51" t="str">
        <f>TEXT(tblLaborEntries[[#This Row],[Work date serial]]-WEEKDAY(tblLaborEntries[[#This Row],[Work date serial]],3),"yyyy-mm-dd")</f>
        <v>2024-09-09</v>
      </c>
      <c r="I249" s="64">
        <f>DATEVALUE(tblLaborEntries[[#This Row],[Work date]])</f>
        <v>45546.0</v>
      </c>
    </row>
    <row r="250" spans="1:9" ht="15" x14ac:dyDescent="0.25">
      <c r="A250" s="53" t="inlineStr">
        <is>
          <t>LAB-000249</t>
        </is>
      </c>
      <c r="B250" s="53" t="inlineStr">
        <is>
          <t>WP-00114</t>
        </is>
      </c>
      <c r="C250" s="53" t="inlineStr">
        <is>
          <t>TECH-024</t>
        </is>
      </c>
      <c r="D250" s="53" t="inlineStr">
        <is>
          <t>Powerplant</t>
        </is>
      </c>
      <c r="E250" s="53" t="inlineStr">
        <is>
          <t>2025-10-22</t>
        </is>
      </c>
      <c r="F250" s="53">
        <v>7</v>
      </c>
      <c r="G250" s="53">
        <v>0</v>
      </c>
      <c r="H250" s="51" t="str">
        <f>TEXT(tblLaborEntries[[#This Row],[Work date serial]]-WEEKDAY(tblLaborEntries[[#This Row],[Work date serial]],3),"yyyy-mm-dd")</f>
        <v>2025-10-20</v>
      </c>
      <c r="I250" s="64">
        <f>DATEVALUE(tblLaborEntries[[#This Row],[Work date]])</f>
        <v>45952.0</v>
      </c>
    </row>
    <row r="251" spans="1:9" ht="15" x14ac:dyDescent="0.25">
      <c r="A251" s="53" t="inlineStr">
        <is>
          <t>LAB-000250</t>
        </is>
      </c>
      <c r="B251" s="53" t="inlineStr">
        <is>
          <t>WP-00114</t>
        </is>
      </c>
      <c r="C251" s="53" t="inlineStr">
        <is>
          <t>TECH-018</t>
        </is>
      </c>
      <c r="D251" s="53" t="inlineStr">
        <is>
          <t>Powerplant</t>
        </is>
      </c>
      <c r="E251" s="53" t="inlineStr">
        <is>
          <t>2025-10-23</t>
        </is>
      </c>
      <c r="F251" s="53">
        <v>7</v>
      </c>
      <c r="G251" s="53">
        <v>0</v>
      </c>
      <c r="H251" s="51" t="str">
        <f>TEXT(tblLaborEntries[[#This Row],[Work date serial]]-WEEKDAY(tblLaborEntries[[#This Row],[Work date serial]],3),"yyyy-mm-dd")</f>
        <v>2025-10-20</v>
      </c>
      <c r="I251" s="64">
        <f>DATEVALUE(tblLaborEntries[[#This Row],[Work date]])</f>
        <v>45953.0</v>
      </c>
    </row>
    <row r="252" spans="1:9" ht="15" x14ac:dyDescent="0.25">
      <c r="A252" s="53" t="inlineStr">
        <is>
          <t>LAB-000251</t>
        </is>
      </c>
      <c r="B252" s="53" t="inlineStr">
        <is>
          <t>WP-00115</t>
        </is>
      </c>
      <c r="C252" s="53" t="inlineStr">
        <is>
          <t>TECH-001</t>
        </is>
      </c>
      <c r="D252" s="53" t="inlineStr">
        <is>
          <t>Airframe</t>
        </is>
      </c>
      <c r="E252" s="53" t="inlineStr">
        <is>
          <t>2024-01-03</t>
        </is>
      </c>
      <c r="F252" s="53">
        <v>1.3</v>
      </c>
      <c r="G252" s="53">
        <v>0</v>
      </c>
      <c r="H252" s="51" t="str">
        <f>TEXT(tblLaborEntries[[#This Row],[Work date serial]]-WEEKDAY(tblLaborEntries[[#This Row],[Work date serial]],3),"yyyy-mm-dd")</f>
        <v>2024-01-01</v>
      </c>
      <c r="I252" s="64">
        <f>DATEVALUE(tblLaborEntries[[#This Row],[Work date]])</f>
        <v>45294.0</v>
      </c>
    </row>
    <row r="253" spans="1:9" ht="15" x14ac:dyDescent="0.25">
      <c r="A253" s="53" t="inlineStr">
        <is>
          <t>LAB-000252</t>
        </is>
      </c>
      <c r="B253" s="53" t="inlineStr">
        <is>
          <t>WP-00115</t>
        </is>
      </c>
      <c r="C253" s="53" t="inlineStr">
        <is>
          <t>TECH-073</t>
        </is>
      </c>
      <c r="D253" s="53" t="inlineStr">
        <is>
          <t>Airframe</t>
        </is>
      </c>
      <c r="E253" s="53" t="inlineStr">
        <is>
          <t>2024-01-03</t>
        </is>
      </c>
      <c r="F253" s="53">
        <v>12</v>
      </c>
      <c r="G253" s="53">
        <v>4</v>
      </c>
      <c r="H253" s="51" t="str">
        <f>TEXT(tblLaborEntries[[#This Row],[Work date serial]]-WEEKDAY(tblLaborEntries[[#This Row],[Work date serial]],3),"yyyy-mm-dd")</f>
        <v>2024-01-01</v>
      </c>
      <c r="I253" s="64">
        <f>DATEVALUE(tblLaborEntries[[#This Row],[Work date]])</f>
        <v>45294.0</v>
      </c>
    </row>
    <row r="254" spans="1:9" ht="15" x14ac:dyDescent="0.25">
      <c r="A254" s="53" t="inlineStr">
        <is>
          <t>LAB-000253</t>
        </is>
      </c>
      <c r="B254" s="53" t="inlineStr">
        <is>
          <t>WP-00116</t>
        </is>
      </c>
      <c r="C254" s="53" t="inlineStr">
        <is>
          <t>TECH-001</t>
        </is>
      </c>
      <c r="D254" s="53" t="inlineStr">
        <is>
          <t>Airframe</t>
        </is>
      </c>
      <c r="E254" s="53" t="inlineStr">
        <is>
          <t>2024-07-08</t>
        </is>
      </c>
      <c r="F254" s="53">
        <v>7.7</v>
      </c>
      <c r="G254" s="53">
        <v>0</v>
      </c>
      <c r="H254" s="51" t="str">
        <f>TEXT(tblLaborEntries[[#This Row],[Work date serial]]-WEEKDAY(tblLaborEntries[[#This Row],[Work date serial]],3),"yyyy-mm-dd")</f>
        <v>2024-07-08</v>
      </c>
      <c r="I254" s="64">
        <f>DATEVALUE(tblLaborEntries[[#This Row],[Work date]])</f>
        <v>45481.0</v>
      </c>
    </row>
    <row r="255" spans="1:9" ht="15" x14ac:dyDescent="0.25">
      <c r="A255" s="53" t="inlineStr">
        <is>
          <t>LAB-000254</t>
        </is>
      </c>
      <c r="B255" s="53" t="inlineStr">
        <is>
          <t>WP-00117</t>
        </is>
      </c>
      <c r="C255" s="53" t="inlineStr">
        <is>
          <t>TECH-030</t>
        </is>
      </c>
      <c r="D255" s="53" t="inlineStr">
        <is>
          <t>Powerplant</t>
        </is>
      </c>
      <c r="E255" s="53" t="inlineStr">
        <is>
          <t>2024-07-28</t>
        </is>
      </c>
      <c r="F255" s="53">
        <v>12</v>
      </c>
      <c r="G255" s="53">
        <v>4</v>
      </c>
      <c r="H255" s="51" t="str">
        <f>TEXT(tblLaborEntries[[#This Row],[Work date serial]]-WEEKDAY(tblLaborEntries[[#This Row],[Work date serial]],3),"yyyy-mm-dd")</f>
        <v>2024-07-22</v>
      </c>
      <c r="I255" s="64">
        <f>DATEVALUE(tblLaborEntries[[#This Row],[Work date]])</f>
        <v>45501.0</v>
      </c>
    </row>
    <row r="256" spans="1:9" ht="15" x14ac:dyDescent="0.25">
      <c r="A256" s="53" t="inlineStr">
        <is>
          <t>LAB-000255</t>
        </is>
      </c>
      <c r="B256" s="53" t="inlineStr">
        <is>
          <t>WP-00118</t>
        </is>
      </c>
      <c r="C256" s="53" t="inlineStr">
        <is>
          <t>TECH-061</t>
        </is>
      </c>
      <c r="D256" s="53" t="inlineStr">
        <is>
          <t>Airframe</t>
        </is>
      </c>
      <c r="E256" s="53" t="inlineStr">
        <is>
          <t>2025-01-01</t>
        </is>
      </c>
      <c r="F256" s="53">
        <v>4.8</v>
      </c>
      <c r="G256" s="53">
        <v>0</v>
      </c>
      <c r="H256" s="51" t="str">
        <f>TEXT(tblLaborEntries[[#This Row],[Work date serial]]-WEEKDAY(tblLaborEntries[[#This Row],[Work date serial]],3),"yyyy-mm-dd")</f>
        <v>2024-12-30</v>
      </c>
      <c r="I256" s="64">
        <f>DATEVALUE(tblLaborEntries[[#This Row],[Work date]])</f>
        <v>45658.0</v>
      </c>
    </row>
    <row r="257" spans="1:9" ht="15" x14ac:dyDescent="0.25">
      <c r="A257" s="53" t="inlineStr">
        <is>
          <t>LAB-000256</t>
        </is>
      </c>
      <c r="B257" s="53" t="inlineStr">
        <is>
          <t>WP-00119</t>
        </is>
      </c>
      <c r="C257" s="53" t="inlineStr">
        <is>
          <t>TECH-037</t>
        </is>
      </c>
      <c r="D257" s="53" t="inlineStr">
        <is>
          <t>Airframe</t>
        </is>
      </c>
      <c r="E257" s="53" t="inlineStr">
        <is>
          <t>2025-11-06</t>
        </is>
      </c>
      <c r="F257" s="53">
        <v>2.5</v>
      </c>
      <c r="G257" s="53">
        <v>0</v>
      </c>
      <c r="H257" s="51" t="str">
        <f>TEXT(tblLaborEntries[[#This Row],[Work date serial]]-WEEKDAY(tblLaborEntries[[#This Row],[Work date serial]],3),"yyyy-mm-dd")</f>
        <v>2025-11-03</v>
      </c>
      <c r="I257" s="64">
        <f>DATEVALUE(tblLaborEntries[[#This Row],[Work date]])</f>
        <v>45967.0</v>
      </c>
    </row>
    <row r="258" spans="1:9" ht="15" x14ac:dyDescent="0.25">
      <c r="A258" s="53" t="inlineStr">
        <is>
          <t>LAB-000257</t>
        </is>
      </c>
      <c r="B258" s="53" t="inlineStr">
        <is>
          <t>WP-00119</t>
        </is>
      </c>
      <c r="C258" s="53" t="inlineStr">
        <is>
          <t>TECH-001</t>
        </is>
      </c>
      <c r="D258" s="53" t="inlineStr">
        <is>
          <t>Airframe</t>
        </is>
      </c>
      <c r="E258" s="53" t="inlineStr">
        <is>
          <t>2025-11-07</t>
        </is>
      </c>
      <c r="F258" s="53">
        <v>3.6</v>
      </c>
      <c r="G258" s="53">
        <v>0</v>
      </c>
      <c r="H258" s="51" t="str">
        <f>TEXT(tblLaborEntries[[#This Row],[Work date serial]]-WEEKDAY(tblLaborEntries[[#This Row],[Work date serial]],3),"yyyy-mm-dd")</f>
        <v>2025-11-03</v>
      </c>
      <c r="I258" s="64">
        <f>DATEVALUE(tblLaborEntries[[#This Row],[Work date]])</f>
        <v>45968.0</v>
      </c>
    </row>
    <row r="259" spans="1:9" ht="15" x14ac:dyDescent="0.25">
      <c r="A259" s="53" t="inlineStr">
        <is>
          <t>LAB-000258</t>
        </is>
      </c>
      <c r="B259" s="53" t="inlineStr">
        <is>
          <t>WP-00120</t>
        </is>
      </c>
      <c r="C259" s="53" t="inlineStr">
        <is>
          <t>TECH-024</t>
        </is>
      </c>
      <c r="D259" s="53" t="inlineStr">
        <is>
          <t>Powerplant</t>
        </is>
      </c>
      <c r="E259" s="53" t="inlineStr">
        <is>
          <t>2024-08-21</t>
        </is>
      </c>
      <c r="F259" s="53">
        <v>4.5</v>
      </c>
      <c r="G259" s="53">
        <v>0</v>
      </c>
      <c r="H259" s="51" t="str">
        <f>TEXT(tblLaborEntries[[#This Row],[Work date serial]]-WEEKDAY(tblLaborEntries[[#This Row],[Work date serial]],3),"yyyy-mm-dd")</f>
        <v>2024-08-19</v>
      </c>
      <c r="I259" s="64">
        <f>DATEVALUE(tblLaborEntries[[#This Row],[Work date]])</f>
        <v>45525.0</v>
      </c>
    </row>
    <row r="260" spans="1:9" ht="15" x14ac:dyDescent="0.25">
      <c r="A260" s="53" t="inlineStr">
        <is>
          <t>LAB-000259</t>
        </is>
      </c>
      <c r="B260" s="53" t="inlineStr">
        <is>
          <t>WP-00120</t>
        </is>
      </c>
      <c r="C260" s="53" t="inlineStr">
        <is>
          <t>TECH-006</t>
        </is>
      </c>
      <c r="D260" s="53" t="inlineStr">
        <is>
          <t>Powerplant</t>
        </is>
      </c>
      <c r="E260" s="53" t="inlineStr">
        <is>
          <t>2024-08-22</t>
        </is>
      </c>
      <c r="F260" s="53">
        <v>5</v>
      </c>
      <c r="G260" s="53">
        <v>0</v>
      </c>
      <c r="H260" s="51" t="str">
        <f>TEXT(tblLaborEntries[[#This Row],[Work date serial]]-WEEKDAY(tblLaborEntries[[#This Row],[Work date serial]],3),"yyyy-mm-dd")</f>
        <v>2024-08-19</v>
      </c>
      <c r="I260" s="64">
        <f>DATEVALUE(tblLaborEntries[[#This Row],[Work date]])</f>
        <v>45526.0</v>
      </c>
    </row>
    <row r="261" spans="1:9" ht="15" x14ac:dyDescent="0.25">
      <c r="A261" s="53" t="inlineStr">
        <is>
          <t>LAB-000260</t>
        </is>
      </c>
      <c r="B261" s="53" t="inlineStr">
        <is>
          <t>WP-00120</t>
        </is>
      </c>
      <c r="C261" s="53" t="inlineStr">
        <is>
          <t>TECH-030</t>
        </is>
      </c>
      <c r="D261" s="53" t="inlineStr">
        <is>
          <t>Powerplant</t>
        </is>
      </c>
      <c r="E261" s="53" t="inlineStr">
        <is>
          <t>2024-08-23</t>
        </is>
      </c>
      <c r="F261" s="53">
        <v>4.3</v>
      </c>
      <c r="G261" s="53">
        <v>4</v>
      </c>
      <c r="H261" s="51" t="str">
        <f>TEXT(tblLaborEntries[[#This Row],[Work date serial]]-WEEKDAY(tblLaborEntries[[#This Row],[Work date serial]],3),"yyyy-mm-dd")</f>
        <v>2024-08-19</v>
      </c>
      <c r="I261" s="64">
        <f>DATEVALUE(tblLaborEntries[[#This Row],[Work date]])</f>
        <v>45527.0</v>
      </c>
    </row>
    <row r="262" spans="1:9" ht="15" x14ac:dyDescent="0.25">
      <c r="A262" s="53" t="inlineStr">
        <is>
          <t>LAB-000261</t>
        </is>
      </c>
      <c r="B262" s="53" t="inlineStr">
        <is>
          <t>WP-00121</t>
        </is>
      </c>
      <c r="C262" s="53" t="inlineStr">
        <is>
          <t>TECH-037</t>
        </is>
      </c>
      <c r="D262" s="53" t="inlineStr">
        <is>
          <t>Airframe</t>
        </is>
      </c>
      <c r="E262" s="53" t="inlineStr">
        <is>
          <t>2024-06-19</t>
        </is>
      </c>
      <c r="F262" s="53">
        <v>2</v>
      </c>
      <c r="G262" s="53">
        <v>0</v>
      </c>
      <c r="H262" s="51" t="str">
        <f>TEXT(tblLaborEntries[[#This Row],[Work date serial]]-WEEKDAY(tblLaborEntries[[#This Row],[Work date serial]],3),"yyyy-mm-dd")</f>
        <v>2024-06-17</v>
      </c>
      <c r="I262" s="64">
        <f>DATEVALUE(tblLaborEntries[[#This Row],[Work date]])</f>
        <v>45462.0</v>
      </c>
    </row>
    <row r="263" spans="1:9" ht="15" x14ac:dyDescent="0.25">
      <c r="A263" s="53" t="inlineStr">
        <is>
          <t>LAB-000262</t>
        </is>
      </c>
      <c r="B263" s="53" t="inlineStr">
        <is>
          <t>WP-00122</t>
        </is>
      </c>
      <c r="C263" s="53" t="inlineStr">
        <is>
          <t>TECH-058</t>
        </is>
      </c>
      <c r="D263" s="53" t="inlineStr">
        <is>
          <t>Electrical</t>
        </is>
      </c>
      <c r="E263" s="53" t="inlineStr">
        <is>
          <t>2025-05-27</t>
        </is>
      </c>
      <c r="F263" s="53">
        <v>2.8</v>
      </c>
      <c r="G263" s="53">
        <v>0</v>
      </c>
      <c r="H263" s="51" t="str">
        <f>TEXT(tblLaborEntries[[#This Row],[Work date serial]]-WEEKDAY(tblLaborEntries[[#This Row],[Work date serial]],3),"yyyy-mm-dd")</f>
        <v>2025-05-26</v>
      </c>
      <c r="I263" s="64">
        <f>DATEVALUE(tblLaborEntries[[#This Row],[Work date]])</f>
        <v>45804.0</v>
      </c>
    </row>
    <row r="264" spans="1:9" ht="15" x14ac:dyDescent="0.25">
      <c r="A264" s="53" t="inlineStr">
        <is>
          <t>LAB-000263</t>
        </is>
      </c>
      <c r="B264" s="53" t="inlineStr">
        <is>
          <t>WP-00122</t>
        </is>
      </c>
      <c r="C264" s="53" t="inlineStr">
        <is>
          <t>TECH-070</t>
        </is>
      </c>
      <c r="D264" s="53" t="inlineStr">
        <is>
          <t>Electrical</t>
        </is>
      </c>
      <c r="E264" s="53" t="inlineStr">
        <is>
          <t>2025-05-28</t>
        </is>
      </c>
      <c r="F264" s="53">
        <v>3.1</v>
      </c>
      <c r="G264" s="53">
        <v>0</v>
      </c>
      <c r="H264" s="51" t="str">
        <f>TEXT(tblLaborEntries[[#This Row],[Work date serial]]-WEEKDAY(tblLaborEntries[[#This Row],[Work date serial]],3),"yyyy-mm-dd")</f>
        <v>2025-05-26</v>
      </c>
      <c r="I264" s="64">
        <f>DATEVALUE(tblLaborEntries[[#This Row],[Work date]])</f>
        <v>45805.0</v>
      </c>
    </row>
    <row r="265" spans="1:9" ht="15" x14ac:dyDescent="0.25">
      <c r="A265" s="53" t="inlineStr">
        <is>
          <t>LAB-000264</t>
        </is>
      </c>
      <c r="B265" s="53" t="inlineStr">
        <is>
          <t>WP-00122</t>
        </is>
      </c>
      <c r="C265" s="53" t="inlineStr">
        <is>
          <t>TECH-022</t>
        </is>
      </c>
      <c r="D265" s="53" t="inlineStr">
        <is>
          <t>Electrical</t>
        </is>
      </c>
      <c r="E265" s="53" t="inlineStr">
        <is>
          <t>2025-05-29</t>
        </is>
      </c>
      <c r="F265" s="53">
        <v>4</v>
      </c>
      <c r="G265" s="53">
        <v>0</v>
      </c>
      <c r="H265" s="51" t="str">
        <f>TEXT(tblLaborEntries[[#This Row],[Work date serial]]-WEEKDAY(tblLaborEntries[[#This Row],[Work date serial]],3),"yyyy-mm-dd")</f>
        <v>2025-05-26</v>
      </c>
      <c r="I265" s="64">
        <f>DATEVALUE(tblLaborEntries[[#This Row],[Work date]])</f>
        <v>45806.0</v>
      </c>
    </row>
    <row r="266" spans="1:9" ht="15" x14ac:dyDescent="0.25">
      <c r="A266" s="53" t="inlineStr">
        <is>
          <t>LAB-000265</t>
        </is>
      </c>
      <c r="B266" s="53" t="inlineStr">
        <is>
          <t>WP-00123</t>
        </is>
      </c>
      <c r="C266" s="53" t="inlineStr">
        <is>
          <t>TECH-050</t>
        </is>
      </c>
      <c r="D266" s="53" t="inlineStr">
        <is>
          <t>Avionics</t>
        </is>
      </c>
      <c r="E266" s="53" t="inlineStr">
        <is>
          <t>2025-01-12</t>
        </is>
      </c>
      <c r="F266" s="53">
        <v>2.6</v>
      </c>
      <c r="G266" s="53">
        <v>0</v>
      </c>
      <c r="H266" s="51" t="str">
        <f>TEXT(tblLaborEntries[[#This Row],[Work date serial]]-WEEKDAY(tblLaborEntries[[#This Row],[Work date serial]],3),"yyyy-mm-dd")</f>
        <v>2025-01-06</v>
      </c>
      <c r="I266" s="64">
        <f>DATEVALUE(tblLaborEntries[[#This Row],[Work date]])</f>
        <v>45669.0</v>
      </c>
    </row>
    <row r="267" spans="1:9" ht="15" x14ac:dyDescent="0.25">
      <c r="A267" s="53" t="inlineStr">
        <is>
          <t>LAB-000266</t>
        </is>
      </c>
      <c r="B267" s="53" t="inlineStr">
        <is>
          <t>WP-00123</t>
        </is>
      </c>
      <c r="C267" s="53" t="inlineStr">
        <is>
          <t>TECH-056</t>
        </is>
      </c>
      <c r="D267" s="53" t="inlineStr">
        <is>
          <t>Avionics</t>
        </is>
      </c>
      <c r="E267" s="53" t="inlineStr">
        <is>
          <t>2025-01-13</t>
        </is>
      </c>
      <c r="F267" s="53">
        <v>1.8</v>
      </c>
      <c r="G267" s="53">
        <v>0</v>
      </c>
      <c r="H267" s="51" t="str">
        <f>TEXT(tblLaborEntries[[#This Row],[Work date serial]]-WEEKDAY(tblLaborEntries[[#This Row],[Work date serial]],3),"yyyy-mm-dd")</f>
        <v>2025-01-13</v>
      </c>
      <c r="I267" s="64">
        <f>DATEVALUE(tblLaborEntries[[#This Row],[Work date]])</f>
        <v>45670.0</v>
      </c>
    </row>
    <row r="268" spans="1:9" ht="15" x14ac:dyDescent="0.25">
      <c r="A268" s="53" t="inlineStr">
        <is>
          <t>LAB-000267</t>
        </is>
      </c>
      <c r="B268" s="53" t="inlineStr">
        <is>
          <t>WP-00124</t>
        </is>
      </c>
      <c r="C268" s="53" t="inlineStr">
        <is>
          <t>TECH-001</t>
        </is>
      </c>
      <c r="D268" s="53" t="inlineStr">
        <is>
          <t>Airframe</t>
        </is>
      </c>
      <c r="E268" s="53" t="inlineStr">
        <is>
          <t>2024-12-11</t>
        </is>
      </c>
      <c r="F268" s="53">
        <v>0.7</v>
      </c>
      <c r="G268" s="53">
        <v>0</v>
      </c>
      <c r="H268" s="51" t="str">
        <f>TEXT(tblLaborEntries[[#This Row],[Work date serial]]-WEEKDAY(tblLaborEntries[[#This Row],[Work date serial]],3),"yyyy-mm-dd")</f>
        <v>2024-12-09</v>
      </c>
      <c r="I268" s="64">
        <f>DATEVALUE(tblLaborEntries[[#This Row],[Work date]])</f>
        <v>45637.0</v>
      </c>
    </row>
    <row r="269" spans="1:9" ht="15" x14ac:dyDescent="0.25">
      <c r="A269" s="53" t="inlineStr">
        <is>
          <t>LAB-000268</t>
        </is>
      </c>
      <c r="B269" s="53" t="inlineStr">
        <is>
          <t>WP-00124</t>
        </is>
      </c>
      <c r="C269" s="53" t="inlineStr">
        <is>
          <t>TECH-073</t>
        </is>
      </c>
      <c r="D269" s="53" t="inlineStr">
        <is>
          <t>Airframe</t>
        </is>
      </c>
      <c r="E269" s="53" t="inlineStr">
        <is>
          <t>2024-12-11</t>
        </is>
      </c>
      <c r="F269" s="53">
        <v>12</v>
      </c>
      <c r="G269" s="53">
        <v>4</v>
      </c>
      <c r="H269" s="51" t="str">
        <f>TEXT(tblLaborEntries[[#This Row],[Work date serial]]-WEEKDAY(tblLaborEntries[[#This Row],[Work date serial]],3),"yyyy-mm-dd")</f>
        <v>2024-12-09</v>
      </c>
      <c r="I269" s="64">
        <f>DATEVALUE(tblLaborEntries[[#This Row],[Work date]])</f>
        <v>45637.0</v>
      </c>
    </row>
    <row r="270" spans="1:9" ht="15" x14ac:dyDescent="0.25">
      <c r="A270" s="53" t="inlineStr">
        <is>
          <t>LAB-000269</t>
        </is>
      </c>
      <c r="B270" s="53" t="inlineStr">
        <is>
          <t>WP-00125</t>
        </is>
      </c>
      <c r="C270" s="53" t="inlineStr">
        <is>
          <t>TECH-002</t>
        </is>
      </c>
      <c r="D270" s="53" t="inlineStr">
        <is>
          <t>Avionics</t>
        </is>
      </c>
      <c r="E270" s="53" t="inlineStr">
        <is>
          <t>2024-06-18</t>
        </is>
      </c>
      <c r="F270" s="53">
        <v>2.5</v>
      </c>
      <c r="G270" s="53">
        <v>0</v>
      </c>
      <c r="H270" s="51" t="str">
        <f>TEXT(tblLaborEntries[[#This Row],[Work date serial]]-WEEKDAY(tblLaborEntries[[#This Row],[Work date serial]],3),"yyyy-mm-dd")</f>
        <v>2024-06-17</v>
      </c>
      <c r="I270" s="64">
        <f>DATEVALUE(tblLaborEntries[[#This Row],[Work date]])</f>
        <v>45461.0</v>
      </c>
    </row>
    <row r="271" spans="1:9" ht="15" x14ac:dyDescent="0.25">
      <c r="A271" s="53" t="inlineStr">
        <is>
          <t>LAB-000270</t>
        </is>
      </c>
      <c r="B271" s="53" t="inlineStr">
        <is>
          <t>WP-00125</t>
        </is>
      </c>
      <c r="C271" s="53" t="inlineStr">
        <is>
          <t>TECH-032</t>
        </is>
      </c>
      <c r="D271" s="53" t="inlineStr">
        <is>
          <t>Avionics</t>
        </is>
      </c>
      <c r="E271" s="53" t="inlineStr">
        <is>
          <t>2024-06-19</t>
        </is>
      </c>
      <c r="F271" s="53">
        <v>2.1</v>
      </c>
      <c r="G271" s="53">
        <v>0</v>
      </c>
      <c r="H271" s="51" t="str">
        <f>TEXT(tblLaborEntries[[#This Row],[Work date serial]]-WEEKDAY(tblLaborEntries[[#This Row],[Work date serial]],3),"yyyy-mm-dd")</f>
        <v>2024-06-17</v>
      </c>
      <c r="I271" s="64">
        <f>DATEVALUE(tblLaborEntries[[#This Row],[Work date]])</f>
        <v>45462.0</v>
      </c>
    </row>
    <row r="272" spans="1:9" ht="15" x14ac:dyDescent="0.25">
      <c r="A272" s="53" t="inlineStr">
        <is>
          <t>LAB-000271</t>
        </is>
      </c>
      <c r="B272" s="53" t="inlineStr">
        <is>
          <t>WP-00125</t>
        </is>
      </c>
      <c r="C272" s="53" t="inlineStr">
        <is>
          <t>TECH-056</t>
        </is>
      </c>
      <c r="D272" s="53" t="inlineStr">
        <is>
          <t>Avionics</t>
        </is>
      </c>
      <c r="E272" s="53" t="inlineStr">
        <is>
          <t>2024-06-20</t>
        </is>
      </c>
      <c r="F272" s="53">
        <v>1.8</v>
      </c>
      <c r="G272" s="53">
        <v>0</v>
      </c>
      <c r="H272" s="51" t="str">
        <f>TEXT(tblLaborEntries[[#This Row],[Work date serial]]-WEEKDAY(tblLaborEntries[[#This Row],[Work date serial]],3),"yyyy-mm-dd")</f>
        <v>2024-06-17</v>
      </c>
      <c r="I272" s="64">
        <f>DATEVALUE(tblLaborEntries[[#This Row],[Work date]])</f>
        <v>45463.0</v>
      </c>
    </row>
    <row r="273" spans="1:9" ht="15" x14ac:dyDescent="0.25">
      <c r="A273" s="53" t="inlineStr">
        <is>
          <t>LAB-000272</t>
        </is>
      </c>
      <c r="B273" s="53" t="inlineStr">
        <is>
          <t>WP-00126</t>
        </is>
      </c>
      <c r="C273" s="53" t="inlineStr">
        <is>
          <t>TECH-038</t>
        </is>
      </c>
      <c r="D273" s="53" t="inlineStr">
        <is>
          <t>Avionics</t>
        </is>
      </c>
      <c r="E273" s="53" t="inlineStr">
        <is>
          <t>2026-01-25</t>
        </is>
      </c>
      <c r="F273" s="53">
        <v>6.4</v>
      </c>
      <c r="G273" s="53">
        <v>0</v>
      </c>
      <c r="H273" s="51" t="str">
        <f>TEXT(tblLaborEntries[[#This Row],[Work date serial]]-WEEKDAY(tblLaborEntries[[#This Row],[Work date serial]],3),"yyyy-mm-dd")</f>
        <v>2026-01-19</v>
      </c>
      <c r="I273" s="64">
        <f>DATEVALUE(tblLaborEntries[[#This Row],[Work date]])</f>
        <v>46047.0</v>
      </c>
    </row>
    <row r="274" spans="1:9" ht="15" x14ac:dyDescent="0.25">
      <c r="A274" s="53" t="inlineStr">
        <is>
          <t>LAB-000273</t>
        </is>
      </c>
      <c r="B274" s="53" t="inlineStr">
        <is>
          <t>WP-00126</t>
        </is>
      </c>
      <c r="C274" s="53" t="inlineStr">
        <is>
          <t>TECH-038</t>
        </is>
      </c>
      <c r="D274" s="53" t="inlineStr">
        <is>
          <t>Avionics</t>
        </is>
      </c>
      <c r="E274" s="53" t="inlineStr">
        <is>
          <t>2026-01-26</t>
        </is>
      </c>
      <c r="F274" s="53">
        <v>5.6</v>
      </c>
      <c r="G274" s="53">
        <v>0</v>
      </c>
      <c r="H274" s="51" t="str">
        <f>TEXT(tblLaborEntries[[#This Row],[Work date serial]]-WEEKDAY(tblLaborEntries[[#This Row],[Work date serial]],3),"yyyy-mm-dd")</f>
        <v>2026-01-26</v>
      </c>
      <c r="I274" s="64">
        <f>DATEVALUE(tblLaborEntries[[#This Row],[Work date]])</f>
        <v>46048.0</v>
      </c>
    </row>
    <row r="275" spans="1:9" ht="15" x14ac:dyDescent="0.25">
      <c r="A275" s="53" t="inlineStr">
        <is>
          <t>LAB-000274</t>
        </is>
      </c>
      <c r="B275" s="53" t="inlineStr">
        <is>
          <t>WP-00126</t>
        </is>
      </c>
      <c r="C275" s="53" t="inlineStr">
        <is>
          <t>TECH-062</t>
        </is>
      </c>
      <c r="D275" s="53" t="inlineStr">
        <is>
          <t>Avionics</t>
        </is>
      </c>
      <c r="E275" s="53" t="inlineStr">
        <is>
          <t>2026-01-27</t>
        </is>
      </c>
      <c r="F275" s="53">
        <v>4.4</v>
      </c>
      <c r="G275" s="53">
        <v>0</v>
      </c>
      <c r="H275" s="51" t="str">
        <f>TEXT(tblLaborEntries[[#This Row],[Work date serial]]-WEEKDAY(tblLaborEntries[[#This Row],[Work date serial]],3),"yyyy-mm-dd")</f>
        <v>2026-01-26</v>
      </c>
      <c r="I275" s="64">
        <f>DATEVALUE(tblLaborEntries[[#This Row],[Work date]])</f>
        <v>46049.0</v>
      </c>
    </row>
    <row r="276" spans="1:9" ht="15" x14ac:dyDescent="0.25">
      <c r="A276" s="53" t="inlineStr">
        <is>
          <t>LAB-000275</t>
        </is>
      </c>
      <c r="B276" s="53" t="inlineStr">
        <is>
          <t>WP-00127</t>
        </is>
      </c>
      <c r="C276" s="53" t="inlineStr">
        <is>
          <t>TECH-018</t>
        </is>
      </c>
      <c r="D276" s="53" t="inlineStr">
        <is>
          <t>Powerplant</t>
        </is>
      </c>
      <c r="E276" s="53" t="inlineStr">
        <is>
          <t>2025-08-07</t>
        </is>
      </c>
      <c r="F276" s="53">
        <v>10.9</v>
      </c>
      <c r="G276" s="53">
        <v>2.9</v>
      </c>
      <c r="H276" s="51" t="str">
        <f>TEXT(tblLaborEntries[[#This Row],[Work date serial]]-WEEKDAY(tblLaborEntries[[#This Row],[Work date serial]],3),"yyyy-mm-dd")</f>
        <v>2025-08-04</v>
      </c>
      <c r="I276" s="64">
        <f>DATEVALUE(tblLaborEntries[[#This Row],[Work date]])</f>
        <v>45876.0</v>
      </c>
    </row>
    <row r="277" spans="1:9" ht="15" x14ac:dyDescent="0.25">
      <c r="A277" s="53" t="inlineStr">
        <is>
          <t>LAB-000276</t>
        </is>
      </c>
      <c r="B277" s="53" t="inlineStr">
        <is>
          <t>WP-00127</t>
        </is>
      </c>
      <c r="C277" s="53" t="inlineStr">
        <is>
          <t>TECH-060</t>
        </is>
      </c>
      <c r="D277" s="53" t="inlineStr">
        <is>
          <t>Powerplant</t>
        </is>
      </c>
      <c r="E277" s="53" t="inlineStr">
        <is>
          <t>2025-08-08</t>
        </is>
      </c>
      <c r="F277" s="53">
        <v>9</v>
      </c>
      <c r="G277" s="53">
        <v>1</v>
      </c>
      <c r="H277" s="51" t="str">
        <f>TEXT(tblLaborEntries[[#This Row],[Work date serial]]-WEEKDAY(tblLaborEntries[[#This Row],[Work date serial]],3),"yyyy-mm-dd")</f>
        <v>2025-08-04</v>
      </c>
      <c r="I277" s="64">
        <f>DATEVALUE(tblLaborEntries[[#This Row],[Work date]])</f>
        <v>45877.0</v>
      </c>
    </row>
    <row r="278" spans="1:9" ht="15" x14ac:dyDescent="0.25">
      <c r="A278" s="53" t="inlineStr">
        <is>
          <t>LAB-000277</t>
        </is>
      </c>
      <c r="B278" s="53" t="inlineStr">
        <is>
          <t>WP-00128</t>
        </is>
      </c>
      <c r="C278" s="53" t="inlineStr">
        <is>
          <t>TECH-021</t>
        </is>
      </c>
      <c r="D278" s="53" t="inlineStr">
        <is>
          <t>Hydraulics</t>
        </is>
      </c>
      <c r="E278" s="53" t="inlineStr">
        <is>
          <t>2025-01-02</t>
        </is>
      </c>
      <c r="F278" s="53">
        <v>7.7</v>
      </c>
      <c r="G278" s="53">
        <v>0</v>
      </c>
      <c r="H278" s="51" t="str">
        <f>TEXT(tblLaborEntries[[#This Row],[Work date serial]]-WEEKDAY(tblLaborEntries[[#This Row],[Work date serial]],3),"yyyy-mm-dd")</f>
        <v>2024-12-30</v>
      </c>
      <c r="I278" s="64">
        <f>DATEVALUE(tblLaborEntries[[#This Row],[Work date]])</f>
        <v>45659.0</v>
      </c>
    </row>
    <row r="279" spans="1:9" ht="15" x14ac:dyDescent="0.25">
      <c r="A279" s="53" t="inlineStr">
        <is>
          <t>LAB-000278</t>
        </is>
      </c>
      <c r="B279" s="53" t="inlineStr">
        <is>
          <t>WP-00129</t>
        </is>
      </c>
      <c r="C279" s="53" t="inlineStr">
        <is>
          <t>TECH-010</t>
        </is>
      </c>
      <c r="D279" s="53" t="inlineStr">
        <is>
          <t>Electrical</t>
        </is>
      </c>
      <c r="E279" s="53" t="inlineStr">
        <is>
          <t>2025-04-05</t>
        </is>
      </c>
      <c r="F279" s="53">
        <v>9.4</v>
      </c>
      <c r="G279" s="53">
        <v>1.4</v>
      </c>
      <c r="H279" s="51" t="str">
        <f>TEXT(tblLaborEntries[[#This Row],[Work date serial]]-WEEKDAY(tblLaborEntries[[#This Row],[Work date serial]],3),"yyyy-mm-dd")</f>
        <v>2025-03-31</v>
      </c>
      <c r="I279" s="64">
        <f>DATEVALUE(tblLaborEntries[[#This Row],[Work date]])</f>
        <v>45752.0</v>
      </c>
    </row>
    <row r="280" spans="1:9" ht="15" x14ac:dyDescent="0.25">
      <c r="A280" s="53" t="inlineStr">
        <is>
          <t>LAB-000279</t>
        </is>
      </c>
      <c r="B280" s="53" t="inlineStr">
        <is>
          <t>WP-00130</t>
        </is>
      </c>
      <c r="C280" s="53" t="inlineStr">
        <is>
          <t>TECH-020</t>
        </is>
      </c>
      <c r="D280" s="53" t="inlineStr">
        <is>
          <t>Avionics</t>
        </is>
      </c>
      <c r="E280" s="53" t="inlineStr">
        <is>
          <t>2025-04-13</t>
        </is>
      </c>
      <c r="F280" s="53">
        <v>7.2</v>
      </c>
      <c r="G280" s="53">
        <v>0</v>
      </c>
      <c r="H280" s="51" t="str">
        <f>TEXT(tblLaborEntries[[#This Row],[Work date serial]]-WEEKDAY(tblLaborEntries[[#This Row],[Work date serial]],3),"yyyy-mm-dd")</f>
        <v>2025-04-07</v>
      </c>
      <c r="I280" s="64">
        <f>DATEVALUE(tblLaborEntries[[#This Row],[Work date]])</f>
        <v>45760.0</v>
      </c>
    </row>
    <row r="281" spans="1:9" ht="15" x14ac:dyDescent="0.25">
      <c r="A281" s="53" t="inlineStr">
        <is>
          <t>LAB-000280</t>
        </is>
      </c>
      <c r="B281" s="53" t="inlineStr">
        <is>
          <t>WP-00131</t>
        </is>
      </c>
      <c r="C281" s="53" t="inlineStr">
        <is>
          <t>TECH-030</t>
        </is>
      </c>
      <c r="D281" s="53" t="inlineStr">
        <is>
          <t>Powerplant</t>
        </is>
      </c>
      <c r="E281" s="53" t="inlineStr">
        <is>
          <t>2024-12-04</t>
        </is>
      </c>
      <c r="F281" s="53">
        <v>2.7</v>
      </c>
      <c r="G281" s="53">
        <v>0</v>
      </c>
      <c r="H281" s="51" t="str">
        <f>TEXT(tblLaborEntries[[#This Row],[Work date serial]]-WEEKDAY(tblLaborEntries[[#This Row],[Work date serial]],3),"yyyy-mm-dd")</f>
        <v>2024-12-02</v>
      </c>
      <c r="I281" s="64">
        <f>DATEVALUE(tblLaborEntries[[#This Row],[Work date]])</f>
        <v>45630.0</v>
      </c>
    </row>
    <row r="282" spans="1:9" ht="15" x14ac:dyDescent="0.25">
      <c r="A282" s="53" t="inlineStr">
        <is>
          <t>LAB-000281</t>
        </is>
      </c>
      <c r="B282" s="53" t="inlineStr">
        <is>
          <t>WP-00131</t>
        </is>
      </c>
      <c r="C282" s="53" t="inlineStr">
        <is>
          <t>TECH-072</t>
        </is>
      </c>
      <c r="D282" s="53" t="inlineStr">
        <is>
          <t>Powerplant</t>
        </is>
      </c>
      <c r="E282" s="53" t="inlineStr">
        <is>
          <t>2024-12-05</t>
        </is>
      </c>
      <c r="F282" s="53">
        <v>2.5</v>
      </c>
      <c r="G282" s="53">
        <v>0</v>
      </c>
      <c r="H282" s="51" t="str">
        <f>TEXT(tblLaborEntries[[#This Row],[Work date serial]]-WEEKDAY(tblLaborEntries[[#This Row],[Work date serial]],3),"yyyy-mm-dd")</f>
        <v>2024-12-02</v>
      </c>
      <c r="I282" s="64">
        <f>DATEVALUE(tblLaborEntries[[#This Row],[Work date]])</f>
        <v>45631.0</v>
      </c>
    </row>
    <row r="283" spans="1:9" ht="15" x14ac:dyDescent="0.25">
      <c r="A283" s="53" t="inlineStr">
        <is>
          <t>LAB-000282</t>
        </is>
      </c>
      <c r="B283" s="53" t="inlineStr">
        <is>
          <t>WP-00131</t>
        </is>
      </c>
      <c r="C283" s="53" t="inlineStr">
        <is>
          <t>TECH-054</t>
        </is>
      </c>
      <c r="D283" s="53" t="inlineStr">
        <is>
          <t>Powerplant</t>
        </is>
      </c>
      <c r="E283" s="53" t="inlineStr">
        <is>
          <t>2024-12-06</t>
        </is>
      </c>
      <c r="F283" s="53">
        <v>3.1</v>
      </c>
      <c r="G283" s="53">
        <v>0</v>
      </c>
      <c r="H283" s="51" t="str">
        <f>TEXT(tblLaborEntries[[#This Row],[Work date serial]]-WEEKDAY(tblLaborEntries[[#This Row],[Work date serial]],3),"yyyy-mm-dd")</f>
        <v>2024-12-02</v>
      </c>
      <c r="I283" s="64">
        <f>DATEVALUE(tblLaborEntries[[#This Row],[Work date]])</f>
        <v>45632.0</v>
      </c>
    </row>
    <row r="284" spans="1:9" ht="15" x14ac:dyDescent="0.25">
      <c r="A284" s="53" t="inlineStr">
        <is>
          <t>LAB-000283</t>
        </is>
      </c>
      <c r="B284" s="53" t="inlineStr">
        <is>
          <t>WP-00132</t>
        </is>
      </c>
      <c r="C284" s="53" t="inlineStr">
        <is>
          <t>TECH-001</t>
        </is>
      </c>
      <c r="D284" s="53" t="inlineStr">
        <is>
          <t>Airframe</t>
        </is>
      </c>
      <c r="E284" s="53" t="inlineStr">
        <is>
          <t>2025-08-28</t>
        </is>
      </c>
      <c r="F284" s="53">
        <v>5.2</v>
      </c>
      <c r="G284" s="53">
        <v>0</v>
      </c>
      <c r="H284" s="51" t="str">
        <f>TEXT(tblLaborEntries[[#This Row],[Work date serial]]-WEEKDAY(tblLaborEntries[[#This Row],[Work date serial]],3),"yyyy-mm-dd")</f>
        <v>2025-08-25</v>
      </c>
      <c r="I284" s="64">
        <f>DATEVALUE(tblLaborEntries[[#This Row],[Work date]])</f>
        <v>45897.0</v>
      </c>
    </row>
    <row r="285" spans="1:9" ht="15" x14ac:dyDescent="0.25">
      <c r="A285" s="53" t="inlineStr">
        <is>
          <t>LAB-000284</t>
        </is>
      </c>
      <c r="B285" s="53" t="inlineStr">
        <is>
          <t>WP-00132</t>
        </is>
      </c>
      <c r="C285" s="53" t="inlineStr">
        <is>
          <t>TECH-061</t>
        </is>
      </c>
      <c r="D285" s="53" t="inlineStr">
        <is>
          <t>Airframe</t>
        </is>
      </c>
      <c r="E285" s="53" t="inlineStr">
        <is>
          <t>2025-08-28</t>
        </is>
      </c>
      <c r="F285" s="53">
        <v>12</v>
      </c>
      <c r="G285" s="53">
        <v>4</v>
      </c>
      <c r="H285" s="51" t="str">
        <f>TEXT(tblLaborEntries[[#This Row],[Work date serial]]-WEEKDAY(tblLaborEntries[[#This Row],[Work date serial]],3),"yyyy-mm-dd")</f>
        <v>2025-08-25</v>
      </c>
      <c r="I285" s="64">
        <f>DATEVALUE(tblLaborEntries[[#This Row],[Work date]])</f>
        <v>45897.0</v>
      </c>
    </row>
    <row r="286" spans="1:9" ht="15" x14ac:dyDescent="0.25">
      <c r="A286" s="53" t="inlineStr">
        <is>
          <t>LAB-000285</t>
        </is>
      </c>
      <c r="B286" s="53" t="inlineStr">
        <is>
          <t>WP-00133</t>
        </is>
      </c>
      <c r="C286" s="53" t="inlineStr">
        <is>
          <t>TECH-020</t>
        </is>
      </c>
      <c r="D286" s="53" t="inlineStr">
        <is>
          <t>Avionics</t>
        </is>
      </c>
      <c r="E286" s="53" t="inlineStr">
        <is>
          <t>2025-05-24</t>
        </is>
      </c>
      <c r="F286" s="53">
        <v>1.1</v>
      </c>
      <c r="G286" s="53">
        <v>0</v>
      </c>
      <c r="H286" s="51" t="str">
        <f>TEXT(tblLaborEntries[[#This Row],[Work date serial]]-WEEKDAY(tblLaborEntries[[#This Row],[Work date serial]],3),"yyyy-mm-dd")</f>
        <v>2025-05-19</v>
      </c>
      <c r="I286" s="64">
        <f>DATEVALUE(tblLaborEntries[[#This Row],[Work date]])</f>
        <v>45801.0</v>
      </c>
    </row>
    <row r="287" spans="1:9" ht="15" x14ac:dyDescent="0.25">
      <c r="A287" s="53" t="inlineStr">
        <is>
          <t>LAB-000286</t>
        </is>
      </c>
      <c r="B287" s="53" t="inlineStr">
        <is>
          <t>WP-00133</t>
        </is>
      </c>
      <c r="C287" s="53" t="inlineStr">
        <is>
          <t>TECH-056</t>
        </is>
      </c>
      <c r="D287" s="53" t="inlineStr">
        <is>
          <t>Avionics</t>
        </is>
      </c>
      <c r="E287" s="53" t="inlineStr">
        <is>
          <t>2025-05-25</t>
        </is>
      </c>
      <c r="F287" s="53">
        <v>1.2</v>
      </c>
      <c r="G287" s="53">
        <v>0</v>
      </c>
      <c r="H287" s="51" t="str">
        <f>TEXT(tblLaborEntries[[#This Row],[Work date serial]]-WEEKDAY(tblLaborEntries[[#This Row],[Work date serial]],3),"yyyy-mm-dd")</f>
        <v>2025-05-19</v>
      </c>
      <c r="I287" s="64">
        <f>DATEVALUE(tblLaborEntries[[#This Row],[Work date]])</f>
        <v>45802.0</v>
      </c>
    </row>
    <row r="288" spans="1:9" ht="15" x14ac:dyDescent="0.25">
      <c r="A288" s="53" t="inlineStr">
        <is>
          <t>LAB-000287</t>
        </is>
      </c>
      <c r="B288" s="53" t="inlineStr">
        <is>
          <t>WP-00133</t>
        </is>
      </c>
      <c r="C288" s="53" t="inlineStr">
        <is>
          <t>TECH-074</t>
        </is>
      </c>
      <c r="D288" s="53" t="inlineStr">
        <is>
          <t>Avionics</t>
        </is>
      </c>
      <c r="E288" s="53" t="inlineStr">
        <is>
          <t>2025-05-26</t>
        </is>
      </c>
      <c r="F288" s="53">
        <v>0.9</v>
      </c>
      <c r="G288" s="53">
        <v>0</v>
      </c>
      <c r="H288" s="51" t="str">
        <f>TEXT(tblLaborEntries[[#This Row],[Work date serial]]-WEEKDAY(tblLaborEntries[[#This Row],[Work date serial]],3),"yyyy-mm-dd")</f>
        <v>2025-05-26</v>
      </c>
      <c r="I288" s="64">
        <f>DATEVALUE(tblLaborEntries[[#This Row],[Work date]])</f>
        <v>45803.0</v>
      </c>
    </row>
    <row r="289" spans="1:9" ht="15" x14ac:dyDescent="0.25">
      <c r="A289" s="53" t="inlineStr">
        <is>
          <t>LAB-000288</t>
        </is>
      </c>
      <c r="B289" s="53" t="inlineStr">
        <is>
          <t>WP-00134</t>
        </is>
      </c>
      <c r="C289" s="53" t="inlineStr">
        <is>
          <t>TECH-019</t>
        </is>
      </c>
      <c r="D289" s="53" t="inlineStr">
        <is>
          <t>Airframe</t>
        </is>
      </c>
      <c r="E289" s="53" t="inlineStr">
        <is>
          <t>2024-12-04</t>
        </is>
      </c>
      <c r="F289" s="53">
        <v>0.6</v>
      </c>
      <c r="G289" s="53">
        <v>0</v>
      </c>
      <c r="H289" s="51" t="str">
        <f>TEXT(tblLaborEntries[[#This Row],[Work date serial]]-WEEKDAY(tblLaborEntries[[#This Row],[Work date serial]],3),"yyyy-mm-dd")</f>
        <v>2024-12-02</v>
      </c>
      <c r="I289" s="64">
        <f>DATEVALUE(tblLaborEntries[[#This Row],[Work date]])</f>
        <v>45630.0</v>
      </c>
    </row>
    <row r="290" spans="1:9" ht="15" x14ac:dyDescent="0.25">
      <c r="A290" s="53" t="inlineStr">
        <is>
          <t>LAB-000289</t>
        </is>
      </c>
      <c r="B290" s="53" t="inlineStr">
        <is>
          <t>WP-00134</t>
        </is>
      </c>
      <c r="C290" s="53" t="inlineStr">
        <is>
          <t>TECH-067</t>
        </is>
      </c>
      <c r="D290" s="53" t="inlineStr">
        <is>
          <t>Airframe</t>
        </is>
      </c>
      <c r="E290" s="53" t="inlineStr">
        <is>
          <t>2024-12-05</t>
        </is>
      </c>
      <c r="F290" s="53">
        <v>0.4</v>
      </c>
      <c r="G290" s="53">
        <v>0</v>
      </c>
      <c r="H290" s="51" t="str">
        <f>TEXT(tblLaborEntries[[#This Row],[Work date serial]]-WEEKDAY(tblLaborEntries[[#This Row],[Work date serial]],3),"yyyy-mm-dd")</f>
        <v>2024-12-02</v>
      </c>
      <c r="I290" s="64">
        <f>DATEVALUE(tblLaborEntries[[#This Row],[Work date]])</f>
        <v>45631.0</v>
      </c>
    </row>
    <row r="291" spans="1:9" ht="15" x14ac:dyDescent="0.25">
      <c r="A291" s="53" t="inlineStr">
        <is>
          <t>LAB-000290</t>
        </is>
      </c>
      <c r="B291" s="53" t="inlineStr">
        <is>
          <t>WP-00134</t>
        </is>
      </c>
      <c r="C291" s="53" t="inlineStr">
        <is>
          <t>TECH-013</t>
        </is>
      </c>
      <c r="D291" s="53" t="inlineStr">
        <is>
          <t>Airframe</t>
        </is>
      </c>
      <c r="E291" s="53" t="inlineStr">
        <is>
          <t>2024-12-06</t>
        </is>
      </c>
      <c r="F291" s="53">
        <v>0.5</v>
      </c>
      <c r="G291" s="53">
        <v>0</v>
      </c>
      <c r="H291" s="51" t="str">
        <f>TEXT(tblLaborEntries[[#This Row],[Work date serial]]-WEEKDAY(tblLaborEntries[[#This Row],[Work date serial]],3),"yyyy-mm-dd")</f>
        <v>2024-12-02</v>
      </c>
      <c r="I291" s="64">
        <f>DATEVALUE(tblLaborEntries[[#This Row],[Work date]])</f>
        <v>45632.0</v>
      </c>
    </row>
    <row r="292" spans="1:9" ht="15" x14ac:dyDescent="0.25">
      <c r="A292" s="53" t="inlineStr">
        <is>
          <t>LAB-000291</t>
        </is>
      </c>
      <c r="B292" s="53" t="inlineStr">
        <is>
          <t>WP-00135</t>
        </is>
      </c>
      <c r="C292" s="53" t="inlineStr">
        <is>
          <t>TECH-030</t>
        </is>
      </c>
      <c r="D292" s="53" t="inlineStr">
        <is>
          <t>Powerplant</t>
        </is>
      </c>
      <c r="E292" s="53" t="inlineStr">
        <is>
          <t>2025-06-30</t>
        </is>
      </c>
      <c r="F292" s="53">
        <v>11.7</v>
      </c>
      <c r="G292" s="53">
        <v>3.7</v>
      </c>
      <c r="H292" s="51" t="str">
        <f>TEXT(tblLaborEntries[[#This Row],[Work date serial]]-WEEKDAY(tblLaborEntries[[#This Row],[Work date serial]],3),"yyyy-mm-dd")</f>
        <v>2025-06-30</v>
      </c>
      <c r="I292" s="64">
        <f>DATEVALUE(tblLaborEntries[[#This Row],[Work date]])</f>
        <v>45838.0</v>
      </c>
    </row>
    <row r="293" spans="1:9" ht="15" x14ac:dyDescent="0.25">
      <c r="A293" s="53" t="inlineStr">
        <is>
          <t>LAB-000292</t>
        </is>
      </c>
      <c r="B293" s="53" t="inlineStr">
        <is>
          <t>WP-00135</t>
        </is>
      </c>
      <c r="C293" s="53" t="inlineStr">
        <is>
          <t>TECH-036</t>
        </is>
      </c>
      <c r="D293" s="53" t="inlineStr">
        <is>
          <t>Powerplant</t>
        </is>
      </c>
      <c r="E293" s="53" t="inlineStr">
        <is>
          <t>2025-07-01</t>
        </is>
      </c>
      <c r="F293" s="53">
        <v>9.8</v>
      </c>
      <c r="G293" s="53">
        <v>1.8</v>
      </c>
      <c r="H293" s="51" t="str">
        <f>TEXT(tblLaborEntries[[#This Row],[Work date serial]]-WEEKDAY(tblLaborEntries[[#This Row],[Work date serial]],3),"yyyy-mm-dd")</f>
        <v>2025-06-30</v>
      </c>
      <c r="I293" s="64">
        <f>DATEVALUE(tblLaborEntries[[#This Row],[Work date]])</f>
        <v>45839.0</v>
      </c>
    </row>
    <row r="294" spans="1:9" ht="15" x14ac:dyDescent="0.25">
      <c r="A294" s="53" t="inlineStr">
        <is>
          <t>LAB-000293</t>
        </is>
      </c>
      <c r="B294" s="53" t="inlineStr">
        <is>
          <t>WP-00135</t>
        </is>
      </c>
      <c r="C294" s="53" t="inlineStr">
        <is>
          <t>TECH-030</t>
        </is>
      </c>
      <c r="D294" s="53" t="inlineStr">
        <is>
          <t>Powerplant</t>
        </is>
      </c>
      <c r="E294" s="53" t="inlineStr">
        <is>
          <t>2025-07-02</t>
        </is>
      </c>
      <c r="F294" s="53">
        <v>8.4</v>
      </c>
      <c r="G294" s="53">
        <v>0.4</v>
      </c>
      <c r="H294" s="51" t="str">
        <f>TEXT(tblLaborEntries[[#This Row],[Work date serial]]-WEEKDAY(tblLaborEntries[[#This Row],[Work date serial]],3),"yyyy-mm-dd")</f>
        <v>2025-06-30</v>
      </c>
      <c r="I294" s="64">
        <f>DATEVALUE(tblLaborEntries[[#This Row],[Work date]])</f>
        <v>45840.0</v>
      </c>
    </row>
    <row r="295" spans="1:9" ht="15" x14ac:dyDescent="0.25">
      <c r="A295" s="53" t="inlineStr">
        <is>
          <t>LAB-000294</t>
        </is>
      </c>
      <c r="B295" s="53" t="inlineStr">
        <is>
          <t>WP-00136</t>
        </is>
      </c>
      <c r="C295" s="53" t="inlineStr">
        <is>
          <t>TECH-055</t>
        </is>
      </c>
      <c r="D295" s="53" t="inlineStr">
        <is>
          <t>Airframe</t>
        </is>
      </c>
      <c r="E295" s="53" t="inlineStr">
        <is>
          <t>2025-08-13</t>
        </is>
      </c>
      <c r="F295" s="53">
        <v>1.2</v>
      </c>
      <c r="G295" s="53">
        <v>0</v>
      </c>
      <c r="H295" s="51" t="str">
        <f>TEXT(tblLaborEntries[[#This Row],[Work date serial]]-WEEKDAY(tblLaborEntries[[#This Row],[Work date serial]],3),"yyyy-mm-dd")</f>
        <v>2025-08-11</v>
      </c>
      <c r="I295" s="64">
        <f>DATEVALUE(tblLaborEntries[[#This Row],[Work date]])</f>
        <v>45882.0</v>
      </c>
    </row>
    <row r="296" spans="1:9" ht="15" x14ac:dyDescent="0.25">
      <c r="A296" s="53" t="inlineStr">
        <is>
          <t>LAB-000295</t>
        </is>
      </c>
      <c r="B296" s="53" t="inlineStr">
        <is>
          <t>WP-00136</t>
        </is>
      </c>
      <c r="C296" s="53" t="inlineStr">
        <is>
          <t>TECH-019</t>
        </is>
      </c>
      <c r="D296" s="53" t="inlineStr">
        <is>
          <t>Airframe</t>
        </is>
      </c>
      <c r="E296" s="53" t="inlineStr">
        <is>
          <t>2025-08-14</t>
        </is>
      </c>
      <c r="F296" s="53">
        <v>1.2</v>
      </c>
      <c r="G296" s="53">
        <v>0</v>
      </c>
      <c r="H296" s="51" t="str">
        <f>TEXT(tblLaborEntries[[#This Row],[Work date serial]]-WEEKDAY(tblLaborEntries[[#This Row],[Work date serial]],3),"yyyy-mm-dd")</f>
        <v>2025-08-11</v>
      </c>
      <c r="I296" s="64">
        <f>DATEVALUE(tblLaborEntries[[#This Row],[Work date]])</f>
        <v>45883.0</v>
      </c>
    </row>
    <row r="297" spans="1:9" ht="15" x14ac:dyDescent="0.25">
      <c r="A297" s="53" t="inlineStr">
        <is>
          <t>LAB-000296</t>
        </is>
      </c>
      <c r="B297" s="53" t="inlineStr">
        <is>
          <t>WP-00136</t>
        </is>
      </c>
      <c r="C297" s="53" t="inlineStr">
        <is>
          <t>TECH-013</t>
        </is>
      </c>
      <c r="D297" s="53" t="inlineStr">
        <is>
          <t>Airframe</t>
        </is>
      </c>
      <c r="E297" s="53" t="inlineStr">
        <is>
          <t>2025-08-15</t>
        </is>
      </c>
      <c r="F297" s="53">
        <v>1</v>
      </c>
      <c r="G297" s="53">
        <v>0</v>
      </c>
      <c r="H297" s="51" t="str">
        <f>TEXT(tblLaborEntries[[#This Row],[Work date serial]]-WEEKDAY(tblLaborEntries[[#This Row],[Work date serial]],3),"yyyy-mm-dd")</f>
        <v>2025-08-11</v>
      </c>
      <c r="I297" s="64">
        <f>DATEVALUE(tblLaborEntries[[#This Row],[Work date]])</f>
        <v>45884.0</v>
      </c>
    </row>
    <row r="298" spans="1:9" ht="15" x14ac:dyDescent="0.25">
      <c r="A298" s="53" t="inlineStr">
        <is>
          <t>LAB-000297</t>
        </is>
      </c>
      <c r="B298" s="53" t="inlineStr">
        <is>
          <t>WP-00137</t>
        </is>
      </c>
      <c r="C298" s="53" t="inlineStr">
        <is>
          <t>TECH-032</t>
        </is>
      </c>
      <c r="D298" s="53" t="inlineStr">
        <is>
          <t>Avionics</t>
        </is>
      </c>
      <c r="E298" s="53" t="inlineStr">
        <is>
          <t>2025-03-16</t>
        </is>
      </c>
      <c r="F298" s="53">
        <v>4.9</v>
      </c>
      <c r="G298" s="53">
        <v>0</v>
      </c>
      <c r="H298" s="51" t="str">
        <f>TEXT(tblLaborEntries[[#This Row],[Work date serial]]-WEEKDAY(tblLaborEntries[[#This Row],[Work date serial]],3),"yyyy-mm-dd")</f>
        <v>2025-03-10</v>
      </c>
      <c r="I298" s="64">
        <f>DATEVALUE(tblLaborEntries[[#This Row],[Work date]])</f>
        <v>45732.0</v>
      </c>
    </row>
    <row r="299" spans="1:9" ht="15" x14ac:dyDescent="0.25">
      <c r="A299" s="53" t="inlineStr">
        <is>
          <t>LAB-000298</t>
        </is>
      </c>
      <c r="B299" s="53" t="inlineStr">
        <is>
          <t>WP-00137</t>
        </is>
      </c>
      <c r="C299" s="53" t="inlineStr">
        <is>
          <t>TECH-068</t>
        </is>
      </c>
      <c r="D299" s="53" t="inlineStr">
        <is>
          <t>Avionics</t>
        </is>
      </c>
      <c r="E299" s="53" t="inlineStr">
        <is>
          <t>2025-03-17</t>
        </is>
      </c>
      <c r="F299" s="53">
        <v>4.3</v>
      </c>
      <c r="G299" s="53">
        <v>0</v>
      </c>
      <c r="H299" s="51" t="str">
        <f>TEXT(tblLaborEntries[[#This Row],[Work date serial]]-WEEKDAY(tblLaborEntries[[#This Row],[Work date serial]],3),"yyyy-mm-dd")</f>
        <v>2025-03-17</v>
      </c>
      <c r="I299" s="64">
        <f>DATEVALUE(tblLaborEntries[[#This Row],[Work date]])</f>
        <v>45733.0</v>
      </c>
    </row>
    <row r="300" spans="1:9" ht="15" x14ac:dyDescent="0.25">
      <c r="A300" s="53" t="inlineStr">
        <is>
          <t>LAB-000299</t>
        </is>
      </c>
      <c r="B300" s="53" t="inlineStr">
        <is>
          <t>WP-00137</t>
        </is>
      </c>
      <c r="C300" s="53" t="inlineStr">
        <is>
          <t>TECH-008</t>
        </is>
      </c>
      <c r="D300" s="53" t="inlineStr">
        <is>
          <t>Avionics</t>
        </is>
      </c>
      <c r="E300" s="53" t="inlineStr">
        <is>
          <t>2025-03-18</t>
        </is>
      </c>
      <c r="F300" s="53">
        <v>4</v>
      </c>
      <c r="G300" s="53">
        <v>0</v>
      </c>
      <c r="H300" s="51" t="str">
        <f>TEXT(tblLaborEntries[[#This Row],[Work date serial]]-WEEKDAY(tblLaborEntries[[#This Row],[Work date serial]],3),"yyyy-mm-dd")</f>
        <v>2025-03-17</v>
      </c>
      <c r="I300" s="64">
        <f>DATEVALUE(tblLaborEntries[[#This Row],[Work date]])</f>
        <v>45734.0</v>
      </c>
    </row>
    <row r="301" spans="1:9" ht="15" x14ac:dyDescent="0.25">
      <c r="A301" s="53" t="inlineStr">
        <is>
          <t>LAB-000300</t>
        </is>
      </c>
      <c r="B301" s="53" t="inlineStr">
        <is>
          <t>WP-00138</t>
        </is>
      </c>
      <c r="C301" s="53" t="inlineStr">
        <is>
          <t>TECH-069</t>
        </is>
      </c>
      <c r="D301" s="53" t="inlineStr">
        <is>
          <t>Hydraulics</t>
        </is>
      </c>
      <c r="E301" s="53" t="inlineStr">
        <is>
          <t>2024-04-05</t>
        </is>
      </c>
      <c r="F301" s="53">
        <v>3.6</v>
      </c>
      <c r="G301" s="53">
        <v>0</v>
      </c>
      <c r="H301" s="51" t="str">
        <f>TEXT(tblLaborEntries[[#This Row],[Work date serial]]-WEEKDAY(tblLaborEntries[[#This Row],[Work date serial]],3),"yyyy-mm-dd")</f>
        <v>2024-04-01</v>
      </c>
      <c r="I301" s="64">
        <f>DATEVALUE(tblLaborEntries[[#This Row],[Work date]])</f>
        <v>45387.0</v>
      </c>
    </row>
    <row r="302" spans="1:9" ht="15" x14ac:dyDescent="0.25">
      <c r="A302" s="53" t="inlineStr">
        <is>
          <t>LAB-000301</t>
        </is>
      </c>
      <c r="B302" s="53" t="inlineStr">
        <is>
          <t>WP-00138</t>
        </is>
      </c>
      <c r="C302" s="53" t="inlineStr">
        <is>
          <t>TECH-033</t>
        </is>
      </c>
      <c r="D302" s="53" t="inlineStr">
        <is>
          <t>Hydraulics</t>
        </is>
      </c>
      <c r="E302" s="53" t="inlineStr">
        <is>
          <t>2024-04-06</t>
        </is>
      </c>
      <c r="F302" s="53">
        <v>3.7</v>
      </c>
      <c r="G302" s="53">
        <v>0</v>
      </c>
      <c r="H302" s="51" t="str">
        <f>TEXT(tblLaborEntries[[#This Row],[Work date serial]]-WEEKDAY(tblLaborEntries[[#This Row],[Work date serial]],3),"yyyy-mm-dd")</f>
        <v>2024-04-01</v>
      </c>
      <c r="I302" s="64">
        <f>DATEVALUE(tblLaborEntries[[#This Row],[Work date]])</f>
        <v>45388.0</v>
      </c>
    </row>
    <row r="303" spans="1:9" ht="15" x14ac:dyDescent="0.25">
      <c r="A303" s="53" t="inlineStr">
        <is>
          <t>LAB-000302</t>
        </is>
      </c>
      <c r="B303" s="53" t="inlineStr">
        <is>
          <t>WP-00138</t>
        </is>
      </c>
      <c r="C303" s="53" t="inlineStr">
        <is>
          <t>TECH-033</t>
        </is>
      </c>
      <c r="D303" s="53" t="inlineStr">
        <is>
          <t>Hydraulics</t>
        </is>
      </c>
      <c r="E303" s="53" t="inlineStr">
        <is>
          <t>2024-04-07</t>
        </is>
      </c>
      <c r="F303" s="53">
        <v>3.9</v>
      </c>
      <c r="G303" s="53">
        <v>0</v>
      </c>
      <c r="H303" s="51" t="str">
        <f>TEXT(tblLaborEntries[[#This Row],[Work date serial]]-WEEKDAY(tblLaborEntries[[#This Row],[Work date serial]],3),"yyyy-mm-dd")</f>
        <v>2024-04-01</v>
      </c>
      <c r="I303" s="64">
        <f>DATEVALUE(tblLaborEntries[[#This Row],[Work date]])</f>
        <v>45389.0</v>
      </c>
    </row>
    <row r="304" spans="1:9" ht="15" x14ac:dyDescent="0.25">
      <c r="A304" s="53" t="inlineStr">
        <is>
          <t>LAB-000303</t>
        </is>
      </c>
      <c r="B304" s="53" t="inlineStr">
        <is>
          <t>WP-00139</t>
        </is>
      </c>
      <c r="C304" s="53" t="inlineStr">
        <is>
          <t>TECH-056</t>
        </is>
      </c>
      <c r="D304" s="53" t="inlineStr">
        <is>
          <t>Avionics</t>
        </is>
      </c>
      <c r="E304" s="53" t="inlineStr">
        <is>
          <t>2025-08-05</t>
        </is>
      </c>
      <c r="F304" s="53">
        <v>5.3</v>
      </c>
      <c r="G304" s="53">
        <v>0</v>
      </c>
      <c r="H304" s="51" t="str">
        <f>TEXT(tblLaborEntries[[#This Row],[Work date serial]]-WEEKDAY(tblLaborEntries[[#This Row],[Work date serial]],3),"yyyy-mm-dd")</f>
        <v>2025-08-04</v>
      </c>
      <c r="I304" s="64">
        <f>DATEVALUE(tblLaborEntries[[#This Row],[Work date]])</f>
        <v>45874.0</v>
      </c>
    </row>
    <row r="305" spans="1:9" ht="15" x14ac:dyDescent="0.25">
      <c r="A305" s="53" t="inlineStr">
        <is>
          <t>LAB-000304</t>
        </is>
      </c>
      <c r="B305" s="53" t="inlineStr">
        <is>
          <t>WP-00140</t>
        </is>
      </c>
      <c r="C305" s="53" t="inlineStr">
        <is>
          <t>TECH-002</t>
        </is>
      </c>
      <c r="D305" s="53" t="inlineStr">
        <is>
          <t>Avionics</t>
        </is>
      </c>
      <c r="E305" s="53" t="inlineStr">
        <is>
          <t>2024-04-03</t>
        </is>
      </c>
      <c r="F305" s="53">
        <v>12</v>
      </c>
      <c r="G305" s="53">
        <v>4</v>
      </c>
      <c r="H305" s="51" t="str">
        <f>TEXT(tblLaborEntries[[#This Row],[Work date serial]]-WEEKDAY(tblLaborEntries[[#This Row],[Work date serial]],3),"yyyy-mm-dd")</f>
        <v>2024-04-01</v>
      </c>
      <c r="I305" s="64">
        <f>DATEVALUE(tblLaborEntries[[#This Row],[Work date]])</f>
        <v>45385.0</v>
      </c>
    </row>
    <row r="306" spans="1:9" ht="15" x14ac:dyDescent="0.25">
      <c r="A306" s="53" t="inlineStr">
        <is>
          <t>LAB-000305</t>
        </is>
      </c>
      <c r="B306" s="53" t="inlineStr">
        <is>
          <t>WP-00140</t>
        </is>
      </c>
      <c r="C306" s="53" t="inlineStr">
        <is>
          <t>TECH-014</t>
        </is>
      </c>
      <c r="D306" s="53" t="inlineStr">
        <is>
          <t>Avionics</t>
        </is>
      </c>
      <c r="E306" s="53" t="inlineStr">
        <is>
          <t>2024-04-03</t>
        </is>
      </c>
      <c r="F306" s="53">
        <v>6.7</v>
      </c>
      <c r="G306" s="53">
        <v>0</v>
      </c>
      <c r="H306" s="51" t="str">
        <f>TEXT(tblLaborEntries[[#This Row],[Work date serial]]-WEEKDAY(tblLaborEntries[[#This Row],[Work date serial]],3),"yyyy-mm-dd")</f>
        <v>2024-04-01</v>
      </c>
      <c r="I306" s="64">
        <f>DATEVALUE(tblLaborEntries[[#This Row],[Work date]])</f>
        <v>45385.0</v>
      </c>
    </row>
    <row r="307" spans="1:9" ht="15" x14ac:dyDescent="0.25">
      <c r="A307" s="53" t="inlineStr">
        <is>
          <t>LAB-000306</t>
        </is>
      </c>
      <c r="B307" s="53" t="inlineStr">
        <is>
          <t>WP-00141</t>
        </is>
      </c>
      <c r="C307" s="53" t="inlineStr">
        <is>
          <t>TECH-005</t>
        </is>
      </c>
      <c r="D307" s="53" t="inlineStr">
        <is>
          <t>Structures</t>
        </is>
      </c>
      <c r="E307" s="53" t="inlineStr">
        <is>
          <t>2024-01-27</t>
        </is>
      </c>
      <c r="F307" s="53">
        <v>12</v>
      </c>
      <c r="G307" s="53">
        <v>4</v>
      </c>
      <c r="H307" s="51" t="str">
        <f>TEXT(tblLaborEntries[[#This Row],[Work date serial]]-WEEKDAY(tblLaborEntries[[#This Row],[Work date serial]],3),"yyyy-mm-dd")</f>
        <v>2024-01-22</v>
      </c>
      <c r="I307" s="64">
        <f>DATEVALUE(tblLaborEntries[[#This Row],[Work date]])</f>
        <v>45318.0</v>
      </c>
    </row>
    <row r="308" spans="1:9" ht="15" x14ac:dyDescent="0.25">
      <c r="A308" s="53" t="inlineStr">
        <is>
          <t>LAB-000307</t>
        </is>
      </c>
      <c r="B308" s="53" t="inlineStr">
        <is>
          <t>WP-00141</t>
        </is>
      </c>
      <c r="C308" s="53" t="inlineStr">
        <is>
          <t>TECH-011</t>
        </is>
      </c>
      <c r="D308" s="53" t="inlineStr">
        <is>
          <t>Structures</t>
        </is>
      </c>
      <c r="E308" s="53" t="inlineStr">
        <is>
          <t>2024-01-27</t>
        </is>
      </c>
      <c r="F308" s="53">
        <v>1.4</v>
      </c>
      <c r="G308" s="53">
        <v>0</v>
      </c>
      <c r="H308" s="51" t="str">
        <f>TEXT(tblLaborEntries[[#This Row],[Work date serial]]-WEEKDAY(tblLaborEntries[[#This Row],[Work date serial]],3),"yyyy-mm-dd")</f>
        <v>2024-01-22</v>
      </c>
      <c r="I308" s="64">
        <f>DATEVALUE(tblLaborEntries[[#This Row],[Work date]])</f>
        <v>45318.0</v>
      </c>
    </row>
    <row r="309" spans="1:9" ht="15" x14ac:dyDescent="0.25">
      <c r="A309" s="53" t="inlineStr">
        <is>
          <t>LAB-000308</t>
        </is>
      </c>
      <c r="B309" s="53" t="inlineStr">
        <is>
          <t>WP-00141</t>
        </is>
      </c>
      <c r="C309" s="53" t="inlineStr">
        <is>
          <t>TECH-041</t>
        </is>
      </c>
      <c r="D309" s="53" t="inlineStr">
        <is>
          <t>Structures</t>
        </is>
      </c>
      <c r="E309" s="53" t="inlineStr">
        <is>
          <t>2024-01-27</t>
        </is>
      </c>
      <c r="F309" s="53">
        <v>12</v>
      </c>
      <c r="G309" s="53">
        <v>4</v>
      </c>
      <c r="H309" s="51" t="str">
        <f>TEXT(tblLaborEntries[[#This Row],[Work date serial]]-WEEKDAY(tblLaborEntries[[#This Row],[Work date serial]],3),"yyyy-mm-dd")</f>
        <v>2024-01-22</v>
      </c>
      <c r="I309" s="64">
        <f>DATEVALUE(tblLaborEntries[[#This Row],[Work date]])</f>
        <v>45318.0</v>
      </c>
    </row>
    <row r="310" spans="1:9" ht="15" x14ac:dyDescent="0.25">
      <c r="A310" s="53" t="inlineStr">
        <is>
          <t>LAB-000309</t>
        </is>
      </c>
      <c r="B310" s="53" t="inlineStr">
        <is>
          <t>WP-00142</t>
        </is>
      </c>
      <c r="C310" s="53" t="inlineStr">
        <is>
          <t>TECH-062</t>
        </is>
      </c>
      <c r="D310" s="53" t="inlineStr">
        <is>
          <t>Avionics</t>
        </is>
      </c>
      <c r="E310" s="53" t="inlineStr">
        <is>
          <t>2025-05-27</t>
        </is>
      </c>
      <c r="F310" s="53">
        <v>3.5</v>
      </c>
      <c r="G310" s="53">
        <v>0</v>
      </c>
      <c r="H310" s="51" t="str">
        <f>TEXT(tblLaborEntries[[#This Row],[Work date serial]]-WEEKDAY(tblLaborEntries[[#This Row],[Work date serial]],3),"yyyy-mm-dd")</f>
        <v>2025-05-26</v>
      </c>
      <c r="I310" s="64">
        <f>DATEVALUE(tblLaborEntries[[#This Row],[Work date]])</f>
        <v>45804.0</v>
      </c>
    </row>
    <row r="311" spans="1:9" ht="15" x14ac:dyDescent="0.25">
      <c r="A311" s="53" t="inlineStr">
        <is>
          <t>LAB-000310</t>
        </is>
      </c>
      <c r="B311" s="53" t="inlineStr">
        <is>
          <t>WP-00142</t>
        </is>
      </c>
      <c r="C311" s="53" t="inlineStr">
        <is>
          <t>TECH-074</t>
        </is>
      </c>
      <c r="D311" s="53" t="inlineStr">
        <is>
          <t>Avionics</t>
        </is>
      </c>
      <c r="E311" s="53" t="inlineStr">
        <is>
          <t>2025-05-28</t>
        </is>
      </c>
      <c r="F311" s="53">
        <v>4.8</v>
      </c>
      <c r="G311" s="53">
        <v>0</v>
      </c>
      <c r="H311" s="51" t="str">
        <f>TEXT(tblLaborEntries[[#This Row],[Work date serial]]-WEEKDAY(tblLaborEntries[[#This Row],[Work date serial]],3),"yyyy-mm-dd")</f>
        <v>2025-05-26</v>
      </c>
      <c r="I311" s="64">
        <f>DATEVALUE(tblLaborEntries[[#This Row],[Work date]])</f>
        <v>45805.0</v>
      </c>
    </row>
    <row r="312" spans="1:9" ht="15" x14ac:dyDescent="0.25">
      <c r="A312" s="53" t="inlineStr">
        <is>
          <t>LAB-000311</t>
        </is>
      </c>
      <c r="B312" s="53" t="inlineStr">
        <is>
          <t>WP-00143</t>
        </is>
      </c>
      <c r="C312" s="53" t="inlineStr">
        <is>
          <t>TECH-001</t>
        </is>
      </c>
      <c r="D312" s="53" t="inlineStr">
        <is>
          <t>Airframe</t>
        </is>
      </c>
      <c r="E312" s="53" t="inlineStr">
        <is>
          <t>2024-07-21</t>
        </is>
      </c>
      <c r="F312" s="53">
        <v>6.5</v>
      </c>
      <c r="G312" s="53">
        <v>0</v>
      </c>
      <c r="H312" s="51" t="str">
        <f>TEXT(tblLaborEntries[[#This Row],[Work date serial]]-WEEKDAY(tblLaborEntries[[#This Row],[Work date serial]],3),"yyyy-mm-dd")</f>
        <v>2024-07-15</v>
      </c>
      <c r="I312" s="64">
        <f>DATEVALUE(tblLaborEntries[[#This Row],[Work date]])</f>
        <v>45494.0</v>
      </c>
    </row>
    <row r="313" spans="1:9" ht="15" x14ac:dyDescent="0.25">
      <c r="A313" s="53" t="inlineStr">
        <is>
          <t>LAB-000312</t>
        </is>
      </c>
      <c r="B313" s="53" t="inlineStr">
        <is>
          <t>WP-00143</t>
        </is>
      </c>
      <c r="C313" s="53" t="inlineStr">
        <is>
          <t>TECH-055</t>
        </is>
      </c>
      <c r="D313" s="53" t="inlineStr">
        <is>
          <t>Airframe</t>
        </is>
      </c>
      <c r="E313" s="53" t="inlineStr">
        <is>
          <t>2024-07-21</t>
        </is>
      </c>
      <c r="F313" s="53">
        <v>12</v>
      </c>
      <c r="G313" s="53">
        <v>4</v>
      </c>
      <c r="H313" s="51" t="str">
        <f>TEXT(tblLaborEntries[[#This Row],[Work date serial]]-WEEKDAY(tblLaborEntries[[#This Row],[Work date serial]],3),"yyyy-mm-dd")</f>
        <v>2024-07-15</v>
      </c>
      <c r="I313" s="64">
        <f>DATEVALUE(tblLaborEntries[[#This Row],[Work date]])</f>
        <v>45494.0</v>
      </c>
    </row>
    <row r="314" spans="1:9" ht="15" x14ac:dyDescent="0.25">
      <c r="A314" s="53" t="inlineStr">
        <is>
          <t>LAB-000313</t>
        </is>
      </c>
      <c r="B314" s="53" t="inlineStr">
        <is>
          <t>WP-00144</t>
        </is>
      </c>
      <c r="C314" s="53" t="inlineStr">
        <is>
          <t>TECH-049</t>
        </is>
      </c>
      <c r="D314" s="53" t="inlineStr">
        <is>
          <t>Airframe</t>
        </is>
      </c>
      <c r="E314" s="53" t="inlineStr">
        <is>
          <t>2025-07-02</t>
        </is>
      </c>
      <c r="F314" s="53">
        <v>6.6</v>
      </c>
      <c r="G314" s="53">
        <v>0</v>
      </c>
      <c r="H314" s="51" t="str">
        <f>TEXT(tblLaborEntries[[#This Row],[Work date serial]]-WEEKDAY(tblLaborEntries[[#This Row],[Work date serial]],3),"yyyy-mm-dd")</f>
        <v>2025-06-30</v>
      </c>
      <c r="I314" s="64">
        <f>DATEVALUE(tblLaborEntries[[#This Row],[Work date]])</f>
        <v>45840.0</v>
      </c>
    </row>
    <row r="315" spans="1:9" ht="15" x14ac:dyDescent="0.25">
      <c r="A315" s="53" t="inlineStr">
        <is>
          <t>LAB-000314</t>
        </is>
      </c>
      <c r="B315" s="53" t="inlineStr">
        <is>
          <t>WP-00144</t>
        </is>
      </c>
      <c r="C315" s="53" t="inlineStr">
        <is>
          <t>TECH-043</t>
        </is>
      </c>
      <c r="D315" s="53" t="inlineStr">
        <is>
          <t>Airframe</t>
        </is>
      </c>
      <c r="E315" s="53" t="inlineStr">
        <is>
          <t>2025-07-03</t>
        </is>
      </c>
      <c r="F315" s="53">
        <v>5</v>
      </c>
      <c r="G315" s="53">
        <v>0</v>
      </c>
      <c r="H315" s="51" t="str">
        <f>TEXT(tblLaborEntries[[#This Row],[Work date serial]]-WEEKDAY(tblLaborEntries[[#This Row],[Work date serial]],3),"yyyy-mm-dd")</f>
        <v>2025-06-30</v>
      </c>
      <c r="I315" s="64">
        <f>DATEVALUE(tblLaborEntries[[#This Row],[Work date]])</f>
        <v>45841.0</v>
      </c>
    </row>
    <row r="316" spans="1:9" ht="15" x14ac:dyDescent="0.25">
      <c r="A316" s="53" t="inlineStr">
        <is>
          <t>LAB-000315</t>
        </is>
      </c>
      <c r="B316" s="53" t="inlineStr">
        <is>
          <t>WP-00144</t>
        </is>
      </c>
      <c r="C316" s="53" t="inlineStr">
        <is>
          <t>TECH-019</t>
        </is>
      </c>
      <c r="D316" s="53" t="inlineStr">
        <is>
          <t>Airframe</t>
        </is>
      </c>
      <c r="E316" s="53" t="inlineStr">
        <is>
          <t>2025-07-04</t>
        </is>
      </c>
      <c r="F316" s="53">
        <v>5.3</v>
      </c>
      <c r="G316" s="53">
        <v>0</v>
      </c>
      <c r="H316" s="51" t="str">
        <f>TEXT(tblLaborEntries[[#This Row],[Work date serial]]-WEEKDAY(tblLaborEntries[[#This Row],[Work date serial]],3),"yyyy-mm-dd")</f>
        <v>2025-06-30</v>
      </c>
      <c r="I316" s="64">
        <f>DATEVALUE(tblLaborEntries[[#This Row],[Work date]])</f>
        <v>45842.0</v>
      </c>
    </row>
    <row r="317" spans="1:9" ht="15" x14ac:dyDescent="0.25">
      <c r="A317" s="53" t="inlineStr">
        <is>
          <t>LAB-000316</t>
        </is>
      </c>
      <c r="B317" s="53" t="inlineStr">
        <is>
          <t>WP-00145</t>
        </is>
      </c>
      <c r="C317" s="53" t="inlineStr">
        <is>
          <t>TECH-057</t>
        </is>
      </c>
      <c r="D317" s="53" t="inlineStr">
        <is>
          <t>Hydraulics</t>
        </is>
      </c>
      <c r="E317" s="53" t="inlineStr">
        <is>
          <t>2025-09-24</t>
        </is>
      </c>
      <c r="F317" s="53">
        <v>8.8</v>
      </c>
      <c r="G317" s="53">
        <v>0.8</v>
      </c>
      <c r="H317" s="51" t="str">
        <f>TEXT(tblLaborEntries[[#This Row],[Work date serial]]-WEEKDAY(tblLaborEntries[[#This Row],[Work date serial]],3),"yyyy-mm-dd")</f>
        <v>2025-09-22</v>
      </c>
      <c r="I317" s="64">
        <f>DATEVALUE(tblLaborEntries[[#This Row],[Work date]])</f>
        <v>45924.0</v>
      </c>
    </row>
    <row r="318" spans="1:9" ht="15" x14ac:dyDescent="0.25">
      <c r="A318" s="53" t="inlineStr">
        <is>
          <t>LAB-000317</t>
        </is>
      </c>
      <c r="B318" s="53" t="inlineStr">
        <is>
          <t>WP-00146</t>
        </is>
      </c>
      <c r="C318" s="53" t="inlineStr">
        <is>
          <t>TECH-008</t>
        </is>
      </c>
      <c r="D318" s="53" t="inlineStr">
        <is>
          <t>Avionics</t>
        </is>
      </c>
      <c r="E318" s="53" t="inlineStr">
        <is>
          <t>2025-07-07</t>
        </is>
      </c>
      <c r="F318" s="53">
        <v>1.2</v>
      </c>
      <c r="G318" s="53">
        <v>0</v>
      </c>
      <c r="H318" s="51" t="str">
        <f>TEXT(tblLaborEntries[[#This Row],[Work date serial]]-WEEKDAY(tblLaborEntries[[#This Row],[Work date serial]],3),"yyyy-mm-dd")</f>
        <v>2025-07-07</v>
      </c>
      <c r="I318" s="64">
        <f>DATEVALUE(tblLaborEntries[[#This Row],[Work date]])</f>
        <v>45845.0</v>
      </c>
    </row>
    <row r="319" spans="1:9" ht="15" x14ac:dyDescent="0.25">
      <c r="A319" s="53" t="inlineStr">
        <is>
          <t>LAB-000318</t>
        </is>
      </c>
      <c r="B319" s="53" t="inlineStr">
        <is>
          <t>WP-00146</t>
        </is>
      </c>
      <c r="C319" s="53" t="inlineStr">
        <is>
          <t>TECH-008</t>
        </is>
      </c>
      <c r="D319" s="53" t="inlineStr">
        <is>
          <t>Avionics</t>
        </is>
      </c>
      <c r="E319" s="53" t="inlineStr">
        <is>
          <t>2025-07-08</t>
        </is>
      </c>
      <c r="F319" s="53">
        <v>1.2</v>
      </c>
      <c r="G319" s="53">
        <v>0</v>
      </c>
      <c r="H319" s="51" t="str">
        <f>TEXT(tblLaborEntries[[#This Row],[Work date serial]]-WEEKDAY(tblLaborEntries[[#This Row],[Work date serial]],3),"yyyy-mm-dd")</f>
        <v>2025-07-07</v>
      </c>
      <c r="I319" s="64">
        <f>DATEVALUE(tblLaborEntries[[#This Row],[Work date]])</f>
        <v>45846.0</v>
      </c>
    </row>
    <row r="320" spans="1:9" ht="15" x14ac:dyDescent="0.25">
      <c r="A320" s="53" t="inlineStr">
        <is>
          <t>LAB-000319</t>
        </is>
      </c>
      <c r="B320" s="53" t="inlineStr">
        <is>
          <t>WP-00146</t>
        </is>
      </c>
      <c r="C320" s="53" t="inlineStr">
        <is>
          <t>TECH-050</t>
        </is>
      </c>
      <c r="D320" s="53" t="inlineStr">
        <is>
          <t>Avionics</t>
        </is>
      </c>
      <c r="E320" s="53" t="inlineStr">
        <is>
          <t>2025-07-09</t>
        </is>
      </c>
      <c r="F320" s="53">
        <v>1.8</v>
      </c>
      <c r="G320" s="53">
        <v>0</v>
      </c>
      <c r="H320" s="51" t="str">
        <f>TEXT(tblLaborEntries[[#This Row],[Work date serial]]-WEEKDAY(tblLaborEntries[[#This Row],[Work date serial]],3),"yyyy-mm-dd")</f>
        <v>2025-07-07</v>
      </c>
      <c r="I320" s="64">
        <f>DATEVALUE(tblLaborEntries[[#This Row],[Work date]])</f>
        <v>45847.0</v>
      </c>
    </row>
    <row r="321" spans="1:9" ht="15" x14ac:dyDescent="0.25">
      <c r="A321" s="53" t="inlineStr">
        <is>
          <t>LAB-000320</t>
        </is>
      </c>
      <c r="B321" s="53" t="inlineStr">
        <is>
          <t>WP-00147</t>
        </is>
      </c>
      <c r="C321" s="53" t="inlineStr">
        <is>
          <t>TECH-056</t>
        </is>
      </c>
      <c r="D321" s="53" t="inlineStr">
        <is>
          <t>Avionics</t>
        </is>
      </c>
      <c r="E321" s="53" t="inlineStr">
        <is>
          <t>2024-04-17</t>
        </is>
      </c>
      <c r="F321" s="53">
        <v>3.9</v>
      </c>
      <c r="G321" s="53">
        <v>0</v>
      </c>
      <c r="H321" s="51" t="str">
        <f>TEXT(tblLaborEntries[[#This Row],[Work date serial]]-WEEKDAY(tblLaborEntries[[#This Row],[Work date serial]],3),"yyyy-mm-dd")</f>
        <v>2024-04-15</v>
      </c>
      <c r="I321" s="64">
        <f>DATEVALUE(tblLaborEntries[[#This Row],[Work date]])</f>
        <v>45399.0</v>
      </c>
    </row>
    <row r="322" spans="1:9" ht="15" x14ac:dyDescent="0.25">
      <c r="A322" s="53" t="inlineStr">
        <is>
          <t>LAB-000321</t>
        </is>
      </c>
      <c r="B322" s="53" t="inlineStr">
        <is>
          <t>WP-00147</t>
        </is>
      </c>
      <c r="C322" s="53" t="inlineStr">
        <is>
          <t>TECH-014</t>
        </is>
      </c>
      <c r="D322" s="53" t="inlineStr">
        <is>
          <t>Avionics</t>
        </is>
      </c>
      <c r="E322" s="53" t="inlineStr">
        <is>
          <t>2024-04-18</t>
        </is>
      </c>
      <c r="F322" s="53">
        <v>3.5</v>
      </c>
      <c r="G322" s="53">
        <v>0</v>
      </c>
      <c r="H322" s="51" t="str">
        <f>TEXT(tblLaborEntries[[#This Row],[Work date serial]]-WEEKDAY(tblLaborEntries[[#This Row],[Work date serial]],3),"yyyy-mm-dd")</f>
        <v>2024-04-15</v>
      </c>
      <c r="I322" s="64">
        <f>DATEVALUE(tblLaborEntries[[#This Row],[Work date]])</f>
        <v>45400.0</v>
      </c>
    </row>
    <row r="323" spans="1:9" ht="15" x14ac:dyDescent="0.25">
      <c r="A323" s="53" t="inlineStr">
        <is>
          <t>LAB-000322</t>
        </is>
      </c>
      <c r="B323" s="53" t="inlineStr">
        <is>
          <t>WP-00147</t>
        </is>
      </c>
      <c r="C323" s="53" t="inlineStr">
        <is>
          <t>TECH-074</t>
        </is>
      </c>
      <c r="D323" s="53" t="inlineStr">
        <is>
          <t>Avionics</t>
        </is>
      </c>
      <c r="E323" s="53" t="inlineStr">
        <is>
          <t>2024-04-19</t>
        </is>
      </c>
      <c r="F323" s="53">
        <v>3.4</v>
      </c>
      <c r="G323" s="53">
        <v>0</v>
      </c>
      <c r="H323" s="51" t="str">
        <f>TEXT(tblLaborEntries[[#This Row],[Work date serial]]-WEEKDAY(tblLaborEntries[[#This Row],[Work date serial]],3),"yyyy-mm-dd")</f>
        <v>2024-04-15</v>
      </c>
      <c r="I323" s="64">
        <f>DATEVALUE(tblLaborEntries[[#This Row],[Work date]])</f>
        <v>45401.0</v>
      </c>
    </row>
    <row r="324" spans="1:9" ht="15" x14ac:dyDescent="0.25">
      <c r="A324" s="53" t="inlineStr">
        <is>
          <t>LAB-000323</t>
        </is>
      </c>
      <c r="B324" s="53" t="inlineStr">
        <is>
          <t>WP-00148</t>
        </is>
      </c>
      <c r="C324" s="53" t="inlineStr">
        <is>
          <t>TECH-053</t>
        </is>
      </c>
      <c r="D324" s="53" t="inlineStr">
        <is>
          <t>Structures</t>
        </is>
      </c>
      <c r="E324" s="53" t="inlineStr">
        <is>
          <t>2024-05-21</t>
        </is>
      </c>
      <c r="F324" s="53">
        <v>9.2</v>
      </c>
      <c r="G324" s="53">
        <v>1.2</v>
      </c>
      <c r="H324" s="51" t="str">
        <f>TEXT(tblLaborEntries[[#This Row],[Work date serial]]-WEEKDAY(tblLaborEntries[[#This Row],[Work date serial]],3),"yyyy-mm-dd")</f>
        <v>2024-05-20</v>
      </c>
      <c r="I324" s="64">
        <f>DATEVALUE(tblLaborEntries[[#This Row],[Work date]])</f>
        <v>45433.0</v>
      </c>
    </row>
    <row r="325" spans="1:9" ht="15" x14ac:dyDescent="0.25">
      <c r="A325" s="53" t="inlineStr">
        <is>
          <t>LAB-000324</t>
        </is>
      </c>
      <c r="B325" s="53" t="inlineStr">
        <is>
          <t>WP-00148</t>
        </is>
      </c>
      <c r="C325" s="53" t="inlineStr">
        <is>
          <t>TECH-029</t>
        </is>
      </c>
      <c r="D325" s="53" t="inlineStr">
        <is>
          <t>Structures</t>
        </is>
      </c>
      <c r="E325" s="53" t="inlineStr">
        <is>
          <t>2024-05-22</t>
        </is>
      </c>
      <c r="F325" s="53">
        <v>11.6</v>
      </c>
      <c r="G325" s="53">
        <v>3.6</v>
      </c>
      <c r="H325" s="51" t="str">
        <f>TEXT(tblLaborEntries[[#This Row],[Work date serial]]-WEEKDAY(tblLaborEntries[[#This Row],[Work date serial]],3),"yyyy-mm-dd")</f>
        <v>2024-05-20</v>
      </c>
      <c r="I325" s="64">
        <f>DATEVALUE(tblLaborEntries[[#This Row],[Work date]])</f>
        <v>45434.0</v>
      </c>
    </row>
    <row r="326" spans="1:9" ht="15" x14ac:dyDescent="0.25">
      <c r="A326" s="53" t="inlineStr">
        <is>
          <t>LAB-000325</t>
        </is>
      </c>
      <c r="B326" s="53" t="inlineStr">
        <is>
          <t>WP-00148</t>
        </is>
      </c>
      <c r="C326" s="53" t="inlineStr">
        <is>
          <t>TECH-017</t>
        </is>
      </c>
      <c r="D326" s="53" t="inlineStr">
        <is>
          <t>Structures</t>
        </is>
      </c>
      <c r="E326" s="53" t="inlineStr">
        <is>
          <t>2024-05-23</t>
        </is>
      </c>
      <c r="F326" s="53">
        <v>9.3</v>
      </c>
      <c r="G326" s="53">
        <v>1.3</v>
      </c>
      <c r="H326" s="51" t="str">
        <f>TEXT(tblLaborEntries[[#This Row],[Work date serial]]-WEEKDAY(tblLaborEntries[[#This Row],[Work date serial]],3),"yyyy-mm-dd")</f>
        <v>2024-05-20</v>
      </c>
      <c r="I326" s="64">
        <f>DATEVALUE(tblLaborEntries[[#This Row],[Work date]])</f>
        <v>45435.0</v>
      </c>
    </row>
    <row r="327" spans="1:9" ht="15" x14ac:dyDescent="0.25">
      <c r="A327" s="53" t="inlineStr">
        <is>
          <t>LAB-000326</t>
        </is>
      </c>
      <c r="B327" s="53" t="inlineStr">
        <is>
          <t>WP-00149</t>
        </is>
      </c>
      <c r="C327" s="53" t="inlineStr">
        <is>
          <t>TECH-005</t>
        </is>
      </c>
      <c r="D327" s="53" t="inlineStr">
        <is>
          <t>Structures</t>
        </is>
      </c>
      <c r="E327" s="53" t="inlineStr">
        <is>
          <t>2025-10-08</t>
        </is>
      </c>
      <c r="F327" s="53">
        <v>5</v>
      </c>
      <c r="G327" s="53">
        <v>0</v>
      </c>
      <c r="H327" s="51" t="str">
        <f>TEXT(tblLaborEntries[[#This Row],[Work date serial]]-WEEKDAY(tblLaborEntries[[#This Row],[Work date serial]],3),"yyyy-mm-dd")</f>
        <v>2025-10-06</v>
      </c>
      <c r="I327" s="64">
        <f>DATEVALUE(tblLaborEntries[[#This Row],[Work date]])</f>
        <v>45938.0</v>
      </c>
    </row>
    <row r="328" spans="1:9" ht="15" x14ac:dyDescent="0.25">
      <c r="A328" s="53" t="inlineStr">
        <is>
          <t>LAB-000327</t>
        </is>
      </c>
      <c r="B328" s="53" t="inlineStr">
        <is>
          <t>WP-00149</t>
        </is>
      </c>
      <c r="C328" s="53" t="inlineStr">
        <is>
          <t>TECH-041</t>
        </is>
      </c>
      <c r="D328" s="53" t="inlineStr">
        <is>
          <t>Structures</t>
        </is>
      </c>
      <c r="E328" s="53" t="inlineStr">
        <is>
          <t>2025-10-08</t>
        </is>
      </c>
      <c r="F328" s="53">
        <v>12</v>
      </c>
      <c r="G328" s="53">
        <v>4</v>
      </c>
      <c r="H328" s="51" t="str">
        <f>TEXT(tblLaborEntries[[#This Row],[Work date serial]]-WEEKDAY(tblLaborEntries[[#This Row],[Work date serial]],3),"yyyy-mm-dd")</f>
        <v>2025-10-06</v>
      </c>
      <c r="I328" s="64">
        <f>DATEVALUE(tblLaborEntries[[#This Row],[Work date]])</f>
        <v>45938.0</v>
      </c>
    </row>
    <row r="329" spans="1:9" ht="15" x14ac:dyDescent="0.25">
      <c r="A329" s="53" t="inlineStr">
        <is>
          <t>LAB-000328</t>
        </is>
      </c>
      <c r="B329" s="53" t="inlineStr">
        <is>
          <t>WP-00149</t>
        </is>
      </c>
      <c r="C329" s="53" t="inlineStr">
        <is>
          <t>TECH-005</t>
        </is>
      </c>
      <c r="D329" s="53" t="inlineStr">
        <is>
          <t>Structures</t>
        </is>
      </c>
      <c r="E329" s="53" t="inlineStr">
        <is>
          <t>2025-10-09</t>
        </is>
      </c>
      <c r="F329" s="53">
        <v>2.6</v>
      </c>
      <c r="G329" s="53">
        <v>0</v>
      </c>
      <c r="H329" s="51" t="str">
        <f>TEXT(tblLaborEntries[[#This Row],[Work date serial]]-WEEKDAY(tblLaborEntries[[#This Row],[Work date serial]],3),"yyyy-mm-dd")</f>
        <v>2025-10-06</v>
      </c>
      <c r="I329" s="64">
        <f>DATEVALUE(tblLaborEntries[[#This Row],[Work date]])</f>
        <v>45939.0</v>
      </c>
    </row>
    <row r="330" spans="1:9" ht="15" x14ac:dyDescent="0.25">
      <c r="A330" s="53" t="inlineStr">
        <is>
          <t>LAB-000329</t>
        </is>
      </c>
      <c r="B330" s="53" t="inlineStr">
        <is>
          <t>WP-00149</t>
        </is>
      </c>
      <c r="C330" s="53" t="inlineStr">
        <is>
          <t>TECH-035</t>
        </is>
      </c>
      <c r="D330" s="53" t="inlineStr">
        <is>
          <t>Structures</t>
        </is>
      </c>
      <c r="E330" s="53" t="inlineStr">
        <is>
          <t>2025-10-09</t>
        </is>
      </c>
      <c r="F330" s="53">
        <v>12</v>
      </c>
      <c r="G330" s="53">
        <v>4</v>
      </c>
      <c r="H330" s="51" t="str">
        <f>TEXT(tblLaborEntries[[#This Row],[Work date serial]]-WEEKDAY(tblLaborEntries[[#This Row],[Work date serial]],3),"yyyy-mm-dd")</f>
        <v>2025-10-06</v>
      </c>
      <c r="I330" s="64">
        <f>DATEVALUE(tblLaborEntries[[#This Row],[Work date]])</f>
        <v>45939.0</v>
      </c>
    </row>
    <row r="331" spans="1:9" ht="15" x14ac:dyDescent="0.25">
      <c r="A331" s="53" t="inlineStr">
        <is>
          <t>LAB-000330</t>
        </is>
      </c>
      <c r="B331" s="53" t="inlineStr">
        <is>
          <t>WP-00150</t>
        </is>
      </c>
      <c r="C331" s="53" t="inlineStr">
        <is>
          <t>TECH-006</t>
        </is>
      </c>
      <c r="D331" s="53" t="inlineStr">
        <is>
          <t>Powerplant</t>
        </is>
      </c>
      <c r="E331" s="53" t="inlineStr">
        <is>
          <t>2025-06-19</t>
        </is>
      </c>
      <c r="F331" s="53">
        <v>12</v>
      </c>
      <c r="G331" s="53">
        <v>4</v>
      </c>
      <c r="H331" s="51" t="str">
        <f>TEXT(tblLaborEntries[[#This Row],[Work date serial]]-WEEKDAY(tblLaborEntries[[#This Row],[Work date serial]],3),"yyyy-mm-dd")</f>
        <v>2025-06-16</v>
      </c>
      <c r="I331" s="64">
        <f>DATEVALUE(tblLaborEntries[[#This Row],[Work date]])</f>
        <v>45827.0</v>
      </c>
    </row>
    <row r="332" spans="1:9" ht="15" x14ac:dyDescent="0.25">
      <c r="A332" s="53" t="inlineStr">
        <is>
          <t>LAB-000331</t>
        </is>
      </c>
      <c r="B332" s="53" t="inlineStr">
        <is>
          <t>WP-00150</t>
        </is>
      </c>
      <c r="C332" s="53" t="inlineStr">
        <is>
          <t>TECH-012</t>
        </is>
      </c>
      <c r="D332" s="53" t="inlineStr">
        <is>
          <t>Powerplant</t>
        </is>
      </c>
      <c r="E332" s="53" t="inlineStr">
        <is>
          <t>2025-06-19</t>
        </is>
      </c>
      <c r="F332" s="53">
        <v>5.5</v>
      </c>
      <c r="G332" s="53">
        <v>0</v>
      </c>
      <c r="H332" s="51" t="str">
        <f>TEXT(tblLaborEntries[[#This Row],[Work date serial]]-WEEKDAY(tblLaborEntries[[#This Row],[Work date serial]],3),"yyyy-mm-dd")</f>
        <v>2025-06-16</v>
      </c>
      <c r="I332" s="64">
        <f>DATEVALUE(tblLaborEntries[[#This Row],[Work date]])</f>
        <v>45827.0</v>
      </c>
    </row>
    <row r="333" spans="1:9" ht="15" x14ac:dyDescent="0.25">
      <c r="A333" s="53" t="inlineStr">
        <is>
          <t>LAB-000332</t>
        </is>
      </c>
      <c r="B333" s="53" t="inlineStr">
        <is>
          <t>WP-00150</t>
        </is>
      </c>
      <c r="C333" s="53" t="inlineStr">
        <is>
          <t>TECH-072</t>
        </is>
      </c>
      <c r="D333" s="53" t="inlineStr">
        <is>
          <t>Powerplant</t>
        </is>
      </c>
      <c r="E333" s="53" t="inlineStr">
        <is>
          <t>2025-06-19</t>
        </is>
      </c>
      <c r="F333" s="53">
        <v>2.8</v>
      </c>
      <c r="G333" s="53">
        <v>0</v>
      </c>
      <c r="H333" s="51" t="str">
        <f>TEXT(tblLaborEntries[[#This Row],[Work date serial]]-WEEKDAY(tblLaborEntries[[#This Row],[Work date serial]],3),"yyyy-mm-dd")</f>
        <v>2025-06-16</v>
      </c>
      <c r="I333" s="64">
        <f>DATEVALUE(tblLaborEntries[[#This Row],[Work date]])</f>
        <v>45827.0</v>
      </c>
    </row>
    <row r="334" spans="1:9" ht="15" x14ac:dyDescent="0.25">
      <c r="A334" s="53" t="inlineStr">
        <is>
          <t>LAB-000333</t>
        </is>
      </c>
      <c r="B334" s="53" t="inlineStr">
        <is>
          <t>WP-00151</t>
        </is>
      </c>
      <c r="C334" s="53" t="inlineStr">
        <is>
          <t>TECH-005</t>
        </is>
      </c>
      <c r="D334" s="53" t="inlineStr">
        <is>
          <t>Structures</t>
        </is>
      </c>
      <c r="E334" s="53" t="inlineStr">
        <is>
          <t>2024-07-18</t>
        </is>
      </c>
      <c r="F334" s="53">
        <v>3.4</v>
      </c>
      <c r="G334" s="53">
        <v>0</v>
      </c>
      <c r="H334" s="51" t="str">
        <f>TEXT(tblLaborEntries[[#This Row],[Work date serial]]-WEEKDAY(tblLaborEntries[[#This Row],[Work date serial]],3),"yyyy-mm-dd")</f>
        <v>2024-07-15</v>
      </c>
      <c r="I334" s="64">
        <f>DATEVALUE(tblLaborEntries[[#This Row],[Work date]])</f>
        <v>45491.0</v>
      </c>
    </row>
    <row r="335" spans="1:9" ht="15" x14ac:dyDescent="0.25">
      <c r="A335" s="53" t="inlineStr">
        <is>
          <t>LAB-000334</t>
        </is>
      </c>
      <c r="B335" s="53" t="inlineStr">
        <is>
          <t>WP-00151</t>
        </is>
      </c>
      <c r="C335" s="53" t="inlineStr">
        <is>
          <t>TECH-059</t>
        </is>
      </c>
      <c r="D335" s="53" t="inlineStr">
        <is>
          <t>Structures</t>
        </is>
      </c>
      <c r="E335" s="53" t="inlineStr">
        <is>
          <t>2024-07-18</t>
        </is>
      </c>
      <c r="F335" s="53">
        <v>12</v>
      </c>
      <c r="G335" s="53">
        <v>4</v>
      </c>
      <c r="H335" s="51" t="str">
        <f>TEXT(tblLaborEntries[[#This Row],[Work date serial]]-WEEKDAY(tblLaborEntries[[#This Row],[Work date serial]],3),"yyyy-mm-dd")</f>
        <v>2024-07-15</v>
      </c>
      <c r="I335" s="64">
        <f>DATEVALUE(tblLaborEntries[[#This Row],[Work date]])</f>
        <v>45491.0</v>
      </c>
    </row>
    <row r="336" spans="1:9" ht="15" x14ac:dyDescent="0.25">
      <c r="A336" s="53" t="inlineStr">
        <is>
          <t>LAB-000335</t>
        </is>
      </c>
      <c r="B336" s="53" t="inlineStr">
        <is>
          <t>WP-00151</t>
        </is>
      </c>
      <c r="C336" s="53" t="inlineStr">
        <is>
          <t>TECH-005</t>
        </is>
      </c>
      <c r="D336" s="53" t="inlineStr">
        <is>
          <t>Structures</t>
        </is>
      </c>
      <c r="E336" s="53" t="inlineStr">
        <is>
          <t>2024-07-19</t>
        </is>
      </c>
      <c r="F336" s="53">
        <v>3</v>
      </c>
      <c r="G336" s="53">
        <v>0</v>
      </c>
      <c r="H336" s="51" t="str">
        <f>TEXT(tblLaborEntries[[#This Row],[Work date serial]]-WEEKDAY(tblLaborEntries[[#This Row],[Work date serial]],3),"yyyy-mm-dd")</f>
        <v>2024-07-15</v>
      </c>
      <c r="I336" s="64">
        <f>DATEVALUE(tblLaborEntries[[#This Row],[Work date]])</f>
        <v>45492.0</v>
      </c>
    </row>
    <row r="337" spans="1:9" ht="15" x14ac:dyDescent="0.25">
      <c r="A337" s="53" t="inlineStr">
        <is>
          <t>LAB-000336</t>
        </is>
      </c>
      <c r="B337" s="53" t="inlineStr">
        <is>
          <t>WP-00151</t>
        </is>
      </c>
      <c r="C337" s="53" t="inlineStr">
        <is>
          <t>TECH-071</t>
        </is>
      </c>
      <c r="D337" s="53" t="inlineStr">
        <is>
          <t>Structures</t>
        </is>
      </c>
      <c r="E337" s="53" t="inlineStr">
        <is>
          <t>2024-07-19</t>
        </is>
      </c>
      <c r="F337" s="53">
        <v>12</v>
      </c>
      <c r="G337" s="53">
        <v>4</v>
      </c>
      <c r="H337" s="51" t="str">
        <f>TEXT(tblLaborEntries[[#This Row],[Work date serial]]-WEEKDAY(tblLaborEntries[[#This Row],[Work date serial]],3),"yyyy-mm-dd")</f>
        <v>2024-07-15</v>
      </c>
      <c r="I337" s="64">
        <f>DATEVALUE(tblLaborEntries[[#This Row],[Work date]])</f>
        <v>45492.0</v>
      </c>
    </row>
    <row r="338" spans="1:9" ht="15" x14ac:dyDescent="0.25">
      <c r="A338" s="53" t="inlineStr">
        <is>
          <t>LAB-000337</t>
        </is>
      </c>
      <c r="B338" s="53" t="inlineStr">
        <is>
          <t>WP-00151</t>
        </is>
      </c>
      <c r="C338" s="53" t="inlineStr">
        <is>
          <t>TECH-005</t>
        </is>
      </c>
      <c r="D338" s="53" t="inlineStr">
        <is>
          <t>Structures</t>
        </is>
      </c>
      <c r="E338" s="53" t="inlineStr">
        <is>
          <t>2024-07-20</t>
        </is>
      </c>
      <c r="F338" s="53">
        <v>0.6</v>
      </c>
      <c r="G338" s="53">
        <v>0</v>
      </c>
      <c r="H338" s="51" t="str">
        <f>TEXT(tblLaborEntries[[#This Row],[Work date serial]]-WEEKDAY(tblLaborEntries[[#This Row],[Work date serial]],3),"yyyy-mm-dd")</f>
        <v>2024-07-15</v>
      </c>
      <c r="I338" s="64">
        <f>DATEVALUE(tblLaborEntries[[#This Row],[Work date]])</f>
        <v>45493.0</v>
      </c>
    </row>
    <row r="339" spans="1:9" ht="15" x14ac:dyDescent="0.25">
      <c r="A339" s="53" t="inlineStr">
        <is>
          <t>LAB-000338</t>
        </is>
      </c>
      <c r="B339" s="53" t="inlineStr">
        <is>
          <t>WP-00151</t>
        </is>
      </c>
      <c r="C339" s="53" t="inlineStr">
        <is>
          <t>TECH-011</t>
        </is>
      </c>
      <c r="D339" s="53" t="inlineStr">
        <is>
          <t>Structures</t>
        </is>
      </c>
      <c r="E339" s="53" t="inlineStr">
        <is>
          <t>2024-07-20</t>
        </is>
      </c>
      <c r="F339" s="53">
        <v>12</v>
      </c>
      <c r="G339" s="53">
        <v>4</v>
      </c>
      <c r="H339" s="51" t="str">
        <f>TEXT(tblLaborEntries[[#This Row],[Work date serial]]-WEEKDAY(tblLaborEntries[[#This Row],[Work date serial]],3),"yyyy-mm-dd")</f>
        <v>2024-07-15</v>
      </c>
      <c r="I339" s="64">
        <f>DATEVALUE(tblLaborEntries[[#This Row],[Work date]])</f>
        <v>45493.0</v>
      </c>
    </row>
    <row r="340" spans="1:9" ht="15" x14ac:dyDescent="0.25">
      <c r="A340" s="53" t="inlineStr">
        <is>
          <t>LAB-000339</t>
        </is>
      </c>
      <c r="B340" s="53" t="inlineStr">
        <is>
          <t>WP-00152</t>
        </is>
      </c>
      <c r="C340" s="53" t="inlineStr">
        <is>
          <t>TECH-002</t>
        </is>
      </c>
      <c r="D340" s="53" t="inlineStr">
        <is>
          <t>Avionics</t>
        </is>
      </c>
      <c r="E340" s="53" t="inlineStr">
        <is>
          <t>2026-01-15</t>
        </is>
      </c>
      <c r="F340" s="53">
        <v>0.7</v>
      </c>
      <c r="G340" s="53">
        <v>0</v>
      </c>
      <c r="H340" s="51" t="str">
        <f>TEXT(tblLaborEntries[[#This Row],[Work date serial]]-WEEKDAY(tblLaborEntries[[#This Row],[Work date serial]],3),"yyyy-mm-dd")</f>
        <v>2026-01-12</v>
      </c>
      <c r="I340" s="64">
        <f>DATEVALUE(tblLaborEntries[[#This Row],[Work date]])</f>
        <v>46037.0</v>
      </c>
    </row>
    <row r="341" spans="1:9" ht="15" x14ac:dyDescent="0.25">
      <c r="A341" s="53" t="inlineStr">
        <is>
          <t>LAB-000340</t>
        </is>
      </c>
      <c r="B341" s="53" t="inlineStr">
        <is>
          <t>WP-00152</t>
        </is>
      </c>
      <c r="C341" s="53" t="inlineStr">
        <is>
          <t>TECH-008</t>
        </is>
      </c>
      <c r="D341" s="53" t="inlineStr">
        <is>
          <t>Avionics</t>
        </is>
      </c>
      <c r="E341" s="53" t="inlineStr">
        <is>
          <t>2026-01-16</t>
        </is>
      </c>
      <c r="F341" s="53">
        <v>0.8</v>
      </c>
      <c r="G341" s="53">
        <v>0</v>
      </c>
      <c r="H341" s="51" t="str">
        <f>TEXT(tblLaborEntries[[#This Row],[Work date serial]]-WEEKDAY(tblLaborEntries[[#This Row],[Work date serial]],3),"yyyy-mm-dd")</f>
        <v>2026-01-12</v>
      </c>
      <c r="I341" s="64">
        <f>DATEVALUE(tblLaborEntries[[#This Row],[Work date]])</f>
        <v>46038.0</v>
      </c>
    </row>
    <row r="342" spans="1:9" ht="15" x14ac:dyDescent="0.25">
      <c r="A342" s="53" t="inlineStr">
        <is>
          <t>LAB-000341</t>
        </is>
      </c>
      <c r="B342" s="53" t="inlineStr">
        <is>
          <t>WP-00152</t>
        </is>
      </c>
      <c r="C342" s="53" t="inlineStr">
        <is>
          <t>TECH-062</t>
        </is>
      </c>
      <c r="D342" s="53" t="inlineStr">
        <is>
          <t>Avionics</t>
        </is>
      </c>
      <c r="E342" s="53" t="inlineStr">
        <is>
          <t>2026-01-17</t>
        </is>
      </c>
      <c r="F342" s="53">
        <v>1</v>
      </c>
      <c r="G342" s="53">
        <v>0</v>
      </c>
      <c r="H342" s="51" t="str">
        <f>TEXT(tblLaborEntries[[#This Row],[Work date serial]]-WEEKDAY(tblLaborEntries[[#This Row],[Work date serial]],3),"yyyy-mm-dd")</f>
        <v>2026-01-12</v>
      </c>
      <c r="I342" s="64">
        <f>DATEVALUE(tblLaborEntries[[#This Row],[Work date]])</f>
        <v>46039.0</v>
      </c>
    </row>
    <row r="343" spans="1:9" ht="15" x14ac:dyDescent="0.25">
      <c r="A343" s="53" t="inlineStr">
        <is>
          <t>LAB-000342</t>
        </is>
      </c>
      <c r="B343" s="53" t="inlineStr">
        <is>
          <t>WP-00153</t>
        </is>
      </c>
      <c r="C343" s="53" t="inlineStr">
        <is>
          <t>TECH-007</t>
        </is>
      </c>
      <c r="D343" s="53" t="inlineStr">
        <is>
          <t>Airframe</t>
        </is>
      </c>
      <c r="E343" s="53" t="inlineStr">
        <is>
          <t>2024-05-18</t>
        </is>
      </c>
      <c r="F343" s="53">
        <v>4.7</v>
      </c>
      <c r="G343" s="53">
        <v>0</v>
      </c>
      <c r="H343" s="51" t="str">
        <f>TEXT(tblLaborEntries[[#This Row],[Work date serial]]-WEEKDAY(tblLaborEntries[[#This Row],[Work date serial]],3),"yyyy-mm-dd")</f>
        <v>2024-05-13</v>
      </c>
      <c r="I343" s="64">
        <f>DATEVALUE(tblLaborEntries[[#This Row],[Work date]])</f>
        <v>45430.0</v>
      </c>
    </row>
    <row r="344" spans="1:9" ht="15" x14ac:dyDescent="0.25">
      <c r="A344" s="53" t="inlineStr">
        <is>
          <t>LAB-000343</t>
        </is>
      </c>
      <c r="B344" s="53" t="inlineStr">
        <is>
          <t>WP-00153</t>
        </is>
      </c>
      <c r="C344" s="53" t="inlineStr">
        <is>
          <t>TECH-031</t>
        </is>
      </c>
      <c r="D344" s="53" t="inlineStr">
        <is>
          <t>Airframe</t>
        </is>
      </c>
      <c r="E344" s="53" t="inlineStr">
        <is>
          <t>2024-05-19</t>
        </is>
      </c>
      <c r="F344" s="53">
        <v>3.6</v>
      </c>
      <c r="G344" s="53">
        <v>0</v>
      </c>
      <c r="H344" s="51" t="str">
        <f>TEXT(tblLaborEntries[[#This Row],[Work date serial]]-WEEKDAY(tblLaborEntries[[#This Row],[Work date serial]],3),"yyyy-mm-dd")</f>
        <v>2024-05-13</v>
      </c>
      <c r="I344" s="64">
        <f>DATEVALUE(tblLaborEntries[[#This Row],[Work date]])</f>
        <v>45431.0</v>
      </c>
    </row>
    <row r="345" spans="1:9" ht="15" x14ac:dyDescent="0.25">
      <c r="A345" s="53" t="inlineStr">
        <is>
          <t>LAB-000344</t>
        </is>
      </c>
      <c r="B345" s="53" t="inlineStr">
        <is>
          <t>WP-00154</t>
        </is>
      </c>
      <c r="C345" s="53" t="inlineStr">
        <is>
          <t>TECH-019</t>
        </is>
      </c>
      <c r="D345" s="53" t="inlineStr">
        <is>
          <t>Airframe</t>
        </is>
      </c>
      <c r="E345" s="53" t="inlineStr">
        <is>
          <t>2025-12-08</t>
        </is>
      </c>
      <c r="F345" s="53">
        <v>5.7</v>
      </c>
      <c r="G345" s="53">
        <v>0</v>
      </c>
      <c r="H345" s="51" t="str">
        <f>TEXT(tblLaborEntries[[#This Row],[Work date serial]]-WEEKDAY(tblLaborEntries[[#This Row],[Work date serial]],3),"yyyy-mm-dd")</f>
        <v>2025-12-08</v>
      </c>
      <c r="I345" s="64">
        <f>DATEVALUE(tblLaborEntries[[#This Row],[Work date]])</f>
        <v>45999.0</v>
      </c>
    </row>
    <row r="346" spans="1:9" ht="15" x14ac:dyDescent="0.25">
      <c r="A346" s="53" t="inlineStr">
        <is>
          <t>LAB-000345</t>
        </is>
      </c>
      <c r="B346" s="53" t="inlineStr">
        <is>
          <t>WP-00155</t>
        </is>
      </c>
      <c r="C346" s="53" t="inlineStr">
        <is>
          <t>TECH-003</t>
        </is>
      </c>
      <c r="D346" s="53" t="inlineStr">
        <is>
          <t>Hydraulics</t>
        </is>
      </c>
      <c r="E346" s="53" t="inlineStr">
        <is>
          <t>2024-03-16</t>
        </is>
      </c>
      <c r="F346" s="53">
        <v>9.2</v>
      </c>
      <c r="G346" s="53">
        <v>1.2</v>
      </c>
      <c r="H346" s="51" t="str">
        <f>TEXT(tblLaborEntries[[#This Row],[Work date serial]]-WEEKDAY(tblLaborEntries[[#This Row],[Work date serial]],3),"yyyy-mm-dd")</f>
        <v>2024-03-11</v>
      </c>
      <c r="I346" s="64">
        <f>DATEVALUE(tblLaborEntries[[#This Row],[Work date]])</f>
        <v>45367.0</v>
      </c>
    </row>
    <row r="347" spans="1:9" ht="15" x14ac:dyDescent="0.25">
      <c r="A347" s="53" t="inlineStr">
        <is>
          <t>LAB-000346</t>
        </is>
      </c>
      <c r="B347" s="53" t="inlineStr">
        <is>
          <t>WP-00156</t>
        </is>
      </c>
      <c r="C347" s="53" t="inlineStr">
        <is>
          <t>TECH-013</t>
        </is>
      </c>
      <c r="D347" s="53" t="inlineStr">
        <is>
          <t>Airframe</t>
        </is>
      </c>
      <c r="E347" s="53" t="inlineStr">
        <is>
          <t>2024-12-12</t>
        </is>
      </c>
      <c r="F347" s="53">
        <v>4.3</v>
      </c>
      <c r="G347" s="53">
        <v>0</v>
      </c>
      <c r="H347" s="51" t="str">
        <f>TEXT(tblLaborEntries[[#This Row],[Work date serial]]-WEEKDAY(tblLaborEntries[[#This Row],[Work date serial]],3),"yyyy-mm-dd")</f>
        <v>2024-12-09</v>
      </c>
      <c r="I347" s="64">
        <f>DATEVALUE(tblLaborEntries[[#This Row],[Work date]])</f>
        <v>45638.0</v>
      </c>
    </row>
    <row r="348" spans="1:9" ht="15" x14ac:dyDescent="0.25">
      <c r="A348" s="53" t="inlineStr">
        <is>
          <t>LAB-000347</t>
        </is>
      </c>
      <c r="B348" s="53" t="inlineStr">
        <is>
          <t>WP-00157</t>
        </is>
      </c>
      <c r="C348" s="53" t="inlineStr">
        <is>
          <t>TECH-005</t>
        </is>
      </c>
      <c r="D348" s="53" t="inlineStr">
        <is>
          <t>Structures</t>
        </is>
      </c>
      <c r="E348" s="53" t="inlineStr">
        <is>
          <t>2025-08-03</t>
        </is>
      </c>
      <c r="F348" s="53">
        <v>1.5</v>
      </c>
      <c r="G348" s="53">
        <v>0</v>
      </c>
      <c r="H348" s="51" t="str">
        <f>TEXT(tblLaborEntries[[#This Row],[Work date serial]]-WEEKDAY(tblLaborEntries[[#This Row],[Work date serial]],3),"yyyy-mm-dd")</f>
        <v>2025-07-28</v>
      </c>
      <c r="I348" s="64">
        <f>DATEVALUE(tblLaborEntries[[#This Row],[Work date]])</f>
        <v>45872.0</v>
      </c>
    </row>
    <row r="349" spans="1:9" ht="15" x14ac:dyDescent="0.25">
      <c r="A349" s="53" t="inlineStr">
        <is>
          <t>LAB-000348</t>
        </is>
      </c>
      <c r="B349" s="53" t="inlineStr">
        <is>
          <t>WP-00157</t>
        </is>
      </c>
      <c r="C349" s="53" t="inlineStr">
        <is>
          <t>TECH-059</t>
        </is>
      </c>
      <c r="D349" s="53" t="inlineStr">
        <is>
          <t>Structures</t>
        </is>
      </c>
      <c r="E349" s="53" t="inlineStr">
        <is>
          <t>2025-08-03</t>
        </is>
      </c>
      <c r="F349" s="53">
        <v>12</v>
      </c>
      <c r="G349" s="53">
        <v>4</v>
      </c>
      <c r="H349" s="51" t="str">
        <f>TEXT(tblLaborEntries[[#This Row],[Work date serial]]-WEEKDAY(tblLaborEntries[[#This Row],[Work date serial]],3),"yyyy-mm-dd")</f>
        <v>2025-07-28</v>
      </c>
      <c r="I349" s="64">
        <f>DATEVALUE(tblLaborEntries[[#This Row],[Work date]])</f>
        <v>45872.0</v>
      </c>
    </row>
    <row r="350" spans="1:9" ht="15" x14ac:dyDescent="0.25">
      <c r="A350" s="53" t="inlineStr">
        <is>
          <t>LAB-000349</t>
        </is>
      </c>
      <c r="B350" s="53" t="inlineStr">
        <is>
          <t>WP-00157</t>
        </is>
      </c>
      <c r="C350" s="53" t="inlineStr">
        <is>
          <t>TECH-005</t>
        </is>
      </c>
      <c r="D350" s="53" t="inlineStr">
        <is>
          <t>Structures</t>
        </is>
      </c>
      <c r="E350" s="53" t="inlineStr">
        <is>
          <t>2025-08-04</t>
        </is>
      </c>
      <c r="F350" s="53">
        <v>3.8</v>
      </c>
      <c r="G350" s="53">
        <v>0</v>
      </c>
      <c r="H350" s="51" t="str">
        <f>TEXT(tblLaborEntries[[#This Row],[Work date serial]]-WEEKDAY(tblLaborEntries[[#This Row],[Work date serial]],3),"yyyy-mm-dd")</f>
        <v>2025-08-04</v>
      </c>
      <c r="I350" s="64">
        <f>DATEVALUE(tblLaborEntries[[#This Row],[Work date]])</f>
        <v>45873.0</v>
      </c>
    </row>
    <row r="351" spans="1:9" ht="15" x14ac:dyDescent="0.25">
      <c r="A351" s="53" t="inlineStr">
        <is>
          <t>LAB-000350</t>
        </is>
      </c>
      <c r="B351" s="53" t="inlineStr">
        <is>
          <t>WP-00157</t>
        </is>
      </c>
      <c r="C351" s="53" t="inlineStr">
        <is>
          <t>TECH-071</t>
        </is>
      </c>
      <c r="D351" s="53" t="inlineStr">
        <is>
          <t>Structures</t>
        </is>
      </c>
      <c r="E351" s="53" t="inlineStr">
        <is>
          <t>2025-08-04</t>
        </is>
      </c>
      <c r="F351" s="53">
        <v>12</v>
      </c>
      <c r="G351" s="53">
        <v>4</v>
      </c>
      <c r="H351" s="51" t="str">
        <f>TEXT(tblLaborEntries[[#This Row],[Work date serial]]-WEEKDAY(tblLaborEntries[[#This Row],[Work date serial]],3),"yyyy-mm-dd")</f>
        <v>2025-08-04</v>
      </c>
      <c r="I351" s="64">
        <f>DATEVALUE(tblLaborEntries[[#This Row],[Work date]])</f>
        <v>45873.0</v>
      </c>
    </row>
    <row r="352" spans="1:9" ht="15" x14ac:dyDescent="0.25">
      <c r="A352" s="53" t="inlineStr">
        <is>
          <t>LAB-000351</t>
        </is>
      </c>
      <c r="B352" s="53" t="inlineStr">
        <is>
          <t>WP-00158</t>
        </is>
      </c>
      <c r="C352" s="53" t="inlineStr">
        <is>
          <t>TECH-002</t>
        </is>
      </c>
      <c r="D352" s="53" t="inlineStr">
        <is>
          <t>Avionics</t>
        </is>
      </c>
      <c r="E352" s="53" t="inlineStr">
        <is>
          <t>2024-09-18</t>
        </is>
      </c>
      <c r="F352" s="53">
        <v>11.6</v>
      </c>
      <c r="G352" s="53">
        <v>3.6</v>
      </c>
      <c r="H352" s="51" t="str">
        <f>TEXT(tblLaborEntries[[#This Row],[Work date serial]]-WEEKDAY(tblLaborEntries[[#This Row],[Work date serial]],3),"yyyy-mm-dd")</f>
        <v>2024-09-16</v>
      </c>
      <c r="I352" s="64">
        <f>DATEVALUE(tblLaborEntries[[#This Row],[Work date]])</f>
        <v>45553.0</v>
      </c>
    </row>
    <row r="353" spans="1:9" ht="15" x14ac:dyDescent="0.25">
      <c r="A353" s="53" t="inlineStr">
        <is>
          <t>LAB-000352</t>
        </is>
      </c>
      <c r="B353" s="53" t="inlineStr">
        <is>
          <t>WP-00158</t>
        </is>
      </c>
      <c r="C353" s="53" t="inlineStr">
        <is>
          <t>TECH-014</t>
        </is>
      </c>
      <c r="D353" s="53" t="inlineStr">
        <is>
          <t>Avionics</t>
        </is>
      </c>
      <c r="E353" s="53" t="inlineStr">
        <is>
          <t>2024-09-18</t>
        </is>
      </c>
      <c r="F353" s="53">
        <v>10.4</v>
      </c>
      <c r="G353" s="53">
        <v>2.4</v>
      </c>
      <c r="H353" s="51" t="str">
        <f>TEXT(tblLaborEntries[[#This Row],[Work date serial]]-WEEKDAY(tblLaborEntries[[#This Row],[Work date serial]],3),"yyyy-mm-dd")</f>
        <v>2024-09-16</v>
      </c>
      <c r="I353" s="64">
        <f>DATEVALUE(tblLaborEntries[[#This Row],[Work date]])</f>
        <v>45553.0</v>
      </c>
    </row>
    <row r="354" spans="1:9" ht="15" x14ac:dyDescent="0.25">
      <c r="A354" s="53" t="inlineStr">
        <is>
          <t>LAB-000353</t>
        </is>
      </c>
      <c r="B354" s="53" t="inlineStr">
        <is>
          <t>WP-00159</t>
        </is>
      </c>
      <c r="C354" s="53" t="inlineStr">
        <is>
          <t>TECH-049</t>
        </is>
      </c>
      <c r="D354" s="53" t="inlineStr">
        <is>
          <t>Airframe</t>
        </is>
      </c>
      <c r="E354" s="53" t="inlineStr">
        <is>
          <t>2024-03-05</t>
        </is>
      </c>
      <c r="F354" s="53">
        <v>4.5</v>
      </c>
      <c r="G354" s="53">
        <v>0</v>
      </c>
      <c r="H354" s="51" t="str">
        <f>TEXT(tblLaborEntries[[#This Row],[Work date serial]]-WEEKDAY(tblLaborEntries[[#This Row],[Work date serial]],3),"yyyy-mm-dd")</f>
        <v>2024-03-04</v>
      </c>
      <c r="I354" s="64">
        <f>DATEVALUE(tblLaborEntries[[#This Row],[Work date]])</f>
        <v>45356.0</v>
      </c>
    </row>
    <row r="355" spans="1:9" ht="15" x14ac:dyDescent="0.25">
      <c r="A355" s="53" t="inlineStr">
        <is>
          <t>LAB-000354</t>
        </is>
      </c>
      <c r="B355" s="53" t="inlineStr">
        <is>
          <t>WP-00159</t>
        </is>
      </c>
      <c r="C355" s="53" t="inlineStr">
        <is>
          <t>TECH-061</t>
        </is>
      </c>
      <c r="D355" s="53" t="inlineStr">
        <is>
          <t>Airframe</t>
        </is>
      </c>
      <c r="E355" s="53" t="inlineStr">
        <is>
          <t>2024-03-06</t>
        </is>
      </c>
      <c r="F355" s="53">
        <v>4.1</v>
      </c>
      <c r="G355" s="53">
        <v>0</v>
      </c>
      <c r="H355" s="51" t="str">
        <f>TEXT(tblLaborEntries[[#This Row],[Work date serial]]-WEEKDAY(tblLaborEntries[[#This Row],[Work date serial]],3),"yyyy-mm-dd")</f>
        <v>2024-03-04</v>
      </c>
      <c r="I355" s="64">
        <f>DATEVALUE(tblLaborEntries[[#This Row],[Work date]])</f>
        <v>45357.0</v>
      </c>
    </row>
    <row r="356" spans="1:9" ht="15" x14ac:dyDescent="0.25">
      <c r="A356" s="53" t="inlineStr">
        <is>
          <t>LAB-000355</t>
        </is>
      </c>
      <c r="B356" s="53" t="inlineStr">
        <is>
          <t>WP-00159</t>
        </is>
      </c>
      <c r="C356" s="53" t="inlineStr">
        <is>
          <t>TECH-013</t>
        </is>
      </c>
      <c r="D356" s="53" t="inlineStr">
        <is>
          <t>Airframe</t>
        </is>
      </c>
      <c r="E356" s="53" t="inlineStr">
        <is>
          <t>2024-03-07</t>
        </is>
      </c>
      <c r="F356" s="53">
        <v>6</v>
      </c>
      <c r="G356" s="53">
        <v>0</v>
      </c>
      <c r="H356" s="51" t="str">
        <f>TEXT(tblLaborEntries[[#This Row],[Work date serial]]-WEEKDAY(tblLaborEntries[[#This Row],[Work date serial]],3),"yyyy-mm-dd")</f>
        <v>2024-03-04</v>
      </c>
      <c r="I356" s="64">
        <f>DATEVALUE(tblLaborEntries[[#This Row],[Work date]])</f>
        <v>45358.0</v>
      </c>
    </row>
    <row r="357" spans="1:9" ht="15" x14ac:dyDescent="0.25">
      <c r="A357" s="53" t="inlineStr">
        <is>
          <t>LAB-000356</t>
        </is>
      </c>
      <c r="B357" s="53" t="inlineStr">
        <is>
          <t>WP-00160</t>
        </is>
      </c>
      <c r="C357" s="53" t="inlineStr">
        <is>
          <t>TECH-006</t>
        </is>
      </c>
      <c r="D357" s="53" t="inlineStr">
        <is>
          <t>Powerplant</t>
        </is>
      </c>
      <c r="E357" s="53" t="inlineStr">
        <is>
          <t>2024-04-23</t>
        </is>
      </c>
      <c r="F357" s="53">
        <v>0.8</v>
      </c>
      <c r="G357" s="53">
        <v>0</v>
      </c>
      <c r="H357" s="51" t="str">
        <f>TEXT(tblLaborEntries[[#This Row],[Work date serial]]-WEEKDAY(tblLaborEntries[[#This Row],[Work date serial]],3),"yyyy-mm-dd")</f>
        <v>2024-04-22</v>
      </c>
      <c r="I357" s="64">
        <f>DATEVALUE(tblLaborEntries[[#This Row],[Work date]])</f>
        <v>45405.0</v>
      </c>
    </row>
    <row r="358" spans="1:9" ht="15" x14ac:dyDescent="0.25">
      <c r="A358" s="53" t="inlineStr">
        <is>
          <t>LAB-000357</t>
        </is>
      </c>
      <c r="B358" s="53" t="inlineStr">
        <is>
          <t>WP-00160</t>
        </is>
      </c>
      <c r="C358" s="53" t="inlineStr">
        <is>
          <t>TECH-066</t>
        </is>
      </c>
      <c r="D358" s="53" t="inlineStr">
        <is>
          <t>Powerplant</t>
        </is>
      </c>
      <c r="E358" s="53" t="inlineStr">
        <is>
          <t>2024-04-23</t>
        </is>
      </c>
      <c r="F358" s="53">
        <v>12</v>
      </c>
      <c r="G358" s="53">
        <v>4</v>
      </c>
      <c r="H358" s="51" t="str">
        <f>TEXT(tblLaborEntries[[#This Row],[Work date serial]]-WEEKDAY(tblLaborEntries[[#This Row],[Work date serial]],3),"yyyy-mm-dd")</f>
        <v>2024-04-22</v>
      </c>
      <c r="I358" s="64">
        <f>DATEVALUE(tblLaborEntries[[#This Row],[Work date]])</f>
        <v>45405.0</v>
      </c>
    </row>
    <row r="359" spans="1:9" ht="15" x14ac:dyDescent="0.25">
      <c r="A359" s="53" t="inlineStr">
        <is>
          <t>LAB-000358</t>
        </is>
      </c>
      <c r="B359" s="53" t="inlineStr">
        <is>
          <t>WP-00161</t>
        </is>
      </c>
      <c r="C359" s="53" t="inlineStr">
        <is>
          <t>TECH-002</t>
        </is>
      </c>
      <c r="D359" s="53" t="inlineStr">
        <is>
          <t>Avionics</t>
        </is>
      </c>
      <c r="E359" s="53" t="inlineStr">
        <is>
          <t>2024-03-27</t>
        </is>
      </c>
      <c r="F359" s="53">
        <v>1.7</v>
      </c>
      <c r="G359" s="53">
        <v>0</v>
      </c>
      <c r="H359" s="51" t="str">
        <f>TEXT(tblLaborEntries[[#This Row],[Work date serial]]-WEEKDAY(tblLaborEntries[[#This Row],[Work date serial]],3),"yyyy-mm-dd")</f>
        <v>2024-03-25</v>
      </c>
      <c r="I359" s="64">
        <f>DATEVALUE(tblLaborEntries[[#This Row],[Work date]])</f>
        <v>45378.0</v>
      </c>
    </row>
    <row r="360" spans="1:9" ht="15" x14ac:dyDescent="0.25">
      <c r="A360" s="53" t="inlineStr">
        <is>
          <t>LAB-000359</t>
        </is>
      </c>
      <c r="B360" s="53" t="inlineStr">
        <is>
          <t>WP-00161</t>
        </is>
      </c>
      <c r="C360" s="53" t="inlineStr">
        <is>
          <t>TECH-050</t>
        </is>
      </c>
      <c r="D360" s="53" t="inlineStr">
        <is>
          <t>Avionics</t>
        </is>
      </c>
      <c r="E360" s="53" t="inlineStr">
        <is>
          <t>2024-03-28</t>
        </is>
      </c>
      <c r="F360" s="53">
        <v>2.1</v>
      </c>
      <c r="G360" s="53">
        <v>0</v>
      </c>
      <c r="H360" s="51" t="str">
        <f>TEXT(tblLaborEntries[[#This Row],[Work date serial]]-WEEKDAY(tblLaborEntries[[#This Row],[Work date serial]],3),"yyyy-mm-dd")</f>
        <v>2024-03-25</v>
      </c>
      <c r="I360" s="64">
        <f>DATEVALUE(tblLaborEntries[[#This Row],[Work date]])</f>
        <v>45379.0</v>
      </c>
    </row>
    <row r="361" spans="1:9" ht="15" x14ac:dyDescent="0.25">
      <c r="A361" s="53" t="inlineStr">
        <is>
          <t>LAB-000360</t>
        </is>
      </c>
      <c r="B361" s="53" t="inlineStr">
        <is>
          <t>WP-00162</t>
        </is>
      </c>
      <c r="C361" s="53" t="inlineStr">
        <is>
          <t>TECH-038</t>
        </is>
      </c>
      <c r="D361" s="53" t="inlineStr">
        <is>
          <t>Avionics</t>
        </is>
      </c>
      <c r="E361" s="53" t="inlineStr">
        <is>
          <t>2025-09-27</t>
        </is>
      </c>
      <c r="F361" s="53">
        <v>1.9</v>
      </c>
      <c r="G361" s="53">
        <v>0</v>
      </c>
      <c r="H361" s="51" t="str">
        <f>TEXT(tblLaborEntries[[#This Row],[Work date serial]]-WEEKDAY(tblLaborEntries[[#This Row],[Work date serial]],3),"yyyy-mm-dd")</f>
        <v>2025-09-22</v>
      </c>
      <c r="I361" s="64">
        <f>DATEVALUE(tblLaborEntries[[#This Row],[Work date]])</f>
        <v>45927.0</v>
      </c>
    </row>
    <row r="362" spans="1:9" ht="15" x14ac:dyDescent="0.25">
      <c r="A362" s="53" t="inlineStr">
        <is>
          <t>LAB-000361</t>
        </is>
      </c>
      <c r="B362" s="53" t="inlineStr">
        <is>
          <t>WP-00162</t>
        </is>
      </c>
      <c r="C362" s="53" t="inlineStr">
        <is>
          <t>TECH-056</t>
        </is>
      </c>
      <c r="D362" s="53" t="inlineStr">
        <is>
          <t>Avionics</t>
        </is>
      </c>
      <c r="E362" s="53" t="inlineStr">
        <is>
          <t>2025-09-28</t>
        </is>
      </c>
      <c r="F362" s="53">
        <v>2.3</v>
      </c>
      <c r="G362" s="53">
        <v>0</v>
      </c>
      <c r="H362" s="51" t="str">
        <f>TEXT(tblLaborEntries[[#This Row],[Work date serial]]-WEEKDAY(tblLaborEntries[[#This Row],[Work date serial]],3),"yyyy-mm-dd")</f>
        <v>2025-09-22</v>
      </c>
      <c r="I362" s="64">
        <f>DATEVALUE(tblLaborEntries[[#This Row],[Work date]])</f>
        <v>45928.0</v>
      </c>
    </row>
    <row r="363" spans="1:9" ht="15" x14ac:dyDescent="0.25">
      <c r="A363" s="53" t="inlineStr">
        <is>
          <t>LAB-000362</t>
        </is>
      </c>
      <c r="B363" s="53" t="inlineStr">
        <is>
          <t>WP-00162</t>
        </is>
      </c>
      <c r="C363" s="53" t="inlineStr">
        <is>
          <t>TECH-008</t>
        </is>
      </c>
      <c r="D363" s="53" t="inlineStr">
        <is>
          <t>Avionics</t>
        </is>
      </c>
      <c r="E363" s="53" t="inlineStr">
        <is>
          <t>2025-09-29</t>
        </is>
      </c>
      <c r="F363" s="53">
        <v>1.8</v>
      </c>
      <c r="G363" s="53">
        <v>0</v>
      </c>
      <c r="H363" s="51" t="str">
        <f>TEXT(tblLaborEntries[[#This Row],[Work date serial]]-WEEKDAY(tblLaborEntries[[#This Row],[Work date serial]],3),"yyyy-mm-dd")</f>
        <v>2025-09-29</v>
      </c>
      <c r="I363" s="64">
        <f>DATEVALUE(tblLaborEntries[[#This Row],[Work date]])</f>
        <v>45929.0</v>
      </c>
    </row>
    <row r="364" spans="1:9" ht="15" x14ac:dyDescent="0.25">
      <c r="A364" s="53" t="inlineStr">
        <is>
          <t>LAB-000363</t>
        </is>
      </c>
      <c r="B364" s="53" t="inlineStr">
        <is>
          <t>WP-00163</t>
        </is>
      </c>
      <c r="C364" s="53" t="inlineStr">
        <is>
          <t>TECH-002</t>
        </is>
      </c>
      <c r="D364" s="53" t="inlineStr">
        <is>
          <t>Avionics</t>
        </is>
      </c>
      <c r="E364" s="53" t="inlineStr">
        <is>
          <t>2025-06-18</t>
        </is>
      </c>
      <c r="F364" s="53">
        <v>3.2</v>
      </c>
      <c r="G364" s="53">
        <v>0</v>
      </c>
      <c r="H364" s="51" t="str">
        <f>TEXT(tblLaborEntries[[#This Row],[Work date serial]]-WEEKDAY(tblLaborEntries[[#This Row],[Work date serial]],3),"yyyy-mm-dd")</f>
        <v>2025-06-16</v>
      </c>
      <c r="I364" s="64">
        <f>DATEVALUE(tblLaborEntries[[#This Row],[Work date]])</f>
        <v>45826.0</v>
      </c>
    </row>
    <row r="365" spans="1:9" ht="15" x14ac:dyDescent="0.25">
      <c r="A365" s="53" t="inlineStr">
        <is>
          <t>LAB-000364</t>
        </is>
      </c>
      <c r="B365" s="53" t="inlineStr">
        <is>
          <t>WP-00163</t>
        </is>
      </c>
      <c r="C365" s="53" t="inlineStr">
        <is>
          <t>TECH-002</t>
        </is>
      </c>
      <c r="D365" s="53" t="inlineStr">
        <is>
          <t>Avionics</t>
        </is>
      </c>
      <c r="E365" s="53" t="inlineStr">
        <is>
          <t>2025-06-19</t>
        </is>
      </c>
      <c r="F365" s="53">
        <v>2.8</v>
      </c>
      <c r="G365" s="53">
        <v>0</v>
      </c>
      <c r="H365" s="51" t="str">
        <f>TEXT(tblLaborEntries[[#This Row],[Work date serial]]-WEEKDAY(tblLaborEntries[[#This Row],[Work date serial]],3),"yyyy-mm-dd")</f>
        <v>2025-06-16</v>
      </c>
      <c r="I365" s="64">
        <f>DATEVALUE(tblLaborEntries[[#This Row],[Work date]])</f>
        <v>45827.0</v>
      </c>
    </row>
    <row r="366" spans="1:9" ht="15" x14ac:dyDescent="0.25">
      <c r="A366" s="53" t="inlineStr">
        <is>
          <t>LAB-000365</t>
        </is>
      </c>
      <c r="B366" s="53" t="inlineStr">
        <is>
          <t>WP-00163</t>
        </is>
      </c>
      <c r="C366" s="53" t="inlineStr">
        <is>
          <t>TECH-044</t>
        </is>
      </c>
      <c r="D366" s="53" t="inlineStr">
        <is>
          <t>Avionics</t>
        </is>
      </c>
      <c r="E366" s="53" t="inlineStr">
        <is>
          <t>2025-06-20</t>
        </is>
      </c>
      <c r="F366" s="53">
        <v>2.9</v>
      </c>
      <c r="G366" s="53">
        <v>0</v>
      </c>
      <c r="H366" s="51" t="str">
        <f>TEXT(tblLaborEntries[[#This Row],[Work date serial]]-WEEKDAY(tblLaborEntries[[#This Row],[Work date serial]],3),"yyyy-mm-dd")</f>
        <v>2025-06-16</v>
      </c>
      <c r="I366" s="64">
        <f>DATEVALUE(tblLaborEntries[[#This Row],[Work date]])</f>
        <v>45828.0</v>
      </c>
    </row>
    <row r="367" spans="1:9" ht="15" x14ac:dyDescent="0.25">
      <c r="A367" s="53" t="inlineStr">
        <is>
          <t>LAB-000366</t>
        </is>
      </c>
      <c r="B367" s="53" t="inlineStr">
        <is>
          <t>WP-00164</t>
        </is>
      </c>
      <c r="C367" s="53" t="inlineStr">
        <is>
          <t>TECH-005</t>
        </is>
      </c>
      <c r="D367" s="53" t="inlineStr">
        <is>
          <t>Structures</t>
        </is>
      </c>
      <c r="E367" s="53" t="inlineStr">
        <is>
          <t>2024-04-20</t>
        </is>
      </c>
      <c r="F367" s="53">
        <v>2.5</v>
      </c>
      <c r="G367" s="53">
        <v>0</v>
      </c>
      <c r="H367" s="51" t="str">
        <f>TEXT(tblLaborEntries[[#This Row],[Work date serial]]-WEEKDAY(tblLaborEntries[[#This Row],[Work date serial]],3),"yyyy-mm-dd")</f>
        <v>2024-04-15</v>
      </c>
      <c r="I367" s="64">
        <f>DATEVALUE(tblLaborEntries[[#This Row],[Work date]])</f>
        <v>45402.0</v>
      </c>
    </row>
    <row r="368" spans="1:9" ht="15" x14ac:dyDescent="0.25">
      <c r="A368" s="53" t="inlineStr">
        <is>
          <t>LAB-000367</t>
        </is>
      </c>
      <c r="B368" s="53" t="inlineStr">
        <is>
          <t>WP-00164</t>
        </is>
      </c>
      <c r="C368" s="53" t="inlineStr">
        <is>
          <t>TECH-041</t>
        </is>
      </c>
      <c r="D368" s="53" t="inlineStr">
        <is>
          <t>Structures</t>
        </is>
      </c>
      <c r="E368" s="53" t="inlineStr">
        <is>
          <t>2024-04-20</t>
        </is>
      </c>
      <c r="F368" s="53">
        <v>12</v>
      </c>
      <c r="G368" s="53">
        <v>4</v>
      </c>
      <c r="H368" s="51" t="str">
        <f>TEXT(tblLaborEntries[[#This Row],[Work date serial]]-WEEKDAY(tblLaborEntries[[#This Row],[Work date serial]],3),"yyyy-mm-dd")</f>
        <v>2024-04-15</v>
      </c>
      <c r="I368" s="64">
        <f>DATEVALUE(tblLaborEntries[[#This Row],[Work date]])</f>
        <v>45402.0</v>
      </c>
    </row>
    <row r="369" spans="1:9" ht="15" x14ac:dyDescent="0.25">
      <c r="A369" s="53" t="inlineStr">
        <is>
          <t>LAB-000368</t>
        </is>
      </c>
      <c r="B369" s="53" t="inlineStr">
        <is>
          <t>WP-00164</t>
        </is>
      </c>
      <c r="C369" s="53" t="inlineStr">
        <is>
          <t>TECH-005</t>
        </is>
      </c>
      <c r="D369" s="53" t="inlineStr">
        <is>
          <t>Structures</t>
        </is>
      </c>
      <c r="E369" s="53" t="inlineStr">
        <is>
          <t>2024-04-21</t>
        </is>
      </c>
      <c r="F369" s="53">
        <v>3.3</v>
      </c>
      <c r="G369" s="53">
        <v>0</v>
      </c>
      <c r="H369" s="51" t="str">
        <f>TEXT(tblLaborEntries[[#This Row],[Work date serial]]-WEEKDAY(tblLaborEntries[[#This Row],[Work date serial]],3),"yyyy-mm-dd")</f>
        <v>2024-04-15</v>
      </c>
      <c r="I369" s="64">
        <f>DATEVALUE(tblLaborEntries[[#This Row],[Work date]])</f>
        <v>45403.0</v>
      </c>
    </row>
    <row r="370" spans="1:9" ht="15" x14ac:dyDescent="0.25">
      <c r="A370" s="53" t="inlineStr">
        <is>
          <t>LAB-000369</t>
        </is>
      </c>
      <c r="B370" s="53" t="inlineStr">
        <is>
          <t>WP-00164</t>
        </is>
      </c>
      <c r="C370" s="53" t="inlineStr">
        <is>
          <t>TECH-047</t>
        </is>
      </c>
      <c r="D370" s="53" t="inlineStr">
        <is>
          <t>Structures</t>
        </is>
      </c>
      <c r="E370" s="53" t="inlineStr">
        <is>
          <t>2024-04-21</t>
        </is>
      </c>
      <c r="F370" s="53">
        <v>12</v>
      </c>
      <c r="G370" s="53">
        <v>4</v>
      </c>
      <c r="H370" s="51" t="str">
        <f>TEXT(tblLaborEntries[[#This Row],[Work date serial]]-WEEKDAY(tblLaborEntries[[#This Row],[Work date serial]],3),"yyyy-mm-dd")</f>
        <v>2024-04-15</v>
      </c>
      <c r="I370" s="64">
        <f>DATEVALUE(tblLaborEntries[[#This Row],[Work date]])</f>
        <v>45403.0</v>
      </c>
    </row>
    <row r="371" spans="1:9" ht="15" x14ac:dyDescent="0.25">
      <c r="A371" s="53" t="inlineStr">
        <is>
          <t>LAB-000370</t>
        </is>
      </c>
      <c r="B371" s="53" t="inlineStr">
        <is>
          <t>WP-00165</t>
        </is>
      </c>
      <c r="C371" s="53" t="inlineStr">
        <is>
          <t>TECH-058</t>
        </is>
      </c>
      <c r="D371" s="53" t="inlineStr">
        <is>
          <t>Electrical</t>
        </is>
      </c>
      <c r="E371" s="53" t="inlineStr">
        <is>
          <t>2025-02-22</t>
        </is>
      </c>
      <c r="F371" s="53">
        <v>8.5</v>
      </c>
      <c r="G371" s="53">
        <v>0.5</v>
      </c>
      <c r="H371" s="51" t="str">
        <f>TEXT(tblLaborEntries[[#This Row],[Work date serial]]-WEEKDAY(tblLaborEntries[[#This Row],[Work date serial]],3),"yyyy-mm-dd")</f>
        <v>2025-02-17</v>
      </c>
      <c r="I371" s="64">
        <f>DATEVALUE(tblLaborEntries[[#This Row],[Work date]])</f>
        <v>45710.0</v>
      </c>
    </row>
    <row r="372" spans="1:9" ht="15" x14ac:dyDescent="0.25">
      <c r="A372" s="53" t="inlineStr">
        <is>
          <t>LAB-000371</t>
        </is>
      </c>
      <c r="B372" s="53" t="inlineStr">
        <is>
          <t>WP-00165</t>
        </is>
      </c>
      <c r="C372" s="53" t="inlineStr">
        <is>
          <t>TECH-070</t>
        </is>
      </c>
      <c r="D372" s="53" t="inlineStr">
        <is>
          <t>Electrical</t>
        </is>
      </c>
      <c r="E372" s="53" t="inlineStr">
        <is>
          <t>2025-02-23</t>
        </is>
      </c>
      <c r="F372" s="53">
        <v>8.6</v>
      </c>
      <c r="G372" s="53">
        <v>0.6</v>
      </c>
      <c r="H372" s="51" t="str">
        <f>TEXT(tblLaborEntries[[#This Row],[Work date serial]]-WEEKDAY(tblLaborEntries[[#This Row],[Work date serial]],3),"yyyy-mm-dd")</f>
        <v>2025-02-17</v>
      </c>
      <c r="I372" s="64">
        <f>DATEVALUE(tblLaborEntries[[#This Row],[Work date]])</f>
        <v>45711.0</v>
      </c>
    </row>
    <row r="373" spans="1:9" ht="15" x14ac:dyDescent="0.25">
      <c r="A373" s="53" t="inlineStr">
        <is>
          <t>LAB-000372</t>
        </is>
      </c>
      <c r="B373" s="53" t="inlineStr">
        <is>
          <t>WP-00165</t>
        </is>
      </c>
      <c r="C373" s="53" t="inlineStr">
        <is>
          <t>TECH-064</t>
        </is>
      </c>
      <c r="D373" s="53" t="inlineStr">
        <is>
          <t>Electrical</t>
        </is>
      </c>
      <c r="E373" s="53" t="inlineStr">
        <is>
          <t>2025-02-24</t>
        </is>
      </c>
      <c r="F373" s="53">
        <v>7.2</v>
      </c>
      <c r="G373" s="53">
        <v>0</v>
      </c>
      <c r="H373" s="51" t="str">
        <f>TEXT(tblLaborEntries[[#This Row],[Work date serial]]-WEEKDAY(tblLaborEntries[[#This Row],[Work date serial]],3),"yyyy-mm-dd")</f>
        <v>2025-02-24</v>
      </c>
      <c r="I373" s="64">
        <f>DATEVALUE(tblLaborEntries[[#This Row],[Work date]])</f>
        <v>45712.0</v>
      </c>
    </row>
    <row r="374" spans="1:9" ht="15" x14ac:dyDescent="0.25">
      <c r="A374" s="53" t="inlineStr">
        <is>
          <t>LAB-000373</t>
        </is>
      </c>
      <c r="B374" s="53" t="inlineStr">
        <is>
          <t>WP-00166</t>
        </is>
      </c>
      <c r="C374" s="53" t="inlineStr">
        <is>
          <t>TECH-014</t>
        </is>
      </c>
      <c r="D374" s="53" t="inlineStr">
        <is>
          <t>Avionics</t>
        </is>
      </c>
      <c r="E374" s="53" t="inlineStr">
        <is>
          <t>2025-01-19</t>
        </is>
      </c>
      <c r="F374" s="53">
        <v>7.6</v>
      </c>
      <c r="G374" s="53">
        <v>0</v>
      </c>
      <c r="H374" s="51" t="str">
        <f>TEXT(tblLaborEntries[[#This Row],[Work date serial]]-WEEKDAY(tblLaborEntries[[#This Row],[Work date serial]],3),"yyyy-mm-dd")</f>
        <v>2025-01-13</v>
      </c>
      <c r="I374" s="64">
        <f>DATEVALUE(tblLaborEntries[[#This Row],[Work date]])</f>
        <v>45676.0</v>
      </c>
    </row>
    <row r="375" spans="1:9" ht="15" x14ac:dyDescent="0.25">
      <c r="A375" s="53" t="inlineStr">
        <is>
          <t>LAB-000374</t>
        </is>
      </c>
      <c r="B375" s="53" t="inlineStr">
        <is>
          <t>WP-00167</t>
        </is>
      </c>
      <c r="C375" s="53" t="inlineStr">
        <is>
          <t>TECH-014</t>
        </is>
      </c>
      <c r="D375" s="53" t="inlineStr">
        <is>
          <t>Avionics</t>
        </is>
      </c>
      <c r="E375" s="53" t="inlineStr">
        <is>
          <t>2025-09-28</t>
        </is>
      </c>
      <c r="F375" s="53">
        <v>2.9</v>
      </c>
      <c r="G375" s="53">
        <v>0</v>
      </c>
      <c r="H375" s="51" t="str">
        <f>TEXT(tblLaborEntries[[#This Row],[Work date serial]]-WEEKDAY(tblLaborEntries[[#This Row],[Work date serial]],3),"yyyy-mm-dd")</f>
        <v>2025-09-22</v>
      </c>
      <c r="I375" s="64">
        <f>DATEVALUE(tblLaborEntries[[#This Row],[Work date]])</f>
        <v>45928.0</v>
      </c>
    </row>
    <row r="376" spans="1:9" ht="15" x14ac:dyDescent="0.25">
      <c r="A376" s="53" t="inlineStr">
        <is>
          <t>LAB-000375</t>
        </is>
      </c>
      <c r="B376" s="53" t="inlineStr">
        <is>
          <t>WP-00167</t>
        </is>
      </c>
      <c r="C376" s="53" t="inlineStr">
        <is>
          <t>TECH-044</t>
        </is>
      </c>
      <c r="D376" s="53" t="inlineStr">
        <is>
          <t>Avionics</t>
        </is>
      </c>
      <c r="E376" s="53" t="inlineStr">
        <is>
          <t>2025-09-29</t>
        </is>
      </c>
      <c r="F376" s="53">
        <v>3.3</v>
      </c>
      <c r="G376" s="53">
        <v>0</v>
      </c>
      <c r="H376" s="51" t="str">
        <f>TEXT(tblLaborEntries[[#This Row],[Work date serial]]-WEEKDAY(tblLaborEntries[[#This Row],[Work date serial]],3),"yyyy-mm-dd")</f>
        <v>2025-09-29</v>
      </c>
      <c r="I376" s="64">
        <f>DATEVALUE(tblLaborEntries[[#This Row],[Work date]])</f>
        <v>45929.0</v>
      </c>
    </row>
    <row r="377" spans="1:9" ht="15" x14ac:dyDescent="0.25">
      <c r="A377" s="53" t="inlineStr">
        <is>
          <t>LAB-000376</t>
        </is>
      </c>
      <c r="B377" s="53" t="inlineStr">
        <is>
          <t>WP-00167</t>
        </is>
      </c>
      <c r="C377" s="53" t="inlineStr">
        <is>
          <t>TECH-032</t>
        </is>
      </c>
      <c r="D377" s="53" t="inlineStr">
        <is>
          <t>Avionics</t>
        </is>
      </c>
      <c r="E377" s="53" t="inlineStr">
        <is>
          <t>2025-09-30</t>
        </is>
      </c>
      <c r="F377" s="53">
        <v>4.4</v>
      </c>
      <c r="G377" s="53">
        <v>0</v>
      </c>
      <c r="H377" s="51" t="str">
        <f>TEXT(tblLaborEntries[[#This Row],[Work date serial]]-WEEKDAY(tblLaborEntries[[#This Row],[Work date serial]],3),"yyyy-mm-dd")</f>
        <v>2025-09-29</v>
      </c>
      <c r="I377" s="64">
        <f>DATEVALUE(tblLaborEntries[[#This Row],[Work date]])</f>
        <v>45930.0</v>
      </c>
    </row>
    <row r="378" spans="1:9" ht="15" x14ac:dyDescent="0.25">
      <c r="A378" s="53" t="inlineStr">
        <is>
          <t>LAB-000377</t>
        </is>
      </c>
      <c r="B378" s="53" t="inlineStr">
        <is>
          <t>WP-00168</t>
        </is>
      </c>
      <c r="C378" s="53" t="inlineStr">
        <is>
          <t>TECH-024</t>
        </is>
      </c>
      <c r="D378" s="53" t="inlineStr">
        <is>
          <t>Powerplant</t>
        </is>
      </c>
      <c r="E378" s="53" t="inlineStr">
        <is>
          <t>2025-04-02</t>
        </is>
      </c>
      <c r="F378" s="53">
        <v>2.6</v>
      </c>
      <c r="G378" s="53">
        <v>0</v>
      </c>
      <c r="H378" s="51" t="str">
        <f>TEXT(tblLaborEntries[[#This Row],[Work date serial]]-WEEKDAY(tblLaborEntries[[#This Row],[Work date serial]],3),"yyyy-mm-dd")</f>
        <v>2025-03-31</v>
      </c>
      <c r="I378" s="64">
        <f>DATEVALUE(tblLaborEntries[[#This Row],[Work date]])</f>
        <v>45749.0</v>
      </c>
    </row>
    <row r="379" spans="1:9" ht="15" x14ac:dyDescent="0.25">
      <c r="A379" s="53" t="inlineStr">
        <is>
          <t>LAB-000378</t>
        </is>
      </c>
      <c r="B379" s="53" t="inlineStr">
        <is>
          <t>WP-00168</t>
        </is>
      </c>
      <c r="C379" s="53" t="inlineStr">
        <is>
          <t>TECH-006</t>
        </is>
      </c>
      <c r="D379" s="53" t="inlineStr">
        <is>
          <t>Powerplant</t>
        </is>
      </c>
      <c r="E379" s="53" t="inlineStr">
        <is>
          <t>2025-04-03</t>
        </is>
      </c>
      <c r="F379" s="53">
        <v>12</v>
      </c>
      <c r="G379" s="53">
        <v>4</v>
      </c>
      <c r="H379" s="51" t="str">
        <f>TEXT(tblLaborEntries[[#This Row],[Work date serial]]-WEEKDAY(tblLaborEntries[[#This Row],[Work date serial]],3),"yyyy-mm-dd")</f>
        <v>2025-03-31</v>
      </c>
      <c r="I379" s="64">
        <f>DATEVALUE(tblLaborEntries[[#This Row],[Work date]])</f>
        <v>45750.0</v>
      </c>
    </row>
    <row r="380" spans="1:9" ht="15" x14ac:dyDescent="0.25">
      <c r="A380" s="53" t="inlineStr">
        <is>
          <t>LAB-000379</t>
        </is>
      </c>
      <c r="B380" s="53" t="inlineStr">
        <is>
          <t>WP-00168</t>
        </is>
      </c>
      <c r="C380" s="53" t="inlineStr">
        <is>
          <t>TECH-012</t>
        </is>
      </c>
      <c r="D380" s="53" t="inlineStr">
        <is>
          <t>Powerplant</t>
        </is>
      </c>
      <c r="E380" s="53" t="inlineStr">
        <is>
          <t>2025-04-03</t>
        </is>
      </c>
      <c r="F380" s="53">
        <v>12</v>
      </c>
      <c r="G380" s="53">
        <v>4</v>
      </c>
      <c r="H380" s="51" t="str">
        <f>TEXT(tblLaborEntries[[#This Row],[Work date serial]]-WEEKDAY(tblLaborEntries[[#This Row],[Work date serial]],3),"yyyy-mm-dd")</f>
        <v>2025-03-31</v>
      </c>
      <c r="I380" s="64">
        <f>DATEVALUE(tblLaborEntries[[#This Row],[Work date]])</f>
        <v>45750.0</v>
      </c>
    </row>
    <row r="381" spans="1:9" ht="15" x14ac:dyDescent="0.25">
      <c r="A381" s="53" t="inlineStr">
        <is>
          <t>LAB-000380</t>
        </is>
      </c>
      <c r="B381" s="53" t="inlineStr">
        <is>
          <t>WP-00168</t>
        </is>
      </c>
      <c r="C381" s="53" t="inlineStr">
        <is>
          <t>TECH-024</t>
        </is>
      </c>
      <c r="D381" s="53" t="inlineStr">
        <is>
          <t>Powerplant</t>
        </is>
      </c>
      <c r="E381" s="53" t="inlineStr">
        <is>
          <t>2025-04-03</t>
        </is>
      </c>
      <c r="F381" s="53">
        <v>12</v>
      </c>
      <c r="G381" s="53">
        <v>4</v>
      </c>
      <c r="H381" s="51" t="str">
        <f>TEXT(tblLaborEntries[[#This Row],[Work date serial]]-WEEKDAY(tblLaborEntries[[#This Row],[Work date serial]],3),"yyyy-mm-dd")</f>
        <v>2025-03-31</v>
      </c>
      <c r="I381" s="64">
        <f>DATEVALUE(tblLaborEntries[[#This Row],[Work date]])</f>
        <v>45750.0</v>
      </c>
    </row>
    <row r="382" spans="1:9" ht="15" x14ac:dyDescent="0.25">
      <c r="A382" s="53" t="inlineStr">
        <is>
          <t>LAB-000381</t>
        </is>
      </c>
      <c r="B382" s="53" t="inlineStr">
        <is>
          <t>WP-00169</t>
        </is>
      </c>
      <c r="C382" s="53" t="inlineStr">
        <is>
          <t>TECH-049</t>
        </is>
      </c>
      <c r="D382" s="53" t="inlineStr">
        <is>
          <t>Airframe</t>
        </is>
      </c>
      <c r="E382" s="53" t="inlineStr">
        <is>
          <t>2024-04-07</t>
        </is>
      </c>
      <c r="F382" s="53">
        <v>4.6</v>
      </c>
      <c r="G382" s="53">
        <v>0</v>
      </c>
      <c r="H382" s="51" t="str">
        <f>TEXT(tblLaborEntries[[#This Row],[Work date serial]]-WEEKDAY(tblLaborEntries[[#This Row],[Work date serial]],3),"yyyy-mm-dd")</f>
        <v>2024-04-01</v>
      </c>
      <c r="I382" s="64">
        <f>DATEVALUE(tblLaborEntries[[#This Row],[Work date]])</f>
        <v>45389.0</v>
      </c>
    </row>
    <row r="383" spans="1:9" ht="15" x14ac:dyDescent="0.25">
      <c r="A383" s="53" t="inlineStr">
        <is>
          <t>LAB-000382</t>
        </is>
      </c>
      <c r="B383" s="53" t="inlineStr">
        <is>
          <t>WP-00170</t>
        </is>
      </c>
      <c r="C383" s="53" t="inlineStr">
        <is>
          <t>TECH-073</t>
        </is>
      </c>
      <c r="D383" s="53" t="inlineStr">
        <is>
          <t>Airframe</t>
        </is>
      </c>
      <c r="E383" s="53" t="inlineStr">
        <is>
          <t>2024-10-21</t>
        </is>
      </c>
      <c r="F383" s="53">
        <v>1.4</v>
      </c>
      <c r="G383" s="53">
        <v>0</v>
      </c>
      <c r="H383" s="51" t="str">
        <f>TEXT(tblLaborEntries[[#This Row],[Work date serial]]-WEEKDAY(tblLaborEntries[[#This Row],[Work date serial]],3),"yyyy-mm-dd")</f>
        <v>2024-10-21</v>
      </c>
      <c r="I383" s="64">
        <f>DATEVALUE(tblLaborEntries[[#This Row],[Work date]])</f>
        <v>45586.0</v>
      </c>
    </row>
    <row r="384" spans="1:9" ht="15" x14ac:dyDescent="0.25">
      <c r="A384" s="53" t="inlineStr">
        <is>
          <t>LAB-000383</t>
        </is>
      </c>
      <c r="B384" s="53" t="inlineStr">
        <is>
          <t>WP-00170</t>
        </is>
      </c>
      <c r="C384" s="53" t="inlineStr">
        <is>
          <t>TECH-067</t>
        </is>
      </c>
      <c r="D384" s="53" t="inlineStr">
        <is>
          <t>Airframe</t>
        </is>
      </c>
      <c r="E384" s="53" t="inlineStr">
        <is>
          <t>2024-10-22</t>
        </is>
      </c>
      <c r="F384" s="53">
        <v>1.2</v>
      </c>
      <c r="G384" s="53">
        <v>0</v>
      </c>
      <c r="H384" s="51" t="str">
        <f>TEXT(tblLaborEntries[[#This Row],[Work date serial]]-WEEKDAY(tblLaborEntries[[#This Row],[Work date serial]],3),"yyyy-mm-dd")</f>
        <v>2024-10-21</v>
      </c>
      <c r="I384" s="64">
        <f>DATEVALUE(tblLaborEntries[[#This Row],[Work date]])</f>
        <v>45587.0</v>
      </c>
    </row>
    <row r="385" spans="1:9" ht="15" x14ac:dyDescent="0.25">
      <c r="A385" s="53" t="inlineStr">
        <is>
          <t>LAB-000384</t>
        </is>
      </c>
      <c r="B385" s="53" t="inlineStr">
        <is>
          <t>WP-00171</t>
        </is>
      </c>
      <c r="C385" s="53" t="inlineStr">
        <is>
          <t>TECH-061</t>
        </is>
      </c>
      <c r="D385" s="53" t="inlineStr">
        <is>
          <t>Airframe</t>
        </is>
      </c>
      <c r="E385" s="53" t="inlineStr">
        <is>
          <t>2024-04-27</t>
        </is>
      </c>
      <c r="F385" s="53">
        <v>5.9</v>
      </c>
      <c r="G385" s="53">
        <v>0</v>
      </c>
      <c r="H385" s="51" t="str">
        <f>TEXT(tblLaborEntries[[#This Row],[Work date serial]]-WEEKDAY(tblLaborEntries[[#This Row],[Work date serial]],3),"yyyy-mm-dd")</f>
        <v>2024-04-22</v>
      </c>
      <c r="I385" s="64">
        <f>DATEVALUE(tblLaborEntries[[#This Row],[Work date]])</f>
        <v>45409.0</v>
      </c>
    </row>
    <row r="386" spans="1:9" ht="15" x14ac:dyDescent="0.25">
      <c r="A386" s="53" t="inlineStr">
        <is>
          <t>LAB-000385</t>
        </is>
      </c>
      <c r="B386" s="53" t="inlineStr">
        <is>
          <t>WP-00171</t>
        </is>
      </c>
      <c r="C386" s="53" t="inlineStr">
        <is>
          <t>TECH-025</t>
        </is>
      </c>
      <c r="D386" s="53" t="inlineStr">
        <is>
          <t>Airframe</t>
        </is>
      </c>
      <c r="E386" s="53" t="inlineStr">
        <is>
          <t>2024-04-28</t>
        </is>
      </c>
      <c r="F386" s="53">
        <v>3.9</v>
      </c>
      <c r="G386" s="53">
        <v>0</v>
      </c>
      <c r="H386" s="51" t="str">
        <f>TEXT(tblLaborEntries[[#This Row],[Work date serial]]-WEEKDAY(tblLaborEntries[[#This Row],[Work date serial]],3),"yyyy-mm-dd")</f>
        <v>2024-04-22</v>
      </c>
      <c r="I386" s="64">
        <f>DATEVALUE(tblLaborEntries[[#This Row],[Work date]])</f>
        <v>45410.0</v>
      </c>
    </row>
    <row r="387" spans="1:9" ht="15" x14ac:dyDescent="0.25">
      <c r="A387" s="53" t="inlineStr">
        <is>
          <t>LAB-000386</t>
        </is>
      </c>
      <c r="B387" s="53" t="inlineStr">
        <is>
          <t>WP-00171</t>
        </is>
      </c>
      <c r="C387" s="53" t="inlineStr">
        <is>
          <t>TECH-013</t>
        </is>
      </c>
      <c r="D387" s="53" t="inlineStr">
        <is>
          <t>Airframe</t>
        </is>
      </c>
      <c r="E387" s="53" t="inlineStr">
        <is>
          <t>2024-04-29</t>
        </is>
      </c>
      <c r="F387" s="53">
        <v>5.7</v>
      </c>
      <c r="G387" s="53">
        <v>0</v>
      </c>
      <c r="H387" s="51" t="str">
        <f>TEXT(tblLaborEntries[[#This Row],[Work date serial]]-WEEKDAY(tblLaborEntries[[#This Row],[Work date serial]],3),"yyyy-mm-dd")</f>
        <v>2024-04-29</v>
      </c>
      <c r="I387" s="64">
        <f>DATEVALUE(tblLaborEntries[[#This Row],[Work date]])</f>
        <v>45411.0</v>
      </c>
    </row>
    <row r="388" spans="1:9" ht="15" x14ac:dyDescent="0.25">
      <c r="A388" s="53" t="inlineStr">
        <is>
          <t>LAB-000387</t>
        </is>
      </c>
      <c r="B388" s="53" t="inlineStr">
        <is>
          <t>WP-00172</t>
        </is>
      </c>
      <c r="C388" s="53" t="inlineStr">
        <is>
          <t>TECH-006</t>
        </is>
      </c>
      <c r="D388" s="53" t="inlineStr">
        <is>
          <t>Powerplant</t>
        </is>
      </c>
      <c r="E388" s="53" t="inlineStr">
        <is>
          <t>2025-02-05</t>
        </is>
      </c>
      <c r="F388" s="53">
        <v>3</v>
      </c>
      <c r="G388" s="53">
        <v>0</v>
      </c>
      <c r="H388" s="51" t="str">
        <f>TEXT(tblLaborEntries[[#This Row],[Work date serial]]-WEEKDAY(tblLaborEntries[[#This Row],[Work date serial]],3),"yyyy-mm-dd")</f>
        <v>2025-02-03</v>
      </c>
      <c r="I388" s="64">
        <f>DATEVALUE(tblLaborEntries[[#This Row],[Work date]])</f>
        <v>45693.0</v>
      </c>
    </row>
    <row r="389" spans="1:9" ht="15" x14ac:dyDescent="0.25">
      <c r="A389" s="53" t="inlineStr">
        <is>
          <t>LAB-000388</t>
        </is>
      </c>
      <c r="B389" s="53" t="inlineStr">
        <is>
          <t>WP-00172</t>
        </is>
      </c>
      <c r="C389" s="53" t="inlineStr">
        <is>
          <t>TECH-060</t>
        </is>
      </c>
      <c r="D389" s="53" t="inlineStr">
        <is>
          <t>Powerplant</t>
        </is>
      </c>
      <c r="E389" s="53" t="inlineStr">
        <is>
          <t>2025-02-05</t>
        </is>
      </c>
      <c r="F389" s="53">
        <v>12</v>
      </c>
      <c r="G389" s="53">
        <v>4</v>
      </c>
      <c r="H389" s="51" t="str">
        <f>TEXT(tblLaborEntries[[#This Row],[Work date serial]]-WEEKDAY(tblLaborEntries[[#This Row],[Work date serial]],3),"yyyy-mm-dd")</f>
        <v>2025-02-03</v>
      </c>
      <c r="I389" s="64">
        <f>DATEVALUE(tblLaborEntries[[#This Row],[Work date]])</f>
        <v>45693.0</v>
      </c>
    </row>
    <row r="390" spans="1:9" ht="15" x14ac:dyDescent="0.25">
      <c r="A390" s="53" t="inlineStr">
        <is>
          <t>LAB-000389</t>
        </is>
      </c>
      <c r="B390" s="53" t="inlineStr">
        <is>
          <t>WP-00173</t>
        </is>
      </c>
      <c r="C390" s="53" t="inlineStr">
        <is>
          <t>TECH-018</t>
        </is>
      </c>
      <c r="D390" s="53" t="inlineStr">
        <is>
          <t>Powerplant</t>
        </is>
      </c>
      <c r="E390" s="53" t="inlineStr">
        <is>
          <t>2024-03-30</t>
        </is>
      </c>
      <c r="F390" s="53">
        <v>6</v>
      </c>
      <c r="G390" s="53">
        <v>0</v>
      </c>
      <c r="H390" s="51" t="str">
        <f>TEXT(tblLaborEntries[[#This Row],[Work date serial]]-WEEKDAY(tblLaborEntries[[#This Row],[Work date serial]],3),"yyyy-mm-dd")</f>
        <v>2024-03-25</v>
      </c>
      <c r="I390" s="64">
        <f>DATEVALUE(tblLaborEntries[[#This Row],[Work date]])</f>
        <v>45381.0</v>
      </c>
    </row>
    <row r="391" spans="1:9" ht="15" x14ac:dyDescent="0.25">
      <c r="A391" s="53" t="inlineStr">
        <is>
          <t>LAB-000390</t>
        </is>
      </c>
      <c r="B391" s="53" t="inlineStr">
        <is>
          <t>WP-00173</t>
        </is>
      </c>
      <c r="C391" s="53" t="inlineStr">
        <is>
          <t>TECH-060</t>
        </is>
      </c>
      <c r="D391" s="53" t="inlineStr">
        <is>
          <t>Powerplant</t>
        </is>
      </c>
      <c r="E391" s="53" t="inlineStr">
        <is>
          <t>2024-03-31</t>
        </is>
      </c>
      <c r="F391" s="53">
        <v>7.5</v>
      </c>
      <c r="G391" s="53">
        <v>0</v>
      </c>
      <c r="H391" s="51" t="str">
        <f>TEXT(tblLaborEntries[[#This Row],[Work date serial]]-WEEKDAY(tblLaborEntries[[#This Row],[Work date serial]],3),"yyyy-mm-dd")</f>
        <v>2024-03-25</v>
      </c>
      <c r="I391" s="64">
        <f>DATEVALUE(tblLaborEntries[[#This Row],[Work date]])</f>
        <v>45382.0</v>
      </c>
    </row>
    <row r="392" spans="1:9" ht="15" x14ac:dyDescent="0.25">
      <c r="A392" s="53" t="inlineStr">
        <is>
          <t>LAB-000391</t>
        </is>
      </c>
      <c r="B392" s="53" t="inlineStr">
        <is>
          <t>WP-00173</t>
        </is>
      </c>
      <c r="C392" s="53" t="inlineStr">
        <is>
          <t>TECH-006</t>
        </is>
      </c>
      <c r="D392" s="53" t="inlineStr">
        <is>
          <t>Powerplant</t>
        </is>
      </c>
      <c r="E392" s="53" t="inlineStr">
        <is>
          <t>2024-04-01</t>
        </is>
      </c>
      <c r="F392" s="53">
        <v>7.9</v>
      </c>
      <c r="G392" s="53">
        <v>0</v>
      </c>
      <c r="H392" s="51" t="str">
        <f>TEXT(tblLaborEntries[[#This Row],[Work date serial]]-WEEKDAY(tblLaborEntries[[#This Row],[Work date serial]],3),"yyyy-mm-dd")</f>
        <v>2024-04-01</v>
      </c>
      <c r="I392" s="64">
        <f>DATEVALUE(tblLaborEntries[[#This Row],[Work date]])</f>
        <v>45383.0</v>
      </c>
    </row>
    <row r="393" spans="1:9" ht="15" x14ac:dyDescent="0.25">
      <c r="A393" s="53" t="inlineStr">
        <is>
          <t>LAB-000392</t>
        </is>
      </c>
      <c r="B393" s="53" t="inlineStr">
        <is>
          <t>WP-00174</t>
        </is>
      </c>
      <c r="C393" s="53" t="inlineStr">
        <is>
          <t>TECH-070</t>
        </is>
      </c>
      <c r="D393" s="53" t="inlineStr">
        <is>
          <t>Electrical</t>
        </is>
      </c>
      <c r="E393" s="53" t="inlineStr">
        <is>
          <t>2024-06-17</t>
        </is>
      </c>
      <c r="F393" s="53">
        <v>11.5</v>
      </c>
      <c r="G393" s="53">
        <v>3.5</v>
      </c>
      <c r="H393" s="51" t="str">
        <f>TEXT(tblLaborEntries[[#This Row],[Work date serial]]-WEEKDAY(tblLaborEntries[[#This Row],[Work date serial]],3),"yyyy-mm-dd")</f>
        <v>2024-06-17</v>
      </c>
      <c r="I393" s="64">
        <f>DATEVALUE(tblLaborEntries[[#This Row],[Work date]])</f>
        <v>45460.0</v>
      </c>
    </row>
    <row r="394" spans="1:9" ht="15" x14ac:dyDescent="0.25">
      <c r="A394" s="53" t="inlineStr">
        <is>
          <t>LAB-000393</t>
        </is>
      </c>
      <c r="B394" s="53" t="inlineStr">
        <is>
          <t>WP-00175</t>
        </is>
      </c>
      <c r="C394" s="53" t="inlineStr">
        <is>
          <t>TECH-001</t>
        </is>
      </c>
      <c r="D394" s="53" t="inlineStr">
        <is>
          <t>Airframe</t>
        </is>
      </c>
      <c r="E394" s="53" t="inlineStr">
        <is>
          <t>2024-12-26</t>
        </is>
      </c>
      <c r="F394" s="53">
        <v>9.6</v>
      </c>
      <c r="G394" s="53">
        <v>1.6</v>
      </c>
      <c r="H394" s="51" t="str">
        <f>TEXT(tblLaborEntries[[#This Row],[Work date serial]]-WEEKDAY(tblLaborEntries[[#This Row],[Work date serial]],3),"yyyy-mm-dd")</f>
        <v>2024-12-23</v>
      </c>
      <c r="I394" s="64">
        <f>DATEVALUE(tblLaborEntries[[#This Row],[Work date]])</f>
        <v>45652.0</v>
      </c>
    </row>
    <row r="395" spans="1:9" ht="15" x14ac:dyDescent="0.25">
      <c r="A395" s="53" t="inlineStr">
        <is>
          <t>LAB-000394</t>
        </is>
      </c>
      <c r="B395" s="53" t="inlineStr">
        <is>
          <t>WP-00176</t>
        </is>
      </c>
      <c r="C395" s="53" t="inlineStr">
        <is>
          <t>TECH-043</t>
        </is>
      </c>
      <c r="D395" s="53" t="inlineStr">
        <is>
          <t>Airframe</t>
        </is>
      </c>
      <c r="E395" s="53" t="inlineStr">
        <is>
          <t>2025-06-15</t>
        </is>
      </c>
      <c r="F395" s="53">
        <v>2.7</v>
      </c>
      <c r="G395" s="53">
        <v>0</v>
      </c>
      <c r="H395" s="51" t="str">
        <f>TEXT(tblLaborEntries[[#This Row],[Work date serial]]-WEEKDAY(tblLaborEntries[[#This Row],[Work date serial]],3),"yyyy-mm-dd")</f>
        <v>2025-06-09</v>
      </c>
      <c r="I395" s="64">
        <f>DATEVALUE(tblLaborEntries[[#This Row],[Work date]])</f>
        <v>45823.0</v>
      </c>
    </row>
    <row r="396" spans="1:9" ht="15" x14ac:dyDescent="0.25">
      <c r="A396" s="53" t="inlineStr">
        <is>
          <t>LAB-000395</t>
        </is>
      </c>
      <c r="B396" s="53" t="inlineStr">
        <is>
          <t>WP-00176</t>
        </is>
      </c>
      <c r="C396" s="53" t="inlineStr">
        <is>
          <t>TECH-061</t>
        </is>
      </c>
      <c r="D396" s="53" t="inlineStr">
        <is>
          <t>Airframe</t>
        </is>
      </c>
      <c r="E396" s="53" t="inlineStr">
        <is>
          <t>2025-06-16</t>
        </is>
      </c>
      <c r="F396" s="53">
        <v>3</v>
      </c>
      <c r="G396" s="53">
        <v>0</v>
      </c>
      <c r="H396" s="51" t="str">
        <f>TEXT(tblLaborEntries[[#This Row],[Work date serial]]-WEEKDAY(tblLaborEntries[[#This Row],[Work date serial]],3),"yyyy-mm-dd")</f>
        <v>2025-06-16</v>
      </c>
      <c r="I396" s="64">
        <f>DATEVALUE(tblLaborEntries[[#This Row],[Work date]])</f>
        <v>45824.0</v>
      </c>
    </row>
    <row r="397" spans="1:9" ht="15" x14ac:dyDescent="0.25">
      <c r="A397" s="53" t="inlineStr">
        <is>
          <t>LAB-000396</t>
        </is>
      </c>
      <c r="B397" s="53" t="inlineStr">
        <is>
          <t>WP-00177</t>
        </is>
      </c>
      <c r="C397" s="53" t="inlineStr">
        <is>
          <t>TECH-073</t>
        </is>
      </c>
      <c r="D397" s="53" t="inlineStr">
        <is>
          <t>Airframe</t>
        </is>
      </c>
      <c r="E397" s="53" t="inlineStr">
        <is>
          <t>2025-06-19</t>
        </is>
      </c>
      <c r="F397" s="53">
        <v>7</v>
      </c>
      <c r="G397" s="53">
        <v>0</v>
      </c>
      <c r="H397" s="51" t="str">
        <f>TEXT(tblLaborEntries[[#This Row],[Work date serial]]-WEEKDAY(tblLaborEntries[[#This Row],[Work date serial]],3),"yyyy-mm-dd")</f>
        <v>2025-06-16</v>
      </c>
      <c r="I397" s="64">
        <f>DATEVALUE(tblLaborEntries[[#This Row],[Work date]])</f>
        <v>45827.0</v>
      </c>
    </row>
    <row r="398" spans="1:9" ht="15" x14ac:dyDescent="0.25">
      <c r="A398" s="53" t="inlineStr">
        <is>
          <t>LAB-000397</t>
        </is>
      </c>
      <c r="B398" s="53" t="inlineStr">
        <is>
          <t>WP-00177</t>
        </is>
      </c>
      <c r="C398" s="53" t="inlineStr">
        <is>
          <t>TECH-067</t>
        </is>
      </c>
      <c r="D398" s="53" t="inlineStr">
        <is>
          <t>Airframe</t>
        </is>
      </c>
      <c r="E398" s="53" t="inlineStr">
        <is>
          <t>2025-06-20</t>
        </is>
      </c>
      <c r="F398" s="53">
        <v>6.3</v>
      </c>
      <c r="G398" s="53">
        <v>0</v>
      </c>
      <c r="H398" s="51" t="str">
        <f>TEXT(tblLaborEntries[[#This Row],[Work date serial]]-WEEKDAY(tblLaborEntries[[#This Row],[Work date serial]],3),"yyyy-mm-dd")</f>
        <v>2025-06-16</v>
      </c>
      <c r="I398" s="64">
        <f>DATEVALUE(tblLaborEntries[[#This Row],[Work date]])</f>
        <v>45828.0</v>
      </c>
    </row>
    <row r="399" spans="1:9" ht="15" x14ac:dyDescent="0.25">
      <c r="A399" s="53" t="inlineStr">
        <is>
          <t>LAB-000398</t>
        </is>
      </c>
      <c r="B399" s="53" t="inlineStr">
        <is>
          <t>WP-00178</t>
        </is>
      </c>
      <c r="C399" s="53" t="inlineStr">
        <is>
          <t>TECH-005</t>
        </is>
      </c>
      <c r="D399" s="53" t="inlineStr">
        <is>
          <t>Structures</t>
        </is>
      </c>
      <c r="E399" s="53" t="inlineStr">
        <is>
          <t>2025-02-22</t>
        </is>
      </c>
      <c r="F399" s="53">
        <v>0.1</v>
      </c>
      <c r="G399" s="53">
        <v>0</v>
      </c>
      <c r="H399" s="51" t="str">
        <f>TEXT(tblLaborEntries[[#This Row],[Work date serial]]-WEEKDAY(tblLaborEntries[[#This Row],[Work date serial]],3),"yyyy-mm-dd")</f>
        <v>2025-02-17</v>
      </c>
      <c r="I399" s="64">
        <f>DATEVALUE(tblLaborEntries[[#This Row],[Work date]])</f>
        <v>45710.0</v>
      </c>
    </row>
    <row r="400" spans="1:9" ht="15" x14ac:dyDescent="0.25">
      <c r="A400" s="53" t="inlineStr">
        <is>
          <t>LAB-000399</t>
        </is>
      </c>
      <c r="B400" s="53" t="inlineStr">
        <is>
          <t>WP-00178</t>
        </is>
      </c>
      <c r="C400" s="53" t="inlineStr">
        <is>
          <t>TECH-005</t>
        </is>
      </c>
      <c r="D400" s="53" t="inlineStr">
        <is>
          <t>Structures</t>
        </is>
      </c>
      <c r="E400" s="53" t="inlineStr">
        <is>
          <t>2025-02-23</t>
        </is>
      </c>
      <c r="F400" s="53">
        <v>12</v>
      </c>
      <c r="G400" s="53">
        <v>4</v>
      </c>
      <c r="H400" s="51" t="str">
        <f>TEXT(tblLaborEntries[[#This Row],[Work date serial]]-WEEKDAY(tblLaborEntries[[#This Row],[Work date serial]],3),"yyyy-mm-dd")</f>
        <v>2025-02-17</v>
      </c>
      <c r="I400" s="64">
        <f>DATEVALUE(tblLaborEntries[[#This Row],[Work date]])</f>
        <v>45711.0</v>
      </c>
    </row>
    <row r="401" spans="1:9" ht="15" x14ac:dyDescent="0.25">
      <c r="A401" s="53" t="inlineStr">
        <is>
          <t>LAB-000400</t>
        </is>
      </c>
      <c r="B401" s="53" t="inlineStr">
        <is>
          <t>WP-00178</t>
        </is>
      </c>
      <c r="C401" s="53" t="inlineStr">
        <is>
          <t>TECH-011</t>
        </is>
      </c>
      <c r="D401" s="53" t="inlineStr">
        <is>
          <t>Structures</t>
        </is>
      </c>
      <c r="E401" s="53" t="inlineStr">
        <is>
          <t>2025-02-23</t>
        </is>
      </c>
      <c r="F401" s="53">
        <v>12</v>
      </c>
      <c r="G401" s="53">
        <v>4</v>
      </c>
      <c r="H401" s="51" t="str">
        <f>TEXT(tblLaborEntries[[#This Row],[Work date serial]]-WEEKDAY(tblLaborEntries[[#This Row],[Work date serial]],3),"yyyy-mm-dd")</f>
        <v>2025-02-17</v>
      </c>
      <c r="I401" s="64">
        <f>DATEVALUE(tblLaborEntries[[#This Row],[Work date]])</f>
        <v>45711.0</v>
      </c>
    </row>
    <row r="402" spans="1:9" ht="15" x14ac:dyDescent="0.25">
      <c r="A402" s="53" t="inlineStr">
        <is>
          <t>LAB-000401</t>
        </is>
      </c>
      <c r="B402" s="53" t="inlineStr">
        <is>
          <t>WP-00178</t>
        </is>
      </c>
      <c r="C402" s="53" t="inlineStr">
        <is>
          <t>TECH-017</t>
        </is>
      </c>
      <c r="D402" s="53" t="inlineStr">
        <is>
          <t>Structures</t>
        </is>
      </c>
      <c r="E402" s="53" t="inlineStr">
        <is>
          <t>2025-02-23</t>
        </is>
      </c>
      <c r="F402" s="53">
        <v>12</v>
      </c>
      <c r="G402" s="53">
        <v>4</v>
      </c>
      <c r="H402" s="51" t="str">
        <f>TEXT(tblLaborEntries[[#This Row],[Work date serial]]-WEEKDAY(tblLaborEntries[[#This Row],[Work date serial]],3),"yyyy-mm-dd")</f>
        <v>2025-02-17</v>
      </c>
      <c r="I402" s="64">
        <f>DATEVALUE(tblLaborEntries[[#This Row],[Work date]])</f>
        <v>45711.0</v>
      </c>
    </row>
    <row r="403" spans="1:9" ht="15" x14ac:dyDescent="0.25">
      <c r="A403" s="53" t="inlineStr">
        <is>
          <t>LAB-000402</t>
        </is>
      </c>
      <c r="B403" s="53" t="inlineStr">
        <is>
          <t>WP-00179</t>
        </is>
      </c>
      <c r="C403" s="53" t="inlineStr">
        <is>
          <t>TECH-056</t>
        </is>
      </c>
      <c r="D403" s="53" t="inlineStr">
        <is>
          <t>Avionics</t>
        </is>
      </c>
      <c r="E403" s="53" t="inlineStr">
        <is>
          <t>2024-03-06</t>
        </is>
      </c>
      <c r="F403" s="53">
        <v>8.4</v>
      </c>
      <c r="G403" s="53">
        <v>1.5</v>
      </c>
      <c r="H403" s="51" t="str">
        <f>TEXT(tblLaborEntries[[#This Row],[Work date serial]]-WEEKDAY(tblLaborEntries[[#This Row],[Work date serial]],3),"yyyy-mm-dd")</f>
        <v>2024-03-04</v>
      </c>
      <c r="I403" s="64">
        <f>DATEVALUE(tblLaborEntries[[#This Row],[Work date]])</f>
        <v>45357.0</v>
      </c>
    </row>
    <row r="404" spans="1:9" ht="15" x14ac:dyDescent="0.25">
      <c r="A404" s="53" t="inlineStr">
        <is>
          <t>LAB-000403</t>
        </is>
      </c>
      <c r="B404" s="53" t="inlineStr">
        <is>
          <t>WP-00180</t>
        </is>
      </c>
      <c r="C404" s="53" t="inlineStr">
        <is>
          <t>TECH-046</t>
        </is>
      </c>
      <c r="D404" s="53" t="inlineStr">
        <is>
          <t>Electrical</t>
        </is>
      </c>
      <c r="E404" s="53" t="inlineStr">
        <is>
          <t>2024-10-13</t>
        </is>
      </c>
      <c r="F404" s="53">
        <v>8.1</v>
      </c>
      <c r="G404" s="53">
        <v>0.1</v>
      </c>
      <c r="H404" s="51" t="str">
        <f>TEXT(tblLaborEntries[[#This Row],[Work date serial]]-WEEKDAY(tblLaborEntries[[#This Row],[Work date serial]],3),"yyyy-mm-dd")</f>
        <v>2024-10-07</v>
      </c>
      <c r="I404" s="64">
        <f>DATEVALUE(tblLaborEntries[[#This Row],[Work date]])</f>
        <v>45578.0</v>
      </c>
    </row>
    <row r="405" spans="1:9" ht="15" x14ac:dyDescent="0.25">
      <c r="A405" s="53" t="inlineStr">
        <is>
          <t>LAB-000404</t>
        </is>
      </c>
      <c r="B405" s="53" t="inlineStr">
        <is>
          <t>WP-00181</t>
        </is>
      </c>
      <c r="C405" s="53" t="inlineStr">
        <is>
          <t>TECH-061</t>
        </is>
      </c>
      <c r="D405" s="53" t="inlineStr">
        <is>
          <t>Airframe</t>
        </is>
      </c>
      <c r="E405" s="53" t="inlineStr">
        <is>
          <t>2024-06-13</t>
        </is>
      </c>
      <c r="F405" s="53">
        <v>5.1</v>
      </c>
      <c r="G405" s="53">
        <v>0</v>
      </c>
      <c r="H405" s="51" t="str">
        <f>TEXT(tblLaborEntries[[#This Row],[Work date serial]]-WEEKDAY(tblLaborEntries[[#This Row],[Work date serial]],3),"yyyy-mm-dd")</f>
        <v>2024-06-10</v>
      </c>
      <c r="I405" s="64">
        <f>DATEVALUE(tblLaborEntries[[#This Row],[Work date]])</f>
        <v>45456.0</v>
      </c>
    </row>
    <row r="406" spans="1:9" ht="15" x14ac:dyDescent="0.25">
      <c r="A406" s="53" t="inlineStr">
        <is>
          <t>LAB-000405</t>
        </is>
      </c>
      <c r="B406" s="53" t="inlineStr">
        <is>
          <t>WP-00181</t>
        </is>
      </c>
      <c r="C406" s="53" t="inlineStr">
        <is>
          <t>TECH-013</t>
        </is>
      </c>
      <c r="D406" s="53" t="inlineStr">
        <is>
          <t>Airframe</t>
        </is>
      </c>
      <c r="E406" s="53" t="inlineStr">
        <is>
          <t>2024-06-14</t>
        </is>
      </c>
      <c r="F406" s="53">
        <v>4.8</v>
      </c>
      <c r="G406" s="53">
        <v>0</v>
      </c>
      <c r="H406" s="51" t="str">
        <f>TEXT(tblLaborEntries[[#This Row],[Work date serial]]-WEEKDAY(tblLaborEntries[[#This Row],[Work date serial]],3),"yyyy-mm-dd")</f>
        <v>2024-06-10</v>
      </c>
      <c r="I406" s="64">
        <f>DATEVALUE(tblLaborEntries[[#This Row],[Work date]])</f>
        <v>45457.0</v>
      </c>
    </row>
    <row r="407" spans="1:9" ht="15" x14ac:dyDescent="0.25">
      <c r="A407" s="53" t="inlineStr">
        <is>
          <t>LAB-000406</t>
        </is>
      </c>
      <c r="B407" s="53" t="inlineStr">
        <is>
          <t>WP-00182</t>
        </is>
      </c>
      <c r="C407" s="53" t="inlineStr">
        <is>
          <t>TECH-014</t>
        </is>
      </c>
      <c r="D407" s="53" t="inlineStr">
        <is>
          <t>Avionics</t>
        </is>
      </c>
      <c r="E407" s="53" t="inlineStr">
        <is>
          <t>2024-06-16</t>
        </is>
      </c>
      <c r="F407" s="53">
        <v>4.4</v>
      </c>
      <c r="G407" s="53">
        <v>0</v>
      </c>
      <c r="H407" s="51" t="str">
        <f>TEXT(tblLaborEntries[[#This Row],[Work date serial]]-WEEKDAY(tblLaborEntries[[#This Row],[Work date serial]],3),"yyyy-mm-dd")</f>
        <v>2024-06-10</v>
      </c>
      <c r="I407" s="64">
        <f>DATEVALUE(tblLaborEntries[[#This Row],[Work date]])</f>
        <v>45459.0</v>
      </c>
    </row>
    <row r="408" spans="1:9" ht="15" x14ac:dyDescent="0.25">
      <c r="A408" s="53" t="inlineStr">
        <is>
          <t>LAB-000407</t>
        </is>
      </c>
      <c r="B408" s="53" t="inlineStr">
        <is>
          <t>WP-00182</t>
        </is>
      </c>
      <c r="C408" s="53" t="inlineStr">
        <is>
          <t>TECH-062</t>
        </is>
      </c>
      <c r="D408" s="53" t="inlineStr">
        <is>
          <t>Avionics</t>
        </is>
      </c>
      <c r="E408" s="53" t="inlineStr">
        <is>
          <t>2024-06-17</t>
        </is>
      </c>
      <c r="F408" s="53">
        <v>3.3</v>
      </c>
      <c r="G408" s="53">
        <v>0</v>
      </c>
      <c r="H408" s="51" t="str">
        <f>TEXT(tblLaborEntries[[#This Row],[Work date serial]]-WEEKDAY(tblLaborEntries[[#This Row],[Work date serial]],3),"yyyy-mm-dd")</f>
        <v>2024-06-17</v>
      </c>
      <c r="I408" s="64">
        <f>DATEVALUE(tblLaborEntries[[#This Row],[Work date]])</f>
        <v>45460.0</v>
      </c>
    </row>
    <row r="409" spans="1:9" ht="15" x14ac:dyDescent="0.25">
      <c r="A409" s="53" t="inlineStr">
        <is>
          <t>LAB-000408</t>
        </is>
      </c>
      <c r="B409" s="53" t="inlineStr">
        <is>
          <t>WP-00182</t>
        </is>
      </c>
      <c r="C409" s="53" t="inlineStr">
        <is>
          <t>TECH-074</t>
        </is>
      </c>
      <c r="D409" s="53" t="inlineStr">
        <is>
          <t>Avionics</t>
        </is>
      </c>
      <c r="E409" s="53" t="inlineStr">
        <is>
          <t>2024-06-18</t>
        </is>
      </c>
      <c r="F409" s="53">
        <v>5</v>
      </c>
      <c r="G409" s="53">
        <v>0</v>
      </c>
      <c r="H409" s="51" t="str">
        <f>TEXT(tblLaborEntries[[#This Row],[Work date serial]]-WEEKDAY(tblLaborEntries[[#This Row],[Work date serial]],3),"yyyy-mm-dd")</f>
        <v>2024-06-17</v>
      </c>
      <c r="I409" s="64">
        <f>DATEVALUE(tblLaborEntries[[#This Row],[Work date]])</f>
        <v>45461.0</v>
      </c>
    </row>
    <row r="410" spans="1:9" ht="15" x14ac:dyDescent="0.25">
      <c r="A410" s="53" t="inlineStr">
        <is>
          <t>LAB-000409</t>
        </is>
      </c>
      <c r="B410" s="53" t="inlineStr">
        <is>
          <t>WP-00183</t>
        </is>
      </c>
      <c r="C410" s="53" t="inlineStr">
        <is>
          <t>TECH-040</t>
        </is>
      </c>
      <c r="D410" s="53" t="inlineStr">
        <is>
          <t>Electrical</t>
        </is>
      </c>
      <c r="E410" s="53" t="inlineStr">
        <is>
          <t>2025-05-04</t>
        </is>
      </c>
      <c r="F410" s="53">
        <v>5.3</v>
      </c>
      <c r="G410" s="53">
        <v>4</v>
      </c>
      <c r="H410" s="51" t="str">
        <f>TEXT(tblLaborEntries[[#This Row],[Work date serial]]-WEEKDAY(tblLaborEntries[[#This Row],[Work date serial]],3),"yyyy-mm-dd")</f>
        <v>2025-04-28</v>
      </c>
      <c r="I410" s="64">
        <f>DATEVALUE(tblLaborEntries[[#This Row],[Work date]])</f>
        <v>45781.0</v>
      </c>
    </row>
    <row r="411" spans="1:9" ht="15" x14ac:dyDescent="0.25">
      <c r="A411" s="53" t="inlineStr">
        <is>
          <t>LAB-000410</t>
        </is>
      </c>
      <c r="B411" s="53" t="inlineStr">
        <is>
          <t>WP-00183</t>
        </is>
      </c>
      <c r="C411" s="53" t="inlineStr">
        <is>
          <t>TECH-004</t>
        </is>
      </c>
      <c r="D411" s="53" t="inlineStr">
        <is>
          <t>Electrical</t>
        </is>
      </c>
      <c r="E411" s="53" t="inlineStr">
        <is>
          <t>2025-05-05</t>
        </is>
      </c>
      <c r="F411" s="53">
        <v>6</v>
      </c>
      <c r="G411" s="53">
        <v>0</v>
      </c>
      <c r="H411" s="51" t="str">
        <f>TEXT(tblLaborEntries[[#This Row],[Work date serial]]-WEEKDAY(tblLaborEntries[[#This Row],[Work date serial]],3),"yyyy-mm-dd")</f>
        <v>2025-05-05</v>
      </c>
      <c r="I411" s="64">
        <f>DATEVALUE(tblLaborEntries[[#This Row],[Work date]])</f>
        <v>45782.0</v>
      </c>
    </row>
    <row r="412" spans="1:9" ht="15" x14ac:dyDescent="0.25">
      <c r="A412" s="53" t="inlineStr">
        <is>
          <t>LAB-000411</t>
        </is>
      </c>
      <c r="B412" s="53" t="inlineStr">
        <is>
          <t>WP-00184</t>
        </is>
      </c>
      <c r="C412" s="53" t="inlineStr">
        <is>
          <t>TECH-019</t>
        </is>
      </c>
      <c r="D412" s="53" t="inlineStr">
        <is>
          <t>Airframe</t>
        </is>
      </c>
      <c r="E412" s="53" t="inlineStr">
        <is>
          <t>2024-06-28</t>
        </is>
      </c>
      <c r="F412" s="53">
        <v>9.4</v>
      </c>
      <c r="G412" s="53">
        <v>1.4</v>
      </c>
      <c r="H412" s="51" t="str">
        <f>TEXT(tblLaborEntries[[#This Row],[Work date serial]]-WEEKDAY(tblLaborEntries[[#This Row],[Work date serial]],3),"yyyy-mm-dd")</f>
        <v>2024-06-24</v>
      </c>
      <c r="I412" s="64">
        <f>DATEVALUE(tblLaborEntries[[#This Row],[Work date]])</f>
        <v>45471.0</v>
      </c>
    </row>
    <row r="413" spans="1:9" ht="15" x14ac:dyDescent="0.25">
      <c r="A413" s="53" t="inlineStr">
        <is>
          <t>LAB-000412</t>
        </is>
      </c>
      <c r="B413" s="53" t="inlineStr">
        <is>
          <t>WP-00185</t>
        </is>
      </c>
      <c r="C413" s="53" t="inlineStr">
        <is>
          <t>TECH-046</t>
        </is>
      </c>
      <c r="D413" s="53" t="inlineStr">
        <is>
          <t>Electrical</t>
        </is>
      </c>
      <c r="E413" s="53" t="inlineStr">
        <is>
          <t>2025-01-03</t>
        </is>
      </c>
      <c r="F413" s="53">
        <v>8</v>
      </c>
      <c r="G413" s="53">
        <v>0</v>
      </c>
      <c r="H413" s="51" t="str">
        <f>TEXT(tblLaborEntries[[#This Row],[Work date serial]]-WEEKDAY(tblLaborEntries[[#This Row],[Work date serial]],3),"yyyy-mm-dd")</f>
        <v>2024-12-30</v>
      </c>
      <c r="I413" s="64">
        <f>DATEVALUE(tblLaborEntries[[#This Row],[Work date]])</f>
        <v>45660.0</v>
      </c>
    </row>
    <row r="414" spans="1:9" ht="15" x14ac:dyDescent="0.25">
      <c r="A414" s="53" t="inlineStr">
        <is>
          <t>LAB-000413</t>
        </is>
      </c>
      <c r="B414" s="53" t="inlineStr">
        <is>
          <t>WP-00185</t>
        </is>
      </c>
      <c r="C414" s="53" t="inlineStr">
        <is>
          <t>TECH-046</t>
        </is>
      </c>
      <c r="D414" s="53" t="inlineStr">
        <is>
          <t>Electrical</t>
        </is>
      </c>
      <c r="E414" s="53" t="inlineStr">
        <is>
          <t>2025-01-04</t>
        </is>
      </c>
      <c r="F414" s="53">
        <v>10</v>
      </c>
      <c r="G414" s="53">
        <v>2</v>
      </c>
      <c r="H414" s="51" t="str">
        <f>TEXT(tblLaborEntries[[#This Row],[Work date serial]]-WEEKDAY(tblLaborEntries[[#This Row],[Work date serial]],3),"yyyy-mm-dd")</f>
        <v>2024-12-30</v>
      </c>
      <c r="I414" s="64">
        <f>DATEVALUE(tblLaborEntries[[#This Row],[Work date]])</f>
        <v>45661.0</v>
      </c>
    </row>
    <row r="415" spans="1:9" ht="15" x14ac:dyDescent="0.25">
      <c r="A415" s="53" t="inlineStr">
        <is>
          <t>LAB-000414</t>
        </is>
      </c>
      <c r="B415" s="53" t="inlineStr">
        <is>
          <t>WP-00186</t>
        </is>
      </c>
      <c r="C415" s="53" t="inlineStr">
        <is>
          <t>TECH-012</t>
        </is>
      </c>
      <c r="D415" s="53" t="inlineStr">
        <is>
          <t>Powerplant</t>
        </is>
      </c>
      <c r="E415" s="53" t="inlineStr">
        <is>
          <t>2024-11-10</t>
        </is>
      </c>
      <c r="F415" s="53">
        <v>7.6</v>
      </c>
      <c r="G415" s="53">
        <v>0</v>
      </c>
      <c r="H415" s="51" t="str">
        <f>TEXT(tblLaborEntries[[#This Row],[Work date serial]]-WEEKDAY(tblLaborEntries[[#This Row],[Work date serial]],3),"yyyy-mm-dd")</f>
        <v>2024-11-04</v>
      </c>
      <c r="I415" s="64">
        <f>DATEVALUE(tblLaborEntries[[#This Row],[Work date]])</f>
        <v>45606.0</v>
      </c>
    </row>
    <row r="416" spans="1:9" ht="15" x14ac:dyDescent="0.25">
      <c r="A416" s="53" t="inlineStr">
        <is>
          <t>LAB-000415</t>
        </is>
      </c>
      <c r="B416" s="53" t="inlineStr">
        <is>
          <t>WP-00187</t>
        </is>
      </c>
      <c r="C416" s="53" t="inlineStr">
        <is>
          <t>TECH-028</t>
        </is>
      </c>
      <c r="D416" s="53" t="inlineStr">
        <is>
          <t>Electrical</t>
        </is>
      </c>
      <c r="E416" s="53" t="inlineStr">
        <is>
          <t>2024-10-28</t>
        </is>
      </c>
      <c r="F416" s="53">
        <v>10.4</v>
      </c>
      <c r="G416" s="53">
        <v>2.4</v>
      </c>
      <c r="H416" s="51" t="str">
        <f>TEXT(tblLaborEntries[[#This Row],[Work date serial]]-WEEKDAY(tblLaborEntries[[#This Row],[Work date serial]],3),"yyyy-mm-dd")</f>
        <v>2024-10-28</v>
      </c>
      <c r="I416" s="64">
        <f>DATEVALUE(tblLaborEntries[[#This Row],[Work date]])</f>
        <v>45593.0</v>
      </c>
    </row>
    <row r="417" spans="1:9" ht="15" x14ac:dyDescent="0.25">
      <c r="A417" s="53" t="inlineStr">
        <is>
          <t>LAB-000416</t>
        </is>
      </c>
      <c r="B417" s="53" t="inlineStr">
        <is>
          <t>WP-00188</t>
        </is>
      </c>
      <c r="C417" s="53" t="inlineStr">
        <is>
          <t>TECH-037</t>
        </is>
      </c>
      <c r="D417" s="53" t="inlineStr">
        <is>
          <t>Airframe</t>
        </is>
      </c>
      <c r="E417" s="53" t="inlineStr">
        <is>
          <t>2025-07-03</t>
        </is>
      </c>
      <c r="F417" s="53">
        <v>4.4</v>
      </c>
      <c r="G417" s="53">
        <v>0</v>
      </c>
      <c r="H417" s="51" t="str">
        <f>TEXT(tblLaborEntries[[#This Row],[Work date serial]]-WEEKDAY(tblLaborEntries[[#This Row],[Work date serial]],3),"yyyy-mm-dd")</f>
        <v>2025-06-30</v>
      </c>
      <c r="I417" s="64">
        <f>DATEVALUE(tblLaborEntries[[#This Row],[Work date]])</f>
        <v>45841.0</v>
      </c>
    </row>
    <row r="418" spans="1:9" ht="15" x14ac:dyDescent="0.25">
      <c r="A418" s="53" t="inlineStr">
        <is>
          <t>LAB-000417</t>
        </is>
      </c>
      <c r="B418" s="53" t="inlineStr">
        <is>
          <t>WP-00188</t>
        </is>
      </c>
      <c r="C418" s="53" t="inlineStr">
        <is>
          <t>TECH-049</t>
        </is>
      </c>
      <c r="D418" s="53" t="inlineStr">
        <is>
          <t>Airframe</t>
        </is>
      </c>
      <c r="E418" s="53" t="inlineStr">
        <is>
          <t>2025-07-04</t>
        </is>
      </c>
      <c r="F418" s="53">
        <v>3.7</v>
      </c>
      <c r="G418" s="53">
        <v>0</v>
      </c>
      <c r="H418" s="51" t="str">
        <f>TEXT(tblLaborEntries[[#This Row],[Work date serial]]-WEEKDAY(tblLaborEntries[[#This Row],[Work date serial]],3),"yyyy-mm-dd")</f>
        <v>2025-06-30</v>
      </c>
      <c r="I418" s="64">
        <f>DATEVALUE(tblLaborEntries[[#This Row],[Work date]])</f>
        <v>45842.0</v>
      </c>
    </row>
    <row r="419" spans="1:9" ht="15" x14ac:dyDescent="0.25">
      <c r="A419" s="53" t="inlineStr">
        <is>
          <t>LAB-000418</t>
        </is>
      </c>
      <c r="B419" s="53" t="inlineStr">
        <is>
          <t>WP-00188</t>
        </is>
      </c>
      <c r="C419" s="53" t="inlineStr">
        <is>
          <t>TECH-013</t>
        </is>
      </c>
      <c r="D419" s="53" t="inlineStr">
        <is>
          <t>Airframe</t>
        </is>
      </c>
      <c r="E419" s="53" t="inlineStr">
        <is>
          <t>2025-07-05</t>
        </is>
      </c>
      <c r="F419" s="53">
        <v>3.3</v>
      </c>
      <c r="G419" s="53">
        <v>0</v>
      </c>
      <c r="H419" s="51" t="str">
        <f>TEXT(tblLaborEntries[[#This Row],[Work date serial]]-WEEKDAY(tblLaborEntries[[#This Row],[Work date serial]],3),"yyyy-mm-dd")</f>
        <v>2025-06-30</v>
      </c>
      <c r="I419" s="64">
        <f>DATEVALUE(tblLaborEntries[[#This Row],[Work date]])</f>
        <v>45843.0</v>
      </c>
    </row>
    <row r="420" spans="1:9" ht="15" x14ac:dyDescent="0.25">
      <c r="A420" s="53" t="inlineStr">
        <is>
          <t>LAB-000419</t>
        </is>
      </c>
      <c r="B420" s="53" t="inlineStr">
        <is>
          <t>WP-00189</t>
        </is>
      </c>
      <c r="C420" s="53" t="inlineStr">
        <is>
          <t>TECH-003</t>
        </is>
      </c>
      <c r="D420" s="53" t="inlineStr">
        <is>
          <t>Hydraulics</t>
        </is>
      </c>
      <c r="E420" s="53" t="inlineStr">
        <is>
          <t>2025-06-06</t>
        </is>
      </c>
      <c r="F420" s="53">
        <v>5.7</v>
      </c>
      <c r="G420" s="53">
        <v>0</v>
      </c>
      <c r="H420" s="51" t="str">
        <f>TEXT(tblLaborEntries[[#This Row],[Work date serial]]-WEEKDAY(tblLaborEntries[[#This Row],[Work date serial]],3),"yyyy-mm-dd")</f>
        <v>2025-06-02</v>
      </c>
      <c r="I420" s="64">
        <f>DATEVALUE(tblLaborEntries[[#This Row],[Work date]])</f>
        <v>45814.0</v>
      </c>
    </row>
    <row r="421" spans="1:9" ht="15" x14ac:dyDescent="0.25">
      <c r="A421" s="53" t="inlineStr">
        <is>
          <t>LAB-000420</t>
        </is>
      </c>
      <c r="B421" s="53" t="inlineStr">
        <is>
          <t>WP-00189</t>
        </is>
      </c>
      <c r="C421" s="53" t="inlineStr">
        <is>
          <t>TECH-027</t>
        </is>
      </c>
      <c r="D421" s="53" t="inlineStr">
        <is>
          <t>Hydraulics</t>
        </is>
      </c>
      <c r="E421" s="53" t="inlineStr">
        <is>
          <t>2025-06-06</t>
        </is>
      </c>
      <c r="F421" s="53">
        <v>12</v>
      </c>
      <c r="G421" s="53">
        <v>4</v>
      </c>
      <c r="H421" s="51" t="str">
        <f>TEXT(tblLaborEntries[[#This Row],[Work date serial]]-WEEKDAY(tblLaborEntries[[#This Row],[Work date serial]],3),"yyyy-mm-dd")</f>
        <v>2025-06-02</v>
      </c>
      <c r="I421" s="64">
        <f>DATEVALUE(tblLaborEntries[[#This Row],[Work date]])</f>
        <v>45814.0</v>
      </c>
    </row>
    <row r="422" spans="1:9" ht="15" x14ac:dyDescent="0.25">
      <c r="A422" s="53" t="inlineStr">
        <is>
          <t>LAB-000421</t>
        </is>
      </c>
      <c r="B422" s="53" t="inlineStr">
        <is>
          <t>WP-00190</t>
        </is>
      </c>
      <c r="C422" s="53" t="inlineStr">
        <is>
          <t>TECH-074</t>
        </is>
      </c>
      <c r="D422" s="53" t="inlineStr">
        <is>
          <t>Avionics</t>
        </is>
      </c>
      <c r="E422" s="53" t="inlineStr">
        <is>
          <t>2025-07-22</t>
        </is>
      </c>
      <c r="F422" s="53">
        <v>3.8</v>
      </c>
      <c r="G422" s="53">
        <v>0</v>
      </c>
      <c r="H422" s="51" t="str">
        <f>TEXT(tblLaborEntries[[#This Row],[Work date serial]]-WEEKDAY(tblLaborEntries[[#This Row],[Work date serial]],3),"yyyy-mm-dd")</f>
        <v>2025-07-21</v>
      </c>
      <c r="I422" s="64">
        <f>DATEVALUE(tblLaborEntries[[#This Row],[Work date]])</f>
        <v>45860.0</v>
      </c>
    </row>
    <row r="423" spans="1:9" ht="15" x14ac:dyDescent="0.25">
      <c r="A423" s="53" t="inlineStr">
        <is>
          <t>LAB-000422</t>
        </is>
      </c>
      <c r="B423" s="53" t="inlineStr">
        <is>
          <t>WP-00190</t>
        </is>
      </c>
      <c r="C423" s="53" t="inlineStr">
        <is>
          <t>TECH-008</t>
        </is>
      </c>
      <c r="D423" s="53" t="inlineStr">
        <is>
          <t>Avionics</t>
        </is>
      </c>
      <c r="E423" s="53" t="inlineStr">
        <is>
          <t>2025-07-23</t>
        </is>
      </c>
      <c r="F423" s="53">
        <v>4.2</v>
      </c>
      <c r="G423" s="53">
        <v>0</v>
      </c>
      <c r="H423" s="51" t="str">
        <f>TEXT(tblLaborEntries[[#This Row],[Work date serial]]-WEEKDAY(tblLaborEntries[[#This Row],[Work date serial]],3),"yyyy-mm-dd")</f>
        <v>2025-07-21</v>
      </c>
      <c r="I423" s="64">
        <f>DATEVALUE(tblLaborEntries[[#This Row],[Work date]])</f>
        <v>45861.0</v>
      </c>
    </row>
    <row r="424" spans="1:9" ht="15" x14ac:dyDescent="0.25">
      <c r="A424" s="53" t="inlineStr">
        <is>
          <t>LAB-000423</t>
        </is>
      </c>
      <c r="B424" s="53" t="inlineStr">
        <is>
          <t>WP-00190</t>
        </is>
      </c>
      <c r="C424" s="53" t="inlineStr">
        <is>
          <t>TECH-050</t>
        </is>
      </c>
      <c r="D424" s="53" t="inlineStr">
        <is>
          <t>Avionics</t>
        </is>
      </c>
      <c r="E424" s="53" t="inlineStr">
        <is>
          <t>2025-07-24</t>
        </is>
      </c>
      <c r="F424" s="53">
        <v>6.2</v>
      </c>
      <c r="G424" s="53">
        <v>0</v>
      </c>
      <c r="H424" s="51" t="str">
        <f>TEXT(tblLaborEntries[[#This Row],[Work date serial]]-WEEKDAY(tblLaborEntries[[#This Row],[Work date serial]],3),"yyyy-mm-dd")</f>
        <v>2025-07-21</v>
      </c>
      <c r="I424" s="64">
        <f>DATEVALUE(tblLaborEntries[[#This Row],[Work date]])</f>
        <v>45862.0</v>
      </c>
    </row>
    <row r="425" spans="1:9" ht="15" x14ac:dyDescent="0.25">
      <c r="A425" s="53" t="inlineStr">
        <is>
          <t>LAB-000424</t>
        </is>
      </c>
      <c r="B425" s="53" t="inlineStr">
        <is>
          <t>WP-00191</t>
        </is>
      </c>
      <c r="C425" s="53" t="inlineStr">
        <is>
          <t>TECH-014</t>
        </is>
      </c>
      <c r="D425" s="53" t="inlineStr">
        <is>
          <t>Avionics</t>
        </is>
      </c>
      <c r="E425" s="53" t="inlineStr">
        <is>
          <t>2025-07-17</t>
        </is>
      </c>
      <c r="F425" s="53">
        <v>7.9</v>
      </c>
      <c r="G425" s="53">
        <v>0</v>
      </c>
      <c r="H425" s="51" t="str">
        <f>TEXT(tblLaborEntries[[#This Row],[Work date serial]]-WEEKDAY(tblLaborEntries[[#This Row],[Work date serial]],3),"yyyy-mm-dd")</f>
        <v>2025-07-14</v>
      </c>
      <c r="I425" s="64">
        <f>DATEVALUE(tblLaborEntries[[#This Row],[Work date]])</f>
        <v>45855.0</v>
      </c>
    </row>
    <row r="426" spans="1:9" ht="15" x14ac:dyDescent="0.25">
      <c r="A426" s="53" t="inlineStr">
        <is>
          <t>LAB-000425</t>
        </is>
      </c>
      <c r="B426" s="53" t="inlineStr">
        <is>
          <t>WP-00191</t>
        </is>
      </c>
      <c r="C426" s="53" t="inlineStr">
        <is>
          <t>TECH-032</t>
        </is>
      </c>
      <c r="D426" s="53" t="inlineStr">
        <is>
          <t>Avionics</t>
        </is>
      </c>
      <c r="E426" s="53" t="inlineStr">
        <is>
          <t>2025-07-18</t>
        </is>
      </c>
      <c r="F426" s="53">
        <v>8.6</v>
      </c>
      <c r="G426" s="53">
        <v>0.6</v>
      </c>
      <c r="H426" s="51" t="str">
        <f>TEXT(tblLaborEntries[[#This Row],[Work date serial]]-WEEKDAY(tblLaborEntries[[#This Row],[Work date serial]],3),"yyyy-mm-dd")</f>
        <v>2025-07-14</v>
      </c>
      <c r="I426" s="64">
        <f>DATEVALUE(tblLaborEntries[[#This Row],[Work date]])</f>
        <v>45856.0</v>
      </c>
    </row>
    <row r="427" spans="1:9" ht="15" x14ac:dyDescent="0.25">
      <c r="A427" s="53" t="inlineStr">
        <is>
          <t>LAB-000426</t>
        </is>
      </c>
      <c r="B427" s="53" t="inlineStr">
        <is>
          <t>WP-00192</t>
        </is>
      </c>
      <c r="C427" s="53" t="inlineStr">
        <is>
          <t>TECH-025</t>
        </is>
      </c>
      <c r="D427" s="53" t="inlineStr">
        <is>
          <t>Airframe</t>
        </is>
      </c>
      <c r="E427" s="53" t="inlineStr">
        <is>
          <t>2024-02-27</t>
        </is>
      </c>
      <c r="F427" s="53">
        <v>4.8</v>
      </c>
      <c r="G427" s="53">
        <v>0</v>
      </c>
      <c r="H427" s="51" t="str">
        <f>TEXT(tblLaborEntries[[#This Row],[Work date serial]]-WEEKDAY(tblLaborEntries[[#This Row],[Work date serial]],3),"yyyy-mm-dd")</f>
        <v>2024-02-26</v>
      </c>
      <c r="I427" s="64">
        <f>DATEVALUE(tblLaborEntries[[#This Row],[Work date]])</f>
        <v>45349.0</v>
      </c>
    </row>
    <row r="428" spans="1:9" ht="15" x14ac:dyDescent="0.25">
      <c r="A428" s="53" t="inlineStr">
        <is>
          <t>LAB-000427</t>
        </is>
      </c>
      <c r="B428" s="53" t="inlineStr">
        <is>
          <t>WP-00193</t>
        </is>
      </c>
      <c r="C428" s="53" t="inlineStr">
        <is>
          <t>TECH-066</t>
        </is>
      </c>
      <c r="D428" s="53" t="inlineStr">
        <is>
          <t>Powerplant</t>
        </is>
      </c>
      <c r="E428" s="53" t="inlineStr">
        <is>
          <t>2025-01-08</t>
        </is>
      </c>
      <c r="F428" s="53">
        <v>3.6</v>
      </c>
      <c r="G428" s="53">
        <v>0</v>
      </c>
      <c r="H428" s="51" t="str">
        <f>TEXT(tblLaborEntries[[#This Row],[Work date serial]]-WEEKDAY(tblLaborEntries[[#This Row],[Work date serial]],3),"yyyy-mm-dd")</f>
        <v>2025-01-06</v>
      </c>
      <c r="I428" s="64">
        <f>DATEVALUE(tblLaborEntries[[#This Row],[Work date]])</f>
        <v>45665.0</v>
      </c>
    </row>
    <row r="429" spans="1:9" ht="15" x14ac:dyDescent="0.25">
      <c r="A429" s="53" t="inlineStr">
        <is>
          <t>LAB-000428</t>
        </is>
      </c>
      <c r="B429" s="53" t="inlineStr">
        <is>
          <t>WP-00193</t>
        </is>
      </c>
      <c r="C429" s="53" t="inlineStr">
        <is>
          <t>TECH-024</t>
        </is>
      </c>
      <c r="D429" s="53" t="inlineStr">
        <is>
          <t>Powerplant</t>
        </is>
      </c>
      <c r="E429" s="53" t="inlineStr">
        <is>
          <t>2025-01-09</t>
        </is>
      </c>
      <c r="F429" s="53">
        <v>4.6</v>
      </c>
      <c r="G429" s="53">
        <v>0</v>
      </c>
      <c r="H429" s="51" t="str">
        <f>TEXT(tblLaborEntries[[#This Row],[Work date serial]]-WEEKDAY(tblLaborEntries[[#This Row],[Work date serial]],3),"yyyy-mm-dd")</f>
        <v>2025-01-06</v>
      </c>
      <c r="I429" s="64">
        <f>DATEVALUE(tblLaborEntries[[#This Row],[Work date]])</f>
        <v>45666.0</v>
      </c>
    </row>
    <row r="430" spans="1:9" ht="15" x14ac:dyDescent="0.25">
      <c r="A430" s="53" t="inlineStr">
        <is>
          <t>LAB-000429</t>
        </is>
      </c>
      <c r="B430" s="53" t="inlineStr">
        <is>
          <t>WP-00193</t>
        </is>
      </c>
      <c r="C430" s="53" t="inlineStr">
        <is>
          <t>TECH-072</t>
        </is>
      </c>
      <c r="D430" s="53" t="inlineStr">
        <is>
          <t>Powerplant</t>
        </is>
      </c>
      <c r="E430" s="53" t="inlineStr">
        <is>
          <t>2025-01-10</t>
        </is>
      </c>
      <c r="F430" s="53">
        <v>5.4</v>
      </c>
      <c r="G430" s="53">
        <v>0</v>
      </c>
      <c r="H430" s="51" t="str">
        <f>TEXT(tblLaborEntries[[#This Row],[Work date serial]]-WEEKDAY(tblLaborEntries[[#This Row],[Work date serial]],3),"yyyy-mm-dd")</f>
        <v>2025-01-06</v>
      </c>
      <c r="I430" s="64">
        <f>DATEVALUE(tblLaborEntries[[#This Row],[Work date]])</f>
        <v>45667.0</v>
      </c>
    </row>
    <row r="431" spans="1:9" ht="15" x14ac:dyDescent="0.25">
      <c r="A431" s="53" t="inlineStr">
        <is>
          <t>LAB-000430</t>
        </is>
      </c>
      <c r="B431" s="53" t="inlineStr">
        <is>
          <t>WP-00194</t>
        </is>
      </c>
      <c r="C431" s="53" t="inlineStr">
        <is>
          <t>TECH-005</t>
        </is>
      </c>
      <c r="D431" s="53" t="inlineStr">
        <is>
          <t>Structures</t>
        </is>
      </c>
      <c r="E431" s="53" t="inlineStr">
        <is>
          <t>2025-06-03</t>
        </is>
      </c>
      <c r="F431" s="53">
        <v>5.8</v>
      </c>
      <c r="G431" s="53">
        <v>0</v>
      </c>
      <c r="H431" s="51" t="str">
        <f>TEXT(tblLaborEntries[[#This Row],[Work date serial]]-WEEKDAY(tblLaborEntries[[#This Row],[Work date serial]],3),"yyyy-mm-dd")</f>
        <v>2025-06-02</v>
      </c>
      <c r="I431" s="64">
        <f>DATEVALUE(tblLaborEntries[[#This Row],[Work date]])</f>
        <v>45811.0</v>
      </c>
    </row>
    <row r="432" spans="1:9" ht="15" x14ac:dyDescent="0.25">
      <c r="A432" s="53" t="inlineStr">
        <is>
          <t>LAB-000431</t>
        </is>
      </c>
      <c r="B432" s="53" t="inlineStr">
        <is>
          <t>WP-00194</t>
        </is>
      </c>
      <c r="C432" s="53" t="inlineStr">
        <is>
          <t>TECH-071</t>
        </is>
      </c>
      <c r="D432" s="53" t="inlineStr">
        <is>
          <t>Structures</t>
        </is>
      </c>
      <c r="E432" s="53" t="inlineStr">
        <is>
          <t>2025-06-03</t>
        </is>
      </c>
      <c r="F432" s="53">
        <v>12</v>
      </c>
      <c r="G432" s="53">
        <v>4</v>
      </c>
      <c r="H432" s="51" t="str">
        <f>TEXT(tblLaborEntries[[#This Row],[Work date serial]]-WEEKDAY(tblLaborEntries[[#This Row],[Work date serial]],3),"yyyy-mm-dd")</f>
        <v>2025-06-02</v>
      </c>
      <c r="I432" s="64">
        <f>DATEVALUE(tblLaborEntries[[#This Row],[Work date]])</f>
        <v>45811.0</v>
      </c>
    </row>
    <row r="433" spans="1:9" ht="15" x14ac:dyDescent="0.25">
      <c r="A433" s="53" t="inlineStr">
        <is>
          <t>LAB-000432</t>
        </is>
      </c>
      <c r="B433" s="53" t="inlineStr">
        <is>
          <t>WP-00194</t>
        </is>
      </c>
      <c r="C433" s="53" t="inlineStr">
        <is>
          <t>TECH-005</t>
        </is>
      </c>
      <c r="D433" s="53" t="inlineStr">
        <is>
          <t>Structures</t>
        </is>
      </c>
      <c r="E433" s="53" t="inlineStr">
        <is>
          <t>2025-06-04</t>
        </is>
      </c>
      <c r="F433" s="53">
        <v>3.5</v>
      </c>
      <c r="G433" s="53">
        <v>0</v>
      </c>
      <c r="H433" s="51" t="str">
        <f>TEXT(tblLaborEntries[[#This Row],[Work date serial]]-WEEKDAY(tblLaborEntries[[#This Row],[Work date serial]],3),"yyyy-mm-dd")</f>
        <v>2025-06-02</v>
      </c>
      <c r="I433" s="64">
        <f>DATEVALUE(tblLaborEntries[[#This Row],[Work date]])</f>
        <v>45812.0</v>
      </c>
    </row>
    <row r="434" spans="1:9" ht="15" x14ac:dyDescent="0.25">
      <c r="A434" s="53" t="inlineStr">
        <is>
          <t>LAB-000433</t>
        </is>
      </c>
      <c r="B434" s="53" t="inlineStr">
        <is>
          <t>WP-00194</t>
        </is>
      </c>
      <c r="C434" s="53" t="inlineStr">
        <is>
          <t>TECH-017</t>
        </is>
      </c>
      <c r="D434" s="53" t="inlineStr">
        <is>
          <t>Structures</t>
        </is>
      </c>
      <c r="E434" s="53" t="inlineStr">
        <is>
          <t>2025-06-04</t>
        </is>
      </c>
      <c r="F434" s="53">
        <v>12</v>
      </c>
      <c r="G434" s="53">
        <v>4</v>
      </c>
      <c r="H434" s="51" t="str">
        <f>TEXT(tblLaborEntries[[#This Row],[Work date serial]]-WEEKDAY(tblLaborEntries[[#This Row],[Work date serial]],3),"yyyy-mm-dd")</f>
        <v>2025-06-02</v>
      </c>
      <c r="I434" s="64">
        <f>DATEVALUE(tblLaborEntries[[#This Row],[Work date]])</f>
        <v>45812.0</v>
      </c>
    </row>
    <row r="435" spans="1:9" ht="15" x14ac:dyDescent="0.25">
      <c r="A435" s="53" t="inlineStr">
        <is>
          <t>LAB-000434</t>
        </is>
      </c>
      <c r="B435" s="53" t="inlineStr">
        <is>
          <t>WP-00195</t>
        </is>
      </c>
      <c r="C435" s="53" t="inlineStr">
        <is>
          <t>TECH-007</t>
        </is>
      </c>
      <c r="D435" s="53" t="inlineStr">
        <is>
          <t>Airframe</t>
        </is>
      </c>
      <c r="E435" s="53" t="inlineStr">
        <is>
          <t>2025-11-26</t>
        </is>
      </c>
      <c r="F435" s="53">
        <v>1.5</v>
      </c>
      <c r="G435" s="53">
        <v>0</v>
      </c>
      <c r="H435" s="51" t="str">
        <f>TEXT(tblLaborEntries[[#This Row],[Work date serial]]-WEEKDAY(tblLaborEntries[[#This Row],[Work date serial]],3),"yyyy-mm-dd")</f>
        <v>2025-11-24</v>
      </c>
      <c r="I435" s="64">
        <f>DATEVALUE(tblLaborEntries[[#This Row],[Work date]])</f>
        <v>45987.0</v>
      </c>
    </row>
    <row r="436" spans="1:9" ht="15" x14ac:dyDescent="0.25">
      <c r="A436" s="53" t="inlineStr">
        <is>
          <t>LAB-000435</t>
        </is>
      </c>
      <c r="B436" s="53" t="inlineStr">
        <is>
          <t>WP-00195</t>
        </is>
      </c>
      <c r="C436" s="53" t="inlineStr">
        <is>
          <t>TECH-073</t>
        </is>
      </c>
      <c r="D436" s="53" t="inlineStr">
        <is>
          <t>Airframe</t>
        </is>
      </c>
      <c r="E436" s="53" t="inlineStr">
        <is>
          <t>2025-11-26</t>
        </is>
      </c>
      <c r="F436" s="53">
        <v>12</v>
      </c>
      <c r="G436" s="53">
        <v>4</v>
      </c>
      <c r="H436" s="51" t="str">
        <f>TEXT(tblLaborEntries[[#This Row],[Work date serial]]-WEEKDAY(tblLaborEntries[[#This Row],[Work date serial]],3),"yyyy-mm-dd")</f>
        <v>2025-11-24</v>
      </c>
      <c r="I436" s="64">
        <f>DATEVALUE(tblLaborEntries[[#This Row],[Work date]])</f>
        <v>45987.0</v>
      </c>
    </row>
    <row r="437" spans="1:9" ht="15" x14ac:dyDescent="0.25">
      <c r="A437" s="53" t="inlineStr">
        <is>
          <t>LAB-000436</t>
        </is>
      </c>
      <c r="B437" s="53" t="inlineStr">
        <is>
          <t>WP-00196</t>
        </is>
      </c>
      <c r="C437" s="53" t="inlineStr">
        <is>
          <t>TECH-067</t>
        </is>
      </c>
      <c r="D437" s="53" t="inlineStr">
        <is>
          <t>Airframe</t>
        </is>
      </c>
      <c r="E437" s="53" t="inlineStr">
        <is>
          <t>2024-09-17</t>
        </is>
      </c>
      <c r="F437" s="53">
        <v>2.7</v>
      </c>
      <c r="G437" s="53">
        <v>0</v>
      </c>
      <c r="H437" s="51" t="str">
        <f>TEXT(tblLaborEntries[[#This Row],[Work date serial]]-WEEKDAY(tblLaborEntries[[#This Row],[Work date serial]],3),"yyyy-mm-dd")</f>
        <v>2024-09-16</v>
      </c>
      <c r="I437" s="64">
        <f>DATEVALUE(tblLaborEntries[[#This Row],[Work date]])</f>
        <v>45552.0</v>
      </c>
    </row>
    <row r="438" spans="1:9" ht="15" x14ac:dyDescent="0.25">
      <c r="A438" s="53" t="inlineStr">
        <is>
          <t>LAB-000437</t>
        </is>
      </c>
      <c r="B438" s="53" t="inlineStr">
        <is>
          <t>WP-00196</t>
        </is>
      </c>
      <c r="C438" s="53" t="inlineStr">
        <is>
          <t>TECH-067</t>
        </is>
      </c>
      <c r="D438" s="53" t="inlineStr">
        <is>
          <t>Airframe</t>
        </is>
      </c>
      <c r="E438" s="53" t="inlineStr">
        <is>
          <t>2024-09-18</t>
        </is>
      </c>
      <c r="F438" s="53">
        <v>2.8</v>
      </c>
      <c r="G438" s="53">
        <v>0</v>
      </c>
      <c r="H438" s="51" t="str">
        <f>TEXT(tblLaborEntries[[#This Row],[Work date serial]]-WEEKDAY(tblLaborEntries[[#This Row],[Work date serial]],3),"yyyy-mm-dd")</f>
        <v>2024-09-16</v>
      </c>
      <c r="I438" s="64">
        <f>DATEVALUE(tblLaborEntries[[#This Row],[Work date]])</f>
        <v>45553.0</v>
      </c>
    </row>
    <row r="439" spans="1:9" ht="15" x14ac:dyDescent="0.25">
      <c r="A439" s="53" t="inlineStr">
        <is>
          <t>LAB-000438</t>
        </is>
      </c>
      <c r="B439" s="53" t="inlineStr">
        <is>
          <t>WP-00196</t>
        </is>
      </c>
      <c r="C439" s="53" t="inlineStr">
        <is>
          <t>TECH-073</t>
        </is>
      </c>
      <c r="D439" s="53" t="inlineStr">
        <is>
          <t>Airframe</t>
        </is>
      </c>
      <c r="E439" s="53" t="inlineStr">
        <is>
          <t>2024-09-19</t>
        </is>
      </c>
      <c r="F439" s="53">
        <v>2.8</v>
      </c>
      <c r="G439" s="53">
        <v>0</v>
      </c>
      <c r="H439" s="51" t="str">
        <f>TEXT(tblLaborEntries[[#This Row],[Work date serial]]-WEEKDAY(tblLaborEntries[[#This Row],[Work date serial]],3),"yyyy-mm-dd")</f>
        <v>2024-09-16</v>
      </c>
      <c r="I439" s="64">
        <f>DATEVALUE(tblLaborEntries[[#This Row],[Work date]])</f>
        <v>45554.0</v>
      </c>
    </row>
    <row r="440" spans="1:9" ht="15" x14ac:dyDescent="0.25">
      <c r="A440" s="53" t="inlineStr">
        <is>
          <t>LAB-000439</t>
        </is>
      </c>
      <c r="B440" s="53" t="inlineStr">
        <is>
          <t>WP-00197</t>
        </is>
      </c>
      <c r="C440" s="53" t="inlineStr">
        <is>
          <t>TECH-064</t>
        </is>
      </c>
      <c r="D440" s="53" t="inlineStr">
        <is>
          <t>Electrical</t>
        </is>
      </c>
      <c r="E440" s="53" t="inlineStr">
        <is>
          <t>2024-03-12</t>
        </is>
      </c>
      <c r="F440" s="53">
        <v>7.8</v>
      </c>
      <c r="G440" s="53">
        <v>0</v>
      </c>
      <c r="H440" s="51" t="str">
        <f>TEXT(tblLaborEntries[[#This Row],[Work date serial]]-WEEKDAY(tblLaborEntries[[#This Row],[Work date serial]],3),"yyyy-mm-dd")</f>
        <v>2024-03-11</v>
      </c>
      <c r="I440" s="64">
        <f>DATEVALUE(tblLaborEntries[[#This Row],[Work date]])</f>
        <v>45363.0</v>
      </c>
    </row>
    <row r="441" spans="1:9" ht="15" x14ac:dyDescent="0.25">
      <c r="A441" s="53" t="inlineStr">
        <is>
          <t>LAB-000440</t>
        </is>
      </c>
      <c r="B441" s="53" t="inlineStr">
        <is>
          <t>WP-00198</t>
        </is>
      </c>
      <c r="C441" s="53" t="inlineStr">
        <is>
          <t>TECH-059</t>
        </is>
      </c>
      <c r="D441" s="53" t="inlineStr">
        <is>
          <t>Structures</t>
        </is>
      </c>
      <c r="E441" s="53" t="inlineStr">
        <is>
          <t>2024-06-07</t>
        </is>
      </c>
      <c r="F441" s="53">
        <v>8.9</v>
      </c>
      <c r="G441" s="53">
        <v>0.9</v>
      </c>
      <c r="H441" s="51" t="str">
        <f>TEXT(tblLaborEntries[[#This Row],[Work date serial]]-WEEKDAY(tblLaborEntries[[#This Row],[Work date serial]],3),"yyyy-mm-dd")</f>
        <v>2024-06-03</v>
      </c>
      <c r="I441" s="64">
        <f>DATEVALUE(tblLaborEntries[[#This Row],[Work date]])</f>
        <v>45450.0</v>
      </c>
    </row>
    <row r="442" spans="1:9" ht="15" x14ac:dyDescent="0.25">
      <c r="A442" s="53" t="inlineStr">
        <is>
          <t>LAB-000441</t>
        </is>
      </c>
      <c r="B442" s="53" t="inlineStr">
        <is>
          <t>WP-00198</t>
        </is>
      </c>
      <c r="C442" s="53" t="inlineStr">
        <is>
          <t>TECH-023</t>
        </is>
      </c>
      <c r="D442" s="53" t="inlineStr">
        <is>
          <t>Structures</t>
        </is>
      </c>
      <c r="E442" s="53" t="inlineStr">
        <is>
          <t>2024-06-08</t>
        </is>
      </c>
      <c r="F442" s="53">
        <v>7.2</v>
      </c>
      <c r="G442" s="53">
        <v>0</v>
      </c>
      <c r="H442" s="51" t="str">
        <f>TEXT(tblLaborEntries[[#This Row],[Work date serial]]-WEEKDAY(tblLaborEntries[[#This Row],[Work date serial]],3),"yyyy-mm-dd")</f>
        <v>2024-06-03</v>
      </c>
      <c r="I442" s="64">
        <f>DATEVALUE(tblLaborEntries[[#This Row],[Work date]])</f>
        <v>45451.0</v>
      </c>
    </row>
    <row r="443" spans="1:9" ht="15" x14ac:dyDescent="0.25">
      <c r="A443" s="53" t="inlineStr">
        <is>
          <t>LAB-000442</t>
        </is>
      </c>
      <c r="B443" s="53" t="inlineStr">
        <is>
          <t>WP-00199</t>
        </is>
      </c>
      <c r="C443" s="53" t="inlineStr">
        <is>
          <t>TECH-044</t>
        </is>
      </c>
      <c r="D443" s="53" t="inlineStr">
        <is>
          <t>Avionics</t>
        </is>
      </c>
      <c r="E443" s="53" t="inlineStr">
        <is>
          <t>2026-02-10</t>
        </is>
      </c>
      <c r="F443" s="53">
        <v>7.5</v>
      </c>
      <c r="G443" s="53">
        <v>0</v>
      </c>
      <c r="H443" s="51" t="str">
        <f>TEXT(tblLaborEntries[[#This Row],[Work date serial]]-WEEKDAY(tblLaborEntries[[#This Row],[Work date serial]],3),"yyyy-mm-dd")</f>
        <v>2026-02-09</v>
      </c>
      <c r="I443" s="64">
        <f>DATEVALUE(tblLaborEntries[[#This Row],[Work date]])</f>
        <v>46063.0</v>
      </c>
    </row>
    <row r="444" spans="1:9" ht="15" x14ac:dyDescent="0.25">
      <c r="A444" s="53" t="inlineStr">
        <is>
          <t>LAB-000443</t>
        </is>
      </c>
      <c r="B444" s="53" t="inlineStr">
        <is>
          <t>WP-00199</t>
        </is>
      </c>
      <c r="C444" s="53" t="inlineStr">
        <is>
          <t>TECH-038</t>
        </is>
      </c>
      <c r="D444" s="53" t="inlineStr">
        <is>
          <t>Avionics</t>
        </is>
      </c>
      <c r="E444" s="53" t="inlineStr">
        <is>
          <t>2026-02-11</t>
        </is>
      </c>
      <c r="F444" s="53">
        <v>6.5</v>
      </c>
      <c r="G444" s="53">
        <v>0</v>
      </c>
      <c r="H444" s="51" t="str">
        <f>TEXT(tblLaborEntries[[#This Row],[Work date serial]]-WEEKDAY(tblLaborEntries[[#This Row],[Work date serial]],3),"yyyy-mm-dd")</f>
        <v>2026-02-09</v>
      </c>
      <c r="I444" s="64">
        <f>DATEVALUE(tblLaborEntries[[#This Row],[Work date]])</f>
        <v>46064.0</v>
      </c>
    </row>
    <row r="445" spans="1:9" ht="15" x14ac:dyDescent="0.25">
      <c r="A445" s="53" t="inlineStr">
        <is>
          <t>LAB-000444</t>
        </is>
      </c>
      <c r="B445" s="53" t="inlineStr">
        <is>
          <t>WP-00200</t>
        </is>
      </c>
      <c r="C445" s="53" t="inlineStr">
        <is>
          <t>TECH-020</t>
        </is>
      </c>
      <c r="D445" s="53" t="inlineStr">
        <is>
          <t>Avionics</t>
        </is>
      </c>
      <c r="E445" s="53" t="inlineStr">
        <is>
          <t>2025-12-06</t>
        </is>
      </c>
      <c r="F445" s="53">
        <v>3.7</v>
      </c>
      <c r="G445" s="53">
        <v>0</v>
      </c>
      <c r="H445" s="51" t="str">
        <f>TEXT(tblLaborEntries[[#This Row],[Work date serial]]-WEEKDAY(tblLaborEntries[[#This Row],[Work date serial]],3),"yyyy-mm-dd")</f>
        <v>2025-12-01</v>
      </c>
      <c r="I445" s="64">
        <f>DATEVALUE(tblLaborEntries[[#This Row],[Work date]])</f>
        <v>45997.0</v>
      </c>
    </row>
    <row r="446" spans="1:9" ht="15" x14ac:dyDescent="0.25">
      <c r="A446" s="53" t="inlineStr">
        <is>
          <t>LAB-000445</t>
        </is>
      </c>
      <c r="B446" s="53" t="inlineStr">
        <is>
          <t>WP-00200</t>
        </is>
      </c>
      <c r="C446" s="53" t="inlineStr">
        <is>
          <t>TECH-074</t>
        </is>
      </c>
      <c r="D446" s="53" t="inlineStr">
        <is>
          <t>Avionics</t>
        </is>
      </c>
      <c r="E446" s="53" t="inlineStr">
        <is>
          <t>2025-12-07</t>
        </is>
      </c>
      <c r="F446" s="53">
        <v>3</v>
      </c>
      <c r="G446" s="53">
        <v>0</v>
      </c>
      <c r="H446" s="51" t="str">
        <f>TEXT(tblLaborEntries[[#This Row],[Work date serial]]-WEEKDAY(tblLaborEntries[[#This Row],[Work date serial]],3),"yyyy-mm-dd")</f>
        <v>2025-12-01</v>
      </c>
      <c r="I446" s="64">
        <f>DATEVALUE(tblLaborEntries[[#This Row],[Work date]])</f>
        <v>45998.0</v>
      </c>
    </row>
    <row r="447" spans="1:9" ht="15" x14ac:dyDescent="0.25">
      <c r="A447" s="53" t="inlineStr">
        <is>
          <t>LAB-000446</t>
        </is>
      </c>
      <c r="B447" s="53" t="inlineStr">
        <is>
          <t>WP-00201</t>
        </is>
      </c>
      <c r="C447" s="53" t="inlineStr">
        <is>
          <t>TECH-040</t>
        </is>
      </c>
      <c r="D447" s="53" t="inlineStr">
        <is>
          <t>Electrical</t>
        </is>
      </c>
      <c r="E447" s="53" t="inlineStr">
        <is>
          <t>2024-09-25</t>
        </is>
      </c>
      <c r="F447" s="53">
        <v>3.8</v>
      </c>
      <c r="G447" s="53">
        <v>0</v>
      </c>
      <c r="H447" s="51" t="str">
        <f>TEXT(tblLaborEntries[[#This Row],[Work date serial]]-WEEKDAY(tblLaborEntries[[#This Row],[Work date serial]],3),"yyyy-mm-dd")</f>
        <v>2024-09-23</v>
      </c>
      <c r="I447" s="64">
        <f>DATEVALUE(tblLaborEntries[[#This Row],[Work date]])</f>
        <v>45560.0</v>
      </c>
    </row>
    <row r="448" spans="1:9" ht="15" x14ac:dyDescent="0.25">
      <c r="A448" s="53" t="inlineStr">
        <is>
          <t>LAB-000447</t>
        </is>
      </c>
      <c r="B448" s="53" t="inlineStr">
        <is>
          <t>WP-00201</t>
        </is>
      </c>
      <c r="C448" s="53" t="inlineStr">
        <is>
          <t>TECH-046</t>
        </is>
      </c>
      <c r="D448" s="53" t="inlineStr">
        <is>
          <t>Electrical</t>
        </is>
      </c>
      <c r="E448" s="53" t="inlineStr">
        <is>
          <t>2024-09-26</t>
        </is>
      </c>
      <c r="F448" s="53">
        <v>3.2</v>
      </c>
      <c r="G448" s="53">
        <v>0</v>
      </c>
      <c r="H448" s="51" t="str">
        <f>TEXT(tblLaborEntries[[#This Row],[Work date serial]]-WEEKDAY(tblLaborEntries[[#This Row],[Work date serial]],3),"yyyy-mm-dd")</f>
        <v>2024-09-23</v>
      </c>
      <c r="I448" s="64">
        <f>DATEVALUE(tblLaborEntries[[#This Row],[Work date]])</f>
        <v>45561.0</v>
      </c>
    </row>
    <row r="449" spans="1:9" ht="15" x14ac:dyDescent="0.25">
      <c r="A449" s="53" t="inlineStr">
        <is>
          <t>LAB-000448</t>
        </is>
      </c>
      <c r="B449" s="53" t="inlineStr">
        <is>
          <t>WP-00202</t>
        </is>
      </c>
      <c r="C449" s="53" t="inlineStr">
        <is>
          <t>TECH-070</t>
        </is>
      </c>
      <c r="D449" s="53" t="inlineStr">
        <is>
          <t>Electrical</t>
        </is>
      </c>
      <c r="E449" s="53" t="inlineStr">
        <is>
          <t>2024-03-27</t>
        </is>
      </c>
      <c r="F449" s="53">
        <v>5</v>
      </c>
      <c r="G449" s="53">
        <v>0</v>
      </c>
      <c r="H449" s="51" t="str">
        <f>TEXT(tblLaborEntries[[#This Row],[Work date serial]]-WEEKDAY(tblLaborEntries[[#This Row],[Work date serial]],3),"yyyy-mm-dd")</f>
        <v>2024-03-25</v>
      </c>
      <c r="I449" s="64">
        <f>DATEVALUE(tblLaborEntries[[#This Row],[Work date]])</f>
        <v>45378.0</v>
      </c>
    </row>
    <row r="450" spans="1:9" ht="15" x14ac:dyDescent="0.25">
      <c r="A450" s="53" t="inlineStr">
        <is>
          <t>LAB-000449</t>
        </is>
      </c>
      <c r="B450" s="53" t="inlineStr">
        <is>
          <t>WP-00202</t>
        </is>
      </c>
      <c r="C450" s="53" t="inlineStr">
        <is>
          <t>TECH-046</t>
        </is>
      </c>
      <c r="D450" s="53" t="inlineStr">
        <is>
          <t>Electrical</t>
        </is>
      </c>
      <c r="E450" s="53" t="inlineStr">
        <is>
          <t>2024-03-28</t>
        </is>
      </c>
      <c r="F450" s="53">
        <v>4.8</v>
      </c>
      <c r="G450" s="53">
        <v>0</v>
      </c>
      <c r="H450" s="51" t="str">
        <f>TEXT(tblLaborEntries[[#This Row],[Work date serial]]-WEEKDAY(tblLaborEntries[[#This Row],[Work date serial]],3),"yyyy-mm-dd")</f>
        <v>2024-03-25</v>
      </c>
      <c r="I450" s="64">
        <f>DATEVALUE(tblLaborEntries[[#This Row],[Work date]])</f>
        <v>45379.0</v>
      </c>
    </row>
    <row r="451" spans="1:9" ht="15" x14ac:dyDescent="0.25">
      <c r="A451" s="53" t="inlineStr">
        <is>
          <t>LAB-000450</t>
        </is>
      </c>
      <c r="B451" s="53" t="inlineStr">
        <is>
          <t>WP-00202</t>
        </is>
      </c>
      <c r="C451" s="53" t="inlineStr">
        <is>
          <t>TECH-064</t>
        </is>
      </c>
      <c r="D451" s="53" t="inlineStr">
        <is>
          <t>Electrical</t>
        </is>
      </c>
      <c r="E451" s="53" t="inlineStr">
        <is>
          <t>2024-03-29</t>
        </is>
      </c>
      <c r="F451" s="53">
        <v>3.8</v>
      </c>
      <c r="G451" s="53">
        <v>0</v>
      </c>
      <c r="H451" s="51" t="str">
        <f>TEXT(tblLaborEntries[[#This Row],[Work date serial]]-WEEKDAY(tblLaborEntries[[#This Row],[Work date serial]],3),"yyyy-mm-dd")</f>
        <v>2024-03-25</v>
      </c>
      <c r="I451" s="64">
        <f>DATEVALUE(tblLaborEntries[[#This Row],[Work date]])</f>
        <v>45380.0</v>
      </c>
    </row>
    <row r="452" spans="1:9" ht="15" x14ac:dyDescent="0.25">
      <c r="A452" s="53" t="inlineStr">
        <is>
          <t>LAB-000451</t>
        </is>
      </c>
      <c r="B452" s="53" t="inlineStr">
        <is>
          <t>WP-00203</t>
        </is>
      </c>
      <c r="C452" s="53" t="inlineStr">
        <is>
          <t>TECH-068</t>
        </is>
      </c>
      <c r="D452" s="53" t="inlineStr">
        <is>
          <t>Avionics</t>
        </is>
      </c>
      <c r="E452" s="53" t="inlineStr">
        <is>
          <t>2024-12-14</t>
        </is>
      </c>
      <c r="F452" s="53">
        <v>4.2</v>
      </c>
      <c r="G452" s="53">
        <v>0</v>
      </c>
      <c r="H452" s="51" t="str">
        <f>TEXT(tblLaborEntries[[#This Row],[Work date serial]]-WEEKDAY(tblLaborEntries[[#This Row],[Work date serial]],3),"yyyy-mm-dd")</f>
        <v>2024-12-09</v>
      </c>
      <c r="I452" s="64">
        <f>DATEVALUE(tblLaborEntries[[#This Row],[Work date]])</f>
        <v>45640.0</v>
      </c>
    </row>
    <row r="453" spans="1:9" ht="15" x14ac:dyDescent="0.25">
      <c r="A453" s="53" t="inlineStr">
        <is>
          <t>LAB-000452</t>
        </is>
      </c>
      <c r="B453" s="53" t="inlineStr">
        <is>
          <t>WP-00203</t>
        </is>
      </c>
      <c r="C453" s="53" t="inlineStr">
        <is>
          <t>TECH-044</t>
        </is>
      </c>
      <c r="D453" s="53" t="inlineStr">
        <is>
          <t>Avionics</t>
        </is>
      </c>
      <c r="E453" s="53" t="inlineStr">
        <is>
          <t>2024-12-15</t>
        </is>
      </c>
      <c r="F453" s="53">
        <v>3.3</v>
      </c>
      <c r="G453" s="53">
        <v>0</v>
      </c>
      <c r="H453" s="51" t="str">
        <f>TEXT(tblLaborEntries[[#This Row],[Work date serial]]-WEEKDAY(tblLaborEntries[[#This Row],[Work date serial]],3),"yyyy-mm-dd")</f>
        <v>2024-12-09</v>
      </c>
      <c r="I453" s="64">
        <f>DATEVALUE(tblLaborEntries[[#This Row],[Work date]])</f>
        <v>45641.0</v>
      </c>
    </row>
    <row r="454" spans="1:9" ht="15" x14ac:dyDescent="0.25">
      <c r="A454" s="53" t="inlineStr">
        <is>
          <t>LAB-000453</t>
        </is>
      </c>
      <c r="B454" s="53" t="inlineStr">
        <is>
          <t>WP-00203</t>
        </is>
      </c>
      <c r="C454" s="53" t="inlineStr">
        <is>
          <t>TECH-002</t>
        </is>
      </c>
      <c r="D454" s="53" t="inlineStr">
        <is>
          <t>Avionics</t>
        </is>
      </c>
      <c r="E454" s="53" t="inlineStr">
        <is>
          <t>2024-12-16</t>
        </is>
      </c>
      <c r="F454" s="53">
        <v>4.2</v>
      </c>
      <c r="G454" s="53">
        <v>0</v>
      </c>
      <c r="H454" s="51" t="str">
        <f>TEXT(tblLaborEntries[[#This Row],[Work date serial]]-WEEKDAY(tblLaborEntries[[#This Row],[Work date serial]],3),"yyyy-mm-dd")</f>
        <v>2024-12-16</v>
      </c>
      <c r="I454" s="64">
        <f>DATEVALUE(tblLaborEntries[[#This Row],[Work date]])</f>
        <v>45642.0</v>
      </c>
    </row>
    <row r="455" spans="1:9" ht="15" x14ac:dyDescent="0.25">
      <c r="A455" s="53" t="inlineStr">
        <is>
          <t>LAB-000454</t>
        </is>
      </c>
      <c r="B455" s="53" t="inlineStr">
        <is>
          <t>WP-00204</t>
        </is>
      </c>
      <c r="C455" s="53" t="inlineStr">
        <is>
          <t>TECH-006</t>
        </is>
      </c>
      <c r="D455" s="53" t="inlineStr">
        <is>
          <t>Powerplant</t>
        </is>
      </c>
      <c r="E455" s="53" t="inlineStr">
        <is>
          <t>2025-12-15</t>
        </is>
      </c>
      <c r="F455" s="53">
        <v>3.2</v>
      </c>
      <c r="G455" s="53">
        <v>0</v>
      </c>
      <c r="H455" s="51" t="str">
        <f>TEXT(tblLaborEntries[[#This Row],[Work date serial]]-WEEKDAY(tblLaborEntries[[#This Row],[Work date serial]],3),"yyyy-mm-dd")</f>
        <v>2025-12-15</v>
      </c>
      <c r="I455" s="64">
        <f>DATEVALUE(tblLaborEntries[[#This Row],[Work date]])</f>
        <v>46006.0</v>
      </c>
    </row>
    <row r="456" spans="1:9" ht="15" x14ac:dyDescent="0.25">
      <c r="A456" s="53" t="inlineStr">
        <is>
          <t>LAB-000455</t>
        </is>
      </c>
      <c r="B456" s="53" t="inlineStr">
        <is>
          <t>WP-00204</t>
        </is>
      </c>
      <c r="C456" s="53" t="inlineStr">
        <is>
          <t>TECH-018</t>
        </is>
      </c>
      <c r="D456" s="53" t="inlineStr">
        <is>
          <t>Powerplant</t>
        </is>
      </c>
      <c r="E456" s="53" t="inlineStr">
        <is>
          <t>2025-12-15</t>
        </is>
      </c>
      <c r="F456" s="53">
        <v>12</v>
      </c>
      <c r="G456" s="53">
        <v>4</v>
      </c>
      <c r="H456" s="51" t="str">
        <f>TEXT(tblLaborEntries[[#This Row],[Work date serial]]-WEEKDAY(tblLaborEntries[[#This Row],[Work date serial]],3),"yyyy-mm-dd")</f>
        <v>2025-12-15</v>
      </c>
      <c r="I456" s="64">
        <f>DATEVALUE(tblLaborEntries[[#This Row],[Work date]])</f>
        <v>46006.0</v>
      </c>
    </row>
    <row r="457" spans="1:9" ht="15" x14ac:dyDescent="0.25">
      <c r="A457" s="53" t="inlineStr">
        <is>
          <t>LAB-000456</t>
        </is>
      </c>
      <c r="B457" s="53" t="inlineStr">
        <is>
          <t>WP-00205</t>
        </is>
      </c>
      <c r="C457" s="53" t="inlineStr">
        <is>
          <t>TECH-072</t>
        </is>
      </c>
      <c r="D457" s="53" t="inlineStr">
        <is>
          <t>Powerplant</t>
        </is>
      </c>
      <c r="E457" s="53" t="inlineStr">
        <is>
          <t>2024-08-25</t>
        </is>
      </c>
      <c r="F457" s="53">
        <v>3.4</v>
      </c>
      <c r="G457" s="53">
        <v>0</v>
      </c>
      <c r="H457" s="51" t="str">
        <f>TEXT(tblLaborEntries[[#This Row],[Work date serial]]-WEEKDAY(tblLaborEntries[[#This Row],[Work date serial]],3),"yyyy-mm-dd")</f>
        <v>2024-08-19</v>
      </c>
      <c r="I457" s="64">
        <f>DATEVALUE(tblLaborEntries[[#This Row],[Work date]])</f>
        <v>45529.0</v>
      </c>
    </row>
    <row r="458" spans="1:9" ht="15" x14ac:dyDescent="0.25">
      <c r="A458" s="53" t="inlineStr">
        <is>
          <t>LAB-000457</t>
        </is>
      </c>
      <c r="B458" s="53" t="inlineStr">
        <is>
          <t>WP-00205</t>
        </is>
      </c>
      <c r="C458" s="53" t="inlineStr">
        <is>
          <t>TECH-030</t>
        </is>
      </c>
      <c r="D458" s="53" t="inlineStr">
        <is>
          <t>Powerplant</t>
        </is>
      </c>
      <c r="E458" s="53" t="inlineStr">
        <is>
          <t>2024-08-26</t>
        </is>
      </c>
      <c r="F458" s="53">
        <v>2.5</v>
      </c>
      <c r="G458" s="53">
        <v>0</v>
      </c>
      <c r="H458" s="51" t="str">
        <f>TEXT(tblLaborEntries[[#This Row],[Work date serial]]-WEEKDAY(tblLaborEntries[[#This Row],[Work date serial]],3),"yyyy-mm-dd")</f>
        <v>2024-08-26</v>
      </c>
      <c r="I458" s="64">
        <f>DATEVALUE(tblLaborEntries[[#This Row],[Work date]])</f>
        <v>45530.0</v>
      </c>
    </row>
    <row r="459" spans="1:9" ht="15" x14ac:dyDescent="0.25">
      <c r="A459" s="53" t="inlineStr">
        <is>
          <t>LAB-000458</t>
        </is>
      </c>
      <c r="B459" s="53" t="inlineStr">
        <is>
          <t>WP-00206</t>
        </is>
      </c>
      <c r="C459" s="53" t="inlineStr">
        <is>
          <t>TECH-055</t>
        </is>
      </c>
      <c r="D459" s="53" t="inlineStr">
        <is>
          <t>Airframe</t>
        </is>
      </c>
      <c r="E459" s="53" t="inlineStr">
        <is>
          <t>2025-04-21</t>
        </is>
      </c>
      <c r="F459" s="53">
        <v>2.6</v>
      </c>
      <c r="G459" s="53">
        <v>0</v>
      </c>
      <c r="H459" s="51" t="str">
        <f>TEXT(tblLaborEntries[[#This Row],[Work date serial]]-WEEKDAY(tblLaborEntries[[#This Row],[Work date serial]],3),"yyyy-mm-dd")</f>
        <v>2025-04-21</v>
      </c>
      <c r="I459" s="64">
        <f>DATEVALUE(tblLaborEntries[[#This Row],[Work date]])</f>
        <v>45768.0</v>
      </c>
    </row>
    <row r="460" spans="1:9" ht="15" x14ac:dyDescent="0.25">
      <c r="A460" s="53" t="inlineStr">
        <is>
          <t>LAB-000459</t>
        </is>
      </c>
      <c r="B460" s="53" t="inlineStr">
        <is>
          <t>WP-00206</t>
        </is>
      </c>
      <c r="C460" s="53" t="inlineStr">
        <is>
          <t>TECH-007</t>
        </is>
      </c>
      <c r="D460" s="53" t="inlineStr">
        <is>
          <t>Airframe</t>
        </is>
      </c>
      <c r="E460" s="53" t="inlineStr">
        <is>
          <t>2025-04-22</t>
        </is>
      </c>
      <c r="F460" s="53">
        <v>2.5</v>
      </c>
      <c r="G460" s="53">
        <v>0</v>
      </c>
      <c r="H460" s="51" t="str">
        <f>TEXT(tblLaborEntries[[#This Row],[Work date serial]]-WEEKDAY(tblLaborEntries[[#This Row],[Work date serial]],3),"yyyy-mm-dd")</f>
        <v>2025-04-21</v>
      </c>
      <c r="I460" s="64">
        <f>DATEVALUE(tblLaborEntries[[#This Row],[Work date]])</f>
        <v>45769.0</v>
      </c>
    </row>
    <row r="461" spans="1:9" ht="15" x14ac:dyDescent="0.25">
      <c r="A461" s="53" t="inlineStr">
        <is>
          <t>LAB-000460</t>
        </is>
      </c>
      <c r="B461" s="53" t="inlineStr">
        <is>
          <t>WP-00207</t>
        </is>
      </c>
      <c r="C461" s="53" t="inlineStr">
        <is>
          <t>TECH-012</t>
        </is>
      </c>
      <c r="D461" s="53" t="inlineStr">
        <is>
          <t>Powerplant</t>
        </is>
      </c>
      <c r="E461" s="53" t="inlineStr">
        <is>
          <t>2024-09-27</t>
        </is>
      </c>
      <c r="F461" s="53">
        <v>2.5</v>
      </c>
      <c r="G461" s="53">
        <v>0</v>
      </c>
      <c r="H461" s="51" t="str">
        <f>TEXT(tblLaborEntries[[#This Row],[Work date serial]]-WEEKDAY(tblLaborEntries[[#This Row],[Work date serial]],3),"yyyy-mm-dd")</f>
        <v>2024-09-23</v>
      </c>
      <c r="I461" s="64">
        <f>DATEVALUE(tblLaborEntries[[#This Row],[Work date]])</f>
        <v>45562.0</v>
      </c>
    </row>
    <row r="462" spans="1:9" ht="15" x14ac:dyDescent="0.25">
      <c r="A462" s="53" t="inlineStr">
        <is>
          <t>LAB-000461</t>
        </is>
      </c>
      <c r="B462" s="53" t="inlineStr">
        <is>
          <t>WP-00207</t>
        </is>
      </c>
      <c r="C462" s="53" t="inlineStr">
        <is>
          <t>TECH-072</t>
        </is>
      </c>
      <c r="D462" s="53" t="inlineStr">
        <is>
          <t>Powerplant</t>
        </is>
      </c>
      <c r="E462" s="53" t="inlineStr">
        <is>
          <t>2024-09-28</t>
        </is>
      </c>
      <c r="F462" s="53">
        <v>2.8</v>
      </c>
      <c r="G462" s="53">
        <v>0</v>
      </c>
      <c r="H462" s="51" t="str">
        <f>TEXT(tblLaborEntries[[#This Row],[Work date serial]]-WEEKDAY(tblLaborEntries[[#This Row],[Work date serial]],3),"yyyy-mm-dd")</f>
        <v>2024-09-23</v>
      </c>
      <c r="I462" s="64">
        <f>DATEVALUE(tblLaborEntries[[#This Row],[Work date]])</f>
        <v>45563.0</v>
      </c>
    </row>
    <row r="463" spans="1:9" ht="15" x14ac:dyDescent="0.25">
      <c r="A463" s="53" t="inlineStr">
        <is>
          <t>LAB-000462</t>
        </is>
      </c>
      <c r="B463" s="53" t="inlineStr">
        <is>
          <t>WP-00207</t>
        </is>
      </c>
      <c r="C463" s="53" t="inlineStr">
        <is>
          <t>TECH-072</t>
        </is>
      </c>
      <c r="D463" s="53" t="inlineStr">
        <is>
          <t>Powerplant</t>
        </is>
      </c>
      <c r="E463" s="53" t="inlineStr">
        <is>
          <t>2024-09-29</t>
        </is>
      </c>
      <c r="F463" s="53">
        <v>3.2</v>
      </c>
      <c r="G463" s="53">
        <v>0</v>
      </c>
      <c r="H463" s="51" t="str">
        <f>TEXT(tblLaborEntries[[#This Row],[Work date serial]]-WEEKDAY(tblLaborEntries[[#This Row],[Work date serial]],3),"yyyy-mm-dd")</f>
        <v>2024-09-23</v>
      </c>
      <c r="I463" s="64">
        <f>DATEVALUE(tblLaborEntries[[#This Row],[Work date]])</f>
        <v>45564.0</v>
      </c>
    </row>
    <row r="464" spans="1:9" ht="15" x14ac:dyDescent="0.25">
      <c r="A464" s="53" t="inlineStr">
        <is>
          <t>LAB-000463</t>
        </is>
      </c>
      <c r="B464" s="53" t="inlineStr">
        <is>
          <t>WP-00208</t>
        </is>
      </c>
      <c r="C464" s="53" t="inlineStr">
        <is>
          <t>TECH-006</t>
        </is>
      </c>
      <c r="D464" s="53" t="inlineStr">
        <is>
          <t>Powerplant</t>
        </is>
      </c>
      <c r="E464" s="53" t="inlineStr">
        <is>
          <t>2025-09-22</t>
        </is>
      </c>
      <c r="F464" s="53">
        <v>1.5</v>
      </c>
      <c r="G464" s="53">
        <v>0</v>
      </c>
      <c r="H464" s="51" t="str">
        <f>TEXT(tblLaborEntries[[#This Row],[Work date serial]]-WEEKDAY(tblLaborEntries[[#This Row],[Work date serial]],3),"yyyy-mm-dd")</f>
        <v>2025-09-22</v>
      </c>
      <c r="I464" s="64">
        <f>DATEVALUE(tblLaborEntries[[#This Row],[Work date]])</f>
        <v>45922.0</v>
      </c>
    </row>
    <row r="465" spans="1:9" ht="15" x14ac:dyDescent="0.25">
      <c r="A465" s="53" t="inlineStr">
        <is>
          <t>LAB-000464</t>
        </is>
      </c>
      <c r="B465" s="53" t="inlineStr">
        <is>
          <t>WP-00208</t>
        </is>
      </c>
      <c r="C465" s="53" t="inlineStr">
        <is>
          <t>TECH-012</t>
        </is>
      </c>
      <c r="D465" s="53" t="inlineStr">
        <is>
          <t>Powerplant</t>
        </is>
      </c>
      <c r="E465" s="53" t="inlineStr">
        <is>
          <t>2025-09-22</t>
        </is>
      </c>
      <c r="F465" s="53">
        <v>12</v>
      </c>
      <c r="G465" s="53">
        <v>4</v>
      </c>
      <c r="H465" s="51" t="str">
        <f>TEXT(tblLaborEntries[[#This Row],[Work date serial]]-WEEKDAY(tblLaborEntries[[#This Row],[Work date serial]],3),"yyyy-mm-dd")</f>
        <v>2025-09-22</v>
      </c>
      <c r="I465" s="64">
        <f>DATEVALUE(tblLaborEntries[[#This Row],[Work date]])</f>
        <v>45922.0</v>
      </c>
    </row>
    <row r="466" spans="1:9" ht="15" x14ac:dyDescent="0.25">
      <c r="A466" s="53" t="inlineStr">
        <is>
          <t>LAB-000465</t>
        </is>
      </c>
      <c r="B466" s="53" t="inlineStr">
        <is>
          <t>WP-00209</t>
        </is>
      </c>
      <c r="C466" s="53" t="inlineStr">
        <is>
          <t>TECH-014</t>
        </is>
      </c>
      <c r="D466" s="53" t="inlineStr">
        <is>
          <t>Avionics</t>
        </is>
      </c>
      <c r="E466" s="53" t="inlineStr">
        <is>
          <t>2024-11-14</t>
        </is>
      </c>
      <c r="F466" s="53">
        <v>7.9</v>
      </c>
      <c r="G466" s="53">
        <v>0</v>
      </c>
      <c r="H466" s="51" t="str">
        <f>TEXT(tblLaborEntries[[#This Row],[Work date serial]]-WEEKDAY(tblLaborEntries[[#This Row],[Work date serial]],3),"yyyy-mm-dd")</f>
        <v>2024-11-11</v>
      </c>
      <c r="I466" s="64">
        <f>DATEVALUE(tblLaborEntries[[#This Row],[Work date]])</f>
        <v>45610.0</v>
      </c>
    </row>
    <row r="467" spans="1:9" ht="15" x14ac:dyDescent="0.25">
      <c r="A467" s="53" t="inlineStr">
        <is>
          <t>LAB-000466</t>
        </is>
      </c>
      <c r="B467" s="53" t="inlineStr">
        <is>
          <t>WP-00210</t>
        </is>
      </c>
      <c r="C467" s="53" t="inlineStr">
        <is>
          <t>TECH-049</t>
        </is>
      </c>
      <c r="D467" s="53" t="inlineStr">
        <is>
          <t>Airframe</t>
        </is>
      </c>
      <c r="E467" s="53" t="inlineStr">
        <is>
          <t>2025-07-27</t>
        </is>
      </c>
      <c r="F467" s="53">
        <v>4</v>
      </c>
      <c r="G467" s="53">
        <v>0</v>
      </c>
      <c r="H467" s="51" t="str">
        <f>TEXT(tblLaborEntries[[#This Row],[Work date serial]]-WEEKDAY(tblLaborEntries[[#This Row],[Work date serial]],3),"yyyy-mm-dd")</f>
        <v>2025-07-21</v>
      </c>
      <c r="I467" s="64">
        <f>DATEVALUE(tblLaborEntries[[#This Row],[Work date]])</f>
        <v>45865.0</v>
      </c>
    </row>
    <row r="468" spans="1:9" ht="15" x14ac:dyDescent="0.25">
      <c r="A468" s="53" t="inlineStr">
        <is>
          <t>LAB-000467</t>
        </is>
      </c>
      <c r="B468" s="53" t="inlineStr">
        <is>
          <t>WP-00210</t>
        </is>
      </c>
      <c r="C468" s="53" t="inlineStr">
        <is>
          <t>TECH-055</t>
        </is>
      </c>
      <c r="D468" s="53" t="inlineStr">
        <is>
          <t>Airframe</t>
        </is>
      </c>
      <c r="E468" s="53" t="inlineStr">
        <is>
          <t>2025-07-28</t>
        </is>
      </c>
      <c r="F468" s="53">
        <v>3.5</v>
      </c>
      <c r="G468" s="53">
        <v>0</v>
      </c>
      <c r="H468" s="51" t="str">
        <f>TEXT(tblLaborEntries[[#This Row],[Work date serial]]-WEEKDAY(tblLaborEntries[[#This Row],[Work date serial]],3),"yyyy-mm-dd")</f>
        <v>2025-07-28</v>
      </c>
      <c r="I468" s="64">
        <f>DATEVALUE(tblLaborEntries[[#This Row],[Work date]])</f>
        <v>45866.0</v>
      </c>
    </row>
    <row r="469" spans="1:9" ht="15" x14ac:dyDescent="0.25">
      <c r="A469" s="53" t="inlineStr">
        <is>
          <t>LAB-000468</t>
        </is>
      </c>
      <c r="B469" s="53" t="inlineStr">
        <is>
          <t>WP-00211</t>
        </is>
      </c>
      <c r="C469" s="53" t="inlineStr">
        <is>
          <t>TECH-001</t>
        </is>
      </c>
      <c r="D469" s="53" t="inlineStr">
        <is>
          <t>Airframe</t>
        </is>
      </c>
      <c r="E469" s="53" t="inlineStr">
        <is>
          <t>2024-09-18</t>
        </is>
      </c>
      <c r="F469" s="53">
        <v>2.8</v>
      </c>
      <c r="G469" s="53">
        <v>0</v>
      </c>
      <c r="H469" s="51" t="str">
        <f>TEXT(tblLaborEntries[[#This Row],[Work date serial]]-WEEKDAY(tblLaborEntries[[#This Row],[Work date serial]],3),"yyyy-mm-dd")</f>
        <v>2024-09-16</v>
      </c>
      <c r="I469" s="64">
        <f>DATEVALUE(tblLaborEntries[[#This Row],[Work date]])</f>
        <v>45553.0</v>
      </c>
    </row>
    <row r="470" spans="1:9" ht="15" x14ac:dyDescent="0.25">
      <c r="A470" s="53" t="inlineStr">
        <is>
          <t>LAB-000469</t>
        </is>
      </c>
      <c r="B470" s="53" t="inlineStr">
        <is>
          <t>WP-00211</t>
        </is>
      </c>
      <c r="C470" s="53" t="inlineStr">
        <is>
          <t>TECH-055</t>
        </is>
      </c>
      <c r="D470" s="53" t="inlineStr">
        <is>
          <t>Airframe</t>
        </is>
      </c>
      <c r="E470" s="53" t="inlineStr">
        <is>
          <t>2024-09-19</t>
        </is>
      </c>
      <c r="F470" s="53">
        <v>3</v>
      </c>
      <c r="G470" s="53">
        <v>0</v>
      </c>
      <c r="H470" s="51" t="str">
        <f>TEXT(tblLaborEntries[[#This Row],[Work date serial]]-WEEKDAY(tblLaborEntries[[#This Row],[Work date serial]],3),"yyyy-mm-dd")</f>
        <v>2024-09-16</v>
      </c>
      <c r="I470" s="64">
        <f>DATEVALUE(tblLaborEntries[[#This Row],[Work date]])</f>
        <v>45554.0</v>
      </c>
    </row>
    <row r="471" spans="1:9" ht="15" x14ac:dyDescent="0.25">
      <c r="A471" s="53" t="inlineStr">
        <is>
          <t>LAB-000470</t>
        </is>
      </c>
      <c r="B471" s="53" t="inlineStr">
        <is>
          <t>WP-00212</t>
        </is>
      </c>
      <c r="C471" s="53" t="inlineStr">
        <is>
          <t>TECH-006</t>
        </is>
      </c>
      <c r="D471" s="53" t="inlineStr">
        <is>
          <t>Powerplant</t>
        </is>
      </c>
      <c r="E471" s="53" t="inlineStr">
        <is>
          <t>2024-02-09</t>
        </is>
      </c>
      <c r="F471" s="53">
        <v>5.8</v>
      </c>
      <c r="G471" s="53">
        <v>0</v>
      </c>
      <c r="H471" s="51" t="str">
        <f>TEXT(tblLaborEntries[[#This Row],[Work date serial]]-WEEKDAY(tblLaborEntries[[#This Row],[Work date serial]],3),"yyyy-mm-dd")</f>
        <v>2024-02-05</v>
      </c>
      <c r="I471" s="64">
        <f>DATEVALUE(tblLaborEntries[[#This Row],[Work date]])</f>
        <v>45331.0</v>
      </c>
    </row>
    <row r="472" spans="1:9" ht="15" x14ac:dyDescent="0.25">
      <c r="A472" s="53" t="inlineStr">
        <is>
          <t>LAB-000471</t>
        </is>
      </c>
      <c r="B472" s="53" t="inlineStr">
        <is>
          <t>WP-00212</t>
        </is>
      </c>
      <c r="C472" s="53" t="inlineStr">
        <is>
          <t>TECH-060</t>
        </is>
      </c>
      <c r="D472" s="53" t="inlineStr">
        <is>
          <t>Powerplant</t>
        </is>
      </c>
      <c r="E472" s="53" t="inlineStr">
        <is>
          <t>2024-02-10</t>
        </is>
      </c>
      <c r="F472" s="53">
        <v>5.1</v>
      </c>
      <c r="G472" s="53">
        <v>0</v>
      </c>
      <c r="H472" s="51" t="str">
        <f>TEXT(tblLaborEntries[[#This Row],[Work date serial]]-WEEKDAY(tblLaborEntries[[#This Row],[Work date serial]],3),"yyyy-mm-dd")</f>
        <v>2024-02-05</v>
      </c>
      <c r="I472" s="64">
        <f>DATEVALUE(tblLaborEntries[[#This Row],[Work date]])</f>
        <v>45332.0</v>
      </c>
    </row>
    <row r="473" spans="1:9" ht="15" x14ac:dyDescent="0.25">
      <c r="A473" s="53" t="inlineStr">
        <is>
          <t>LAB-000472</t>
        </is>
      </c>
      <c r="B473" s="53" t="inlineStr">
        <is>
          <t>WP-00212</t>
        </is>
      </c>
      <c r="C473" s="53" t="inlineStr">
        <is>
          <t>TECH-042</t>
        </is>
      </c>
      <c r="D473" s="53" t="inlineStr">
        <is>
          <t>Powerplant</t>
        </is>
      </c>
      <c r="E473" s="53" t="inlineStr">
        <is>
          <t>2024-02-11</t>
        </is>
      </c>
      <c r="F473" s="53">
        <v>5.1</v>
      </c>
      <c r="G473" s="53">
        <v>0</v>
      </c>
      <c r="H473" s="51" t="str">
        <f>TEXT(tblLaborEntries[[#This Row],[Work date serial]]-WEEKDAY(tblLaborEntries[[#This Row],[Work date serial]],3),"yyyy-mm-dd")</f>
        <v>2024-02-05</v>
      </c>
      <c r="I473" s="64">
        <f>DATEVALUE(tblLaborEntries[[#This Row],[Work date]])</f>
        <v>45333.0</v>
      </c>
    </row>
    <row r="474" spans="1:9" ht="15" x14ac:dyDescent="0.25">
      <c r="A474" s="53" t="inlineStr">
        <is>
          <t>LAB-000473</t>
        </is>
      </c>
      <c r="B474" s="53" t="inlineStr">
        <is>
          <t>WP-00213</t>
        </is>
      </c>
      <c r="C474" s="53" t="inlineStr">
        <is>
          <t>TECH-044</t>
        </is>
      </c>
      <c r="D474" s="53" t="inlineStr">
        <is>
          <t>Avionics</t>
        </is>
      </c>
      <c r="E474" s="53" t="inlineStr">
        <is>
          <t>2024-03-15</t>
        </is>
      </c>
      <c r="F474" s="53">
        <v>6.6</v>
      </c>
      <c r="G474" s="53">
        <v>0</v>
      </c>
      <c r="H474" s="51" t="str">
        <f>TEXT(tblLaborEntries[[#This Row],[Work date serial]]-WEEKDAY(tblLaborEntries[[#This Row],[Work date serial]],3),"yyyy-mm-dd")</f>
        <v>2024-03-11</v>
      </c>
      <c r="I474" s="64">
        <f>DATEVALUE(tblLaborEntries[[#This Row],[Work date]])</f>
        <v>45366.0</v>
      </c>
    </row>
    <row r="475" spans="1:9" ht="15" x14ac:dyDescent="0.25">
      <c r="A475" s="53" t="inlineStr">
        <is>
          <t>LAB-000474</t>
        </is>
      </c>
      <c r="B475" s="53" t="inlineStr">
        <is>
          <t>WP-00214</t>
        </is>
      </c>
      <c r="C475" s="53" t="inlineStr">
        <is>
          <t>TECH-067</t>
        </is>
      </c>
      <c r="D475" s="53" t="inlineStr">
        <is>
          <t>Airframe</t>
        </is>
      </c>
      <c r="E475" s="53" t="inlineStr">
        <is>
          <t>2024-02-16</t>
        </is>
      </c>
      <c r="F475" s="53">
        <v>9.1</v>
      </c>
      <c r="G475" s="53">
        <v>1.1</v>
      </c>
      <c r="H475" s="51" t="str">
        <f>TEXT(tblLaborEntries[[#This Row],[Work date serial]]-WEEKDAY(tblLaborEntries[[#This Row],[Work date serial]],3),"yyyy-mm-dd")</f>
        <v>2024-02-12</v>
      </c>
      <c r="I475" s="64">
        <f>DATEVALUE(tblLaborEntries[[#This Row],[Work date]])</f>
        <v>45338.0</v>
      </c>
    </row>
    <row r="476" spans="1:9" ht="15" x14ac:dyDescent="0.25">
      <c r="A476" s="53" t="inlineStr">
        <is>
          <t>LAB-000475</t>
        </is>
      </c>
      <c r="B476" s="53" t="inlineStr">
        <is>
          <t>WP-00215</t>
        </is>
      </c>
      <c r="C476" s="53" t="inlineStr">
        <is>
          <t>TECH-026</t>
        </is>
      </c>
      <c r="D476" s="53" t="inlineStr">
        <is>
          <t>Avionics</t>
        </is>
      </c>
      <c r="E476" s="53" t="inlineStr">
        <is>
          <t>2025-05-15</t>
        </is>
      </c>
      <c r="F476" s="53">
        <v>7.7</v>
      </c>
      <c r="G476" s="53">
        <v>0</v>
      </c>
      <c r="H476" s="51" t="str">
        <f>TEXT(tblLaborEntries[[#This Row],[Work date serial]]-WEEKDAY(tblLaborEntries[[#This Row],[Work date serial]],3),"yyyy-mm-dd")</f>
        <v>2025-05-12</v>
      </c>
      <c r="I476" s="64">
        <f>DATEVALUE(tblLaborEntries[[#This Row],[Work date]])</f>
        <v>45792.0</v>
      </c>
    </row>
    <row r="477" spans="1:9" ht="15" x14ac:dyDescent="0.25">
      <c r="A477" s="53" t="inlineStr">
        <is>
          <t>LAB-000476</t>
        </is>
      </c>
      <c r="B477" s="53" t="inlineStr">
        <is>
          <t>WP-00216</t>
        </is>
      </c>
      <c r="C477" s="53" t="inlineStr">
        <is>
          <t>TECH-062</t>
        </is>
      </c>
      <c r="D477" s="53" t="inlineStr">
        <is>
          <t>Avionics</t>
        </is>
      </c>
      <c r="E477" s="53" t="inlineStr">
        <is>
          <t>2025-09-11</t>
        </is>
      </c>
      <c r="F477" s="53">
        <v>3.7</v>
      </c>
      <c r="G477" s="53">
        <v>0</v>
      </c>
      <c r="H477" s="51" t="str">
        <f>TEXT(tblLaborEntries[[#This Row],[Work date serial]]-WEEKDAY(tblLaborEntries[[#This Row],[Work date serial]],3),"yyyy-mm-dd")</f>
        <v>2025-09-08</v>
      </c>
      <c r="I477" s="64">
        <f>DATEVALUE(tblLaborEntries[[#This Row],[Work date]])</f>
        <v>45911.0</v>
      </c>
    </row>
    <row r="478" spans="1:9" ht="15" x14ac:dyDescent="0.25">
      <c r="A478" s="53" t="inlineStr">
        <is>
          <t>LAB-000477</t>
        </is>
      </c>
      <c r="B478" s="53" t="inlineStr">
        <is>
          <t>WP-00216</t>
        </is>
      </c>
      <c r="C478" s="53" t="inlineStr">
        <is>
          <t>TECH-002</t>
        </is>
      </c>
      <c r="D478" s="53" t="inlineStr">
        <is>
          <t>Avionics</t>
        </is>
      </c>
      <c r="E478" s="53" t="inlineStr">
        <is>
          <t>2025-09-12</t>
        </is>
      </c>
      <c r="F478" s="53">
        <v>4</v>
      </c>
      <c r="G478" s="53">
        <v>0</v>
      </c>
      <c r="H478" s="51" t="str">
        <f>TEXT(tblLaborEntries[[#This Row],[Work date serial]]-WEEKDAY(tblLaborEntries[[#This Row],[Work date serial]],3),"yyyy-mm-dd")</f>
        <v>2025-09-08</v>
      </c>
      <c r="I478" s="64">
        <f>DATEVALUE(tblLaborEntries[[#This Row],[Work date]])</f>
        <v>45912.0</v>
      </c>
    </row>
    <row r="479" spans="1:9" ht="15" x14ac:dyDescent="0.25">
      <c r="A479" s="53" t="inlineStr">
        <is>
          <t>LAB-000478</t>
        </is>
      </c>
      <c r="B479" s="53" t="inlineStr">
        <is>
          <t>WP-00216</t>
        </is>
      </c>
      <c r="C479" s="53" t="inlineStr">
        <is>
          <t>TECH-056</t>
        </is>
      </c>
      <c r="D479" s="53" t="inlineStr">
        <is>
          <t>Avionics</t>
        </is>
      </c>
      <c r="E479" s="53" t="inlineStr">
        <is>
          <t>2025-09-13</t>
        </is>
      </c>
      <c r="F479" s="53">
        <v>2.8</v>
      </c>
      <c r="G479" s="53">
        <v>0</v>
      </c>
      <c r="H479" s="51" t="str">
        <f>TEXT(tblLaborEntries[[#This Row],[Work date serial]]-WEEKDAY(tblLaborEntries[[#This Row],[Work date serial]],3),"yyyy-mm-dd")</f>
        <v>2025-09-08</v>
      </c>
      <c r="I479" s="64">
        <f>DATEVALUE(tblLaborEntries[[#This Row],[Work date]])</f>
        <v>45913.0</v>
      </c>
    </row>
    <row r="480" spans="1:9" ht="15" x14ac:dyDescent="0.25">
      <c r="A480" s="53" t="inlineStr">
        <is>
          <t>LAB-000479</t>
        </is>
      </c>
      <c r="B480" s="53" t="inlineStr">
        <is>
          <t>WP-00217</t>
        </is>
      </c>
      <c r="C480" s="53" t="inlineStr">
        <is>
          <t>TECH-017</t>
        </is>
      </c>
      <c r="D480" s="53" t="inlineStr">
        <is>
          <t>Structures</t>
        </is>
      </c>
      <c r="E480" s="53" t="inlineStr">
        <is>
          <t>2025-11-30</t>
        </is>
      </c>
      <c r="F480" s="53">
        <v>6</v>
      </c>
      <c r="G480" s="53">
        <v>0</v>
      </c>
      <c r="H480" s="51" t="str">
        <f>TEXT(tblLaborEntries[[#This Row],[Work date serial]]-WEEKDAY(tblLaborEntries[[#This Row],[Work date serial]],3),"yyyy-mm-dd")</f>
        <v>2025-11-24</v>
      </c>
      <c r="I480" s="64">
        <f>DATEVALUE(tblLaborEntries[[#This Row],[Work date]])</f>
        <v>45991.0</v>
      </c>
    </row>
    <row r="481" spans="1:9" ht="15" x14ac:dyDescent="0.25">
      <c r="A481" s="53" t="inlineStr">
        <is>
          <t>LAB-000480</t>
        </is>
      </c>
      <c r="B481" s="53" t="inlineStr">
        <is>
          <t>WP-00217</t>
        </is>
      </c>
      <c r="C481" s="53" t="inlineStr">
        <is>
          <t>TECH-047</t>
        </is>
      </c>
      <c r="D481" s="53" t="inlineStr">
        <is>
          <t>Structures</t>
        </is>
      </c>
      <c r="E481" s="53" t="inlineStr">
        <is>
          <t>2025-12-01</t>
        </is>
      </c>
      <c r="F481" s="53">
        <v>8.9</v>
      </c>
      <c r="G481" s="53">
        <v>0.9</v>
      </c>
      <c r="H481" s="51" t="str">
        <f>TEXT(tblLaborEntries[[#This Row],[Work date serial]]-WEEKDAY(tblLaborEntries[[#This Row],[Work date serial]],3),"yyyy-mm-dd")</f>
        <v>2025-12-01</v>
      </c>
      <c r="I481" s="64">
        <f>DATEVALUE(tblLaborEntries[[#This Row],[Work date]])</f>
        <v>45992.0</v>
      </c>
    </row>
    <row r="482" spans="1:9" ht="15" x14ac:dyDescent="0.25">
      <c r="A482" s="53" t="inlineStr">
        <is>
          <t>LAB-000481</t>
        </is>
      </c>
      <c r="B482" s="53" t="inlineStr">
        <is>
          <t>WP-00217</t>
        </is>
      </c>
      <c r="C482" s="53" t="inlineStr">
        <is>
          <t>TECH-029</t>
        </is>
      </c>
      <c r="D482" s="53" t="inlineStr">
        <is>
          <t>Structures</t>
        </is>
      </c>
      <c r="E482" s="53" t="inlineStr">
        <is>
          <t>2025-12-02</t>
        </is>
      </c>
      <c r="F482" s="53">
        <v>7.1</v>
      </c>
      <c r="G482" s="53">
        <v>0</v>
      </c>
      <c r="H482" s="51" t="str">
        <f>TEXT(tblLaborEntries[[#This Row],[Work date serial]]-WEEKDAY(tblLaborEntries[[#This Row],[Work date serial]],3),"yyyy-mm-dd")</f>
        <v>2025-12-01</v>
      </c>
      <c r="I482" s="64">
        <f>DATEVALUE(tblLaborEntries[[#This Row],[Work date]])</f>
        <v>45993.0</v>
      </c>
    </row>
    <row r="483" spans="1:9" ht="15" x14ac:dyDescent="0.25">
      <c r="A483" s="53" t="inlineStr">
        <is>
          <t>LAB-000482</t>
        </is>
      </c>
      <c r="B483" s="53" t="inlineStr">
        <is>
          <t>WP-00218</t>
        </is>
      </c>
      <c r="C483" s="53" t="inlineStr">
        <is>
          <t>TECH-009</t>
        </is>
      </c>
      <c r="D483" s="53" t="inlineStr">
        <is>
          <t>Hydraulics</t>
        </is>
      </c>
      <c r="E483" s="53" t="inlineStr">
        <is>
          <t>2024-06-04</t>
        </is>
      </c>
      <c r="F483" s="53">
        <v>7.4</v>
      </c>
      <c r="G483" s="53">
        <v>0</v>
      </c>
      <c r="H483" s="51" t="str">
        <f>TEXT(tblLaborEntries[[#This Row],[Work date serial]]-WEEKDAY(tblLaborEntries[[#This Row],[Work date serial]],3),"yyyy-mm-dd")</f>
        <v>2024-06-03</v>
      </c>
      <c r="I483" s="64">
        <f>DATEVALUE(tblLaborEntries[[#This Row],[Work date]])</f>
        <v>45447.0</v>
      </c>
    </row>
    <row r="484" spans="1:9" ht="15" x14ac:dyDescent="0.25">
      <c r="A484" s="53" t="inlineStr">
        <is>
          <t>LAB-000483</t>
        </is>
      </c>
      <c r="B484" s="53" t="inlineStr">
        <is>
          <t>WP-00219</t>
        </is>
      </c>
      <c r="C484" s="53" t="inlineStr">
        <is>
          <t>TECH-061</t>
        </is>
      </c>
      <c r="D484" s="53" t="inlineStr">
        <is>
          <t>Airframe</t>
        </is>
      </c>
      <c r="E484" s="53" t="inlineStr">
        <is>
          <t>2024-05-23</t>
        </is>
      </c>
      <c r="F484" s="53">
        <v>3.6</v>
      </c>
      <c r="G484" s="53">
        <v>0</v>
      </c>
      <c r="H484" s="51" t="str">
        <f>TEXT(tblLaborEntries[[#This Row],[Work date serial]]-WEEKDAY(tblLaborEntries[[#This Row],[Work date serial]],3),"yyyy-mm-dd")</f>
        <v>2024-05-20</v>
      </c>
      <c r="I484" s="64">
        <f>DATEVALUE(tblLaborEntries[[#This Row],[Work date]])</f>
        <v>45435.0</v>
      </c>
    </row>
    <row r="485" spans="1:9" ht="15" x14ac:dyDescent="0.25">
      <c r="A485" s="53" t="inlineStr">
        <is>
          <t>LAB-000484</t>
        </is>
      </c>
      <c r="B485" s="53" t="inlineStr">
        <is>
          <t>WP-00219</t>
        </is>
      </c>
      <c r="C485" s="53" t="inlineStr">
        <is>
          <t>TECH-061</t>
        </is>
      </c>
      <c r="D485" s="53" t="inlineStr">
        <is>
          <t>Airframe</t>
        </is>
      </c>
      <c r="E485" s="53" t="inlineStr">
        <is>
          <t>2024-05-24</t>
        </is>
      </c>
      <c r="F485" s="53">
        <v>2.5</v>
      </c>
      <c r="G485" s="53">
        <v>0</v>
      </c>
      <c r="H485" s="51" t="str">
        <f>TEXT(tblLaborEntries[[#This Row],[Work date serial]]-WEEKDAY(tblLaborEntries[[#This Row],[Work date serial]],3),"yyyy-mm-dd")</f>
        <v>2024-05-20</v>
      </c>
      <c r="I485" s="64">
        <f>DATEVALUE(tblLaborEntries[[#This Row],[Work date]])</f>
        <v>45436.0</v>
      </c>
    </row>
    <row r="486" spans="1:9" ht="15" x14ac:dyDescent="0.25">
      <c r="A486" s="53" t="inlineStr">
        <is>
          <t>LAB-000485</t>
        </is>
      </c>
      <c r="B486" s="53" t="inlineStr">
        <is>
          <t>WP-00220</t>
        </is>
      </c>
      <c r="C486" s="53" t="inlineStr">
        <is>
          <t>TECH-044</t>
        </is>
      </c>
      <c r="D486" s="53" t="inlineStr">
        <is>
          <t>Avionics</t>
        </is>
      </c>
      <c r="E486" s="53" t="inlineStr">
        <is>
          <t>2025-01-25</t>
        </is>
      </c>
      <c r="F486" s="53">
        <v>2.4</v>
      </c>
      <c r="G486" s="53">
        <v>0</v>
      </c>
      <c r="H486" s="51" t="str">
        <f>TEXT(tblLaborEntries[[#This Row],[Work date serial]]-WEEKDAY(tblLaborEntries[[#This Row],[Work date serial]],3),"yyyy-mm-dd")</f>
        <v>2025-01-20</v>
      </c>
      <c r="I486" s="64">
        <f>DATEVALUE(tblLaborEntries[[#This Row],[Work date]])</f>
        <v>45682.0</v>
      </c>
    </row>
    <row r="487" spans="1:9" ht="15" x14ac:dyDescent="0.25">
      <c r="A487" s="53" t="inlineStr">
        <is>
          <t>LAB-000486</t>
        </is>
      </c>
      <c r="B487" s="53" t="inlineStr">
        <is>
          <t>WP-00220</t>
        </is>
      </c>
      <c r="C487" s="53" t="inlineStr">
        <is>
          <t>TECH-062</t>
        </is>
      </c>
      <c r="D487" s="53" t="inlineStr">
        <is>
          <t>Avionics</t>
        </is>
      </c>
      <c r="E487" s="53" t="inlineStr">
        <is>
          <t>2025-01-26</t>
        </is>
      </c>
      <c r="F487" s="53">
        <v>2.3</v>
      </c>
      <c r="G487" s="53">
        <v>0</v>
      </c>
      <c r="H487" s="51" t="str">
        <f>TEXT(tblLaborEntries[[#This Row],[Work date serial]]-WEEKDAY(tblLaborEntries[[#This Row],[Work date serial]],3),"yyyy-mm-dd")</f>
        <v>2025-01-20</v>
      </c>
      <c r="I487" s="64">
        <f>DATEVALUE(tblLaborEntries[[#This Row],[Work date]])</f>
        <v>45683.0</v>
      </c>
    </row>
    <row r="488" spans="1:9" ht="15" x14ac:dyDescent="0.25">
      <c r="A488" s="53" t="inlineStr">
        <is>
          <t>LAB-000487</t>
        </is>
      </c>
      <c r="B488" s="53" t="inlineStr">
        <is>
          <t>WP-00221</t>
        </is>
      </c>
      <c r="C488" s="53" t="inlineStr">
        <is>
          <t>TECH-006</t>
        </is>
      </c>
      <c r="D488" s="53" t="inlineStr">
        <is>
          <t>Powerplant</t>
        </is>
      </c>
      <c r="E488" s="53" t="inlineStr">
        <is>
          <t>2024-03-15</t>
        </is>
      </c>
      <c r="F488" s="53">
        <v>5.3</v>
      </c>
      <c r="G488" s="53">
        <v>0</v>
      </c>
      <c r="H488" s="51" t="str">
        <f>TEXT(tblLaborEntries[[#This Row],[Work date serial]]-WEEKDAY(tblLaborEntries[[#This Row],[Work date serial]],3),"yyyy-mm-dd")</f>
        <v>2024-03-11</v>
      </c>
      <c r="I488" s="64">
        <f>DATEVALUE(tblLaborEntries[[#This Row],[Work date]])</f>
        <v>45366.0</v>
      </c>
    </row>
    <row r="489" spans="1:9" ht="15" x14ac:dyDescent="0.25">
      <c r="A489" s="53" t="inlineStr">
        <is>
          <t>LAB-000488</t>
        </is>
      </c>
      <c r="B489" s="53" t="inlineStr">
        <is>
          <t>WP-00221</t>
        </is>
      </c>
      <c r="C489" s="53" t="inlineStr">
        <is>
          <t>TECH-042</t>
        </is>
      </c>
      <c r="D489" s="53" t="inlineStr">
        <is>
          <t>Powerplant</t>
        </is>
      </c>
      <c r="E489" s="53" t="inlineStr">
        <is>
          <t>2024-03-15</t>
        </is>
      </c>
      <c r="F489" s="53">
        <v>12</v>
      </c>
      <c r="G489" s="53">
        <v>4</v>
      </c>
      <c r="H489" s="51" t="str">
        <f>TEXT(tblLaborEntries[[#This Row],[Work date serial]]-WEEKDAY(tblLaborEntries[[#This Row],[Work date serial]],3),"yyyy-mm-dd")</f>
        <v>2024-03-11</v>
      </c>
      <c r="I489" s="64">
        <f>DATEVALUE(tblLaborEntries[[#This Row],[Work date]])</f>
        <v>45366.0</v>
      </c>
    </row>
    <row r="490" spans="1:9" ht="15" x14ac:dyDescent="0.25">
      <c r="A490" s="53" t="inlineStr">
        <is>
          <t>LAB-000489</t>
        </is>
      </c>
      <c r="B490" s="53" t="inlineStr">
        <is>
          <t>WP-00222</t>
        </is>
      </c>
      <c r="C490" s="53" t="inlineStr">
        <is>
          <t>TECH-005</t>
        </is>
      </c>
      <c r="D490" s="53" t="inlineStr">
        <is>
          <t>Structures</t>
        </is>
      </c>
      <c r="E490" s="53" t="inlineStr">
        <is>
          <t>2024-05-12</t>
        </is>
      </c>
      <c r="F490" s="53">
        <v>11.7</v>
      </c>
      <c r="G490" s="53">
        <v>3.7</v>
      </c>
      <c r="H490" s="51" t="str">
        <f>TEXT(tblLaborEntries[[#This Row],[Work date serial]]-WEEKDAY(tblLaborEntries[[#This Row],[Work date serial]],3),"yyyy-mm-dd")</f>
        <v>2024-05-06</v>
      </c>
      <c r="I490" s="64">
        <f>DATEVALUE(tblLaborEntries[[#This Row],[Work date]])</f>
        <v>45424.0</v>
      </c>
    </row>
    <row r="491" spans="1:9" ht="15" x14ac:dyDescent="0.25">
      <c r="A491" s="53" t="inlineStr">
        <is>
          <t>LAB-000490</t>
        </is>
      </c>
      <c r="B491" s="53" t="inlineStr">
        <is>
          <t>WP-00222</t>
        </is>
      </c>
      <c r="C491" s="53" t="inlineStr">
        <is>
          <t>TECH-047</t>
        </is>
      </c>
      <c r="D491" s="53" t="inlineStr">
        <is>
          <t>Structures</t>
        </is>
      </c>
      <c r="E491" s="53" t="inlineStr">
        <is>
          <t>2024-05-12</t>
        </is>
      </c>
      <c r="F491" s="53">
        <v>12</v>
      </c>
      <c r="G491" s="53">
        <v>4</v>
      </c>
      <c r="H491" s="51" t="str">
        <f>TEXT(tblLaborEntries[[#This Row],[Work date serial]]-WEEKDAY(tblLaborEntries[[#This Row],[Work date serial]],3),"yyyy-mm-dd")</f>
        <v>2024-05-06</v>
      </c>
      <c r="I491" s="64">
        <f>DATEVALUE(tblLaborEntries[[#This Row],[Work date]])</f>
        <v>45424.0</v>
      </c>
    </row>
    <row r="492" spans="1:9" ht="15" x14ac:dyDescent="0.25">
      <c r="A492" s="53" t="inlineStr">
        <is>
          <t>LAB-000491</t>
        </is>
      </c>
      <c r="B492" s="53" t="inlineStr">
        <is>
          <t>WP-00223</t>
        </is>
      </c>
      <c r="C492" s="53" t="inlineStr">
        <is>
          <t>TECH-068</t>
        </is>
      </c>
      <c r="D492" s="53" t="inlineStr">
        <is>
          <t>Avionics</t>
        </is>
      </c>
      <c r="E492" s="53" t="inlineStr">
        <is>
          <t>2024-11-20</t>
        </is>
      </c>
      <c r="F492" s="53">
        <v>3.5</v>
      </c>
      <c r="G492" s="53">
        <v>0</v>
      </c>
      <c r="H492" s="51" t="str">
        <f>TEXT(tblLaborEntries[[#This Row],[Work date serial]]-WEEKDAY(tblLaborEntries[[#This Row],[Work date serial]],3),"yyyy-mm-dd")</f>
        <v>2024-11-18</v>
      </c>
      <c r="I492" s="64">
        <f>DATEVALUE(tblLaborEntries[[#This Row],[Work date]])</f>
        <v>45616.0</v>
      </c>
    </row>
    <row r="493" spans="1:9" ht="15" x14ac:dyDescent="0.25">
      <c r="A493" s="53" t="inlineStr">
        <is>
          <t>LAB-000492</t>
        </is>
      </c>
      <c r="B493" s="53" t="inlineStr">
        <is>
          <t>WP-00223</t>
        </is>
      </c>
      <c r="C493" s="53" t="inlineStr">
        <is>
          <t>TECH-032</t>
        </is>
      </c>
      <c r="D493" s="53" t="inlineStr">
        <is>
          <t>Avionics</t>
        </is>
      </c>
      <c r="E493" s="53" t="inlineStr">
        <is>
          <t>2024-11-21</t>
        </is>
      </c>
      <c r="F493" s="53">
        <v>3.2</v>
      </c>
      <c r="G493" s="53">
        <v>0</v>
      </c>
      <c r="H493" s="51" t="str">
        <f>TEXT(tblLaborEntries[[#This Row],[Work date serial]]-WEEKDAY(tblLaborEntries[[#This Row],[Work date serial]],3),"yyyy-mm-dd")</f>
        <v>2024-11-18</v>
      </c>
      <c r="I493" s="64">
        <f>DATEVALUE(tblLaborEntries[[#This Row],[Work date]])</f>
        <v>45617.0</v>
      </c>
    </row>
    <row r="494" spans="1:9" ht="15" x14ac:dyDescent="0.25">
      <c r="A494" s="53" t="inlineStr">
        <is>
          <t>LAB-000493</t>
        </is>
      </c>
      <c r="B494" s="53" t="inlineStr">
        <is>
          <t>WP-00223</t>
        </is>
      </c>
      <c r="C494" s="53" t="inlineStr">
        <is>
          <t>TECH-050</t>
        </is>
      </c>
      <c r="D494" s="53" t="inlineStr">
        <is>
          <t>Avionics</t>
        </is>
      </c>
      <c r="E494" s="53" t="inlineStr">
        <is>
          <t>2024-11-22</t>
        </is>
      </c>
      <c r="F494" s="53">
        <v>4.9</v>
      </c>
      <c r="G494" s="53">
        <v>0</v>
      </c>
      <c r="H494" s="51" t="str">
        <f>TEXT(tblLaborEntries[[#This Row],[Work date serial]]-WEEKDAY(tblLaborEntries[[#This Row],[Work date serial]],3),"yyyy-mm-dd")</f>
        <v>2024-11-18</v>
      </c>
      <c r="I494" s="64">
        <f>DATEVALUE(tblLaborEntries[[#This Row],[Work date]])</f>
        <v>45618.0</v>
      </c>
    </row>
    <row r="495" spans="1:9" ht="15" x14ac:dyDescent="0.25">
      <c r="A495" s="53" t="inlineStr">
        <is>
          <t>LAB-000494</t>
        </is>
      </c>
      <c r="B495" s="53" t="inlineStr">
        <is>
          <t>WP-00224</t>
        </is>
      </c>
      <c r="C495" s="53" t="inlineStr">
        <is>
          <t>TECH-002</t>
        </is>
      </c>
      <c r="D495" s="53" t="inlineStr">
        <is>
          <t>Avionics</t>
        </is>
      </c>
      <c r="E495" s="53" t="inlineStr">
        <is>
          <t>2025-02-27</t>
        </is>
      </c>
      <c r="F495" s="53">
        <v>0.4</v>
      </c>
      <c r="G495" s="53">
        <v>0</v>
      </c>
      <c r="H495" s="51" t="str">
        <f>TEXT(tblLaborEntries[[#This Row],[Work date serial]]-WEEKDAY(tblLaborEntries[[#This Row],[Work date serial]],3),"yyyy-mm-dd")</f>
        <v>2025-02-24</v>
      </c>
      <c r="I495" s="64">
        <f>DATEVALUE(tblLaborEntries[[#This Row],[Work date]])</f>
        <v>45715.0</v>
      </c>
    </row>
    <row r="496" spans="1:9" ht="15" x14ac:dyDescent="0.25">
      <c r="A496" s="53" t="inlineStr">
        <is>
          <t>LAB-000495</t>
        </is>
      </c>
      <c r="B496" s="53" t="inlineStr">
        <is>
          <t>WP-00224</t>
        </is>
      </c>
      <c r="C496" s="53" t="inlineStr">
        <is>
          <t>TECH-074</t>
        </is>
      </c>
      <c r="D496" s="53" t="inlineStr">
        <is>
          <t>Avionics</t>
        </is>
      </c>
      <c r="E496" s="53" t="inlineStr">
        <is>
          <t>2025-02-27</t>
        </is>
      </c>
      <c r="F496" s="53">
        <v>12</v>
      </c>
      <c r="G496" s="53">
        <v>4</v>
      </c>
      <c r="H496" s="51" t="str">
        <f>TEXT(tblLaborEntries[[#This Row],[Work date serial]]-WEEKDAY(tblLaborEntries[[#This Row],[Work date serial]],3),"yyyy-mm-dd")</f>
        <v>2025-02-24</v>
      </c>
      <c r="I496" s="64">
        <f>DATEVALUE(tblLaborEntries[[#This Row],[Work date]])</f>
        <v>45715.0</v>
      </c>
    </row>
    <row r="497" spans="1:9" ht="15" x14ac:dyDescent="0.25">
      <c r="A497" s="53" t="inlineStr">
        <is>
          <t>LAB-000496</t>
        </is>
      </c>
      <c r="B497" s="53" t="inlineStr">
        <is>
          <t>WP-00225</t>
        </is>
      </c>
      <c r="C497" s="53" t="inlineStr">
        <is>
          <t>TECH-062</t>
        </is>
      </c>
      <c r="D497" s="53" t="inlineStr">
        <is>
          <t>Avionics</t>
        </is>
      </c>
      <c r="E497" s="53" t="inlineStr">
        <is>
          <t>2024-09-02</t>
        </is>
      </c>
      <c r="F497" s="53">
        <v>9.6</v>
      </c>
      <c r="G497" s="53">
        <v>1.6</v>
      </c>
      <c r="H497" s="51" t="str">
        <f>TEXT(tblLaborEntries[[#This Row],[Work date serial]]-WEEKDAY(tblLaborEntries[[#This Row],[Work date serial]],3),"yyyy-mm-dd")</f>
        <v>2024-09-02</v>
      </c>
      <c r="I497" s="64">
        <f>DATEVALUE(tblLaborEntries[[#This Row],[Work date]])</f>
        <v>45537.0</v>
      </c>
    </row>
    <row r="498" spans="1:9" ht="15" x14ac:dyDescent="0.25">
      <c r="A498" s="53" t="inlineStr">
        <is>
          <t>LAB-000497</t>
        </is>
      </c>
      <c r="B498" s="53" t="inlineStr">
        <is>
          <t>WP-00225</t>
        </is>
      </c>
      <c r="C498" s="53" t="inlineStr">
        <is>
          <t>TECH-020</t>
        </is>
      </c>
      <c r="D498" s="53" t="inlineStr">
        <is>
          <t>Avionics</t>
        </is>
      </c>
      <c r="E498" s="53" t="inlineStr">
        <is>
          <t>2024-09-03</t>
        </is>
      </c>
      <c r="F498" s="53">
        <v>10.3</v>
      </c>
      <c r="G498" s="53">
        <v>2.3</v>
      </c>
      <c r="H498" s="51" t="str">
        <f>TEXT(tblLaborEntries[[#This Row],[Work date serial]]-WEEKDAY(tblLaborEntries[[#This Row],[Work date serial]],3),"yyyy-mm-dd")</f>
        <v>2024-09-02</v>
      </c>
      <c r="I498" s="64">
        <f>DATEVALUE(tblLaborEntries[[#This Row],[Work date]])</f>
        <v>45538.0</v>
      </c>
    </row>
    <row r="499" spans="1:9" ht="15" x14ac:dyDescent="0.25">
      <c r="A499" s="53" t="inlineStr">
        <is>
          <t>LAB-000498</t>
        </is>
      </c>
      <c r="B499" s="53" t="inlineStr">
        <is>
          <t>WP-00226</t>
        </is>
      </c>
      <c r="C499" s="53" t="inlineStr">
        <is>
          <t>TECH-002</t>
        </is>
      </c>
      <c r="D499" s="53" t="inlineStr">
        <is>
          <t>Avionics</t>
        </is>
      </c>
      <c r="E499" s="53" t="inlineStr">
        <is>
          <t>2024-08-31</t>
        </is>
      </c>
      <c r="F499" s="53">
        <v>4.2</v>
      </c>
      <c r="G499" s="53">
        <v>0</v>
      </c>
      <c r="H499" s="51" t="str">
        <f>TEXT(tblLaborEntries[[#This Row],[Work date serial]]-WEEKDAY(tblLaborEntries[[#This Row],[Work date serial]],3),"yyyy-mm-dd")</f>
        <v>2024-08-26</v>
      </c>
      <c r="I499" s="64">
        <f>DATEVALUE(tblLaborEntries[[#This Row],[Work date]])</f>
        <v>45535.0</v>
      </c>
    </row>
    <row r="500" spans="1:9" ht="15" x14ac:dyDescent="0.25">
      <c r="A500" s="53" t="inlineStr">
        <is>
          <t>LAB-000499</t>
        </is>
      </c>
      <c r="B500" s="53" t="inlineStr">
        <is>
          <t>WP-00226</t>
        </is>
      </c>
      <c r="C500" s="53" t="inlineStr">
        <is>
          <t>TECH-050</t>
        </is>
      </c>
      <c r="D500" s="53" t="inlineStr">
        <is>
          <t>Avionics</t>
        </is>
      </c>
      <c r="E500" s="53" t="inlineStr">
        <is>
          <t>2024-08-31</t>
        </is>
      </c>
      <c r="F500" s="53">
        <v>12</v>
      </c>
      <c r="G500" s="53">
        <v>4</v>
      </c>
      <c r="H500" s="51" t="str">
        <f>TEXT(tblLaborEntries[[#This Row],[Work date serial]]-WEEKDAY(tblLaborEntries[[#This Row],[Work date serial]],3),"yyyy-mm-dd")</f>
        <v>2024-08-26</v>
      </c>
      <c r="I500" s="64">
        <f>DATEVALUE(tblLaborEntries[[#This Row],[Work date]])</f>
        <v>45535.0</v>
      </c>
    </row>
    <row r="501" spans="1:9" ht="15" x14ac:dyDescent="0.25">
      <c r="A501" s="53" t="inlineStr">
        <is>
          <t>LAB-000500</t>
        </is>
      </c>
      <c r="B501" s="53" t="inlineStr">
        <is>
          <t>WP-00227</t>
        </is>
      </c>
      <c r="C501" s="53" t="inlineStr">
        <is>
          <t>TECH-065</t>
        </is>
      </c>
      <c r="D501" s="53" t="inlineStr">
        <is>
          <t>Structures</t>
        </is>
      </c>
      <c r="E501" s="53" t="inlineStr">
        <is>
          <t>2025-11-05</t>
        </is>
      </c>
      <c r="F501" s="53">
        <v>3.5</v>
      </c>
      <c r="G501" s="53">
        <v>0</v>
      </c>
      <c r="H501" s="51" t="str">
        <f>TEXT(tblLaborEntries[[#This Row],[Work date serial]]-WEEKDAY(tblLaborEntries[[#This Row],[Work date serial]],3),"yyyy-mm-dd")</f>
        <v>2025-11-03</v>
      </c>
      <c r="I501" s="64">
        <f>DATEVALUE(tblLaborEntries[[#This Row],[Work date]])</f>
        <v>45966.0</v>
      </c>
    </row>
    <row r="502" spans="1:9" ht="15" x14ac:dyDescent="0.25">
      <c r="A502" s="53" t="inlineStr">
        <is>
          <t>LAB-000501</t>
        </is>
      </c>
      <c r="B502" s="53" t="inlineStr">
        <is>
          <t>WP-00227</t>
        </is>
      </c>
      <c r="C502" s="53" t="inlineStr">
        <is>
          <t>TECH-065</t>
        </is>
      </c>
      <c r="D502" s="53" t="inlineStr">
        <is>
          <t>Structures</t>
        </is>
      </c>
      <c r="E502" s="53" t="inlineStr">
        <is>
          <t>2025-11-06</t>
        </is>
      </c>
      <c r="F502" s="53">
        <v>3.5</v>
      </c>
      <c r="G502" s="53">
        <v>0</v>
      </c>
      <c r="H502" s="51" t="str">
        <f>TEXT(tblLaborEntries[[#This Row],[Work date serial]]-WEEKDAY(tblLaborEntries[[#This Row],[Work date serial]],3),"yyyy-mm-dd")</f>
        <v>2025-11-03</v>
      </c>
      <c r="I502" s="64">
        <f>DATEVALUE(tblLaborEntries[[#This Row],[Work date]])</f>
        <v>45967.0</v>
      </c>
    </row>
    <row r="503" spans="1:9" ht="15" x14ac:dyDescent="0.25">
      <c r="A503" s="53" t="inlineStr">
        <is>
          <t>LAB-000502</t>
        </is>
      </c>
      <c r="B503" s="53" t="inlineStr">
        <is>
          <t>WP-00227</t>
        </is>
      </c>
      <c r="C503" s="53" t="inlineStr">
        <is>
          <t>TECH-035</t>
        </is>
      </c>
      <c r="D503" s="53" t="inlineStr">
        <is>
          <t>Structures</t>
        </is>
      </c>
      <c r="E503" s="53" t="inlineStr">
        <is>
          <t>2025-11-07</t>
        </is>
      </c>
      <c r="F503" s="53">
        <v>3.4</v>
      </c>
      <c r="G503" s="53">
        <v>0</v>
      </c>
      <c r="H503" s="51" t="str">
        <f>TEXT(tblLaborEntries[[#This Row],[Work date serial]]-WEEKDAY(tblLaborEntries[[#This Row],[Work date serial]],3),"yyyy-mm-dd")</f>
        <v>2025-11-03</v>
      </c>
      <c r="I503" s="64">
        <f>DATEVALUE(tblLaborEntries[[#This Row],[Work date]])</f>
        <v>45968.0</v>
      </c>
    </row>
    <row r="504" spans="1:9" ht="15" x14ac:dyDescent="0.25">
      <c r="A504" s="53" t="inlineStr">
        <is>
          <t>LAB-000503</t>
        </is>
      </c>
      <c r="B504" s="53" t="inlineStr">
        <is>
          <t>WP-00228</t>
        </is>
      </c>
      <c r="C504" s="53" t="inlineStr">
        <is>
          <t>TECH-049</t>
        </is>
      </c>
      <c r="D504" s="53" t="inlineStr">
        <is>
          <t>Airframe</t>
        </is>
      </c>
      <c r="E504" s="53" t="inlineStr">
        <is>
          <t>2026-01-16</t>
        </is>
      </c>
      <c r="F504" s="53">
        <v>9.6</v>
      </c>
      <c r="G504" s="53">
        <v>1.6</v>
      </c>
      <c r="H504" s="51" t="str">
        <f>TEXT(tblLaborEntries[[#This Row],[Work date serial]]-WEEKDAY(tblLaborEntries[[#This Row],[Work date serial]],3),"yyyy-mm-dd")</f>
        <v>2026-01-12</v>
      </c>
      <c r="I504" s="64">
        <f>DATEVALUE(tblLaborEntries[[#This Row],[Work date]])</f>
        <v>46038.0</v>
      </c>
    </row>
    <row r="505" spans="1:9" ht="15" x14ac:dyDescent="0.25">
      <c r="A505" s="53" t="inlineStr">
        <is>
          <t>LAB-000504</t>
        </is>
      </c>
      <c r="B505" s="53" t="inlineStr">
        <is>
          <t>WP-00229</t>
        </is>
      </c>
      <c r="C505" s="53" t="inlineStr">
        <is>
          <t>TECH-005</t>
        </is>
      </c>
      <c r="D505" s="53" t="inlineStr">
        <is>
          <t>Structures</t>
        </is>
      </c>
      <c r="E505" s="53" t="inlineStr">
        <is>
          <t>2025-01-01</t>
        </is>
      </c>
      <c r="F505" s="53">
        <v>1</v>
      </c>
      <c r="G505" s="53">
        <v>0</v>
      </c>
      <c r="H505" s="51" t="str">
        <f>TEXT(tblLaborEntries[[#This Row],[Work date serial]]-WEEKDAY(tblLaborEntries[[#This Row],[Work date serial]],3),"yyyy-mm-dd")</f>
        <v>2024-12-30</v>
      </c>
      <c r="I505" s="64">
        <f>DATEVALUE(tblLaborEntries[[#This Row],[Work date]])</f>
        <v>45658.0</v>
      </c>
    </row>
    <row r="506" spans="1:9" ht="15" x14ac:dyDescent="0.25">
      <c r="A506" s="53" t="inlineStr">
        <is>
          <t>LAB-000505</t>
        </is>
      </c>
      <c r="B506" s="53" t="inlineStr">
        <is>
          <t>WP-00229</t>
        </is>
      </c>
      <c r="C506" s="53" t="inlineStr">
        <is>
          <t>TECH-047</t>
        </is>
      </c>
      <c r="D506" s="53" t="inlineStr">
        <is>
          <t>Structures</t>
        </is>
      </c>
      <c r="E506" s="53" t="inlineStr">
        <is>
          <t>2025-01-01</t>
        </is>
      </c>
      <c r="F506" s="53">
        <v>12</v>
      </c>
      <c r="G506" s="53">
        <v>4</v>
      </c>
      <c r="H506" s="51" t="str">
        <f>TEXT(tblLaborEntries[[#This Row],[Work date serial]]-WEEKDAY(tblLaborEntries[[#This Row],[Work date serial]],3),"yyyy-mm-dd")</f>
        <v>2024-12-30</v>
      </c>
      <c r="I506" s="64">
        <f>DATEVALUE(tblLaborEntries[[#This Row],[Work date]])</f>
        <v>45658.0</v>
      </c>
    </row>
    <row r="507" spans="1:9" ht="15" x14ac:dyDescent="0.25">
      <c r="A507" s="53" t="inlineStr">
        <is>
          <t>LAB-000506</t>
        </is>
      </c>
      <c r="B507" s="53" t="inlineStr">
        <is>
          <t>WP-00229</t>
        </is>
      </c>
      <c r="C507" s="53" t="inlineStr">
        <is>
          <t>TECH-005</t>
        </is>
      </c>
      <c r="D507" s="53" t="inlineStr">
        <is>
          <t>Structures</t>
        </is>
      </c>
      <c r="E507" s="53" t="inlineStr">
        <is>
          <t>2025-01-02</t>
        </is>
      </c>
      <c r="F507" s="53">
        <v>2.7</v>
      </c>
      <c r="G507" s="53">
        <v>0</v>
      </c>
      <c r="H507" s="51" t="str">
        <f>TEXT(tblLaborEntries[[#This Row],[Work date serial]]-WEEKDAY(tblLaborEntries[[#This Row],[Work date serial]],3),"yyyy-mm-dd")</f>
        <v>2024-12-30</v>
      </c>
      <c r="I507" s="64">
        <f>DATEVALUE(tblLaborEntries[[#This Row],[Work date]])</f>
        <v>45659.0</v>
      </c>
    </row>
    <row r="508" spans="1:9" ht="15" x14ac:dyDescent="0.25">
      <c r="A508" s="53" t="inlineStr">
        <is>
          <t>LAB-000507</t>
        </is>
      </c>
      <c r="B508" s="53" t="inlineStr">
        <is>
          <t>WP-00229</t>
        </is>
      </c>
      <c r="C508" s="53" t="inlineStr">
        <is>
          <t>TECH-053</t>
        </is>
      </c>
      <c r="D508" s="53" t="inlineStr">
        <is>
          <t>Structures</t>
        </is>
      </c>
      <c r="E508" s="53" t="inlineStr">
        <is>
          <t>2025-01-02</t>
        </is>
      </c>
      <c r="F508" s="53">
        <v>12</v>
      </c>
      <c r="G508" s="53">
        <v>4</v>
      </c>
      <c r="H508" s="51" t="str">
        <f>TEXT(tblLaborEntries[[#This Row],[Work date serial]]-WEEKDAY(tblLaborEntries[[#This Row],[Work date serial]],3),"yyyy-mm-dd")</f>
        <v>2024-12-30</v>
      </c>
      <c r="I508" s="64">
        <f>DATEVALUE(tblLaborEntries[[#This Row],[Work date]])</f>
        <v>45659.0</v>
      </c>
    </row>
    <row r="509" spans="1:9" ht="15" x14ac:dyDescent="0.25">
      <c r="A509" s="53" t="inlineStr">
        <is>
          <t>LAB-000508</t>
        </is>
      </c>
      <c r="B509" s="53" t="inlineStr">
        <is>
          <t>WP-00230</t>
        </is>
      </c>
      <c r="C509" s="53" t="inlineStr">
        <is>
          <t>TECH-001</t>
        </is>
      </c>
      <c r="D509" s="53" t="inlineStr">
        <is>
          <t>Airframe</t>
        </is>
      </c>
      <c r="E509" s="53" t="inlineStr">
        <is>
          <t>2024-02-26</t>
        </is>
      </c>
      <c r="F509" s="53">
        <v>3.6</v>
      </c>
      <c r="G509" s="53">
        <v>0</v>
      </c>
      <c r="H509" s="51" t="str">
        <f>TEXT(tblLaborEntries[[#This Row],[Work date serial]]-WEEKDAY(tblLaborEntries[[#This Row],[Work date serial]],3),"yyyy-mm-dd")</f>
        <v>2024-02-26</v>
      </c>
      <c r="I509" s="64">
        <f>DATEVALUE(tblLaborEntries[[#This Row],[Work date]])</f>
        <v>45348.0</v>
      </c>
    </row>
    <row r="510" spans="1:9" ht="15" x14ac:dyDescent="0.25">
      <c r="A510" s="53" t="inlineStr">
        <is>
          <t>LAB-000509</t>
        </is>
      </c>
      <c r="B510" s="53" t="inlineStr">
        <is>
          <t>WP-00231</t>
        </is>
      </c>
      <c r="C510" s="53" t="inlineStr">
        <is>
          <t>TECH-002</t>
        </is>
      </c>
      <c r="D510" s="53" t="inlineStr">
        <is>
          <t>Avionics</t>
        </is>
      </c>
      <c r="E510" s="53" t="inlineStr">
        <is>
          <t>2024-04-14</t>
        </is>
      </c>
      <c r="F510" s="53">
        <v>10.5</v>
      </c>
      <c r="G510" s="53">
        <v>2.5</v>
      </c>
      <c r="H510" s="51" t="str">
        <f>TEXT(tblLaborEntries[[#This Row],[Work date serial]]-WEEKDAY(tblLaborEntries[[#This Row],[Work date serial]],3),"yyyy-mm-dd")</f>
        <v>2024-04-08</v>
      </c>
      <c r="I510" s="64">
        <f>DATEVALUE(tblLaborEntries[[#This Row],[Work date]])</f>
        <v>45396.0</v>
      </c>
    </row>
    <row r="511" spans="1:9" ht="15" x14ac:dyDescent="0.25">
      <c r="A511" s="53" t="inlineStr">
        <is>
          <t>LAB-000510</t>
        </is>
      </c>
      <c r="B511" s="53" t="inlineStr">
        <is>
          <t>WP-00231</t>
        </is>
      </c>
      <c r="C511" s="53" t="inlineStr">
        <is>
          <t>TECH-014</t>
        </is>
      </c>
      <c r="D511" s="53" t="inlineStr">
        <is>
          <t>Avionics</t>
        </is>
      </c>
      <c r="E511" s="53" t="inlineStr">
        <is>
          <t>2024-04-15</t>
        </is>
      </c>
      <c r="F511" s="53">
        <v>2.3</v>
      </c>
      <c r="G511" s="53">
        <v>0</v>
      </c>
      <c r="H511" s="51" t="str">
        <f>TEXT(tblLaborEntries[[#This Row],[Work date serial]]-WEEKDAY(tblLaborEntries[[#This Row],[Work date serial]],3),"yyyy-mm-dd")</f>
        <v>2024-04-15</v>
      </c>
      <c r="I511" s="64">
        <f>DATEVALUE(tblLaborEntries[[#This Row],[Work date]])</f>
        <v>45397.0</v>
      </c>
    </row>
    <row r="512" spans="1:9" ht="15" x14ac:dyDescent="0.25">
      <c r="A512" s="53" t="inlineStr">
        <is>
          <t>LAB-000511</t>
        </is>
      </c>
      <c r="B512" s="53" t="inlineStr">
        <is>
          <t>WP-00231</t>
        </is>
      </c>
      <c r="C512" s="53" t="inlineStr">
        <is>
          <t>TECH-038</t>
        </is>
      </c>
      <c r="D512" s="53" t="inlineStr">
        <is>
          <t>Avionics</t>
        </is>
      </c>
      <c r="E512" s="53" t="inlineStr">
        <is>
          <t>2024-04-15</t>
        </is>
      </c>
      <c r="F512" s="53">
        <v>12</v>
      </c>
      <c r="G512" s="53">
        <v>4</v>
      </c>
      <c r="H512" s="51" t="str">
        <f>TEXT(tblLaborEntries[[#This Row],[Work date serial]]-WEEKDAY(tblLaborEntries[[#This Row],[Work date serial]],3),"yyyy-mm-dd")</f>
        <v>2024-04-15</v>
      </c>
      <c r="I512" s="64">
        <f>DATEVALUE(tblLaborEntries[[#This Row],[Work date]])</f>
        <v>45397.0</v>
      </c>
    </row>
    <row r="513" spans="1:9" ht="15" x14ac:dyDescent="0.25">
      <c r="A513" s="53" t="inlineStr">
        <is>
          <t>LAB-000512</t>
        </is>
      </c>
      <c r="B513" s="53" t="inlineStr">
        <is>
          <t>WP-00232</t>
        </is>
      </c>
      <c r="C513" s="53" t="inlineStr">
        <is>
          <t>TECH-025</t>
        </is>
      </c>
      <c r="D513" s="53" t="inlineStr">
        <is>
          <t>Airframe</t>
        </is>
      </c>
      <c r="E513" s="53" t="inlineStr">
        <is>
          <t>2025-07-31</t>
        </is>
      </c>
      <c r="F513" s="53">
        <v>3.9</v>
      </c>
      <c r="G513" s="53">
        <v>0</v>
      </c>
      <c r="H513" s="51" t="str">
        <f>TEXT(tblLaborEntries[[#This Row],[Work date serial]]-WEEKDAY(tblLaborEntries[[#This Row],[Work date serial]],3),"yyyy-mm-dd")</f>
        <v>2025-07-28</v>
      </c>
      <c r="I513" s="64">
        <f>DATEVALUE(tblLaborEntries[[#This Row],[Work date]])</f>
        <v>45869.0</v>
      </c>
    </row>
    <row r="514" spans="1:9" ht="15" x14ac:dyDescent="0.25">
      <c r="A514" s="53" t="inlineStr">
        <is>
          <t>LAB-000513</t>
        </is>
      </c>
      <c r="B514" s="53" t="inlineStr">
        <is>
          <t>WP-00232</t>
        </is>
      </c>
      <c r="C514" s="53" t="inlineStr">
        <is>
          <t>TECH-055</t>
        </is>
      </c>
      <c r="D514" s="53" t="inlineStr">
        <is>
          <t>Airframe</t>
        </is>
      </c>
      <c r="E514" s="53" t="inlineStr">
        <is>
          <t>2025-08-01</t>
        </is>
      </c>
      <c r="F514" s="53">
        <v>4</v>
      </c>
      <c r="G514" s="53">
        <v>0</v>
      </c>
      <c r="H514" s="51" t="str">
        <f>TEXT(tblLaborEntries[[#This Row],[Work date serial]]-WEEKDAY(tblLaborEntries[[#This Row],[Work date serial]],3),"yyyy-mm-dd")</f>
        <v>2025-07-28</v>
      </c>
      <c r="I514" s="64">
        <f>DATEVALUE(tblLaborEntries[[#This Row],[Work date]])</f>
        <v>45870.0</v>
      </c>
    </row>
    <row r="515" spans="1:9" ht="15" x14ac:dyDescent="0.25">
      <c r="A515" s="53" t="inlineStr">
        <is>
          <t>LAB-000514</t>
        </is>
      </c>
      <c r="B515" s="53" t="inlineStr">
        <is>
          <t>WP-00232</t>
        </is>
      </c>
      <c r="C515" s="53" t="inlineStr">
        <is>
          <t>TECH-067</t>
        </is>
      </c>
      <c r="D515" s="53" t="inlineStr">
        <is>
          <t>Airframe</t>
        </is>
      </c>
      <c r="E515" s="53" t="inlineStr">
        <is>
          <t>2025-08-02</t>
        </is>
      </c>
      <c r="F515" s="53">
        <v>5.1</v>
      </c>
      <c r="G515" s="53">
        <v>0</v>
      </c>
      <c r="H515" s="51" t="str">
        <f>TEXT(tblLaborEntries[[#This Row],[Work date serial]]-WEEKDAY(tblLaborEntries[[#This Row],[Work date serial]],3),"yyyy-mm-dd")</f>
        <v>2025-07-28</v>
      </c>
      <c r="I515" s="64">
        <f>DATEVALUE(tblLaborEntries[[#This Row],[Work date]])</f>
        <v>45871.0</v>
      </c>
    </row>
    <row r="516" spans="1:9" ht="15" x14ac:dyDescent="0.25">
      <c r="A516" s="53" t="inlineStr">
        <is>
          <t>LAB-000515</t>
        </is>
      </c>
      <c r="B516" s="53" t="inlineStr">
        <is>
          <t>WP-00233</t>
        </is>
      </c>
      <c r="C516" s="53" t="inlineStr">
        <is>
          <t>TECH-032</t>
        </is>
      </c>
      <c r="D516" s="53" t="inlineStr">
        <is>
          <t>Avionics</t>
        </is>
      </c>
      <c r="E516" s="53" t="inlineStr">
        <is>
          <t>2024-09-02</t>
        </is>
      </c>
      <c r="F516" s="53">
        <v>1.4</v>
      </c>
      <c r="G516" s="53">
        <v>0</v>
      </c>
      <c r="H516" s="51" t="str">
        <f>TEXT(tblLaborEntries[[#This Row],[Work date serial]]-WEEKDAY(tblLaborEntries[[#This Row],[Work date serial]],3),"yyyy-mm-dd")</f>
        <v>2024-09-02</v>
      </c>
      <c r="I516" s="64">
        <f>DATEVALUE(tblLaborEntries[[#This Row],[Work date]])</f>
        <v>45537.0</v>
      </c>
    </row>
    <row r="517" spans="1:9" ht="15" x14ac:dyDescent="0.25">
      <c r="A517" s="53" t="inlineStr">
        <is>
          <t>LAB-000516</t>
        </is>
      </c>
      <c r="B517" s="53" t="inlineStr">
        <is>
          <t>WP-00233</t>
        </is>
      </c>
      <c r="C517" s="53" t="inlineStr">
        <is>
          <t>TECH-074</t>
        </is>
      </c>
      <c r="D517" s="53" t="inlineStr">
        <is>
          <t>Avionics</t>
        </is>
      </c>
      <c r="E517" s="53" t="inlineStr">
        <is>
          <t>2024-09-03</t>
        </is>
      </c>
      <c r="F517" s="53">
        <v>1.2</v>
      </c>
      <c r="G517" s="53">
        <v>0</v>
      </c>
      <c r="H517" s="51" t="str">
        <f>TEXT(tblLaborEntries[[#This Row],[Work date serial]]-WEEKDAY(tblLaborEntries[[#This Row],[Work date serial]],3),"yyyy-mm-dd")</f>
        <v>2024-09-02</v>
      </c>
      <c r="I517" s="64">
        <f>DATEVALUE(tblLaborEntries[[#This Row],[Work date]])</f>
        <v>45538.0</v>
      </c>
    </row>
    <row r="518" spans="1:9" ht="15" x14ac:dyDescent="0.25">
      <c r="A518" s="53" t="inlineStr">
        <is>
          <t>LAB-000517</t>
        </is>
      </c>
      <c r="B518" s="53" t="inlineStr">
        <is>
          <t>WP-00234</t>
        </is>
      </c>
      <c r="C518" s="53" t="inlineStr">
        <is>
          <t>TECH-032</t>
        </is>
      </c>
      <c r="D518" s="53" t="inlineStr">
        <is>
          <t>Avionics</t>
        </is>
      </c>
      <c r="E518" s="53" t="inlineStr">
        <is>
          <t>2025-12-27</t>
        </is>
      </c>
      <c r="F518" s="53">
        <v>11.3</v>
      </c>
      <c r="G518" s="53">
        <v>3.3</v>
      </c>
      <c r="H518" s="51" t="str">
        <f>TEXT(tblLaborEntries[[#This Row],[Work date serial]]-WEEKDAY(tblLaborEntries[[#This Row],[Work date serial]],3),"yyyy-mm-dd")</f>
        <v>2025-12-22</v>
      </c>
      <c r="I518" s="64">
        <f>DATEVALUE(tblLaborEntries[[#This Row],[Work date]])</f>
        <v>46018.0</v>
      </c>
    </row>
    <row r="519" spans="1:9" ht="15" x14ac:dyDescent="0.25">
      <c r="A519" s="53" t="inlineStr">
        <is>
          <t>LAB-000518</t>
        </is>
      </c>
      <c r="B519" s="53" t="inlineStr">
        <is>
          <t>WP-00234</t>
        </is>
      </c>
      <c r="C519" s="53" t="inlineStr">
        <is>
          <t>TECH-062</t>
        </is>
      </c>
      <c r="D519" s="53" t="inlineStr">
        <is>
          <t>Avionics</t>
        </is>
      </c>
      <c r="E519" s="53" t="inlineStr">
        <is>
          <t>2025-12-28</t>
        </is>
      </c>
      <c r="F519" s="53">
        <v>11.6</v>
      </c>
      <c r="G519" s="53">
        <v>3.6</v>
      </c>
      <c r="H519" s="51" t="str">
        <f>TEXT(tblLaborEntries[[#This Row],[Work date serial]]-WEEKDAY(tblLaborEntries[[#This Row],[Work date serial]],3),"yyyy-mm-dd")</f>
        <v>2025-12-22</v>
      </c>
      <c r="I519" s="64">
        <f>DATEVALUE(tblLaborEntries[[#This Row],[Work date]])</f>
        <v>46019.0</v>
      </c>
    </row>
    <row r="520" spans="1:9" ht="15" x14ac:dyDescent="0.25">
      <c r="A520" s="53" t="inlineStr">
        <is>
          <t>LAB-000519</t>
        </is>
      </c>
      <c r="B520" s="53" t="inlineStr">
        <is>
          <t>WP-00234</t>
        </is>
      </c>
      <c r="C520" s="53" t="inlineStr">
        <is>
          <t>TECH-002</t>
        </is>
      </c>
      <c r="D520" s="53" t="inlineStr">
        <is>
          <t>Avionics</t>
        </is>
      </c>
      <c r="E520" s="53" t="inlineStr">
        <is>
          <t>2025-12-29</t>
        </is>
      </c>
      <c r="F520" s="53">
        <v>11.5</v>
      </c>
      <c r="G520" s="53">
        <v>3.5</v>
      </c>
      <c r="H520" s="51" t="str">
        <f>TEXT(tblLaborEntries[[#This Row],[Work date serial]]-WEEKDAY(tblLaborEntries[[#This Row],[Work date serial]],3),"yyyy-mm-dd")</f>
        <v>2025-12-29</v>
      </c>
      <c r="I520" s="64">
        <f>DATEVALUE(tblLaborEntries[[#This Row],[Work date]])</f>
        <v>46020.0</v>
      </c>
    </row>
    <row r="521" spans="1:9" ht="15" x14ac:dyDescent="0.25">
      <c r="A521" s="53" t="inlineStr">
        <is>
          <t>LAB-000520</t>
        </is>
      </c>
      <c r="B521" s="53" t="inlineStr">
        <is>
          <t>WP-00235</t>
        </is>
      </c>
      <c r="C521" s="53" t="inlineStr">
        <is>
          <t>TECH-066</t>
        </is>
      </c>
      <c r="D521" s="53" t="inlineStr">
        <is>
          <t>Powerplant</t>
        </is>
      </c>
      <c r="E521" s="53" t="inlineStr">
        <is>
          <t>2025-06-22</t>
        </is>
      </c>
      <c r="F521" s="53">
        <v>1.8</v>
      </c>
      <c r="G521" s="53">
        <v>0</v>
      </c>
      <c r="H521" s="51" t="str">
        <f>TEXT(tblLaborEntries[[#This Row],[Work date serial]]-WEEKDAY(tblLaborEntries[[#This Row],[Work date serial]],3),"yyyy-mm-dd")</f>
        <v>2025-06-16</v>
      </c>
      <c r="I521" s="64">
        <f>DATEVALUE(tblLaborEntries[[#This Row],[Work date]])</f>
        <v>45830.0</v>
      </c>
    </row>
    <row r="522" spans="1:9" ht="15" x14ac:dyDescent="0.25">
      <c r="A522" s="53" t="inlineStr">
        <is>
          <t>LAB-000521</t>
        </is>
      </c>
      <c r="B522" s="53" t="inlineStr">
        <is>
          <t>WP-00235</t>
        </is>
      </c>
      <c r="C522" s="53" t="inlineStr">
        <is>
          <t>TECH-060</t>
        </is>
      </c>
      <c r="D522" s="53" t="inlineStr">
        <is>
          <t>Powerplant</t>
        </is>
      </c>
      <c r="E522" s="53" t="inlineStr">
        <is>
          <t>2025-06-23</t>
        </is>
      </c>
      <c r="F522" s="53">
        <v>1.9</v>
      </c>
      <c r="G522" s="53">
        <v>0</v>
      </c>
      <c r="H522" s="51" t="str">
        <f>TEXT(tblLaborEntries[[#This Row],[Work date serial]]-WEEKDAY(tblLaborEntries[[#This Row],[Work date serial]],3),"yyyy-mm-dd")</f>
        <v>2025-06-23</v>
      </c>
      <c r="I522" s="64">
        <f>DATEVALUE(tblLaborEntries[[#This Row],[Work date]])</f>
        <v>45831.0</v>
      </c>
    </row>
    <row r="523" spans="1:9" ht="15" x14ac:dyDescent="0.25">
      <c r="A523" s="53" t="inlineStr">
        <is>
          <t>LAB-000522</t>
        </is>
      </c>
      <c r="B523" s="53" t="inlineStr">
        <is>
          <t>WP-00235</t>
        </is>
      </c>
      <c r="C523" s="53" t="inlineStr">
        <is>
          <t>TECH-060</t>
        </is>
      </c>
      <c r="D523" s="53" t="inlineStr">
        <is>
          <t>Powerplant</t>
        </is>
      </c>
      <c r="E523" s="53" t="inlineStr">
        <is>
          <t>2025-06-24</t>
        </is>
      </c>
      <c r="F523" s="53">
        <v>2.8</v>
      </c>
      <c r="G523" s="53">
        <v>0</v>
      </c>
      <c r="H523" s="51" t="str">
        <f>TEXT(tblLaborEntries[[#This Row],[Work date serial]]-WEEKDAY(tblLaborEntries[[#This Row],[Work date serial]],3),"yyyy-mm-dd")</f>
        <v>2025-06-23</v>
      </c>
      <c r="I523" s="64">
        <f>DATEVALUE(tblLaborEntries[[#This Row],[Work date]])</f>
        <v>45832.0</v>
      </c>
    </row>
    <row r="524" spans="1:9" ht="15" x14ac:dyDescent="0.25">
      <c r="A524" s="53" t="inlineStr">
        <is>
          <t>LAB-000523</t>
        </is>
      </c>
      <c r="B524" s="53" t="inlineStr">
        <is>
          <t>WP-00236</t>
        </is>
      </c>
      <c r="C524" s="53" t="inlineStr">
        <is>
          <t>TECH-061</t>
        </is>
      </c>
      <c r="D524" s="53" t="inlineStr">
        <is>
          <t>Airframe</t>
        </is>
      </c>
      <c r="E524" s="53" t="inlineStr">
        <is>
          <t>2024-07-16</t>
        </is>
      </c>
      <c r="F524" s="53">
        <v>6.7</v>
      </c>
      <c r="G524" s="53">
        <v>0</v>
      </c>
      <c r="H524" s="51" t="str">
        <f>TEXT(tblLaborEntries[[#This Row],[Work date serial]]-WEEKDAY(tblLaborEntries[[#This Row],[Work date serial]],3),"yyyy-mm-dd")</f>
        <v>2024-07-15</v>
      </c>
      <c r="I524" s="64">
        <f>DATEVALUE(tblLaborEntries[[#This Row],[Work date]])</f>
        <v>45489.0</v>
      </c>
    </row>
    <row r="525" spans="1:9" ht="15" x14ac:dyDescent="0.25">
      <c r="A525" s="53" t="inlineStr">
        <is>
          <t>LAB-000524</t>
        </is>
      </c>
      <c r="B525" s="53" t="inlineStr">
        <is>
          <t>WP-00237</t>
        </is>
      </c>
      <c r="C525" s="53" t="inlineStr">
        <is>
          <t>TECH-075</t>
        </is>
      </c>
      <c r="D525" s="53" t="inlineStr">
        <is>
          <t>Hydraulics</t>
        </is>
      </c>
      <c r="E525" s="53" t="inlineStr">
        <is>
          <t>2025-12-27</t>
        </is>
      </c>
      <c r="F525" s="53">
        <v>3</v>
      </c>
      <c r="G525" s="53">
        <v>0</v>
      </c>
      <c r="H525" s="51" t="str">
        <f>TEXT(tblLaborEntries[[#This Row],[Work date serial]]-WEEKDAY(tblLaborEntries[[#This Row],[Work date serial]],3),"yyyy-mm-dd")</f>
        <v>2025-12-22</v>
      </c>
      <c r="I525" s="64">
        <f>DATEVALUE(tblLaborEntries[[#This Row],[Work date]])</f>
        <v>46018.0</v>
      </c>
    </row>
    <row r="526" spans="1:9" ht="15" x14ac:dyDescent="0.25">
      <c r="A526" s="53" t="inlineStr">
        <is>
          <t>LAB-000525</t>
        </is>
      </c>
      <c r="B526" s="53" t="inlineStr">
        <is>
          <t>WP-00237</t>
        </is>
      </c>
      <c r="C526" s="53" t="inlineStr">
        <is>
          <t>TECH-051</t>
        </is>
      </c>
      <c r="D526" s="53" t="inlineStr">
        <is>
          <t>Hydraulics</t>
        </is>
      </c>
      <c r="E526" s="53" t="inlineStr">
        <is>
          <t>2025-12-28</t>
        </is>
      </c>
      <c r="F526" s="53">
        <v>2.2</v>
      </c>
      <c r="G526" s="53">
        <v>0</v>
      </c>
      <c r="H526" s="51" t="str">
        <f>TEXT(tblLaborEntries[[#This Row],[Work date serial]]-WEEKDAY(tblLaborEntries[[#This Row],[Work date serial]],3),"yyyy-mm-dd")</f>
        <v>2025-12-22</v>
      </c>
      <c r="I526" s="64">
        <f>DATEVALUE(tblLaborEntries[[#This Row],[Work date]])</f>
        <v>46019.0</v>
      </c>
    </row>
    <row r="527" spans="1:9" ht="15" x14ac:dyDescent="0.25">
      <c r="A527" s="53" t="inlineStr">
        <is>
          <t>LAB-000526</t>
        </is>
      </c>
      <c r="B527" s="53" t="inlineStr">
        <is>
          <t>WP-00238</t>
        </is>
      </c>
      <c r="C527" s="53" t="inlineStr">
        <is>
          <t>TECH-049</t>
        </is>
      </c>
      <c r="D527" s="53" t="inlineStr">
        <is>
          <t>Airframe</t>
        </is>
      </c>
      <c r="E527" s="53" t="inlineStr">
        <is>
          <t>2025-03-01</t>
        </is>
      </c>
      <c r="F527" s="53">
        <v>2.5</v>
      </c>
      <c r="G527" s="53">
        <v>0</v>
      </c>
      <c r="H527" s="51" t="str">
        <f>TEXT(tblLaborEntries[[#This Row],[Work date serial]]-WEEKDAY(tblLaborEntries[[#This Row],[Work date serial]],3),"yyyy-mm-dd")</f>
        <v>2025-02-24</v>
      </c>
      <c r="I527" s="64">
        <f>DATEVALUE(tblLaborEntries[[#This Row],[Work date]])</f>
        <v>45717.0</v>
      </c>
    </row>
    <row r="528" spans="1:9" ht="15" x14ac:dyDescent="0.25">
      <c r="A528" s="53" t="inlineStr">
        <is>
          <t>LAB-000527</t>
        </is>
      </c>
      <c r="B528" s="53" t="inlineStr">
        <is>
          <t>WP-00238</t>
        </is>
      </c>
      <c r="C528" s="53" t="inlineStr">
        <is>
          <t>TECH-049</t>
        </is>
      </c>
      <c r="D528" s="53" t="inlineStr">
        <is>
          <t>Airframe</t>
        </is>
      </c>
      <c r="E528" s="53" t="inlineStr">
        <is>
          <t>2025-03-02</t>
        </is>
      </c>
      <c r="F528" s="53">
        <v>3.5</v>
      </c>
      <c r="G528" s="53">
        <v>0</v>
      </c>
      <c r="H528" s="51" t="str">
        <f>TEXT(tblLaborEntries[[#This Row],[Work date serial]]-WEEKDAY(tblLaborEntries[[#This Row],[Work date serial]],3),"yyyy-mm-dd")</f>
        <v>2025-02-24</v>
      </c>
      <c r="I528" s="64">
        <f>DATEVALUE(tblLaborEntries[[#This Row],[Work date]])</f>
        <v>45718.0</v>
      </c>
    </row>
    <row r="529" spans="1:9" ht="15" x14ac:dyDescent="0.25">
      <c r="A529" s="53" t="inlineStr">
        <is>
          <t>LAB-000528</t>
        </is>
      </c>
      <c r="B529" s="53" t="inlineStr">
        <is>
          <t>WP-00239</t>
        </is>
      </c>
      <c r="C529" s="53" t="inlineStr">
        <is>
          <t>TECH-005</t>
        </is>
      </c>
      <c r="D529" s="53" t="inlineStr">
        <is>
          <t>Structures</t>
        </is>
      </c>
      <c r="E529" s="53" t="inlineStr">
        <is>
          <t>2025-04-17</t>
        </is>
      </c>
      <c r="F529" s="53">
        <v>3.8</v>
      </c>
      <c r="G529" s="53">
        <v>0</v>
      </c>
      <c r="H529" s="51" t="str">
        <f>TEXT(tblLaborEntries[[#This Row],[Work date serial]]-WEEKDAY(tblLaborEntries[[#This Row],[Work date serial]],3),"yyyy-mm-dd")</f>
        <v>2025-04-14</v>
      </c>
      <c r="I529" s="64">
        <f>DATEVALUE(tblLaborEntries[[#This Row],[Work date]])</f>
        <v>45764.0</v>
      </c>
    </row>
    <row r="530" spans="1:9" ht="15" x14ac:dyDescent="0.25">
      <c r="A530" s="53" t="inlineStr">
        <is>
          <t>LAB-000529</t>
        </is>
      </c>
      <c r="B530" s="53" t="inlineStr">
        <is>
          <t>WP-00239</t>
        </is>
      </c>
      <c r="C530" s="53" t="inlineStr">
        <is>
          <t>TECH-053</t>
        </is>
      </c>
      <c r="D530" s="53" t="inlineStr">
        <is>
          <t>Structures</t>
        </is>
      </c>
      <c r="E530" s="53" t="inlineStr">
        <is>
          <t>2025-04-17</t>
        </is>
      </c>
      <c r="F530" s="53">
        <v>12</v>
      </c>
      <c r="G530" s="53">
        <v>4</v>
      </c>
      <c r="H530" s="51" t="str">
        <f>TEXT(tblLaborEntries[[#This Row],[Work date serial]]-WEEKDAY(tblLaborEntries[[#This Row],[Work date serial]],3),"yyyy-mm-dd")</f>
        <v>2025-04-14</v>
      </c>
      <c r="I530" s="64">
        <f>DATEVALUE(tblLaborEntries[[#This Row],[Work date]])</f>
        <v>45764.0</v>
      </c>
    </row>
    <row r="531" spans="1:9" ht="15" x14ac:dyDescent="0.25">
      <c r="A531" s="53" t="inlineStr">
        <is>
          <t>LAB-000530</t>
        </is>
      </c>
      <c r="B531" s="53" t="inlineStr">
        <is>
          <t>WP-00239</t>
        </is>
      </c>
      <c r="C531" s="53" t="inlineStr">
        <is>
          <t>TECH-005</t>
        </is>
      </c>
      <c r="D531" s="53" t="inlineStr">
        <is>
          <t>Structures</t>
        </is>
      </c>
      <c r="E531" s="53" t="inlineStr">
        <is>
          <t>2025-04-18</t>
        </is>
      </c>
      <c r="F531" s="53">
        <v>2</v>
      </c>
      <c r="G531" s="53">
        <v>0</v>
      </c>
      <c r="H531" s="51" t="str">
        <f>TEXT(tblLaborEntries[[#This Row],[Work date serial]]-WEEKDAY(tblLaborEntries[[#This Row],[Work date serial]],3),"yyyy-mm-dd")</f>
        <v>2025-04-14</v>
      </c>
      <c r="I531" s="64">
        <f>DATEVALUE(tblLaborEntries[[#This Row],[Work date]])</f>
        <v>45765.0</v>
      </c>
    </row>
    <row r="532" spans="1:9" ht="15" x14ac:dyDescent="0.25">
      <c r="A532" s="53" t="inlineStr">
        <is>
          <t>LAB-000531</t>
        </is>
      </c>
      <c r="B532" s="53" t="inlineStr">
        <is>
          <t>WP-00239</t>
        </is>
      </c>
      <c r="C532" s="53" t="inlineStr">
        <is>
          <t>TECH-035</t>
        </is>
      </c>
      <c r="D532" s="53" t="inlineStr">
        <is>
          <t>Structures</t>
        </is>
      </c>
      <c r="E532" s="53" t="inlineStr">
        <is>
          <t>2025-04-18</t>
        </is>
      </c>
      <c r="F532" s="53">
        <v>12</v>
      </c>
      <c r="G532" s="53">
        <v>4</v>
      </c>
      <c r="H532" s="51" t="str">
        <f>TEXT(tblLaborEntries[[#This Row],[Work date serial]]-WEEKDAY(tblLaborEntries[[#This Row],[Work date serial]],3),"yyyy-mm-dd")</f>
        <v>2025-04-14</v>
      </c>
      <c r="I532" s="64">
        <f>DATEVALUE(tblLaborEntries[[#This Row],[Work date]])</f>
        <v>45765.0</v>
      </c>
    </row>
    <row r="533" spans="1:9" ht="15" x14ac:dyDescent="0.25">
      <c r="A533" s="53" t="inlineStr">
        <is>
          <t>LAB-000532</t>
        </is>
      </c>
      <c r="B533" s="53" t="inlineStr">
        <is>
          <t>WP-00240</t>
        </is>
      </c>
      <c r="C533" s="53" t="inlineStr">
        <is>
          <t>TECH-060</t>
        </is>
      </c>
      <c r="D533" s="53" t="inlineStr">
        <is>
          <t>Powerplant</t>
        </is>
      </c>
      <c r="E533" s="53" t="inlineStr">
        <is>
          <t>2025-07-02</t>
        </is>
      </c>
      <c r="F533" s="53">
        <v>7.9</v>
      </c>
      <c r="G533" s="53">
        <v>0</v>
      </c>
      <c r="H533" s="51" t="str">
        <f>TEXT(tblLaborEntries[[#This Row],[Work date serial]]-WEEKDAY(tblLaborEntries[[#This Row],[Work date serial]],3),"yyyy-mm-dd")</f>
        <v>2025-06-30</v>
      </c>
      <c r="I533" s="64">
        <f>DATEVALUE(tblLaborEntries[[#This Row],[Work date]])</f>
        <v>45840.0</v>
      </c>
    </row>
    <row r="534" spans="1:9" ht="15" x14ac:dyDescent="0.25">
      <c r="A534" s="53" t="inlineStr">
        <is>
          <t>LAB-000533</t>
        </is>
      </c>
      <c r="B534" s="53" t="inlineStr">
        <is>
          <t>WP-00241</t>
        </is>
      </c>
      <c r="C534" s="53" t="inlineStr">
        <is>
          <t>TECH-001</t>
        </is>
      </c>
      <c r="D534" s="53" t="inlineStr">
        <is>
          <t>Airframe</t>
        </is>
      </c>
      <c r="E534" s="53" t="inlineStr">
        <is>
          <t>2024-07-01</t>
        </is>
      </c>
      <c r="F534" s="53">
        <v>4</v>
      </c>
      <c r="G534" s="53">
        <v>0</v>
      </c>
      <c r="H534" s="51" t="str">
        <f>TEXT(tblLaborEntries[[#This Row],[Work date serial]]-WEEKDAY(tblLaborEntries[[#This Row],[Work date serial]],3),"yyyy-mm-dd")</f>
        <v>2024-07-01</v>
      </c>
      <c r="I534" s="64">
        <f>DATEVALUE(tblLaborEntries[[#This Row],[Work date]])</f>
        <v>45474.0</v>
      </c>
    </row>
    <row r="535" spans="1:9" ht="15" x14ac:dyDescent="0.25">
      <c r="A535" s="53" t="inlineStr">
        <is>
          <t>LAB-000534</t>
        </is>
      </c>
      <c r="B535" s="53" t="inlineStr">
        <is>
          <t>WP-00242</t>
        </is>
      </c>
      <c r="C535" s="53" t="inlineStr">
        <is>
          <t>TECH-059</t>
        </is>
      </c>
      <c r="D535" s="53" t="inlineStr">
        <is>
          <t>Structures</t>
        </is>
      </c>
      <c r="E535" s="53" t="inlineStr">
        <is>
          <t>2024-06-16</t>
        </is>
      </c>
      <c r="F535" s="53">
        <v>6.9</v>
      </c>
      <c r="G535" s="53">
        <v>0</v>
      </c>
      <c r="H535" s="51" t="str">
        <f>TEXT(tblLaborEntries[[#This Row],[Work date serial]]-WEEKDAY(tblLaborEntries[[#This Row],[Work date serial]],3),"yyyy-mm-dd")</f>
        <v>2024-06-10</v>
      </c>
      <c r="I535" s="64">
        <f>DATEVALUE(tblLaborEntries[[#This Row],[Work date]])</f>
        <v>45459.0</v>
      </c>
    </row>
    <row r="536" spans="1:9" ht="15" x14ac:dyDescent="0.25">
      <c r="A536" s="53" t="inlineStr">
        <is>
          <t>LAB-000535</t>
        </is>
      </c>
      <c r="B536" s="53" t="inlineStr">
        <is>
          <t>WP-00242</t>
        </is>
      </c>
      <c r="C536" s="53" t="inlineStr">
        <is>
          <t>TECH-005</t>
        </is>
      </c>
      <c r="D536" s="53" t="inlineStr">
        <is>
          <t>Structures</t>
        </is>
      </c>
      <c r="E536" s="53" t="inlineStr">
        <is>
          <t>2024-06-17</t>
        </is>
      </c>
      <c r="F536" s="53">
        <v>5.7</v>
      </c>
      <c r="G536" s="53">
        <v>0</v>
      </c>
      <c r="H536" s="51" t="str">
        <f>TEXT(tblLaborEntries[[#This Row],[Work date serial]]-WEEKDAY(tblLaborEntries[[#This Row],[Work date serial]],3),"yyyy-mm-dd")</f>
        <v>2024-06-17</v>
      </c>
      <c r="I536" s="64">
        <f>DATEVALUE(tblLaborEntries[[#This Row],[Work date]])</f>
        <v>45460.0</v>
      </c>
    </row>
    <row r="537" spans="1:9" ht="15" x14ac:dyDescent="0.25">
      <c r="A537" s="53" t="inlineStr">
        <is>
          <t>LAB-000536</t>
        </is>
      </c>
      <c r="B537" s="53" t="inlineStr">
        <is>
          <t>WP-00242</t>
        </is>
      </c>
      <c r="C537" s="53" t="inlineStr">
        <is>
          <t>TECH-041</t>
        </is>
      </c>
      <c r="D537" s="53" t="inlineStr">
        <is>
          <t>Structures</t>
        </is>
      </c>
      <c r="E537" s="53" t="inlineStr">
        <is>
          <t>2024-06-18</t>
        </is>
      </c>
      <c r="F537" s="53">
        <v>8.9</v>
      </c>
      <c r="G537" s="53">
        <v>0.9</v>
      </c>
      <c r="H537" s="51" t="str">
        <f>TEXT(tblLaborEntries[[#This Row],[Work date serial]]-WEEKDAY(tblLaborEntries[[#This Row],[Work date serial]],3),"yyyy-mm-dd")</f>
        <v>2024-06-17</v>
      </c>
      <c r="I537" s="64">
        <f>DATEVALUE(tblLaborEntries[[#This Row],[Work date]])</f>
        <v>45461.0</v>
      </c>
    </row>
    <row r="538" spans="1:9" ht="15" x14ac:dyDescent="0.25">
      <c r="A538" s="53" t="inlineStr">
        <is>
          <t>LAB-000537</t>
        </is>
      </c>
      <c r="B538" s="53" t="inlineStr">
        <is>
          <t>WP-00243</t>
        </is>
      </c>
      <c r="C538" s="53" t="inlineStr">
        <is>
          <t>TECH-036</t>
        </is>
      </c>
      <c r="D538" s="53" t="inlineStr">
        <is>
          <t>Powerplant</t>
        </is>
      </c>
      <c r="E538" s="53" t="inlineStr">
        <is>
          <t>2024-04-23</t>
        </is>
      </c>
      <c r="F538" s="53">
        <v>6.8</v>
      </c>
      <c r="G538" s="53">
        <v>0</v>
      </c>
      <c r="H538" s="51" t="str">
        <f>TEXT(tblLaborEntries[[#This Row],[Work date serial]]-WEEKDAY(tblLaborEntries[[#This Row],[Work date serial]],3),"yyyy-mm-dd")</f>
        <v>2024-04-22</v>
      </c>
      <c r="I538" s="64">
        <f>DATEVALUE(tblLaborEntries[[#This Row],[Work date]])</f>
        <v>45405.0</v>
      </c>
    </row>
    <row r="539" spans="1:9" ht="15" x14ac:dyDescent="0.25">
      <c r="A539" s="53" t="inlineStr">
        <is>
          <t>LAB-000538</t>
        </is>
      </c>
      <c r="B539" s="53" t="inlineStr">
        <is>
          <t>WP-00243</t>
        </is>
      </c>
      <c r="C539" s="53" t="inlineStr">
        <is>
          <t>TECH-048</t>
        </is>
      </c>
      <c r="D539" s="53" t="inlineStr">
        <is>
          <t>Powerplant</t>
        </is>
      </c>
      <c r="E539" s="53" t="inlineStr">
        <is>
          <t>2024-04-24</t>
        </is>
      </c>
      <c r="F539" s="53">
        <v>5.2</v>
      </c>
      <c r="G539" s="53">
        <v>0</v>
      </c>
      <c r="H539" s="51" t="str">
        <f>TEXT(tblLaborEntries[[#This Row],[Work date serial]]-WEEKDAY(tblLaborEntries[[#This Row],[Work date serial]],3),"yyyy-mm-dd")</f>
        <v>2024-04-22</v>
      </c>
      <c r="I539" s="64">
        <f>DATEVALUE(tblLaborEntries[[#This Row],[Work date]])</f>
        <v>45406.0</v>
      </c>
    </row>
    <row r="540" spans="1:9" ht="15" x14ac:dyDescent="0.25">
      <c r="A540" s="53" t="inlineStr">
        <is>
          <t>LAB-000539</t>
        </is>
      </c>
      <c r="B540" s="53" t="inlineStr">
        <is>
          <t>WP-00244</t>
        </is>
      </c>
      <c r="C540" s="53" t="inlineStr">
        <is>
          <t>TECH-044</t>
        </is>
      </c>
      <c r="D540" s="53" t="inlineStr">
        <is>
          <t>Avionics</t>
        </is>
      </c>
      <c r="E540" s="53" t="inlineStr">
        <is>
          <t>2025-04-01</t>
        </is>
      </c>
      <c r="F540" s="53">
        <v>9.9</v>
      </c>
      <c r="G540" s="53">
        <v>1.9</v>
      </c>
      <c r="H540" s="51" t="str">
        <f>TEXT(tblLaborEntries[[#This Row],[Work date serial]]-WEEKDAY(tblLaborEntries[[#This Row],[Work date serial]],3),"yyyy-mm-dd")</f>
        <v>2025-03-31</v>
      </c>
      <c r="I540" s="64">
        <f>DATEVALUE(tblLaborEntries[[#This Row],[Work date]])</f>
        <v>45748.0</v>
      </c>
    </row>
    <row r="541" spans="1:9" ht="15" x14ac:dyDescent="0.25">
      <c r="A541" s="53" t="inlineStr">
        <is>
          <t>LAB-000540</t>
        </is>
      </c>
      <c r="B541" s="53" t="inlineStr">
        <is>
          <t>WP-00244</t>
        </is>
      </c>
      <c r="C541" s="53" t="inlineStr">
        <is>
          <t>TECH-062</t>
        </is>
      </c>
      <c r="D541" s="53" t="inlineStr">
        <is>
          <t>Avionics</t>
        </is>
      </c>
      <c r="E541" s="53" t="inlineStr">
        <is>
          <t>2025-04-02</t>
        </is>
      </c>
      <c r="F541" s="53">
        <v>9.2</v>
      </c>
      <c r="G541" s="53">
        <v>1.2</v>
      </c>
      <c r="H541" s="51" t="str">
        <f>TEXT(tblLaborEntries[[#This Row],[Work date serial]]-WEEKDAY(tblLaborEntries[[#This Row],[Work date serial]],3),"yyyy-mm-dd")</f>
        <v>2025-03-31</v>
      </c>
      <c r="I541" s="64">
        <f>DATEVALUE(tblLaborEntries[[#This Row],[Work date]])</f>
        <v>45749.0</v>
      </c>
    </row>
    <row r="542" spans="1:9" ht="15" x14ac:dyDescent="0.25">
      <c r="A542" s="53" t="inlineStr">
        <is>
          <t>LAB-000541</t>
        </is>
      </c>
      <c r="B542" s="53" t="inlineStr">
        <is>
          <t>WP-00245</t>
        </is>
      </c>
      <c r="C542" s="53" t="inlineStr">
        <is>
          <t>TECH-044</t>
        </is>
      </c>
      <c r="D542" s="53" t="inlineStr">
        <is>
          <t>Avionics</t>
        </is>
      </c>
      <c r="E542" s="53" t="inlineStr">
        <is>
          <t>2025-02-06</t>
        </is>
      </c>
      <c r="F542" s="53">
        <v>2.4</v>
      </c>
      <c r="G542" s="53">
        <v>0</v>
      </c>
      <c r="H542" s="51" t="str">
        <f>TEXT(tblLaborEntries[[#This Row],[Work date serial]]-WEEKDAY(tblLaborEntries[[#This Row],[Work date serial]],3),"yyyy-mm-dd")</f>
        <v>2025-02-03</v>
      </c>
      <c r="I542" s="64">
        <f>DATEVALUE(tblLaborEntries[[#This Row],[Work date]])</f>
        <v>45694.0</v>
      </c>
    </row>
    <row r="543" spans="1:9" ht="15" x14ac:dyDescent="0.25">
      <c r="A543" s="53" t="inlineStr">
        <is>
          <t>LAB-000542</t>
        </is>
      </c>
      <c r="B543" s="53" t="inlineStr">
        <is>
          <t>WP-00245</t>
        </is>
      </c>
      <c r="C543" s="53" t="inlineStr">
        <is>
          <t>TECH-050</t>
        </is>
      </c>
      <c r="D543" s="53" t="inlineStr">
        <is>
          <t>Avionics</t>
        </is>
      </c>
      <c r="E543" s="53" t="inlineStr">
        <is>
          <t>2025-02-07</t>
        </is>
      </c>
      <c r="F543" s="53">
        <v>1.9</v>
      </c>
      <c r="G543" s="53">
        <v>0</v>
      </c>
      <c r="H543" s="51" t="str">
        <f>TEXT(tblLaborEntries[[#This Row],[Work date serial]]-WEEKDAY(tblLaborEntries[[#This Row],[Work date serial]],3),"yyyy-mm-dd")</f>
        <v>2025-02-03</v>
      </c>
      <c r="I543" s="64">
        <f>DATEVALUE(tblLaborEntries[[#This Row],[Work date]])</f>
        <v>45695.0</v>
      </c>
    </row>
    <row r="544" spans="1:9" ht="15" x14ac:dyDescent="0.25">
      <c r="A544" s="53" t="inlineStr">
        <is>
          <t>LAB-000543</t>
        </is>
      </c>
      <c r="B544" s="53" t="inlineStr">
        <is>
          <t>WP-00245</t>
        </is>
      </c>
      <c r="C544" s="53" t="inlineStr">
        <is>
          <t>TECH-008</t>
        </is>
      </c>
      <c r="D544" s="53" t="inlineStr">
        <is>
          <t>Avionics</t>
        </is>
      </c>
      <c r="E544" s="53" t="inlineStr">
        <is>
          <t>2025-02-08</t>
        </is>
      </c>
      <c r="F544" s="53">
        <v>2.4</v>
      </c>
      <c r="G544" s="53">
        <v>0</v>
      </c>
      <c r="H544" s="51" t="str">
        <f>TEXT(tblLaborEntries[[#This Row],[Work date serial]]-WEEKDAY(tblLaborEntries[[#This Row],[Work date serial]],3),"yyyy-mm-dd")</f>
        <v>2025-02-03</v>
      </c>
      <c r="I544" s="64">
        <f>DATEVALUE(tblLaborEntries[[#This Row],[Work date]])</f>
        <v>45696.0</v>
      </c>
    </row>
    <row r="545" spans="1:9" ht="15" x14ac:dyDescent="0.25">
      <c r="A545" s="53" t="inlineStr">
        <is>
          <t>LAB-000544</t>
        </is>
      </c>
      <c r="B545" s="53" t="inlineStr">
        <is>
          <t>WP-00246</t>
        </is>
      </c>
      <c r="C545" s="53" t="inlineStr">
        <is>
          <t>TECH-004</t>
        </is>
      </c>
      <c r="D545" s="53" t="inlineStr">
        <is>
          <t>Electrical</t>
        </is>
      </c>
      <c r="E545" s="53" t="inlineStr">
        <is>
          <t>2024-09-08</t>
        </is>
      </c>
      <c r="F545" s="53">
        <v>1.2</v>
      </c>
      <c r="G545" s="53">
        <v>0</v>
      </c>
      <c r="H545" s="51" t="str">
        <f>TEXT(tblLaborEntries[[#This Row],[Work date serial]]-WEEKDAY(tblLaborEntries[[#This Row],[Work date serial]],3),"yyyy-mm-dd")</f>
        <v>2024-09-02</v>
      </c>
      <c r="I545" s="64">
        <f>DATEVALUE(tblLaborEntries[[#This Row],[Work date]])</f>
        <v>45543.0</v>
      </c>
    </row>
    <row r="546" spans="1:9" ht="15" x14ac:dyDescent="0.25">
      <c r="A546" s="53" t="inlineStr">
        <is>
          <t>LAB-000545</t>
        </is>
      </c>
      <c r="B546" s="53" t="inlineStr">
        <is>
          <t>WP-00246</t>
        </is>
      </c>
      <c r="C546" s="53" t="inlineStr">
        <is>
          <t>TECH-034</t>
        </is>
      </c>
      <c r="D546" s="53" t="inlineStr">
        <is>
          <t>Electrical</t>
        </is>
      </c>
      <c r="E546" s="53" t="inlineStr">
        <is>
          <t>2024-09-08</t>
        </is>
      </c>
      <c r="F546" s="53">
        <v>12</v>
      </c>
      <c r="G546" s="53">
        <v>4</v>
      </c>
      <c r="H546" s="51" t="str">
        <f>TEXT(tblLaborEntries[[#This Row],[Work date serial]]-WEEKDAY(tblLaborEntries[[#This Row],[Work date serial]],3),"yyyy-mm-dd")</f>
        <v>2024-09-02</v>
      </c>
      <c r="I546" s="64">
        <f>DATEVALUE(tblLaborEntries[[#This Row],[Work date]])</f>
        <v>45543.0</v>
      </c>
    </row>
    <row r="547" spans="1:9" ht="15" x14ac:dyDescent="0.25">
      <c r="A547" s="53" t="inlineStr">
        <is>
          <t>LAB-000546</t>
        </is>
      </c>
      <c r="B547" s="53" t="inlineStr">
        <is>
          <t>WP-00247</t>
        </is>
      </c>
      <c r="C547" s="53" t="inlineStr">
        <is>
          <t>TECH-065</t>
        </is>
      </c>
      <c r="D547" s="53" t="inlineStr">
        <is>
          <t>Structures</t>
        </is>
      </c>
      <c r="E547" s="53" t="inlineStr">
        <is>
          <t>2024-12-06</t>
        </is>
      </c>
      <c r="F547" s="53">
        <v>7.1</v>
      </c>
      <c r="G547" s="53">
        <v>0</v>
      </c>
      <c r="H547" s="51" t="str">
        <f>TEXT(tblLaborEntries[[#This Row],[Work date serial]]-WEEKDAY(tblLaborEntries[[#This Row],[Work date serial]],3),"yyyy-mm-dd")</f>
        <v>2024-12-02</v>
      </c>
      <c r="I547" s="64">
        <f>DATEVALUE(tblLaborEntries[[#This Row],[Work date]])</f>
        <v>45632.0</v>
      </c>
    </row>
    <row r="548" spans="1:9" ht="15" x14ac:dyDescent="0.25">
      <c r="A548" s="53" t="inlineStr">
        <is>
          <t>LAB-000547</t>
        </is>
      </c>
      <c r="B548" s="53" t="inlineStr">
        <is>
          <t>WP-00247</t>
        </is>
      </c>
      <c r="C548" s="53" t="inlineStr">
        <is>
          <t>TECH-071</t>
        </is>
      </c>
      <c r="D548" s="53" t="inlineStr">
        <is>
          <t>Structures</t>
        </is>
      </c>
      <c r="E548" s="53" t="inlineStr">
        <is>
          <t>2024-12-07</t>
        </is>
      </c>
      <c r="F548" s="53">
        <v>4.6</v>
      </c>
      <c r="G548" s="53">
        <v>0</v>
      </c>
      <c r="H548" s="51" t="str">
        <f>TEXT(tblLaborEntries[[#This Row],[Work date serial]]-WEEKDAY(tblLaborEntries[[#This Row],[Work date serial]],3),"yyyy-mm-dd")</f>
        <v>2024-12-02</v>
      </c>
      <c r="I548" s="64">
        <f>DATEVALUE(tblLaborEntries[[#This Row],[Work date]])</f>
        <v>45633.0</v>
      </c>
    </row>
    <row r="549" spans="1:9" ht="15" x14ac:dyDescent="0.25">
      <c r="A549" s="53" t="inlineStr">
        <is>
          <t>LAB-000548</t>
        </is>
      </c>
      <c r="B549" s="53" t="inlineStr">
        <is>
          <t>WP-00247</t>
        </is>
      </c>
      <c r="C549" s="53" t="inlineStr">
        <is>
          <t>TECH-047</t>
        </is>
      </c>
      <c r="D549" s="53" t="inlineStr">
        <is>
          <t>Structures</t>
        </is>
      </c>
      <c r="E549" s="53" t="inlineStr">
        <is>
          <t>2024-12-08</t>
        </is>
      </c>
      <c r="F549" s="53">
        <v>6.4</v>
      </c>
      <c r="G549" s="53">
        <v>0</v>
      </c>
      <c r="H549" s="51" t="str">
        <f>TEXT(tblLaborEntries[[#This Row],[Work date serial]]-WEEKDAY(tblLaborEntries[[#This Row],[Work date serial]],3),"yyyy-mm-dd")</f>
        <v>2024-12-02</v>
      </c>
      <c r="I549" s="64">
        <f>DATEVALUE(tblLaborEntries[[#This Row],[Work date]])</f>
        <v>45634.0</v>
      </c>
    </row>
    <row r="550" spans="1:9" ht="15" x14ac:dyDescent="0.25">
      <c r="A550" s="53" t="inlineStr">
        <is>
          <t>LAB-000549</t>
        </is>
      </c>
      <c r="B550" s="53" t="inlineStr">
        <is>
          <t>WP-00248</t>
        </is>
      </c>
      <c r="C550" s="53" t="inlineStr">
        <is>
          <t>TECH-061</t>
        </is>
      </c>
      <c r="D550" s="53" t="inlineStr">
        <is>
          <t>Airframe</t>
        </is>
      </c>
      <c r="E550" s="53" t="inlineStr">
        <is>
          <t>2024-04-07</t>
        </is>
      </c>
      <c r="F550" s="53">
        <v>8.4</v>
      </c>
      <c r="G550" s="53">
        <v>0.4</v>
      </c>
      <c r="H550" s="51" t="str">
        <f>TEXT(tblLaborEntries[[#This Row],[Work date serial]]-WEEKDAY(tblLaborEntries[[#This Row],[Work date serial]],3),"yyyy-mm-dd")</f>
        <v>2024-04-01</v>
      </c>
      <c r="I550" s="64">
        <f>DATEVALUE(tblLaborEntries[[#This Row],[Work date]])</f>
        <v>45389.0</v>
      </c>
    </row>
    <row r="551" spans="1:9" ht="15" x14ac:dyDescent="0.25">
      <c r="A551" s="53" t="inlineStr">
        <is>
          <t>LAB-000550</t>
        </is>
      </c>
      <c r="B551" s="53" t="inlineStr">
        <is>
          <t>WP-00249</t>
        </is>
      </c>
      <c r="C551" s="53" t="inlineStr">
        <is>
          <t>TECH-002</t>
        </is>
      </c>
      <c r="D551" s="53" t="inlineStr">
        <is>
          <t>Avionics</t>
        </is>
      </c>
      <c r="E551" s="53" t="inlineStr">
        <is>
          <t>2024-07-09</t>
        </is>
      </c>
      <c r="F551" s="53">
        <v>5.5</v>
      </c>
      <c r="G551" s="53">
        <v>0</v>
      </c>
      <c r="H551" s="51" t="str">
        <f>TEXT(tblLaborEntries[[#This Row],[Work date serial]]-WEEKDAY(tblLaborEntries[[#This Row],[Work date serial]],3),"yyyy-mm-dd")</f>
        <v>2024-07-08</v>
      </c>
      <c r="I551" s="64">
        <f>DATEVALUE(tblLaborEntries[[#This Row],[Work date]])</f>
        <v>45482.0</v>
      </c>
    </row>
    <row r="552" spans="1:9" ht="15" x14ac:dyDescent="0.25">
      <c r="A552" s="53" t="inlineStr">
        <is>
          <t>LAB-000551</t>
        </is>
      </c>
      <c r="B552" s="53" t="inlineStr">
        <is>
          <t>WP-00249</t>
        </is>
      </c>
      <c r="C552" s="53" t="inlineStr">
        <is>
          <t>TECH-038</t>
        </is>
      </c>
      <c r="D552" s="53" t="inlineStr">
        <is>
          <t>Avionics</t>
        </is>
      </c>
      <c r="E552" s="53" t="inlineStr">
        <is>
          <t>2024-07-10</t>
        </is>
      </c>
      <c r="F552" s="53">
        <v>6.9</v>
      </c>
      <c r="G552" s="53">
        <v>0</v>
      </c>
      <c r="H552" s="51" t="str">
        <f>TEXT(tblLaborEntries[[#This Row],[Work date serial]]-WEEKDAY(tblLaborEntries[[#This Row],[Work date serial]],3),"yyyy-mm-dd")</f>
        <v>2024-07-08</v>
      </c>
      <c r="I552" s="64">
        <f>DATEVALUE(tblLaborEntries[[#This Row],[Work date]])</f>
        <v>45483.0</v>
      </c>
    </row>
    <row r="553" spans="1:9" ht="15" x14ac:dyDescent="0.25">
      <c r="A553" s="53" t="inlineStr">
        <is>
          <t>LAB-000552</t>
        </is>
      </c>
      <c r="B553" s="53" t="inlineStr">
        <is>
          <t>WP-00249</t>
        </is>
      </c>
      <c r="C553" s="53" t="inlineStr">
        <is>
          <t>TECH-044</t>
        </is>
      </c>
      <c r="D553" s="53" t="inlineStr">
        <is>
          <t>Avionics</t>
        </is>
      </c>
      <c r="E553" s="53" t="inlineStr">
        <is>
          <t>2024-07-11</t>
        </is>
      </c>
      <c r="F553" s="53">
        <v>6.4</v>
      </c>
      <c r="G553" s="53">
        <v>0</v>
      </c>
      <c r="H553" s="51" t="str">
        <f>TEXT(tblLaborEntries[[#This Row],[Work date serial]]-WEEKDAY(tblLaborEntries[[#This Row],[Work date serial]],3),"yyyy-mm-dd")</f>
        <v>2024-07-08</v>
      </c>
      <c r="I553" s="64">
        <f>DATEVALUE(tblLaborEntries[[#This Row],[Work date]])</f>
        <v>45484.0</v>
      </c>
    </row>
    <row r="554" spans="1:9" ht="15" x14ac:dyDescent="0.25">
      <c r="A554" s="53" t="inlineStr">
        <is>
          <t>LAB-000553</t>
        </is>
      </c>
      <c r="B554" s="53" t="inlineStr">
        <is>
          <t>WP-00250</t>
        </is>
      </c>
      <c r="C554" s="53" t="inlineStr">
        <is>
          <t>TECH-033</t>
        </is>
      </c>
      <c r="D554" s="53" t="inlineStr">
        <is>
          <t>Hydraulics</t>
        </is>
      </c>
      <c r="E554" s="53" t="inlineStr">
        <is>
          <t>2024-10-23</t>
        </is>
      </c>
      <c r="F554" s="53">
        <v>4.8</v>
      </c>
      <c r="G554" s="53">
        <v>0</v>
      </c>
      <c r="H554" s="51" t="str">
        <f>TEXT(tblLaborEntries[[#This Row],[Work date serial]]-WEEKDAY(tblLaborEntries[[#This Row],[Work date serial]],3),"yyyy-mm-dd")</f>
        <v>2024-10-21</v>
      </c>
      <c r="I554" s="64">
        <f>DATEVALUE(tblLaborEntries[[#This Row],[Work date]])</f>
        <v>45588.0</v>
      </c>
    </row>
    <row r="555" spans="1:9" ht="15" x14ac:dyDescent="0.25">
      <c r="A555" s="53" t="inlineStr">
        <is>
          <t>LAB-000554</t>
        </is>
      </c>
      <c r="B555" s="53" t="inlineStr">
        <is>
          <t>WP-00250</t>
        </is>
      </c>
      <c r="C555" s="53" t="inlineStr">
        <is>
          <t>TECH-075</t>
        </is>
      </c>
      <c r="D555" s="53" t="inlineStr">
        <is>
          <t>Hydraulics</t>
        </is>
      </c>
      <c r="E555" s="53" t="inlineStr">
        <is>
          <t>2024-10-24</t>
        </is>
      </c>
      <c r="F555" s="53">
        <v>4.3</v>
      </c>
      <c r="G555" s="53">
        <v>0</v>
      </c>
      <c r="H555" s="51" t="str">
        <f>TEXT(tblLaborEntries[[#This Row],[Work date serial]]-WEEKDAY(tblLaborEntries[[#This Row],[Work date serial]],3),"yyyy-mm-dd")</f>
        <v>2024-10-21</v>
      </c>
      <c r="I555" s="64">
        <f>DATEVALUE(tblLaborEntries[[#This Row],[Work date]])</f>
        <v>45589.0</v>
      </c>
    </row>
    <row r="556" spans="1:9" ht="15" x14ac:dyDescent="0.25">
      <c r="A556" s="53" t="inlineStr">
        <is>
          <t>LAB-000555</t>
        </is>
      </c>
      <c r="B556" s="53" t="inlineStr">
        <is>
          <t>WP-00250</t>
        </is>
      </c>
      <c r="C556" s="53" t="inlineStr">
        <is>
          <t>TECH-003</t>
        </is>
      </c>
      <c r="D556" s="53" t="inlineStr">
        <is>
          <t>Hydraulics</t>
        </is>
      </c>
      <c r="E556" s="53" t="inlineStr">
        <is>
          <t>2024-10-25</t>
        </is>
      </c>
      <c r="F556" s="53">
        <v>6.5</v>
      </c>
      <c r="G556" s="53">
        <v>0</v>
      </c>
      <c r="H556" s="51" t="str">
        <f>TEXT(tblLaborEntries[[#This Row],[Work date serial]]-WEEKDAY(tblLaborEntries[[#This Row],[Work date serial]],3),"yyyy-mm-dd")</f>
        <v>2024-10-21</v>
      </c>
      <c r="I556" s="64">
        <f>DATEVALUE(tblLaborEntries[[#This Row],[Work date]])</f>
        <v>45590.0</v>
      </c>
    </row>
    <row r="557" spans="1:9" ht="15" x14ac:dyDescent="0.25">
      <c r="A557" s="53" t="inlineStr">
        <is>
          <t>LAB-000556</t>
        </is>
      </c>
      <c r="B557" s="53" t="inlineStr">
        <is>
          <t>WP-00251</t>
        </is>
      </c>
      <c r="C557" s="53" t="inlineStr">
        <is>
          <t>TECH-008</t>
        </is>
      </c>
      <c r="D557" s="53" t="inlineStr">
        <is>
          <t>Avionics</t>
        </is>
      </c>
      <c r="E557" s="53" t="inlineStr">
        <is>
          <t>2025-09-03</t>
        </is>
      </c>
      <c r="F557" s="53">
        <v>2.4</v>
      </c>
      <c r="G557" s="53">
        <v>0</v>
      </c>
      <c r="H557" s="51" t="str">
        <f>TEXT(tblLaborEntries[[#This Row],[Work date serial]]-WEEKDAY(tblLaborEntries[[#This Row],[Work date serial]],3),"yyyy-mm-dd")</f>
        <v>2025-09-01</v>
      </c>
      <c r="I557" s="64">
        <f>DATEVALUE(tblLaborEntries[[#This Row],[Work date]])</f>
        <v>45903.0</v>
      </c>
    </row>
    <row r="558" spans="1:9" ht="15" x14ac:dyDescent="0.25">
      <c r="A558" s="53" t="inlineStr">
        <is>
          <t>LAB-000557</t>
        </is>
      </c>
      <c r="B558" s="53" t="inlineStr">
        <is>
          <t>WP-00251</t>
        </is>
      </c>
      <c r="C558" s="53" t="inlineStr">
        <is>
          <t>TECH-068</t>
        </is>
      </c>
      <c r="D558" s="53" t="inlineStr">
        <is>
          <t>Avionics</t>
        </is>
      </c>
      <c r="E558" s="53" t="inlineStr">
        <is>
          <t>2025-09-04</t>
        </is>
      </c>
      <c r="F558" s="53">
        <v>1.9</v>
      </c>
      <c r="G558" s="53">
        <v>0</v>
      </c>
      <c r="H558" s="51" t="str">
        <f>TEXT(tblLaborEntries[[#This Row],[Work date serial]]-WEEKDAY(tblLaborEntries[[#This Row],[Work date serial]],3),"yyyy-mm-dd")</f>
        <v>2025-09-01</v>
      </c>
      <c r="I558" s="64">
        <f>DATEVALUE(tblLaborEntries[[#This Row],[Work date]])</f>
        <v>45904.0</v>
      </c>
    </row>
    <row r="559" spans="1:9" ht="15" x14ac:dyDescent="0.25">
      <c r="A559" s="53" t="inlineStr">
        <is>
          <t>LAB-000558</t>
        </is>
      </c>
      <c r="B559" s="53" t="inlineStr">
        <is>
          <t>WP-00251</t>
        </is>
      </c>
      <c r="C559" s="53" t="inlineStr">
        <is>
          <t>TECH-038</t>
        </is>
      </c>
      <c r="D559" s="53" t="inlineStr">
        <is>
          <t>Avionics</t>
        </is>
      </c>
      <c r="E559" s="53" t="inlineStr">
        <is>
          <t>2025-09-05</t>
        </is>
      </c>
      <c r="F559" s="53">
        <v>2</v>
      </c>
      <c r="G559" s="53">
        <v>0</v>
      </c>
      <c r="H559" s="51" t="str">
        <f>TEXT(tblLaborEntries[[#This Row],[Work date serial]]-WEEKDAY(tblLaborEntries[[#This Row],[Work date serial]],3),"yyyy-mm-dd")</f>
        <v>2025-09-01</v>
      </c>
      <c r="I559" s="64">
        <f>DATEVALUE(tblLaborEntries[[#This Row],[Work date]])</f>
        <v>45905.0</v>
      </c>
    </row>
    <row r="560" spans="1:9" ht="15" x14ac:dyDescent="0.25">
      <c r="A560" s="53" t="inlineStr">
        <is>
          <t>LAB-000559</t>
        </is>
      </c>
      <c r="B560" s="53" t="inlineStr">
        <is>
          <t>WP-00252</t>
        </is>
      </c>
      <c r="C560" s="53" t="inlineStr">
        <is>
          <t>TECH-031</t>
        </is>
      </c>
      <c r="D560" s="53" t="inlineStr">
        <is>
          <t>Airframe</t>
        </is>
      </c>
      <c r="E560" s="53" t="inlineStr">
        <is>
          <t>2025-11-06</t>
        </is>
      </c>
      <c r="F560" s="53">
        <v>6.4</v>
      </c>
      <c r="G560" s="53">
        <v>0</v>
      </c>
      <c r="H560" s="51" t="str">
        <f>TEXT(tblLaborEntries[[#This Row],[Work date serial]]-WEEKDAY(tblLaborEntries[[#This Row],[Work date serial]],3),"yyyy-mm-dd")</f>
        <v>2025-11-03</v>
      </c>
      <c r="I560" s="64">
        <f>DATEVALUE(tblLaborEntries[[#This Row],[Work date]])</f>
        <v>45967.0</v>
      </c>
    </row>
    <row r="561" spans="1:9" ht="15" x14ac:dyDescent="0.25">
      <c r="A561" s="53" t="inlineStr">
        <is>
          <t>LAB-000560</t>
        </is>
      </c>
      <c r="B561" s="53" t="inlineStr">
        <is>
          <t>WP-00253</t>
        </is>
      </c>
      <c r="C561" s="53" t="inlineStr">
        <is>
          <t>TECH-044</t>
        </is>
      </c>
      <c r="D561" s="53" t="inlineStr">
        <is>
          <t>Avionics</t>
        </is>
      </c>
      <c r="E561" s="53" t="inlineStr">
        <is>
          <t>2024-11-15</t>
        </is>
      </c>
      <c r="F561" s="53">
        <v>1.5</v>
      </c>
      <c r="G561" s="53">
        <v>0</v>
      </c>
      <c r="H561" s="51" t="str">
        <f>TEXT(tblLaborEntries[[#This Row],[Work date serial]]-WEEKDAY(tblLaborEntries[[#This Row],[Work date serial]],3),"yyyy-mm-dd")</f>
        <v>2024-11-11</v>
      </c>
      <c r="I561" s="64">
        <f>DATEVALUE(tblLaborEntries[[#This Row],[Work date]])</f>
        <v>45611.0</v>
      </c>
    </row>
    <row r="562" spans="1:9" ht="15" x14ac:dyDescent="0.25">
      <c r="A562" s="53" t="inlineStr">
        <is>
          <t>LAB-000561</t>
        </is>
      </c>
      <c r="B562" s="53" t="inlineStr">
        <is>
          <t>WP-00253</t>
        </is>
      </c>
      <c r="C562" s="53" t="inlineStr">
        <is>
          <t>TECH-008</t>
        </is>
      </c>
      <c r="D562" s="53" t="inlineStr">
        <is>
          <t>Avionics</t>
        </is>
      </c>
      <c r="E562" s="53" t="inlineStr">
        <is>
          <t>2024-11-16</t>
        </is>
      </c>
      <c r="F562" s="53">
        <v>1.1</v>
      </c>
      <c r="G562" s="53">
        <v>0</v>
      </c>
      <c r="H562" s="51" t="str">
        <f>TEXT(tblLaborEntries[[#This Row],[Work date serial]]-WEEKDAY(tblLaborEntries[[#This Row],[Work date serial]],3),"yyyy-mm-dd")</f>
        <v>2024-11-11</v>
      </c>
      <c r="I562" s="64">
        <f>DATEVALUE(tblLaborEntries[[#This Row],[Work date]])</f>
        <v>45612.0</v>
      </c>
    </row>
    <row r="563" spans="1:9" ht="15" x14ac:dyDescent="0.25">
      <c r="A563" s="53" t="inlineStr">
        <is>
          <t>LAB-000562</t>
        </is>
      </c>
      <c r="B563" s="53" t="inlineStr">
        <is>
          <t>WP-00254</t>
        </is>
      </c>
      <c r="C563" s="53" t="inlineStr">
        <is>
          <t>TECH-001</t>
        </is>
      </c>
      <c r="D563" s="53" t="inlineStr">
        <is>
          <t>Airframe</t>
        </is>
      </c>
      <c r="E563" s="53" t="inlineStr">
        <is>
          <t>2025-01-08</t>
        </is>
      </c>
      <c r="F563" s="53">
        <v>6.4</v>
      </c>
      <c r="G563" s="53">
        <v>0</v>
      </c>
      <c r="H563" s="51" t="str">
        <f>TEXT(tblLaborEntries[[#This Row],[Work date serial]]-WEEKDAY(tblLaborEntries[[#This Row],[Work date serial]],3),"yyyy-mm-dd")</f>
        <v>2025-01-06</v>
      </c>
      <c r="I563" s="64">
        <f>DATEVALUE(tblLaborEntries[[#This Row],[Work date]])</f>
        <v>45665.0</v>
      </c>
    </row>
    <row r="564" spans="1:9" ht="15" x14ac:dyDescent="0.25">
      <c r="A564" s="53" t="inlineStr">
        <is>
          <t>LAB-000563</t>
        </is>
      </c>
      <c r="B564" s="53" t="inlineStr">
        <is>
          <t>WP-00255</t>
        </is>
      </c>
      <c r="C564" s="53" t="inlineStr">
        <is>
          <t>TECH-063</t>
        </is>
      </c>
      <c r="D564" s="53" t="inlineStr">
        <is>
          <t>Hydraulics</t>
        </is>
      </c>
      <c r="E564" s="53" t="inlineStr">
        <is>
          <t>2024-09-24</t>
        </is>
      </c>
      <c r="F564" s="53">
        <v>7.8</v>
      </c>
      <c r="G564" s="53">
        <v>0</v>
      </c>
      <c r="H564" s="51" t="str">
        <f>TEXT(tblLaborEntries[[#This Row],[Work date serial]]-WEEKDAY(tblLaborEntries[[#This Row],[Work date serial]],3),"yyyy-mm-dd")</f>
        <v>2024-09-23</v>
      </c>
      <c r="I564" s="64">
        <f>DATEVALUE(tblLaborEntries[[#This Row],[Work date]])</f>
        <v>45559.0</v>
      </c>
    </row>
    <row r="565" spans="1:9" ht="15" x14ac:dyDescent="0.25">
      <c r="A565" s="53" t="inlineStr">
        <is>
          <t>LAB-000564</t>
        </is>
      </c>
      <c r="B565" s="53" t="inlineStr">
        <is>
          <t>WP-00255</t>
        </is>
      </c>
      <c r="C565" s="53" t="inlineStr">
        <is>
          <t>TECH-057</t>
        </is>
      </c>
      <c r="D565" s="53" t="inlineStr">
        <is>
          <t>Hydraulics</t>
        </is>
      </c>
      <c r="E565" s="53" t="inlineStr">
        <is>
          <t>2024-09-25</t>
        </is>
      </c>
      <c r="F565" s="53">
        <v>6.6</v>
      </c>
      <c r="G565" s="53">
        <v>0</v>
      </c>
      <c r="H565" s="51" t="str">
        <f>TEXT(tblLaborEntries[[#This Row],[Work date serial]]-WEEKDAY(tblLaborEntries[[#This Row],[Work date serial]],3),"yyyy-mm-dd")</f>
        <v>2024-09-23</v>
      </c>
      <c r="I565" s="64">
        <f>DATEVALUE(tblLaborEntries[[#This Row],[Work date]])</f>
        <v>45560.0</v>
      </c>
    </row>
    <row r="566" spans="1:9" ht="15" x14ac:dyDescent="0.25">
      <c r="A566" s="53" t="inlineStr">
        <is>
          <t>LAB-000565</t>
        </is>
      </c>
      <c r="B566" s="53" t="inlineStr">
        <is>
          <t>WP-00255</t>
        </is>
      </c>
      <c r="C566" s="53" t="inlineStr">
        <is>
          <t>TECH-063</t>
        </is>
      </c>
      <c r="D566" s="53" t="inlineStr">
        <is>
          <t>Hydraulics</t>
        </is>
      </c>
      <c r="E566" s="53" t="inlineStr">
        <is>
          <t>2024-09-26</t>
        </is>
      </c>
      <c r="F566" s="53">
        <v>6.2</v>
      </c>
      <c r="G566" s="53">
        <v>0</v>
      </c>
      <c r="H566" s="51" t="str">
        <f>TEXT(tblLaborEntries[[#This Row],[Work date serial]]-WEEKDAY(tblLaborEntries[[#This Row],[Work date serial]],3),"yyyy-mm-dd")</f>
        <v>2024-09-23</v>
      </c>
      <c r="I566" s="64">
        <f>DATEVALUE(tblLaborEntries[[#This Row],[Work date]])</f>
        <v>45561.0</v>
      </c>
    </row>
    <row r="567" spans="1:9" ht="15" x14ac:dyDescent="0.25">
      <c r="A567" s="53" t="inlineStr">
        <is>
          <t>LAB-000566</t>
        </is>
      </c>
      <c r="B567" s="53" t="inlineStr">
        <is>
          <t>WP-00256</t>
        </is>
      </c>
      <c r="C567" s="53" t="inlineStr">
        <is>
          <t>TECH-005</t>
        </is>
      </c>
      <c r="D567" s="53" t="inlineStr">
        <is>
          <t>Structures</t>
        </is>
      </c>
      <c r="E567" s="53" t="inlineStr">
        <is>
          <t>2025-05-15</t>
        </is>
      </c>
      <c r="F567" s="53">
        <v>5.3</v>
      </c>
      <c r="G567" s="53">
        <v>0</v>
      </c>
      <c r="H567" s="51" t="str">
        <f>TEXT(tblLaborEntries[[#This Row],[Work date serial]]-WEEKDAY(tblLaborEntries[[#This Row],[Work date serial]],3),"yyyy-mm-dd")</f>
        <v>2025-05-12</v>
      </c>
      <c r="I567" s="64">
        <f>DATEVALUE(tblLaborEntries[[#This Row],[Work date]])</f>
        <v>45792.0</v>
      </c>
    </row>
    <row r="568" spans="1:9" ht="15" x14ac:dyDescent="0.25">
      <c r="A568" s="53" t="inlineStr">
        <is>
          <t>LAB-000567</t>
        </is>
      </c>
      <c r="B568" s="53" t="inlineStr">
        <is>
          <t>WP-00256</t>
        </is>
      </c>
      <c r="C568" s="53" t="inlineStr">
        <is>
          <t>TECH-023</t>
        </is>
      </c>
      <c r="D568" s="53" t="inlineStr">
        <is>
          <t>Structures</t>
        </is>
      </c>
      <c r="E568" s="53" t="inlineStr">
        <is>
          <t>2025-05-15</t>
        </is>
      </c>
      <c r="F568" s="53">
        <v>12</v>
      </c>
      <c r="G568" s="53">
        <v>4</v>
      </c>
      <c r="H568" s="51" t="str">
        <f>TEXT(tblLaborEntries[[#This Row],[Work date serial]]-WEEKDAY(tblLaborEntries[[#This Row],[Work date serial]],3),"yyyy-mm-dd")</f>
        <v>2025-05-12</v>
      </c>
      <c r="I568" s="64">
        <f>DATEVALUE(tblLaborEntries[[#This Row],[Work date]])</f>
        <v>45792.0</v>
      </c>
    </row>
    <row r="569" spans="1:9" ht="15" x14ac:dyDescent="0.25">
      <c r="A569" s="53" t="inlineStr">
        <is>
          <t>LAB-000568</t>
        </is>
      </c>
      <c r="B569" s="53" t="inlineStr">
        <is>
          <t>WP-00256</t>
        </is>
      </c>
      <c r="C569" s="53" t="inlineStr">
        <is>
          <t>TECH-005</t>
        </is>
      </c>
      <c r="D569" s="53" t="inlineStr">
        <is>
          <t>Structures</t>
        </is>
      </c>
      <c r="E569" s="53" t="inlineStr">
        <is>
          <t>2025-05-16</t>
        </is>
      </c>
      <c r="F569" s="53">
        <v>6.5</v>
      </c>
      <c r="G569" s="53">
        <v>0</v>
      </c>
      <c r="H569" s="51" t="str">
        <f>TEXT(tblLaborEntries[[#This Row],[Work date serial]]-WEEKDAY(tblLaborEntries[[#This Row],[Work date serial]],3),"yyyy-mm-dd")</f>
        <v>2025-05-12</v>
      </c>
      <c r="I569" s="64">
        <f>DATEVALUE(tblLaborEntries[[#This Row],[Work date]])</f>
        <v>45793.0</v>
      </c>
    </row>
    <row r="570" spans="1:9" ht="15" x14ac:dyDescent="0.25">
      <c r="A570" s="53" t="inlineStr">
        <is>
          <t>LAB-000569</t>
        </is>
      </c>
      <c r="B570" s="53" t="inlineStr">
        <is>
          <t>WP-00256</t>
        </is>
      </c>
      <c r="C570" s="53" t="inlineStr">
        <is>
          <t>TECH-071</t>
        </is>
      </c>
      <c r="D570" s="53" t="inlineStr">
        <is>
          <t>Structures</t>
        </is>
      </c>
      <c r="E570" s="53" t="inlineStr">
        <is>
          <t>2025-05-16</t>
        </is>
      </c>
      <c r="F570" s="53">
        <v>12</v>
      </c>
      <c r="G570" s="53">
        <v>4</v>
      </c>
      <c r="H570" s="51" t="str">
        <f>TEXT(tblLaborEntries[[#This Row],[Work date serial]]-WEEKDAY(tblLaborEntries[[#This Row],[Work date serial]],3),"yyyy-mm-dd")</f>
        <v>2025-05-12</v>
      </c>
      <c r="I570" s="64">
        <f>DATEVALUE(tblLaborEntries[[#This Row],[Work date]])</f>
        <v>45793.0</v>
      </c>
    </row>
    <row r="571" spans="1:9" ht="15" x14ac:dyDescent="0.25">
      <c r="A571" s="53" t="inlineStr">
        <is>
          <t>LAB-000570</t>
        </is>
      </c>
      <c r="B571" s="53" t="inlineStr">
        <is>
          <t>WP-00257</t>
        </is>
      </c>
      <c r="C571" s="53" t="inlineStr">
        <is>
          <t>TECH-032</t>
        </is>
      </c>
      <c r="D571" s="53" t="inlineStr">
        <is>
          <t>Avionics</t>
        </is>
      </c>
      <c r="E571" s="53" t="inlineStr">
        <is>
          <t>2024-05-06</t>
        </is>
      </c>
      <c r="F571" s="53">
        <v>3.4</v>
      </c>
      <c r="G571" s="53">
        <v>0</v>
      </c>
      <c r="H571" s="51" t="str">
        <f>TEXT(tblLaborEntries[[#This Row],[Work date serial]]-WEEKDAY(tblLaborEntries[[#This Row],[Work date serial]],3),"yyyy-mm-dd")</f>
        <v>2024-05-06</v>
      </c>
      <c r="I571" s="64">
        <f>DATEVALUE(tblLaborEntries[[#This Row],[Work date]])</f>
        <v>45418.0</v>
      </c>
    </row>
    <row r="572" spans="1:9" ht="15" x14ac:dyDescent="0.25">
      <c r="A572" s="53" t="inlineStr">
        <is>
          <t>LAB-000571</t>
        </is>
      </c>
      <c r="B572" s="53" t="inlineStr">
        <is>
          <t>WP-00257</t>
        </is>
      </c>
      <c r="C572" s="53" t="inlineStr">
        <is>
          <t>TECH-074</t>
        </is>
      </c>
      <c r="D572" s="53" t="inlineStr">
        <is>
          <t>Avionics</t>
        </is>
      </c>
      <c r="E572" s="53" t="inlineStr">
        <is>
          <t>2024-05-07</t>
        </is>
      </c>
      <c r="F572" s="53">
        <v>2.8</v>
      </c>
      <c r="G572" s="53">
        <v>0</v>
      </c>
      <c r="H572" s="51" t="str">
        <f>TEXT(tblLaborEntries[[#This Row],[Work date serial]]-WEEKDAY(tblLaborEntries[[#This Row],[Work date serial]],3),"yyyy-mm-dd")</f>
        <v>2024-05-06</v>
      </c>
      <c r="I572" s="64">
        <f>DATEVALUE(tblLaborEntries[[#This Row],[Work date]])</f>
        <v>45419.0</v>
      </c>
    </row>
    <row r="573" spans="1:9" ht="15" x14ac:dyDescent="0.25">
      <c r="A573" s="53" t="inlineStr">
        <is>
          <t>LAB-000572</t>
        </is>
      </c>
      <c r="B573" s="53" t="inlineStr">
        <is>
          <t>WP-00257</t>
        </is>
      </c>
      <c r="C573" s="53" t="inlineStr">
        <is>
          <t>TECH-056</t>
        </is>
      </c>
      <c r="D573" s="53" t="inlineStr">
        <is>
          <t>Avionics</t>
        </is>
      </c>
      <c r="E573" s="53" t="inlineStr">
        <is>
          <t>2024-05-08</t>
        </is>
      </c>
      <c r="F573" s="53">
        <v>3.7</v>
      </c>
      <c r="G573" s="53">
        <v>0</v>
      </c>
      <c r="H573" s="51" t="str">
        <f>TEXT(tblLaborEntries[[#This Row],[Work date serial]]-WEEKDAY(tblLaborEntries[[#This Row],[Work date serial]],3),"yyyy-mm-dd")</f>
        <v>2024-05-06</v>
      </c>
      <c r="I573" s="64">
        <f>DATEVALUE(tblLaborEntries[[#This Row],[Work date]])</f>
        <v>45420.0</v>
      </c>
    </row>
    <row r="574" spans="1:9" ht="15" x14ac:dyDescent="0.25">
      <c r="A574" s="53" t="inlineStr">
        <is>
          <t>LAB-000573</t>
        </is>
      </c>
      <c r="B574" s="53" t="inlineStr">
        <is>
          <t>WP-00258</t>
        </is>
      </c>
      <c r="C574" s="53" t="inlineStr">
        <is>
          <t>TECH-001</t>
        </is>
      </c>
      <c r="D574" s="53" t="inlineStr">
        <is>
          <t>Airframe</t>
        </is>
      </c>
      <c r="E574" s="53" t="inlineStr">
        <is>
          <t>2025-03-09</t>
        </is>
      </c>
      <c r="F574" s="53">
        <v>1.9</v>
      </c>
      <c r="G574" s="53">
        <v>0</v>
      </c>
      <c r="H574" s="51" t="str">
        <f>TEXT(tblLaborEntries[[#This Row],[Work date serial]]-WEEKDAY(tblLaborEntries[[#This Row],[Work date serial]],3),"yyyy-mm-dd")</f>
        <v>2025-03-03</v>
      </c>
      <c r="I574" s="64">
        <f>DATEVALUE(tblLaborEntries[[#This Row],[Work date]])</f>
        <v>45725.0</v>
      </c>
    </row>
    <row r="575" spans="1:9" ht="15" x14ac:dyDescent="0.25">
      <c r="A575" s="53" t="inlineStr">
        <is>
          <t>LAB-000574</t>
        </is>
      </c>
      <c r="B575" s="53" t="inlineStr">
        <is>
          <t>WP-00258</t>
        </is>
      </c>
      <c r="C575" s="53" t="inlineStr">
        <is>
          <t>TECH-043</t>
        </is>
      </c>
      <c r="D575" s="53" t="inlineStr">
        <is>
          <t>Airframe</t>
        </is>
      </c>
      <c r="E575" s="53" t="inlineStr">
        <is>
          <t>2025-03-10</t>
        </is>
      </c>
      <c r="F575" s="53">
        <v>2.8</v>
      </c>
      <c r="G575" s="53">
        <v>0</v>
      </c>
      <c r="H575" s="51" t="str">
        <f>TEXT(tblLaborEntries[[#This Row],[Work date serial]]-WEEKDAY(tblLaborEntries[[#This Row],[Work date serial]],3),"yyyy-mm-dd")</f>
        <v>2025-03-10</v>
      </c>
      <c r="I575" s="64">
        <f>DATEVALUE(tblLaborEntries[[#This Row],[Work date]])</f>
        <v>45726.0</v>
      </c>
    </row>
    <row r="576" spans="1:9" ht="15" x14ac:dyDescent="0.25">
      <c r="A576" s="53" t="inlineStr">
        <is>
          <t>LAB-000575</t>
        </is>
      </c>
      <c r="B576" s="53" t="inlineStr">
        <is>
          <t>WP-00258</t>
        </is>
      </c>
      <c r="C576" s="53" t="inlineStr">
        <is>
          <t>TECH-025</t>
        </is>
      </c>
      <c r="D576" s="53" t="inlineStr">
        <is>
          <t>Airframe</t>
        </is>
      </c>
      <c r="E576" s="53" t="inlineStr">
        <is>
          <t>2025-03-11</t>
        </is>
      </c>
      <c r="F576" s="53">
        <v>1.9</v>
      </c>
      <c r="G576" s="53">
        <v>0</v>
      </c>
      <c r="H576" s="51" t="str">
        <f>TEXT(tblLaborEntries[[#This Row],[Work date serial]]-WEEKDAY(tblLaborEntries[[#This Row],[Work date serial]],3),"yyyy-mm-dd")</f>
        <v>2025-03-10</v>
      </c>
      <c r="I576" s="64">
        <f>DATEVALUE(tblLaborEntries[[#This Row],[Work date]])</f>
        <v>45727.0</v>
      </c>
    </row>
    <row r="577" spans="1:9" ht="15" x14ac:dyDescent="0.25">
      <c r="A577" s="53" t="inlineStr">
        <is>
          <t>LAB-000576</t>
        </is>
      </c>
      <c r="B577" s="53" t="inlineStr">
        <is>
          <t>WP-00259</t>
        </is>
      </c>
      <c r="C577" s="53" t="inlineStr">
        <is>
          <t>TECH-020</t>
        </is>
      </c>
      <c r="D577" s="53" t="inlineStr">
        <is>
          <t>Avionics</t>
        </is>
      </c>
      <c r="E577" s="53" t="inlineStr">
        <is>
          <t>2024-11-12</t>
        </is>
      </c>
      <c r="F577" s="53">
        <v>7</v>
      </c>
      <c r="G577" s="53">
        <v>0</v>
      </c>
      <c r="H577" s="51" t="str">
        <f>TEXT(tblLaborEntries[[#This Row],[Work date serial]]-WEEKDAY(tblLaborEntries[[#This Row],[Work date serial]],3),"yyyy-mm-dd")</f>
        <v>2024-11-11</v>
      </c>
      <c r="I577" s="64">
        <f>DATEVALUE(tblLaborEntries[[#This Row],[Work date]])</f>
        <v>45608.0</v>
      </c>
    </row>
    <row r="578" spans="1:9" ht="15" x14ac:dyDescent="0.25">
      <c r="A578" s="53" t="inlineStr">
        <is>
          <t>LAB-000577</t>
        </is>
      </c>
      <c r="B578" s="53" t="inlineStr">
        <is>
          <t>WP-00260</t>
        </is>
      </c>
      <c r="C578" s="53" t="inlineStr">
        <is>
          <t>TECH-054</t>
        </is>
      </c>
      <c r="D578" s="53" t="inlineStr">
        <is>
          <t>Powerplant</t>
        </is>
      </c>
      <c r="E578" s="53" t="inlineStr">
        <is>
          <t>2025-09-10</t>
        </is>
      </c>
      <c r="F578" s="53">
        <v>8</v>
      </c>
      <c r="G578" s="53">
        <v>0</v>
      </c>
      <c r="H578" s="51" t="str">
        <f>TEXT(tblLaborEntries[[#This Row],[Work date serial]]-WEEKDAY(tblLaborEntries[[#This Row],[Work date serial]],3),"yyyy-mm-dd")</f>
        <v>2025-09-08</v>
      </c>
      <c r="I578" s="64">
        <f>DATEVALUE(tblLaborEntries[[#This Row],[Work date]])</f>
        <v>45910.0</v>
      </c>
    </row>
    <row r="579" spans="1:9" ht="15" x14ac:dyDescent="0.25">
      <c r="A579" s="53" t="inlineStr">
        <is>
          <t>LAB-000578</t>
        </is>
      </c>
      <c r="B579" s="53" t="inlineStr">
        <is>
          <t>WP-00260</t>
        </is>
      </c>
      <c r="C579" s="53" t="inlineStr">
        <is>
          <t>TECH-036</t>
        </is>
      </c>
      <c r="D579" s="53" t="inlineStr">
        <is>
          <t>Powerplant</t>
        </is>
      </c>
      <c r="E579" s="53" t="inlineStr">
        <is>
          <t>2025-09-11</t>
        </is>
      </c>
      <c r="F579" s="53">
        <v>7.7</v>
      </c>
      <c r="G579" s="53">
        <v>0</v>
      </c>
      <c r="H579" s="51" t="str">
        <f>TEXT(tblLaborEntries[[#This Row],[Work date serial]]-WEEKDAY(tblLaborEntries[[#This Row],[Work date serial]],3),"yyyy-mm-dd")</f>
        <v>2025-09-08</v>
      </c>
      <c r="I579" s="64">
        <f>DATEVALUE(tblLaborEntries[[#This Row],[Work date]])</f>
        <v>45911.0</v>
      </c>
    </row>
    <row r="580" spans="1:9" ht="15" x14ac:dyDescent="0.25">
      <c r="A580" s="53" t="inlineStr">
        <is>
          <t>LAB-000579</t>
        </is>
      </c>
      <c r="B580" s="53" t="inlineStr">
        <is>
          <t>WP-00261</t>
        </is>
      </c>
      <c r="C580" s="53" t="inlineStr">
        <is>
          <t>TECH-068</t>
        </is>
      </c>
      <c r="D580" s="53" t="inlineStr">
        <is>
          <t>Avionics</t>
        </is>
      </c>
      <c r="E580" s="53" t="inlineStr">
        <is>
          <t>2024-12-13</t>
        </is>
      </c>
      <c r="F580" s="53">
        <v>2.1</v>
      </c>
      <c r="G580" s="53">
        <v>0</v>
      </c>
      <c r="H580" s="51" t="str">
        <f>TEXT(tblLaborEntries[[#This Row],[Work date serial]]-WEEKDAY(tblLaborEntries[[#This Row],[Work date serial]],3),"yyyy-mm-dd")</f>
        <v>2024-12-09</v>
      </c>
      <c r="I580" s="64">
        <f>DATEVALUE(tblLaborEntries[[#This Row],[Work date]])</f>
        <v>45639.0</v>
      </c>
    </row>
    <row r="581" spans="1:9" ht="15" x14ac:dyDescent="0.25">
      <c r="A581" s="53" t="inlineStr">
        <is>
          <t>LAB-000580</t>
        </is>
      </c>
      <c r="B581" s="53" t="inlineStr">
        <is>
          <t>WP-00261</t>
        </is>
      </c>
      <c r="C581" s="53" t="inlineStr">
        <is>
          <t>TECH-062</t>
        </is>
      </c>
      <c r="D581" s="53" t="inlineStr">
        <is>
          <t>Avionics</t>
        </is>
      </c>
      <c r="E581" s="53" t="inlineStr">
        <is>
          <t>2024-12-14</t>
        </is>
      </c>
      <c r="F581" s="53">
        <v>1.9</v>
      </c>
      <c r="G581" s="53">
        <v>0</v>
      </c>
      <c r="H581" s="51" t="str">
        <f>TEXT(tblLaborEntries[[#This Row],[Work date serial]]-WEEKDAY(tblLaborEntries[[#This Row],[Work date serial]],3),"yyyy-mm-dd")</f>
        <v>2024-12-09</v>
      </c>
      <c r="I581" s="64">
        <f>DATEVALUE(tblLaborEntries[[#This Row],[Work date]])</f>
        <v>45640.0</v>
      </c>
    </row>
    <row r="582" spans="1:9" ht="15" x14ac:dyDescent="0.25">
      <c r="A582" s="53" t="inlineStr">
        <is>
          <t>LAB-000581</t>
        </is>
      </c>
      <c r="B582" s="53" t="inlineStr">
        <is>
          <t>WP-00262</t>
        </is>
      </c>
      <c r="C582" s="53" t="inlineStr">
        <is>
          <t>TECH-058</t>
        </is>
      </c>
      <c r="D582" s="53" t="inlineStr">
        <is>
          <t>Electrical</t>
        </is>
      </c>
      <c r="E582" s="53" t="inlineStr">
        <is>
          <t>2025-06-06</t>
        </is>
      </c>
      <c r="F582" s="53">
        <v>9</v>
      </c>
      <c r="G582" s="53">
        <v>1</v>
      </c>
      <c r="H582" s="51" t="str">
        <f>TEXT(tblLaborEntries[[#This Row],[Work date serial]]-WEEKDAY(tblLaborEntries[[#This Row],[Work date serial]],3),"yyyy-mm-dd")</f>
        <v>2025-06-02</v>
      </c>
      <c r="I582" s="64">
        <f>DATEVALUE(tblLaborEntries[[#This Row],[Work date]])</f>
        <v>45814.0</v>
      </c>
    </row>
    <row r="583" spans="1:9" ht="15" x14ac:dyDescent="0.25">
      <c r="A583" s="53" t="inlineStr">
        <is>
          <t>LAB-000582</t>
        </is>
      </c>
      <c r="B583" s="53" t="inlineStr">
        <is>
          <t>WP-00262</t>
        </is>
      </c>
      <c r="C583" s="53" t="inlineStr">
        <is>
          <t>TECH-022</t>
        </is>
      </c>
      <c r="D583" s="53" t="inlineStr">
        <is>
          <t>Electrical</t>
        </is>
      </c>
      <c r="E583" s="53" t="inlineStr">
        <is>
          <t>2025-06-07</t>
        </is>
      </c>
      <c r="F583" s="53">
        <v>11.4</v>
      </c>
      <c r="G583" s="53">
        <v>3.4</v>
      </c>
      <c r="H583" s="51" t="str">
        <f>TEXT(tblLaborEntries[[#This Row],[Work date serial]]-WEEKDAY(tblLaborEntries[[#This Row],[Work date serial]],3),"yyyy-mm-dd")</f>
        <v>2025-06-02</v>
      </c>
      <c r="I583" s="64">
        <f>DATEVALUE(tblLaborEntries[[#This Row],[Work date]])</f>
        <v>45815.0</v>
      </c>
    </row>
    <row r="584" spans="1:9" ht="15" x14ac:dyDescent="0.25">
      <c r="A584" s="53" t="inlineStr">
        <is>
          <t>LAB-000583</t>
        </is>
      </c>
      <c r="B584" s="53" t="inlineStr">
        <is>
          <t>WP-00263</t>
        </is>
      </c>
      <c r="C584" s="53" t="inlineStr">
        <is>
          <t>TECH-006</t>
        </is>
      </c>
      <c r="D584" s="53" t="inlineStr">
        <is>
          <t>Powerplant</t>
        </is>
      </c>
      <c r="E584" s="53" t="inlineStr">
        <is>
          <t>2025-12-12</t>
        </is>
      </c>
      <c r="F584" s="53">
        <v>7.3</v>
      </c>
      <c r="G584" s="53">
        <v>0</v>
      </c>
      <c r="H584" s="51" t="str">
        <f>TEXT(tblLaborEntries[[#This Row],[Work date serial]]-WEEKDAY(tblLaborEntries[[#This Row],[Work date serial]],3),"yyyy-mm-dd")</f>
        <v>2025-12-08</v>
      </c>
      <c r="I584" s="64">
        <f>DATEVALUE(tblLaborEntries[[#This Row],[Work date]])</f>
        <v>46003.0</v>
      </c>
    </row>
    <row r="585" spans="1:9" ht="15" x14ac:dyDescent="0.25">
      <c r="A585" s="53" t="inlineStr">
        <is>
          <t>LAB-000584</t>
        </is>
      </c>
      <c r="B585" s="53" t="inlineStr">
        <is>
          <t>WP-00263</t>
        </is>
      </c>
      <c r="C585" s="53" t="inlineStr">
        <is>
          <t>TECH-066</t>
        </is>
      </c>
      <c r="D585" s="53" t="inlineStr">
        <is>
          <t>Powerplant</t>
        </is>
      </c>
      <c r="E585" s="53" t="inlineStr">
        <is>
          <t>2025-12-12</t>
        </is>
      </c>
      <c r="F585" s="53">
        <v>12</v>
      </c>
      <c r="G585" s="53">
        <v>4</v>
      </c>
      <c r="H585" s="51" t="str">
        <f>TEXT(tblLaborEntries[[#This Row],[Work date serial]]-WEEKDAY(tblLaborEntries[[#This Row],[Work date serial]],3),"yyyy-mm-dd")</f>
        <v>2025-12-08</v>
      </c>
      <c r="I585" s="64">
        <f>DATEVALUE(tblLaborEntries[[#This Row],[Work date]])</f>
        <v>46003.0</v>
      </c>
    </row>
    <row r="586" spans="1:9" ht="15" x14ac:dyDescent="0.25">
      <c r="A586" s="53" t="inlineStr">
        <is>
          <t>LAB-000585</t>
        </is>
      </c>
      <c r="B586" s="53" t="inlineStr">
        <is>
          <t>WP-00264</t>
        </is>
      </c>
      <c r="C586" s="53" t="inlineStr">
        <is>
          <t>TECH-001</t>
        </is>
      </c>
      <c r="D586" s="53" t="inlineStr">
        <is>
          <t>Airframe</t>
        </is>
      </c>
      <c r="E586" s="53" t="inlineStr">
        <is>
          <t>2025-09-18</t>
        </is>
      </c>
      <c r="F586" s="53">
        <v>1.6</v>
      </c>
      <c r="G586" s="53">
        <v>0</v>
      </c>
      <c r="H586" s="51" t="str">
        <f>TEXT(tblLaborEntries[[#This Row],[Work date serial]]-WEEKDAY(tblLaborEntries[[#This Row],[Work date serial]],3),"yyyy-mm-dd")</f>
        <v>2025-09-15</v>
      </c>
      <c r="I586" s="64">
        <f>DATEVALUE(tblLaborEntries[[#This Row],[Work date]])</f>
        <v>45918.0</v>
      </c>
    </row>
    <row r="587" spans="1:9" ht="15" x14ac:dyDescent="0.25">
      <c r="A587" s="53" t="inlineStr">
        <is>
          <t>LAB-000586</t>
        </is>
      </c>
      <c r="B587" s="53" t="inlineStr">
        <is>
          <t>WP-00264</t>
        </is>
      </c>
      <c r="C587" s="53" t="inlineStr">
        <is>
          <t>TECH-049</t>
        </is>
      </c>
      <c r="D587" s="53" t="inlineStr">
        <is>
          <t>Airframe</t>
        </is>
      </c>
      <c r="E587" s="53" t="inlineStr">
        <is>
          <t>2025-09-19</t>
        </is>
      </c>
      <c r="F587" s="53">
        <v>1.7</v>
      </c>
      <c r="G587" s="53">
        <v>0</v>
      </c>
      <c r="H587" s="51" t="str">
        <f>TEXT(tblLaborEntries[[#This Row],[Work date serial]]-WEEKDAY(tblLaborEntries[[#This Row],[Work date serial]],3),"yyyy-mm-dd")</f>
        <v>2025-09-15</v>
      </c>
      <c r="I587" s="64">
        <f>DATEVALUE(tblLaborEntries[[#This Row],[Work date]])</f>
        <v>45919.0</v>
      </c>
    </row>
    <row r="588" spans="1:9" ht="15" x14ac:dyDescent="0.25">
      <c r="A588" s="53" t="inlineStr">
        <is>
          <t>LAB-000587</t>
        </is>
      </c>
      <c r="B588" s="53" t="inlineStr">
        <is>
          <t>WP-00264</t>
        </is>
      </c>
      <c r="C588" s="53" t="inlineStr">
        <is>
          <t>TECH-073</t>
        </is>
      </c>
      <c r="D588" s="53" t="inlineStr">
        <is>
          <t>Airframe</t>
        </is>
      </c>
      <c r="E588" s="53" t="inlineStr">
        <is>
          <t>2025-09-20</t>
        </is>
      </c>
      <c r="F588" s="53">
        <v>1.2</v>
      </c>
      <c r="G588" s="53">
        <v>0</v>
      </c>
      <c r="H588" s="51" t="str">
        <f>TEXT(tblLaborEntries[[#This Row],[Work date serial]]-WEEKDAY(tblLaborEntries[[#This Row],[Work date serial]],3),"yyyy-mm-dd")</f>
        <v>2025-09-15</v>
      </c>
      <c r="I588" s="64">
        <f>DATEVALUE(tblLaborEntries[[#This Row],[Work date]])</f>
        <v>45920.0</v>
      </c>
    </row>
    <row r="589" spans="1:9" ht="15" x14ac:dyDescent="0.25">
      <c r="A589" s="53" t="inlineStr">
        <is>
          <t>LAB-000588</t>
        </is>
      </c>
      <c r="B589" s="53" t="inlineStr">
        <is>
          <t>WP-00265</t>
        </is>
      </c>
      <c r="C589" s="53" t="inlineStr">
        <is>
          <t>TECH-030</t>
        </is>
      </c>
      <c r="D589" s="53" t="inlineStr">
        <is>
          <t>Powerplant</t>
        </is>
      </c>
      <c r="E589" s="53" t="inlineStr">
        <is>
          <t>2025-09-19</t>
        </is>
      </c>
      <c r="F589" s="53">
        <v>8.4</v>
      </c>
      <c r="G589" s="53">
        <v>0.4</v>
      </c>
      <c r="H589" s="51" t="str">
        <f>TEXT(tblLaborEntries[[#This Row],[Work date serial]]-WEEKDAY(tblLaborEntries[[#This Row],[Work date serial]],3),"yyyy-mm-dd")</f>
        <v>2025-09-15</v>
      </c>
      <c r="I589" s="64">
        <f>DATEVALUE(tblLaborEntries[[#This Row],[Work date]])</f>
        <v>45919.0</v>
      </c>
    </row>
    <row r="590" spans="1:9" ht="15" x14ac:dyDescent="0.25">
      <c r="A590" s="53" t="inlineStr">
        <is>
          <t>LAB-000589</t>
        </is>
      </c>
      <c r="B590" s="53" t="inlineStr">
        <is>
          <t>WP-00265</t>
        </is>
      </c>
      <c r="C590" s="53" t="inlineStr">
        <is>
          <t>TECH-036</t>
        </is>
      </c>
      <c r="D590" s="53" t="inlineStr">
        <is>
          <t>Powerplant</t>
        </is>
      </c>
      <c r="E590" s="53" t="inlineStr">
        <is>
          <t>2025-09-20</t>
        </is>
      </c>
      <c r="F590" s="53">
        <v>8.5</v>
      </c>
      <c r="G590" s="53">
        <v>0.5</v>
      </c>
      <c r="H590" s="51" t="str">
        <f>TEXT(tblLaborEntries[[#This Row],[Work date serial]]-WEEKDAY(tblLaborEntries[[#This Row],[Work date serial]],3),"yyyy-mm-dd")</f>
        <v>2025-09-15</v>
      </c>
      <c r="I590" s="64">
        <f>DATEVALUE(tblLaborEntries[[#This Row],[Work date]])</f>
        <v>45920.0</v>
      </c>
    </row>
    <row r="591" spans="1:9" ht="15" x14ac:dyDescent="0.25">
      <c r="A591" s="53" t="inlineStr">
        <is>
          <t>LAB-000590</t>
        </is>
      </c>
      <c r="B591" s="53" t="inlineStr">
        <is>
          <t>WP-00266</t>
        </is>
      </c>
      <c r="C591" s="53" t="inlineStr">
        <is>
          <t>TECH-066</t>
        </is>
      </c>
      <c r="D591" s="53" t="inlineStr">
        <is>
          <t>Powerplant</t>
        </is>
      </c>
      <c r="E591" s="53" t="inlineStr">
        <is>
          <t>2025-12-20</t>
        </is>
      </c>
      <c r="F591" s="53">
        <v>5.8</v>
      </c>
      <c r="G591" s="53">
        <v>0</v>
      </c>
      <c r="H591" s="51" t="str">
        <f>TEXT(tblLaborEntries[[#This Row],[Work date serial]]-WEEKDAY(tblLaborEntries[[#This Row],[Work date serial]],3),"yyyy-mm-dd")</f>
        <v>2025-12-15</v>
      </c>
      <c r="I591" s="64">
        <f>DATEVALUE(tblLaborEntries[[#This Row],[Work date]])</f>
        <v>46011.0</v>
      </c>
    </row>
    <row r="592" spans="1:9" ht="15" x14ac:dyDescent="0.25">
      <c r="A592" s="53" t="inlineStr">
        <is>
          <t>LAB-000591</t>
        </is>
      </c>
      <c r="B592" s="53" t="inlineStr">
        <is>
          <t>WP-00266</t>
        </is>
      </c>
      <c r="C592" s="53" t="inlineStr">
        <is>
          <t>TECH-012</t>
        </is>
      </c>
      <c r="D592" s="53" t="inlineStr">
        <is>
          <t>Powerplant</t>
        </is>
      </c>
      <c r="E592" s="53" t="inlineStr">
        <is>
          <t>2025-12-21</t>
        </is>
      </c>
      <c r="F592" s="53">
        <v>5</v>
      </c>
      <c r="G592" s="53">
        <v>0</v>
      </c>
      <c r="H592" s="51" t="str">
        <f>TEXT(tblLaborEntries[[#This Row],[Work date serial]]-WEEKDAY(tblLaborEntries[[#This Row],[Work date serial]],3),"yyyy-mm-dd")</f>
        <v>2025-12-15</v>
      </c>
      <c r="I592" s="64">
        <f>DATEVALUE(tblLaborEntries[[#This Row],[Work date]])</f>
        <v>46012.0</v>
      </c>
    </row>
    <row r="593" spans="1:9" ht="15" x14ac:dyDescent="0.25">
      <c r="A593" s="53" t="inlineStr">
        <is>
          <t>LAB-000592</t>
        </is>
      </c>
      <c r="B593" s="53" t="inlineStr">
        <is>
          <t>WP-00267</t>
        </is>
      </c>
      <c r="C593" s="53" t="inlineStr">
        <is>
          <t>TECH-026</t>
        </is>
      </c>
      <c r="D593" s="53" t="inlineStr">
        <is>
          <t>Avionics</t>
        </is>
      </c>
      <c r="E593" s="53" t="inlineStr">
        <is>
          <t>2025-05-01</t>
        </is>
      </c>
      <c r="F593" s="53">
        <v>6.9</v>
      </c>
      <c r="G593" s="53">
        <v>0</v>
      </c>
      <c r="H593" s="51" t="str">
        <f>TEXT(tblLaborEntries[[#This Row],[Work date serial]]-WEEKDAY(tblLaborEntries[[#This Row],[Work date serial]],3),"yyyy-mm-dd")</f>
        <v>2025-04-28</v>
      </c>
      <c r="I593" s="64">
        <f>DATEVALUE(tblLaborEntries[[#This Row],[Work date]])</f>
        <v>45778.0</v>
      </c>
    </row>
    <row r="594" spans="1:9" ht="15" x14ac:dyDescent="0.25">
      <c r="A594" s="53" t="inlineStr">
        <is>
          <t>LAB-000593</t>
        </is>
      </c>
      <c r="B594" s="53" t="inlineStr">
        <is>
          <t>WP-00267</t>
        </is>
      </c>
      <c r="C594" s="53" t="inlineStr">
        <is>
          <t>TECH-002</t>
        </is>
      </c>
      <c r="D594" s="53" t="inlineStr">
        <is>
          <t>Avionics</t>
        </is>
      </c>
      <c r="E594" s="53" t="inlineStr">
        <is>
          <t>2025-05-02</t>
        </is>
      </c>
      <c r="F594" s="53">
        <v>2</v>
      </c>
      <c r="G594" s="53">
        <v>0</v>
      </c>
      <c r="H594" s="51" t="str">
        <f>TEXT(tblLaborEntries[[#This Row],[Work date serial]]-WEEKDAY(tblLaborEntries[[#This Row],[Work date serial]],3),"yyyy-mm-dd")</f>
        <v>2025-04-28</v>
      </c>
      <c r="I594" s="64">
        <f>DATEVALUE(tblLaborEntries[[#This Row],[Work date]])</f>
        <v>45779.0</v>
      </c>
    </row>
    <row r="595" spans="1:9" ht="15" x14ac:dyDescent="0.25">
      <c r="A595" s="53" t="inlineStr">
        <is>
          <t>LAB-000594</t>
        </is>
      </c>
      <c r="B595" s="53" t="inlineStr">
        <is>
          <t>WP-00267</t>
        </is>
      </c>
      <c r="C595" s="53" t="inlineStr">
        <is>
          <t>TECH-062</t>
        </is>
      </c>
      <c r="D595" s="53" t="inlineStr">
        <is>
          <t>Avionics</t>
        </is>
      </c>
      <c r="E595" s="53" t="inlineStr">
        <is>
          <t>2025-05-02</t>
        </is>
      </c>
      <c r="F595" s="53">
        <v>7.1</v>
      </c>
      <c r="G595" s="53">
        <v>0</v>
      </c>
      <c r="H595" s="51" t="str">
        <f>TEXT(tblLaborEntries[[#This Row],[Work date serial]]-WEEKDAY(tblLaborEntries[[#This Row],[Work date serial]],3),"yyyy-mm-dd")</f>
        <v>2025-04-28</v>
      </c>
      <c r="I595" s="64">
        <f>DATEVALUE(tblLaborEntries[[#This Row],[Work date]])</f>
        <v>45779.0</v>
      </c>
    </row>
    <row r="596" spans="1:9" ht="15" x14ac:dyDescent="0.25">
      <c r="A596" s="53" t="inlineStr">
        <is>
          <t>LAB-000595</t>
        </is>
      </c>
      <c r="B596" s="53" t="inlineStr">
        <is>
          <t>WP-00268</t>
        </is>
      </c>
      <c r="C596" s="53" t="inlineStr">
        <is>
          <t>TECH-050</t>
        </is>
      </c>
      <c r="D596" s="53" t="inlineStr">
        <is>
          <t>Avionics</t>
        </is>
      </c>
      <c r="E596" s="53" t="inlineStr">
        <is>
          <t>2025-06-22</t>
        </is>
      </c>
      <c r="F596" s="53">
        <v>1.6</v>
      </c>
      <c r="G596" s="53">
        <v>0</v>
      </c>
      <c r="H596" s="51" t="str">
        <f>TEXT(tblLaborEntries[[#This Row],[Work date serial]]-WEEKDAY(tblLaborEntries[[#This Row],[Work date serial]],3),"yyyy-mm-dd")</f>
        <v>2025-06-16</v>
      </c>
      <c r="I596" s="64">
        <f>DATEVALUE(tblLaborEntries[[#This Row],[Work date]])</f>
        <v>45830.0</v>
      </c>
    </row>
    <row r="597" spans="1:9" ht="15" x14ac:dyDescent="0.25">
      <c r="A597" s="53" t="inlineStr">
        <is>
          <t>LAB-000596</t>
        </is>
      </c>
      <c r="B597" s="53" t="inlineStr">
        <is>
          <t>WP-00268</t>
        </is>
      </c>
      <c r="C597" s="53" t="inlineStr">
        <is>
          <t>TECH-038</t>
        </is>
      </c>
      <c r="D597" s="53" t="inlineStr">
        <is>
          <t>Avionics</t>
        </is>
      </c>
      <c r="E597" s="53" t="inlineStr">
        <is>
          <t>2025-06-23</t>
        </is>
      </c>
      <c r="F597" s="53">
        <v>2.7</v>
      </c>
      <c r="G597" s="53">
        <v>0</v>
      </c>
      <c r="H597" s="51" t="str">
        <f>TEXT(tblLaborEntries[[#This Row],[Work date serial]]-WEEKDAY(tblLaborEntries[[#This Row],[Work date serial]],3),"yyyy-mm-dd")</f>
        <v>2025-06-23</v>
      </c>
      <c r="I597" s="64">
        <f>DATEVALUE(tblLaborEntries[[#This Row],[Work date]])</f>
        <v>45831.0</v>
      </c>
    </row>
    <row r="598" spans="1:9" ht="15" x14ac:dyDescent="0.25">
      <c r="A598" s="53" t="inlineStr">
        <is>
          <t>LAB-000597</t>
        </is>
      </c>
      <c r="B598" s="53" t="inlineStr">
        <is>
          <t>WP-00268</t>
        </is>
      </c>
      <c r="C598" s="53" t="inlineStr">
        <is>
          <t>TECH-002</t>
        </is>
      </c>
      <c r="D598" s="53" t="inlineStr">
        <is>
          <t>Avionics</t>
        </is>
      </c>
      <c r="E598" s="53" t="inlineStr">
        <is>
          <t>2025-06-24</t>
        </is>
      </c>
      <c r="F598" s="53">
        <v>1.9</v>
      </c>
      <c r="G598" s="53">
        <v>0</v>
      </c>
      <c r="H598" s="51" t="str">
        <f>TEXT(tblLaborEntries[[#This Row],[Work date serial]]-WEEKDAY(tblLaborEntries[[#This Row],[Work date serial]],3),"yyyy-mm-dd")</f>
        <v>2025-06-23</v>
      </c>
      <c r="I598" s="64">
        <f>DATEVALUE(tblLaborEntries[[#This Row],[Work date]])</f>
        <v>45832.0</v>
      </c>
    </row>
    <row r="599" spans="1:9" ht="15" x14ac:dyDescent="0.25">
      <c r="A599" s="53" t="inlineStr">
        <is>
          <t>LAB-000598</t>
        </is>
      </c>
      <c r="B599" s="53" t="inlineStr">
        <is>
          <t>WP-00269</t>
        </is>
      </c>
      <c r="C599" s="53" t="inlineStr">
        <is>
          <t>TECH-043</t>
        </is>
      </c>
      <c r="D599" s="53" t="inlineStr">
        <is>
          <t>Airframe</t>
        </is>
      </c>
      <c r="E599" s="53" t="inlineStr">
        <is>
          <t>2025-12-13</t>
        </is>
      </c>
      <c r="F599" s="53">
        <v>0.9</v>
      </c>
      <c r="G599" s="53">
        <v>0</v>
      </c>
      <c r="H599" s="51" t="str">
        <f>TEXT(tblLaborEntries[[#This Row],[Work date serial]]-WEEKDAY(tblLaborEntries[[#This Row],[Work date serial]],3),"yyyy-mm-dd")</f>
        <v>2025-12-08</v>
      </c>
      <c r="I599" s="64">
        <f>DATEVALUE(tblLaborEntries[[#This Row],[Work date]])</f>
        <v>46004.0</v>
      </c>
    </row>
    <row r="600" spans="1:9" ht="15" x14ac:dyDescent="0.25">
      <c r="A600" s="53" t="inlineStr">
        <is>
          <t>LAB-000599</t>
        </is>
      </c>
      <c r="B600" s="53" t="inlineStr">
        <is>
          <t>WP-00269</t>
        </is>
      </c>
      <c r="C600" s="53" t="inlineStr">
        <is>
          <t>TECH-055</t>
        </is>
      </c>
      <c r="D600" s="53" t="inlineStr">
        <is>
          <t>Airframe</t>
        </is>
      </c>
      <c r="E600" s="53" t="inlineStr">
        <is>
          <t>2025-12-14</t>
        </is>
      </c>
      <c r="F600" s="53">
        <v>1</v>
      </c>
      <c r="G600" s="53">
        <v>0</v>
      </c>
      <c r="H600" s="51" t="str">
        <f>TEXT(tblLaborEntries[[#This Row],[Work date serial]]-WEEKDAY(tblLaborEntries[[#This Row],[Work date serial]],3),"yyyy-mm-dd")</f>
        <v>2025-12-08</v>
      </c>
      <c r="I600" s="64">
        <f>DATEVALUE(tblLaborEntries[[#This Row],[Work date]])</f>
        <v>46005.0</v>
      </c>
    </row>
    <row r="601" spans="1:9" ht="15" x14ac:dyDescent="0.25">
      <c r="A601" s="53" t="inlineStr">
        <is>
          <t>LAB-000600</t>
        </is>
      </c>
      <c r="B601" s="53" t="inlineStr">
        <is>
          <t>WP-00269</t>
        </is>
      </c>
      <c r="C601" s="53" t="inlineStr">
        <is>
          <t>TECH-067</t>
        </is>
      </c>
      <c r="D601" s="53" t="inlineStr">
        <is>
          <t>Airframe</t>
        </is>
      </c>
      <c r="E601" s="53" t="inlineStr">
        <is>
          <t>2025-12-15</t>
        </is>
      </c>
      <c r="F601" s="53">
        <v>1</v>
      </c>
      <c r="G601" s="53">
        <v>0</v>
      </c>
      <c r="H601" s="51" t="str">
        <f>TEXT(tblLaborEntries[[#This Row],[Work date serial]]-WEEKDAY(tblLaborEntries[[#This Row],[Work date serial]],3),"yyyy-mm-dd")</f>
        <v>2025-12-15</v>
      </c>
      <c r="I601" s="64">
        <f>DATEVALUE(tblLaborEntries[[#This Row],[Work date]])</f>
        <v>46006.0</v>
      </c>
    </row>
    <row r="602" spans="1:9" ht="15" x14ac:dyDescent="0.25">
      <c r="A602" s="53" t="inlineStr">
        <is>
          <t>LAB-000601</t>
        </is>
      </c>
      <c r="B602" s="53" t="inlineStr">
        <is>
          <t>WP-00270</t>
        </is>
      </c>
      <c r="C602" s="53" t="inlineStr">
        <is>
          <t>TECH-002</t>
        </is>
      </c>
      <c r="D602" s="53" t="inlineStr">
        <is>
          <t>Avionics</t>
        </is>
      </c>
      <c r="E602" s="53" t="inlineStr">
        <is>
          <t>2024-05-01</t>
        </is>
      </c>
      <c r="F602" s="53">
        <v>3.3</v>
      </c>
      <c r="G602" s="53">
        <v>0</v>
      </c>
      <c r="H602" s="51" t="str">
        <f>TEXT(tblLaborEntries[[#This Row],[Work date serial]]-WEEKDAY(tblLaborEntries[[#This Row],[Work date serial]],3),"yyyy-mm-dd")</f>
        <v>2024-04-29</v>
      </c>
      <c r="I602" s="64">
        <f>DATEVALUE(tblLaborEntries[[#This Row],[Work date]])</f>
        <v>45413.0</v>
      </c>
    </row>
    <row r="603" spans="1:9" ht="15" x14ac:dyDescent="0.25">
      <c r="A603" s="53" t="inlineStr">
        <is>
          <t>LAB-000602</t>
        </is>
      </c>
      <c r="B603" s="53" t="inlineStr">
        <is>
          <t>WP-00270</t>
        </is>
      </c>
      <c r="C603" s="53" t="inlineStr">
        <is>
          <t>TECH-074</t>
        </is>
      </c>
      <c r="D603" s="53" t="inlineStr">
        <is>
          <t>Avionics</t>
        </is>
      </c>
      <c r="E603" s="53" t="inlineStr">
        <is>
          <t>2024-05-02</t>
        </is>
      </c>
      <c r="F603" s="53">
        <v>4.2</v>
      </c>
      <c r="G603" s="53">
        <v>0</v>
      </c>
      <c r="H603" s="51" t="str">
        <f>TEXT(tblLaborEntries[[#This Row],[Work date serial]]-WEEKDAY(tblLaborEntries[[#This Row],[Work date serial]],3),"yyyy-mm-dd")</f>
        <v>2024-04-29</v>
      </c>
      <c r="I603" s="64">
        <f>DATEVALUE(tblLaborEntries[[#This Row],[Work date]])</f>
        <v>45414.0</v>
      </c>
    </row>
    <row r="604" spans="1:9" ht="15" x14ac:dyDescent="0.25">
      <c r="A604" s="53" t="inlineStr">
        <is>
          <t>LAB-000603</t>
        </is>
      </c>
      <c r="B604" s="53" t="inlineStr">
        <is>
          <t>WP-00270</t>
        </is>
      </c>
      <c r="C604" s="53" t="inlineStr">
        <is>
          <t>TECH-014</t>
        </is>
      </c>
      <c r="D604" s="53" t="inlineStr">
        <is>
          <t>Avionics</t>
        </is>
      </c>
      <c r="E604" s="53" t="inlineStr">
        <is>
          <t>2024-05-03</t>
        </is>
      </c>
      <c r="F604" s="53">
        <v>3</v>
      </c>
      <c r="G604" s="53">
        <v>0</v>
      </c>
      <c r="H604" s="51" t="str">
        <f>TEXT(tblLaborEntries[[#This Row],[Work date serial]]-WEEKDAY(tblLaborEntries[[#This Row],[Work date serial]],3),"yyyy-mm-dd")</f>
        <v>2024-04-29</v>
      </c>
      <c r="I604" s="64">
        <f>DATEVALUE(tblLaborEntries[[#This Row],[Work date]])</f>
        <v>45415.0</v>
      </c>
    </row>
    <row r="605" spans="1:9" ht="15" x14ac:dyDescent="0.25">
      <c r="A605" s="53" t="inlineStr">
        <is>
          <t>LAB-000604</t>
        </is>
      </c>
      <c r="B605" s="53" t="inlineStr">
        <is>
          <t>WP-00271</t>
        </is>
      </c>
      <c r="C605" s="53" t="inlineStr">
        <is>
          <t>TECH-074</t>
        </is>
      </c>
      <c r="D605" s="53" t="inlineStr">
        <is>
          <t>Avionics</t>
        </is>
      </c>
      <c r="E605" s="53" t="inlineStr">
        <is>
          <t>2024-12-29</t>
        </is>
      </c>
      <c r="F605" s="53">
        <v>4.2</v>
      </c>
      <c r="G605" s="53">
        <v>0</v>
      </c>
      <c r="H605" s="51" t="str">
        <f>TEXT(tblLaborEntries[[#This Row],[Work date serial]]-WEEKDAY(tblLaborEntries[[#This Row],[Work date serial]],3),"yyyy-mm-dd")</f>
        <v>2024-12-23</v>
      </c>
      <c r="I605" s="64">
        <f>DATEVALUE(tblLaborEntries[[#This Row],[Work date]])</f>
        <v>45655.0</v>
      </c>
    </row>
    <row r="606" spans="1:9" ht="15" x14ac:dyDescent="0.25">
      <c r="A606" s="53" t="inlineStr">
        <is>
          <t>LAB-000605</t>
        </is>
      </c>
      <c r="B606" s="53" t="inlineStr">
        <is>
          <t>WP-00272</t>
        </is>
      </c>
      <c r="C606" s="53" t="inlineStr">
        <is>
          <t>TECH-074</t>
        </is>
      </c>
      <c r="D606" s="53" t="inlineStr">
        <is>
          <t>Avionics</t>
        </is>
      </c>
      <c r="E606" s="53" t="inlineStr">
        <is>
          <t>2025-05-08</t>
        </is>
      </c>
      <c r="F606" s="53">
        <v>7.9</v>
      </c>
      <c r="G606" s="53">
        <v>0</v>
      </c>
      <c r="H606" s="51" t="str">
        <f>TEXT(tblLaborEntries[[#This Row],[Work date serial]]-WEEKDAY(tblLaborEntries[[#This Row],[Work date serial]],3),"yyyy-mm-dd")</f>
        <v>2025-05-05</v>
      </c>
      <c r="I606" s="64">
        <f>DATEVALUE(tblLaborEntries[[#This Row],[Work date]])</f>
        <v>45785.0</v>
      </c>
    </row>
    <row r="607" spans="1:9" ht="15" x14ac:dyDescent="0.25">
      <c r="A607" s="53" t="inlineStr">
        <is>
          <t>LAB-000606</t>
        </is>
      </c>
      <c r="B607" s="53" t="inlineStr">
        <is>
          <t>WP-00272</t>
        </is>
      </c>
      <c r="C607" s="53" t="inlineStr">
        <is>
          <t>TECH-056</t>
        </is>
      </c>
      <c r="D607" s="53" t="inlineStr">
        <is>
          <t>Avionics</t>
        </is>
      </c>
      <c r="E607" s="53" t="inlineStr">
        <is>
          <t>2025-05-09</t>
        </is>
      </c>
      <c r="F607" s="53">
        <v>11.3</v>
      </c>
      <c r="G607" s="53">
        <v>3.3</v>
      </c>
      <c r="H607" s="51" t="str">
        <f>TEXT(tblLaborEntries[[#This Row],[Work date serial]]-WEEKDAY(tblLaborEntries[[#This Row],[Work date serial]],3),"yyyy-mm-dd")</f>
        <v>2025-05-05</v>
      </c>
      <c r="I607" s="64">
        <f>DATEVALUE(tblLaborEntries[[#This Row],[Work date]])</f>
        <v>45786.0</v>
      </c>
    </row>
    <row r="608" spans="1:9" ht="15" x14ac:dyDescent="0.25">
      <c r="A608" s="53" t="inlineStr">
        <is>
          <t>LAB-000607</t>
        </is>
      </c>
      <c r="B608" s="53" t="inlineStr">
        <is>
          <t>WP-00273</t>
        </is>
      </c>
      <c r="C608" s="53" t="inlineStr">
        <is>
          <t>TECH-031</t>
        </is>
      </c>
      <c r="D608" s="53" t="inlineStr">
        <is>
          <t>Airframe</t>
        </is>
      </c>
      <c r="E608" s="53" t="inlineStr">
        <is>
          <t>2024-03-02</t>
        </is>
      </c>
      <c r="F608" s="53">
        <v>6.1</v>
      </c>
      <c r="G608" s="53">
        <v>0</v>
      </c>
      <c r="H608" s="51" t="str">
        <f>TEXT(tblLaborEntries[[#This Row],[Work date serial]]-WEEKDAY(tblLaborEntries[[#This Row],[Work date serial]],3),"yyyy-mm-dd")</f>
        <v>2024-02-26</v>
      </c>
      <c r="I608" s="64">
        <f>DATEVALUE(tblLaborEntries[[#This Row],[Work date]])</f>
        <v>45353.0</v>
      </c>
    </row>
    <row r="609" spans="1:9" ht="15" x14ac:dyDescent="0.25">
      <c r="A609" s="53" t="inlineStr">
        <is>
          <t>LAB-000608</t>
        </is>
      </c>
      <c r="B609" s="53" t="inlineStr">
        <is>
          <t>WP-00273</t>
        </is>
      </c>
      <c r="C609" s="53" t="inlineStr">
        <is>
          <t>TECH-043</t>
        </is>
      </c>
      <c r="D609" s="53" t="inlineStr">
        <is>
          <t>Airframe</t>
        </is>
      </c>
      <c r="E609" s="53" t="inlineStr">
        <is>
          <t>2024-03-03</t>
        </is>
      </c>
      <c r="F609" s="53">
        <v>4.5</v>
      </c>
      <c r="G609" s="53">
        <v>0</v>
      </c>
      <c r="H609" s="51" t="str">
        <f>TEXT(tblLaborEntries[[#This Row],[Work date serial]]-WEEKDAY(tblLaborEntries[[#This Row],[Work date serial]],3),"yyyy-mm-dd")</f>
        <v>2024-02-26</v>
      </c>
      <c r="I609" s="64">
        <f>DATEVALUE(tblLaborEntries[[#This Row],[Work date]])</f>
        <v>45354.0</v>
      </c>
    </row>
    <row r="610" spans="1:9" ht="15" x14ac:dyDescent="0.25">
      <c r="A610" s="53" t="inlineStr">
        <is>
          <t>LAB-000609</t>
        </is>
      </c>
      <c r="B610" s="53" t="inlineStr">
        <is>
          <t>WP-00274</t>
        </is>
      </c>
      <c r="C610" s="53" t="inlineStr">
        <is>
          <t>TECH-062</t>
        </is>
      </c>
      <c r="D610" s="53" t="inlineStr">
        <is>
          <t>Avionics</t>
        </is>
      </c>
      <c r="E610" s="53" t="inlineStr">
        <is>
          <t>2024-06-12</t>
        </is>
      </c>
      <c r="F610" s="53">
        <v>3.2</v>
      </c>
      <c r="G610" s="53">
        <v>0</v>
      </c>
      <c r="H610" s="51" t="str">
        <f>TEXT(tblLaborEntries[[#This Row],[Work date serial]]-WEEKDAY(tblLaborEntries[[#This Row],[Work date serial]],3),"yyyy-mm-dd")</f>
        <v>2024-06-10</v>
      </c>
      <c r="I610" s="64">
        <f>DATEVALUE(tblLaborEntries[[#This Row],[Work date]])</f>
        <v>45455.0</v>
      </c>
    </row>
    <row r="611" spans="1:9" ht="15" x14ac:dyDescent="0.25">
      <c r="A611" s="53" t="inlineStr">
        <is>
          <t>LAB-000610</t>
        </is>
      </c>
      <c r="B611" s="53" t="inlineStr">
        <is>
          <t>WP-00274</t>
        </is>
      </c>
      <c r="C611" s="53" t="inlineStr">
        <is>
          <t>TECH-062</t>
        </is>
      </c>
      <c r="D611" s="53" t="inlineStr">
        <is>
          <t>Avionics</t>
        </is>
      </c>
      <c r="E611" s="53" t="inlineStr">
        <is>
          <t>2024-06-13</t>
        </is>
      </c>
      <c r="F611" s="53">
        <v>4.2</v>
      </c>
      <c r="G611" s="53">
        <v>0</v>
      </c>
      <c r="H611" s="51" t="str">
        <f>TEXT(tblLaborEntries[[#This Row],[Work date serial]]-WEEKDAY(tblLaborEntries[[#This Row],[Work date serial]],3),"yyyy-mm-dd")</f>
        <v>2024-06-10</v>
      </c>
      <c r="I611" s="64">
        <f>DATEVALUE(tblLaborEntries[[#This Row],[Work date]])</f>
        <v>45456.0</v>
      </c>
    </row>
    <row r="612" spans="1:9" ht="15" x14ac:dyDescent="0.25">
      <c r="A612" s="53" t="inlineStr">
        <is>
          <t>LAB-000611</t>
        </is>
      </c>
      <c r="B612" s="53" t="inlineStr">
        <is>
          <t>WP-00275</t>
        </is>
      </c>
      <c r="C612" s="53" t="inlineStr">
        <is>
          <t>TECH-035</t>
        </is>
      </c>
      <c r="D612" s="53" t="inlineStr">
        <is>
          <t>Structures</t>
        </is>
      </c>
      <c r="E612" s="53" t="inlineStr">
        <is>
          <t>2024-06-26</t>
        </is>
      </c>
      <c r="F612" s="53">
        <v>11.6</v>
      </c>
      <c r="G612" s="53">
        <v>3.6</v>
      </c>
      <c r="H612" s="51" t="str">
        <f>TEXT(tblLaborEntries[[#This Row],[Work date serial]]-WEEKDAY(tblLaborEntries[[#This Row],[Work date serial]],3),"yyyy-mm-dd")</f>
        <v>2024-06-24</v>
      </c>
      <c r="I612" s="64">
        <f>DATEVALUE(tblLaborEntries[[#This Row],[Work date]])</f>
        <v>45469.0</v>
      </c>
    </row>
    <row r="613" spans="1:9" ht="15" x14ac:dyDescent="0.25">
      <c r="A613" s="53" t="inlineStr">
        <is>
          <t>LAB-000612</t>
        </is>
      </c>
      <c r="B613" s="53" t="inlineStr">
        <is>
          <t>WP-00275</t>
        </is>
      </c>
      <c r="C613" s="53" t="inlineStr">
        <is>
          <t>TECH-005</t>
        </is>
      </c>
      <c r="D613" s="53" t="inlineStr">
        <is>
          <t>Structures</t>
        </is>
      </c>
      <c r="E613" s="53" t="inlineStr">
        <is>
          <t>2024-06-27</t>
        </is>
      </c>
      <c r="F613" s="53">
        <v>9.3</v>
      </c>
      <c r="G613" s="53">
        <v>1.3</v>
      </c>
      <c r="H613" s="51" t="str">
        <f>TEXT(tblLaborEntries[[#This Row],[Work date serial]]-WEEKDAY(tblLaborEntries[[#This Row],[Work date serial]],3),"yyyy-mm-dd")</f>
        <v>2024-06-24</v>
      </c>
      <c r="I613" s="64">
        <f>DATEVALUE(tblLaborEntries[[#This Row],[Work date]])</f>
        <v>45470.0</v>
      </c>
    </row>
    <row r="614" spans="1:9" ht="15" x14ac:dyDescent="0.25">
      <c r="A614" s="53" t="inlineStr">
        <is>
          <t>LAB-000613</t>
        </is>
      </c>
      <c r="B614" s="53" t="inlineStr">
        <is>
          <t>WP-00275</t>
        </is>
      </c>
      <c r="C614" s="53" t="inlineStr">
        <is>
          <t>TECH-053</t>
        </is>
      </c>
      <c r="D614" s="53" t="inlineStr">
        <is>
          <t>Structures</t>
        </is>
      </c>
      <c r="E614" s="53" t="inlineStr">
        <is>
          <t>2024-06-28</t>
        </is>
      </c>
      <c r="F614" s="53">
        <v>9.2</v>
      </c>
      <c r="G614" s="53">
        <v>1.2</v>
      </c>
      <c r="H614" s="51" t="str">
        <f>TEXT(tblLaborEntries[[#This Row],[Work date serial]]-WEEKDAY(tblLaborEntries[[#This Row],[Work date serial]],3),"yyyy-mm-dd")</f>
        <v>2024-06-24</v>
      </c>
      <c r="I614" s="64">
        <f>DATEVALUE(tblLaborEntries[[#This Row],[Work date]])</f>
        <v>45471.0</v>
      </c>
    </row>
    <row r="615" spans="1:9" ht="15" x14ac:dyDescent="0.25">
      <c r="A615" s="53" t="inlineStr">
        <is>
          <t>LAB-000614</t>
        </is>
      </c>
      <c r="B615" s="53" t="inlineStr">
        <is>
          <t>WP-00276</t>
        </is>
      </c>
      <c r="C615" s="53" t="inlineStr">
        <is>
          <t>TECH-001</t>
        </is>
      </c>
      <c r="D615" s="53" t="inlineStr">
        <is>
          <t>Airframe</t>
        </is>
      </c>
      <c r="E615" s="53" t="inlineStr">
        <is>
          <t>2024-04-25</t>
        </is>
      </c>
      <c r="F615" s="53">
        <v>1</v>
      </c>
      <c r="G615" s="53">
        <v>0</v>
      </c>
      <c r="H615" s="51" t="str">
        <f>TEXT(tblLaborEntries[[#This Row],[Work date serial]]-WEEKDAY(tblLaborEntries[[#This Row],[Work date serial]],3),"yyyy-mm-dd")</f>
        <v>2024-04-22</v>
      </c>
      <c r="I615" s="64">
        <f>DATEVALUE(tblLaborEntries[[#This Row],[Work date]])</f>
        <v>45407.0</v>
      </c>
    </row>
    <row r="616" spans="1:9" ht="15" x14ac:dyDescent="0.25">
      <c r="A616" s="53" t="inlineStr">
        <is>
          <t>LAB-000615</t>
        </is>
      </c>
      <c r="B616" s="53" t="inlineStr">
        <is>
          <t>WP-00276</t>
        </is>
      </c>
      <c r="C616" s="53" t="inlineStr">
        <is>
          <t>TECH-049</t>
        </is>
      </c>
      <c r="D616" s="53" t="inlineStr">
        <is>
          <t>Airframe</t>
        </is>
      </c>
      <c r="E616" s="53" t="inlineStr">
        <is>
          <t>2024-04-25</t>
        </is>
      </c>
      <c r="F616" s="53">
        <v>12</v>
      </c>
      <c r="G616" s="53">
        <v>4</v>
      </c>
      <c r="H616" s="51" t="str">
        <f>TEXT(tblLaborEntries[[#This Row],[Work date serial]]-WEEKDAY(tblLaborEntries[[#This Row],[Work date serial]],3),"yyyy-mm-dd")</f>
        <v>2024-04-22</v>
      </c>
      <c r="I616" s="64">
        <f>DATEVALUE(tblLaborEntries[[#This Row],[Work date]])</f>
        <v>45407.0</v>
      </c>
    </row>
    <row r="617" spans="1:9" ht="15" x14ac:dyDescent="0.25">
      <c r="A617" s="53" t="inlineStr">
        <is>
          <t>LAB-000616</t>
        </is>
      </c>
      <c r="B617" s="53" t="inlineStr">
        <is>
          <t>WP-00277</t>
        </is>
      </c>
      <c r="C617" s="53" t="inlineStr">
        <is>
          <t>TECH-037</t>
        </is>
      </c>
      <c r="D617" s="53" t="inlineStr">
        <is>
          <t>Airframe</t>
        </is>
      </c>
      <c r="E617" s="53" t="inlineStr">
        <is>
          <t>2024-11-27</t>
        </is>
      </c>
      <c r="F617" s="53">
        <v>5.8</v>
      </c>
      <c r="G617" s="53">
        <v>0</v>
      </c>
      <c r="H617" s="51" t="str">
        <f>TEXT(tblLaborEntries[[#This Row],[Work date serial]]-WEEKDAY(tblLaborEntries[[#This Row],[Work date serial]],3),"yyyy-mm-dd")</f>
        <v>2024-11-25</v>
      </c>
      <c r="I617" s="64">
        <f>DATEVALUE(tblLaborEntries[[#This Row],[Work date]])</f>
        <v>45623.0</v>
      </c>
    </row>
    <row r="618" spans="1:9" ht="15" x14ac:dyDescent="0.25">
      <c r="A618" s="53" t="inlineStr">
        <is>
          <t>LAB-000617</t>
        </is>
      </c>
      <c r="B618" s="53" t="inlineStr">
        <is>
          <t>WP-00277</t>
        </is>
      </c>
      <c r="C618" s="53" t="inlineStr">
        <is>
          <t>TECH-061</t>
        </is>
      </c>
      <c r="D618" s="53" t="inlineStr">
        <is>
          <t>Airframe</t>
        </is>
      </c>
      <c r="E618" s="53" t="inlineStr">
        <is>
          <t>2024-11-28</t>
        </is>
      </c>
      <c r="F618" s="53">
        <v>5.2</v>
      </c>
      <c r="G618" s="53">
        <v>0</v>
      </c>
      <c r="H618" s="51" t="str">
        <f>TEXT(tblLaborEntries[[#This Row],[Work date serial]]-WEEKDAY(tblLaborEntries[[#This Row],[Work date serial]],3),"yyyy-mm-dd")</f>
        <v>2024-11-25</v>
      </c>
      <c r="I618" s="64">
        <f>DATEVALUE(tblLaborEntries[[#This Row],[Work date]])</f>
        <v>45624.0</v>
      </c>
    </row>
    <row r="619" spans="1:9" ht="15" x14ac:dyDescent="0.25">
      <c r="A619" s="53" t="inlineStr">
        <is>
          <t>LAB-000618</t>
        </is>
      </c>
      <c r="B619" s="53" t="inlineStr">
        <is>
          <t>WP-00277</t>
        </is>
      </c>
      <c r="C619" s="53" t="inlineStr">
        <is>
          <t>TECH-031</t>
        </is>
      </c>
      <c r="D619" s="53" t="inlineStr">
        <is>
          <t>Airframe</t>
        </is>
      </c>
      <c r="E619" s="53" t="inlineStr">
        <is>
          <t>2024-11-29</t>
        </is>
      </c>
      <c r="F619" s="53">
        <v>4.8</v>
      </c>
      <c r="G619" s="53">
        <v>0</v>
      </c>
      <c r="H619" s="51" t="str">
        <f>TEXT(tblLaborEntries[[#This Row],[Work date serial]]-WEEKDAY(tblLaborEntries[[#This Row],[Work date serial]],3),"yyyy-mm-dd")</f>
        <v>2024-11-25</v>
      </c>
      <c r="I619" s="64">
        <f>DATEVALUE(tblLaborEntries[[#This Row],[Work date]])</f>
        <v>45625.0</v>
      </c>
    </row>
    <row r="620" spans="1:9" ht="15" x14ac:dyDescent="0.25">
      <c r="A620" s="53" t="inlineStr">
        <is>
          <t>LAB-000619</t>
        </is>
      </c>
      <c r="B620" s="53" t="inlineStr">
        <is>
          <t>WP-00278</t>
        </is>
      </c>
      <c r="C620" s="53" t="inlineStr">
        <is>
          <t>TECH-050</t>
        </is>
      </c>
      <c r="D620" s="53" t="inlineStr">
        <is>
          <t>Avionics</t>
        </is>
      </c>
      <c r="E620" s="53" t="inlineStr">
        <is>
          <t>2025-02-08</t>
        </is>
      </c>
      <c r="F620" s="53">
        <v>1.9</v>
      </c>
      <c r="G620" s="53">
        <v>0</v>
      </c>
      <c r="H620" s="51" t="str">
        <f>TEXT(tblLaborEntries[[#This Row],[Work date serial]]-WEEKDAY(tblLaborEntries[[#This Row],[Work date serial]],3),"yyyy-mm-dd")</f>
        <v>2025-02-03</v>
      </c>
      <c r="I620" s="64">
        <f>DATEVALUE(tblLaborEntries[[#This Row],[Work date]])</f>
        <v>45696.0</v>
      </c>
    </row>
    <row r="621" spans="1:9" ht="15" x14ac:dyDescent="0.25">
      <c r="A621" s="53" t="inlineStr">
        <is>
          <t>LAB-000620</t>
        </is>
      </c>
      <c r="B621" s="53" t="inlineStr">
        <is>
          <t>WP-00278</t>
        </is>
      </c>
      <c r="C621" s="53" t="inlineStr">
        <is>
          <t>TECH-074</t>
        </is>
      </c>
      <c r="D621" s="53" t="inlineStr">
        <is>
          <t>Avionics</t>
        </is>
      </c>
      <c r="E621" s="53" t="inlineStr">
        <is>
          <t>2025-02-09</t>
        </is>
      </c>
      <c r="F621" s="53">
        <v>2</v>
      </c>
      <c r="G621" s="53">
        <v>0</v>
      </c>
      <c r="H621" s="51" t="str">
        <f>TEXT(tblLaborEntries[[#This Row],[Work date serial]]-WEEKDAY(tblLaborEntries[[#This Row],[Work date serial]],3),"yyyy-mm-dd")</f>
        <v>2025-02-03</v>
      </c>
      <c r="I621" s="64">
        <f>DATEVALUE(tblLaborEntries[[#This Row],[Work date]])</f>
        <v>45697.0</v>
      </c>
    </row>
    <row r="622" spans="1:9" ht="15" x14ac:dyDescent="0.25">
      <c r="A622" s="53" t="inlineStr">
        <is>
          <t>LAB-000621</t>
        </is>
      </c>
      <c r="B622" s="53" t="inlineStr">
        <is>
          <t>WP-00279</t>
        </is>
      </c>
      <c r="C622" s="53" t="inlineStr">
        <is>
          <t>TECH-003</t>
        </is>
      </c>
      <c r="D622" s="53" t="inlineStr">
        <is>
          <t>Hydraulics</t>
        </is>
      </c>
      <c r="E622" s="53" t="inlineStr">
        <is>
          <t>2025-11-14</t>
        </is>
      </c>
      <c r="F622" s="53">
        <v>1.9</v>
      </c>
      <c r="G622" s="53">
        <v>0</v>
      </c>
      <c r="H622" s="51" t="str">
        <f>TEXT(tblLaborEntries[[#This Row],[Work date serial]]-WEEKDAY(tblLaborEntries[[#This Row],[Work date serial]],3),"yyyy-mm-dd")</f>
        <v>2025-11-10</v>
      </c>
      <c r="I622" s="64">
        <f>DATEVALUE(tblLaborEntries[[#This Row],[Work date]])</f>
        <v>45975.0</v>
      </c>
    </row>
    <row r="623" spans="1:9" ht="15" x14ac:dyDescent="0.25">
      <c r="A623" s="53" t="inlineStr">
        <is>
          <t>LAB-000622</t>
        </is>
      </c>
      <c r="B623" s="53" t="inlineStr">
        <is>
          <t>WP-00279</t>
        </is>
      </c>
      <c r="C623" s="53" t="inlineStr">
        <is>
          <t>TECH-003</t>
        </is>
      </c>
      <c r="D623" s="53" t="inlineStr">
        <is>
          <t>Hydraulics</t>
        </is>
      </c>
      <c r="E623" s="53" t="inlineStr">
        <is>
          <t>2025-11-15</t>
        </is>
      </c>
      <c r="F623" s="53">
        <v>2.4</v>
      </c>
      <c r="G623" s="53">
        <v>0</v>
      </c>
      <c r="H623" s="51" t="str">
        <f>TEXT(tblLaborEntries[[#This Row],[Work date serial]]-WEEKDAY(tblLaborEntries[[#This Row],[Work date serial]],3),"yyyy-mm-dd")</f>
        <v>2025-11-10</v>
      </c>
      <c r="I623" s="64">
        <f>DATEVALUE(tblLaborEntries[[#This Row],[Work date]])</f>
        <v>45976.0</v>
      </c>
    </row>
    <row r="624" spans="1:9" ht="15" x14ac:dyDescent="0.25">
      <c r="A624" s="53" t="inlineStr">
        <is>
          <t>LAB-000623</t>
        </is>
      </c>
      <c r="B624" s="53" t="inlineStr">
        <is>
          <t>WP-00279</t>
        </is>
      </c>
      <c r="C624" s="53" t="inlineStr">
        <is>
          <t>TECH-069</t>
        </is>
      </c>
      <c r="D624" s="53" t="inlineStr">
        <is>
          <t>Hydraulics</t>
        </is>
      </c>
      <c r="E624" s="53" t="inlineStr">
        <is>
          <t>2025-11-16</t>
        </is>
      </c>
      <c r="F624" s="53">
        <v>2.3</v>
      </c>
      <c r="G624" s="53">
        <v>0</v>
      </c>
      <c r="H624" s="51" t="str">
        <f>TEXT(tblLaborEntries[[#This Row],[Work date serial]]-WEEKDAY(tblLaborEntries[[#This Row],[Work date serial]],3),"yyyy-mm-dd")</f>
        <v>2025-11-10</v>
      </c>
      <c r="I624" s="64">
        <f>DATEVALUE(tblLaborEntries[[#This Row],[Work date]])</f>
        <v>45977.0</v>
      </c>
    </row>
    <row r="625" spans="1:9" ht="15" x14ac:dyDescent="0.25">
      <c r="A625" s="53" t="inlineStr">
        <is>
          <t>LAB-000624</t>
        </is>
      </c>
      <c r="B625" s="53" t="inlineStr">
        <is>
          <t>WP-00280</t>
        </is>
      </c>
      <c r="C625" s="53" t="inlineStr">
        <is>
          <t>TECH-004</t>
        </is>
      </c>
      <c r="D625" s="53" t="inlineStr">
        <is>
          <t>Electrical</t>
        </is>
      </c>
      <c r="E625" s="53" t="inlineStr">
        <is>
          <t>2025-11-18</t>
        </is>
      </c>
      <c r="F625" s="53">
        <v>3.3</v>
      </c>
      <c r="G625" s="53">
        <v>0</v>
      </c>
      <c r="H625" s="51" t="str">
        <f>TEXT(tblLaborEntries[[#This Row],[Work date serial]]-WEEKDAY(tblLaborEntries[[#This Row],[Work date serial]],3),"yyyy-mm-dd")</f>
        <v>2025-11-17</v>
      </c>
      <c r="I625" s="64">
        <f>DATEVALUE(tblLaborEntries[[#This Row],[Work date]])</f>
        <v>45979.0</v>
      </c>
    </row>
    <row r="626" spans="1:9" ht="15" x14ac:dyDescent="0.25">
      <c r="A626" s="53" t="inlineStr">
        <is>
          <t>LAB-000625</t>
        </is>
      </c>
      <c r="B626" s="53" t="inlineStr">
        <is>
          <t>WP-00280</t>
        </is>
      </c>
      <c r="C626" s="53" t="inlineStr">
        <is>
          <t>TECH-010</t>
        </is>
      </c>
      <c r="D626" s="53" t="inlineStr">
        <is>
          <t>Electrical</t>
        </is>
      </c>
      <c r="E626" s="53" t="inlineStr">
        <is>
          <t>2025-11-18</t>
        </is>
      </c>
      <c r="F626" s="53">
        <v>8.6</v>
      </c>
      <c r="G626" s="53">
        <v>0.6</v>
      </c>
      <c r="H626" s="51" t="str">
        <f>TEXT(tblLaborEntries[[#This Row],[Work date serial]]-WEEKDAY(tblLaborEntries[[#This Row],[Work date serial]],3),"yyyy-mm-dd")</f>
        <v>2025-11-17</v>
      </c>
      <c r="I626" s="64">
        <f>DATEVALUE(tblLaborEntries[[#This Row],[Work date]])</f>
        <v>45979.0</v>
      </c>
    </row>
    <row r="627" spans="1:9" ht="15" x14ac:dyDescent="0.25">
      <c r="A627" s="53" t="inlineStr">
        <is>
          <t>LAB-000626</t>
        </is>
      </c>
      <c r="B627" s="53" t="inlineStr">
        <is>
          <t>WP-00281</t>
        </is>
      </c>
      <c r="C627" s="53" t="inlineStr">
        <is>
          <t>TECH-014</t>
        </is>
      </c>
      <c r="D627" s="53" t="inlineStr">
        <is>
          <t>Avionics</t>
        </is>
      </c>
      <c r="E627" s="53" t="inlineStr">
        <is>
          <t>2025-10-14</t>
        </is>
      </c>
      <c r="F627" s="53">
        <v>6.2</v>
      </c>
      <c r="G627" s="53">
        <v>0</v>
      </c>
      <c r="H627" s="51" t="str">
        <f>TEXT(tblLaborEntries[[#This Row],[Work date serial]]-WEEKDAY(tblLaborEntries[[#This Row],[Work date serial]],3),"yyyy-mm-dd")</f>
        <v>2025-10-13</v>
      </c>
      <c r="I627" s="64">
        <f>DATEVALUE(tblLaborEntries[[#This Row],[Work date]])</f>
        <v>45944.0</v>
      </c>
    </row>
    <row r="628" spans="1:9" ht="15" x14ac:dyDescent="0.25">
      <c r="A628" s="53" t="inlineStr">
        <is>
          <t>LAB-000627</t>
        </is>
      </c>
      <c r="B628" s="53" t="inlineStr">
        <is>
          <t>WP-00282</t>
        </is>
      </c>
      <c r="C628" s="53" t="inlineStr">
        <is>
          <t>TECH-014</t>
        </is>
      </c>
      <c r="D628" s="53" t="inlineStr">
        <is>
          <t>Avionics</t>
        </is>
      </c>
      <c r="E628" s="53" t="inlineStr">
        <is>
          <t>2024-08-16</t>
        </is>
      </c>
      <c r="F628" s="53">
        <v>11.5</v>
      </c>
      <c r="G628" s="53">
        <v>3.5</v>
      </c>
      <c r="H628" s="51" t="str">
        <f>TEXT(tblLaborEntries[[#This Row],[Work date serial]]-WEEKDAY(tblLaborEntries[[#This Row],[Work date serial]],3),"yyyy-mm-dd")</f>
        <v>2024-08-12</v>
      </c>
      <c r="I628" s="64">
        <f>DATEVALUE(tblLaborEntries[[#This Row],[Work date]])</f>
        <v>45520.0</v>
      </c>
    </row>
    <row r="629" spans="1:9" ht="15" x14ac:dyDescent="0.25">
      <c r="A629" s="53" t="inlineStr">
        <is>
          <t>LAB-000628</t>
        </is>
      </c>
      <c r="B629" s="53" t="inlineStr">
        <is>
          <t>WP-00283</t>
        </is>
      </c>
      <c r="C629" s="53" t="inlineStr">
        <is>
          <t>TECH-062</t>
        </is>
      </c>
      <c r="D629" s="53" t="inlineStr">
        <is>
          <t>Avionics</t>
        </is>
      </c>
      <c r="E629" s="53" t="inlineStr">
        <is>
          <t>2024-11-04</t>
        </is>
      </c>
      <c r="F629" s="53">
        <v>1.4</v>
      </c>
      <c r="G629" s="53">
        <v>0</v>
      </c>
      <c r="H629" s="51" t="str">
        <f>TEXT(tblLaborEntries[[#This Row],[Work date serial]]-WEEKDAY(tblLaborEntries[[#This Row],[Work date serial]],3),"yyyy-mm-dd")</f>
        <v>2024-11-04</v>
      </c>
      <c r="I629" s="64">
        <f>DATEVALUE(tblLaborEntries[[#This Row],[Work date]])</f>
        <v>45600.0</v>
      </c>
    </row>
    <row r="630" spans="1:9" ht="15" x14ac:dyDescent="0.25">
      <c r="A630" s="53" t="inlineStr">
        <is>
          <t>LAB-000629</t>
        </is>
      </c>
      <c r="B630" s="53" t="inlineStr">
        <is>
          <t>WP-00283</t>
        </is>
      </c>
      <c r="C630" s="53" t="inlineStr">
        <is>
          <t>TECH-026</t>
        </is>
      </c>
      <c r="D630" s="53" t="inlineStr">
        <is>
          <t>Avionics</t>
        </is>
      </c>
      <c r="E630" s="53" t="inlineStr">
        <is>
          <t>2024-11-05</t>
        </is>
      </c>
      <c r="F630" s="53">
        <v>1</v>
      </c>
      <c r="G630" s="53">
        <v>0</v>
      </c>
      <c r="H630" s="51" t="str">
        <f>TEXT(tblLaborEntries[[#This Row],[Work date serial]]-WEEKDAY(tblLaborEntries[[#This Row],[Work date serial]],3),"yyyy-mm-dd")</f>
        <v>2024-11-04</v>
      </c>
      <c r="I630" s="64">
        <f>DATEVALUE(tblLaborEntries[[#This Row],[Work date]])</f>
        <v>45601.0</v>
      </c>
    </row>
    <row r="631" spans="1:9" ht="15" x14ac:dyDescent="0.25">
      <c r="A631" s="53" t="inlineStr">
        <is>
          <t>LAB-000630</t>
        </is>
      </c>
      <c r="B631" s="53" t="inlineStr">
        <is>
          <t>WP-00284</t>
        </is>
      </c>
      <c r="C631" s="53" t="inlineStr">
        <is>
          <t>TECH-046</t>
        </is>
      </c>
      <c r="D631" s="53" t="inlineStr">
        <is>
          <t>Electrical</t>
        </is>
      </c>
      <c r="E631" s="53" t="inlineStr">
        <is>
          <t>2024-08-22</t>
        </is>
      </c>
      <c r="F631" s="53">
        <v>6</v>
      </c>
      <c r="G631" s="53">
        <v>0</v>
      </c>
      <c r="H631" s="51" t="str">
        <f>TEXT(tblLaborEntries[[#This Row],[Work date serial]]-WEEKDAY(tblLaborEntries[[#This Row],[Work date serial]],3),"yyyy-mm-dd")</f>
        <v>2024-08-19</v>
      </c>
      <c r="I631" s="64">
        <f>DATEVALUE(tblLaborEntries[[#This Row],[Work date]])</f>
        <v>45526.0</v>
      </c>
    </row>
    <row r="632" spans="1:9" ht="15" x14ac:dyDescent="0.25">
      <c r="A632" s="53" t="inlineStr">
        <is>
          <t>LAB-000631</t>
        </is>
      </c>
      <c r="B632" s="53" t="inlineStr">
        <is>
          <t>WP-00285</t>
        </is>
      </c>
      <c r="C632" s="53" t="inlineStr">
        <is>
          <t>TECH-025</t>
        </is>
      </c>
      <c r="D632" s="53" t="inlineStr">
        <is>
          <t>Airframe</t>
        </is>
      </c>
      <c r="E632" s="53" t="inlineStr">
        <is>
          <t>2024-10-02</t>
        </is>
      </c>
      <c r="F632" s="53">
        <v>2</v>
      </c>
      <c r="G632" s="53">
        <v>0</v>
      </c>
      <c r="H632" s="51" t="str">
        <f>TEXT(tblLaborEntries[[#This Row],[Work date serial]]-WEEKDAY(tblLaborEntries[[#This Row],[Work date serial]],3),"yyyy-mm-dd")</f>
        <v>2024-09-30</v>
      </c>
      <c r="I632" s="64">
        <f>DATEVALUE(tblLaborEntries[[#This Row],[Work date]])</f>
        <v>45567.0</v>
      </c>
    </row>
    <row r="633" spans="1:9" ht="15" x14ac:dyDescent="0.25">
      <c r="A633" s="53" t="inlineStr">
        <is>
          <t>LAB-000632</t>
        </is>
      </c>
      <c r="B633" s="53" t="inlineStr">
        <is>
          <t>WP-00285</t>
        </is>
      </c>
      <c r="C633" s="53" t="inlineStr">
        <is>
          <t>TECH-025</t>
        </is>
      </c>
      <c r="D633" s="53" t="inlineStr">
        <is>
          <t>Airframe</t>
        </is>
      </c>
      <c r="E633" s="53" t="inlineStr">
        <is>
          <t>2024-10-03</t>
        </is>
      </c>
      <c r="F633" s="53">
        <v>1.5</v>
      </c>
      <c r="G633" s="53">
        <v>0</v>
      </c>
      <c r="H633" s="51" t="str">
        <f>TEXT(tblLaborEntries[[#This Row],[Work date serial]]-WEEKDAY(tblLaborEntries[[#This Row],[Work date serial]],3),"yyyy-mm-dd")</f>
        <v>2024-09-30</v>
      </c>
      <c r="I633" s="64">
        <f>DATEVALUE(tblLaborEntries[[#This Row],[Work date]])</f>
        <v>45568.0</v>
      </c>
    </row>
    <row r="634" spans="1:9" ht="15" x14ac:dyDescent="0.25">
      <c r="A634" s="53" t="inlineStr">
        <is>
          <t>LAB-000633</t>
        </is>
      </c>
      <c r="B634" s="53" t="inlineStr">
        <is>
          <t>WP-00286</t>
        </is>
      </c>
      <c r="C634" s="53" t="inlineStr">
        <is>
          <t>TECH-011</t>
        </is>
      </c>
      <c r="D634" s="53" t="inlineStr">
        <is>
          <t>Structures</t>
        </is>
      </c>
      <c r="E634" s="53" t="inlineStr">
        <is>
          <t>2024-03-29</t>
        </is>
      </c>
      <c r="F634" s="53">
        <v>9.9</v>
      </c>
      <c r="G634" s="53">
        <v>1.9</v>
      </c>
      <c r="H634" s="51" t="str">
        <f>TEXT(tblLaborEntries[[#This Row],[Work date serial]]-WEEKDAY(tblLaborEntries[[#This Row],[Work date serial]],3),"yyyy-mm-dd")</f>
        <v>2024-03-25</v>
      </c>
      <c r="I634" s="64">
        <f>DATEVALUE(tblLaborEntries[[#This Row],[Work date]])</f>
        <v>45380.0</v>
      </c>
    </row>
    <row r="635" spans="1:9" ht="15" x14ac:dyDescent="0.25">
      <c r="A635" s="53" t="inlineStr">
        <is>
          <t>LAB-000634</t>
        </is>
      </c>
      <c r="B635" s="53" t="inlineStr">
        <is>
          <t>WP-00286</t>
        </is>
      </c>
      <c r="C635" s="53" t="inlineStr">
        <is>
          <t>TECH-011</t>
        </is>
      </c>
      <c r="D635" s="53" t="inlineStr">
        <is>
          <t>Structures</t>
        </is>
      </c>
      <c r="E635" s="53" t="inlineStr">
        <is>
          <t>2024-03-30</t>
        </is>
      </c>
      <c r="F635" s="53">
        <v>11.7</v>
      </c>
      <c r="G635" s="53">
        <v>3.7</v>
      </c>
      <c r="H635" s="51" t="str">
        <f>TEXT(tblLaborEntries[[#This Row],[Work date serial]]-WEEKDAY(tblLaborEntries[[#This Row],[Work date serial]],3),"yyyy-mm-dd")</f>
        <v>2024-03-25</v>
      </c>
      <c r="I635" s="64">
        <f>DATEVALUE(tblLaborEntries[[#This Row],[Work date]])</f>
        <v>45381.0</v>
      </c>
    </row>
    <row r="636" spans="1:9" ht="15" x14ac:dyDescent="0.25">
      <c r="A636" s="53" t="inlineStr">
        <is>
          <t>LAB-000635</t>
        </is>
      </c>
      <c r="B636" s="53" t="inlineStr">
        <is>
          <t>WP-00286</t>
        </is>
      </c>
      <c r="C636" s="53" t="inlineStr">
        <is>
          <t>TECH-071</t>
        </is>
      </c>
      <c r="D636" s="53" t="inlineStr">
        <is>
          <t>Structures</t>
        </is>
      </c>
      <c r="E636" s="53" t="inlineStr">
        <is>
          <t>2024-03-31</t>
        </is>
      </c>
      <c r="F636" s="53">
        <v>9.1</v>
      </c>
      <c r="G636" s="53">
        <v>1.1</v>
      </c>
      <c r="H636" s="51" t="str">
        <f>TEXT(tblLaborEntries[[#This Row],[Work date serial]]-WEEKDAY(tblLaborEntries[[#This Row],[Work date serial]],3),"yyyy-mm-dd")</f>
        <v>2024-03-25</v>
      </c>
      <c r="I636" s="64">
        <f>DATEVALUE(tblLaborEntries[[#This Row],[Work date]])</f>
        <v>45382.0</v>
      </c>
    </row>
    <row r="637" spans="1:9" ht="15" x14ac:dyDescent="0.25">
      <c r="A637" s="53" t="inlineStr">
        <is>
          <t>LAB-000636</t>
        </is>
      </c>
      <c r="B637" s="53" t="inlineStr">
        <is>
          <t>WP-00287</t>
        </is>
      </c>
      <c r="C637" s="53" t="inlineStr">
        <is>
          <t>TECH-001</t>
        </is>
      </c>
      <c r="D637" s="53" t="inlineStr">
        <is>
          <t>Airframe</t>
        </is>
      </c>
      <c r="E637" s="53" t="inlineStr">
        <is>
          <t>2024-06-17</t>
        </is>
      </c>
      <c r="F637" s="53">
        <v>5</v>
      </c>
      <c r="G637" s="53">
        <v>0</v>
      </c>
      <c r="H637" s="51" t="str">
        <f>TEXT(tblLaborEntries[[#This Row],[Work date serial]]-WEEKDAY(tblLaborEntries[[#This Row],[Work date serial]],3),"yyyy-mm-dd")</f>
        <v>2024-06-17</v>
      </c>
      <c r="I637" s="64">
        <f>DATEVALUE(tblLaborEntries[[#This Row],[Work date]])</f>
        <v>45460.0</v>
      </c>
    </row>
    <row r="638" spans="1:9" ht="15" x14ac:dyDescent="0.25">
      <c r="A638" s="53" t="inlineStr">
        <is>
          <t>LAB-000637</t>
        </is>
      </c>
      <c r="B638" s="53" t="inlineStr">
        <is>
          <t>WP-00287</t>
        </is>
      </c>
      <c r="C638" s="53" t="inlineStr">
        <is>
          <t>TECH-049</t>
        </is>
      </c>
      <c r="D638" s="53" t="inlineStr">
        <is>
          <t>Airframe</t>
        </is>
      </c>
      <c r="E638" s="53" t="inlineStr">
        <is>
          <t>2024-06-18</t>
        </is>
      </c>
      <c r="F638" s="53">
        <v>4.4</v>
      </c>
      <c r="G638" s="53">
        <v>0</v>
      </c>
      <c r="H638" s="51" t="str">
        <f>TEXT(tblLaborEntries[[#This Row],[Work date serial]]-WEEKDAY(tblLaborEntries[[#This Row],[Work date serial]],3),"yyyy-mm-dd")</f>
        <v>2024-06-17</v>
      </c>
      <c r="I638" s="64">
        <f>DATEVALUE(tblLaborEntries[[#This Row],[Work date]])</f>
        <v>45461.0</v>
      </c>
    </row>
    <row r="639" spans="1:9" ht="15" x14ac:dyDescent="0.25">
      <c r="A639" s="53" t="inlineStr">
        <is>
          <t>LAB-000638</t>
        </is>
      </c>
      <c r="B639" s="53" t="inlineStr">
        <is>
          <t>WP-00287</t>
        </is>
      </c>
      <c r="C639" s="53" t="inlineStr">
        <is>
          <t>TECH-025</t>
        </is>
      </c>
      <c r="D639" s="53" t="inlineStr">
        <is>
          <t>Airframe</t>
        </is>
      </c>
      <c r="E639" s="53" t="inlineStr">
        <is>
          <t>2024-06-19</t>
        </is>
      </c>
      <c r="F639" s="53">
        <v>6</v>
      </c>
      <c r="G639" s="53">
        <v>0</v>
      </c>
      <c r="H639" s="51" t="str">
        <f>TEXT(tblLaborEntries[[#This Row],[Work date serial]]-WEEKDAY(tblLaborEntries[[#This Row],[Work date serial]],3),"yyyy-mm-dd")</f>
        <v>2024-06-17</v>
      </c>
      <c r="I639" s="64">
        <f>DATEVALUE(tblLaborEntries[[#This Row],[Work date]])</f>
        <v>45462.0</v>
      </c>
    </row>
    <row r="640" spans="1:9" ht="15" x14ac:dyDescent="0.25">
      <c r="A640" s="53" t="inlineStr">
        <is>
          <t>LAB-000639</t>
        </is>
      </c>
      <c r="B640" s="53" t="inlineStr">
        <is>
          <t>WP-00288</t>
        </is>
      </c>
      <c r="C640" s="53" t="inlineStr">
        <is>
          <t>TECH-067</t>
        </is>
      </c>
      <c r="D640" s="53" t="inlineStr">
        <is>
          <t>Airframe</t>
        </is>
      </c>
      <c r="E640" s="53" t="inlineStr">
        <is>
          <t>2024-10-29</t>
        </is>
      </c>
      <c r="F640" s="53">
        <v>4.3</v>
      </c>
      <c r="G640" s="53">
        <v>0</v>
      </c>
      <c r="H640" s="51" t="str">
        <f>TEXT(tblLaborEntries[[#This Row],[Work date serial]]-WEEKDAY(tblLaborEntries[[#This Row],[Work date serial]],3),"yyyy-mm-dd")</f>
        <v>2024-10-28</v>
      </c>
      <c r="I640" s="64">
        <f>DATEVALUE(tblLaborEntries[[#This Row],[Work date]])</f>
        <v>45594.0</v>
      </c>
    </row>
    <row r="641" spans="1:9" ht="15" x14ac:dyDescent="0.25">
      <c r="A641" s="53" t="inlineStr">
        <is>
          <t>LAB-000640</t>
        </is>
      </c>
      <c r="B641" s="53" t="inlineStr">
        <is>
          <t>WP-00289</t>
        </is>
      </c>
      <c r="C641" s="53" t="inlineStr">
        <is>
          <t>TECH-043</t>
        </is>
      </c>
      <c r="D641" s="53" t="inlineStr">
        <is>
          <t>Airframe</t>
        </is>
      </c>
      <c r="E641" s="53" t="inlineStr">
        <is>
          <t>2024-10-28</t>
        </is>
      </c>
      <c r="F641" s="53">
        <v>1.1</v>
      </c>
      <c r="G641" s="53">
        <v>0</v>
      </c>
      <c r="H641" s="51" t="str">
        <f>TEXT(tblLaborEntries[[#This Row],[Work date serial]]-WEEKDAY(tblLaborEntries[[#This Row],[Work date serial]],3),"yyyy-mm-dd")</f>
        <v>2024-10-28</v>
      </c>
      <c r="I641" s="64">
        <f>DATEVALUE(tblLaborEntries[[#This Row],[Work date]])</f>
        <v>45593.0</v>
      </c>
    </row>
    <row r="642" spans="1:9" ht="15" x14ac:dyDescent="0.25">
      <c r="A642" s="53" t="inlineStr">
        <is>
          <t>LAB-000641</t>
        </is>
      </c>
      <c r="B642" s="53" t="inlineStr">
        <is>
          <t>WP-00289</t>
        </is>
      </c>
      <c r="C642" s="53" t="inlineStr">
        <is>
          <t>TECH-073</t>
        </is>
      </c>
      <c r="D642" s="53" t="inlineStr">
        <is>
          <t>Airframe</t>
        </is>
      </c>
      <c r="E642" s="53" t="inlineStr">
        <is>
          <t>2024-10-29</t>
        </is>
      </c>
      <c r="F642" s="53">
        <v>1.6</v>
      </c>
      <c r="G642" s="53">
        <v>0</v>
      </c>
      <c r="H642" s="51" t="str">
        <f>TEXT(tblLaborEntries[[#This Row],[Work date serial]]-WEEKDAY(tblLaborEntries[[#This Row],[Work date serial]],3),"yyyy-mm-dd")</f>
        <v>2024-10-28</v>
      </c>
      <c r="I642" s="64">
        <f>DATEVALUE(tblLaborEntries[[#This Row],[Work date]])</f>
        <v>45594.0</v>
      </c>
    </row>
    <row r="643" spans="1:9" ht="15" x14ac:dyDescent="0.25">
      <c r="A643" s="53" t="inlineStr">
        <is>
          <t>LAB-000642</t>
        </is>
      </c>
      <c r="B643" s="53" t="inlineStr">
        <is>
          <t>WP-00290</t>
        </is>
      </c>
      <c r="C643" s="53" t="inlineStr">
        <is>
          <t>TECH-061</t>
        </is>
      </c>
      <c r="D643" s="53" t="inlineStr">
        <is>
          <t>Airframe</t>
        </is>
      </c>
      <c r="E643" s="53" t="inlineStr">
        <is>
          <t>2025-02-08</t>
        </is>
      </c>
      <c r="F643" s="53">
        <v>7</v>
      </c>
      <c r="G643" s="53">
        <v>0</v>
      </c>
      <c r="H643" s="51" t="str">
        <f>TEXT(tblLaborEntries[[#This Row],[Work date serial]]-WEEKDAY(tblLaborEntries[[#This Row],[Work date serial]],3),"yyyy-mm-dd")</f>
        <v>2025-02-03</v>
      </c>
      <c r="I643" s="64">
        <f>DATEVALUE(tblLaborEntries[[#This Row],[Work date]])</f>
        <v>45696.0</v>
      </c>
    </row>
    <row r="644" spans="1:9" ht="15" x14ac:dyDescent="0.25">
      <c r="A644" s="53" t="inlineStr">
        <is>
          <t>LAB-000643</t>
        </is>
      </c>
      <c r="B644" s="53" t="inlineStr">
        <is>
          <t>WP-00291</t>
        </is>
      </c>
      <c r="C644" s="53" t="inlineStr">
        <is>
          <t>TECH-013</t>
        </is>
      </c>
      <c r="D644" s="53" t="inlineStr">
        <is>
          <t>Airframe</t>
        </is>
      </c>
      <c r="E644" s="53" t="inlineStr">
        <is>
          <t>2025-04-08</t>
        </is>
      </c>
      <c r="F644" s="53">
        <v>7.4</v>
      </c>
      <c r="G644" s="53">
        <v>0</v>
      </c>
      <c r="H644" s="51" t="str">
        <f>TEXT(tblLaborEntries[[#This Row],[Work date serial]]-WEEKDAY(tblLaborEntries[[#This Row],[Work date serial]],3),"yyyy-mm-dd")</f>
        <v>2025-04-07</v>
      </c>
      <c r="I644" s="64">
        <f>DATEVALUE(tblLaborEntries[[#This Row],[Work date]])</f>
        <v>45755.0</v>
      </c>
    </row>
    <row r="645" spans="1:9" ht="15" x14ac:dyDescent="0.25">
      <c r="A645" s="53" t="inlineStr">
        <is>
          <t>LAB-000644</t>
        </is>
      </c>
      <c r="B645" s="53" t="inlineStr">
        <is>
          <t>WP-00291</t>
        </is>
      </c>
      <c r="C645" s="53" t="inlineStr">
        <is>
          <t>TECH-007</t>
        </is>
      </c>
      <c r="D645" s="53" t="inlineStr">
        <is>
          <t>Airframe</t>
        </is>
      </c>
      <c r="E645" s="53" t="inlineStr">
        <is>
          <t>2025-04-09</t>
        </is>
      </c>
      <c r="F645" s="53">
        <v>5.7</v>
      </c>
      <c r="G645" s="53">
        <v>0</v>
      </c>
      <c r="H645" s="51" t="str">
        <f>TEXT(tblLaborEntries[[#This Row],[Work date serial]]-WEEKDAY(tblLaborEntries[[#This Row],[Work date serial]],3),"yyyy-mm-dd")</f>
        <v>2025-04-07</v>
      </c>
      <c r="I645" s="64">
        <f>DATEVALUE(tblLaborEntries[[#This Row],[Work date]])</f>
        <v>45756.0</v>
      </c>
    </row>
    <row r="646" spans="1:9" ht="15" x14ac:dyDescent="0.25">
      <c r="A646" s="53" t="inlineStr">
        <is>
          <t>LAB-000645</t>
        </is>
      </c>
      <c r="B646" s="53" t="inlineStr">
        <is>
          <t>WP-00292</t>
        </is>
      </c>
      <c r="C646" s="53" t="inlineStr">
        <is>
          <t>TECH-019</t>
        </is>
      </c>
      <c r="D646" s="53" t="inlineStr">
        <is>
          <t>Airframe</t>
        </is>
      </c>
      <c r="E646" s="53" t="inlineStr">
        <is>
          <t>2024-12-16</t>
        </is>
      </c>
      <c r="F646" s="53">
        <v>6.4</v>
      </c>
      <c r="G646" s="53">
        <v>0</v>
      </c>
      <c r="H646" s="51" t="str">
        <f>TEXT(tblLaborEntries[[#This Row],[Work date serial]]-WEEKDAY(tblLaborEntries[[#This Row],[Work date serial]],3),"yyyy-mm-dd")</f>
        <v>2024-12-16</v>
      </c>
      <c r="I646" s="64">
        <f>DATEVALUE(tblLaborEntries[[#This Row],[Work date]])</f>
        <v>45642.0</v>
      </c>
    </row>
    <row r="647" spans="1:9" ht="15" x14ac:dyDescent="0.25">
      <c r="A647" s="53" t="inlineStr">
        <is>
          <t>LAB-000646</t>
        </is>
      </c>
      <c r="B647" s="53" t="inlineStr">
        <is>
          <t>WP-00293</t>
        </is>
      </c>
      <c r="C647" s="53" t="inlineStr">
        <is>
          <t>TECH-067</t>
        </is>
      </c>
      <c r="D647" s="53" t="inlineStr">
        <is>
          <t>Airframe</t>
        </is>
      </c>
      <c r="E647" s="53" t="inlineStr">
        <is>
          <t>2024-05-13</t>
        </is>
      </c>
      <c r="F647" s="53">
        <v>10</v>
      </c>
      <c r="G647" s="53">
        <v>2</v>
      </c>
      <c r="H647" s="51" t="str">
        <f>TEXT(tblLaborEntries[[#This Row],[Work date serial]]-WEEKDAY(tblLaborEntries[[#This Row],[Work date serial]],3),"yyyy-mm-dd")</f>
        <v>2024-05-13</v>
      </c>
      <c r="I647" s="64">
        <f>DATEVALUE(tblLaborEntries[[#This Row],[Work date]])</f>
        <v>45425.0</v>
      </c>
    </row>
    <row r="648" spans="1:9" ht="15" x14ac:dyDescent="0.25">
      <c r="A648" s="53" t="inlineStr">
        <is>
          <t>LAB-000647</t>
        </is>
      </c>
      <c r="B648" s="53" t="inlineStr">
        <is>
          <t>WP-00294</t>
        </is>
      </c>
      <c r="C648" s="53" t="inlineStr">
        <is>
          <t>TECH-025</t>
        </is>
      </c>
      <c r="D648" s="53" t="inlineStr">
        <is>
          <t>Airframe</t>
        </is>
      </c>
      <c r="E648" s="53" t="inlineStr">
        <is>
          <t>2025-11-21</t>
        </is>
      </c>
      <c r="F648" s="53">
        <v>1.3</v>
      </c>
      <c r="G648" s="53">
        <v>0</v>
      </c>
      <c r="H648" s="51" t="str">
        <f>TEXT(tblLaborEntries[[#This Row],[Work date serial]]-WEEKDAY(tblLaborEntries[[#This Row],[Work date serial]],3),"yyyy-mm-dd")</f>
        <v>2025-11-17</v>
      </c>
      <c r="I648" s="64">
        <f>DATEVALUE(tblLaborEntries[[#This Row],[Work date]])</f>
        <v>45982.0</v>
      </c>
    </row>
    <row r="649" spans="1:9" ht="15" x14ac:dyDescent="0.25">
      <c r="A649" s="53" t="inlineStr">
        <is>
          <t>LAB-000648</t>
        </is>
      </c>
      <c r="B649" s="53" t="inlineStr">
        <is>
          <t>WP-00294</t>
        </is>
      </c>
      <c r="C649" s="53" t="inlineStr">
        <is>
          <t>TECH-001</t>
        </is>
      </c>
      <c r="D649" s="53" t="inlineStr">
        <is>
          <t>Airframe</t>
        </is>
      </c>
      <c r="E649" s="53" t="inlineStr">
        <is>
          <t>2025-11-22</t>
        </is>
      </c>
      <c r="F649" s="53">
        <v>1.5</v>
      </c>
      <c r="G649" s="53">
        <v>0</v>
      </c>
      <c r="H649" s="51" t="str">
        <f>TEXT(tblLaborEntries[[#This Row],[Work date serial]]-WEEKDAY(tblLaborEntries[[#This Row],[Work date serial]],3),"yyyy-mm-dd")</f>
        <v>2025-11-17</v>
      </c>
      <c r="I649" s="64">
        <f>DATEVALUE(tblLaborEntries[[#This Row],[Work date]])</f>
        <v>45983.0</v>
      </c>
    </row>
    <row r="650" spans="1:9" ht="15" x14ac:dyDescent="0.25">
      <c r="A650" s="53" t="inlineStr">
        <is>
          <t>LAB-000649</t>
        </is>
      </c>
      <c r="B650" s="53" t="inlineStr">
        <is>
          <t>WP-00294</t>
        </is>
      </c>
      <c r="C650" s="53" t="inlineStr">
        <is>
          <t>TECH-055</t>
        </is>
      </c>
      <c r="D650" s="53" t="inlineStr">
        <is>
          <t>Airframe</t>
        </is>
      </c>
      <c r="E650" s="53" t="inlineStr">
        <is>
          <t>2025-11-23</t>
        </is>
      </c>
      <c r="F650" s="53">
        <v>1.2</v>
      </c>
      <c r="G650" s="53">
        <v>0</v>
      </c>
      <c r="H650" s="51" t="str">
        <f>TEXT(tblLaborEntries[[#This Row],[Work date serial]]-WEEKDAY(tblLaborEntries[[#This Row],[Work date serial]],3),"yyyy-mm-dd")</f>
        <v>2025-11-17</v>
      </c>
      <c r="I650" s="64">
        <f>DATEVALUE(tblLaborEntries[[#This Row],[Work date]])</f>
        <v>45984.0</v>
      </c>
    </row>
    <row r="651" spans="1:9" ht="15" x14ac:dyDescent="0.25">
      <c r="A651" s="53" t="inlineStr">
        <is>
          <t>LAB-000650</t>
        </is>
      </c>
      <c r="B651" s="53" t="inlineStr">
        <is>
          <t>WP-00295</t>
        </is>
      </c>
      <c r="C651" s="53" t="inlineStr">
        <is>
          <t>TECH-026</t>
        </is>
      </c>
      <c r="D651" s="53" t="inlineStr">
        <is>
          <t>Avionics</t>
        </is>
      </c>
      <c r="E651" s="53" t="inlineStr">
        <is>
          <t>2025-09-08</t>
        </is>
      </c>
      <c r="F651" s="53">
        <v>3.2</v>
      </c>
      <c r="G651" s="53">
        <v>0</v>
      </c>
      <c r="H651" s="51" t="str">
        <f>TEXT(tblLaborEntries[[#This Row],[Work date serial]]-WEEKDAY(tblLaborEntries[[#This Row],[Work date serial]],3),"yyyy-mm-dd")</f>
        <v>2025-09-08</v>
      </c>
      <c r="I651" s="64">
        <f>DATEVALUE(tblLaborEntries[[#This Row],[Work date]])</f>
        <v>45908.0</v>
      </c>
    </row>
    <row r="652" spans="1:9" ht="15" x14ac:dyDescent="0.25">
      <c r="A652" s="53" t="inlineStr">
        <is>
          <t>LAB-000651</t>
        </is>
      </c>
      <c r="B652" s="53" t="inlineStr">
        <is>
          <t>WP-00295</t>
        </is>
      </c>
      <c r="C652" s="53" t="inlineStr">
        <is>
          <t>TECH-044</t>
        </is>
      </c>
      <c r="D652" s="53" t="inlineStr">
        <is>
          <t>Avionics</t>
        </is>
      </c>
      <c r="E652" s="53" t="inlineStr">
        <is>
          <t>2025-09-09</t>
        </is>
      </c>
      <c r="F652" s="53">
        <v>2.2</v>
      </c>
      <c r="G652" s="53">
        <v>0</v>
      </c>
      <c r="H652" s="51" t="str">
        <f>TEXT(tblLaborEntries[[#This Row],[Work date serial]]-WEEKDAY(tblLaborEntries[[#This Row],[Work date serial]],3),"yyyy-mm-dd")</f>
        <v>2025-09-08</v>
      </c>
      <c r="I652" s="64">
        <f>DATEVALUE(tblLaborEntries[[#This Row],[Work date]])</f>
        <v>45909.0</v>
      </c>
    </row>
    <row r="653" spans="1:9" ht="15" x14ac:dyDescent="0.25">
      <c r="A653" s="53" t="inlineStr">
        <is>
          <t>LAB-000652</t>
        </is>
      </c>
      <c r="B653" s="53" t="inlineStr">
        <is>
          <t>WP-00296</t>
        </is>
      </c>
      <c r="C653" s="53" t="inlineStr">
        <is>
          <t>TECH-036</t>
        </is>
      </c>
      <c r="D653" s="53" t="inlineStr">
        <is>
          <t>Powerplant</t>
        </is>
      </c>
      <c r="E653" s="53" t="inlineStr">
        <is>
          <t>2025-12-28</t>
        </is>
      </c>
      <c r="F653" s="53">
        <v>5.8</v>
      </c>
      <c r="G653" s="53">
        <v>0</v>
      </c>
      <c r="H653" s="51" t="str">
        <f>TEXT(tblLaborEntries[[#This Row],[Work date serial]]-WEEKDAY(tblLaborEntries[[#This Row],[Work date serial]],3),"yyyy-mm-dd")</f>
        <v>2025-12-22</v>
      </c>
      <c r="I653" s="64">
        <f>DATEVALUE(tblLaborEntries[[#This Row],[Work date]])</f>
        <v>46019.0</v>
      </c>
    </row>
    <row r="654" spans="1:9" ht="15" x14ac:dyDescent="0.25">
      <c r="A654" s="53" t="inlineStr">
        <is>
          <t>LAB-000653</t>
        </is>
      </c>
      <c r="B654" s="53" t="inlineStr">
        <is>
          <t>WP-00297</t>
        </is>
      </c>
      <c r="C654" s="53" t="inlineStr">
        <is>
          <t>TECH-050</t>
        </is>
      </c>
      <c r="D654" s="53" t="inlineStr">
        <is>
          <t>Avionics</t>
        </is>
      </c>
      <c r="E654" s="53" t="inlineStr">
        <is>
          <t>2025-11-05</t>
        </is>
      </c>
      <c r="F654" s="53">
        <v>5.3</v>
      </c>
      <c r="G654" s="53">
        <v>0</v>
      </c>
      <c r="H654" s="51" t="str">
        <f>TEXT(tblLaborEntries[[#This Row],[Work date serial]]-WEEKDAY(tblLaborEntries[[#This Row],[Work date serial]],3),"yyyy-mm-dd")</f>
        <v>2025-11-03</v>
      </c>
      <c r="I654" s="64">
        <f>DATEVALUE(tblLaborEntries[[#This Row],[Work date]])</f>
        <v>45966.0</v>
      </c>
    </row>
    <row r="655" spans="1:9" ht="15" x14ac:dyDescent="0.25">
      <c r="A655" s="53" t="inlineStr">
        <is>
          <t>LAB-000654</t>
        </is>
      </c>
      <c r="B655" s="53" t="inlineStr">
        <is>
          <t>WP-00297</t>
        </is>
      </c>
      <c r="C655" s="53" t="inlineStr">
        <is>
          <t>TECH-050</t>
        </is>
      </c>
      <c r="D655" s="53" t="inlineStr">
        <is>
          <t>Avionics</t>
        </is>
      </c>
      <c r="E655" s="53" t="inlineStr">
        <is>
          <t>2025-11-06</t>
        </is>
      </c>
      <c r="F655" s="53">
        <v>5.1</v>
      </c>
      <c r="G655" s="53">
        <v>0</v>
      </c>
      <c r="H655" s="51" t="str">
        <f>TEXT(tblLaborEntries[[#This Row],[Work date serial]]-WEEKDAY(tblLaborEntries[[#This Row],[Work date serial]],3),"yyyy-mm-dd")</f>
        <v>2025-11-03</v>
      </c>
      <c r="I655" s="64">
        <f>DATEVALUE(tblLaborEntries[[#This Row],[Work date]])</f>
        <v>45967.0</v>
      </c>
    </row>
    <row r="656" spans="1:9" ht="15" x14ac:dyDescent="0.25">
      <c r="A656" s="53" t="inlineStr">
        <is>
          <t>LAB-000655</t>
        </is>
      </c>
      <c r="B656" s="53" t="inlineStr">
        <is>
          <t>WP-00297</t>
        </is>
      </c>
      <c r="C656" s="53" t="inlineStr">
        <is>
          <t>TECH-056</t>
        </is>
      </c>
      <c r="D656" s="53" t="inlineStr">
        <is>
          <t>Avionics</t>
        </is>
      </c>
      <c r="E656" s="53" t="inlineStr">
        <is>
          <t>2025-11-07</t>
        </is>
      </c>
      <c r="F656" s="53">
        <v>4.4</v>
      </c>
      <c r="G656" s="53">
        <v>0</v>
      </c>
      <c r="H656" s="51" t="str">
        <f>TEXT(tblLaborEntries[[#This Row],[Work date serial]]-WEEKDAY(tblLaborEntries[[#This Row],[Work date serial]],3),"yyyy-mm-dd")</f>
        <v>2025-11-03</v>
      </c>
      <c r="I656" s="64">
        <f>DATEVALUE(tblLaborEntries[[#This Row],[Work date]])</f>
        <v>45968.0</v>
      </c>
    </row>
    <row r="657" spans="1:9" ht="15" x14ac:dyDescent="0.25">
      <c r="A657" s="53" t="inlineStr">
        <is>
          <t>LAB-000656</t>
        </is>
      </c>
      <c r="B657" s="53" t="inlineStr">
        <is>
          <t>WP-00298</t>
        </is>
      </c>
      <c r="C657" s="53" t="inlineStr">
        <is>
          <t>TECH-034</t>
        </is>
      </c>
      <c r="D657" s="53" t="inlineStr">
        <is>
          <t>Electrical</t>
        </is>
      </c>
      <c r="E657" s="53" t="inlineStr">
        <is>
          <t>2024-11-07</t>
        </is>
      </c>
      <c r="F657" s="53">
        <v>4.2</v>
      </c>
      <c r="G657" s="53">
        <v>0</v>
      </c>
      <c r="H657" s="51" t="str">
        <f>TEXT(tblLaborEntries[[#This Row],[Work date serial]]-WEEKDAY(tblLaborEntries[[#This Row],[Work date serial]],3),"yyyy-mm-dd")</f>
        <v>2024-11-04</v>
      </c>
      <c r="I657" s="64">
        <f>DATEVALUE(tblLaborEntries[[#This Row],[Work date]])</f>
        <v>45603.0</v>
      </c>
    </row>
    <row r="658" spans="1:9" ht="15" x14ac:dyDescent="0.25">
      <c r="A658" s="53" t="inlineStr">
        <is>
          <t>LAB-000657</t>
        </is>
      </c>
      <c r="B658" s="53" t="inlineStr">
        <is>
          <t>WP-00298</t>
        </is>
      </c>
      <c r="C658" s="53" t="inlineStr">
        <is>
          <t>TECH-064</t>
        </is>
      </c>
      <c r="D658" s="53" t="inlineStr">
        <is>
          <t>Electrical</t>
        </is>
      </c>
      <c r="E658" s="53" t="inlineStr">
        <is>
          <t>2024-11-08</t>
        </is>
      </c>
      <c r="F658" s="53">
        <v>4.5</v>
      </c>
      <c r="G658" s="53">
        <v>0</v>
      </c>
      <c r="H658" s="51" t="str">
        <f>TEXT(tblLaborEntries[[#This Row],[Work date serial]]-WEEKDAY(tblLaborEntries[[#This Row],[Work date serial]],3),"yyyy-mm-dd")</f>
        <v>2024-11-04</v>
      </c>
      <c r="I658" s="64">
        <f>DATEVALUE(tblLaborEntries[[#This Row],[Work date]])</f>
        <v>45604.0</v>
      </c>
    </row>
    <row r="659" spans="1:9" ht="15" x14ac:dyDescent="0.25">
      <c r="A659" s="53" t="inlineStr">
        <is>
          <t>LAB-000658</t>
        </is>
      </c>
      <c r="B659" s="53" t="inlineStr">
        <is>
          <t>WP-00298</t>
        </is>
      </c>
      <c r="C659" s="53" t="inlineStr">
        <is>
          <t>TECH-016</t>
        </is>
      </c>
      <c r="D659" s="53" t="inlineStr">
        <is>
          <t>Electrical</t>
        </is>
      </c>
      <c r="E659" s="53" t="inlineStr">
        <is>
          <t>2024-11-09</t>
        </is>
      </c>
      <c r="F659" s="53">
        <v>3.5</v>
      </c>
      <c r="G659" s="53">
        <v>0</v>
      </c>
      <c r="H659" s="51" t="str">
        <f>TEXT(tblLaborEntries[[#This Row],[Work date serial]]-WEEKDAY(tblLaborEntries[[#This Row],[Work date serial]],3),"yyyy-mm-dd")</f>
        <v>2024-11-04</v>
      </c>
      <c r="I659" s="64">
        <f>DATEVALUE(tblLaborEntries[[#This Row],[Work date]])</f>
        <v>45605.0</v>
      </c>
    </row>
    <row r="660" spans="1:9" ht="15" x14ac:dyDescent="0.25">
      <c r="A660" s="53" t="inlineStr">
        <is>
          <t>LAB-000659</t>
        </is>
      </c>
      <c r="B660" s="53" t="inlineStr">
        <is>
          <t>WP-00299</t>
        </is>
      </c>
      <c r="C660" s="53" t="inlineStr">
        <is>
          <t>TECH-008</t>
        </is>
      </c>
      <c r="D660" s="53" t="inlineStr">
        <is>
          <t>Avionics</t>
        </is>
      </c>
      <c r="E660" s="53" t="inlineStr">
        <is>
          <t>2025-07-14</t>
        </is>
      </c>
      <c r="F660" s="53">
        <v>3.5</v>
      </c>
      <c r="G660" s="53">
        <v>0</v>
      </c>
      <c r="H660" s="51" t="str">
        <f>TEXT(tblLaborEntries[[#This Row],[Work date serial]]-WEEKDAY(tblLaborEntries[[#This Row],[Work date serial]],3),"yyyy-mm-dd")</f>
        <v>2025-07-14</v>
      </c>
      <c r="I660" s="64">
        <f>DATEVALUE(tblLaborEntries[[#This Row],[Work date]])</f>
        <v>45852.0</v>
      </c>
    </row>
    <row r="661" spans="1:9" ht="15" x14ac:dyDescent="0.25">
      <c r="A661" s="53" t="inlineStr">
        <is>
          <t>LAB-000660</t>
        </is>
      </c>
      <c r="B661" s="53" t="inlineStr">
        <is>
          <t>WP-00299</t>
        </is>
      </c>
      <c r="C661" s="53" t="inlineStr">
        <is>
          <t>TECH-050</t>
        </is>
      </c>
      <c r="D661" s="53" t="inlineStr">
        <is>
          <t>Avionics</t>
        </is>
      </c>
      <c r="E661" s="53" t="inlineStr">
        <is>
          <t>2025-07-15</t>
        </is>
      </c>
      <c r="F661" s="53">
        <v>5</v>
      </c>
      <c r="G661" s="53">
        <v>0</v>
      </c>
      <c r="H661" s="51" t="str">
        <f>TEXT(tblLaborEntries[[#This Row],[Work date serial]]-WEEKDAY(tblLaborEntries[[#This Row],[Work date serial]],3),"yyyy-mm-dd")</f>
        <v>2025-07-14</v>
      </c>
      <c r="I661" s="64">
        <f>DATEVALUE(tblLaborEntries[[#This Row],[Work date]])</f>
        <v>45853.0</v>
      </c>
    </row>
    <row r="662" spans="1:9" ht="15" x14ac:dyDescent="0.25">
      <c r="A662" s="53" t="inlineStr">
        <is>
          <t>LAB-000661</t>
        </is>
      </c>
      <c r="B662" s="53" t="inlineStr">
        <is>
          <t>WP-00300</t>
        </is>
      </c>
      <c r="C662" s="53" t="inlineStr">
        <is>
          <t>TECH-013</t>
        </is>
      </c>
      <c r="D662" s="53" t="inlineStr">
        <is>
          <t>Airframe</t>
        </is>
      </c>
      <c r="E662" s="53" t="inlineStr">
        <is>
          <t>2024-09-25</t>
        </is>
      </c>
      <c r="F662" s="53">
        <v>0.5</v>
      </c>
      <c r="G662" s="53">
        <v>0</v>
      </c>
      <c r="H662" s="51" t="str">
        <f>TEXT(tblLaborEntries[[#This Row],[Work date serial]]-WEEKDAY(tblLaborEntries[[#This Row],[Work date serial]],3),"yyyy-mm-dd")</f>
        <v>2024-09-23</v>
      </c>
      <c r="I662" s="64">
        <f>DATEVALUE(tblLaborEntries[[#This Row],[Work date]])</f>
        <v>45560.0</v>
      </c>
    </row>
    <row r="663" spans="1:9" ht="15" x14ac:dyDescent="0.25">
      <c r="A663" s="53" t="inlineStr">
        <is>
          <t>LAB-000662</t>
        </is>
      </c>
      <c r="B663" s="53" t="inlineStr">
        <is>
          <t>WP-00300</t>
        </is>
      </c>
      <c r="C663" s="53" t="inlineStr">
        <is>
          <t>TECH-049</t>
        </is>
      </c>
      <c r="D663" s="53" t="inlineStr">
        <is>
          <t>Airframe</t>
        </is>
      </c>
      <c r="E663" s="53" t="inlineStr">
        <is>
          <t>2024-09-26</t>
        </is>
      </c>
      <c r="F663" s="53">
        <v>0.4</v>
      </c>
      <c r="G663" s="53">
        <v>0</v>
      </c>
      <c r="H663" s="51" t="str">
        <f>TEXT(tblLaborEntries[[#This Row],[Work date serial]]-WEEKDAY(tblLaborEntries[[#This Row],[Work date serial]],3),"yyyy-mm-dd")</f>
        <v>2024-09-23</v>
      </c>
      <c r="I663" s="64">
        <f>DATEVALUE(tblLaborEntries[[#This Row],[Work date]])</f>
        <v>45561.0</v>
      </c>
    </row>
    <row r="664" spans="1:9" ht="15" x14ac:dyDescent="0.25">
      <c r="A664" s="53" t="inlineStr">
        <is>
          <t>LAB-000663</t>
        </is>
      </c>
      <c r="B664" s="53" t="inlineStr">
        <is>
          <t>WP-00300</t>
        </is>
      </c>
      <c r="C664" s="53" t="inlineStr">
        <is>
          <t>TECH-067</t>
        </is>
      </c>
      <c r="D664" s="53" t="inlineStr">
        <is>
          <t>Airframe</t>
        </is>
      </c>
      <c r="E664" s="53" t="inlineStr">
        <is>
          <t>2024-09-27</t>
        </is>
      </c>
      <c r="F664" s="53">
        <v>0.5</v>
      </c>
      <c r="G664" s="53">
        <v>0</v>
      </c>
      <c r="H664" s="51" t="str">
        <f>TEXT(tblLaborEntries[[#This Row],[Work date serial]]-WEEKDAY(tblLaborEntries[[#This Row],[Work date serial]],3),"yyyy-mm-dd")</f>
        <v>2024-09-23</v>
      </c>
      <c r="I664" s="64">
        <f>DATEVALUE(tblLaborEntries[[#This Row],[Work date]])</f>
        <v>45562.0</v>
      </c>
    </row>
    <row r="665" spans="1:9" ht="15" x14ac:dyDescent="0.25">
      <c r="A665" s="53" t="inlineStr">
        <is>
          <t>LAB-000664</t>
        </is>
      </c>
      <c r="B665" s="53" t="inlineStr">
        <is>
          <t>WP-00301</t>
        </is>
      </c>
      <c r="C665" s="53" t="inlineStr">
        <is>
          <t>TECH-040</t>
        </is>
      </c>
      <c r="D665" s="53" t="inlineStr">
        <is>
          <t>Electrical</t>
        </is>
      </c>
      <c r="E665" s="53" t="inlineStr">
        <is>
          <t>2025-10-04</t>
        </is>
      </c>
      <c r="F665" s="53">
        <v>11.7</v>
      </c>
      <c r="G665" s="53">
        <v>3.7</v>
      </c>
      <c r="H665" s="51" t="str">
        <f>TEXT(tblLaborEntries[[#This Row],[Work date serial]]-WEEKDAY(tblLaborEntries[[#This Row],[Work date serial]],3),"yyyy-mm-dd")</f>
        <v>2025-09-29</v>
      </c>
      <c r="I665" s="64">
        <f>DATEVALUE(tblLaborEntries[[#This Row],[Work date]])</f>
        <v>45934.0</v>
      </c>
    </row>
    <row r="666" spans="1:9" ht="15" x14ac:dyDescent="0.25">
      <c r="A666" s="53" t="inlineStr">
        <is>
          <t>LAB-000665</t>
        </is>
      </c>
      <c r="B666" s="53" t="inlineStr">
        <is>
          <t>WP-00302</t>
        </is>
      </c>
      <c r="C666" s="53" t="inlineStr">
        <is>
          <t>TECH-002</t>
        </is>
      </c>
      <c r="D666" s="53" t="inlineStr">
        <is>
          <t>Avionics</t>
        </is>
      </c>
      <c r="E666" s="53" t="inlineStr">
        <is>
          <t>2025-10-14</t>
        </is>
      </c>
      <c r="F666" s="53">
        <v>4.2</v>
      </c>
      <c r="G666" s="53">
        <v>0</v>
      </c>
      <c r="H666" s="51" t="str">
        <f>TEXT(tblLaborEntries[[#This Row],[Work date serial]]-WEEKDAY(tblLaborEntries[[#This Row],[Work date serial]],3),"yyyy-mm-dd")</f>
        <v>2025-10-13</v>
      </c>
      <c r="I666" s="64">
        <f>DATEVALUE(tblLaborEntries[[#This Row],[Work date]])</f>
        <v>45944.0</v>
      </c>
    </row>
    <row r="667" spans="1:9" ht="15" x14ac:dyDescent="0.25">
      <c r="A667" s="53" t="inlineStr">
        <is>
          <t>LAB-000666</t>
        </is>
      </c>
      <c r="B667" s="53" t="inlineStr">
        <is>
          <t>WP-00302</t>
        </is>
      </c>
      <c r="C667" s="53" t="inlineStr">
        <is>
          <t>TECH-062</t>
        </is>
      </c>
      <c r="D667" s="53" t="inlineStr">
        <is>
          <t>Avionics</t>
        </is>
      </c>
      <c r="E667" s="53" t="inlineStr">
        <is>
          <t>2025-10-14</t>
        </is>
      </c>
      <c r="F667" s="53">
        <v>7.2</v>
      </c>
      <c r="G667" s="53">
        <v>0</v>
      </c>
      <c r="H667" s="51" t="str">
        <f>TEXT(tblLaborEntries[[#This Row],[Work date serial]]-WEEKDAY(tblLaborEntries[[#This Row],[Work date serial]],3),"yyyy-mm-dd")</f>
        <v>2025-10-13</v>
      </c>
      <c r="I667" s="64">
        <f>DATEVALUE(tblLaborEntries[[#This Row],[Work date]])</f>
        <v>45944.0</v>
      </c>
    </row>
    <row r="668" spans="1:9" ht="15" x14ac:dyDescent="0.25">
      <c r="A668" s="53" t="inlineStr">
        <is>
          <t>LAB-000667</t>
        </is>
      </c>
      <c r="B668" s="53" t="inlineStr">
        <is>
          <t>WP-00303</t>
        </is>
      </c>
      <c r="C668" s="53" t="inlineStr">
        <is>
          <t>TECH-067</t>
        </is>
      </c>
      <c r="D668" s="53" t="inlineStr">
        <is>
          <t>Airframe</t>
        </is>
      </c>
      <c r="E668" s="53" t="inlineStr">
        <is>
          <t>2025-03-22</t>
        </is>
      </c>
      <c r="F668" s="53">
        <v>2.1</v>
      </c>
      <c r="G668" s="53">
        <v>0</v>
      </c>
      <c r="H668" s="51" t="str">
        <f>TEXT(tblLaborEntries[[#This Row],[Work date serial]]-WEEKDAY(tblLaborEntries[[#This Row],[Work date serial]],3),"yyyy-mm-dd")</f>
        <v>2025-03-17</v>
      </c>
      <c r="I668" s="64">
        <f>DATEVALUE(tblLaborEntries[[#This Row],[Work date]])</f>
        <v>45738.0</v>
      </c>
    </row>
    <row r="669" spans="1:9" ht="15" x14ac:dyDescent="0.25">
      <c r="A669" s="53" t="inlineStr">
        <is>
          <t>LAB-000668</t>
        </is>
      </c>
      <c r="B669" s="53" t="inlineStr">
        <is>
          <t>WP-00303</t>
        </is>
      </c>
      <c r="C669" s="53" t="inlineStr">
        <is>
          <t>TECH-019</t>
        </is>
      </c>
      <c r="D669" s="53" t="inlineStr">
        <is>
          <t>Airframe</t>
        </is>
      </c>
      <c r="E669" s="53" t="inlineStr">
        <is>
          <t>2025-03-23</t>
        </is>
      </c>
      <c r="F669" s="53">
        <v>1.9</v>
      </c>
      <c r="G669" s="53">
        <v>0</v>
      </c>
      <c r="H669" s="51" t="str">
        <f>TEXT(tblLaborEntries[[#This Row],[Work date serial]]-WEEKDAY(tblLaborEntries[[#This Row],[Work date serial]],3),"yyyy-mm-dd")</f>
        <v>2025-03-17</v>
      </c>
      <c r="I669" s="64">
        <f>DATEVALUE(tblLaborEntries[[#This Row],[Work date]])</f>
        <v>45739.0</v>
      </c>
    </row>
    <row r="670" spans="1:9" ht="15" x14ac:dyDescent="0.25">
      <c r="A670" s="53" t="inlineStr">
        <is>
          <t>LAB-000669</t>
        </is>
      </c>
      <c r="B670" s="53" t="inlineStr">
        <is>
          <t>WP-00303</t>
        </is>
      </c>
      <c r="C670" s="53" t="inlineStr">
        <is>
          <t>TECH-073</t>
        </is>
      </c>
      <c r="D670" s="53" t="inlineStr">
        <is>
          <t>Airframe</t>
        </is>
      </c>
      <c r="E670" s="53" t="inlineStr">
        <is>
          <t>2025-03-24</t>
        </is>
      </c>
      <c r="F670" s="53">
        <v>1.6</v>
      </c>
      <c r="G670" s="53">
        <v>0</v>
      </c>
      <c r="H670" s="51" t="str">
        <f>TEXT(tblLaborEntries[[#This Row],[Work date serial]]-WEEKDAY(tblLaborEntries[[#This Row],[Work date serial]],3),"yyyy-mm-dd")</f>
        <v>2025-03-24</v>
      </c>
      <c r="I670" s="64">
        <f>DATEVALUE(tblLaborEntries[[#This Row],[Work date]])</f>
        <v>45740.0</v>
      </c>
    </row>
    <row r="671" spans="1:9" ht="15" x14ac:dyDescent="0.25">
      <c r="A671" s="53" t="inlineStr">
        <is>
          <t>LAB-000670</t>
        </is>
      </c>
      <c r="B671" s="53" t="inlineStr">
        <is>
          <t>WP-00304</t>
        </is>
      </c>
      <c r="C671" s="53" t="inlineStr">
        <is>
          <t>TECH-048</t>
        </is>
      </c>
      <c r="D671" s="53" t="inlineStr">
        <is>
          <t>Powerplant</t>
        </is>
      </c>
      <c r="E671" s="53" t="inlineStr">
        <is>
          <t>2024-05-03</t>
        </is>
      </c>
      <c r="F671" s="53">
        <v>3.1</v>
      </c>
      <c r="G671" s="53">
        <v>0</v>
      </c>
      <c r="H671" s="51" t="str">
        <f>TEXT(tblLaborEntries[[#This Row],[Work date serial]]-WEEKDAY(tblLaborEntries[[#This Row],[Work date serial]],3),"yyyy-mm-dd")</f>
        <v>2024-04-29</v>
      </c>
      <c r="I671" s="64">
        <f>DATEVALUE(tblLaborEntries[[#This Row],[Work date]])</f>
        <v>45415.0</v>
      </c>
    </row>
    <row r="672" spans="1:9" ht="15" x14ac:dyDescent="0.25">
      <c r="A672" s="53" t="inlineStr">
        <is>
          <t>LAB-000671</t>
        </is>
      </c>
      <c r="B672" s="53" t="inlineStr">
        <is>
          <t>WP-00304</t>
        </is>
      </c>
      <c r="C672" s="53" t="inlineStr">
        <is>
          <t>TECH-060</t>
        </is>
      </c>
      <c r="D672" s="53" t="inlineStr">
        <is>
          <t>Powerplant</t>
        </is>
      </c>
      <c r="E672" s="53" t="inlineStr">
        <is>
          <t>2024-05-04</t>
        </is>
      </c>
      <c r="F672" s="53">
        <v>4.1</v>
      </c>
      <c r="G672" s="53">
        <v>0</v>
      </c>
      <c r="H672" s="51" t="str">
        <f>TEXT(tblLaborEntries[[#This Row],[Work date serial]]-WEEKDAY(tblLaborEntries[[#This Row],[Work date serial]],3),"yyyy-mm-dd")</f>
        <v>2024-04-29</v>
      </c>
      <c r="I672" s="64">
        <f>DATEVALUE(tblLaborEntries[[#This Row],[Work date]])</f>
        <v>45416.0</v>
      </c>
    </row>
    <row r="673" spans="1:9" ht="15" x14ac:dyDescent="0.25">
      <c r="A673" s="53" t="inlineStr">
        <is>
          <t>LAB-000672</t>
        </is>
      </c>
      <c r="B673" s="53" t="inlineStr">
        <is>
          <t>WP-00305</t>
        </is>
      </c>
      <c r="C673" s="53" t="inlineStr">
        <is>
          <t>TECH-033</t>
        </is>
      </c>
      <c r="D673" s="53" t="inlineStr">
        <is>
          <t>Hydraulics</t>
        </is>
      </c>
      <c r="E673" s="53" t="inlineStr">
        <is>
          <t>2025-09-13</t>
        </is>
      </c>
      <c r="F673" s="53">
        <v>3.7</v>
      </c>
      <c r="G673" s="53">
        <v>0</v>
      </c>
      <c r="H673" s="51" t="str">
        <f>TEXT(tblLaborEntries[[#This Row],[Work date serial]]-WEEKDAY(tblLaborEntries[[#This Row],[Work date serial]],3),"yyyy-mm-dd")</f>
        <v>2025-09-08</v>
      </c>
      <c r="I673" s="64">
        <f>DATEVALUE(tblLaborEntries[[#This Row],[Work date]])</f>
        <v>45913.0</v>
      </c>
    </row>
    <row r="674" spans="1:9" ht="15" x14ac:dyDescent="0.25">
      <c r="A674" s="53" t="inlineStr">
        <is>
          <t>LAB-000673</t>
        </is>
      </c>
      <c r="B674" s="53" t="inlineStr">
        <is>
          <t>WP-00305</t>
        </is>
      </c>
      <c r="C674" s="53" t="inlineStr">
        <is>
          <t>TECH-063</t>
        </is>
      </c>
      <c r="D674" s="53" t="inlineStr">
        <is>
          <t>Hydraulics</t>
        </is>
      </c>
      <c r="E674" s="53" t="inlineStr">
        <is>
          <t>2025-09-14</t>
        </is>
      </c>
      <c r="F674" s="53">
        <v>4.8</v>
      </c>
      <c r="G674" s="53">
        <v>0</v>
      </c>
      <c r="H674" s="51" t="str">
        <f>TEXT(tblLaborEntries[[#This Row],[Work date serial]]-WEEKDAY(tblLaborEntries[[#This Row],[Work date serial]],3),"yyyy-mm-dd")</f>
        <v>2025-09-08</v>
      </c>
      <c r="I674" s="64">
        <f>DATEVALUE(tblLaborEntries[[#This Row],[Work date]])</f>
        <v>45914.0</v>
      </c>
    </row>
    <row r="675" spans="1:9" ht="15" x14ac:dyDescent="0.25">
      <c r="A675" s="53" t="inlineStr">
        <is>
          <t>LAB-000674</t>
        </is>
      </c>
      <c r="B675" s="53" t="inlineStr">
        <is>
          <t>WP-00306</t>
        </is>
      </c>
      <c r="C675" s="53" t="inlineStr">
        <is>
          <t>TECH-019</t>
        </is>
      </c>
      <c r="D675" s="53" t="inlineStr">
        <is>
          <t>Airframe</t>
        </is>
      </c>
      <c r="E675" s="53" t="inlineStr">
        <is>
          <t>2025-06-06</t>
        </is>
      </c>
      <c r="F675" s="53">
        <v>3.9</v>
      </c>
      <c r="G675" s="53">
        <v>0</v>
      </c>
      <c r="H675" s="51" t="str">
        <f>TEXT(tblLaborEntries[[#This Row],[Work date serial]]-WEEKDAY(tblLaborEntries[[#This Row],[Work date serial]],3),"yyyy-mm-dd")</f>
        <v>2025-06-02</v>
      </c>
      <c r="I675" s="64">
        <f>DATEVALUE(tblLaborEntries[[#This Row],[Work date]])</f>
        <v>45814.0</v>
      </c>
    </row>
    <row r="676" spans="1:9" ht="15" x14ac:dyDescent="0.25">
      <c r="A676" s="53" t="inlineStr">
        <is>
          <t>LAB-000675</t>
        </is>
      </c>
      <c r="B676" s="53" t="inlineStr">
        <is>
          <t>WP-00306</t>
        </is>
      </c>
      <c r="C676" s="53" t="inlineStr">
        <is>
          <t>TECH-013</t>
        </is>
      </c>
      <c r="D676" s="53" t="inlineStr">
        <is>
          <t>Airframe</t>
        </is>
      </c>
      <c r="E676" s="53" t="inlineStr">
        <is>
          <t>2025-06-07</t>
        </is>
      </c>
      <c r="F676" s="53">
        <v>5.5</v>
      </c>
      <c r="G676" s="53">
        <v>0</v>
      </c>
      <c r="H676" s="51" t="str">
        <f>TEXT(tblLaborEntries[[#This Row],[Work date serial]]-WEEKDAY(tblLaborEntries[[#This Row],[Work date serial]],3),"yyyy-mm-dd")</f>
        <v>2025-06-02</v>
      </c>
      <c r="I676" s="64">
        <f>DATEVALUE(tblLaborEntries[[#This Row],[Work date]])</f>
        <v>45815.0</v>
      </c>
    </row>
    <row r="677" spans="1:9" ht="15" x14ac:dyDescent="0.25">
      <c r="A677" s="53" t="inlineStr">
        <is>
          <t>LAB-000676</t>
        </is>
      </c>
      <c r="B677" s="53" t="inlineStr">
        <is>
          <t>WP-00307</t>
        </is>
      </c>
      <c r="C677" s="53" t="inlineStr">
        <is>
          <t>TECH-005</t>
        </is>
      </c>
      <c r="D677" s="53" t="inlineStr">
        <is>
          <t>Structures</t>
        </is>
      </c>
      <c r="E677" s="53" t="inlineStr">
        <is>
          <t>2025-05-27</t>
        </is>
      </c>
      <c r="F677" s="53">
        <v>12</v>
      </c>
      <c r="G677" s="53">
        <v>4</v>
      </c>
      <c r="H677" s="51" t="str">
        <f>TEXT(tblLaborEntries[[#This Row],[Work date serial]]-WEEKDAY(tblLaborEntries[[#This Row],[Work date serial]],3),"yyyy-mm-dd")</f>
        <v>2025-05-26</v>
      </c>
      <c r="I677" s="64">
        <f>DATEVALUE(tblLaborEntries[[#This Row],[Work date]])</f>
        <v>45804.0</v>
      </c>
    </row>
    <row r="678" spans="1:9" ht="15" x14ac:dyDescent="0.25">
      <c r="A678" s="53" t="inlineStr">
        <is>
          <t>LAB-000677</t>
        </is>
      </c>
      <c r="B678" s="53" t="inlineStr">
        <is>
          <t>WP-00307</t>
        </is>
      </c>
      <c r="C678" s="53" t="inlineStr">
        <is>
          <t>TECH-011</t>
        </is>
      </c>
      <c r="D678" s="53" t="inlineStr">
        <is>
          <t>Structures</t>
        </is>
      </c>
      <c r="E678" s="53" t="inlineStr">
        <is>
          <t>2025-05-27</t>
        </is>
      </c>
      <c r="F678" s="53">
        <v>9.9</v>
      </c>
      <c r="G678" s="53">
        <v>1.9</v>
      </c>
      <c r="H678" s="51" t="str">
        <f>TEXT(tblLaborEntries[[#This Row],[Work date serial]]-WEEKDAY(tblLaborEntries[[#This Row],[Work date serial]],3),"yyyy-mm-dd")</f>
        <v>2025-05-26</v>
      </c>
      <c r="I678" s="64">
        <f>DATEVALUE(tblLaborEntries[[#This Row],[Work date]])</f>
        <v>45804.0</v>
      </c>
    </row>
    <row r="679" spans="1:9" ht="15" x14ac:dyDescent="0.25">
      <c r="A679" s="53" t="inlineStr">
        <is>
          <t>LAB-000678</t>
        </is>
      </c>
      <c r="B679" s="53" t="inlineStr">
        <is>
          <t>WP-00307</t>
        </is>
      </c>
      <c r="C679" s="53" t="inlineStr">
        <is>
          <t>TECH-065</t>
        </is>
      </c>
      <c r="D679" s="53" t="inlineStr">
        <is>
          <t>Structures</t>
        </is>
      </c>
      <c r="E679" s="53" t="inlineStr">
        <is>
          <t>2025-05-27</t>
        </is>
      </c>
      <c r="F679" s="53">
        <v>12</v>
      </c>
      <c r="G679" s="53">
        <v>4</v>
      </c>
      <c r="H679" s="51" t="str">
        <f>TEXT(tblLaborEntries[[#This Row],[Work date serial]]-WEEKDAY(tblLaborEntries[[#This Row],[Work date serial]],3),"yyyy-mm-dd")</f>
        <v>2025-05-26</v>
      </c>
      <c r="I679" s="64">
        <f>DATEVALUE(tblLaborEntries[[#This Row],[Work date]])</f>
        <v>45804.0</v>
      </c>
    </row>
    <row r="680" spans="1:9" ht="15" x14ac:dyDescent="0.25">
      <c r="A680" s="53" t="inlineStr">
        <is>
          <t>LAB-000679</t>
        </is>
      </c>
      <c r="B680" s="53" t="inlineStr">
        <is>
          <t>WP-00308</t>
        </is>
      </c>
      <c r="C680" s="53" t="inlineStr">
        <is>
          <t>TECH-044</t>
        </is>
      </c>
      <c r="D680" s="53" t="inlineStr">
        <is>
          <t>Avionics</t>
        </is>
      </c>
      <c r="E680" s="53" t="inlineStr">
        <is>
          <t>2024-03-11</t>
        </is>
      </c>
      <c r="F680" s="53">
        <v>5.7</v>
      </c>
      <c r="G680" s="53">
        <v>0</v>
      </c>
      <c r="H680" s="51" t="str">
        <f>TEXT(tblLaborEntries[[#This Row],[Work date serial]]-WEEKDAY(tblLaborEntries[[#This Row],[Work date serial]],3),"yyyy-mm-dd")</f>
        <v>2024-03-11</v>
      </c>
      <c r="I680" s="64">
        <f>DATEVALUE(tblLaborEntries[[#This Row],[Work date]])</f>
        <v>45362.0</v>
      </c>
    </row>
    <row r="681" spans="1:9" ht="15" x14ac:dyDescent="0.25">
      <c r="A681" s="53" t="inlineStr">
        <is>
          <t>LAB-000680</t>
        </is>
      </c>
      <c r="B681" s="53" t="inlineStr">
        <is>
          <t>WP-00309</t>
        </is>
      </c>
      <c r="C681" s="53" t="inlineStr">
        <is>
          <t>TECH-028</t>
        </is>
      </c>
      <c r="D681" s="53" t="inlineStr">
        <is>
          <t>Electrical</t>
        </is>
      </c>
      <c r="E681" s="53" t="inlineStr">
        <is>
          <t>2025-01-03</t>
        </is>
      </c>
      <c r="F681" s="53">
        <v>5.8</v>
      </c>
      <c r="G681" s="53">
        <v>0</v>
      </c>
      <c r="H681" s="51" t="str">
        <f>TEXT(tblLaborEntries[[#This Row],[Work date serial]]-WEEKDAY(tblLaborEntries[[#This Row],[Work date serial]],3),"yyyy-mm-dd")</f>
        <v>2024-12-30</v>
      </c>
      <c r="I681" s="64">
        <f>DATEVALUE(tblLaborEntries[[#This Row],[Work date]])</f>
        <v>45660.0</v>
      </c>
    </row>
    <row r="682" spans="1:9" ht="15" x14ac:dyDescent="0.25">
      <c r="A682" s="53" t="inlineStr">
        <is>
          <t>LAB-000681</t>
        </is>
      </c>
      <c r="B682" s="53" t="inlineStr">
        <is>
          <t>WP-00309</t>
        </is>
      </c>
      <c r="C682" s="53" t="inlineStr">
        <is>
          <t>TECH-058</t>
        </is>
      </c>
      <c r="D682" s="53" t="inlineStr">
        <is>
          <t>Electrical</t>
        </is>
      </c>
      <c r="E682" s="53" t="inlineStr">
        <is>
          <t>2025-01-04</t>
        </is>
      </c>
      <c r="F682" s="53">
        <v>5.9</v>
      </c>
      <c r="G682" s="53">
        <v>0</v>
      </c>
      <c r="H682" s="51" t="str">
        <f>TEXT(tblLaborEntries[[#This Row],[Work date serial]]-WEEKDAY(tblLaborEntries[[#This Row],[Work date serial]],3),"yyyy-mm-dd")</f>
        <v>2024-12-30</v>
      </c>
      <c r="I682" s="64">
        <f>DATEVALUE(tblLaborEntries[[#This Row],[Work date]])</f>
        <v>45661.0</v>
      </c>
    </row>
    <row r="683" spans="1:9" ht="15" x14ac:dyDescent="0.25">
      <c r="A683" s="53" t="inlineStr">
        <is>
          <t>LAB-000682</t>
        </is>
      </c>
      <c r="B683" s="53" t="inlineStr">
        <is>
          <t>WP-00310</t>
        </is>
      </c>
      <c r="C683" s="53" t="inlineStr">
        <is>
          <t>TECH-004</t>
        </is>
      </c>
      <c r="D683" s="53" t="inlineStr">
        <is>
          <t>Electrical</t>
        </is>
      </c>
      <c r="E683" s="53" t="inlineStr">
        <is>
          <t>2025-05-10</t>
        </is>
      </c>
      <c r="F683" s="53">
        <v>12</v>
      </c>
      <c r="G683" s="53">
        <v>4</v>
      </c>
      <c r="H683" s="51" t="str">
        <f>TEXT(tblLaborEntries[[#This Row],[Work date serial]]-WEEKDAY(tblLaborEntries[[#This Row],[Work date serial]],3),"yyyy-mm-dd")</f>
        <v>2025-05-05</v>
      </c>
      <c r="I683" s="64">
        <f>DATEVALUE(tblLaborEntries[[#This Row],[Work date]])</f>
        <v>45787.0</v>
      </c>
    </row>
    <row r="684" spans="1:9" ht="15" x14ac:dyDescent="0.25">
      <c r="A684" s="53" t="inlineStr">
        <is>
          <t>LAB-000683</t>
        </is>
      </c>
      <c r="B684" s="53" t="inlineStr">
        <is>
          <t>WP-00310</t>
        </is>
      </c>
      <c r="C684" s="53" t="inlineStr">
        <is>
          <t>TECH-010</t>
        </is>
      </c>
      <c r="D684" s="53" t="inlineStr">
        <is>
          <t>Electrical</t>
        </is>
      </c>
      <c r="E684" s="53" t="inlineStr">
        <is>
          <t>2025-05-10</t>
        </is>
      </c>
      <c r="F684" s="53">
        <v>6.7</v>
      </c>
      <c r="G684" s="53">
        <v>0</v>
      </c>
      <c r="H684" s="51" t="str">
        <f>TEXT(tblLaborEntries[[#This Row],[Work date serial]]-WEEKDAY(tblLaborEntries[[#This Row],[Work date serial]],3),"yyyy-mm-dd")</f>
        <v>2025-05-05</v>
      </c>
      <c r="I684" s="64">
        <f>DATEVALUE(tblLaborEntries[[#This Row],[Work date]])</f>
        <v>45787.0</v>
      </c>
    </row>
    <row r="685" spans="1:9" ht="15" x14ac:dyDescent="0.25">
      <c r="A685" s="53" t="inlineStr">
        <is>
          <t>LAB-000684</t>
        </is>
      </c>
      <c r="B685" s="53" t="inlineStr">
        <is>
          <t>WP-00310</t>
        </is>
      </c>
      <c r="C685" s="53" t="inlineStr">
        <is>
          <t>TECH-040</t>
        </is>
      </c>
      <c r="D685" s="53" t="inlineStr">
        <is>
          <t>Electrical</t>
        </is>
      </c>
      <c r="E685" s="53" t="inlineStr">
        <is>
          <t>2025-05-10</t>
        </is>
      </c>
      <c r="F685" s="53">
        <v>3.4</v>
      </c>
      <c r="G685" s="53">
        <v>0</v>
      </c>
      <c r="H685" s="51" t="str">
        <f>TEXT(tblLaborEntries[[#This Row],[Work date serial]]-WEEKDAY(tblLaborEntries[[#This Row],[Work date serial]],3),"yyyy-mm-dd")</f>
        <v>2025-05-05</v>
      </c>
      <c r="I685" s="64">
        <f>DATEVALUE(tblLaborEntries[[#This Row],[Work date]])</f>
        <v>45787.0</v>
      </c>
    </row>
    <row r="686" spans="1:9" ht="15" x14ac:dyDescent="0.25">
      <c r="A686" s="53" t="inlineStr">
        <is>
          <t>LAB-000685</t>
        </is>
      </c>
      <c r="B686" s="53" t="inlineStr">
        <is>
          <t>WP-00311</t>
        </is>
      </c>
      <c r="C686" s="53" t="inlineStr">
        <is>
          <t>TECH-005</t>
        </is>
      </c>
      <c r="D686" s="53" t="inlineStr">
        <is>
          <t>Structures</t>
        </is>
      </c>
      <c r="E686" s="53" t="inlineStr">
        <is>
          <t>2024-05-10</t>
        </is>
      </c>
      <c r="F686" s="53">
        <v>12</v>
      </c>
      <c r="G686" s="53">
        <v>4</v>
      </c>
      <c r="H686" s="51" t="str">
        <f>TEXT(tblLaborEntries[[#This Row],[Work date serial]]-WEEKDAY(tblLaborEntries[[#This Row],[Work date serial]],3),"yyyy-mm-dd")</f>
        <v>2024-05-06</v>
      </c>
      <c r="I686" s="64">
        <f>DATEVALUE(tblLaborEntries[[#This Row],[Work date]])</f>
        <v>45422.0</v>
      </c>
    </row>
    <row r="687" spans="1:9" ht="15" x14ac:dyDescent="0.25">
      <c r="A687" s="53" t="inlineStr">
        <is>
          <t>LAB-000686</t>
        </is>
      </c>
      <c r="B687" s="53" t="inlineStr">
        <is>
          <t>WP-00311</t>
        </is>
      </c>
      <c r="C687" s="53" t="inlineStr">
        <is>
          <t>TECH-011</t>
        </is>
      </c>
      <c r="D687" s="53" t="inlineStr">
        <is>
          <t>Structures</t>
        </is>
      </c>
      <c r="E687" s="53" t="inlineStr">
        <is>
          <t>2024-05-10</t>
        </is>
      </c>
      <c r="F687" s="53">
        <v>3.4</v>
      </c>
      <c r="G687" s="53">
        <v>0</v>
      </c>
      <c r="H687" s="51" t="str">
        <f>TEXT(tblLaborEntries[[#This Row],[Work date serial]]-WEEKDAY(tblLaborEntries[[#This Row],[Work date serial]],3),"yyyy-mm-dd")</f>
        <v>2024-05-06</v>
      </c>
      <c r="I687" s="64">
        <f>DATEVALUE(tblLaborEntries[[#This Row],[Work date]])</f>
        <v>45422.0</v>
      </c>
    </row>
    <row r="688" spans="1:9" ht="15" x14ac:dyDescent="0.25">
      <c r="A688" s="53" t="inlineStr">
        <is>
          <t>LAB-000687</t>
        </is>
      </c>
      <c r="B688" s="53" t="inlineStr">
        <is>
          <t>WP-00311</t>
        </is>
      </c>
      <c r="C688" s="53" t="inlineStr">
        <is>
          <t>TECH-035</t>
        </is>
      </c>
      <c r="D688" s="53" t="inlineStr">
        <is>
          <t>Structures</t>
        </is>
      </c>
      <c r="E688" s="53" t="inlineStr">
        <is>
          <t>2024-05-10</t>
        </is>
      </c>
      <c r="F688" s="53">
        <v>12</v>
      </c>
      <c r="G688" s="53">
        <v>4</v>
      </c>
      <c r="H688" s="51" t="str">
        <f>TEXT(tblLaborEntries[[#This Row],[Work date serial]]-WEEKDAY(tblLaborEntries[[#This Row],[Work date serial]],3),"yyyy-mm-dd")</f>
        <v>2024-05-06</v>
      </c>
      <c r="I688" s="64">
        <f>DATEVALUE(tblLaborEntries[[#This Row],[Work date]])</f>
        <v>45422.0</v>
      </c>
    </row>
    <row r="689" spans="1:9" ht="15" x14ac:dyDescent="0.25">
      <c r="A689" s="53" t="inlineStr">
        <is>
          <t>LAB-000688</t>
        </is>
      </c>
      <c r="B689" s="53" t="inlineStr">
        <is>
          <t>WP-00312</t>
        </is>
      </c>
      <c r="C689" s="53" t="inlineStr">
        <is>
          <t>TECH-055</t>
        </is>
      </c>
      <c r="D689" s="53" t="inlineStr">
        <is>
          <t>Airframe</t>
        </is>
      </c>
      <c r="E689" s="53" t="inlineStr">
        <is>
          <t>2024-04-22</t>
        </is>
      </c>
      <c r="F689" s="53">
        <v>6.4</v>
      </c>
      <c r="G689" s="53">
        <v>0</v>
      </c>
      <c r="H689" s="51" t="str">
        <f>TEXT(tblLaborEntries[[#This Row],[Work date serial]]-WEEKDAY(tblLaborEntries[[#This Row],[Work date serial]],3),"yyyy-mm-dd")</f>
        <v>2024-04-22</v>
      </c>
      <c r="I689" s="64">
        <f>DATEVALUE(tblLaborEntries[[#This Row],[Work date]])</f>
        <v>45404.0</v>
      </c>
    </row>
    <row r="690" spans="1:9" ht="15" x14ac:dyDescent="0.25">
      <c r="A690" s="53" t="inlineStr">
        <is>
          <t>LAB-000689</t>
        </is>
      </c>
      <c r="B690" s="53" t="inlineStr">
        <is>
          <t>WP-00312</t>
        </is>
      </c>
      <c r="C690" s="53" t="inlineStr">
        <is>
          <t>TECH-001</t>
        </is>
      </c>
      <c r="D690" s="53" t="inlineStr">
        <is>
          <t>Airframe</t>
        </is>
      </c>
      <c r="E690" s="53" t="inlineStr">
        <is>
          <t>2024-04-23</t>
        </is>
      </c>
      <c r="F690" s="53">
        <v>5.4</v>
      </c>
      <c r="G690" s="53">
        <v>0</v>
      </c>
      <c r="H690" s="51" t="str">
        <f>TEXT(tblLaborEntries[[#This Row],[Work date serial]]-WEEKDAY(tblLaborEntries[[#This Row],[Work date serial]],3),"yyyy-mm-dd")</f>
        <v>2024-04-22</v>
      </c>
      <c r="I690" s="64">
        <f>DATEVALUE(tblLaborEntries[[#This Row],[Work date]])</f>
        <v>45405.0</v>
      </c>
    </row>
    <row r="691" spans="1:9" ht="15" x14ac:dyDescent="0.25">
      <c r="A691" s="53" t="inlineStr">
        <is>
          <t>LAB-000690</t>
        </is>
      </c>
      <c r="B691" s="53" t="inlineStr">
        <is>
          <t>WP-00312</t>
        </is>
      </c>
      <c r="C691" s="53" t="inlineStr">
        <is>
          <t>TECH-025</t>
        </is>
      </c>
      <c r="D691" s="53" t="inlineStr">
        <is>
          <t>Airframe</t>
        </is>
      </c>
      <c r="E691" s="53" t="inlineStr">
        <is>
          <t>2024-04-24</t>
        </is>
      </c>
      <c r="F691" s="53">
        <v>7.3</v>
      </c>
      <c r="G691" s="53">
        <v>0</v>
      </c>
      <c r="H691" s="51" t="str">
        <f>TEXT(tblLaborEntries[[#This Row],[Work date serial]]-WEEKDAY(tblLaborEntries[[#This Row],[Work date serial]],3),"yyyy-mm-dd")</f>
        <v>2024-04-22</v>
      </c>
      <c r="I691" s="64">
        <f>DATEVALUE(tblLaborEntries[[#This Row],[Work date]])</f>
        <v>45406.0</v>
      </c>
    </row>
    <row r="692" spans="1:9" ht="15" x14ac:dyDescent="0.25">
      <c r="A692" s="53" t="inlineStr">
        <is>
          <t>LAB-000691</t>
        </is>
      </c>
      <c r="B692" s="53" t="inlineStr">
        <is>
          <t>WP-00313</t>
        </is>
      </c>
      <c r="C692" s="53" t="inlineStr">
        <is>
          <t>TECH-002</t>
        </is>
      </c>
      <c r="D692" s="53" t="inlineStr">
        <is>
          <t>Avionics</t>
        </is>
      </c>
      <c r="E692" s="53" t="inlineStr">
        <is>
          <t>2024-04-13</t>
        </is>
      </c>
      <c r="F692" s="53">
        <v>9.5</v>
      </c>
      <c r="G692" s="53">
        <v>1.5</v>
      </c>
      <c r="H692" s="51" t="str">
        <f>TEXT(tblLaborEntries[[#This Row],[Work date serial]]-WEEKDAY(tblLaborEntries[[#This Row],[Work date serial]],3),"yyyy-mm-dd")</f>
        <v>2024-04-08</v>
      </c>
      <c r="I692" s="64">
        <f>DATEVALUE(tblLaborEntries[[#This Row],[Work date]])</f>
        <v>45395.0</v>
      </c>
    </row>
    <row r="693" spans="1:9" ht="15" x14ac:dyDescent="0.25">
      <c r="A693" s="53" t="inlineStr">
        <is>
          <t>LAB-000692</t>
        </is>
      </c>
      <c r="B693" s="53" t="inlineStr">
        <is>
          <t>WP-00313</t>
        </is>
      </c>
      <c r="C693" s="53" t="inlineStr">
        <is>
          <t>TECH-062</t>
        </is>
      </c>
      <c r="D693" s="53" t="inlineStr">
        <is>
          <t>Avionics</t>
        </is>
      </c>
      <c r="E693" s="53" t="inlineStr">
        <is>
          <t>2024-04-13</t>
        </is>
      </c>
      <c r="F693" s="53">
        <v>12</v>
      </c>
      <c r="G693" s="53">
        <v>4</v>
      </c>
      <c r="H693" s="51" t="str">
        <f>TEXT(tblLaborEntries[[#This Row],[Work date serial]]-WEEKDAY(tblLaborEntries[[#This Row],[Work date serial]],3),"yyyy-mm-dd")</f>
        <v>2024-04-08</v>
      </c>
      <c r="I693" s="64">
        <f>DATEVALUE(tblLaborEntries[[#This Row],[Work date]])</f>
        <v>45395.0</v>
      </c>
    </row>
    <row r="694" spans="1:9" ht="15" x14ac:dyDescent="0.25">
      <c r="A694" s="53" t="inlineStr">
        <is>
          <t>LAB-000693</t>
        </is>
      </c>
      <c r="B694" s="53" t="inlineStr">
        <is>
          <t>WP-00313</t>
        </is>
      </c>
      <c r="C694" s="53" t="inlineStr">
        <is>
          <t>TECH-008</t>
        </is>
      </c>
      <c r="D694" s="53" t="inlineStr">
        <is>
          <t>Avionics</t>
        </is>
      </c>
      <c r="E694" s="53" t="inlineStr">
        <is>
          <t>2024-04-14</t>
        </is>
      </c>
      <c r="F694" s="53">
        <v>6.3</v>
      </c>
      <c r="G694" s="53">
        <v>0</v>
      </c>
      <c r="H694" s="51" t="str">
        <f>TEXT(tblLaborEntries[[#This Row],[Work date serial]]-WEEKDAY(tblLaborEntries[[#This Row],[Work date serial]],3),"yyyy-mm-dd")</f>
        <v>2024-04-08</v>
      </c>
      <c r="I694" s="64">
        <f>DATEVALUE(tblLaborEntries[[#This Row],[Work date]])</f>
        <v>45396.0</v>
      </c>
    </row>
    <row r="695" spans="1:9" ht="15" x14ac:dyDescent="0.25">
      <c r="A695" s="53" t="inlineStr">
        <is>
          <t>LAB-000694</t>
        </is>
      </c>
      <c r="B695" s="53" t="inlineStr">
        <is>
          <t>WP-00313</t>
        </is>
      </c>
      <c r="C695" s="53" t="inlineStr">
        <is>
          <t>TECH-062</t>
        </is>
      </c>
      <c r="D695" s="53" t="inlineStr">
        <is>
          <t>Avionics</t>
        </is>
      </c>
      <c r="E695" s="53" t="inlineStr">
        <is>
          <t>2024-04-14</t>
        </is>
      </c>
      <c r="F695" s="53">
        <v>12</v>
      </c>
      <c r="G695" s="53">
        <v>4</v>
      </c>
      <c r="H695" s="51" t="str">
        <f>TEXT(tblLaborEntries[[#This Row],[Work date serial]]-WEEKDAY(tblLaborEntries[[#This Row],[Work date serial]],3),"yyyy-mm-dd")</f>
        <v>2024-04-08</v>
      </c>
      <c r="I695" s="64">
        <f>DATEVALUE(tblLaborEntries[[#This Row],[Work date]])</f>
        <v>45396.0</v>
      </c>
    </row>
    <row r="696" spans="1:9" ht="15" x14ac:dyDescent="0.25">
      <c r="A696" s="53" t="inlineStr">
        <is>
          <t>LAB-000695</t>
        </is>
      </c>
      <c r="B696" s="53" t="inlineStr">
        <is>
          <t>WP-00314</t>
        </is>
      </c>
      <c r="C696" s="53" t="inlineStr">
        <is>
          <t>TECH-009</t>
        </is>
      </c>
      <c r="D696" s="53" t="inlineStr">
        <is>
          <t>Hydraulics</t>
        </is>
      </c>
      <c r="E696" s="53" t="inlineStr">
        <is>
          <t>2024-06-21</t>
        </is>
      </c>
      <c r="F696" s="53">
        <v>8.1</v>
      </c>
      <c r="G696" s="53">
        <v>0.1</v>
      </c>
      <c r="H696" s="51" t="str">
        <f>TEXT(tblLaborEntries[[#This Row],[Work date serial]]-WEEKDAY(tblLaborEntries[[#This Row],[Work date serial]],3),"yyyy-mm-dd")</f>
        <v>2024-06-17</v>
      </c>
      <c r="I696" s="64">
        <f>DATEVALUE(tblLaborEntries[[#This Row],[Work date]])</f>
        <v>45464.0</v>
      </c>
    </row>
    <row r="697" spans="1:9" ht="15" x14ac:dyDescent="0.25">
      <c r="A697" s="53" t="inlineStr">
        <is>
          <t>LAB-000696</t>
        </is>
      </c>
      <c r="B697" s="53" t="inlineStr">
        <is>
          <t>WP-00314</t>
        </is>
      </c>
      <c r="C697" s="53" t="inlineStr">
        <is>
          <t>TECH-057</t>
        </is>
      </c>
      <c r="D697" s="53" t="inlineStr">
        <is>
          <t>Hydraulics</t>
        </is>
      </c>
      <c r="E697" s="53" t="inlineStr">
        <is>
          <t>2024-06-22</t>
        </is>
      </c>
      <c r="F697" s="53">
        <v>6.9</v>
      </c>
      <c r="G697" s="53">
        <v>0</v>
      </c>
      <c r="H697" s="51" t="str">
        <f>TEXT(tblLaborEntries[[#This Row],[Work date serial]]-WEEKDAY(tblLaborEntries[[#This Row],[Work date serial]],3),"yyyy-mm-dd")</f>
        <v>2024-06-17</v>
      </c>
      <c r="I697" s="64">
        <f>DATEVALUE(tblLaborEntries[[#This Row],[Work date]])</f>
        <v>45465.0</v>
      </c>
    </row>
    <row r="698" spans="1:9" ht="15" x14ac:dyDescent="0.25">
      <c r="A698" s="53" t="inlineStr">
        <is>
          <t>LAB-000697</t>
        </is>
      </c>
      <c r="B698" s="53" t="inlineStr">
        <is>
          <t>WP-00315</t>
        </is>
      </c>
      <c r="C698" s="53" t="inlineStr">
        <is>
          <t>TECH-067</t>
        </is>
      </c>
      <c r="D698" s="53" t="inlineStr">
        <is>
          <t>Airframe</t>
        </is>
      </c>
      <c r="E698" s="53" t="inlineStr">
        <is>
          <t>2025-08-28</t>
        </is>
      </c>
      <c r="F698" s="53">
        <v>8.7</v>
      </c>
      <c r="G698" s="53">
        <v>0.7</v>
      </c>
      <c r="H698" s="51" t="str">
        <f>TEXT(tblLaborEntries[[#This Row],[Work date serial]]-WEEKDAY(tblLaborEntries[[#This Row],[Work date serial]],3),"yyyy-mm-dd")</f>
        <v>2025-08-25</v>
      </c>
      <c r="I698" s="64">
        <f>DATEVALUE(tblLaborEntries[[#This Row],[Work date]])</f>
        <v>45897.0</v>
      </c>
    </row>
    <row r="699" spans="1:9" ht="15" x14ac:dyDescent="0.25">
      <c r="A699" s="53" t="inlineStr">
        <is>
          <t>LAB-000698</t>
        </is>
      </c>
      <c r="B699" s="53" t="inlineStr">
        <is>
          <t>WP-00316</t>
        </is>
      </c>
      <c r="C699" s="53" t="inlineStr">
        <is>
          <t>TECH-042</t>
        </is>
      </c>
      <c r="D699" s="53" t="inlineStr">
        <is>
          <t>Powerplant</t>
        </is>
      </c>
      <c r="E699" s="53" t="inlineStr">
        <is>
          <t>2025-12-26</t>
        </is>
      </c>
      <c r="F699" s="53">
        <v>3.5</v>
      </c>
      <c r="G699" s="53">
        <v>0</v>
      </c>
      <c r="H699" s="51" t="str">
        <f>TEXT(tblLaborEntries[[#This Row],[Work date serial]]-WEEKDAY(tblLaborEntries[[#This Row],[Work date serial]],3),"yyyy-mm-dd")</f>
        <v>2025-12-22</v>
      </c>
      <c r="I699" s="64">
        <f>DATEVALUE(tblLaborEntries[[#This Row],[Work date]])</f>
        <v>46017.0</v>
      </c>
    </row>
    <row r="700" spans="1:9" ht="15" x14ac:dyDescent="0.25">
      <c r="A700" s="53" t="inlineStr">
        <is>
          <t>LAB-000699</t>
        </is>
      </c>
      <c r="B700" s="53" t="inlineStr">
        <is>
          <t>WP-00316</t>
        </is>
      </c>
      <c r="C700" s="53" t="inlineStr">
        <is>
          <t>TECH-036</t>
        </is>
      </c>
      <c r="D700" s="53" t="inlineStr">
        <is>
          <t>Powerplant</t>
        </is>
      </c>
      <c r="E700" s="53" t="inlineStr">
        <is>
          <t>2025-12-27</t>
        </is>
      </c>
      <c r="F700" s="53">
        <v>2.5</v>
      </c>
      <c r="G700" s="53">
        <v>0</v>
      </c>
      <c r="H700" s="51" t="str">
        <f>TEXT(tblLaborEntries[[#This Row],[Work date serial]]-WEEKDAY(tblLaborEntries[[#This Row],[Work date serial]],3),"yyyy-mm-dd")</f>
        <v>2025-12-22</v>
      </c>
      <c r="I700" s="64">
        <f>DATEVALUE(tblLaborEntries[[#This Row],[Work date]])</f>
        <v>46018.0</v>
      </c>
    </row>
    <row r="701" spans="1:9" ht="15" x14ac:dyDescent="0.25">
      <c r="A701" s="53" t="inlineStr">
        <is>
          <t>LAB-000700</t>
        </is>
      </c>
      <c r="B701" s="53" t="inlineStr">
        <is>
          <t>WP-00317</t>
        </is>
      </c>
      <c r="C701" s="53" t="inlineStr">
        <is>
          <t>TECH-038</t>
        </is>
      </c>
      <c r="D701" s="53" t="inlineStr">
        <is>
          <t>Avionics</t>
        </is>
      </c>
      <c r="E701" s="53" t="inlineStr">
        <is>
          <t>2025-11-10</t>
        </is>
      </c>
      <c r="F701" s="53">
        <v>2.4</v>
      </c>
      <c r="G701" s="53">
        <v>0</v>
      </c>
      <c r="H701" s="51" t="str">
        <f>TEXT(tblLaborEntries[[#This Row],[Work date serial]]-WEEKDAY(tblLaborEntries[[#This Row],[Work date serial]],3),"yyyy-mm-dd")</f>
        <v>2025-11-10</v>
      </c>
      <c r="I701" s="64">
        <f>DATEVALUE(tblLaborEntries[[#This Row],[Work date]])</f>
        <v>45971.0</v>
      </c>
    </row>
    <row r="702" spans="1:9" ht="15" x14ac:dyDescent="0.25">
      <c r="A702" s="53" t="inlineStr">
        <is>
          <t>LAB-000701</t>
        </is>
      </c>
      <c r="B702" s="53" t="inlineStr">
        <is>
          <t>WP-00317</t>
        </is>
      </c>
      <c r="C702" s="53" t="inlineStr">
        <is>
          <t>TECH-026</t>
        </is>
      </c>
      <c r="D702" s="53" t="inlineStr">
        <is>
          <t>Avionics</t>
        </is>
      </c>
      <c r="E702" s="53" t="inlineStr">
        <is>
          <t>2025-11-11</t>
        </is>
      </c>
      <c r="F702" s="53">
        <v>3.5</v>
      </c>
      <c r="G702" s="53">
        <v>0</v>
      </c>
      <c r="H702" s="51" t="str">
        <f>TEXT(tblLaborEntries[[#This Row],[Work date serial]]-WEEKDAY(tblLaborEntries[[#This Row],[Work date serial]],3),"yyyy-mm-dd")</f>
        <v>2025-11-10</v>
      </c>
      <c r="I702" s="64">
        <f>DATEVALUE(tblLaborEntries[[#This Row],[Work date]])</f>
        <v>45972.0</v>
      </c>
    </row>
    <row r="703" spans="1:9" ht="15" x14ac:dyDescent="0.25">
      <c r="A703" s="53" t="inlineStr">
        <is>
          <t>LAB-000702</t>
        </is>
      </c>
      <c r="B703" s="53" t="inlineStr">
        <is>
          <t>WP-00318</t>
        </is>
      </c>
      <c r="C703" s="53" t="inlineStr">
        <is>
          <t>TECH-026</t>
        </is>
      </c>
      <c r="D703" s="53" t="inlineStr">
        <is>
          <t>Avionics</t>
        </is>
      </c>
      <c r="E703" s="53" t="inlineStr">
        <is>
          <t>2025-08-08</t>
        </is>
      </c>
      <c r="F703" s="53">
        <v>3.8</v>
      </c>
      <c r="G703" s="53">
        <v>0</v>
      </c>
      <c r="H703" s="51" t="str">
        <f>TEXT(tblLaborEntries[[#This Row],[Work date serial]]-WEEKDAY(tblLaborEntries[[#This Row],[Work date serial]],3),"yyyy-mm-dd")</f>
        <v>2025-08-04</v>
      </c>
      <c r="I703" s="64">
        <f>DATEVALUE(tblLaborEntries[[#This Row],[Work date]])</f>
        <v>45877.0</v>
      </c>
    </row>
    <row r="704" spans="1:9" ht="15" x14ac:dyDescent="0.25">
      <c r="A704" s="53" t="inlineStr">
        <is>
          <t>LAB-000703</t>
        </is>
      </c>
      <c r="B704" s="53" t="inlineStr">
        <is>
          <t>WP-00319</t>
        </is>
      </c>
      <c r="C704" s="53" t="inlineStr">
        <is>
          <t>TECH-034</t>
        </is>
      </c>
      <c r="D704" s="53" t="inlineStr">
        <is>
          <t>Electrical</t>
        </is>
      </c>
      <c r="E704" s="53" t="inlineStr">
        <is>
          <t>2025-02-26</t>
        </is>
      </c>
      <c r="F704" s="53">
        <v>4.9</v>
      </c>
      <c r="G704" s="53">
        <v>0</v>
      </c>
      <c r="H704" s="51" t="str">
        <f>TEXT(tblLaborEntries[[#This Row],[Work date serial]]-WEEKDAY(tblLaborEntries[[#This Row],[Work date serial]],3),"yyyy-mm-dd")</f>
        <v>2025-02-24</v>
      </c>
      <c r="I704" s="64">
        <f>DATEVALUE(tblLaborEntries[[#This Row],[Work date]])</f>
        <v>45714.0</v>
      </c>
    </row>
    <row r="705" spans="1:9" ht="15" x14ac:dyDescent="0.25">
      <c r="A705" s="53" t="inlineStr">
        <is>
          <t>LAB-000704</t>
        </is>
      </c>
      <c r="B705" s="53" t="inlineStr">
        <is>
          <t>WP-00319</t>
        </is>
      </c>
      <c r="C705" s="53" t="inlineStr">
        <is>
          <t>TECH-010</t>
        </is>
      </c>
      <c r="D705" s="53" t="inlineStr">
        <is>
          <t>Electrical</t>
        </is>
      </c>
      <c r="E705" s="53" t="inlineStr">
        <is>
          <t>2025-02-27</t>
        </is>
      </c>
      <c r="F705" s="53">
        <v>5.3</v>
      </c>
      <c r="G705" s="53">
        <v>0</v>
      </c>
      <c r="H705" s="51" t="str">
        <f>TEXT(tblLaborEntries[[#This Row],[Work date serial]]-WEEKDAY(tblLaborEntries[[#This Row],[Work date serial]],3),"yyyy-mm-dd")</f>
        <v>2025-02-24</v>
      </c>
      <c r="I705" s="64">
        <f>DATEVALUE(tblLaborEntries[[#This Row],[Work date]])</f>
        <v>45715.0</v>
      </c>
    </row>
    <row r="706" spans="1:9" ht="15" x14ac:dyDescent="0.25">
      <c r="A706" s="53" t="inlineStr">
        <is>
          <t>LAB-000705</t>
        </is>
      </c>
      <c r="B706" s="53" t="inlineStr">
        <is>
          <t>WP-00320</t>
        </is>
      </c>
      <c r="C706" s="53" t="inlineStr">
        <is>
          <t>TECH-004</t>
        </is>
      </c>
      <c r="D706" s="53" t="inlineStr">
        <is>
          <t>Electrical</t>
        </is>
      </c>
      <c r="E706" s="53" t="inlineStr">
        <is>
          <t>2024-10-23</t>
        </is>
      </c>
      <c r="F706" s="53">
        <v>1.4</v>
      </c>
      <c r="G706" s="53">
        <v>0</v>
      </c>
      <c r="H706" s="51" t="str">
        <f>TEXT(tblLaborEntries[[#This Row],[Work date serial]]-WEEKDAY(tblLaborEntries[[#This Row],[Work date serial]],3),"yyyy-mm-dd")</f>
        <v>2024-10-21</v>
      </c>
      <c r="I706" s="64">
        <f>DATEVALUE(tblLaborEntries[[#This Row],[Work date]])</f>
        <v>45588.0</v>
      </c>
    </row>
    <row r="707" spans="1:9" ht="15" x14ac:dyDescent="0.25">
      <c r="A707" s="53" t="inlineStr">
        <is>
          <t>LAB-000706</t>
        </is>
      </c>
      <c r="B707" s="53" t="inlineStr">
        <is>
          <t>WP-00320</t>
        </is>
      </c>
      <c r="C707" s="53" t="inlineStr">
        <is>
          <t>TECH-046</t>
        </is>
      </c>
      <c r="D707" s="53" t="inlineStr">
        <is>
          <t>Electrical</t>
        </is>
      </c>
      <c r="E707" s="53" t="inlineStr">
        <is>
          <t>2024-10-24</t>
        </is>
      </c>
      <c r="F707" s="53">
        <v>1.8</v>
      </c>
      <c r="G707" s="53">
        <v>0</v>
      </c>
      <c r="H707" s="51" t="str">
        <f>TEXT(tblLaborEntries[[#This Row],[Work date serial]]-WEEKDAY(tblLaborEntries[[#This Row],[Work date serial]],3),"yyyy-mm-dd")</f>
        <v>2024-10-21</v>
      </c>
      <c r="I707" s="64">
        <f>DATEVALUE(tblLaborEntries[[#This Row],[Work date]])</f>
        <v>45589.0</v>
      </c>
    </row>
    <row r="708" spans="1:9" ht="15" x14ac:dyDescent="0.25">
      <c r="A708" s="53" t="inlineStr">
        <is>
          <t>LAB-000707</t>
        </is>
      </c>
      <c r="B708" s="53" t="inlineStr">
        <is>
          <t>WP-00320</t>
        </is>
      </c>
      <c r="C708" s="53" t="inlineStr">
        <is>
          <t>TECH-034</t>
        </is>
      </c>
      <c r="D708" s="53" t="inlineStr">
        <is>
          <t>Electrical</t>
        </is>
      </c>
      <c r="E708" s="53" t="inlineStr">
        <is>
          <t>2024-10-25</t>
        </is>
      </c>
      <c r="F708" s="53">
        <v>1.7</v>
      </c>
      <c r="G708" s="53">
        <v>0</v>
      </c>
      <c r="H708" s="51" t="str">
        <f>TEXT(tblLaborEntries[[#This Row],[Work date serial]]-WEEKDAY(tblLaborEntries[[#This Row],[Work date serial]],3),"yyyy-mm-dd")</f>
        <v>2024-10-21</v>
      </c>
      <c r="I708" s="64">
        <f>DATEVALUE(tblLaborEntries[[#This Row],[Work date]])</f>
        <v>45590.0</v>
      </c>
    </row>
    <row r="709" spans="1:9" ht="15" x14ac:dyDescent="0.25">
      <c r="A709" s="53" t="inlineStr">
        <is>
          <t>LAB-000708</t>
        </is>
      </c>
      <c r="B709" s="53" t="inlineStr">
        <is>
          <t>WP-00321</t>
        </is>
      </c>
      <c r="C709" s="53" t="inlineStr">
        <is>
          <t>TECH-031</t>
        </is>
      </c>
      <c r="D709" s="53" t="inlineStr">
        <is>
          <t>Airframe</t>
        </is>
      </c>
      <c r="E709" s="53" t="inlineStr">
        <is>
          <t>2024-07-09</t>
        </is>
      </c>
      <c r="F709" s="53">
        <v>2.6</v>
      </c>
      <c r="G709" s="53">
        <v>0</v>
      </c>
      <c r="H709" s="51" t="str">
        <f>TEXT(tblLaborEntries[[#This Row],[Work date serial]]-WEEKDAY(tblLaborEntries[[#This Row],[Work date serial]],3),"yyyy-mm-dd")</f>
        <v>2024-07-08</v>
      </c>
      <c r="I709" s="64">
        <f>DATEVALUE(tblLaborEntries[[#This Row],[Work date]])</f>
        <v>45482.0</v>
      </c>
    </row>
    <row r="710" spans="1:9" ht="15" x14ac:dyDescent="0.25">
      <c r="A710" s="53" t="inlineStr">
        <is>
          <t>LAB-000709</t>
        </is>
      </c>
      <c r="B710" s="53" t="inlineStr">
        <is>
          <t>WP-00321</t>
        </is>
      </c>
      <c r="C710" s="53" t="inlineStr">
        <is>
          <t>TECH-067</t>
        </is>
      </c>
      <c r="D710" s="53" t="inlineStr">
        <is>
          <t>Airframe</t>
        </is>
      </c>
      <c r="E710" s="53" t="inlineStr">
        <is>
          <t>2024-07-10</t>
        </is>
      </c>
      <c r="F710" s="53">
        <v>3.2</v>
      </c>
      <c r="G710" s="53">
        <v>0</v>
      </c>
      <c r="H710" s="51" t="str">
        <f>TEXT(tblLaborEntries[[#This Row],[Work date serial]]-WEEKDAY(tblLaborEntries[[#This Row],[Work date serial]],3),"yyyy-mm-dd")</f>
        <v>2024-07-08</v>
      </c>
      <c r="I710" s="64">
        <f>DATEVALUE(tblLaborEntries[[#This Row],[Work date]])</f>
        <v>45483.0</v>
      </c>
    </row>
    <row r="711" spans="1:9" ht="15" x14ac:dyDescent="0.25">
      <c r="A711" s="53" t="inlineStr">
        <is>
          <t>LAB-000710</t>
        </is>
      </c>
      <c r="B711" s="53" t="inlineStr">
        <is>
          <t>WP-00322</t>
        </is>
      </c>
      <c r="C711" s="53" t="inlineStr">
        <is>
          <t>TECH-002</t>
        </is>
      </c>
      <c r="D711" s="53" t="inlineStr">
        <is>
          <t>Avionics</t>
        </is>
      </c>
      <c r="E711" s="53" t="inlineStr">
        <is>
          <t>2024-03-08</t>
        </is>
      </c>
      <c r="F711" s="53">
        <v>12</v>
      </c>
      <c r="G711" s="53">
        <v>4</v>
      </c>
      <c r="H711" s="51" t="str">
        <f>TEXT(tblLaborEntries[[#This Row],[Work date serial]]-WEEKDAY(tblLaborEntries[[#This Row],[Work date serial]],3),"yyyy-mm-dd")</f>
        <v>2024-03-04</v>
      </c>
      <c r="I711" s="64">
        <f>DATEVALUE(tblLaborEntries[[#This Row],[Work date]])</f>
        <v>45359.0</v>
      </c>
    </row>
    <row r="712" spans="1:9" ht="15" x14ac:dyDescent="0.25">
      <c r="A712" s="53" t="inlineStr">
        <is>
          <t>LAB-000711</t>
        </is>
      </c>
      <c r="B712" s="53" t="inlineStr">
        <is>
          <t>WP-00322</t>
        </is>
      </c>
      <c r="C712" s="53" t="inlineStr">
        <is>
          <t>TECH-008</t>
        </is>
      </c>
      <c r="D712" s="53" t="inlineStr">
        <is>
          <t>Avionics</t>
        </is>
      </c>
      <c r="E712" s="53" t="inlineStr">
        <is>
          <t>2024-03-08</t>
        </is>
      </c>
      <c r="F712" s="53">
        <v>4.5</v>
      </c>
      <c r="G712" s="53">
        <v>0</v>
      </c>
      <c r="H712" s="51" t="str">
        <f>TEXT(tblLaborEntries[[#This Row],[Work date serial]]-WEEKDAY(tblLaborEntries[[#This Row],[Work date serial]],3),"yyyy-mm-dd")</f>
        <v>2024-03-04</v>
      </c>
      <c r="I712" s="64">
        <f>DATEVALUE(tblLaborEntries[[#This Row],[Work date]])</f>
        <v>45359.0</v>
      </c>
    </row>
    <row r="713" spans="1:9" ht="15" x14ac:dyDescent="0.25">
      <c r="A713" s="53" t="inlineStr">
        <is>
          <t>LAB-000712</t>
        </is>
      </c>
      <c r="B713" s="53" t="inlineStr">
        <is>
          <t>WP-00323</t>
        </is>
      </c>
      <c r="C713" s="53" t="inlineStr">
        <is>
          <t>TECH-043</t>
        </is>
      </c>
      <c r="D713" s="53" t="inlineStr">
        <is>
          <t>Airframe</t>
        </is>
      </c>
      <c r="E713" s="53" t="inlineStr">
        <is>
          <t>2025-11-16</t>
        </is>
      </c>
      <c r="F713" s="53">
        <v>2.5</v>
      </c>
      <c r="G713" s="53">
        <v>0</v>
      </c>
      <c r="H713" s="51" t="str">
        <f>TEXT(tblLaborEntries[[#This Row],[Work date serial]]-WEEKDAY(tblLaborEntries[[#This Row],[Work date serial]],3),"yyyy-mm-dd")</f>
        <v>2025-11-10</v>
      </c>
      <c r="I713" s="64">
        <f>DATEVALUE(tblLaborEntries[[#This Row],[Work date]])</f>
        <v>45977.0</v>
      </c>
    </row>
    <row r="714" spans="1:9" ht="15" x14ac:dyDescent="0.25">
      <c r="A714" s="53" t="inlineStr">
        <is>
          <t>LAB-000713</t>
        </is>
      </c>
      <c r="B714" s="53" t="inlineStr">
        <is>
          <t>WP-00323</t>
        </is>
      </c>
      <c r="C714" s="53" t="inlineStr">
        <is>
          <t>TECH-049</t>
        </is>
      </c>
      <c r="D714" s="53" t="inlineStr">
        <is>
          <t>Airframe</t>
        </is>
      </c>
      <c r="E714" s="53" t="inlineStr">
        <is>
          <t>2025-11-17</t>
        </is>
      </c>
      <c r="F714" s="53">
        <v>2.6</v>
      </c>
      <c r="G714" s="53">
        <v>0</v>
      </c>
      <c r="H714" s="51" t="str">
        <f>TEXT(tblLaborEntries[[#This Row],[Work date serial]]-WEEKDAY(tblLaborEntries[[#This Row],[Work date serial]],3),"yyyy-mm-dd")</f>
        <v>2025-11-17</v>
      </c>
      <c r="I714" s="64">
        <f>DATEVALUE(tblLaborEntries[[#This Row],[Work date]])</f>
        <v>45978.0</v>
      </c>
    </row>
    <row r="715" spans="1:9" ht="15" x14ac:dyDescent="0.25">
      <c r="A715" s="53" t="inlineStr">
        <is>
          <t>LAB-000714</t>
        </is>
      </c>
      <c r="B715" s="53" t="inlineStr">
        <is>
          <t>WP-00323</t>
        </is>
      </c>
      <c r="C715" s="53" t="inlineStr">
        <is>
          <t>TECH-067</t>
        </is>
      </c>
      <c r="D715" s="53" t="inlineStr">
        <is>
          <t>Airframe</t>
        </is>
      </c>
      <c r="E715" s="53" t="inlineStr">
        <is>
          <t>2025-11-18</t>
        </is>
      </c>
      <c r="F715" s="53">
        <v>3.3</v>
      </c>
      <c r="G715" s="53">
        <v>0</v>
      </c>
      <c r="H715" s="51" t="str">
        <f>TEXT(tblLaborEntries[[#This Row],[Work date serial]]-WEEKDAY(tblLaborEntries[[#This Row],[Work date serial]],3),"yyyy-mm-dd")</f>
        <v>2025-11-17</v>
      </c>
      <c r="I715" s="64">
        <f>DATEVALUE(tblLaborEntries[[#This Row],[Work date]])</f>
        <v>45979.0</v>
      </c>
    </row>
    <row r="716" spans="1:9" ht="15" x14ac:dyDescent="0.25">
      <c r="A716" s="53" t="inlineStr">
        <is>
          <t>LAB-000715</t>
        </is>
      </c>
      <c r="B716" s="53" t="inlineStr">
        <is>
          <t>WP-00324</t>
        </is>
      </c>
      <c r="C716" s="53" t="inlineStr">
        <is>
          <t>TECH-055</t>
        </is>
      </c>
      <c r="D716" s="53" t="inlineStr">
        <is>
          <t>Airframe</t>
        </is>
      </c>
      <c r="E716" s="53" t="inlineStr">
        <is>
          <t>2025-07-08</t>
        </is>
      </c>
      <c r="F716" s="53">
        <v>5.4</v>
      </c>
      <c r="G716" s="53">
        <v>0</v>
      </c>
      <c r="H716" s="51" t="str">
        <f>TEXT(tblLaborEntries[[#This Row],[Work date serial]]-WEEKDAY(tblLaborEntries[[#This Row],[Work date serial]],3),"yyyy-mm-dd")</f>
        <v>2025-07-07</v>
      </c>
      <c r="I716" s="64">
        <f>DATEVALUE(tblLaborEntries[[#This Row],[Work date]])</f>
        <v>45846.0</v>
      </c>
    </row>
    <row r="717" spans="1:9" ht="15" x14ac:dyDescent="0.25">
      <c r="A717" s="53" t="inlineStr">
        <is>
          <t>LAB-000716</t>
        </is>
      </c>
      <c r="B717" s="53" t="inlineStr">
        <is>
          <t>WP-00324</t>
        </is>
      </c>
      <c r="C717" s="53" t="inlineStr">
        <is>
          <t>TECH-001</t>
        </is>
      </c>
      <c r="D717" s="53" t="inlineStr">
        <is>
          <t>Airframe</t>
        </is>
      </c>
      <c r="E717" s="53" t="inlineStr">
        <is>
          <t>2025-07-09</t>
        </is>
      </c>
      <c r="F717" s="53">
        <v>4.2</v>
      </c>
      <c r="G717" s="53">
        <v>0</v>
      </c>
      <c r="H717" s="51" t="str">
        <f>TEXT(tblLaborEntries[[#This Row],[Work date serial]]-WEEKDAY(tblLaborEntries[[#This Row],[Work date serial]],3),"yyyy-mm-dd")</f>
        <v>2025-07-07</v>
      </c>
      <c r="I717" s="64">
        <f>DATEVALUE(tblLaborEntries[[#This Row],[Work date]])</f>
        <v>45847.0</v>
      </c>
    </row>
    <row r="718" spans="1:9" ht="15" x14ac:dyDescent="0.25">
      <c r="A718" s="53" t="inlineStr">
        <is>
          <t>LAB-000717</t>
        </is>
      </c>
      <c r="B718" s="53" t="inlineStr">
        <is>
          <t>WP-00325</t>
        </is>
      </c>
      <c r="C718" s="53" t="inlineStr">
        <is>
          <t>TECH-055</t>
        </is>
      </c>
      <c r="D718" s="53" t="inlineStr">
        <is>
          <t>Airframe</t>
        </is>
      </c>
      <c r="E718" s="53" t="inlineStr">
        <is>
          <t>2024-08-18</t>
        </is>
      </c>
      <c r="F718" s="53">
        <v>3.5</v>
      </c>
      <c r="G718" s="53">
        <v>0</v>
      </c>
      <c r="H718" s="51" t="str">
        <f>TEXT(tblLaborEntries[[#This Row],[Work date serial]]-WEEKDAY(tblLaborEntries[[#This Row],[Work date serial]],3),"yyyy-mm-dd")</f>
        <v>2024-08-12</v>
      </c>
      <c r="I718" s="64">
        <f>DATEVALUE(tblLaborEntries[[#This Row],[Work date]])</f>
        <v>45522.0</v>
      </c>
    </row>
    <row r="719" spans="1:9" ht="15" x14ac:dyDescent="0.25">
      <c r="A719" s="53" t="inlineStr">
        <is>
          <t>LAB-000718</t>
        </is>
      </c>
      <c r="B719" s="53" t="inlineStr">
        <is>
          <t>WP-00326</t>
        </is>
      </c>
      <c r="C719" s="53" t="inlineStr">
        <is>
          <t>TECH-069</t>
        </is>
      </c>
      <c r="D719" s="53" t="inlineStr">
        <is>
          <t>Hydraulics</t>
        </is>
      </c>
      <c r="E719" s="53" t="inlineStr">
        <is>
          <t>2024-06-06</t>
        </is>
      </c>
      <c r="F719" s="53">
        <v>3</v>
      </c>
      <c r="G719" s="53">
        <v>0</v>
      </c>
      <c r="H719" s="51" t="str">
        <f>TEXT(tblLaborEntries[[#This Row],[Work date serial]]-WEEKDAY(tblLaborEntries[[#This Row],[Work date serial]],3),"yyyy-mm-dd")</f>
        <v>2024-06-03</v>
      </c>
      <c r="I719" s="64">
        <f>DATEVALUE(tblLaborEntries[[#This Row],[Work date]])</f>
        <v>45449.0</v>
      </c>
    </row>
    <row r="720" spans="1:9" ht="15" x14ac:dyDescent="0.25">
      <c r="A720" s="53" t="inlineStr">
        <is>
          <t>LAB-000719</t>
        </is>
      </c>
      <c r="B720" s="53" t="inlineStr">
        <is>
          <t>WP-00326</t>
        </is>
      </c>
      <c r="C720" s="53" t="inlineStr">
        <is>
          <t>TECH-057</t>
        </is>
      </c>
      <c r="D720" s="53" t="inlineStr">
        <is>
          <t>Hydraulics</t>
        </is>
      </c>
      <c r="E720" s="53" t="inlineStr">
        <is>
          <t>2024-06-07</t>
        </is>
      </c>
      <c r="F720" s="53">
        <v>3.9</v>
      </c>
      <c r="G720" s="53">
        <v>0</v>
      </c>
      <c r="H720" s="51" t="str">
        <f>TEXT(tblLaborEntries[[#This Row],[Work date serial]]-WEEKDAY(tblLaborEntries[[#This Row],[Work date serial]],3),"yyyy-mm-dd")</f>
        <v>2024-06-03</v>
      </c>
      <c r="I720" s="64">
        <f>DATEVALUE(tblLaborEntries[[#This Row],[Work date]])</f>
        <v>45450.0</v>
      </c>
    </row>
    <row r="721" spans="1:9" ht="15" x14ac:dyDescent="0.25">
      <c r="A721" s="53" t="inlineStr">
        <is>
          <t>LAB-000720</t>
        </is>
      </c>
      <c r="B721" s="53" t="inlineStr">
        <is>
          <t>WP-00327</t>
        </is>
      </c>
      <c r="C721" s="53" t="inlineStr">
        <is>
          <t>TECH-048</t>
        </is>
      </c>
      <c r="D721" s="53" t="inlineStr">
        <is>
          <t>Powerplant</t>
        </is>
      </c>
      <c r="E721" s="53" t="inlineStr">
        <is>
          <t>2025-06-04</t>
        </is>
      </c>
      <c r="F721" s="53">
        <v>8</v>
      </c>
      <c r="G721" s="53">
        <v>0</v>
      </c>
      <c r="H721" s="51" t="str">
        <f>TEXT(tblLaborEntries[[#This Row],[Work date serial]]-WEEKDAY(tblLaborEntries[[#This Row],[Work date serial]],3),"yyyy-mm-dd")</f>
        <v>2025-06-02</v>
      </c>
      <c r="I721" s="64">
        <f>DATEVALUE(tblLaborEntries[[#This Row],[Work date]])</f>
        <v>45812.0</v>
      </c>
    </row>
    <row r="722" spans="1:9" ht="15" x14ac:dyDescent="0.25">
      <c r="A722" s="53" t="inlineStr">
        <is>
          <t>LAB-000721</t>
        </is>
      </c>
      <c r="B722" s="53" t="inlineStr">
        <is>
          <t>WP-00327</t>
        </is>
      </c>
      <c r="C722" s="53" t="inlineStr">
        <is>
          <t>TECH-018</t>
        </is>
      </c>
      <c r="D722" s="53" t="inlineStr">
        <is>
          <t>Powerplant</t>
        </is>
      </c>
      <c r="E722" s="53" t="inlineStr">
        <is>
          <t>2025-06-05</t>
        </is>
      </c>
      <c r="F722" s="53">
        <v>5</v>
      </c>
      <c r="G722" s="53">
        <v>0</v>
      </c>
      <c r="H722" s="51" t="str">
        <f>TEXT(tblLaborEntries[[#This Row],[Work date serial]]-WEEKDAY(tblLaborEntries[[#This Row],[Work date serial]],3),"yyyy-mm-dd")</f>
        <v>2025-06-02</v>
      </c>
      <c r="I722" s="64">
        <f>DATEVALUE(tblLaborEntries[[#This Row],[Work date]])</f>
        <v>45813.0</v>
      </c>
    </row>
    <row r="723" spans="1:9" ht="15" x14ac:dyDescent="0.25">
      <c r="A723" s="53" t="inlineStr">
        <is>
          <t>LAB-000722</t>
        </is>
      </c>
      <c r="B723" s="53" t="inlineStr">
        <is>
          <t>WP-00327</t>
        </is>
      </c>
      <c r="C723" s="53" t="inlineStr">
        <is>
          <t>TECH-012</t>
        </is>
      </c>
      <c r="D723" s="53" t="inlineStr">
        <is>
          <t>Powerplant</t>
        </is>
      </c>
      <c r="E723" s="53" t="inlineStr">
        <is>
          <t>2025-06-06</t>
        </is>
      </c>
      <c r="F723" s="53">
        <v>7.5</v>
      </c>
      <c r="G723" s="53">
        <v>0</v>
      </c>
      <c r="H723" s="51" t="str">
        <f>TEXT(tblLaborEntries[[#This Row],[Work date serial]]-WEEKDAY(tblLaborEntries[[#This Row],[Work date serial]],3),"yyyy-mm-dd")</f>
        <v>2025-06-02</v>
      </c>
      <c r="I723" s="64">
        <f>DATEVALUE(tblLaborEntries[[#This Row],[Work date]])</f>
        <v>45814.0</v>
      </c>
    </row>
    <row r="724" spans="1:9" ht="15" x14ac:dyDescent="0.25">
      <c r="A724" s="53" t="inlineStr">
        <is>
          <t>LAB-000723</t>
        </is>
      </c>
      <c r="B724" s="53" t="inlineStr">
        <is>
          <t>WP-00328</t>
        </is>
      </c>
      <c r="C724" s="53" t="inlineStr">
        <is>
          <t>TECH-031</t>
        </is>
      </c>
      <c r="D724" s="53" t="inlineStr">
        <is>
          <t>Airframe</t>
        </is>
      </c>
      <c r="E724" s="53" t="inlineStr">
        <is>
          <t>2024-12-03</t>
        </is>
      </c>
      <c r="F724" s="53">
        <v>2.5</v>
      </c>
      <c r="G724" s="53">
        <v>0</v>
      </c>
      <c r="H724" s="51" t="str">
        <f>TEXT(tblLaborEntries[[#This Row],[Work date serial]]-WEEKDAY(tblLaborEntries[[#This Row],[Work date serial]],3),"yyyy-mm-dd")</f>
        <v>2024-12-02</v>
      </c>
      <c r="I724" s="64">
        <f>DATEVALUE(tblLaborEntries[[#This Row],[Work date]])</f>
        <v>45629.0</v>
      </c>
    </row>
    <row r="725" spans="1:9" ht="15" x14ac:dyDescent="0.25">
      <c r="A725" s="53" t="inlineStr">
        <is>
          <t>LAB-000724</t>
        </is>
      </c>
      <c r="B725" s="53" t="inlineStr">
        <is>
          <t>WP-00328</t>
        </is>
      </c>
      <c r="C725" s="53" t="inlineStr">
        <is>
          <t>TECH-037</t>
        </is>
      </c>
      <c r="D725" s="53" t="inlineStr">
        <is>
          <t>Airframe</t>
        </is>
      </c>
      <c r="E725" s="53" t="inlineStr">
        <is>
          <t>2024-12-04</t>
        </is>
      </c>
      <c r="F725" s="53">
        <v>2.1</v>
      </c>
      <c r="G725" s="53">
        <v>0</v>
      </c>
      <c r="H725" s="51" t="str">
        <f>TEXT(tblLaborEntries[[#This Row],[Work date serial]]-WEEKDAY(tblLaborEntries[[#This Row],[Work date serial]],3),"yyyy-mm-dd")</f>
        <v>2024-12-02</v>
      </c>
      <c r="I725" s="64">
        <f>DATEVALUE(tblLaborEntries[[#This Row],[Work date]])</f>
        <v>45630.0</v>
      </c>
    </row>
    <row r="726" spans="1:9" ht="15" x14ac:dyDescent="0.25">
      <c r="A726" s="53" t="inlineStr">
        <is>
          <t>LAB-000725</t>
        </is>
      </c>
      <c r="B726" s="53" t="inlineStr">
        <is>
          <t>WP-00328</t>
        </is>
      </c>
      <c r="C726" s="53" t="inlineStr">
        <is>
          <t>TECH-073</t>
        </is>
      </c>
      <c r="D726" s="53" t="inlineStr">
        <is>
          <t>Airframe</t>
        </is>
      </c>
      <c r="E726" s="53" t="inlineStr">
        <is>
          <t>2024-12-05</t>
        </is>
      </c>
      <c r="F726" s="53">
        <v>2.9</v>
      </c>
      <c r="G726" s="53">
        <v>0</v>
      </c>
      <c r="H726" s="51" t="str">
        <f>TEXT(tblLaborEntries[[#This Row],[Work date serial]]-WEEKDAY(tblLaborEntries[[#This Row],[Work date serial]],3),"yyyy-mm-dd")</f>
        <v>2024-12-02</v>
      </c>
      <c r="I726" s="64">
        <f>DATEVALUE(tblLaborEntries[[#This Row],[Work date]])</f>
        <v>45631.0</v>
      </c>
    </row>
    <row r="727" spans="1:9" ht="15" x14ac:dyDescent="0.25">
      <c r="A727" s="53" t="inlineStr">
        <is>
          <t>LAB-000726</t>
        </is>
      </c>
      <c r="B727" s="53" t="inlineStr">
        <is>
          <t>WP-00329</t>
        </is>
      </c>
      <c r="C727" s="53" t="inlineStr">
        <is>
          <t>TECH-019</t>
        </is>
      </c>
      <c r="D727" s="53" t="inlineStr">
        <is>
          <t>Airframe</t>
        </is>
      </c>
      <c r="E727" s="53" t="inlineStr">
        <is>
          <t>2024-03-31</t>
        </is>
      </c>
      <c r="F727" s="53">
        <v>6.2</v>
      </c>
      <c r="G727" s="53">
        <v>0</v>
      </c>
      <c r="H727" s="51" t="str">
        <f>TEXT(tblLaborEntries[[#This Row],[Work date serial]]-WEEKDAY(tblLaborEntries[[#This Row],[Work date serial]],3),"yyyy-mm-dd")</f>
        <v>2024-03-25</v>
      </c>
      <c r="I727" s="64">
        <f>DATEVALUE(tblLaborEntries[[#This Row],[Work date]])</f>
        <v>45382.0</v>
      </c>
    </row>
    <row r="728" spans="1:9" ht="15" x14ac:dyDescent="0.25">
      <c r="A728" s="53" t="inlineStr">
        <is>
          <t>LAB-000727</t>
        </is>
      </c>
      <c r="B728" s="53" t="inlineStr">
        <is>
          <t>WP-00329</t>
        </is>
      </c>
      <c r="C728" s="53" t="inlineStr">
        <is>
          <t>TECH-073</t>
        </is>
      </c>
      <c r="D728" s="53" t="inlineStr">
        <is>
          <t>Airframe</t>
        </is>
      </c>
      <c r="E728" s="53" t="inlineStr">
        <is>
          <t>2024-04-01</t>
        </is>
      </c>
      <c r="F728" s="53">
        <v>6.4</v>
      </c>
      <c r="G728" s="53">
        <v>0</v>
      </c>
      <c r="H728" s="51" t="str">
        <f>TEXT(tblLaborEntries[[#This Row],[Work date serial]]-WEEKDAY(tblLaborEntries[[#This Row],[Work date serial]],3),"yyyy-mm-dd")</f>
        <v>2024-04-01</v>
      </c>
      <c r="I728" s="64">
        <f>DATEVALUE(tblLaborEntries[[#This Row],[Work date]])</f>
        <v>45383.0</v>
      </c>
    </row>
    <row r="729" spans="1:9" ht="15" x14ac:dyDescent="0.25">
      <c r="A729" s="53" t="inlineStr">
        <is>
          <t>LAB-000728</t>
        </is>
      </c>
      <c r="B729" s="53" t="inlineStr">
        <is>
          <t>WP-00329</t>
        </is>
      </c>
      <c r="C729" s="53" t="inlineStr">
        <is>
          <t>TECH-025</t>
        </is>
      </c>
      <c r="D729" s="53" t="inlineStr">
        <is>
          <t>Airframe</t>
        </is>
      </c>
      <c r="E729" s="53" t="inlineStr">
        <is>
          <t>2024-04-02</t>
        </is>
      </c>
      <c r="F729" s="53">
        <v>6.4</v>
      </c>
      <c r="G729" s="53">
        <v>0</v>
      </c>
      <c r="H729" s="51" t="str">
        <f>TEXT(tblLaborEntries[[#This Row],[Work date serial]]-WEEKDAY(tblLaborEntries[[#This Row],[Work date serial]],3),"yyyy-mm-dd")</f>
        <v>2024-04-01</v>
      </c>
      <c r="I729" s="64">
        <f>DATEVALUE(tblLaborEntries[[#This Row],[Work date]])</f>
        <v>45384.0</v>
      </c>
    </row>
    <row r="730" spans="1:9" ht="15" x14ac:dyDescent="0.25">
      <c r="A730" s="53" t="inlineStr">
        <is>
          <t>LAB-000729</t>
        </is>
      </c>
      <c r="B730" s="53" t="inlineStr">
        <is>
          <t>WP-00330</t>
        </is>
      </c>
      <c r="C730" s="53" t="inlineStr">
        <is>
          <t>TECH-005</t>
        </is>
      </c>
      <c r="D730" s="53" t="inlineStr">
        <is>
          <t>Structures</t>
        </is>
      </c>
      <c r="E730" s="53" t="inlineStr">
        <is>
          <t>2024-09-24</t>
        </is>
      </c>
      <c r="F730" s="53">
        <v>1.1</v>
      </c>
      <c r="G730" s="53">
        <v>0</v>
      </c>
      <c r="H730" s="51" t="str">
        <f>TEXT(tblLaborEntries[[#This Row],[Work date serial]]-WEEKDAY(tblLaborEntries[[#This Row],[Work date serial]],3),"yyyy-mm-dd")</f>
        <v>2024-09-23</v>
      </c>
      <c r="I730" s="64">
        <f>DATEVALUE(tblLaborEntries[[#This Row],[Work date]])</f>
        <v>45559.0</v>
      </c>
    </row>
    <row r="731" spans="1:9" ht="15" x14ac:dyDescent="0.25">
      <c r="A731" s="53" t="inlineStr">
        <is>
          <t>LAB-000730</t>
        </is>
      </c>
      <c r="B731" s="53" t="inlineStr">
        <is>
          <t>WP-00330</t>
        </is>
      </c>
      <c r="C731" s="53" t="inlineStr">
        <is>
          <t>TECH-071</t>
        </is>
      </c>
      <c r="D731" s="53" t="inlineStr">
        <is>
          <t>Structures</t>
        </is>
      </c>
      <c r="E731" s="53" t="inlineStr">
        <is>
          <t>2024-09-24</t>
        </is>
      </c>
      <c r="F731" s="53">
        <v>12</v>
      </c>
      <c r="G731" s="53">
        <v>4</v>
      </c>
      <c r="H731" s="51" t="str">
        <f>TEXT(tblLaborEntries[[#This Row],[Work date serial]]-WEEKDAY(tblLaborEntries[[#This Row],[Work date serial]],3),"yyyy-mm-dd")</f>
        <v>2024-09-23</v>
      </c>
      <c r="I731" s="64">
        <f>DATEVALUE(tblLaborEntries[[#This Row],[Work date]])</f>
        <v>45559.0</v>
      </c>
    </row>
    <row r="732" spans="1:9" ht="15" x14ac:dyDescent="0.25">
      <c r="A732" s="53" t="inlineStr">
        <is>
          <t>LAB-000731</t>
        </is>
      </c>
      <c r="B732" s="53" t="inlineStr">
        <is>
          <t>WP-00330</t>
        </is>
      </c>
      <c r="C732" s="53" t="inlineStr">
        <is>
          <t>TECH-005</t>
        </is>
      </c>
      <c r="D732" s="53" t="inlineStr">
        <is>
          <t>Structures</t>
        </is>
      </c>
      <c r="E732" s="53" t="inlineStr">
        <is>
          <t>2024-09-25</t>
        </is>
      </c>
      <c r="F732" s="53">
        <v>3.5</v>
      </c>
      <c r="G732" s="53">
        <v>0</v>
      </c>
      <c r="H732" s="51" t="str">
        <f>TEXT(tblLaborEntries[[#This Row],[Work date serial]]-WEEKDAY(tblLaborEntries[[#This Row],[Work date serial]],3),"yyyy-mm-dd")</f>
        <v>2024-09-23</v>
      </c>
      <c r="I732" s="64">
        <f>DATEVALUE(tblLaborEntries[[#This Row],[Work date]])</f>
        <v>45560.0</v>
      </c>
    </row>
    <row r="733" spans="1:9" ht="15" x14ac:dyDescent="0.25">
      <c r="A733" s="53" t="inlineStr">
        <is>
          <t>LAB-000732</t>
        </is>
      </c>
      <c r="B733" s="53" t="inlineStr">
        <is>
          <t>WP-00330</t>
        </is>
      </c>
      <c r="C733" s="53" t="inlineStr">
        <is>
          <t>TECH-023</t>
        </is>
      </c>
      <c r="D733" s="53" t="inlineStr">
        <is>
          <t>Structures</t>
        </is>
      </c>
      <c r="E733" s="53" t="inlineStr">
        <is>
          <t>2024-09-25</t>
        </is>
      </c>
      <c r="F733" s="53">
        <v>12</v>
      </c>
      <c r="G733" s="53">
        <v>4</v>
      </c>
      <c r="H733" s="51" t="str">
        <f>TEXT(tblLaborEntries[[#This Row],[Work date serial]]-WEEKDAY(tblLaborEntries[[#This Row],[Work date serial]],3),"yyyy-mm-dd")</f>
        <v>2024-09-23</v>
      </c>
      <c r="I733" s="64">
        <f>DATEVALUE(tblLaborEntries[[#This Row],[Work date]])</f>
        <v>45560.0</v>
      </c>
    </row>
    <row r="734" spans="1:9" ht="15" x14ac:dyDescent="0.25">
      <c r="A734" s="53" t="inlineStr">
        <is>
          <t>LAB-000733</t>
        </is>
      </c>
      <c r="B734" s="53" t="inlineStr">
        <is>
          <t>WP-00331</t>
        </is>
      </c>
      <c r="C734" s="53" t="inlineStr">
        <is>
          <t>TECH-015</t>
        </is>
      </c>
      <c r="D734" s="53" t="inlineStr">
        <is>
          <t>Hydraulics</t>
        </is>
      </c>
      <c r="E734" s="53" t="inlineStr">
        <is>
          <t>2025-06-10</t>
        </is>
      </c>
      <c r="F734" s="53">
        <v>8.2</v>
      </c>
      <c r="G734" s="53">
        <v>0.2</v>
      </c>
      <c r="H734" s="51" t="str">
        <f>TEXT(tblLaborEntries[[#This Row],[Work date serial]]-WEEKDAY(tblLaborEntries[[#This Row],[Work date serial]],3),"yyyy-mm-dd")</f>
        <v>2025-06-09</v>
      </c>
      <c r="I734" s="64">
        <f>DATEVALUE(tblLaborEntries[[#This Row],[Work date]])</f>
        <v>45818.0</v>
      </c>
    </row>
    <row r="735" spans="1:9" ht="15" x14ac:dyDescent="0.25">
      <c r="A735" s="53" t="inlineStr">
        <is>
          <t>LAB-000734</t>
        </is>
      </c>
      <c r="B735" s="53" t="inlineStr">
        <is>
          <t>WP-00331</t>
        </is>
      </c>
      <c r="C735" s="53" t="inlineStr">
        <is>
          <t>TECH-009</t>
        </is>
      </c>
      <c r="D735" s="53" t="inlineStr">
        <is>
          <t>Hydraulics</t>
        </is>
      </c>
      <c r="E735" s="53" t="inlineStr">
        <is>
          <t>2025-06-11</t>
        </is>
      </c>
      <c r="F735" s="53">
        <v>7.3</v>
      </c>
      <c r="G735" s="53">
        <v>0</v>
      </c>
      <c r="H735" s="51" t="str">
        <f>TEXT(tblLaborEntries[[#This Row],[Work date serial]]-WEEKDAY(tblLaborEntries[[#This Row],[Work date serial]],3),"yyyy-mm-dd")</f>
        <v>2025-06-09</v>
      </c>
      <c r="I735" s="64">
        <f>DATEVALUE(tblLaborEntries[[#This Row],[Work date]])</f>
        <v>45819.0</v>
      </c>
    </row>
    <row r="736" spans="1:9" ht="15" x14ac:dyDescent="0.25">
      <c r="A736" s="53" t="inlineStr">
        <is>
          <t>LAB-000735</t>
        </is>
      </c>
      <c r="B736" s="53" t="inlineStr">
        <is>
          <t>WP-00331</t>
        </is>
      </c>
      <c r="C736" s="53" t="inlineStr">
        <is>
          <t>TECH-015</t>
        </is>
      </c>
      <c r="D736" s="53" t="inlineStr">
        <is>
          <t>Hydraulics</t>
        </is>
      </c>
      <c r="E736" s="53" t="inlineStr">
        <is>
          <t>2025-06-12</t>
        </is>
      </c>
      <c r="F736" s="53">
        <v>7.8</v>
      </c>
      <c r="G736" s="53">
        <v>0</v>
      </c>
      <c r="H736" s="51" t="str">
        <f>TEXT(tblLaborEntries[[#This Row],[Work date serial]]-WEEKDAY(tblLaborEntries[[#This Row],[Work date serial]],3),"yyyy-mm-dd")</f>
        <v>2025-06-09</v>
      </c>
      <c r="I736" s="64">
        <f>DATEVALUE(tblLaborEntries[[#This Row],[Work date]])</f>
        <v>45820.0</v>
      </c>
    </row>
    <row r="737" spans="1:9" ht="15" x14ac:dyDescent="0.25">
      <c r="A737" s="53" t="inlineStr">
        <is>
          <t>LAB-000736</t>
        </is>
      </c>
      <c r="B737" s="53" t="inlineStr">
        <is>
          <t>WP-00332</t>
        </is>
      </c>
      <c r="C737" s="53" t="inlineStr">
        <is>
          <t>TECH-020</t>
        </is>
      </c>
      <c r="D737" s="53" t="inlineStr">
        <is>
          <t>Avionics</t>
        </is>
      </c>
      <c r="E737" s="53" t="inlineStr">
        <is>
          <t>2024-11-20</t>
        </is>
      </c>
      <c r="F737" s="53">
        <v>2.1</v>
      </c>
      <c r="G737" s="53">
        <v>0</v>
      </c>
      <c r="H737" s="51" t="str">
        <f>TEXT(tblLaborEntries[[#This Row],[Work date serial]]-WEEKDAY(tblLaborEntries[[#This Row],[Work date serial]],3),"yyyy-mm-dd")</f>
        <v>2024-11-18</v>
      </c>
      <c r="I737" s="64">
        <f>DATEVALUE(tblLaborEntries[[#This Row],[Work date]])</f>
        <v>45616.0</v>
      </c>
    </row>
    <row r="738" spans="1:9" ht="15" x14ac:dyDescent="0.25">
      <c r="A738" s="53" t="inlineStr">
        <is>
          <t>LAB-000737</t>
        </is>
      </c>
      <c r="B738" s="53" t="inlineStr">
        <is>
          <t>WP-00332</t>
        </is>
      </c>
      <c r="C738" s="53" t="inlineStr">
        <is>
          <t>TECH-002</t>
        </is>
      </c>
      <c r="D738" s="53" t="inlineStr">
        <is>
          <t>Avionics</t>
        </is>
      </c>
      <c r="E738" s="53" t="inlineStr">
        <is>
          <t>2024-11-21</t>
        </is>
      </c>
      <c r="F738" s="53">
        <v>1.7</v>
      </c>
      <c r="G738" s="53">
        <v>0</v>
      </c>
      <c r="H738" s="51" t="str">
        <f>TEXT(tblLaborEntries[[#This Row],[Work date serial]]-WEEKDAY(tblLaborEntries[[#This Row],[Work date serial]],3),"yyyy-mm-dd")</f>
        <v>2024-11-18</v>
      </c>
      <c r="I738" s="64">
        <f>DATEVALUE(tblLaborEntries[[#This Row],[Work date]])</f>
        <v>45617.0</v>
      </c>
    </row>
    <row r="739" spans="1:9" ht="15" x14ac:dyDescent="0.25">
      <c r="A739" s="53" t="inlineStr">
        <is>
          <t>LAB-000738</t>
        </is>
      </c>
      <c r="B739" s="53" t="inlineStr">
        <is>
          <t>WP-00333</t>
        </is>
      </c>
      <c r="C739" s="53" t="inlineStr">
        <is>
          <t>TECH-001</t>
        </is>
      </c>
      <c r="D739" s="53" t="inlineStr">
        <is>
          <t>Airframe</t>
        </is>
      </c>
      <c r="E739" s="53" t="inlineStr">
        <is>
          <t>2024-07-24</t>
        </is>
      </c>
      <c r="F739" s="53">
        <v>10.7</v>
      </c>
      <c r="G739" s="53">
        <v>2.7</v>
      </c>
      <c r="H739" s="51" t="str">
        <f>TEXT(tblLaborEntries[[#This Row],[Work date serial]]-WEEKDAY(tblLaborEntries[[#This Row],[Work date serial]],3),"yyyy-mm-dd")</f>
        <v>2024-07-22</v>
      </c>
      <c r="I739" s="64">
        <f>DATEVALUE(tblLaborEntries[[#This Row],[Work date]])</f>
        <v>45497.0</v>
      </c>
    </row>
    <row r="740" spans="1:9" ht="15" x14ac:dyDescent="0.25">
      <c r="A740" s="53" t="inlineStr">
        <is>
          <t>LAB-000739</t>
        </is>
      </c>
      <c r="B740" s="53" t="inlineStr">
        <is>
          <t>WP-00333</t>
        </is>
      </c>
      <c r="C740" s="53" t="inlineStr">
        <is>
          <t>TECH-031</t>
        </is>
      </c>
      <c r="D740" s="53" t="inlineStr">
        <is>
          <t>Airframe</t>
        </is>
      </c>
      <c r="E740" s="53" t="inlineStr">
        <is>
          <t>2024-07-24</t>
        </is>
      </c>
      <c r="F740" s="53">
        <v>7.4</v>
      </c>
      <c r="G740" s="53">
        <v>0</v>
      </c>
      <c r="H740" s="51" t="str">
        <f>TEXT(tblLaborEntries[[#This Row],[Work date serial]]-WEEKDAY(tblLaborEntries[[#This Row],[Work date serial]],3),"yyyy-mm-dd")</f>
        <v>2024-07-22</v>
      </c>
      <c r="I740" s="64">
        <f>DATEVALUE(tblLaborEntries[[#This Row],[Work date]])</f>
        <v>45497.0</v>
      </c>
    </row>
    <row r="741" spans="1:9" ht="15" x14ac:dyDescent="0.25">
      <c r="A741" s="53" t="inlineStr">
        <is>
          <t>LAB-000740</t>
        </is>
      </c>
      <c r="B741" s="53" t="inlineStr">
        <is>
          <t>WP-00334</t>
        </is>
      </c>
      <c r="C741" s="53" t="inlineStr">
        <is>
          <t>TECH-012</t>
        </is>
      </c>
      <c r="D741" s="53" t="inlineStr">
        <is>
          <t>Powerplant</t>
        </is>
      </c>
      <c r="E741" s="53" t="inlineStr">
        <is>
          <t>2026-01-01</t>
        </is>
      </c>
      <c r="F741" s="53">
        <v>11.4</v>
      </c>
      <c r="G741" s="53">
        <v>3.4</v>
      </c>
      <c r="H741" s="51" t="str">
        <f>TEXT(tblLaborEntries[[#This Row],[Work date serial]]-WEEKDAY(tblLaborEntries[[#This Row],[Work date serial]],3),"yyyy-mm-dd")</f>
        <v>2025-12-29</v>
      </c>
      <c r="I741" s="64">
        <f>DATEVALUE(tblLaborEntries[[#This Row],[Work date]])</f>
        <v>46023.0</v>
      </c>
    </row>
    <row r="742" spans="1:9" ht="15" x14ac:dyDescent="0.25">
      <c r="A742" s="53" t="inlineStr">
        <is>
          <t>LAB-000741</t>
        </is>
      </c>
      <c r="B742" s="53" t="inlineStr">
        <is>
          <t>WP-00335</t>
        </is>
      </c>
      <c r="C742" s="53" t="inlineStr">
        <is>
          <t>TECH-007</t>
        </is>
      </c>
      <c r="D742" s="53" t="inlineStr">
        <is>
          <t>Airframe</t>
        </is>
      </c>
      <c r="E742" s="53" t="inlineStr">
        <is>
          <t>2025-07-04</t>
        </is>
      </c>
      <c r="F742" s="53">
        <v>4.8</v>
      </c>
      <c r="G742" s="53">
        <v>0</v>
      </c>
      <c r="H742" s="51" t="str">
        <f>TEXT(tblLaborEntries[[#This Row],[Work date serial]]-WEEKDAY(tblLaborEntries[[#This Row],[Work date serial]],3),"yyyy-mm-dd")</f>
        <v>2025-06-30</v>
      </c>
      <c r="I742" s="64">
        <f>DATEVALUE(tblLaborEntries[[#This Row],[Work date]])</f>
        <v>45842.0</v>
      </c>
    </row>
    <row r="743" spans="1:9" ht="15" x14ac:dyDescent="0.25">
      <c r="A743" s="53" t="inlineStr">
        <is>
          <t>LAB-000742</t>
        </is>
      </c>
      <c r="B743" s="53" t="inlineStr">
        <is>
          <t>WP-00335</t>
        </is>
      </c>
      <c r="C743" s="53" t="inlineStr">
        <is>
          <t>TECH-019</t>
        </is>
      </c>
      <c r="D743" s="53" t="inlineStr">
        <is>
          <t>Airframe</t>
        </is>
      </c>
      <c r="E743" s="53" t="inlineStr">
        <is>
          <t>2025-07-05</t>
        </is>
      </c>
      <c r="F743" s="53">
        <v>4.3</v>
      </c>
      <c r="G743" s="53">
        <v>4</v>
      </c>
      <c r="H743" s="51" t="str">
        <f>TEXT(tblLaborEntries[[#This Row],[Work date serial]]-WEEKDAY(tblLaborEntries[[#This Row],[Work date serial]],3),"yyyy-mm-dd")</f>
        <v>2025-06-30</v>
      </c>
      <c r="I743" s="64">
        <f>DATEVALUE(tblLaborEntries[[#This Row],[Work date]])</f>
        <v>45843.0</v>
      </c>
    </row>
    <row r="744" spans="1:9" ht="15" x14ac:dyDescent="0.25">
      <c r="A744" s="53" t="inlineStr">
        <is>
          <t>LAB-000743</t>
        </is>
      </c>
      <c r="B744" s="53" t="inlineStr">
        <is>
          <t>WP-00336</t>
        </is>
      </c>
      <c r="C744" s="53" t="inlineStr">
        <is>
          <t>TECH-063</t>
        </is>
      </c>
      <c r="D744" s="53" t="inlineStr">
        <is>
          <t>Hydraulics</t>
        </is>
      </c>
      <c r="E744" s="53" t="inlineStr">
        <is>
          <t>2024-02-14</t>
        </is>
      </c>
      <c r="F744" s="53">
        <v>2.5</v>
      </c>
      <c r="G744" s="53">
        <v>0</v>
      </c>
      <c r="H744" s="51" t="str">
        <f>TEXT(tblLaborEntries[[#This Row],[Work date serial]]-WEEKDAY(tblLaborEntries[[#This Row],[Work date serial]],3),"yyyy-mm-dd")</f>
        <v>2024-02-12</v>
      </c>
      <c r="I744" s="64">
        <f>DATEVALUE(tblLaborEntries[[#This Row],[Work date]])</f>
        <v>45336.0</v>
      </c>
    </row>
    <row r="745" spans="1:9" ht="15" x14ac:dyDescent="0.25">
      <c r="A745" s="53" t="inlineStr">
        <is>
          <t>LAB-000744</t>
        </is>
      </c>
      <c r="B745" s="53" t="inlineStr">
        <is>
          <t>WP-00336</t>
        </is>
      </c>
      <c r="C745" s="53" t="inlineStr">
        <is>
          <t>TECH-075</t>
        </is>
      </c>
      <c r="D745" s="53" t="inlineStr">
        <is>
          <t>Hydraulics</t>
        </is>
      </c>
      <c r="E745" s="53" t="inlineStr">
        <is>
          <t>2024-02-15</t>
        </is>
      </c>
      <c r="F745" s="53">
        <v>3</v>
      </c>
      <c r="G745" s="53">
        <v>0</v>
      </c>
      <c r="H745" s="51" t="str">
        <f>TEXT(tblLaborEntries[[#This Row],[Work date serial]]-WEEKDAY(tblLaborEntries[[#This Row],[Work date serial]],3),"yyyy-mm-dd")</f>
        <v>2024-02-12</v>
      </c>
      <c r="I745" s="64">
        <f>DATEVALUE(tblLaborEntries[[#This Row],[Work date]])</f>
        <v>45337.0</v>
      </c>
    </row>
    <row r="746" spans="1:9" ht="15" x14ac:dyDescent="0.25">
      <c r="A746" s="53" t="inlineStr">
        <is>
          <t>LAB-000745</t>
        </is>
      </c>
      <c r="B746" s="53" t="inlineStr">
        <is>
          <t>WP-00336</t>
        </is>
      </c>
      <c r="C746" s="53" t="inlineStr">
        <is>
          <t>TECH-045</t>
        </is>
      </c>
      <c r="D746" s="53" t="inlineStr">
        <is>
          <t>Hydraulics</t>
        </is>
      </c>
      <c r="E746" s="53" t="inlineStr">
        <is>
          <t>2024-02-16</t>
        </is>
      </c>
      <c r="F746" s="53">
        <v>2.8</v>
      </c>
      <c r="G746" s="53">
        <v>0</v>
      </c>
      <c r="H746" s="51" t="str">
        <f>TEXT(tblLaborEntries[[#This Row],[Work date serial]]-WEEKDAY(tblLaborEntries[[#This Row],[Work date serial]],3),"yyyy-mm-dd")</f>
        <v>2024-02-12</v>
      </c>
      <c r="I746" s="64">
        <f>DATEVALUE(tblLaborEntries[[#This Row],[Work date]])</f>
        <v>45338.0</v>
      </c>
    </row>
    <row r="747" spans="1:9" ht="15" x14ac:dyDescent="0.25">
      <c r="A747" s="53" t="inlineStr">
        <is>
          <t>LAB-000746</t>
        </is>
      </c>
      <c r="B747" s="53" t="inlineStr">
        <is>
          <t>WP-00337</t>
        </is>
      </c>
      <c r="C747" s="53" t="inlineStr">
        <is>
          <t>TECH-005</t>
        </is>
      </c>
      <c r="D747" s="53" t="inlineStr">
        <is>
          <t>Structures</t>
        </is>
      </c>
      <c r="E747" s="53" t="inlineStr">
        <is>
          <t>2024-02-26</t>
        </is>
      </c>
      <c r="F747" s="53">
        <v>11</v>
      </c>
      <c r="G747" s="53">
        <v>3</v>
      </c>
      <c r="H747" s="51" t="str">
        <f>TEXT(tblLaborEntries[[#This Row],[Work date serial]]-WEEKDAY(tblLaborEntries[[#This Row],[Work date serial]],3),"yyyy-mm-dd")</f>
        <v>2024-02-26</v>
      </c>
      <c r="I747" s="64">
        <f>DATEVALUE(tblLaborEntries[[#This Row],[Work date]])</f>
        <v>45348.0</v>
      </c>
    </row>
    <row r="748" spans="1:9" ht="15" x14ac:dyDescent="0.25">
      <c r="A748" s="53" t="inlineStr">
        <is>
          <t>LAB-000747</t>
        </is>
      </c>
      <c r="B748" s="53" t="inlineStr">
        <is>
          <t>WP-00337</t>
        </is>
      </c>
      <c r="C748" s="53" t="inlineStr">
        <is>
          <t>TECH-035</t>
        </is>
      </c>
      <c r="D748" s="53" t="inlineStr">
        <is>
          <t>Structures</t>
        </is>
      </c>
      <c r="E748" s="53" t="inlineStr">
        <is>
          <t>2024-02-26</t>
        </is>
      </c>
      <c r="F748" s="53">
        <v>12</v>
      </c>
      <c r="G748" s="53">
        <v>4</v>
      </c>
      <c r="H748" s="51" t="str">
        <f>TEXT(tblLaborEntries[[#This Row],[Work date serial]]-WEEKDAY(tblLaborEntries[[#This Row],[Work date serial]],3),"yyyy-mm-dd")</f>
        <v>2024-02-26</v>
      </c>
      <c r="I748" s="64">
        <f>DATEVALUE(tblLaborEntries[[#This Row],[Work date]])</f>
        <v>45348.0</v>
      </c>
    </row>
    <row r="749" spans="1:9" ht="15" x14ac:dyDescent="0.25">
      <c r="A749" s="53" t="inlineStr">
        <is>
          <t>LAB-000748</t>
        </is>
      </c>
      <c r="B749" s="53" t="inlineStr">
        <is>
          <t>WP-00338</t>
        </is>
      </c>
      <c r="C749" s="53" t="inlineStr">
        <is>
          <t>TECH-033</t>
        </is>
      </c>
      <c r="D749" s="53" t="inlineStr">
        <is>
          <t>Hydraulics</t>
        </is>
      </c>
      <c r="E749" s="53" t="inlineStr">
        <is>
          <t>2025-07-02</t>
        </is>
      </c>
      <c r="F749" s="53">
        <v>5.9</v>
      </c>
      <c r="G749" s="53">
        <v>0</v>
      </c>
      <c r="H749" s="51" t="str">
        <f>TEXT(tblLaborEntries[[#This Row],[Work date serial]]-WEEKDAY(tblLaborEntries[[#This Row],[Work date serial]],3),"yyyy-mm-dd")</f>
        <v>2025-06-30</v>
      </c>
      <c r="I749" s="64">
        <f>DATEVALUE(tblLaborEntries[[#This Row],[Work date]])</f>
        <v>45840.0</v>
      </c>
    </row>
    <row r="750" spans="1:9" ht="15" x14ac:dyDescent="0.25">
      <c r="A750" s="53" t="inlineStr">
        <is>
          <t>LAB-000749</t>
        </is>
      </c>
      <c r="B750" s="53" t="inlineStr">
        <is>
          <t>WP-00338</t>
        </is>
      </c>
      <c r="C750" s="53" t="inlineStr">
        <is>
          <t>TECH-033</t>
        </is>
      </c>
      <c r="D750" s="53" t="inlineStr">
        <is>
          <t>Hydraulics</t>
        </is>
      </c>
      <c r="E750" s="53" t="inlineStr">
        <is>
          <t>2025-07-03</t>
        </is>
      </c>
      <c r="F750" s="53">
        <v>5.4</v>
      </c>
      <c r="G750" s="53">
        <v>0</v>
      </c>
      <c r="H750" s="51" t="str">
        <f>TEXT(tblLaborEntries[[#This Row],[Work date serial]]-WEEKDAY(tblLaborEntries[[#This Row],[Work date serial]],3),"yyyy-mm-dd")</f>
        <v>2025-06-30</v>
      </c>
      <c r="I750" s="64">
        <f>DATEVALUE(tblLaborEntries[[#This Row],[Work date]])</f>
        <v>45841.0</v>
      </c>
    </row>
    <row r="751" spans="1:9" ht="15" x14ac:dyDescent="0.25">
      <c r="A751" s="53" t="inlineStr">
        <is>
          <t>LAB-000750</t>
        </is>
      </c>
      <c r="B751" s="53" t="inlineStr">
        <is>
          <t>WP-00338</t>
        </is>
      </c>
      <c r="C751" s="53" t="inlineStr">
        <is>
          <t>TECH-069</t>
        </is>
      </c>
      <c r="D751" s="53" t="inlineStr">
        <is>
          <t>Hydraulics</t>
        </is>
      </c>
      <c r="E751" s="53" t="inlineStr">
        <is>
          <t>2025-07-04</t>
        </is>
      </c>
      <c r="F751" s="53">
        <v>3.8</v>
      </c>
      <c r="G751" s="53">
        <v>0</v>
      </c>
      <c r="H751" s="51" t="str">
        <f>TEXT(tblLaborEntries[[#This Row],[Work date serial]]-WEEKDAY(tblLaborEntries[[#This Row],[Work date serial]],3),"yyyy-mm-dd")</f>
        <v>2025-06-30</v>
      </c>
      <c r="I751" s="64">
        <f>DATEVALUE(tblLaborEntries[[#This Row],[Work date]])</f>
        <v>45842.0</v>
      </c>
    </row>
    <row r="752" spans="1:9" ht="15" x14ac:dyDescent="0.25">
      <c r="A752" s="53" t="inlineStr">
        <is>
          <t>LAB-000751</t>
        </is>
      </c>
      <c r="B752" s="53" t="inlineStr">
        <is>
          <t>WP-00339</t>
        </is>
      </c>
      <c r="C752" s="53" t="inlineStr">
        <is>
          <t>TECH-067</t>
        </is>
      </c>
      <c r="D752" s="53" t="inlineStr">
        <is>
          <t>Airframe</t>
        </is>
      </c>
      <c r="E752" s="53" t="inlineStr">
        <is>
          <t>2025-09-10</t>
        </is>
      </c>
      <c r="F752" s="53">
        <v>2.1</v>
      </c>
      <c r="G752" s="53">
        <v>0</v>
      </c>
      <c r="H752" s="51" t="str">
        <f>TEXT(tblLaborEntries[[#This Row],[Work date serial]]-WEEKDAY(tblLaborEntries[[#This Row],[Work date serial]],3),"yyyy-mm-dd")</f>
        <v>2025-09-08</v>
      </c>
      <c r="I752" s="64">
        <f>DATEVALUE(tblLaborEntries[[#This Row],[Work date]])</f>
        <v>45910.0</v>
      </c>
    </row>
    <row r="753" spans="1:9" ht="15" x14ac:dyDescent="0.25">
      <c r="A753" s="53" t="inlineStr">
        <is>
          <t>LAB-000752</t>
        </is>
      </c>
      <c r="B753" s="53" t="inlineStr">
        <is>
          <t>WP-00339</t>
        </is>
      </c>
      <c r="C753" s="53" t="inlineStr">
        <is>
          <t>TECH-001</t>
        </is>
      </c>
      <c r="D753" s="53" t="inlineStr">
        <is>
          <t>Airframe</t>
        </is>
      </c>
      <c r="E753" s="53" t="inlineStr">
        <is>
          <t>2025-09-11</t>
        </is>
      </c>
      <c r="F753" s="53">
        <v>2.9</v>
      </c>
      <c r="G753" s="53">
        <v>0</v>
      </c>
      <c r="H753" s="51" t="str">
        <f>TEXT(tblLaborEntries[[#This Row],[Work date serial]]-WEEKDAY(tblLaborEntries[[#This Row],[Work date serial]],3),"yyyy-mm-dd")</f>
        <v>2025-09-08</v>
      </c>
      <c r="I753" s="64">
        <f>DATEVALUE(tblLaborEntries[[#This Row],[Work date]])</f>
        <v>45911.0</v>
      </c>
    </row>
    <row r="754" spans="1:9" ht="15" x14ac:dyDescent="0.25">
      <c r="A754" s="53" t="inlineStr">
        <is>
          <t>LAB-000753</t>
        </is>
      </c>
      <c r="B754" s="53" t="inlineStr">
        <is>
          <t>WP-00340</t>
        </is>
      </c>
      <c r="C754" s="53" t="inlineStr">
        <is>
          <t>TECH-028</t>
        </is>
      </c>
      <c r="D754" s="53" t="inlineStr">
        <is>
          <t>Electrical</t>
        </is>
      </c>
      <c r="E754" s="53" t="inlineStr">
        <is>
          <t>2025-01-25</t>
        </is>
      </c>
      <c r="F754" s="53">
        <v>7.7</v>
      </c>
      <c r="G754" s="53">
        <v>0</v>
      </c>
      <c r="H754" s="51" t="str">
        <f>TEXT(tblLaborEntries[[#This Row],[Work date serial]]-WEEKDAY(tblLaborEntries[[#This Row],[Work date serial]],3),"yyyy-mm-dd")</f>
        <v>2025-01-20</v>
      </c>
      <c r="I754" s="64">
        <f>DATEVALUE(tblLaborEntries[[#This Row],[Work date]])</f>
        <v>45682.0</v>
      </c>
    </row>
    <row r="755" spans="1:9" ht="15" x14ac:dyDescent="0.25">
      <c r="A755" s="53" t="inlineStr">
        <is>
          <t>LAB-000754</t>
        </is>
      </c>
      <c r="B755" s="53" t="inlineStr">
        <is>
          <t>WP-00340</t>
        </is>
      </c>
      <c r="C755" s="53" t="inlineStr">
        <is>
          <t>TECH-004</t>
        </is>
      </c>
      <c r="D755" s="53" t="inlineStr">
        <is>
          <t>Electrical</t>
        </is>
      </c>
      <c r="E755" s="53" t="inlineStr">
        <is>
          <t>2025-01-26</t>
        </is>
      </c>
      <c r="F755" s="53">
        <v>10.8</v>
      </c>
      <c r="G755" s="53">
        <v>2.8</v>
      </c>
      <c r="H755" s="51" t="str">
        <f>TEXT(tblLaborEntries[[#This Row],[Work date serial]]-WEEKDAY(tblLaborEntries[[#This Row],[Work date serial]],3),"yyyy-mm-dd")</f>
        <v>2025-01-20</v>
      </c>
      <c r="I755" s="64">
        <f>DATEVALUE(tblLaborEntries[[#This Row],[Work date]])</f>
        <v>45683.0</v>
      </c>
    </row>
    <row r="756" spans="1:9" ht="15" x14ac:dyDescent="0.25">
      <c r="A756" s="53" t="inlineStr">
        <is>
          <t>LAB-000755</t>
        </is>
      </c>
      <c r="B756" s="53" t="inlineStr">
        <is>
          <t>WP-00341</t>
        </is>
      </c>
      <c r="C756" s="53" t="inlineStr">
        <is>
          <t>TECH-004</t>
        </is>
      </c>
      <c r="D756" s="53" t="inlineStr">
        <is>
          <t>Electrical</t>
        </is>
      </c>
      <c r="E756" s="53" t="inlineStr">
        <is>
          <t>2025-12-22</t>
        </is>
      </c>
      <c r="F756" s="53">
        <v>10.5</v>
      </c>
      <c r="G756" s="53">
        <v>2.5</v>
      </c>
      <c r="H756" s="51" t="str">
        <f>TEXT(tblLaborEntries[[#This Row],[Work date serial]]-WEEKDAY(tblLaborEntries[[#This Row],[Work date serial]],3),"yyyy-mm-dd")</f>
        <v>2025-12-22</v>
      </c>
      <c r="I756" s="64">
        <f>DATEVALUE(tblLaborEntries[[#This Row],[Work date]])</f>
        <v>46013.0</v>
      </c>
    </row>
    <row r="757" spans="1:9" ht="15" x14ac:dyDescent="0.25">
      <c r="A757" s="53" t="inlineStr">
        <is>
          <t>LAB-000756</t>
        </is>
      </c>
      <c r="B757" s="53" t="inlineStr">
        <is>
          <t>WP-00341</t>
        </is>
      </c>
      <c r="C757" s="53" t="inlineStr">
        <is>
          <t>TECH-058</t>
        </is>
      </c>
      <c r="D757" s="53" t="inlineStr">
        <is>
          <t>Electrical</t>
        </is>
      </c>
      <c r="E757" s="53" t="inlineStr">
        <is>
          <t>2025-12-23</t>
        </is>
      </c>
      <c r="F757" s="53">
        <v>8.6</v>
      </c>
      <c r="G757" s="53">
        <v>0.6</v>
      </c>
      <c r="H757" s="51" t="str">
        <f>TEXT(tblLaborEntries[[#This Row],[Work date serial]]-WEEKDAY(tblLaborEntries[[#This Row],[Work date serial]],3),"yyyy-mm-dd")</f>
        <v>2025-12-22</v>
      </c>
      <c r="I757" s="64">
        <f>DATEVALUE(tblLaborEntries[[#This Row],[Work date]])</f>
        <v>46014.0</v>
      </c>
    </row>
    <row r="758" spans="1:9" ht="15" x14ac:dyDescent="0.25">
      <c r="A758" s="53" t="inlineStr">
        <is>
          <t>LAB-000757</t>
        </is>
      </c>
      <c r="B758" s="53" t="inlineStr">
        <is>
          <t>WP-00341</t>
        </is>
      </c>
      <c r="C758" s="53" t="inlineStr">
        <is>
          <t>TECH-034</t>
        </is>
      </c>
      <c r="D758" s="53" t="inlineStr">
        <is>
          <t>Electrical</t>
        </is>
      </c>
      <c r="E758" s="53" t="inlineStr">
        <is>
          <t>2025-12-24</t>
        </is>
      </c>
      <c r="F758" s="53">
        <v>8.9</v>
      </c>
      <c r="G758" s="53">
        <v>0.9</v>
      </c>
      <c r="H758" s="51" t="str">
        <f>TEXT(tblLaborEntries[[#This Row],[Work date serial]]-WEEKDAY(tblLaborEntries[[#This Row],[Work date serial]],3),"yyyy-mm-dd")</f>
        <v>2025-12-22</v>
      </c>
      <c r="I758" s="64">
        <f>DATEVALUE(tblLaborEntries[[#This Row],[Work date]])</f>
        <v>46015.0</v>
      </c>
    </row>
    <row r="759" spans="1:9" ht="15" x14ac:dyDescent="0.25">
      <c r="A759" s="53" t="inlineStr">
        <is>
          <t>LAB-000758</t>
        </is>
      </c>
      <c r="B759" s="53" t="inlineStr">
        <is>
          <t>WP-00342</t>
        </is>
      </c>
      <c r="C759" s="53" t="inlineStr">
        <is>
          <t>TECH-005</t>
        </is>
      </c>
      <c r="D759" s="53" t="inlineStr">
        <is>
          <t>Structures</t>
        </is>
      </c>
      <c r="E759" s="53" t="inlineStr">
        <is>
          <t>2025-12-21</t>
        </is>
      </c>
      <c r="F759" s="53">
        <v>7.8</v>
      </c>
      <c r="G759" s="53">
        <v>0</v>
      </c>
      <c r="H759" s="51" t="str">
        <f>TEXT(tblLaborEntries[[#This Row],[Work date serial]]-WEEKDAY(tblLaborEntries[[#This Row],[Work date serial]],3),"yyyy-mm-dd")</f>
        <v>2025-12-15</v>
      </c>
      <c r="I759" s="64">
        <f>DATEVALUE(tblLaborEntries[[#This Row],[Work date]])</f>
        <v>46012.0</v>
      </c>
    </row>
    <row r="760" spans="1:9" ht="15" x14ac:dyDescent="0.25">
      <c r="A760" s="53" t="inlineStr">
        <is>
          <t>LAB-000759</t>
        </is>
      </c>
      <c r="B760" s="53" t="inlineStr">
        <is>
          <t>WP-00342</t>
        </is>
      </c>
      <c r="C760" s="53" t="inlineStr">
        <is>
          <t>TECH-011</t>
        </is>
      </c>
      <c r="D760" s="53" t="inlineStr">
        <is>
          <t>Structures</t>
        </is>
      </c>
      <c r="E760" s="53" t="inlineStr">
        <is>
          <t>2025-12-22</t>
        </is>
      </c>
      <c r="F760" s="53">
        <v>5.8</v>
      </c>
      <c r="G760" s="53">
        <v>0</v>
      </c>
      <c r="H760" s="51" t="str">
        <f>TEXT(tblLaborEntries[[#This Row],[Work date serial]]-WEEKDAY(tblLaborEntries[[#This Row],[Work date serial]],3),"yyyy-mm-dd")</f>
        <v>2025-12-22</v>
      </c>
      <c r="I760" s="64">
        <f>DATEVALUE(tblLaborEntries[[#This Row],[Work date]])</f>
        <v>46013.0</v>
      </c>
    </row>
    <row r="761" spans="1:9" ht="15" x14ac:dyDescent="0.25">
      <c r="A761" s="53" t="inlineStr">
        <is>
          <t>LAB-000760</t>
        </is>
      </c>
      <c r="B761" s="53" t="inlineStr">
        <is>
          <t>WP-00343</t>
        </is>
      </c>
      <c r="C761" s="53" t="inlineStr">
        <is>
          <t>TECH-044</t>
        </is>
      </c>
      <c r="D761" s="53" t="inlineStr">
        <is>
          <t>Avionics</t>
        </is>
      </c>
      <c r="E761" s="53" t="inlineStr">
        <is>
          <t>2025-03-07</t>
        </is>
      </c>
      <c r="F761" s="53">
        <v>5.9</v>
      </c>
      <c r="G761" s="53">
        <v>0</v>
      </c>
      <c r="H761" s="51" t="str">
        <f>TEXT(tblLaborEntries[[#This Row],[Work date serial]]-WEEKDAY(tblLaborEntries[[#This Row],[Work date serial]],3),"yyyy-mm-dd")</f>
        <v>2025-03-03</v>
      </c>
      <c r="I761" s="64">
        <f>DATEVALUE(tblLaborEntries[[#This Row],[Work date]])</f>
        <v>45723.0</v>
      </c>
    </row>
    <row r="762" spans="1:9" ht="15" x14ac:dyDescent="0.25">
      <c r="A762" s="53" t="inlineStr">
        <is>
          <t>LAB-000761</t>
        </is>
      </c>
      <c r="B762" s="53" t="inlineStr">
        <is>
          <t>WP-00343</t>
        </is>
      </c>
      <c r="C762" s="53" t="inlineStr">
        <is>
          <t>TECH-050</t>
        </is>
      </c>
      <c r="D762" s="53" t="inlineStr">
        <is>
          <t>Avionics</t>
        </is>
      </c>
      <c r="E762" s="53" t="inlineStr">
        <is>
          <t>2025-03-08</t>
        </is>
      </c>
      <c r="F762" s="53">
        <v>5.6</v>
      </c>
      <c r="G762" s="53">
        <v>0</v>
      </c>
      <c r="H762" s="51" t="str">
        <f>TEXT(tblLaborEntries[[#This Row],[Work date serial]]-WEEKDAY(tblLaborEntries[[#This Row],[Work date serial]],3),"yyyy-mm-dd")</f>
        <v>2025-03-03</v>
      </c>
      <c r="I762" s="64">
        <f>DATEVALUE(tblLaborEntries[[#This Row],[Work date]])</f>
        <v>45724.0</v>
      </c>
    </row>
    <row r="763" spans="1:9" ht="15" x14ac:dyDescent="0.25">
      <c r="A763" s="53" t="inlineStr">
        <is>
          <t>LAB-000762</t>
        </is>
      </c>
      <c r="B763" s="53" t="inlineStr">
        <is>
          <t>WP-00343</t>
        </is>
      </c>
      <c r="C763" s="53" t="inlineStr">
        <is>
          <t>TECH-044</t>
        </is>
      </c>
      <c r="D763" s="53" t="inlineStr">
        <is>
          <t>Avionics</t>
        </is>
      </c>
      <c r="E763" s="53" t="inlineStr">
        <is>
          <t>2025-03-09</t>
        </is>
      </c>
      <c r="F763" s="53">
        <v>8.6</v>
      </c>
      <c r="G763" s="53">
        <v>0.6</v>
      </c>
      <c r="H763" s="51" t="str">
        <f>TEXT(tblLaborEntries[[#This Row],[Work date serial]]-WEEKDAY(tblLaborEntries[[#This Row],[Work date serial]],3),"yyyy-mm-dd")</f>
        <v>2025-03-03</v>
      </c>
      <c r="I763" s="64">
        <f>DATEVALUE(tblLaborEntries[[#This Row],[Work date]])</f>
        <v>45725.0</v>
      </c>
    </row>
    <row r="764" spans="1:9" ht="15" x14ac:dyDescent="0.25">
      <c r="A764" s="53" t="inlineStr">
        <is>
          <t>LAB-000763</t>
        </is>
      </c>
      <c r="B764" s="53" t="inlineStr">
        <is>
          <t>WP-00344</t>
        </is>
      </c>
      <c r="C764" s="53" t="inlineStr">
        <is>
          <t>TECH-060</t>
        </is>
      </c>
      <c r="D764" s="53" t="inlineStr">
        <is>
          <t>Powerplant</t>
        </is>
      </c>
      <c r="E764" s="53" t="inlineStr">
        <is>
          <t>2024-04-12</t>
        </is>
      </c>
      <c r="F764" s="53">
        <v>5.8</v>
      </c>
      <c r="G764" s="53">
        <v>0</v>
      </c>
      <c r="H764" s="51" t="str">
        <f>TEXT(tblLaborEntries[[#This Row],[Work date serial]]-WEEKDAY(tblLaborEntries[[#This Row],[Work date serial]],3),"yyyy-mm-dd")</f>
        <v>2024-04-08</v>
      </c>
      <c r="I764" s="64">
        <f>DATEVALUE(tblLaborEntries[[#This Row],[Work date]])</f>
        <v>45394.0</v>
      </c>
    </row>
    <row r="765" spans="1:9" ht="15" x14ac:dyDescent="0.25">
      <c r="A765" s="53" t="inlineStr">
        <is>
          <t>LAB-000764</t>
        </is>
      </c>
      <c r="B765" s="53" t="inlineStr">
        <is>
          <t>WP-00344</t>
        </is>
      </c>
      <c r="C765" s="53" t="inlineStr">
        <is>
          <t>TECH-042</t>
        </is>
      </c>
      <c r="D765" s="53" t="inlineStr">
        <is>
          <t>Powerplant</t>
        </is>
      </c>
      <c r="E765" s="53" t="inlineStr">
        <is>
          <t>2024-04-13</t>
        </is>
      </c>
      <c r="F765" s="53">
        <v>5.3</v>
      </c>
      <c r="G765" s="53">
        <v>0</v>
      </c>
      <c r="H765" s="51" t="str">
        <f>TEXT(tblLaborEntries[[#This Row],[Work date serial]]-WEEKDAY(tblLaborEntries[[#This Row],[Work date serial]],3),"yyyy-mm-dd")</f>
        <v>2024-04-08</v>
      </c>
      <c r="I765" s="64">
        <f>DATEVALUE(tblLaborEntries[[#This Row],[Work date]])</f>
        <v>45395.0</v>
      </c>
    </row>
    <row r="766" spans="1:9" ht="15" x14ac:dyDescent="0.25">
      <c r="A766" s="53" t="inlineStr">
        <is>
          <t>LAB-000765</t>
        </is>
      </c>
      <c r="B766" s="53" t="inlineStr">
        <is>
          <t>WP-00345</t>
        </is>
      </c>
      <c r="C766" s="53" t="inlineStr">
        <is>
          <t>TECH-020</t>
        </is>
      </c>
      <c r="D766" s="53" t="inlineStr">
        <is>
          <t>Avionics</t>
        </is>
      </c>
      <c r="E766" s="53" t="inlineStr">
        <is>
          <t>2024-10-19</t>
        </is>
      </c>
      <c r="F766" s="53">
        <v>11.9</v>
      </c>
      <c r="G766" s="53">
        <v>3.9</v>
      </c>
      <c r="H766" s="51" t="str">
        <f>TEXT(tblLaborEntries[[#This Row],[Work date serial]]-WEEKDAY(tblLaborEntries[[#This Row],[Work date serial]],3),"yyyy-mm-dd")</f>
        <v>2024-10-14</v>
      </c>
      <c r="I766" s="64">
        <f>DATEVALUE(tblLaborEntries[[#This Row],[Work date]])</f>
        <v>45584.0</v>
      </c>
    </row>
    <row r="767" spans="1:9" ht="15" x14ac:dyDescent="0.25">
      <c r="A767" s="53" t="inlineStr">
        <is>
          <t>LAB-000766</t>
        </is>
      </c>
      <c r="B767" s="53" t="inlineStr">
        <is>
          <t>WP-00345</t>
        </is>
      </c>
      <c r="C767" s="53" t="inlineStr">
        <is>
          <t>TECH-002</t>
        </is>
      </c>
      <c r="D767" s="53" t="inlineStr">
        <is>
          <t>Avionics</t>
        </is>
      </c>
      <c r="E767" s="53" t="inlineStr">
        <is>
          <t>2024-10-20</t>
        </is>
      </c>
      <c r="F767" s="53">
        <v>5.9</v>
      </c>
      <c r="G767" s="53">
        <v>0</v>
      </c>
      <c r="H767" s="51" t="str">
        <f>TEXT(tblLaborEntries[[#This Row],[Work date serial]]-WEEKDAY(tblLaborEntries[[#This Row],[Work date serial]],3),"yyyy-mm-dd")</f>
        <v>2024-10-14</v>
      </c>
      <c r="I767" s="64">
        <f>DATEVALUE(tblLaborEntries[[#This Row],[Work date]])</f>
        <v>45585.0</v>
      </c>
    </row>
    <row r="768" spans="1:9" ht="15" x14ac:dyDescent="0.25">
      <c r="A768" s="53" t="inlineStr">
        <is>
          <t>LAB-000767</t>
        </is>
      </c>
      <c r="B768" s="53" t="inlineStr">
        <is>
          <t>WP-00345</t>
        </is>
      </c>
      <c r="C768" s="53" t="inlineStr">
        <is>
          <t>TECH-074</t>
        </is>
      </c>
      <c r="D768" s="53" t="inlineStr">
        <is>
          <t>Avionics</t>
        </is>
      </c>
      <c r="E768" s="53" t="inlineStr">
        <is>
          <t>2024-10-20</t>
        </is>
      </c>
      <c r="F768" s="53">
        <v>12</v>
      </c>
      <c r="G768" s="53">
        <v>4</v>
      </c>
      <c r="H768" s="51" t="str">
        <f>TEXT(tblLaborEntries[[#This Row],[Work date serial]]-WEEKDAY(tblLaborEntries[[#This Row],[Work date serial]],3),"yyyy-mm-dd")</f>
        <v>2024-10-14</v>
      </c>
      <c r="I768" s="64">
        <f>DATEVALUE(tblLaborEntries[[#This Row],[Work date]])</f>
        <v>45585.0</v>
      </c>
    </row>
    <row r="769" spans="1:9" ht="15" x14ac:dyDescent="0.25">
      <c r="A769" s="53" t="inlineStr">
        <is>
          <t>LAB-000768</t>
        </is>
      </c>
      <c r="B769" s="53" t="inlineStr">
        <is>
          <t>WP-00346</t>
        </is>
      </c>
      <c r="C769" s="53" t="inlineStr">
        <is>
          <t>TECH-074</t>
        </is>
      </c>
      <c r="D769" s="53" t="inlineStr">
        <is>
          <t>Avionics</t>
        </is>
      </c>
      <c r="E769" s="53" t="inlineStr">
        <is>
          <t>2024-03-27</t>
        </is>
      </c>
      <c r="F769" s="53">
        <v>6.4</v>
      </c>
      <c r="G769" s="53">
        <v>0</v>
      </c>
      <c r="H769" s="51" t="str">
        <f>TEXT(tblLaborEntries[[#This Row],[Work date serial]]-WEEKDAY(tblLaborEntries[[#This Row],[Work date serial]],3),"yyyy-mm-dd")</f>
        <v>2024-03-25</v>
      </c>
      <c r="I769" s="64">
        <f>DATEVALUE(tblLaborEntries[[#This Row],[Work date]])</f>
        <v>45378.0</v>
      </c>
    </row>
    <row r="770" spans="1:9" ht="15" x14ac:dyDescent="0.25">
      <c r="A770" s="53" t="inlineStr">
        <is>
          <t>LAB-000769</t>
        </is>
      </c>
      <c r="B770" s="53" t="inlineStr">
        <is>
          <t>WP-00346</t>
        </is>
      </c>
      <c r="C770" s="53" t="inlineStr">
        <is>
          <t>TECH-050</t>
        </is>
      </c>
      <c r="D770" s="53" t="inlineStr">
        <is>
          <t>Avionics</t>
        </is>
      </c>
      <c r="E770" s="53" t="inlineStr">
        <is>
          <t>2024-03-28</t>
        </is>
      </c>
      <c r="F770" s="53">
        <v>7</v>
      </c>
      <c r="G770" s="53">
        <v>1.1</v>
      </c>
      <c r="H770" s="51" t="str">
        <f>TEXT(tblLaborEntries[[#This Row],[Work date serial]]-WEEKDAY(tblLaborEntries[[#This Row],[Work date serial]],3),"yyyy-mm-dd")</f>
        <v>2024-03-25</v>
      </c>
      <c r="I770" s="64">
        <f>DATEVALUE(tblLaborEntries[[#This Row],[Work date]])</f>
        <v>45379.0</v>
      </c>
    </row>
    <row r="771" spans="1:9" ht="15" x14ac:dyDescent="0.25">
      <c r="A771" s="53" t="inlineStr">
        <is>
          <t>LAB-000770</t>
        </is>
      </c>
      <c r="B771" s="53" t="inlineStr">
        <is>
          <t>WP-00347</t>
        </is>
      </c>
      <c r="C771" s="53" t="inlineStr">
        <is>
          <t>TECH-036</t>
        </is>
      </c>
      <c r="D771" s="53" t="inlineStr">
        <is>
          <t>Powerplant</t>
        </is>
      </c>
      <c r="E771" s="53" t="inlineStr">
        <is>
          <t>2025-05-04</t>
        </is>
      </c>
      <c r="F771" s="53">
        <v>4.4</v>
      </c>
      <c r="G771" s="53">
        <v>0</v>
      </c>
      <c r="H771" s="51" t="str">
        <f>TEXT(tblLaborEntries[[#This Row],[Work date serial]]-WEEKDAY(tblLaborEntries[[#This Row],[Work date serial]],3),"yyyy-mm-dd")</f>
        <v>2025-04-28</v>
      </c>
      <c r="I771" s="64">
        <f>DATEVALUE(tblLaborEntries[[#This Row],[Work date]])</f>
        <v>45781.0</v>
      </c>
    </row>
    <row r="772" spans="1:9" ht="15" x14ac:dyDescent="0.25">
      <c r="A772" s="53" t="inlineStr">
        <is>
          <t>LAB-000771</t>
        </is>
      </c>
      <c r="B772" s="53" t="inlineStr">
        <is>
          <t>WP-00347</t>
        </is>
      </c>
      <c r="C772" s="53" t="inlineStr">
        <is>
          <t>TECH-018</t>
        </is>
      </c>
      <c r="D772" s="53" t="inlineStr">
        <is>
          <t>Powerplant</t>
        </is>
      </c>
      <c r="E772" s="53" t="inlineStr">
        <is>
          <t>2025-05-05</t>
        </is>
      </c>
      <c r="F772" s="53">
        <v>3.9</v>
      </c>
      <c r="G772" s="53">
        <v>0</v>
      </c>
      <c r="H772" s="51" t="str">
        <f>TEXT(tblLaborEntries[[#This Row],[Work date serial]]-WEEKDAY(tblLaborEntries[[#This Row],[Work date serial]],3),"yyyy-mm-dd")</f>
        <v>2025-05-05</v>
      </c>
      <c r="I772" s="64">
        <f>DATEVALUE(tblLaborEntries[[#This Row],[Work date]])</f>
        <v>45782.0</v>
      </c>
    </row>
    <row r="773" spans="1:9" ht="15" x14ac:dyDescent="0.25">
      <c r="A773" s="53" t="inlineStr">
        <is>
          <t>LAB-000772</t>
        </is>
      </c>
      <c r="B773" s="53" t="inlineStr">
        <is>
          <t>WP-00347</t>
        </is>
      </c>
      <c r="C773" s="53" t="inlineStr">
        <is>
          <t>TECH-072</t>
        </is>
      </c>
      <c r="D773" s="53" t="inlineStr">
        <is>
          <t>Powerplant</t>
        </is>
      </c>
      <c r="E773" s="53" t="inlineStr">
        <is>
          <t>2025-05-06</t>
        </is>
      </c>
      <c r="F773" s="53">
        <v>3.1</v>
      </c>
      <c r="G773" s="53">
        <v>0</v>
      </c>
      <c r="H773" s="51" t="str">
        <f>TEXT(tblLaborEntries[[#This Row],[Work date serial]]-WEEKDAY(tblLaborEntries[[#This Row],[Work date serial]],3),"yyyy-mm-dd")</f>
        <v>2025-05-05</v>
      </c>
      <c r="I773" s="64">
        <f>DATEVALUE(tblLaborEntries[[#This Row],[Work date]])</f>
        <v>45783.0</v>
      </c>
    </row>
    <row r="774" spans="1:9" ht="15" x14ac:dyDescent="0.25">
      <c r="A774" s="53" t="inlineStr">
        <is>
          <t>LAB-000773</t>
        </is>
      </c>
      <c r="B774" s="53" t="inlineStr">
        <is>
          <t>WP-00348</t>
        </is>
      </c>
      <c r="C774" s="53" t="inlineStr">
        <is>
          <t>TECH-006</t>
        </is>
      </c>
      <c r="D774" s="53" t="inlineStr">
        <is>
          <t>Powerplant</t>
        </is>
      </c>
      <c r="E774" s="53" t="inlineStr">
        <is>
          <t>2024-03-08</t>
        </is>
      </c>
      <c r="F774" s="53">
        <v>7.7</v>
      </c>
      <c r="G774" s="53">
        <v>0</v>
      </c>
      <c r="H774" s="51" t="str">
        <f>TEXT(tblLaborEntries[[#This Row],[Work date serial]]-WEEKDAY(tblLaborEntries[[#This Row],[Work date serial]],3),"yyyy-mm-dd")</f>
        <v>2024-03-04</v>
      </c>
      <c r="I774" s="64">
        <f>DATEVALUE(tblLaborEntries[[#This Row],[Work date]])</f>
        <v>45359.0</v>
      </c>
    </row>
    <row r="775" spans="1:9" ht="15" x14ac:dyDescent="0.25">
      <c r="A775" s="53" t="inlineStr">
        <is>
          <t>LAB-000774</t>
        </is>
      </c>
      <c r="B775" s="53" t="inlineStr">
        <is>
          <t>WP-00348</t>
        </is>
      </c>
      <c r="C775" s="53" t="inlineStr">
        <is>
          <t>TECH-042</t>
        </is>
      </c>
      <c r="D775" s="53" t="inlineStr">
        <is>
          <t>Powerplant</t>
        </is>
      </c>
      <c r="E775" s="53" t="inlineStr">
        <is>
          <t>2024-03-08</t>
        </is>
      </c>
      <c r="F775" s="53">
        <v>12</v>
      </c>
      <c r="G775" s="53">
        <v>4</v>
      </c>
      <c r="H775" s="51" t="str">
        <f>TEXT(tblLaborEntries[[#This Row],[Work date serial]]-WEEKDAY(tblLaborEntries[[#This Row],[Work date serial]],3),"yyyy-mm-dd")</f>
        <v>2024-03-04</v>
      </c>
      <c r="I775" s="64">
        <f>DATEVALUE(tblLaborEntries[[#This Row],[Work date]])</f>
        <v>45359.0</v>
      </c>
    </row>
    <row r="776" spans="1:9" ht="15" x14ac:dyDescent="0.25">
      <c r="A776" s="53" t="inlineStr">
        <is>
          <t>LAB-000775</t>
        </is>
      </c>
      <c r="B776" s="53" t="inlineStr">
        <is>
          <t>WP-00349</t>
        </is>
      </c>
      <c r="C776" s="53" t="inlineStr">
        <is>
          <t>TECH-025</t>
        </is>
      </c>
      <c r="D776" s="53" t="inlineStr">
        <is>
          <t>Airframe</t>
        </is>
      </c>
      <c r="E776" s="53" t="inlineStr">
        <is>
          <t>2024-12-16</t>
        </is>
      </c>
      <c r="F776" s="53">
        <v>10.9</v>
      </c>
      <c r="G776" s="53">
        <v>2.9</v>
      </c>
      <c r="H776" s="51" t="str">
        <f>TEXT(tblLaborEntries[[#This Row],[Work date serial]]-WEEKDAY(tblLaborEntries[[#This Row],[Work date serial]],3),"yyyy-mm-dd")</f>
        <v>2024-12-16</v>
      </c>
      <c r="I776" s="64">
        <f>DATEVALUE(tblLaborEntries[[#This Row],[Work date]])</f>
        <v>45642.0</v>
      </c>
    </row>
    <row r="777" spans="1:9" ht="15" x14ac:dyDescent="0.25">
      <c r="A777" s="53" t="inlineStr">
        <is>
          <t>LAB-000776</t>
        </is>
      </c>
      <c r="B777" s="53" t="inlineStr">
        <is>
          <t>WP-00350</t>
        </is>
      </c>
      <c r="C777" s="53" t="inlineStr">
        <is>
          <t>TECH-059</t>
        </is>
      </c>
      <c r="D777" s="53" t="inlineStr">
        <is>
          <t>Structures</t>
        </is>
      </c>
      <c r="E777" s="53" t="inlineStr">
        <is>
          <t>2025-05-01</t>
        </is>
      </c>
      <c r="F777" s="53">
        <v>10.4</v>
      </c>
      <c r="G777" s="53">
        <v>2.4</v>
      </c>
      <c r="H777" s="51" t="str">
        <f>TEXT(tblLaborEntries[[#This Row],[Work date serial]]-WEEKDAY(tblLaborEntries[[#This Row],[Work date serial]],3),"yyyy-mm-dd")</f>
        <v>2025-04-28</v>
      </c>
      <c r="I777" s="64">
        <f>DATEVALUE(tblLaborEntries[[#This Row],[Work date]])</f>
        <v>45778.0</v>
      </c>
    </row>
    <row r="778" spans="1:9" ht="15" x14ac:dyDescent="0.25">
      <c r="A778" s="53" t="inlineStr">
        <is>
          <t>LAB-000777</t>
        </is>
      </c>
      <c r="B778" s="53" t="inlineStr">
        <is>
          <t>WP-00350</t>
        </is>
      </c>
      <c r="C778" s="53" t="inlineStr">
        <is>
          <t>TECH-005</t>
        </is>
      </c>
      <c r="D778" s="53" t="inlineStr">
        <is>
          <t>Structures</t>
        </is>
      </c>
      <c r="E778" s="53" t="inlineStr">
        <is>
          <t>2025-05-02</t>
        </is>
      </c>
      <c r="F778" s="53">
        <v>2.1</v>
      </c>
      <c r="G778" s="53">
        <v>0</v>
      </c>
      <c r="H778" s="51" t="str">
        <f>TEXT(tblLaborEntries[[#This Row],[Work date serial]]-WEEKDAY(tblLaborEntries[[#This Row],[Work date serial]],3),"yyyy-mm-dd")</f>
        <v>2025-04-28</v>
      </c>
      <c r="I778" s="64">
        <f>DATEVALUE(tblLaborEntries[[#This Row],[Work date]])</f>
        <v>45779.0</v>
      </c>
    </row>
    <row r="779" spans="1:9" ht="15" x14ac:dyDescent="0.25">
      <c r="A779" s="53" t="inlineStr">
        <is>
          <t>LAB-000778</t>
        </is>
      </c>
      <c r="B779" s="53" t="inlineStr">
        <is>
          <t>WP-00350</t>
        </is>
      </c>
      <c r="C779" s="53" t="inlineStr">
        <is>
          <t>TECH-029</t>
        </is>
      </c>
      <c r="D779" s="53" t="inlineStr">
        <is>
          <t>Structures</t>
        </is>
      </c>
      <c r="E779" s="53" t="inlineStr">
        <is>
          <t>2025-05-02</t>
        </is>
      </c>
      <c r="F779" s="53">
        <v>12</v>
      </c>
      <c r="G779" s="53">
        <v>4</v>
      </c>
      <c r="H779" s="51" t="str">
        <f>TEXT(tblLaborEntries[[#This Row],[Work date serial]]-WEEKDAY(tblLaborEntries[[#This Row],[Work date serial]],3),"yyyy-mm-dd")</f>
        <v>2025-04-28</v>
      </c>
      <c r="I779" s="64">
        <f>DATEVALUE(tblLaborEntries[[#This Row],[Work date]])</f>
        <v>45779.0</v>
      </c>
    </row>
    <row r="780" spans="1:9" ht="15" x14ac:dyDescent="0.25">
      <c r="A780" s="53" t="inlineStr">
        <is>
          <t>LAB-000779</t>
        </is>
      </c>
      <c r="B780" s="53" t="inlineStr">
        <is>
          <t>WP-00351</t>
        </is>
      </c>
      <c r="C780" s="53" t="inlineStr">
        <is>
          <t>TECH-007</t>
        </is>
      </c>
      <c r="D780" s="53" t="inlineStr">
        <is>
          <t>Airframe</t>
        </is>
      </c>
      <c r="E780" s="53" t="inlineStr">
        <is>
          <t>2025-05-23</t>
        </is>
      </c>
      <c r="F780" s="53">
        <v>2.9</v>
      </c>
      <c r="G780" s="53">
        <v>0</v>
      </c>
      <c r="H780" s="51" t="str">
        <f>TEXT(tblLaborEntries[[#This Row],[Work date serial]]-WEEKDAY(tblLaborEntries[[#This Row],[Work date serial]],3),"yyyy-mm-dd")</f>
        <v>2025-05-19</v>
      </c>
      <c r="I780" s="64">
        <f>DATEVALUE(tblLaborEntries[[#This Row],[Work date]])</f>
        <v>45800.0</v>
      </c>
    </row>
    <row r="781" spans="1:9" ht="15" x14ac:dyDescent="0.25">
      <c r="A781" s="53" t="inlineStr">
        <is>
          <t>LAB-000780</t>
        </is>
      </c>
      <c r="B781" s="53" t="inlineStr">
        <is>
          <t>WP-00351</t>
        </is>
      </c>
      <c r="C781" s="53" t="inlineStr">
        <is>
          <t>TECH-073</t>
        </is>
      </c>
      <c r="D781" s="53" t="inlineStr">
        <is>
          <t>Airframe</t>
        </is>
      </c>
      <c r="E781" s="53" t="inlineStr">
        <is>
          <t>2025-05-24</t>
        </is>
      </c>
      <c r="F781" s="53">
        <v>3.6</v>
      </c>
      <c r="G781" s="53">
        <v>0</v>
      </c>
      <c r="H781" s="51" t="str">
        <f>TEXT(tblLaborEntries[[#This Row],[Work date serial]]-WEEKDAY(tblLaborEntries[[#This Row],[Work date serial]],3),"yyyy-mm-dd")</f>
        <v>2025-05-19</v>
      </c>
      <c r="I781" s="64">
        <f>DATEVALUE(tblLaborEntries[[#This Row],[Work date]])</f>
        <v>45801.0</v>
      </c>
    </row>
    <row r="782" spans="1:9" ht="15" x14ac:dyDescent="0.25">
      <c r="A782" s="53" t="inlineStr">
        <is>
          <t>LAB-000781</t>
        </is>
      </c>
      <c r="B782" s="53" t="inlineStr">
        <is>
          <t>WP-00351</t>
        </is>
      </c>
      <c r="C782" s="53" t="inlineStr">
        <is>
          <t>TECH-049</t>
        </is>
      </c>
      <c r="D782" s="53" t="inlineStr">
        <is>
          <t>Airframe</t>
        </is>
      </c>
      <c r="E782" s="53" t="inlineStr">
        <is>
          <t>2025-05-25</t>
        </is>
      </c>
      <c r="F782" s="53">
        <v>3.3</v>
      </c>
      <c r="G782" s="53">
        <v>0</v>
      </c>
      <c r="H782" s="51" t="str">
        <f>TEXT(tblLaborEntries[[#This Row],[Work date serial]]-WEEKDAY(tblLaborEntries[[#This Row],[Work date serial]],3),"yyyy-mm-dd")</f>
        <v>2025-05-19</v>
      </c>
      <c r="I782" s="64">
        <f>DATEVALUE(tblLaborEntries[[#This Row],[Work date]])</f>
        <v>45802.0</v>
      </c>
    </row>
    <row r="783" spans="1:9" ht="15" x14ac:dyDescent="0.25">
      <c r="A783" s="53" t="inlineStr">
        <is>
          <t>LAB-000782</t>
        </is>
      </c>
      <c r="B783" s="53" t="inlineStr">
        <is>
          <t>WP-00352</t>
        </is>
      </c>
      <c r="C783" s="53" t="inlineStr">
        <is>
          <t>TECH-003</t>
        </is>
      </c>
      <c r="D783" s="53" t="inlineStr">
        <is>
          <t>Hydraulics</t>
        </is>
      </c>
      <c r="E783" s="53" t="inlineStr">
        <is>
          <t>2025-08-22</t>
        </is>
      </c>
      <c r="F783" s="53">
        <v>9.8</v>
      </c>
      <c r="G783" s="53">
        <v>1.8</v>
      </c>
      <c r="H783" s="51" t="str">
        <f>TEXT(tblLaborEntries[[#This Row],[Work date serial]]-WEEKDAY(tblLaborEntries[[#This Row],[Work date serial]],3),"yyyy-mm-dd")</f>
        <v>2025-08-18</v>
      </c>
      <c r="I783" s="64">
        <f>DATEVALUE(tblLaborEntries[[#This Row],[Work date]])</f>
        <v>45891.0</v>
      </c>
    </row>
    <row r="784" spans="1:9" ht="15" x14ac:dyDescent="0.25">
      <c r="A784" s="53" t="inlineStr">
        <is>
          <t>LAB-000783</t>
        </is>
      </c>
      <c r="B784" s="53" t="inlineStr">
        <is>
          <t>WP-00352</t>
        </is>
      </c>
      <c r="C784" s="53" t="inlineStr">
        <is>
          <t>TECH-021</t>
        </is>
      </c>
      <c r="D784" s="53" t="inlineStr">
        <is>
          <t>Hydraulics</t>
        </is>
      </c>
      <c r="E784" s="53" t="inlineStr">
        <is>
          <t>2025-08-22</t>
        </is>
      </c>
      <c r="F784" s="53">
        <v>12</v>
      </c>
      <c r="G784" s="53">
        <v>4</v>
      </c>
      <c r="H784" s="51" t="str">
        <f>TEXT(tblLaborEntries[[#This Row],[Work date serial]]-WEEKDAY(tblLaborEntries[[#This Row],[Work date serial]],3),"yyyy-mm-dd")</f>
        <v>2025-08-18</v>
      </c>
      <c r="I784" s="64">
        <f>DATEVALUE(tblLaborEntries[[#This Row],[Work date]])</f>
        <v>45891.0</v>
      </c>
    </row>
    <row r="785" spans="1:9" ht="15" x14ac:dyDescent="0.25">
      <c r="A785" s="53" t="inlineStr">
        <is>
          <t>LAB-000784</t>
        </is>
      </c>
      <c r="B785" s="53" t="inlineStr">
        <is>
          <t>WP-00353</t>
        </is>
      </c>
      <c r="C785" s="53" t="inlineStr">
        <is>
          <t>TECH-048</t>
        </is>
      </c>
      <c r="D785" s="53" t="inlineStr">
        <is>
          <t>Powerplant</t>
        </is>
      </c>
      <c r="E785" s="53" t="inlineStr">
        <is>
          <t>2024-03-19</t>
        </is>
      </c>
      <c r="F785" s="53">
        <v>3.1</v>
      </c>
      <c r="G785" s="53">
        <v>0</v>
      </c>
      <c r="H785" s="51" t="str">
        <f>TEXT(tblLaborEntries[[#This Row],[Work date serial]]-WEEKDAY(tblLaborEntries[[#This Row],[Work date serial]],3),"yyyy-mm-dd")</f>
        <v>2024-03-18</v>
      </c>
      <c r="I785" s="64">
        <f>DATEVALUE(tblLaborEntries[[#This Row],[Work date]])</f>
        <v>45370.0</v>
      </c>
    </row>
    <row r="786" spans="1:9" ht="15" x14ac:dyDescent="0.25">
      <c r="A786" s="53" t="inlineStr">
        <is>
          <t>LAB-000785</t>
        </is>
      </c>
      <c r="B786" s="53" t="inlineStr">
        <is>
          <t>WP-00353</t>
        </is>
      </c>
      <c r="C786" s="53" t="inlineStr">
        <is>
          <t>TECH-054</t>
        </is>
      </c>
      <c r="D786" s="53" t="inlineStr">
        <is>
          <t>Powerplant</t>
        </is>
      </c>
      <c r="E786" s="53" t="inlineStr">
        <is>
          <t>2024-03-20</t>
        </is>
      </c>
      <c r="F786" s="53">
        <v>2.2</v>
      </c>
      <c r="G786" s="53">
        <v>0</v>
      </c>
      <c r="H786" s="51" t="str">
        <f>TEXT(tblLaborEntries[[#This Row],[Work date serial]]-WEEKDAY(tblLaborEntries[[#This Row],[Work date serial]],3),"yyyy-mm-dd")</f>
        <v>2024-03-18</v>
      </c>
      <c r="I786" s="64">
        <f>DATEVALUE(tblLaborEntries[[#This Row],[Work date]])</f>
        <v>45371.0</v>
      </c>
    </row>
    <row r="787" spans="1:9" ht="15" x14ac:dyDescent="0.25">
      <c r="A787" s="53" t="inlineStr">
        <is>
          <t>LAB-000786</t>
        </is>
      </c>
      <c r="B787" s="53" t="inlineStr">
        <is>
          <t>WP-00353</t>
        </is>
      </c>
      <c r="C787" s="53" t="inlineStr">
        <is>
          <t>TECH-066</t>
        </is>
      </c>
      <c r="D787" s="53" t="inlineStr">
        <is>
          <t>Powerplant</t>
        </is>
      </c>
      <c r="E787" s="53" t="inlineStr">
        <is>
          <t>2024-03-21</t>
        </is>
      </c>
      <c r="F787" s="53">
        <v>2.5</v>
      </c>
      <c r="G787" s="53">
        <v>0</v>
      </c>
      <c r="H787" s="51" t="str">
        <f>TEXT(tblLaborEntries[[#This Row],[Work date serial]]-WEEKDAY(tblLaborEntries[[#This Row],[Work date serial]],3),"yyyy-mm-dd")</f>
        <v>2024-03-18</v>
      </c>
      <c r="I787" s="64">
        <f>DATEVALUE(tblLaborEntries[[#This Row],[Work date]])</f>
        <v>45372.0</v>
      </c>
    </row>
    <row r="788" spans="1:9" ht="15" x14ac:dyDescent="0.25">
      <c r="A788" s="53" t="inlineStr">
        <is>
          <t>LAB-000787</t>
        </is>
      </c>
      <c r="B788" s="53" t="inlineStr">
        <is>
          <t>WP-00354</t>
        </is>
      </c>
      <c r="C788" s="53" t="inlineStr">
        <is>
          <t>TECH-006</t>
        </is>
      </c>
      <c r="D788" s="53" t="inlineStr">
        <is>
          <t>Powerplant</t>
        </is>
      </c>
      <c r="E788" s="53" t="inlineStr">
        <is>
          <t>2025-04-20</t>
        </is>
      </c>
      <c r="F788" s="53">
        <v>1.5</v>
      </c>
      <c r="G788" s="53">
        <v>0</v>
      </c>
      <c r="H788" s="51" t="str">
        <f>TEXT(tblLaborEntries[[#This Row],[Work date serial]]-WEEKDAY(tblLaborEntries[[#This Row],[Work date serial]],3),"yyyy-mm-dd")</f>
        <v>2025-04-14</v>
      </c>
      <c r="I788" s="64">
        <f>DATEVALUE(tblLaborEntries[[#This Row],[Work date]])</f>
        <v>45767.0</v>
      </c>
    </row>
    <row r="789" spans="1:9" ht="15" x14ac:dyDescent="0.25">
      <c r="A789" s="53" t="inlineStr">
        <is>
          <t>LAB-000788</t>
        </is>
      </c>
      <c r="B789" s="53" t="inlineStr">
        <is>
          <t>WP-00354</t>
        </is>
      </c>
      <c r="C789" s="53" t="inlineStr">
        <is>
          <t>TECH-042</t>
        </is>
      </c>
      <c r="D789" s="53" t="inlineStr">
        <is>
          <t>Powerplant</t>
        </is>
      </c>
      <c r="E789" s="53" t="inlineStr">
        <is>
          <t>2025-04-20</t>
        </is>
      </c>
      <c r="F789" s="53">
        <v>6</v>
      </c>
      <c r="G789" s="53">
        <v>0</v>
      </c>
      <c r="H789" s="51" t="str">
        <f>TEXT(tblLaborEntries[[#This Row],[Work date serial]]-WEEKDAY(tblLaborEntries[[#This Row],[Work date serial]],3),"yyyy-mm-dd")</f>
        <v>2025-04-14</v>
      </c>
      <c r="I789" s="64">
        <f>DATEVALUE(tblLaborEntries[[#This Row],[Work date]])</f>
        <v>45767.0</v>
      </c>
    </row>
    <row r="790" spans="1:9" ht="15" x14ac:dyDescent="0.25">
      <c r="A790" s="53" t="inlineStr">
        <is>
          <t>LAB-000789</t>
        </is>
      </c>
      <c r="B790" s="53" t="inlineStr">
        <is>
          <t>WP-00354</t>
        </is>
      </c>
      <c r="C790" s="53" t="inlineStr">
        <is>
          <t>TECH-036</t>
        </is>
      </c>
      <c r="D790" s="53" t="inlineStr">
        <is>
          <t>Powerplant</t>
        </is>
      </c>
      <c r="E790" s="53" t="inlineStr">
        <is>
          <t>2025-04-21</t>
        </is>
      </c>
      <c r="F790" s="53">
        <v>11.6</v>
      </c>
      <c r="G790" s="53">
        <v>3.6</v>
      </c>
      <c r="H790" s="51" t="str">
        <f>TEXT(tblLaborEntries[[#This Row],[Work date serial]]-WEEKDAY(tblLaborEntries[[#This Row],[Work date serial]],3),"yyyy-mm-dd")</f>
        <v>2025-04-21</v>
      </c>
      <c r="I790" s="64">
        <f>DATEVALUE(tblLaborEntries[[#This Row],[Work date]])</f>
        <v>45768.0</v>
      </c>
    </row>
    <row r="791" spans="1:9" ht="15" x14ac:dyDescent="0.25">
      <c r="A791" s="53" t="inlineStr">
        <is>
          <t>LAB-000790</t>
        </is>
      </c>
      <c r="B791" s="53" t="inlineStr">
        <is>
          <t>WP-00355</t>
        </is>
      </c>
      <c r="C791" s="53" t="inlineStr">
        <is>
          <t>TECH-061</t>
        </is>
      </c>
      <c r="D791" s="53" t="inlineStr">
        <is>
          <t>Airframe</t>
        </is>
      </c>
      <c r="E791" s="53" t="inlineStr">
        <is>
          <t>2024-07-19</t>
        </is>
      </c>
      <c r="F791" s="53">
        <v>5.1</v>
      </c>
      <c r="G791" s="53">
        <v>0</v>
      </c>
      <c r="H791" s="51" t="str">
        <f>TEXT(tblLaborEntries[[#This Row],[Work date serial]]-WEEKDAY(tblLaborEntries[[#This Row],[Work date serial]],3),"yyyy-mm-dd")</f>
        <v>2024-07-15</v>
      </c>
      <c r="I791" s="64">
        <f>DATEVALUE(tblLaborEntries[[#This Row],[Work date]])</f>
        <v>45492.0</v>
      </c>
    </row>
    <row r="792" spans="1:9" ht="15" x14ac:dyDescent="0.25">
      <c r="A792" s="53" t="inlineStr">
        <is>
          <t>LAB-000791</t>
        </is>
      </c>
      <c r="B792" s="53" t="inlineStr">
        <is>
          <t>WP-00355</t>
        </is>
      </c>
      <c r="C792" s="53" t="inlineStr">
        <is>
          <t>TECH-061</t>
        </is>
      </c>
      <c r="D792" s="53" t="inlineStr">
        <is>
          <t>Airframe</t>
        </is>
      </c>
      <c r="E792" s="53" t="inlineStr">
        <is>
          <t>2024-07-20</t>
        </is>
      </c>
      <c r="F792" s="53">
        <v>4.2</v>
      </c>
      <c r="G792" s="53">
        <v>0</v>
      </c>
      <c r="H792" s="51" t="str">
        <f>TEXT(tblLaborEntries[[#This Row],[Work date serial]]-WEEKDAY(tblLaborEntries[[#This Row],[Work date serial]],3),"yyyy-mm-dd")</f>
        <v>2024-07-15</v>
      </c>
      <c r="I792" s="64">
        <f>DATEVALUE(tblLaborEntries[[#This Row],[Work date]])</f>
        <v>45493.0</v>
      </c>
    </row>
    <row r="793" spans="1:9" ht="15" x14ac:dyDescent="0.25">
      <c r="A793" s="53" t="inlineStr">
        <is>
          <t>LAB-000792</t>
        </is>
      </c>
      <c r="B793" s="53" t="inlineStr">
        <is>
          <t>WP-00355</t>
        </is>
      </c>
      <c r="C793" s="53" t="inlineStr">
        <is>
          <t>TECH-019</t>
        </is>
      </c>
      <c r="D793" s="53" t="inlineStr">
        <is>
          <t>Airframe</t>
        </is>
      </c>
      <c r="E793" s="53" t="inlineStr">
        <is>
          <t>2024-07-21</t>
        </is>
      </c>
      <c r="F793" s="53">
        <v>4.2</v>
      </c>
      <c r="G793" s="53">
        <v>0</v>
      </c>
      <c r="H793" s="51" t="str">
        <f>TEXT(tblLaborEntries[[#This Row],[Work date serial]]-WEEKDAY(tblLaborEntries[[#This Row],[Work date serial]],3),"yyyy-mm-dd")</f>
        <v>2024-07-15</v>
      </c>
      <c r="I793" s="64">
        <f>DATEVALUE(tblLaborEntries[[#This Row],[Work date]])</f>
        <v>45494.0</v>
      </c>
    </row>
    <row r="794" spans="1:9" ht="15" x14ac:dyDescent="0.25">
      <c r="A794" s="53" t="inlineStr">
        <is>
          <t>LAB-000793</t>
        </is>
      </c>
      <c r="B794" s="53" t="inlineStr">
        <is>
          <t>WP-00356</t>
        </is>
      </c>
      <c r="C794" s="53" t="inlineStr">
        <is>
          <t>TECH-062</t>
        </is>
      </c>
      <c r="D794" s="53" t="inlineStr">
        <is>
          <t>Avionics</t>
        </is>
      </c>
      <c r="E794" s="53" t="inlineStr">
        <is>
          <t>2025-02-08</t>
        </is>
      </c>
      <c r="F794" s="53">
        <v>4.8</v>
      </c>
      <c r="G794" s="53">
        <v>0</v>
      </c>
      <c r="H794" s="51" t="str">
        <f>TEXT(tblLaborEntries[[#This Row],[Work date serial]]-WEEKDAY(tblLaborEntries[[#This Row],[Work date serial]],3),"yyyy-mm-dd")</f>
        <v>2025-02-03</v>
      </c>
      <c r="I794" s="64">
        <f>DATEVALUE(tblLaborEntries[[#This Row],[Work date]])</f>
        <v>45696.0</v>
      </c>
    </row>
    <row r="795" spans="1:9" ht="15" x14ac:dyDescent="0.25">
      <c r="A795" s="53" t="inlineStr">
        <is>
          <t>LAB-000794</t>
        </is>
      </c>
      <c r="B795" s="53" t="inlineStr">
        <is>
          <t>WP-00356</t>
        </is>
      </c>
      <c r="C795" s="53" t="inlineStr">
        <is>
          <t>TECH-062</t>
        </is>
      </c>
      <c r="D795" s="53" t="inlineStr">
        <is>
          <t>Avionics</t>
        </is>
      </c>
      <c r="E795" s="53" t="inlineStr">
        <is>
          <t>2025-02-09</t>
        </is>
      </c>
      <c r="F795" s="53">
        <v>6.2</v>
      </c>
      <c r="G795" s="53">
        <v>0</v>
      </c>
      <c r="H795" s="51" t="str">
        <f>TEXT(tblLaborEntries[[#This Row],[Work date serial]]-WEEKDAY(tblLaborEntries[[#This Row],[Work date serial]],3),"yyyy-mm-dd")</f>
        <v>2025-02-03</v>
      </c>
      <c r="I795" s="64">
        <f>DATEVALUE(tblLaborEntries[[#This Row],[Work date]])</f>
        <v>45697.0</v>
      </c>
    </row>
    <row r="796" spans="1:9" ht="15" x14ac:dyDescent="0.25">
      <c r="A796" s="53" t="inlineStr">
        <is>
          <t>LAB-000795</t>
        </is>
      </c>
      <c r="B796" s="53" t="inlineStr">
        <is>
          <t>WP-00357</t>
        </is>
      </c>
      <c r="C796" s="53" t="inlineStr">
        <is>
          <t>TECH-068</t>
        </is>
      </c>
      <c r="D796" s="53" t="inlineStr">
        <is>
          <t>Avionics</t>
        </is>
      </c>
      <c r="E796" s="53" t="inlineStr">
        <is>
          <t>2025-05-18</t>
        </is>
      </c>
      <c r="F796" s="53">
        <v>8.9</v>
      </c>
      <c r="G796" s="53">
        <v>0.9</v>
      </c>
      <c r="H796" s="51" t="str">
        <f>TEXT(tblLaborEntries[[#This Row],[Work date serial]]-WEEKDAY(tblLaborEntries[[#This Row],[Work date serial]],3),"yyyy-mm-dd")</f>
        <v>2025-05-12</v>
      </c>
      <c r="I796" s="64">
        <f>DATEVALUE(tblLaborEntries[[#This Row],[Work date]])</f>
        <v>45795.0</v>
      </c>
    </row>
    <row r="797" spans="1:9" ht="15" x14ac:dyDescent="0.25">
      <c r="A797" s="53" t="inlineStr">
        <is>
          <t>LAB-000796</t>
        </is>
      </c>
      <c r="B797" s="53" t="inlineStr">
        <is>
          <t>WP-00358</t>
        </is>
      </c>
      <c r="C797" s="53" t="inlineStr">
        <is>
          <t>TECH-055</t>
        </is>
      </c>
      <c r="D797" s="53" t="inlineStr">
        <is>
          <t>Airframe</t>
        </is>
      </c>
      <c r="E797" s="53" t="inlineStr">
        <is>
          <t>2024-07-22</t>
        </is>
      </c>
      <c r="F797" s="53">
        <v>4.6</v>
      </c>
      <c r="G797" s="53">
        <v>0</v>
      </c>
      <c r="H797" s="51" t="str">
        <f>TEXT(tblLaborEntries[[#This Row],[Work date serial]]-WEEKDAY(tblLaborEntries[[#This Row],[Work date serial]],3),"yyyy-mm-dd")</f>
        <v>2024-07-22</v>
      </c>
      <c r="I797" s="64">
        <f>DATEVALUE(tblLaborEntries[[#This Row],[Work date]])</f>
        <v>45495.0</v>
      </c>
    </row>
    <row r="798" spans="1:9" ht="15" x14ac:dyDescent="0.25">
      <c r="A798" s="53" t="inlineStr">
        <is>
          <t>LAB-000797</t>
        </is>
      </c>
      <c r="B798" s="53" t="inlineStr">
        <is>
          <t>WP-00359</t>
        </is>
      </c>
      <c r="C798" s="53" t="inlineStr">
        <is>
          <t>TECH-008</t>
        </is>
      </c>
      <c r="D798" s="53" t="inlineStr">
        <is>
          <t>Avionics</t>
        </is>
      </c>
      <c r="E798" s="53" t="inlineStr">
        <is>
          <t>2025-03-09</t>
        </is>
      </c>
      <c r="F798" s="53">
        <v>2.4</v>
      </c>
      <c r="G798" s="53">
        <v>0</v>
      </c>
      <c r="H798" s="51" t="str">
        <f>TEXT(tblLaborEntries[[#This Row],[Work date serial]]-WEEKDAY(tblLaborEntries[[#This Row],[Work date serial]],3),"yyyy-mm-dd")</f>
        <v>2025-03-03</v>
      </c>
      <c r="I798" s="64">
        <f>DATEVALUE(tblLaborEntries[[#This Row],[Work date]])</f>
        <v>45725.0</v>
      </c>
    </row>
    <row r="799" spans="1:9" ht="15" x14ac:dyDescent="0.25">
      <c r="A799" s="53" t="inlineStr">
        <is>
          <t>LAB-000798</t>
        </is>
      </c>
      <c r="B799" s="53" t="inlineStr">
        <is>
          <t>WP-00359</t>
        </is>
      </c>
      <c r="C799" s="53" t="inlineStr">
        <is>
          <t>TECH-014</t>
        </is>
      </c>
      <c r="D799" s="53" t="inlineStr">
        <is>
          <t>Avionics</t>
        </is>
      </c>
      <c r="E799" s="53" t="inlineStr">
        <is>
          <t>2025-03-10</t>
        </is>
      </c>
      <c r="F799" s="53">
        <v>2.3</v>
      </c>
      <c r="G799" s="53">
        <v>0</v>
      </c>
      <c r="H799" s="51" t="str">
        <f>TEXT(tblLaborEntries[[#This Row],[Work date serial]]-WEEKDAY(tblLaborEntries[[#This Row],[Work date serial]],3),"yyyy-mm-dd")</f>
        <v>2025-03-10</v>
      </c>
      <c r="I799" s="64">
        <f>DATEVALUE(tblLaborEntries[[#This Row],[Work date]])</f>
        <v>45726.0</v>
      </c>
    </row>
    <row r="800" spans="1:9" ht="15" x14ac:dyDescent="0.25">
      <c r="A800" s="53" t="inlineStr">
        <is>
          <t>LAB-000799</t>
        </is>
      </c>
      <c r="B800" s="53" t="inlineStr">
        <is>
          <t>WP-00359</t>
        </is>
      </c>
      <c r="C800" s="53" t="inlineStr">
        <is>
          <t>TECH-056</t>
        </is>
      </c>
      <c r="D800" s="53" t="inlineStr">
        <is>
          <t>Avionics</t>
        </is>
      </c>
      <c r="E800" s="53" t="inlineStr">
        <is>
          <t>2025-03-11</t>
        </is>
      </c>
      <c r="F800" s="53">
        <v>2.4</v>
      </c>
      <c r="G800" s="53">
        <v>0</v>
      </c>
      <c r="H800" s="51" t="str">
        <f>TEXT(tblLaborEntries[[#This Row],[Work date serial]]-WEEKDAY(tblLaborEntries[[#This Row],[Work date serial]],3),"yyyy-mm-dd")</f>
        <v>2025-03-10</v>
      </c>
      <c r="I800" s="64">
        <f>DATEVALUE(tblLaborEntries[[#This Row],[Work date]])</f>
        <v>45727.0</v>
      </c>
    </row>
    <row r="801" spans="1:9" ht="15" x14ac:dyDescent="0.25">
      <c r="A801" s="53" t="inlineStr">
        <is>
          <t>LAB-000800</t>
        </is>
      </c>
      <c r="B801" s="53" t="inlineStr">
        <is>
          <t>WP-00360</t>
        </is>
      </c>
      <c r="C801" s="53" t="inlineStr">
        <is>
          <t>TECH-068</t>
        </is>
      </c>
      <c r="D801" s="53" t="inlineStr">
        <is>
          <t>Avionics</t>
        </is>
      </c>
      <c r="E801" s="53" t="inlineStr">
        <is>
          <t>2024-06-18</t>
        </is>
      </c>
      <c r="F801" s="53">
        <v>1.3</v>
      </c>
      <c r="G801" s="53">
        <v>0</v>
      </c>
      <c r="H801" s="51" t="str">
        <f>TEXT(tblLaborEntries[[#This Row],[Work date serial]]-WEEKDAY(tblLaborEntries[[#This Row],[Work date serial]],3),"yyyy-mm-dd")</f>
        <v>2024-06-17</v>
      </c>
      <c r="I801" s="64">
        <f>DATEVALUE(tblLaborEntries[[#This Row],[Work date]])</f>
        <v>45461.0</v>
      </c>
    </row>
    <row r="802" spans="1:9" ht="15" x14ac:dyDescent="0.25">
      <c r="A802" s="53" t="inlineStr">
        <is>
          <t>LAB-000801</t>
        </is>
      </c>
      <c r="B802" s="53" t="inlineStr">
        <is>
          <t>WP-00360</t>
        </is>
      </c>
      <c r="C802" s="53" t="inlineStr">
        <is>
          <t>TECH-050</t>
        </is>
      </c>
      <c r="D802" s="53" t="inlineStr">
        <is>
          <t>Avionics</t>
        </is>
      </c>
      <c r="E802" s="53" t="inlineStr">
        <is>
          <t>2024-06-19</t>
        </is>
      </c>
      <c r="F802" s="53">
        <v>1.5</v>
      </c>
      <c r="G802" s="53">
        <v>0</v>
      </c>
      <c r="H802" s="51" t="str">
        <f>TEXT(tblLaborEntries[[#This Row],[Work date serial]]-WEEKDAY(tblLaborEntries[[#This Row],[Work date serial]],3),"yyyy-mm-dd")</f>
        <v>2024-06-17</v>
      </c>
      <c r="I802" s="64">
        <f>DATEVALUE(tblLaborEntries[[#This Row],[Work date]])</f>
        <v>45462.0</v>
      </c>
    </row>
    <row r="803" spans="1:9" ht="15" x14ac:dyDescent="0.25">
      <c r="A803" s="53" t="inlineStr">
        <is>
          <t>LAB-000802</t>
        </is>
      </c>
      <c r="B803" s="53" t="inlineStr">
        <is>
          <t>WP-00361</t>
        </is>
      </c>
      <c r="C803" s="53" t="inlineStr">
        <is>
          <t>TECH-002</t>
        </is>
      </c>
      <c r="D803" s="53" t="inlineStr">
        <is>
          <t>Avionics</t>
        </is>
      </c>
      <c r="E803" s="53" t="inlineStr">
        <is>
          <t>2025-09-13</t>
        </is>
      </c>
      <c r="F803" s="53">
        <v>1.6</v>
      </c>
      <c r="G803" s="53">
        <v>0</v>
      </c>
      <c r="H803" s="51" t="str">
        <f>TEXT(tblLaborEntries[[#This Row],[Work date serial]]-WEEKDAY(tblLaborEntries[[#This Row],[Work date serial]],3),"yyyy-mm-dd")</f>
        <v>2025-09-08</v>
      </c>
      <c r="I803" s="64">
        <f>DATEVALUE(tblLaborEntries[[#This Row],[Work date]])</f>
        <v>45913.0</v>
      </c>
    </row>
    <row r="804" spans="1:9" ht="15" x14ac:dyDescent="0.25">
      <c r="A804" s="53" t="inlineStr">
        <is>
          <t>LAB-000803</t>
        </is>
      </c>
      <c r="B804" s="53" t="inlineStr">
        <is>
          <t>WP-00361</t>
        </is>
      </c>
      <c r="C804" s="53" t="inlineStr">
        <is>
          <t>TECH-014</t>
        </is>
      </c>
      <c r="D804" s="53" t="inlineStr">
        <is>
          <t>Avionics</t>
        </is>
      </c>
      <c r="E804" s="53" t="inlineStr">
        <is>
          <t>2025-09-14</t>
        </is>
      </c>
      <c r="F804" s="53">
        <v>1.6</v>
      </c>
      <c r="G804" s="53">
        <v>0</v>
      </c>
      <c r="H804" s="51" t="str">
        <f>TEXT(tblLaborEntries[[#This Row],[Work date serial]]-WEEKDAY(tblLaborEntries[[#This Row],[Work date serial]],3),"yyyy-mm-dd")</f>
        <v>2025-09-08</v>
      </c>
      <c r="I804" s="64">
        <f>DATEVALUE(tblLaborEntries[[#This Row],[Work date]])</f>
        <v>45914.0</v>
      </c>
    </row>
    <row r="805" spans="1:9" ht="15" x14ac:dyDescent="0.25">
      <c r="A805" s="53" t="inlineStr">
        <is>
          <t>LAB-000804</t>
        </is>
      </c>
      <c r="B805" s="53" t="inlineStr">
        <is>
          <t>WP-00361</t>
        </is>
      </c>
      <c r="C805" s="53" t="inlineStr">
        <is>
          <t>TECH-032</t>
        </is>
      </c>
      <c r="D805" s="53" t="inlineStr">
        <is>
          <t>Avionics</t>
        </is>
      </c>
      <c r="E805" s="53" t="inlineStr">
        <is>
          <t>2025-09-15</t>
        </is>
      </c>
      <c r="F805" s="53">
        <v>1.6</v>
      </c>
      <c r="G805" s="53">
        <v>0</v>
      </c>
      <c r="H805" s="51" t="str">
        <f>TEXT(tblLaborEntries[[#This Row],[Work date serial]]-WEEKDAY(tblLaborEntries[[#This Row],[Work date serial]],3),"yyyy-mm-dd")</f>
        <v>2025-09-15</v>
      </c>
      <c r="I805" s="64">
        <f>DATEVALUE(tblLaborEntries[[#This Row],[Work date]])</f>
        <v>45915.0</v>
      </c>
    </row>
    <row r="806" spans="1:9" ht="15" x14ac:dyDescent="0.25">
      <c r="A806" s="53" t="inlineStr">
        <is>
          <t>LAB-000805</t>
        </is>
      </c>
      <c r="B806" s="53" t="inlineStr">
        <is>
          <t>WP-00362</t>
        </is>
      </c>
      <c r="C806" s="53" t="inlineStr">
        <is>
          <t>TECH-026</t>
        </is>
      </c>
      <c r="D806" s="53" t="inlineStr">
        <is>
          <t>Avionics</t>
        </is>
      </c>
      <c r="E806" s="53" t="inlineStr">
        <is>
          <t>2024-02-21</t>
        </is>
      </c>
      <c r="F806" s="53">
        <v>10.6</v>
      </c>
      <c r="G806" s="53">
        <v>2.6</v>
      </c>
      <c r="H806" s="51" t="str">
        <f>TEXT(tblLaborEntries[[#This Row],[Work date serial]]-WEEKDAY(tblLaborEntries[[#This Row],[Work date serial]],3),"yyyy-mm-dd")</f>
        <v>2024-02-19</v>
      </c>
      <c r="I806" s="64">
        <f>DATEVALUE(tblLaborEntries[[#This Row],[Work date]])</f>
        <v>45343.0</v>
      </c>
    </row>
    <row r="807" spans="1:9" ht="15" x14ac:dyDescent="0.25">
      <c r="A807" s="53" t="inlineStr">
        <is>
          <t>LAB-000806</t>
        </is>
      </c>
      <c r="B807" s="53" t="inlineStr">
        <is>
          <t>WP-00363</t>
        </is>
      </c>
      <c r="C807" s="53" t="inlineStr">
        <is>
          <t>TECH-056</t>
        </is>
      </c>
      <c r="D807" s="53" t="inlineStr">
        <is>
          <t>Avionics</t>
        </is>
      </c>
      <c r="E807" s="53" t="inlineStr">
        <is>
          <t>2024-10-22</t>
        </is>
      </c>
      <c r="F807" s="53">
        <v>2.3</v>
      </c>
      <c r="G807" s="53">
        <v>0</v>
      </c>
      <c r="H807" s="51" t="str">
        <f>TEXT(tblLaborEntries[[#This Row],[Work date serial]]-WEEKDAY(tblLaborEntries[[#This Row],[Work date serial]],3),"yyyy-mm-dd")</f>
        <v>2024-10-21</v>
      </c>
      <c r="I807" s="64">
        <f>DATEVALUE(tblLaborEntries[[#This Row],[Work date]])</f>
        <v>45587.0</v>
      </c>
    </row>
    <row r="808" spans="1:9" ht="15" x14ac:dyDescent="0.25">
      <c r="A808" s="53" t="inlineStr">
        <is>
          <t>LAB-000807</t>
        </is>
      </c>
      <c r="B808" s="53" t="inlineStr">
        <is>
          <t>WP-00363</t>
        </is>
      </c>
      <c r="C808" s="53" t="inlineStr">
        <is>
          <t>TECH-050</t>
        </is>
      </c>
      <c r="D808" s="53" t="inlineStr">
        <is>
          <t>Avionics</t>
        </is>
      </c>
      <c r="E808" s="53" t="inlineStr">
        <is>
          <t>2024-10-23</t>
        </is>
      </c>
      <c r="F808" s="53">
        <v>2.1</v>
      </c>
      <c r="G808" s="53">
        <v>0</v>
      </c>
      <c r="H808" s="51" t="str">
        <f>TEXT(tblLaborEntries[[#This Row],[Work date serial]]-WEEKDAY(tblLaborEntries[[#This Row],[Work date serial]],3),"yyyy-mm-dd")</f>
        <v>2024-10-21</v>
      </c>
      <c r="I808" s="64">
        <f>DATEVALUE(tblLaborEntries[[#This Row],[Work date]])</f>
        <v>45588.0</v>
      </c>
    </row>
    <row r="809" spans="1:9" ht="15" x14ac:dyDescent="0.25">
      <c r="A809" s="53" t="inlineStr">
        <is>
          <t>LAB-000808</t>
        </is>
      </c>
      <c r="B809" s="53" t="inlineStr">
        <is>
          <t>WP-00363</t>
        </is>
      </c>
      <c r="C809" s="53" t="inlineStr">
        <is>
          <t>TECH-068</t>
        </is>
      </c>
      <c r="D809" s="53" t="inlineStr">
        <is>
          <t>Avionics</t>
        </is>
      </c>
      <c r="E809" s="53" t="inlineStr">
        <is>
          <t>2024-10-24</t>
        </is>
      </c>
      <c r="F809" s="53">
        <v>2.2</v>
      </c>
      <c r="G809" s="53">
        <v>0</v>
      </c>
      <c r="H809" s="51" t="str">
        <f>TEXT(tblLaborEntries[[#This Row],[Work date serial]]-WEEKDAY(tblLaborEntries[[#This Row],[Work date serial]],3),"yyyy-mm-dd")</f>
        <v>2024-10-21</v>
      </c>
      <c r="I809" s="64">
        <f>DATEVALUE(tblLaborEntries[[#This Row],[Work date]])</f>
        <v>45589.0</v>
      </c>
    </row>
    <row r="810" spans="1:9" ht="15" x14ac:dyDescent="0.25">
      <c r="A810" s="53" t="inlineStr">
        <is>
          <t>LAB-000809</t>
        </is>
      </c>
      <c r="B810" s="53" t="inlineStr">
        <is>
          <t>WP-00364</t>
        </is>
      </c>
      <c r="C810" s="53" t="inlineStr">
        <is>
          <t>TECH-044</t>
        </is>
      </c>
      <c r="D810" s="53" t="inlineStr">
        <is>
          <t>Avionics</t>
        </is>
      </c>
      <c r="E810" s="53" t="inlineStr">
        <is>
          <t>2024-05-24</t>
        </is>
      </c>
      <c r="F810" s="53">
        <v>4.6</v>
      </c>
      <c r="G810" s="53">
        <v>0</v>
      </c>
      <c r="H810" s="51" t="str">
        <f>TEXT(tblLaborEntries[[#This Row],[Work date serial]]-WEEKDAY(tblLaborEntries[[#This Row],[Work date serial]],3),"yyyy-mm-dd")</f>
        <v>2024-05-20</v>
      </c>
      <c r="I810" s="64">
        <f>DATEVALUE(tblLaborEntries[[#This Row],[Work date]])</f>
        <v>45436.0</v>
      </c>
    </row>
    <row r="811" spans="1:9" ht="15" x14ac:dyDescent="0.25">
      <c r="A811" s="53" t="inlineStr">
        <is>
          <t>LAB-000810</t>
        </is>
      </c>
      <c r="B811" s="53" t="inlineStr">
        <is>
          <t>WP-00364</t>
        </is>
      </c>
      <c r="C811" s="53" t="inlineStr">
        <is>
          <t>TECH-038</t>
        </is>
      </c>
      <c r="D811" s="53" t="inlineStr">
        <is>
          <t>Avionics</t>
        </is>
      </c>
      <c r="E811" s="53" t="inlineStr">
        <is>
          <t>2024-05-25</t>
        </is>
      </c>
      <c r="F811" s="53">
        <v>5.4</v>
      </c>
      <c r="G811" s="53">
        <v>0</v>
      </c>
      <c r="H811" s="51" t="str">
        <f>TEXT(tblLaborEntries[[#This Row],[Work date serial]]-WEEKDAY(tblLaborEntries[[#This Row],[Work date serial]],3),"yyyy-mm-dd")</f>
        <v>2024-05-20</v>
      </c>
      <c r="I811" s="64">
        <f>DATEVALUE(tblLaborEntries[[#This Row],[Work date]])</f>
        <v>45437.0</v>
      </c>
    </row>
    <row r="812" spans="1:9" ht="15" x14ac:dyDescent="0.25">
      <c r="A812" s="53" t="inlineStr">
        <is>
          <t>LAB-000811</t>
        </is>
      </c>
      <c r="B812" s="53" t="inlineStr">
        <is>
          <t>WP-00364</t>
        </is>
      </c>
      <c r="C812" s="53" t="inlineStr">
        <is>
          <t>TECH-014</t>
        </is>
      </c>
      <c r="D812" s="53" t="inlineStr">
        <is>
          <t>Avionics</t>
        </is>
      </c>
      <c r="E812" s="53" t="inlineStr">
        <is>
          <t>2024-05-26</t>
        </is>
      </c>
      <c r="F812" s="53">
        <v>6.5</v>
      </c>
      <c r="G812" s="53">
        <v>0</v>
      </c>
      <c r="H812" s="51" t="str">
        <f>TEXT(tblLaborEntries[[#This Row],[Work date serial]]-WEEKDAY(tblLaborEntries[[#This Row],[Work date serial]],3),"yyyy-mm-dd")</f>
        <v>2024-05-20</v>
      </c>
      <c r="I812" s="64">
        <f>DATEVALUE(tblLaborEntries[[#This Row],[Work date]])</f>
        <v>45438.0</v>
      </c>
    </row>
    <row r="813" spans="1:9" ht="15" x14ac:dyDescent="0.25">
      <c r="A813" s="53" t="inlineStr">
        <is>
          <t>LAB-000812</t>
        </is>
      </c>
      <c r="B813" s="53" t="inlineStr">
        <is>
          <t>WP-00365</t>
        </is>
      </c>
      <c r="C813" s="53" t="inlineStr">
        <is>
          <t>TECH-015</t>
        </is>
      </c>
      <c r="D813" s="53" t="inlineStr">
        <is>
          <t>Hydraulics</t>
        </is>
      </c>
      <c r="E813" s="53" t="inlineStr">
        <is>
          <t>2025-01-06</t>
        </is>
      </c>
      <c r="F813" s="53">
        <v>10.1</v>
      </c>
      <c r="G813" s="53">
        <v>2.1</v>
      </c>
      <c r="H813" s="51" t="str">
        <f>TEXT(tblLaborEntries[[#This Row],[Work date serial]]-WEEKDAY(tblLaborEntries[[#This Row],[Work date serial]],3),"yyyy-mm-dd")</f>
        <v>2025-01-06</v>
      </c>
      <c r="I813" s="64">
        <f>DATEVALUE(tblLaborEntries[[#This Row],[Work date]])</f>
        <v>45663.0</v>
      </c>
    </row>
    <row r="814" spans="1:9" ht="15" x14ac:dyDescent="0.25">
      <c r="A814" s="53" t="inlineStr">
        <is>
          <t>LAB-000813</t>
        </is>
      </c>
      <c r="B814" s="53" t="inlineStr">
        <is>
          <t>WP-00366</t>
        </is>
      </c>
      <c r="C814" s="53" t="inlineStr">
        <is>
          <t>TECH-049</t>
        </is>
      </c>
      <c r="D814" s="53" t="inlineStr">
        <is>
          <t>Airframe</t>
        </is>
      </c>
      <c r="E814" s="53" t="inlineStr">
        <is>
          <t>2025-02-14</t>
        </is>
      </c>
      <c r="F814" s="53">
        <v>3.7</v>
      </c>
      <c r="G814" s="53">
        <v>0</v>
      </c>
      <c r="H814" s="51" t="str">
        <f>TEXT(tblLaborEntries[[#This Row],[Work date serial]]-WEEKDAY(tblLaborEntries[[#This Row],[Work date serial]],3),"yyyy-mm-dd")</f>
        <v>2025-02-10</v>
      </c>
      <c r="I814" s="64">
        <f>DATEVALUE(tblLaborEntries[[#This Row],[Work date]])</f>
        <v>45702.0</v>
      </c>
    </row>
    <row r="815" spans="1:9" ht="15" x14ac:dyDescent="0.25">
      <c r="A815" s="53" t="inlineStr">
        <is>
          <t>LAB-000814</t>
        </is>
      </c>
      <c r="B815" s="53" t="inlineStr">
        <is>
          <t>WP-00366</t>
        </is>
      </c>
      <c r="C815" s="53" t="inlineStr">
        <is>
          <t>TECH-061</t>
        </is>
      </c>
      <c r="D815" s="53" t="inlineStr">
        <is>
          <t>Airframe</t>
        </is>
      </c>
      <c r="E815" s="53" t="inlineStr">
        <is>
          <t>2025-02-15</t>
        </is>
      </c>
      <c r="F815" s="53">
        <v>3</v>
      </c>
      <c r="G815" s="53">
        <v>0</v>
      </c>
      <c r="H815" s="51" t="str">
        <f>TEXT(tblLaborEntries[[#This Row],[Work date serial]]-WEEKDAY(tblLaborEntries[[#This Row],[Work date serial]],3),"yyyy-mm-dd")</f>
        <v>2025-02-10</v>
      </c>
      <c r="I815" s="64">
        <f>DATEVALUE(tblLaborEntries[[#This Row],[Work date]])</f>
        <v>45703.0</v>
      </c>
    </row>
    <row r="816" spans="1:9" ht="15" x14ac:dyDescent="0.25">
      <c r="A816" s="53" t="inlineStr">
        <is>
          <t>LAB-000815</t>
        </is>
      </c>
      <c r="B816" s="53" t="inlineStr">
        <is>
          <t>WP-00366</t>
        </is>
      </c>
      <c r="C816" s="53" t="inlineStr">
        <is>
          <t>TECH-025</t>
        </is>
      </c>
      <c r="D816" s="53" t="inlineStr">
        <is>
          <t>Airframe</t>
        </is>
      </c>
      <c r="E816" s="53" t="inlineStr">
        <is>
          <t>2025-02-16</t>
        </is>
      </c>
      <c r="F816" s="53">
        <v>3.9</v>
      </c>
      <c r="G816" s="53">
        <v>0</v>
      </c>
      <c r="H816" s="51" t="str">
        <f>TEXT(tblLaborEntries[[#This Row],[Work date serial]]-WEEKDAY(tblLaborEntries[[#This Row],[Work date serial]],3),"yyyy-mm-dd")</f>
        <v>2025-02-10</v>
      </c>
      <c r="I816" s="64">
        <f>DATEVALUE(tblLaborEntries[[#This Row],[Work date]])</f>
        <v>45704.0</v>
      </c>
    </row>
    <row r="817" spans="1:9" ht="15" x14ac:dyDescent="0.25">
      <c r="A817" s="53" t="inlineStr">
        <is>
          <t>LAB-000816</t>
        </is>
      </c>
      <c r="B817" s="53" t="inlineStr">
        <is>
          <t>WP-00367</t>
        </is>
      </c>
      <c r="C817" s="53" t="inlineStr">
        <is>
          <t>TECH-049</t>
        </is>
      </c>
      <c r="D817" s="53" t="inlineStr">
        <is>
          <t>Airframe</t>
        </is>
      </c>
      <c r="E817" s="53" t="inlineStr">
        <is>
          <t>2025-05-28</t>
        </is>
      </c>
      <c r="F817" s="53">
        <v>3.9</v>
      </c>
      <c r="G817" s="53">
        <v>0</v>
      </c>
      <c r="H817" s="51" t="str">
        <f>TEXT(tblLaborEntries[[#This Row],[Work date serial]]-WEEKDAY(tblLaborEntries[[#This Row],[Work date serial]],3),"yyyy-mm-dd")</f>
        <v>2025-05-26</v>
      </c>
      <c r="I817" s="64">
        <f>DATEVALUE(tblLaborEntries[[#This Row],[Work date]])</f>
        <v>45805.0</v>
      </c>
    </row>
    <row r="818" spans="1:9" ht="15" x14ac:dyDescent="0.25">
      <c r="A818" s="53" t="inlineStr">
        <is>
          <t>LAB-000817</t>
        </is>
      </c>
      <c r="B818" s="53" t="inlineStr">
        <is>
          <t>WP-00368</t>
        </is>
      </c>
      <c r="C818" s="53" t="inlineStr">
        <is>
          <t>TECH-050</t>
        </is>
      </c>
      <c r="D818" s="53" t="inlineStr">
        <is>
          <t>Avionics</t>
        </is>
      </c>
      <c r="E818" s="53" t="inlineStr">
        <is>
          <t>2025-11-03</t>
        </is>
      </c>
      <c r="F818" s="53">
        <v>3.6</v>
      </c>
      <c r="G818" s="53">
        <v>0</v>
      </c>
      <c r="H818" s="51" t="str">
        <f>TEXT(tblLaborEntries[[#This Row],[Work date serial]]-WEEKDAY(tblLaborEntries[[#This Row],[Work date serial]],3),"yyyy-mm-dd")</f>
        <v>2025-11-03</v>
      </c>
      <c r="I818" s="64">
        <f>DATEVALUE(tblLaborEntries[[#This Row],[Work date]])</f>
        <v>45964.0</v>
      </c>
    </row>
    <row r="819" spans="1:9" ht="15" x14ac:dyDescent="0.25">
      <c r="A819" s="53" t="inlineStr">
        <is>
          <t>LAB-000818</t>
        </is>
      </c>
      <c r="B819" s="53" t="inlineStr">
        <is>
          <t>WP-00368</t>
        </is>
      </c>
      <c r="C819" s="53" t="inlineStr">
        <is>
          <t>TECH-074</t>
        </is>
      </c>
      <c r="D819" s="53" t="inlineStr">
        <is>
          <t>Avionics</t>
        </is>
      </c>
      <c r="E819" s="53" t="inlineStr">
        <is>
          <t>2025-11-04</t>
        </is>
      </c>
      <c r="F819" s="53">
        <v>3</v>
      </c>
      <c r="G819" s="53">
        <v>0</v>
      </c>
      <c r="H819" s="51" t="str">
        <f>TEXT(tblLaborEntries[[#This Row],[Work date serial]]-WEEKDAY(tblLaborEntries[[#This Row],[Work date serial]],3),"yyyy-mm-dd")</f>
        <v>2025-11-03</v>
      </c>
      <c r="I819" s="64">
        <f>DATEVALUE(tblLaborEntries[[#This Row],[Work date]])</f>
        <v>45965.0</v>
      </c>
    </row>
    <row r="820" spans="1:9" ht="15" x14ac:dyDescent="0.25">
      <c r="A820" s="53" t="inlineStr">
        <is>
          <t>LAB-000819</t>
        </is>
      </c>
      <c r="B820" s="53" t="inlineStr">
        <is>
          <t>WP-00368</t>
        </is>
      </c>
      <c r="C820" s="53" t="inlineStr">
        <is>
          <t>TECH-026</t>
        </is>
      </c>
      <c r="D820" s="53" t="inlineStr">
        <is>
          <t>Avionics</t>
        </is>
      </c>
      <c r="E820" s="53" t="inlineStr">
        <is>
          <t>2025-11-05</t>
        </is>
      </c>
      <c r="F820" s="53">
        <v>3.3</v>
      </c>
      <c r="G820" s="53">
        <v>0</v>
      </c>
      <c r="H820" s="51" t="str">
        <f>TEXT(tblLaborEntries[[#This Row],[Work date serial]]-WEEKDAY(tblLaborEntries[[#This Row],[Work date serial]],3),"yyyy-mm-dd")</f>
        <v>2025-11-03</v>
      </c>
      <c r="I820" s="64">
        <f>DATEVALUE(tblLaborEntries[[#This Row],[Work date]])</f>
        <v>45966.0</v>
      </c>
    </row>
    <row r="821" spans="1:9" ht="15" x14ac:dyDescent="0.25">
      <c r="A821" s="53" t="inlineStr">
        <is>
          <t>LAB-000820</t>
        </is>
      </c>
      <c r="B821" s="53" t="inlineStr">
        <is>
          <t>WP-00369</t>
        </is>
      </c>
      <c r="C821" s="53" t="inlineStr">
        <is>
          <t>TECH-004</t>
        </is>
      </c>
      <c r="D821" s="53" t="inlineStr">
        <is>
          <t>Electrical</t>
        </is>
      </c>
      <c r="E821" s="53" t="inlineStr">
        <is>
          <t>2024-06-26</t>
        </is>
      </c>
      <c r="F821" s="53">
        <v>12</v>
      </c>
      <c r="G821" s="53">
        <v>4</v>
      </c>
      <c r="H821" s="51" t="str">
        <f>TEXT(tblLaborEntries[[#This Row],[Work date serial]]-WEEKDAY(tblLaborEntries[[#This Row],[Work date serial]],3),"yyyy-mm-dd")</f>
        <v>2024-06-24</v>
      </c>
      <c r="I821" s="64">
        <f>DATEVALUE(tblLaborEntries[[#This Row],[Work date]])</f>
        <v>45469.0</v>
      </c>
    </row>
    <row r="822" spans="1:9" ht="15" x14ac:dyDescent="0.25">
      <c r="A822" s="53" t="inlineStr">
        <is>
          <t>LAB-000821</t>
        </is>
      </c>
      <c r="B822" s="53" t="inlineStr">
        <is>
          <t>WP-00369</t>
        </is>
      </c>
      <c r="C822" s="53" t="inlineStr">
        <is>
          <t>TECH-010</t>
        </is>
      </c>
      <c r="D822" s="53" t="inlineStr">
        <is>
          <t>Electrical</t>
        </is>
      </c>
      <c r="E822" s="53" t="inlineStr">
        <is>
          <t>2024-06-26</t>
        </is>
      </c>
      <c r="F822" s="53">
        <v>12</v>
      </c>
      <c r="G822" s="53">
        <v>4</v>
      </c>
      <c r="H822" s="51" t="str">
        <f>TEXT(tblLaborEntries[[#This Row],[Work date serial]]-WEEKDAY(tblLaborEntries[[#This Row],[Work date serial]],3),"yyyy-mm-dd")</f>
        <v>2024-06-24</v>
      </c>
      <c r="I822" s="64">
        <f>DATEVALUE(tblLaborEntries[[#This Row],[Work date]])</f>
        <v>45469.0</v>
      </c>
    </row>
    <row r="823" spans="1:9" ht="15" x14ac:dyDescent="0.25">
      <c r="A823" s="53" t="inlineStr">
        <is>
          <t>LAB-000822</t>
        </is>
      </c>
      <c r="B823" s="53" t="inlineStr">
        <is>
          <t>WP-00369</t>
        </is>
      </c>
      <c r="C823" s="53" t="inlineStr">
        <is>
          <t>TECH-016</t>
        </is>
      </c>
      <c r="D823" s="53" t="inlineStr">
        <is>
          <t>Electrical</t>
        </is>
      </c>
      <c r="E823" s="53" t="inlineStr">
        <is>
          <t>2024-06-26</t>
        </is>
      </c>
      <c r="F823" s="53">
        <v>0.6</v>
      </c>
      <c r="G823" s="53">
        <v>0</v>
      </c>
      <c r="H823" s="51" t="str">
        <f>TEXT(tblLaborEntries[[#This Row],[Work date serial]]-WEEKDAY(tblLaborEntries[[#This Row],[Work date serial]],3),"yyyy-mm-dd")</f>
        <v>2024-06-24</v>
      </c>
      <c r="I823" s="64">
        <f>DATEVALUE(tblLaborEntries[[#This Row],[Work date]])</f>
        <v>45469.0</v>
      </c>
    </row>
    <row r="824" spans="1:9" ht="15" x14ac:dyDescent="0.25">
      <c r="A824" s="53" t="inlineStr">
        <is>
          <t>LAB-000823</t>
        </is>
      </c>
      <c r="B824" s="53" t="inlineStr">
        <is>
          <t>WP-00370</t>
        </is>
      </c>
      <c r="C824" s="53" t="inlineStr">
        <is>
          <t>TECH-001</t>
        </is>
      </c>
      <c r="D824" s="53" t="inlineStr">
        <is>
          <t>Airframe</t>
        </is>
      </c>
      <c r="E824" s="53" t="inlineStr">
        <is>
          <t>2025-09-05</t>
        </is>
      </c>
      <c r="F824" s="53">
        <v>2.1</v>
      </c>
      <c r="G824" s="53">
        <v>0</v>
      </c>
      <c r="H824" s="51" t="str">
        <f>TEXT(tblLaborEntries[[#This Row],[Work date serial]]-WEEKDAY(tblLaborEntries[[#This Row],[Work date serial]],3),"yyyy-mm-dd")</f>
        <v>2025-09-01</v>
      </c>
      <c r="I824" s="64">
        <f>DATEVALUE(tblLaborEntries[[#This Row],[Work date]])</f>
        <v>45905.0</v>
      </c>
    </row>
    <row r="825" spans="1:9" ht="15" x14ac:dyDescent="0.25">
      <c r="A825" s="53" t="inlineStr">
        <is>
          <t>LAB-000824</t>
        </is>
      </c>
      <c r="B825" s="53" t="inlineStr">
        <is>
          <t>WP-00370</t>
        </is>
      </c>
      <c r="C825" s="53" t="inlineStr">
        <is>
          <t>TECH-031</t>
        </is>
      </c>
      <c r="D825" s="53" t="inlineStr">
        <is>
          <t>Airframe</t>
        </is>
      </c>
      <c r="E825" s="53" t="inlineStr">
        <is>
          <t>2025-09-06</t>
        </is>
      </c>
      <c r="F825" s="53">
        <v>1.5</v>
      </c>
      <c r="G825" s="53">
        <v>0</v>
      </c>
      <c r="H825" s="51" t="str">
        <f>TEXT(tblLaborEntries[[#This Row],[Work date serial]]-WEEKDAY(tblLaborEntries[[#This Row],[Work date serial]],3),"yyyy-mm-dd")</f>
        <v>2025-09-01</v>
      </c>
      <c r="I825" s="64">
        <f>DATEVALUE(tblLaborEntries[[#This Row],[Work date]])</f>
        <v>45906.0</v>
      </c>
    </row>
    <row r="826" spans="1:9" ht="15" x14ac:dyDescent="0.25">
      <c r="A826" s="53" t="inlineStr">
        <is>
          <t>LAB-000825</t>
        </is>
      </c>
      <c r="B826" s="53" t="inlineStr">
        <is>
          <t>WP-00370</t>
        </is>
      </c>
      <c r="C826" s="53" t="inlineStr">
        <is>
          <t>TECH-043</t>
        </is>
      </c>
      <c r="D826" s="53" t="inlineStr">
        <is>
          <t>Airframe</t>
        </is>
      </c>
      <c r="E826" s="53" t="inlineStr">
        <is>
          <t>2025-09-07</t>
        </is>
      </c>
      <c r="F826" s="53">
        <v>2.1</v>
      </c>
      <c r="G826" s="53">
        <v>0</v>
      </c>
      <c r="H826" s="51" t="str">
        <f>TEXT(tblLaborEntries[[#This Row],[Work date serial]]-WEEKDAY(tblLaborEntries[[#This Row],[Work date serial]],3),"yyyy-mm-dd")</f>
        <v>2025-09-01</v>
      </c>
      <c r="I826" s="64">
        <f>DATEVALUE(tblLaborEntries[[#This Row],[Work date]])</f>
        <v>45907.0</v>
      </c>
    </row>
    <row r="827" spans="1:9" ht="15" x14ac:dyDescent="0.25">
      <c r="A827" s="53" t="inlineStr">
        <is>
          <t>LAB-000826</t>
        </is>
      </c>
      <c r="B827" s="53" t="inlineStr">
        <is>
          <t>WP-00371</t>
        </is>
      </c>
      <c r="C827" s="53" t="inlineStr">
        <is>
          <t>TECH-015</t>
        </is>
      </c>
      <c r="D827" s="53" t="inlineStr">
        <is>
          <t>Hydraulics</t>
        </is>
      </c>
      <c r="E827" s="53" t="inlineStr">
        <is>
          <t>2024-05-22</t>
        </is>
      </c>
      <c r="F827" s="53">
        <v>7.7</v>
      </c>
      <c r="G827" s="53">
        <v>0</v>
      </c>
      <c r="H827" s="51" t="str">
        <f>TEXT(tblLaborEntries[[#This Row],[Work date serial]]-WEEKDAY(tblLaborEntries[[#This Row],[Work date serial]],3),"yyyy-mm-dd")</f>
        <v>2024-05-20</v>
      </c>
      <c r="I827" s="64">
        <f>DATEVALUE(tblLaborEntries[[#This Row],[Work date]])</f>
        <v>45434.0</v>
      </c>
    </row>
    <row r="828" spans="1:9" ht="15" x14ac:dyDescent="0.25">
      <c r="A828" s="53" t="inlineStr">
        <is>
          <t>LAB-000827</t>
        </is>
      </c>
      <c r="B828" s="53" t="inlineStr">
        <is>
          <t>WP-00371</t>
        </is>
      </c>
      <c r="C828" s="53" t="inlineStr">
        <is>
          <t>TECH-015</t>
        </is>
      </c>
      <c r="D828" s="53" t="inlineStr">
        <is>
          <t>Hydraulics</t>
        </is>
      </c>
      <c r="E828" s="53" t="inlineStr">
        <is>
          <t>2024-05-23</t>
        </is>
      </c>
      <c r="F828" s="53">
        <v>11.5</v>
      </c>
      <c r="G828" s="53">
        <v>3.5</v>
      </c>
      <c r="H828" s="51" t="str">
        <f>TEXT(tblLaborEntries[[#This Row],[Work date serial]]-WEEKDAY(tblLaborEntries[[#This Row],[Work date serial]],3),"yyyy-mm-dd")</f>
        <v>2024-05-20</v>
      </c>
      <c r="I828" s="64">
        <f>DATEVALUE(tblLaborEntries[[#This Row],[Work date]])</f>
        <v>45435.0</v>
      </c>
    </row>
    <row r="829" spans="1:9" ht="15" x14ac:dyDescent="0.25">
      <c r="A829" s="53" t="inlineStr">
        <is>
          <t>LAB-000828</t>
        </is>
      </c>
      <c r="B829" s="53" t="inlineStr">
        <is>
          <t>WP-00372</t>
        </is>
      </c>
      <c r="C829" s="53" t="inlineStr">
        <is>
          <t>TECH-007</t>
        </is>
      </c>
      <c r="D829" s="53" t="inlineStr">
        <is>
          <t>Airframe</t>
        </is>
      </c>
      <c r="E829" s="53" t="inlineStr">
        <is>
          <t>2025-05-26</t>
        </is>
      </c>
      <c r="F829" s="53">
        <v>9</v>
      </c>
      <c r="G829" s="53">
        <v>1</v>
      </c>
      <c r="H829" s="51" t="str">
        <f>TEXT(tblLaborEntries[[#This Row],[Work date serial]]-WEEKDAY(tblLaborEntries[[#This Row],[Work date serial]],3),"yyyy-mm-dd")</f>
        <v>2025-05-26</v>
      </c>
      <c r="I829" s="64">
        <f>DATEVALUE(tblLaborEntries[[#This Row],[Work date]])</f>
        <v>45803.0</v>
      </c>
    </row>
    <row r="830" spans="1:9" ht="15" x14ac:dyDescent="0.25">
      <c r="A830" s="53" t="inlineStr">
        <is>
          <t>LAB-000829</t>
        </is>
      </c>
      <c r="B830" s="53" t="inlineStr">
        <is>
          <t>WP-00372</t>
        </is>
      </c>
      <c r="C830" s="53" t="inlineStr">
        <is>
          <t>TECH-001</t>
        </is>
      </c>
      <c r="D830" s="53" t="inlineStr">
        <is>
          <t>Airframe</t>
        </is>
      </c>
      <c r="E830" s="53" t="inlineStr">
        <is>
          <t>2025-05-27</t>
        </is>
      </c>
      <c r="F830" s="53">
        <v>1.2</v>
      </c>
      <c r="G830" s="53">
        <v>0</v>
      </c>
      <c r="H830" s="51" t="str">
        <f>TEXT(tblLaborEntries[[#This Row],[Work date serial]]-WEEKDAY(tblLaborEntries[[#This Row],[Work date serial]],3),"yyyy-mm-dd")</f>
        <v>2025-05-26</v>
      </c>
      <c r="I830" s="64">
        <f>DATEVALUE(tblLaborEntries[[#This Row],[Work date]])</f>
        <v>45804.0</v>
      </c>
    </row>
    <row r="831" spans="1:9" ht="15" x14ac:dyDescent="0.25">
      <c r="A831" s="53" t="inlineStr">
        <is>
          <t>LAB-000830</t>
        </is>
      </c>
      <c r="B831" s="53" t="inlineStr">
        <is>
          <t>WP-00372</t>
        </is>
      </c>
      <c r="C831" s="53" t="inlineStr">
        <is>
          <t>TECH-031</t>
        </is>
      </c>
      <c r="D831" s="53" t="inlineStr">
        <is>
          <t>Airframe</t>
        </is>
      </c>
      <c r="E831" s="53" t="inlineStr">
        <is>
          <t>2025-05-27</t>
        </is>
      </c>
      <c r="F831" s="53">
        <v>12</v>
      </c>
      <c r="G831" s="53">
        <v>4</v>
      </c>
      <c r="H831" s="51" t="str">
        <f>TEXT(tblLaborEntries[[#This Row],[Work date serial]]-WEEKDAY(tblLaborEntries[[#This Row],[Work date serial]],3),"yyyy-mm-dd")</f>
        <v>2025-05-26</v>
      </c>
      <c r="I831" s="64">
        <f>DATEVALUE(tblLaborEntries[[#This Row],[Work date]])</f>
        <v>45804.0</v>
      </c>
    </row>
    <row r="832" spans="1:9" ht="15" x14ac:dyDescent="0.25">
      <c r="A832" s="53" t="inlineStr">
        <is>
          <t>LAB-000831</t>
        </is>
      </c>
      <c r="B832" s="53" t="inlineStr">
        <is>
          <t>WP-00373</t>
        </is>
      </c>
      <c r="C832" s="53" t="inlineStr">
        <is>
          <t>TECH-038</t>
        </is>
      </c>
      <c r="D832" s="53" t="inlineStr">
        <is>
          <t>Avionics</t>
        </is>
      </c>
      <c r="E832" s="53" t="inlineStr">
        <is>
          <t>2025-11-12</t>
        </is>
      </c>
      <c r="F832" s="53">
        <v>10.7</v>
      </c>
      <c r="G832" s="53">
        <v>2.7</v>
      </c>
      <c r="H832" s="51" t="str">
        <f>TEXT(tblLaborEntries[[#This Row],[Work date serial]]-WEEKDAY(tblLaborEntries[[#This Row],[Work date serial]],3),"yyyy-mm-dd")</f>
        <v>2025-11-10</v>
      </c>
      <c r="I832" s="64">
        <f>DATEVALUE(tblLaborEntries[[#This Row],[Work date]])</f>
        <v>45973.0</v>
      </c>
    </row>
    <row r="833" spans="1:9" ht="15" x14ac:dyDescent="0.25">
      <c r="A833" s="53" t="inlineStr">
        <is>
          <t>LAB-000832</t>
        </is>
      </c>
      <c r="B833" s="53" t="inlineStr">
        <is>
          <t>WP-00374</t>
        </is>
      </c>
      <c r="C833" s="53" t="inlineStr">
        <is>
          <t>TECH-031</t>
        </is>
      </c>
      <c r="D833" s="53" t="inlineStr">
        <is>
          <t>Airframe</t>
        </is>
      </c>
      <c r="E833" s="53" t="inlineStr">
        <is>
          <t>2025-06-08</t>
        </is>
      </c>
      <c r="F833" s="53">
        <v>5.2</v>
      </c>
      <c r="G833" s="53">
        <v>0</v>
      </c>
      <c r="H833" s="51" t="str">
        <f>TEXT(tblLaborEntries[[#This Row],[Work date serial]]-WEEKDAY(tblLaborEntries[[#This Row],[Work date serial]],3),"yyyy-mm-dd")</f>
        <v>2025-06-02</v>
      </c>
      <c r="I833" s="64">
        <f>DATEVALUE(tblLaborEntries[[#This Row],[Work date]])</f>
        <v>45816.0</v>
      </c>
    </row>
    <row r="834" spans="1:9" ht="15" x14ac:dyDescent="0.25">
      <c r="A834" s="53" t="inlineStr">
        <is>
          <t>LAB-000833</t>
        </is>
      </c>
      <c r="B834" s="53" t="inlineStr">
        <is>
          <t>WP-00374</t>
        </is>
      </c>
      <c r="C834" s="53" t="inlineStr">
        <is>
          <t>TECH-007</t>
        </is>
      </c>
      <c r="D834" s="53" t="inlineStr">
        <is>
          <t>Airframe</t>
        </is>
      </c>
      <c r="E834" s="53" t="inlineStr">
        <is>
          <t>2025-06-09</t>
        </is>
      </c>
      <c r="F834" s="53">
        <v>3.4</v>
      </c>
      <c r="G834" s="53">
        <v>0</v>
      </c>
      <c r="H834" s="51" t="str">
        <f>TEXT(tblLaborEntries[[#This Row],[Work date serial]]-WEEKDAY(tblLaborEntries[[#This Row],[Work date serial]],3),"yyyy-mm-dd")</f>
        <v>2025-06-09</v>
      </c>
      <c r="I834" s="64">
        <f>DATEVALUE(tblLaborEntries[[#This Row],[Work date]])</f>
        <v>45817.0</v>
      </c>
    </row>
    <row r="835" spans="1:9" ht="15" x14ac:dyDescent="0.25">
      <c r="A835" s="53" t="inlineStr">
        <is>
          <t>LAB-000834</t>
        </is>
      </c>
      <c r="B835" s="53" t="inlineStr">
        <is>
          <t>WP-00374</t>
        </is>
      </c>
      <c r="C835" s="53" t="inlineStr">
        <is>
          <t>TECH-049</t>
        </is>
      </c>
      <c r="D835" s="53" t="inlineStr">
        <is>
          <t>Airframe</t>
        </is>
      </c>
      <c r="E835" s="53" t="inlineStr">
        <is>
          <t>2025-06-10</t>
        </is>
      </c>
      <c r="F835" s="53">
        <v>4.6</v>
      </c>
      <c r="G835" s="53">
        <v>0</v>
      </c>
      <c r="H835" s="51" t="str">
        <f>TEXT(tblLaborEntries[[#This Row],[Work date serial]]-WEEKDAY(tblLaborEntries[[#This Row],[Work date serial]],3),"yyyy-mm-dd")</f>
        <v>2025-06-09</v>
      </c>
      <c r="I835" s="64">
        <f>DATEVALUE(tblLaborEntries[[#This Row],[Work date]])</f>
        <v>45818.0</v>
      </c>
    </row>
    <row r="836" spans="1:9" ht="15" x14ac:dyDescent="0.25">
      <c r="A836" s="53" t="inlineStr">
        <is>
          <t>LAB-000835</t>
        </is>
      </c>
      <c r="B836" s="53" t="inlineStr">
        <is>
          <t>WP-00375</t>
        </is>
      </c>
      <c r="C836" s="53" t="inlineStr">
        <is>
          <t>TECH-030</t>
        </is>
      </c>
      <c r="D836" s="53" t="inlineStr">
        <is>
          <t>Powerplant</t>
        </is>
      </c>
      <c r="E836" s="53" t="inlineStr">
        <is>
          <t>2025-02-26</t>
        </is>
      </c>
      <c r="F836" s="53">
        <v>7.4</v>
      </c>
      <c r="G836" s="53">
        <v>0</v>
      </c>
      <c r="H836" s="51" t="str">
        <f>TEXT(tblLaborEntries[[#This Row],[Work date serial]]-WEEKDAY(tblLaborEntries[[#This Row],[Work date serial]],3),"yyyy-mm-dd")</f>
        <v>2025-02-24</v>
      </c>
      <c r="I836" s="64">
        <f>DATEVALUE(tblLaborEntries[[#This Row],[Work date]])</f>
        <v>45714.0</v>
      </c>
    </row>
    <row r="837" spans="1:9" ht="15" x14ac:dyDescent="0.25">
      <c r="A837" s="53" t="inlineStr">
        <is>
          <t>LAB-000836</t>
        </is>
      </c>
      <c r="B837" s="53" t="inlineStr">
        <is>
          <t>WP-00375</t>
        </is>
      </c>
      <c r="C837" s="53" t="inlineStr">
        <is>
          <t>TECH-066</t>
        </is>
      </c>
      <c r="D837" s="53" t="inlineStr">
        <is>
          <t>Powerplant</t>
        </is>
      </c>
      <c r="E837" s="53" t="inlineStr">
        <is>
          <t>2025-02-27</t>
        </is>
      </c>
      <c r="F837" s="53">
        <v>6.4</v>
      </c>
      <c r="G837" s="53">
        <v>0</v>
      </c>
      <c r="H837" s="51" t="str">
        <f>TEXT(tblLaborEntries[[#This Row],[Work date serial]]-WEEKDAY(tblLaborEntries[[#This Row],[Work date serial]],3),"yyyy-mm-dd")</f>
        <v>2025-02-24</v>
      </c>
      <c r="I837" s="64">
        <f>DATEVALUE(tblLaborEntries[[#This Row],[Work date]])</f>
        <v>45715.0</v>
      </c>
    </row>
    <row r="838" spans="1:9" ht="15" x14ac:dyDescent="0.25">
      <c r="A838" s="53" t="inlineStr">
        <is>
          <t>LAB-000837</t>
        </is>
      </c>
      <c r="B838" s="53" t="inlineStr">
        <is>
          <t>WP-00375</t>
        </is>
      </c>
      <c r="C838" s="53" t="inlineStr">
        <is>
          <t>TECH-030</t>
        </is>
      </c>
      <c r="D838" s="53" t="inlineStr">
        <is>
          <t>Powerplant</t>
        </is>
      </c>
      <c r="E838" s="53" t="inlineStr">
        <is>
          <t>2025-02-28</t>
        </is>
      </c>
      <c r="F838" s="53">
        <v>9.6</v>
      </c>
      <c r="G838" s="53">
        <v>1.6</v>
      </c>
      <c r="H838" s="51" t="str">
        <f>TEXT(tblLaborEntries[[#This Row],[Work date serial]]-WEEKDAY(tblLaborEntries[[#This Row],[Work date serial]],3),"yyyy-mm-dd")</f>
        <v>2025-02-24</v>
      </c>
      <c r="I838" s="64">
        <f>DATEVALUE(tblLaborEntries[[#This Row],[Work date]])</f>
        <v>45716.0</v>
      </c>
    </row>
    <row r="839" spans="1:9" ht="15" x14ac:dyDescent="0.25">
      <c r="A839" s="53" t="inlineStr">
        <is>
          <t>LAB-000838</t>
        </is>
      </c>
      <c r="B839" s="53" t="inlineStr">
        <is>
          <t>WP-00376</t>
        </is>
      </c>
      <c r="C839" s="53" t="inlineStr">
        <is>
          <t>TECH-020</t>
        </is>
      </c>
      <c r="D839" s="53" t="inlineStr">
        <is>
          <t>Avionics</t>
        </is>
      </c>
      <c r="E839" s="53" t="inlineStr">
        <is>
          <t>2024-07-02</t>
        </is>
      </c>
      <c r="F839" s="53">
        <v>11.2</v>
      </c>
      <c r="G839" s="53">
        <v>3.2</v>
      </c>
      <c r="H839" s="51" t="str">
        <f>TEXT(tblLaborEntries[[#This Row],[Work date serial]]-WEEKDAY(tblLaborEntries[[#This Row],[Work date serial]],3),"yyyy-mm-dd")</f>
        <v>2024-07-01</v>
      </c>
      <c r="I839" s="64">
        <f>DATEVALUE(tblLaborEntries[[#This Row],[Work date]])</f>
        <v>45475.0</v>
      </c>
    </row>
    <row r="840" spans="1:9" ht="15" x14ac:dyDescent="0.25">
      <c r="A840" s="53" t="inlineStr">
        <is>
          <t>LAB-000839</t>
        </is>
      </c>
      <c r="B840" s="53" t="inlineStr">
        <is>
          <t>WP-00377</t>
        </is>
      </c>
      <c r="C840" s="53" t="inlineStr">
        <is>
          <t>TECH-005</t>
        </is>
      </c>
      <c r="D840" s="53" t="inlineStr">
        <is>
          <t>Structures</t>
        </is>
      </c>
      <c r="E840" s="53" t="inlineStr">
        <is>
          <t>2024-06-19</t>
        </is>
      </c>
      <c r="F840" s="53">
        <v>4.2</v>
      </c>
      <c r="G840" s="53">
        <v>0</v>
      </c>
      <c r="H840" s="51" t="str">
        <f>TEXT(tblLaborEntries[[#This Row],[Work date serial]]-WEEKDAY(tblLaborEntries[[#This Row],[Work date serial]],3),"yyyy-mm-dd")</f>
        <v>2024-06-17</v>
      </c>
      <c r="I840" s="64">
        <f>DATEVALUE(tblLaborEntries[[#This Row],[Work date]])</f>
        <v>45462.0</v>
      </c>
    </row>
    <row r="841" spans="1:9" ht="15" x14ac:dyDescent="0.25">
      <c r="A841" s="53" t="inlineStr">
        <is>
          <t>LAB-000840</t>
        </is>
      </c>
      <c r="B841" s="53" t="inlineStr">
        <is>
          <t>WP-00377</t>
        </is>
      </c>
      <c r="C841" s="53" t="inlineStr">
        <is>
          <t>TECH-053</t>
        </is>
      </c>
      <c r="D841" s="53" t="inlineStr">
        <is>
          <t>Structures</t>
        </is>
      </c>
      <c r="E841" s="53" t="inlineStr">
        <is>
          <t>2024-06-19</t>
        </is>
      </c>
      <c r="F841" s="53">
        <v>12</v>
      </c>
      <c r="G841" s="53">
        <v>4</v>
      </c>
      <c r="H841" s="51" t="str">
        <f>TEXT(tblLaborEntries[[#This Row],[Work date serial]]-WEEKDAY(tblLaborEntries[[#This Row],[Work date serial]],3),"yyyy-mm-dd")</f>
        <v>2024-06-17</v>
      </c>
      <c r="I841" s="64">
        <f>DATEVALUE(tblLaborEntries[[#This Row],[Work date]])</f>
        <v>45462.0</v>
      </c>
    </row>
    <row r="842" spans="1:9" ht="15" x14ac:dyDescent="0.25">
      <c r="A842" s="53" t="inlineStr">
        <is>
          <t>LAB-000841</t>
        </is>
      </c>
      <c r="B842" s="53" t="inlineStr">
        <is>
          <t>WP-00377</t>
        </is>
      </c>
      <c r="C842" s="53" t="inlineStr">
        <is>
          <t>TECH-011</t>
        </is>
      </c>
      <c r="D842" s="53" t="inlineStr">
        <is>
          <t>Structures</t>
        </is>
      </c>
      <c r="E842" s="53" t="inlineStr">
        <is>
          <t>2024-06-20</t>
        </is>
      </c>
      <c r="F842" s="53">
        <v>5.8</v>
      </c>
      <c r="G842" s="53">
        <v>0</v>
      </c>
      <c r="H842" s="51" t="str">
        <f>TEXT(tblLaborEntries[[#This Row],[Work date serial]]-WEEKDAY(tblLaborEntries[[#This Row],[Work date serial]],3),"yyyy-mm-dd")</f>
        <v>2024-06-17</v>
      </c>
      <c r="I842" s="64">
        <f>DATEVALUE(tblLaborEntries[[#This Row],[Work date]])</f>
        <v>45463.0</v>
      </c>
    </row>
    <row r="843" spans="1:9" ht="15" x14ac:dyDescent="0.25">
      <c r="A843" s="53" t="inlineStr">
        <is>
          <t>LAB-000842</t>
        </is>
      </c>
      <c r="B843" s="53" t="inlineStr">
        <is>
          <t>WP-00377</t>
        </is>
      </c>
      <c r="C843" s="53" t="inlineStr">
        <is>
          <t>TECH-029</t>
        </is>
      </c>
      <c r="D843" s="53" t="inlineStr">
        <is>
          <t>Structures</t>
        </is>
      </c>
      <c r="E843" s="53" t="inlineStr">
        <is>
          <t>2024-06-20</t>
        </is>
      </c>
      <c r="F843" s="53">
        <v>12</v>
      </c>
      <c r="G843" s="53">
        <v>4</v>
      </c>
      <c r="H843" s="51" t="str">
        <f>TEXT(tblLaborEntries[[#This Row],[Work date serial]]-WEEKDAY(tblLaborEntries[[#This Row],[Work date serial]],3),"yyyy-mm-dd")</f>
        <v>2024-06-17</v>
      </c>
      <c r="I843" s="64">
        <f>DATEVALUE(tblLaborEntries[[#This Row],[Work date]])</f>
        <v>45463.0</v>
      </c>
    </row>
    <row r="844" spans="1:9" ht="15" x14ac:dyDescent="0.25">
      <c r="A844" s="53" t="inlineStr">
        <is>
          <t>LAB-000843</t>
        </is>
      </c>
      <c r="B844" s="53" t="inlineStr">
        <is>
          <t>WP-00378</t>
        </is>
      </c>
      <c r="C844" s="53" t="inlineStr">
        <is>
          <t>TECH-025</t>
        </is>
      </c>
      <c r="D844" s="53" t="inlineStr">
        <is>
          <t>Airframe</t>
        </is>
      </c>
      <c r="E844" s="53" t="inlineStr">
        <is>
          <t>2024-12-14</t>
        </is>
      </c>
      <c r="F844" s="53">
        <v>6.2</v>
      </c>
      <c r="G844" s="53">
        <v>0</v>
      </c>
      <c r="H844" s="51" t="str">
        <f>TEXT(tblLaborEntries[[#This Row],[Work date serial]]-WEEKDAY(tblLaborEntries[[#This Row],[Work date serial]],3),"yyyy-mm-dd")</f>
        <v>2024-12-09</v>
      </c>
      <c r="I844" s="64">
        <f>DATEVALUE(tblLaborEntries[[#This Row],[Work date]])</f>
        <v>45640.0</v>
      </c>
    </row>
    <row r="845" spans="1:9" ht="15" x14ac:dyDescent="0.25">
      <c r="A845" s="53" t="inlineStr">
        <is>
          <t>LAB-000844</t>
        </is>
      </c>
      <c r="B845" s="53" t="inlineStr">
        <is>
          <t>WP-00378</t>
        </is>
      </c>
      <c r="C845" s="53" t="inlineStr">
        <is>
          <t>TECH-067</t>
        </is>
      </c>
      <c r="D845" s="53" t="inlineStr">
        <is>
          <t>Airframe</t>
        </is>
      </c>
      <c r="E845" s="53" t="inlineStr">
        <is>
          <t>2024-12-15</t>
        </is>
      </c>
      <c r="F845" s="53">
        <v>5.9</v>
      </c>
      <c r="G845" s="53">
        <v>0</v>
      </c>
      <c r="H845" s="51" t="str">
        <f>TEXT(tblLaborEntries[[#This Row],[Work date serial]]-WEEKDAY(tblLaborEntries[[#This Row],[Work date serial]],3),"yyyy-mm-dd")</f>
        <v>2024-12-09</v>
      </c>
      <c r="I845" s="64">
        <f>DATEVALUE(tblLaborEntries[[#This Row],[Work date]])</f>
        <v>45641.0</v>
      </c>
    </row>
    <row r="846" spans="1:9" ht="15" x14ac:dyDescent="0.25">
      <c r="A846" s="53" t="inlineStr">
        <is>
          <t>LAB-000845</t>
        </is>
      </c>
      <c r="B846" s="53" t="inlineStr">
        <is>
          <t>WP-00379</t>
        </is>
      </c>
      <c r="C846" s="53" t="inlineStr">
        <is>
          <t>TECH-066</t>
        </is>
      </c>
      <c r="D846" s="53" t="inlineStr">
        <is>
          <t>Powerplant</t>
        </is>
      </c>
      <c r="E846" s="53" t="inlineStr">
        <is>
          <t>2025-06-18</t>
        </is>
      </c>
      <c r="F846" s="53">
        <v>9.7</v>
      </c>
      <c r="G846" s="53">
        <v>1.7</v>
      </c>
      <c r="H846" s="51" t="str">
        <f>TEXT(tblLaborEntries[[#This Row],[Work date serial]]-WEEKDAY(tblLaborEntries[[#This Row],[Work date serial]],3),"yyyy-mm-dd")</f>
        <v>2025-06-16</v>
      </c>
      <c r="I846" s="64">
        <f>DATEVALUE(tblLaborEntries[[#This Row],[Work date]])</f>
        <v>45826.0</v>
      </c>
    </row>
    <row r="847" spans="1:9" ht="15" x14ac:dyDescent="0.25">
      <c r="A847" s="53" t="inlineStr">
        <is>
          <t>LAB-000846</t>
        </is>
      </c>
      <c r="B847" s="53" t="inlineStr">
        <is>
          <t>WP-00379</t>
        </is>
      </c>
      <c r="C847" s="53" t="inlineStr">
        <is>
          <t>TECH-072</t>
        </is>
      </c>
      <c r="D847" s="53" t="inlineStr">
        <is>
          <t>Powerplant</t>
        </is>
      </c>
      <c r="E847" s="53" t="inlineStr">
        <is>
          <t>2025-06-19</t>
        </is>
      </c>
      <c r="F847" s="53">
        <v>9.2</v>
      </c>
      <c r="G847" s="53">
        <v>4</v>
      </c>
      <c r="H847" s="51" t="str">
        <f>TEXT(tblLaborEntries[[#This Row],[Work date serial]]-WEEKDAY(tblLaborEntries[[#This Row],[Work date serial]],3),"yyyy-mm-dd")</f>
        <v>2025-06-16</v>
      </c>
      <c r="I847" s="64">
        <f>DATEVALUE(tblLaborEntries[[#This Row],[Work date]])</f>
        <v>45827.0</v>
      </c>
    </row>
    <row r="848" spans="1:9" ht="15" x14ac:dyDescent="0.25">
      <c r="A848" s="53" t="inlineStr">
        <is>
          <t>LAB-000847</t>
        </is>
      </c>
      <c r="B848" s="53" t="inlineStr">
        <is>
          <t>WP-00379</t>
        </is>
      </c>
      <c r="C848" s="53" t="inlineStr">
        <is>
          <t>TECH-006</t>
        </is>
      </c>
      <c r="D848" s="53" t="inlineStr">
        <is>
          <t>Powerplant</t>
        </is>
      </c>
      <c r="E848" s="53" t="inlineStr">
        <is>
          <t>2025-06-20</t>
        </is>
      </c>
      <c r="F848" s="53">
        <v>8.9</v>
      </c>
      <c r="G848" s="53">
        <v>0.9</v>
      </c>
      <c r="H848" s="51" t="str">
        <f>TEXT(tblLaborEntries[[#This Row],[Work date serial]]-WEEKDAY(tblLaborEntries[[#This Row],[Work date serial]],3),"yyyy-mm-dd")</f>
        <v>2025-06-16</v>
      </c>
      <c r="I848" s="64">
        <f>DATEVALUE(tblLaborEntries[[#This Row],[Work date]])</f>
        <v>45828.0</v>
      </c>
    </row>
    <row r="849" spans="1:9" ht="15" x14ac:dyDescent="0.25">
      <c r="A849" s="53" t="inlineStr">
        <is>
          <t>LAB-000848</t>
        </is>
      </c>
      <c r="B849" s="53" t="inlineStr">
        <is>
          <t>WP-00380</t>
        </is>
      </c>
      <c r="C849" s="53" t="inlineStr">
        <is>
          <t>TECH-047</t>
        </is>
      </c>
      <c r="D849" s="53" t="inlineStr">
        <is>
          <t>Structures</t>
        </is>
      </c>
      <c r="E849" s="53" t="inlineStr">
        <is>
          <t>2024-07-14</t>
        </is>
      </c>
      <c r="F849" s="53">
        <v>1.3</v>
      </c>
      <c r="G849" s="53">
        <v>0</v>
      </c>
      <c r="H849" s="51" t="str">
        <f>TEXT(tblLaborEntries[[#This Row],[Work date serial]]-WEEKDAY(tblLaborEntries[[#This Row],[Work date serial]],3),"yyyy-mm-dd")</f>
        <v>2024-07-08</v>
      </c>
      <c r="I849" s="64">
        <f>DATEVALUE(tblLaborEntries[[#This Row],[Work date]])</f>
        <v>45487.0</v>
      </c>
    </row>
    <row r="850" spans="1:9" ht="15" x14ac:dyDescent="0.25">
      <c r="A850" s="53" t="inlineStr">
        <is>
          <t>LAB-000849</t>
        </is>
      </c>
      <c r="B850" s="53" t="inlineStr">
        <is>
          <t>WP-00380</t>
        </is>
      </c>
      <c r="C850" s="53" t="inlineStr">
        <is>
          <t>TECH-005</t>
        </is>
      </c>
      <c r="D850" s="53" t="inlineStr">
        <is>
          <t>Structures</t>
        </is>
      </c>
      <c r="E850" s="53" t="inlineStr">
        <is>
          <t>2024-07-15</t>
        </is>
      </c>
      <c r="F850" s="53">
        <v>12</v>
      </c>
      <c r="G850" s="53">
        <v>4</v>
      </c>
      <c r="H850" s="51" t="str">
        <f>TEXT(tblLaborEntries[[#This Row],[Work date serial]]-WEEKDAY(tblLaborEntries[[#This Row],[Work date serial]],3),"yyyy-mm-dd")</f>
        <v>2024-07-15</v>
      </c>
      <c r="I850" s="64">
        <f>DATEVALUE(tblLaborEntries[[#This Row],[Work date]])</f>
        <v>45488.0</v>
      </c>
    </row>
    <row r="851" spans="1:9" ht="15" x14ac:dyDescent="0.25">
      <c r="A851" s="53" t="inlineStr">
        <is>
          <t>LAB-000850</t>
        </is>
      </c>
      <c r="B851" s="53" t="inlineStr">
        <is>
          <t>WP-00380</t>
        </is>
      </c>
      <c r="C851" s="53" t="inlineStr">
        <is>
          <t>TECH-011</t>
        </is>
      </c>
      <c r="D851" s="53" t="inlineStr">
        <is>
          <t>Structures</t>
        </is>
      </c>
      <c r="E851" s="53" t="inlineStr">
        <is>
          <t>2024-07-15</t>
        </is>
      </c>
      <c r="F851" s="53">
        <v>12</v>
      </c>
      <c r="G851" s="53">
        <v>4</v>
      </c>
      <c r="H851" s="51" t="str">
        <f>TEXT(tblLaborEntries[[#This Row],[Work date serial]]-WEEKDAY(tblLaborEntries[[#This Row],[Work date serial]],3),"yyyy-mm-dd")</f>
        <v>2024-07-15</v>
      </c>
      <c r="I851" s="64">
        <f>DATEVALUE(tblLaborEntries[[#This Row],[Work date]])</f>
        <v>45488.0</v>
      </c>
    </row>
    <row r="852" spans="1:9" ht="15" x14ac:dyDescent="0.25">
      <c r="A852" s="53" t="inlineStr">
        <is>
          <t>LAB-000851</t>
        </is>
      </c>
      <c r="B852" s="53" t="inlineStr">
        <is>
          <t>WP-00380</t>
        </is>
      </c>
      <c r="C852" s="53" t="inlineStr">
        <is>
          <t>TECH-047</t>
        </is>
      </c>
      <c r="D852" s="53" t="inlineStr">
        <is>
          <t>Structures</t>
        </is>
      </c>
      <c r="E852" s="53" t="inlineStr">
        <is>
          <t>2024-07-15</t>
        </is>
      </c>
      <c r="F852" s="53">
        <v>0.5</v>
      </c>
      <c r="G852" s="53">
        <v>0</v>
      </c>
      <c r="H852" s="51" t="str">
        <f>TEXT(tblLaborEntries[[#This Row],[Work date serial]]-WEEKDAY(tblLaborEntries[[#This Row],[Work date serial]],3),"yyyy-mm-dd")</f>
        <v>2024-07-15</v>
      </c>
      <c r="I852" s="64">
        <f>DATEVALUE(tblLaborEntries[[#This Row],[Work date]])</f>
        <v>45488.0</v>
      </c>
    </row>
    <row r="853" spans="1:9" ht="15" x14ac:dyDescent="0.25">
      <c r="A853" s="53" t="inlineStr">
        <is>
          <t>LAB-000852</t>
        </is>
      </c>
      <c r="B853" s="53" t="inlineStr">
        <is>
          <t>WP-00381</t>
        </is>
      </c>
      <c r="C853" s="53" t="inlineStr">
        <is>
          <t>TECH-001</t>
        </is>
      </c>
      <c r="D853" s="53" t="inlineStr">
        <is>
          <t>Airframe</t>
        </is>
      </c>
      <c r="E853" s="53" t="inlineStr">
        <is>
          <t>2025-12-16</t>
        </is>
      </c>
      <c r="F853" s="53">
        <v>12</v>
      </c>
      <c r="G853" s="53">
        <v>4</v>
      </c>
      <c r="H853" s="51" t="str">
        <f>TEXT(tblLaborEntries[[#This Row],[Work date serial]]-WEEKDAY(tblLaborEntries[[#This Row],[Work date serial]],3),"yyyy-mm-dd")</f>
        <v>2025-12-15</v>
      </c>
      <c r="I853" s="64">
        <f>DATEVALUE(tblLaborEntries[[#This Row],[Work date]])</f>
        <v>46007.0</v>
      </c>
    </row>
    <row r="854" spans="1:9" ht="15" x14ac:dyDescent="0.25">
      <c r="A854" s="53" t="inlineStr">
        <is>
          <t>LAB-000853</t>
        </is>
      </c>
      <c r="B854" s="53" t="inlineStr">
        <is>
          <t>WP-00381</t>
        </is>
      </c>
      <c r="C854" s="53" t="inlineStr">
        <is>
          <t>TECH-007</t>
        </is>
      </c>
      <c r="D854" s="53" t="inlineStr">
        <is>
          <t>Airframe</t>
        </is>
      </c>
      <c r="E854" s="53" t="inlineStr">
        <is>
          <t>2025-12-16</t>
        </is>
      </c>
      <c r="F854" s="53">
        <v>4.6</v>
      </c>
      <c r="G854" s="53">
        <v>0</v>
      </c>
      <c r="H854" s="51" t="str">
        <f>TEXT(tblLaborEntries[[#This Row],[Work date serial]]-WEEKDAY(tblLaborEntries[[#This Row],[Work date serial]],3),"yyyy-mm-dd")</f>
        <v>2025-12-15</v>
      </c>
      <c r="I854" s="64">
        <f>DATEVALUE(tblLaborEntries[[#This Row],[Work date]])</f>
        <v>46007.0</v>
      </c>
    </row>
    <row r="855" spans="1:9" ht="15" x14ac:dyDescent="0.25">
      <c r="A855" s="53" t="inlineStr">
        <is>
          <t>LAB-000854</t>
        </is>
      </c>
      <c r="B855" s="53" t="inlineStr">
        <is>
          <t>WP-00382</t>
        </is>
      </c>
      <c r="C855" s="53" t="inlineStr">
        <is>
          <t>TECH-050</t>
        </is>
      </c>
      <c r="D855" s="53" t="inlineStr">
        <is>
          <t>Avionics</t>
        </is>
      </c>
      <c r="E855" s="53" t="inlineStr">
        <is>
          <t>2025-09-04</t>
        </is>
      </c>
      <c r="F855" s="53">
        <v>0.8</v>
      </c>
      <c r="G855" s="53">
        <v>0</v>
      </c>
      <c r="H855" s="51" t="str">
        <f>TEXT(tblLaborEntries[[#This Row],[Work date serial]]-WEEKDAY(tblLaborEntries[[#This Row],[Work date serial]],3),"yyyy-mm-dd")</f>
        <v>2025-09-01</v>
      </c>
      <c r="I855" s="64">
        <f>DATEVALUE(tblLaborEntries[[#This Row],[Work date]])</f>
        <v>45904.0</v>
      </c>
    </row>
    <row r="856" spans="1:9" ht="15" x14ac:dyDescent="0.25">
      <c r="A856" s="53" t="inlineStr">
        <is>
          <t>LAB-000855</t>
        </is>
      </c>
      <c r="B856" s="53" t="inlineStr">
        <is>
          <t>WP-00382</t>
        </is>
      </c>
      <c r="C856" s="53" t="inlineStr">
        <is>
          <t>TECH-038</t>
        </is>
      </c>
      <c r="D856" s="53" t="inlineStr">
        <is>
          <t>Avionics</t>
        </is>
      </c>
      <c r="E856" s="53" t="inlineStr">
        <is>
          <t>2025-09-05</t>
        </is>
      </c>
      <c r="F856" s="53">
        <v>0.7</v>
      </c>
      <c r="G856" s="53">
        <v>0</v>
      </c>
      <c r="H856" s="51" t="str">
        <f>TEXT(tblLaborEntries[[#This Row],[Work date serial]]-WEEKDAY(tblLaborEntries[[#This Row],[Work date serial]],3),"yyyy-mm-dd")</f>
        <v>2025-09-01</v>
      </c>
      <c r="I856" s="64">
        <f>DATEVALUE(tblLaborEntries[[#This Row],[Work date]])</f>
        <v>45905.0</v>
      </c>
    </row>
    <row r="857" spans="1:9" ht="15" x14ac:dyDescent="0.25">
      <c r="A857" s="53" t="inlineStr">
        <is>
          <t>LAB-000856</t>
        </is>
      </c>
      <c r="B857" s="53" t="inlineStr">
        <is>
          <t>WP-00382</t>
        </is>
      </c>
      <c r="C857" s="53" t="inlineStr">
        <is>
          <t>TECH-014</t>
        </is>
      </c>
      <c r="D857" s="53" t="inlineStr">
        <is>
          <t>Avionics</t>
        </is>
      </c>
      <c r="E857" s="53" t="inlineStr">
        <is>
          <t>2025-09-06</t>
        </is>
      </c>
      <c r="F857" s="53">
        <v>0.9</v>
      </c>
      <c r="G857" s="53">
        <v>0</v>
      </c>
      <c r="H857" s="51" t="str">
        <f>TEXT(tblLaborEntries[[#This Row],[Work date serial]]-WEEKDAY(tblLaborEntries[[#This Row],[Work date serial]],3),"yyyy-mm-dd")</f>
        <v>2025-09-01</v>
      </c>
      <c r="I857" s="64">
        <f>DATEVALUE(tblLaborEntries[[#This Row],[Work date]])</f>
        <v>45906.0</v>
      </c>
    </row>
    <row r="858" spans="1:9" ht="15" x14ac:dyDescent="0.25">
      <c r="A858" s="53" t="inlineStr">
        <is>
          <t>LAB-000857</t>
        </is>
      </c>
      <c r="B858" s="53" t="inlineStr">
        <is>
          <t>WP-00383</t>
        </is>
      </c>
      <c r="C858" s="53" t="inlineStr">
        <is>
          <t>TECH-065</t>
        </is>
      </c>
      <c r="D858" s="53" t="inlineStr">
        <is>
          <t>Structures</t>
        </is>
      </c>
      <c r="E858" s="53" t="inlineStr">
        <is>
          <t>2024-03-30</t>
        </is>
      </c>
      <c r="F858" s="53">
        <v>9.2</v>
      </c>
      <c r="G858" s="53">
        <v>1.2</v>
      </c>
      <c r="H858" s="51" t="str">
        <f>TEXT(tblLaborEntries[[#This Row],[Work date serial]]-WEEKDAY(tblLaborEntries[[#This Row],[Work date serial]],3),"yyyy-mm-dd")</f>
        <v>2024-03-25</v>
      </c>
      <c r="I858" s="64">
        <f>DATEVALUE(tblLaborEntries[[#This Row],[Work date]])</f>
        <v>45381.0</v>
      </c>
    </row>
    <row r="859" spans="1:9" ht="15" x14ac:dyDescent="0.25">
      <c r="A859" s="53" t="inlineStr">
        <is>
          <t>LAB-000858</t>
        </is>
      </c>
      <c r="B859" s="53" t="inlineStr">
        <is>
          <t>WP-00383</t>
        </is>
      </c>
      <c r="C859" s="53" t="inlineStr">
        <is>
          <t>TECH-053</t>
        </is>
      </c>
      <c r="D859" s="53" t="inlineStr">
        <is>
          <t>Structures</t>
        </is>
      </c>
      <c r="E859" s="53" t="inlineStr">
        <is>
          <t>2024-03-31</t>
        </is>
      </c>
      <c r="F859" s="53">
        <v>7.4</v>
      </c>
      <c r="G859" s="53">
        <v>0</v>
      </c>
      <c r="H859" s="51" t="str">
        <f>TEXT(tblLaborEntries[[#This Row],[Work date serial]]-WEEKDAY(tblLaborEntries[[#This Row],[Work date serial]],3),"yyyy-mm-dd")</f>
        <v>2024-03-25</v>
      </c>
      <c r="I859" s="64">
        <f>DATEVALUE(tblLaborEntries[[#This Row],[Work date]])</f>
        <v>45382.0</v>
      </c>
    </row>
    <row r="860" spans="1:9" ht="15" x14ac:dyDescent="0.25">
      <c r="A860" s="53" t="inlineStr">
        <is>
          <t>LAB-000859</t>
        </is>
      </c>
      <c r="B860" s="53" t="inlineStr">
        <is>
          <t>WP-00383</t>
        </is>
      </c>
      <c r="C860" s="53" t="inlineStr">
        <is>
          <t>TECH-071</t>
        </is>
      </c>
      <c r="D860" s="53" t="inlineStr">
        <is>
          <t>Structures</t>
        </is>
      </c>
      <c r="E860" s="53" t="inlineStr">
        <is>
          <t>2024-04-01</t>
        </is>
      </c>
      <c r="F860" s="53">
        <v>9.7</v>
      </c>
      <c r="G860" s="53">
        <v>1.7</v>
      </c>
      <c r="H860" s="51" t="str">
        <f>TEXT(tblLaborEntries[[#This Row],[Work date serial]]-WEEKDAY(tblLaborEntries[[#This Row],[Work date serial]],3),"yyyy-mm-dd")</f>
        <v>2024-04-01</v>
      </c>
      <c r="I860" s="64">
        <f>DATEVALUE(tblLaborEntries[[#This Row],[Work date]])</f>
        <v>45383.0</v>
      </c>
    </row>
    <row r="861" spans="1:9" ht="15" x14ac:dyDescent="0.25">
      <c r="A861" s="53" t="inlineStr">
        <is>
          <t>LAB-000860</t>
        </is>
      </c>
      <c r="B861" s="53" t="inlineStr">
        <is>
          <t>WP-00384</t>
        </is>
      </c>
      <c r="C861" s="53" t="inlineStr">
        <is>
          <t>TECH-003</t>
        </is>
      </c>
      <c r="D861" s="53" t="inlineStr">
        <is>
          <t>Hydraulics</t>
        </is>
      </c>
      <c r="E861" s="53" t="inlineStr">
        <is>
          <t>2024-05-18</t>
        </is>
      </c>
      <c r="F861" s="53">
        <v>3</v>
      </c>
      <c r="G861" s="53">
        <v>0</v>
      </c>
      <c r="H861" s="51" t="str">
        <f>TEXT(tblLaborEntries[[#This Row],[Work date serial]]-WEEKDAY(tblLaborEntries[[#This Row],[Work date serial]],3),"yyyy-mm-dd")</f>
        <v>2024-05-13</v>
      </c>
      <c r="I861" s="64">
        <f>DATEVALUE(tblLaborEntries[[#This Row],[Work date]])</f>
        <v>45430.0</v>
      </c>
    </row>
    <row r="862" spans="1:9" ht="15" x14ac:dyDescent="0.25">
      <c r="A862" s="53" t="inlineStr">
        <is>
          <t>LAB-000861</t>
        </is>
      </c>
      <c r="B862" s="53" t="inlineStr">
        <is>
          <t>WP-00384</t>
        </is>
      </c>
      <c r="C862" s="53" t="inlineStr">
        <is>
          <t>TECH-051</t>
        </is>
      </c>
      <c r="D862" s="53" t="inlineStr">
        <is>
          <t>Hydraulics</t>
        </is>
      </c>
      <c r="E862" s="53" t="inlineStr">
        <is>
          <t>2024-05-19</t>
        </is>
      </c>
      <c r="F862" s="53">
        <v>2.6</v>
      </c>
      <c r="G862" s="53">
        <v>0</v>
      </c>
      <c r="H862" s="51" t="str">
        <f>TEXT(tblLaborEntries[[#This Row],[Work date serial]]-WEEKDAY(tblLaborEntries[[#This Row],[Work date serial]],3),"yyyy-mm-dd")</f>
        <v>2024-05-13</v>
      </c>
      <c r="I862" s="64">
        <f>DATEVALUE(tblLaborEntries[[#This Row],[Work date]])</f>
        <v>45431.0</v>
      </c>
    </row>
    <row r="863" spans="1:9" ht="15" x14ac:dyDescent="0.25">
      <c r="A863" s="53" t="inlineStr">
        <is>
          <t>LAB-000862</t>
        </is>
      </c>
      <c r="B863" s="53" t="inlineStr">
        <is>
          <t>WP-00384</t>
        </is>
      </c>
      <c r="C863" s="53" t="inlineStr">
        <is>
          <t>TECH-003</t>
        </is>
      </c>
      <c r="D863" s="53" t="inlineStr">
        <is>
          <t>Hydraulics</t>
        </is>
      </c>
      <c r="E863" s="53" t="inlineStr">
        <is>
          <t>2024-05-20</t>
        </is>
      </c>
      <c r="F863" s="53">
        <v>2.2</v>
      </c>
      <c r="G863" s="53">
        <v>0</v>
      </c>
      <c r="H863" s="51" t="str">
        <f>TEXT(tblLaborEntries[[#This Row],[Work date serial]]-WEEKDAY(tblLaborEntries[[#This Row],[Work date serial]],3),"yyyy-mm-dd")</f>
        <v>2024-05-20</v>
      </c>
      <c r="I863" s="64">
        <f>DATEVALUE(tblLaborEntries[[#This Row],[Work date]])</f>
        <v>45432.0</v>
      </c>
    </row>
    <row r="864" spans="1:9" ht="15" x14ac:dyDescent="0.25">
      <c r="A864" s="53" t="inlineStr">
        <is>
          <t>LAB-000863</t>
        </is>
      </c>
      <c r="B864" s="53" t="inlineStr">
        <is>
          <t>WP-00385</t>
        </is>
      </c>
      <c r="C864" s="53" t="inlineStr">
        <is>
          <t>TECH-053</t>
        </is>
      </c>
      <c r="D864" s="53" t="inlineStr">
        <is>
          <t>Structures</t>
        </is>
      </c>
      <c r="E864" s="53" t="inlineStr">
        <is>
          <t>2025-01-17</t>
        </is>
      </c>
      <c r="F864" s="53">
        <v>4.5</v>
      </c>
      <c r="G864" s="53">
        <v>0</v>
      </c>
      <c r="H864" s="51" t="str">
        <f>TEXT(tblLaborEntries[[#This Row],[Work date serial]]-WEEKDAY(tblLaborEntries[[#This Row],[Work date serial]],3),"yyyy-mm-dd")</f>
        <v>2025-01-13</v>
      </c>
      <c r="I864" s="64">
        <f>DATEVALUE(tblLaborEntries[[#This Row],[Work date]])</f>
        <v>45674.0</v>
      </c>
    </row>
    <row r="865" spans="1:9" ht="15" x14ac:dyDescent="0.25">
      <c r="A865" s="53" t="inlineStr">
        <is>
          <t>LAB-000864</t>
        </is>
      </c>
      <c r="B865" s="53" t="inlineStr">
        <is>
          <t>WP-00385</t>
        </is>
      </c>
      <c r="C865" s="53" t="inlineStr">
        <is>
          <t>TECH-005</t>
        </is>
      </c>
      <c r="D865" s="53" t="inlineStr">
        <is>
          <t>Structures</t>
        </is>
      </c>
      <c r="E865" s="53" t="inlineStr">
        <is>
          <t>2025-01-18</t>
        </is>
      </c>
      <c r="F865" s="53">
        <v>12</v>
      </c>
      <c r="G865" s="53">
        <v>4</v>
      </c>
      <c r="H865" s="51" t="str">
        <f>TEXT(tblLaborEntries[[#This Row],[Work date serial]]-WEEKDAY(tblLaborEntries[[#This Row],[Work date serial]],3),"yyyy-mm-dd")</f>
        <v>2025-01-13</v>
      </c>
      <c r="I865" s="64">
        <f>DATEVALUE(tblLaborEntries[[#This Row],[Work date]])</f>
        <v>45675.0</v>
      </c>
    </row>
    <row r="866" spans="1:9" ht="15" x14ac:dyDescent="0.25">
      <c r="A866" s="53" t="inlineStr">
        <is>
          <t>LAB-000865</t>
        </is>
      </c>
      <c r="B866" s="53" t="inlineStr">
        <is>
          <t>WP-00385</t>
        </is>
      </c>
      <c r="C866" s="53" t="inlineStr">
        <is>
          <t>TECH-011</t>
        </is>
      </c>
      <c r="D866" s="53" t="inlineStr">
        <is>
          <t>Structures</t>
        </is>
      </c>
      <c r="E866" s="53" t="inlineStr">
        <is>
          <t>2025-01-18</t>
        </is>
      </c>
      <c r="F866" s="53">
        <v>12</v>
      </c>
      <c r="G866" s="53">
        <v>4</v>
      </c>
      <c r="H866" s="51" t="str">
        <f>TEXT(tblLaborEntries[[#This Row],[Work date serial]]-WEEKDAY(tblLaborEntries[[#This Row],[Work date serial]],3),"yyyy-mm-dd")</f>
        <v>2025-01-13</v>
      </c>
      <c r="I866" s="64">
        <f>DATEVALUE(tblLaborEntries[[#This Row],[Work date]])</f>
        <v>45675.0</v>
      </c>
    </row>
    <row r="867" spans="1:9" ht="15" x14ac:dyDescent="0.25">
      <c r="A867" s="53" t="inlineStr">
        <is>
          <t>LAB-000866</t>
        </is>
      </c>
      <c r="B867" s="53" t="inlineStr">
        <is>
          <t>WP-00385</t>
        </is>
      </c>
      <c r="C867" s="53" t="inlineStr">
        <is>
          <t>TECH-053</t>
        </is>
      </c>
      <c r="D867" s="53" t="inlineStr">
        <is>
          <t>Structures</t>
        </is>
      </c>
      <c r="E867" s="53" t="inlineStr">
        <is>
          <t>2025-01-18</t>
        </is>
      </c>
      <c r="F867" s="53">
        <v>12</v>
      </c>
      <c r="G867" s="53">
        <v>4</v>
      </c>
      <c r="H867" s="51" t="str">
        <f>TEXT(tblLaborEntries[[#This Row],[Work date serial]]-WEEKDAY(tblLaborEntries[[#This Row],[Work date serial]],3),"yyyy-mm-dd")</f>
        <v>2025-01-13</v>
      </c>
      <c r="I867" s="64">
        <f>DATEVALUE(tblLaborEntries[[#This Row],[Work date]])</f>
        <v>45675.0</v>
      </c>
    </row>
    <row r="868" spans="1:9" ht="15" x14ac:dyDescent="0.25">
      <c r="A868" s="53" t="inlineStr">
        <is>
          <t>LAB-000867</t>
        </is>
      </c>
      <c r="B868" s="53" t="inlineStr">
        <is>
          <t>WP-00386</t>
        </is>
      </c>
      <c r="C868" s="53" t="inlineStr">
        <is>
          <t>TECH-037</t>
        </is>
      </c>
      <c r="D868" s="53" t="inlineStr">
        <is>
          <t>Airframe</t>
        </is>
      </c>
      <c r="E868" s="53" t="inlineStr">
        <is>
          <t>2025-10-06</t>
        </is>
      </c>
      <c r="F868" s="53">
        <v>3.5</v>
      </c>
      <c r="G868" s="53">
        <v>0</v>
      </c>
      <c r="H868" s="51" t="str">
        <f>TEXT(tblLaborEntries[[#This Row],[Work date serial]]-WEEKDAY(tblLaborEntries[[#This Row],[Work date serial]],3),"yyyy-mm-dd")</f>
        <v>2025-10-06</v>
      </c>
      <c r="I868" s="64">
        <f>DATEVALUE(tblLaborEntries[[#This Row],[Work date]])</f>
        <v>45936.0</v>
      </c>
    </row>
    <row r="869" spans="1:9" ht="15" x14ac:dyDescent="0.25">
      <c r="A869" s="53" t="inlineStr">
        <is>
          <t>LAB-000868</t>
        </is>
      </c>
      <c r="B869" s="53" t="inlineStr">
        <is>
          <t>WP-00386</t>
        </is>
      </c>
      <c r="C869" s="53" t="inlineStr">
        <is>
          <t>TECH-055</t>
        </is>
      </c>
      <c r="D869" s="53" t="inlineStr">
        <is>
          <t>Airframe</t>
        </is>
      </c>
      <c r="E869" s="53" t="inlineStr">
        <is>
          <t>2025-10-07</t>
        </is>
      </c>
      <c r="F869" s="53">
        <v>4.2</v>
      </c>
      <c r="G869" s="53">
        <v>0</v>
      </c>
      <c r="H869" s="51" t="str">
        <f>TEXT(tblLaborEntries[[#This Row],[Work date serial]]-WEEKDAY(tblLaborEntries[[#This Row],[Work date serial]],3),"yyyy-mm-dd")</f>
        <v>2025-10-06</v>
      </c>
      <c r="I869" s="64">
        <f>DATEVALUE(tblLaborEntries[[#This Row],[Work date]])</f>
        <v>45937.0</v>
      </c>
    </row>
    <row r="870" spans="1:9" ht="15" x14ac:dyDescent="0.25">
      <c r="A870" s="53" t="inlineStr">
        <is>
          <t>LAB-000869</t>
        </is>
      </c>
      <c r="B870" s="53" t="inlineStr">
        <is>
          <t>WP-00387</t>
        </is>
      </c>
      <c r="C870" s="53" t="inlineStr">
        <is>
          <t>TECH-073</t>
        </is>
      </c>
      <c r="D870" s="53" t="inlineStr">
        <is>
          <t>Airframe</t>
        </is>
      </c>
      <c r="E870" s="53" t="inlineStr">
        <is>
          <t>2025-08-23</t>
        </is>
      </c>
      <c r="F870" s="53">
        <v>0.9</v>
      </c>
      <c r="G870" s="53">
        <v>0</v>
      </c>
      <c r="H870" s="51" t="str">
        <f>TEXT(tblLaborEntries[[#This Row],[Work date serial]]-WEEKDAY(tblLaborEntries[[#This Row],[Work date serial]],3),"yyyy-mm-dd")</f>
        <v>2025-08-18</v>
      </c>
      <c r="I870" s="64">
        <f>DATEVALUE(tblLaborEntries[[#This Row],[Work date]])</f>
        <v>45892.0</v>
      </c>
    </row>
    <row r="871" spans="1:9" ht="15" x14ac:dyDescent="0.25">
      <c r="A871" s="53" t="inlineStr">
        <is>
          <t>LAB-000870</t>
        </is>
      </c>
      <c r="B871" s="53" t="inlineStr">
        <is>
          <t>WP-00387</t>
        </is>
      </c>
      <c r="C871" s="53" t="inlineStr">
        <is>
          <t>TECH-061</t>
        </is>
      </c>
      <c r="D871" s="53" t="inlineStr">
        <is>
          <t>Airframe</t>
        </is>
      </c>
      <c r="E871" s="53" t="inlineStr">
        <is>
          <t>2025-08-24</t>
        </is>
      </c>
      <c r="F871" s="53">
        <v>0.8</v>
      </c>
      <c r="G871" s="53">
        <v>0</v>
      </c>
      <c r="H871" s="51" t="str">
        <f>TEXT(tblLaborEntries[[#This Row],[Work date serial]]-WEEKDAY(tblLaborEntries[[#This Row],[Work date serial]],3),"yyyy-mm-dd")</f>
        <v>2025-08-18</v>
      </c>
      <c r="I871" s="64">
        <f>DATEVALUE(tblLaborEntries[[#This Row],[Work date]])</f>
        <v>45893.0</v>
      </c>
    </row>
    <row r="872" spans="1:9" ht="15" x14ac:dyDescent="0.25">
      <c r="A872" s="53" t="inlineStr">
        <is>
          <t>LAB-000871</t>
        </is>
      </c>
      <c r="B872" s="53" t="inlineStr">
        <is>
          <t>WP-00387</t>
        </is>
      </c>
      <c r="C872" s="53" t="inlineStr">
        <is>
          <t>TECH-007</t>
        </is>
      </c>
      <c r="D872" s="53" t="inlineStr">
        <is>
          <t>Airframe</t>
        </is>
      </c>
      <c r="E872" s="53" t="inlineStr">
        <is>
          <t>2025-08-25</t>
        </is>
      </c>
      <c r="F872" s="53">
        <v>0.6</v>
      </c>
      <c r="G872" s="53">
        <v>0</v>
      </c>
      <c r="H872" s="51" t="str">
        <f>TEXT(tblLaborEntries[[#This Row],[Work date serial]]-WEEKDAY(tblLaborEntries[[#This Row],[Work date serial]],3),"yyyy-mm-dd")</f>
        <v>2025-08-25</v>
      </c>
      <c r="I872" s="64">
        <f>DATEVALUE(tblLaborEntries[[#This Row],[Work date]])</f>
        <v>45894.0</v>
      </c>
    </row>
    <row r="873" spans="1:9" ht="15" x14ac:dyDescent="0.25">
      <c r="A873" s="53" t="inlineStr">
        <is>
          <t>LAB-000872</t>
        </is>
      </c>
      <c r="B873" s="53" t="inlineStr">
        <is>
          <t>WP-00388</t>
        </is>
      </c>
      <c r="C873" s="53" t="inlineStr">
        <is>
          <t>TECH-009</t>
        </is>
      </c>
      <c r="D873" s="53" t="inlineStr">
        <is>
          <t>Hydraulics</t>
        </is>
      </c>
      <c r="E873" s="53" t="inlineStr">
        <is>
          <t>2025-11-11</t>
        </is>
      </c>
      <c r="F873" s="53">
        <v>9.5</v>
      </c>
      <c r="G873" s="53">
        <v>1.5</v>
      </c>
      <c r="H873" s="51" t="str">
        <f>TEXT(tblLaborEntries[[#This Row],[Work date serial]]-WEEKDAY(tblLaborEntries[[#This Row],[Work date serial]],3),"yyyy-mm-dd")</f>
        <v>2025-11-10</v>
      </c>
      <c r="I873" s="64">
        <f>DATEVALUE(tblLaborEntries[[#This Row],[Work date]])</f>
        <v>45972.0</v>
      </c>
    </row>
    <row r="874" spans="1:9" ht="15" x14ac:dyDescent="0.25">
      <c r="A874" s="53" t="inlineStr">
        <is>
          <t>LAB-000873</t>
        </is>
      </c>
      <c r="B874" s="53" t="inlineStr">
        <is>
          <t>WP-00388</t>
        </is>
      </c>
      <c r="C874" s="53" t="inlineStr">
        <is>
          <t>TECH-039</t>
        </is>
      </c>
      <c r="D874" s="53" t="inlineStr">
        <is>
          <t>Hydraulics</t>
        </is>
      </c>
      <c r="E874" s="53" t="inlineStr">
        <is>
          <t>2025-11-12</t>
        </is>
      </c>
      <c r="F874" s="53">
        <v>11.1</v>
      </c>
      <c r="G874" s="53">
        <v>3.1</v>
      </c>
      <c r="H874" s="51" t="str">
        <f>TEXT(tblLaborEntries[[#This Row],[Work date serial]]-WEEKDAY(tblLaborEntries[[#This Row],[Work date serial]],3),"yyyy-mm-dd")</f>
        <v>2025-11-10</v>
      </c>
      <c r="I874" s="64">
        <f>DATEVALUE(tblLaborEntries[[#This Row],[Work date]])</f>
        <v>45973.0</v>
      </c>
    </row>
    <row r="875" spans="1:9" ht="15" x14ac:dyDescent="0.25">
      <c r="A875" s="53" t="inlineStr">
        <is>
          <t>LAB-000874</t>
        </is>
      </c>
      <c r="B875" s="53" t="inlineStr">
        <is>
          <t>WP-00389</t>
        </is>
      </c>
      <c r="C875" s="53" t="inlineStr">
        <is>
          <t>TECH-025</t>
        </is>
      </c>
      <c r="D875" s="53" t="inlineStr">
        <is>
          <t>Airframe</t>
        </is>
      </c>
      <c r="E875" s="53" t="inlineStr">
        <is>
          <t>2024-09-16</t>
        </is>
      </c>
      <c r="F875" s="53">
        <v>6.4</v>
      </c>
      <c r="G875" s="53">
        <v>0</v>
      </c>
      <c r="H875" s="51" t="str">
        <f>TEXT(tblLaborEntries[[#This Row],[Work date serial]]-WEEKDAY(tblLaborEntries[[#This Row],[Work date serial]],3),"yyyy-mm-dd")</f>
        <v>2024-09-16</v>
      </c>
      <c r="I875" s="64">
        <f>DATEVALUE(tblLaborEntries[[#This Row],[Work date]])</f>
        <v>45551.0</v>
      </c>
    </row>
    <row r="876" spans="1:9" ht="15" x14ac:dyDescent="0.25">
      <c r="A876" s="53" t="inlineStr">
        <is>
          <t>LAB-000875</t>
        </is>
      </c>
      <c r="B876" s="53" t="inlineStr">
        <is>
          <t>WP-00389</t>
        </is>
      </c>
      <c r="C876" s="53" t="inlineStr">
        <is>
          <t>TECH-067</t>
        </is>
      </c>
      <c r="D876" s="53" t="inlineStr">
        <is>
          <t>Airframe</t>
        </is>
      </c>
      <c r="E876" s="53" t="inlineStr">
        <is>
          <t>2024-09-17</t>
        </is>
      </c>
      <c r="F876" s="53">
        <v>5.5</v>
      </c>
      <c r="G876" s="53">
        <v>0.2</v>
      </c>
      <c r="H876" s="51" t="str">
        <f>TEXT(tblLaborEntries[[#This Row],[Work date serial]]-WEEKDAY(tblLaborEntries[[#This Row],[Work date serial]],3),"yyyy-mm-dd")</f>
        <v>2024-09-16</v>
      </c>
      <c r="I876" s="64">
        <f>DATEVALUE(tblLaborEntries[[#This Row],[Work date]])</f>
        <v>45552.0</v>
      </c>
    </row>
    <row r="877" spans="1:9" ht="15" x14ac:dyDescent="0.25">
      <c r="A877" s="53" t="inlineStr">
        <is>
          <t>LAB-000876</t>
        </is>
      </c>
      <c r="B877" s="53" t="inlineStr">
        <is>
          <t>WP-00390</t>
        </is>
      </c>
      <c r="C877" s="53" t="inlineStr">
        <is>
          <t>TECH-073</t>
        </is>
      </c>
      <c r="D877" s="53" t="inlineStr">
        <is>
          <t>Airframe</t>
        </is>
      </c>
      <c r="E877" s="53" t="inlineStr">
        <is>
          <t>2024-08-02</t>
        </is>
      </c>
      <c r="F877" s="53">
        <v>0.6</v>
      </c>
      <c r="G877" s="53">
        <v>0</v>
      </c>
      <c r="H877" s="51" t="str">
        <f>TEXT(tblLaborEntries[[#This Row],[Work date serial]]-WEEKDAY(tblLaborEntries[[#This Row],[Work date serial]],3),"yyyy-mm-dd")</f>
        <v>2024-07-29</v>
      </c>
      <c r="I877" s="64">
        <f>DATEVALUE(tblLaborEntries[[#This Row],[Work date]])</f>
        <v>45506.0</v>
      </c>
    </row>
    <row r="878" spans="1:9" ht="15" x14ac:dyDescent="0.25">
      <c r="A878" s="53" t="inlineStr">
        <is>
          <t>LAB-000877</t>
        </is>
      </c>
      <c r="B878" s="53" t="inlineStr">
        <is>
          <t>WP-00390</t>
        </is>
      </c>
      <c r="C878" s="53" t="inlineStr">
        <is>
          <t>TECH-061</t>
        </is>
      </c>
      <c r="D878" s="53" t="inlineStr">
        <is>
          <t>Airframe</t>
        </is>
      </c>
      <c r="E878" s="53" t="inlineStr">
        <is>
          <t>2024-08-03</t>
        </is>
      </c>
      <c r="F878" s="53">
        <v>0.6</v>
      </c>
      <c r="G878" s="53">
        <v>0</v>
      </c>
      <c r="H878" s="51" t="str">
        <f>TEXT(tblLaborEntries[[#This Row],[Work date serial]]-WEEKDAY(tblLaborEntries[[#This Row],[Work date serial]],3),"yyyy-mm-dd")</f>
        <v>2024-07-29</v>
      </c>
      <c r="I878" s="64">
        <f>DATEVALUE(tblLaborEntries[[#This Row],[Work date]])</f>
        <v>45507.0</v>
      </c>
    </row>
    <row r="879" spans="1:9" ht="15" x14ac:dyDescent="0.25">
      <c r="A879" s="53" t="inlineStr">
        <is>
          <t>LAB-000878</t>
        </is>
      </c>
      <c r="B879" s="53" t="inlineStr">
        <is>
          <t>WP-00390</t>
        </is>
      </c>
      <c r="C879" s="53" t="inlineStr">
        <is>
          <t>TECH-019</t>
        </is>
      </c>
      <c r="D879" s="53" t="inlineStr">
        <is>
          <t>Airframe</t>
        </is>
      </c>
      <c r="E879" s="53" t="inlineStr">
        <is>
          <t>2024-08-04</t>
        </is>
      </c>
      <c r="F879" s="53">
        <v>0.7</v>
      </c>
      <c r="G879" s="53">
        <v>0</v>
      </c>
      <c r="H879" s="51" t="str">
        <f>TEXT(tblLaborEntries[[#This Row],[Work date serial]]-WEEKDAY(tblLaborEntries[[#This Row],[Work date serial]],3),"yyyy-mm-dd")</f>
        <v>2024-07-29</v>
      </c>
      <c r="I879" s="64">
        <f>DATEVALUE(tblLaborEntries[[#This Row],[Work date]])</f>
        <v>45508.0</v>
      </c>
    </row>
    <row r="880" spans="1:9" ht="15" x14ac:dyDescent="0.25">
      <c r="A880" s="53" t="inlineStr">
        <is>
          <t>LAB-000879</t>
        </is>
      </c>
      <c r="B880" s="53" t="inlineStr">
        <is>
          <t>WP-00391</t>
        </is>
      </c>
      <c r="C880" s="53" t="inlineStr">
        <is>
          <t>TECH-007</t>
        </is>
      </c>
      <c r="D880" s="53" t="inlineStr">
        <is>
          <t>Airframe</t>
        </is>
      </c>
      <c r="E880" s="53" t="inlineStr">
        <is>
          <t>2024-02-11</t>
        </is>
      </c>
      <c r="F880" s="53">
        <v>2.9</v>
      </c>
      <c r="G880" s="53">
        <v>0</v>
      </c>
      <c r="H880" s="51" t="str">
        <f>TEXT(tblLaborEntries[[#This Row],[Work date serial]]-WEEKDAY(tblLaborEntries[[#This Row],[Work date serial]],3),"yyyy-mm-dd")</f>
        <v>2024-02-05</v>
      </c>
      <c r="I880" s="64">
        <f>DATEVALUE(tblLaborEntries[[#This Row],[Work date]])</f>
        <v>45333.0</v>
      </c>
    </row>
    <row r="881" spans="1:9" ht="15" x14ac:dyDescent="0.25">
      <c r="A881" s="53" t="inlineStr">
        <is>
          <t>LAB-000880</t>
        </is>
      </c>
      <c r="B881" s="53" t="inlineStr">
        <is>
          <t>WP-00391</t>
        </is>
      </c>
      <c r="C881" s="53" t="inlineStr">
        <is>
          <t>TECH-019</t>
        </is>
      </c>
      <c r="D881" s="53" t="inlineStr">
        <is>
          <t>Airframe</t>
        </is>
      </c>
      <c r="E881" s="53" t="inlineStr">
        <is>
          <t>2024-02-11</t>
        </is>
      </c>
      <c r="F881" s="53">
        <v>4.8</v>
      </c>
      <c r="G881" s="53">
        <v>0</v>
      </c>
      <c r="H881" s="51" t="str">
        <f>TEXT(tblLaborEntries[[#This Row],[Work date serial]]-WEEKDAY(tblLaborEntries[[#This Row],[Work date serial]],3),"yyyy-mm-dd")</f>
        <v>2024-02-05</v>
      </c>
      <c r="I881" s="64">
        <f>DATEVALUE(tblLaborEntries[[#This Row],[Work date]])</f>
        <v>45333.0</v>
      </c>
    </row>
    <row r="882" spans="1:9" ht="15" x14ac:dyDescent="0.25">
      <c r="A882" s="53" t="inlineStr">
        <is>
          <t>LAB-000881</t>
        </is>
      </c>
      <c r="B882" s="53" t="inlineStr">
        <is>
          <t>WP-00392</t>
        </is>
      </c>
      <c r="C882" s="53" t="inlineStr">
        <is>
          <t>TECH-018</t>
        </is>
      </c>
      <c r="D882" s="53" t="inlineStr">
        <is>
          <t>Powerplant</t>
        </is>
      </c>
      <c r="E882" s="53" t="inlineStr">
        <is>
          <t>2024-04-24</t>
        </is>
      </c>
      <c r="F882" s="53">
        <v>3.6</v>
      </c>
      <c r="G882" s="53">
        <v>0</v>
      </c>
      <c r="H882" s="51" t="str">
        <f>TEXT(tblLaborEntries[[#This Row],[Work date serial]]-WEEKDAY(tblLaborEntries[[#This Row],[Work date serial]],3),"yyyy-mm-dd")</f>
        <v>2024-04-22</v>
      </c>
      <c r="I882" s="64">
        <f>DATEVALUE(tblLaborEntries[[#This Row],[Work date]])</f>
        <v>45406.0</v>
      </c>
    </row>
    <row r="883" spans="1:9" ht="15" x14ac:dyDescent="0.25">
      <c r="A883" s="53" t="inlineStr">
        <is>
          <t>LAB-000882</t>
        </is>
      </c>
      <c r="B883" s="53" t="inlineStr">
        <is>
          <t>WP-00392</t>
        </is>
      </c>
      <c r="C883" s="53" t="inlineStr">
        <is>
          <t>TECH-018</t>
        </is>
      </c>
      <c r="D883" s="53" t="inlineStr">
        <is>
          <t>Powerplant</t>
        </is>
      </c>
      <c r="E883" s="53" t="inlineStr">
        <is>
          <t>2024-04-25</t>
        </is>
      </c>
      <c r="F883" s="53">
        <v>4.1</v>
      </c>
      <c r="G883" s="53">
        <v>0</v>
      </c>
      <c r="H883" s="51" t="str">
        <f>TEXT(tblLaborEntries[[#This Row],[Work date serial]]-WEEKDAY(tblLaborEntries[[#This Row],[Work date serial]],3),"yyyy-mm-dd")</f>
        <v>2024-04-22</v>
      </c>
      <c r="I883" s="64">
        <f>DATEVALUE(tblLaborEntries[[#This Row],[Work date]])</f>
        <v>45407.0</v>
      </c>
    </row>
    <row r="884" spans="1:9" ht="15" x14ac:dyDescent="0.25">
      <c r="A884" s="53" t="inlineStr">
        <is>
          <t>LAB-000883</t>
        </is>
      </c>
      <c r="B884" s="53" t="inlineStr">
        <is>
          <t>WP-00392</t>
        </is>
      </c>
      <c r="C884" s="53" t="inlineStr">
        <is>
          <t>TECH-030</t>
        </is>
      </c>
      <c r="D884" s="53" t="inlineStr">
        <is>
          <t>Powerplant</t>
        </is>
      </c>
      <c r="E884" s="53" t="inlineStr">
        <is>
          <t>2024-04-26</t>
        </is>
      </c>
      <c r="F884" s="53">
        <v>4.6</v>
      </c>
      <c r="G884" s="53">
        <v>0</v>
      </c>
      <c r="H884" s="51" t="str">
        <f>TEXT(tblLaborEntries[[#This Row],[Work date serial]]-WEEKDAY(tblLaborEntries[[#This Row],[Work date serial]],3),"yyyy-mm-dd")</f>
        <v>2024-04-22</v>
      </c>
      <c r="I884" s="64">
        <f>DATEVALUE(tblLaborEntries[[#This Row],[Work date]])</f>
        <v>45408.0</v>
      </c>
    </row>
    <row r="885" spans="1:9" ht="15" x14ac:dyDescent="0.25">
      <c r="A885" s="53" t="inlineStr">
        <is>
          <t>LAB-000884</t>
        </is>
      </c>
      <c r="B885" s="53" t="inlineStr">
        <is>
          <t>WP-00393</t>
        </is>
      </c>
      <c r="C885" s="53" t="inlineStr">
        <is>
          <t>TECH-047</t>
        </is>
      </c>
      <c r="D885" s="53" t="inlineStr">
        <is>
          <t>Structures</t>
        </is>
      </c>
      <c r="E885" s="53" t="inlineStr">
        <is>
          <t>2024-07-15</t>
        </is>
      </c>
      <c r="F885" s="53">
        <v>11.5</v>
      </c>
      <c r="G885" s="53">
        <v>4</v>
      </c>
      <c r="H885" s="51" t="str">
        <f>TEXT(tblLaborEntries[[#This Row],[Work date serial]]-WEEKDAY(tblLaborEntries[[#This Row],[Work date serial]],3),"yyyy-mm-dd")</f>
        <v>2024-07-15</v>
      </c>
      <c r="I885" s="64">
        <f>DATEVALUE(tblLaborEntries[[#This Row],[Work date]])</f>
        <v>45488.0</v>
      </c>
    </row>
    <row r="886" spans="1:9" ht="15" x14ac:dyDescent="0.25">
      <c r="A886" s="53" t="inlineStr">
        <is>
          <t>LAB-000885</t>
        </is>
      </c>
      <c r="B886" s="53" t="inlineStr">
        <is>
          <t>WP-00393</t>
        </is>
      </c>
      <c r="C886" s="53" t="inlineStr">
        <is>
          <t>TECH-005</t>
        </is>
      </c>
      <c r="D886" s="53" t="inlineStr">
        <is>
          <t>Structures</t>
        </is>
      </c>
      <c r="E886" s="53" t="inlineStr">
        <is>
          <t>2024-07-16</t>
        </is>
      </c>
      <c r="F886" s="53">
        <v>0.2</v>
      </c>
      <c r="G886" s="53">
        <v>0</v>
      </c>
      <c r="H886" s="51" t="str">
        <f>TEXT(tblLaborEntries[[#This Row],[Work date serial]]-WEEKDAY(tblLaborEntries[[#This Row],[Work date serial]],3),"yyyy-mm-dd")</f>
        <v>2024-07-15</v>
      </c>
      <c r="I886" s="64">
        <f>DATEVALUE(tblLaborEntries[[#This Row],[Work date]])</f>
        <v>45489.0</v>
      </c>
    </row>
    <row r="887" spans="1:9" ht="15" x14ac:dyDescent="0.25">
      <c r="A887" s="53" t="inlineStr">
        <is>
          <t>LAB-000886</t>
        </is>
      </c>
      <c r="B887" s="53" t="inlineStr">
        <is>
          <t>WP-00393</t>
        </is>
      </c>
      <c r="C887" s="53" t="inlineStr">
        <is>
          <t>TECH-065</t>
        </is>
      </c>
      <c r="D887" s="53" t="inlineStr">
        <is>
          <t>Structures</t>
        </is>
      </c>
      <c r="E887" s="53" t="inlineStr">
        <is>
          <t>2024-07-16</t>
        </is>
      </c>
      <c r="F887" s="53">
        <v>12</v>
      </c>
      <c r="G887" s="53">
        <v>4</v>
      </c>
      <c r="H887" s="51" t="str">
        <f>TEXT(tblLaborEntries[[#This Row],[Work date serial]]-WEEKDAY(tblLaborEntries[[#This Row],[Work date serial]],3),"yyyy-mm-dd")</f>
        <v>2024-07-15</v>
      </c>
      <c r="I887" s="64">
        <f>DATEVALUE(tblLaborEntries[[#This Row],[Work date]])</f>
        <v>45489.0</v>
      </c>
    </row>
    <row r="888" spans="1:9" ht="15" x14ac:dyDescent="0.25">
      <c r="A888" s="53" t="inlineStr">
        <is>
          <t>LAB-000887</t>
        </is>
      </c>
      <c r="B888" s="53" t="inlineStr">
        <is>
          <t>WP-00393</t>
        </is>
      </c>
      <c r="C888" s="53" t="inlineStr">
        <is>
          <t>TECH-005</t>
        </is>
      </c>
      <c r="D888" s="53" t="inlineStr">
        <is>
          <t>Structures</t>
        </is>
      </c>
      <c r="E888" s="53" t="inlineStr">
        <is>
          <t>2024-07-17</t>
        </is>
      </c>
      <c r="F888" s="53">
        <v>2.3</v>
      </c>
      <c r="G888" s="53">
        <v>0</v>
      </c>
      <c r="H888" s="51" t="str">
        <f>TEXT(tblLaborEntries[[#This Row],[Work date serial]]-WEEKDAY(tblLaborEntries[[#This Row],[Work date serial]],3),"yyyy-mm-dd")</f>
        <v>2024-07-15</v>
      </c>
      <c r="I888" s="64">
        <f>DATEVALUE(tblLaborEntries[[#This Row],[Work date]])</f>
        <v>45490.0</v>
      </c>
    </row>
    <row r="889" spans="1:9" ht="15" x14ac:dyDescent="0.25">
      <c r="A889" s="53" t="inlineStr">
        <is>
          <t>LAB-000888</t>
        </is>
      </c>
      <c r="B889" s="53" t="inlineStr">
        <is>
          <t>WP-00393</t>
        </is>
      </c>
      <c r="C889" s="53" t="inlineStr">
        <is>
          <t>TECH-047</t>
        </is>
      </c>
      <c r="D889" s="53" t="inlineStr">
        <is>
          <t>Structures</t>
        </is>
      </c>
      <c r="E889" s="53" t="inlineStr">
        <is>
          <t>2024-07-17</t>
        </is>
      </c>
      <c r="F889" s="53">
        <v>12</v>
      </c>
      <c r="G889" s="53">
        <v>4</v>
      </c>
      <c r="H889" s="51" t="str">
        <f>TEXT(tblLaborEntries[[#This Row],[Work date serial]]-WEEKDAY(tblLaborEntries[[#This Row],[Work date serial]],3),"yyyy-mm-dd")</f>
        <v>2024-07-15</v>
      </c>
      <c r="I889" s="64">
        <f>DATEVALUE(tblLaborEntries[[#This Row],[Work date]])</f>
        <v>45490.0</v>
      </c>
    </row>
    <row r="890" spans="1:9" ht="15" x14ac:dyDescent="0.25">
      <c r="A890" s="53" t="inlineStr">
        <is>
          <t>LAB-000889</t>
        </is>
      </c>
      <c r="B890" s="53" t="inlineStr">
        <is>
          <t>WP-00394</t>
        </is>
      </c>
      <c r="C890" s="53" t="inlineStr">
        <is>
          <t>TECH-054</t>
        </is>
      </c>
      <c r="D890" s="53" t="inlineStr">
        <is>
          <t>Powerplant</t>
        </is>
      </c>
      <c r="E890" s="53" t="inlineStr">
        <is>
          <t>2024-07-15</t>
        </is>
      </c>
      <c r="F890" s="53">
        <v>4.4</v>
      </c>
      <c r="G890" s="53">
        <v>0</v>
      </c>
      <c r="H890" s="51" t="str">
        <f>TEXT(tblLaborEntries[[#This Row],[Work date serial]]-WEEKDAY(tblLaborEntries[[#This Row],[Work date serial]],3),"yyyy-mm-dd")</f>
        <v>2024-07-15</v>
      </c>
      <c r="I890" s="64">
        <f>DATEVALUE(tblLaborEntries[[#This Row],[Work date]])</f>
        <v>45488.0</v>
      </c>
    </row>
    <row r="891" spans="1:9" ht="15" x14ac:dyDescent="0.25">
      <c r="A891" s="53" t="inlineStr">
        <is>
          <t>LAB-000890</t>
        </is>
      </c>
      <c r="B891" s="53" t="inlineStr">
        <is>
          <t>WP-00394</t>
        </is>
      </c>
      <c r="C891" s="53" t="inlineStr">
        <is>
          <t>TECH-042</t>
        </is>
      </c>
      <c r="D891" s="53" t="inlineStr">
        <is>
          <t>Powerplant</t>
        </is>
      </c>
      <c r="E891" s="53" t="inlineStr">
        <is>
          <t>2024-07-16</t>
        </is>
      </c>
      <c r="F891" s="53">
        <v>5.3</v>
      </c>
      <c r="G891" s="53">
        <v>0</v>
      </c>
      <c r="H891" s="51" t="str">
        <f>TEXT(tblLaborEntries[[#This Row],[Work date serial]]-WEEKDAY(tblLaborEntries[[#This Row],[Work date serial]],3),"yyyy-mm-dd")</f>
        <v>2024-07-15</v>
      </c>
      <c r="I891" s="64">
        <f>DATEVALUE(tblLaborEntries[[#This Row],[Work date]])</f>
        <v>45489.0</v>
      </c>
    </row>
    <row r="892" spans="1:9" ht="15" x14ac:dyDescent="0.25">
      <c r="A892" s="53" t="inlineStr">
        <is>
          <t>LAB-000891</t>
        </is>
      </c>
      <c r="B892" s="53" t="inlineStr">
        <is>
          <t>WP-00395</t>
        </is>
      </c>
      <c r="C892" s="53" t="inlineStr">
        <is>
          <t>TECH-015</t>
        </is>
      </c>
      <c r="D892" s="53" t="inlineStr">
        <is>
          <t>Hydraulics</t>
        </is>
      </c>
      <c r="E892" s="53" t="inlineStr">
        <is>
          <t>2025-03-28</t>
        </is>
      </c>
      <c r="F892" s="53">
        <v>7.4</v>
      </c>
      <c r="G892" s="53">
        <v>0</v>
      </c>
      <c r="H892" s="51" t="str">
        <f>TEXT(tblLaborEntries[[#This Row],[Work date serial]]-WEEKDAY(tblLaborEntries[[#This Row],[Work date serial]],3),"yyyy-mm-dd")</f>
        <v>2025-03-24</v>
      </c>
      <c r="I892" s="64">
        <f>DATEVALUE(tblLaborEntries[[#This Row],[Work date]])</f>
        <v>45744.0</v>
      </c>
    </row>
    <row r="893" spans="1:9" ht="15" x14ac:dyDescent="0.25">
      <c r="A893" s="53" t="inlineStr">
        <is>
          <t>LAB-000892</t>
        </is>
      </c>
      <c r="B893" s="53" t="inlineStr">
        <is>
          <t>WP-00395</t>
        </is>
      </c>
      <c r="C893" s="53" t="inlineStr">
        <is>
          <t>TECH-069</t>
        </is>
      </c>
      <c r="D893" s="53" t="inlineStr">
        <is>
          <t>Hydraulics</t>
        </is>
      </c>
      <c r="E893" s="53" t="inlineStr">
        <is>
          <t>2025-03-29</t>
        </is>
      </c>
      <c r="F893" s="53">
        <v>9.7</v>
      </c>
      <c r="G893" s="53">
        <v>1.7</v>
      </c>
      <c r="H893" s="51" t="str">
        <f>TEXT(tblLaborEntries[[#This Row],[Work date serial]]-WEEKDAY(tblLaborEntries[[#This Row],[Work date serial]],3),"yyyy-mm-dd")</f>
        <v>2025-03-24</v>
      </c>
      <c r="I893" s="64">
        <f>DATEVALUE(tblLaborEntries[[#This Row],[Work date]])</f>
        <v>45745.0</v>
      </c>
    </row>
    <row r="894" spans="1:9" ht="15" x14ac:dyDescent="0.25">
      <c r="A894" s="53" t="inlineStr">
        <is>
          <t>LAB-000893</t>
        </is>
      </c>
      <c r="B894" s="53" t="inlineStr">
        <is>
          <t>WP-00395</t>
        </is>
      </c>
      <c r="C894" s="53" t="inlineStr">
        <is>
          <t>TECH-027</t>
        </is>
      </c>
      <c r="D894" s="53" t="inlineStr">
        <is>
          <t>Hydraulics</t>
        </is>
      </c>
      <c r="E894" s="53" t="inlineStr">
        <is>
          <t>2025-03-30</t>
        </is>
      </c>
      <c r="F894" s="53">
        <v>7.6</v>
      </c>
      <c r="G894" s="53">
        <v>0</v>
      </c>
      <c r="H894" s="51" t="str">
        <f>TEXT(tblLaborEntries[[#This Row],[Work date serial]]-WEEKDAY(tblLaborEntries[[#This Row],[Work date serial]],3),"yyyy-mm-dd")</f>
        <v>2025-03-24</v>
      </c>
      <c r="I894" s="64">
        <f>DATEVALUE(tblLaborEntries[[#This Row],[Work date]])</f>
        <v>45746.0</v>
      </c>
    </row>
    <row r="895" spans="1:9" ht="15" x14ac:dyDescent="0.25">
      <c r="A895" s="53" t="inlineStr">
        <is>
          <t>LAB-000894</t>
        </is>
      </c>
      <c r="B895" s="53" t="inlineStr">
        <is>
          <t>WP-00396</t>
        </is>
      </c>
      <c r="C895" s="53" t="inlineStr">
        <is>
          <t>TECH-003</t>
        </is>
      </c>
      <c r="D895" s="53" t="inlineStr">
        <is>
          <t>Hydraulics</t>
        </is>
      </c>
      <c r="E895" s="53" t="inlineStr">
        <is>
          <t>2024-02-21</t>
        </is>
      </c>
      <c r="F895" s="53">
        <v>4</v>
      </c>
      <c r="G895" s="53">
        <v>0</v>
      </c>
      <c r="H895" s="51" t="str">
        <f>TEXT(tblLaborEntries[[#This Row],[Work date serial]]-WEEKDAY(tblLaborEntries[[#This Row],[Work date serial]],3),"yyyy-mm-dd")</f>
        <v>2024-02-19</v>
      </c>
      <c r="I895" s="64">
        <f>DATEVALUE(tblLaborEntries[[#This Row],[Work date]])</f>
        <v>45343.0</v>
      </c>
    </row>
    <row r="896" spans="1:9" ht="15" x14ac:dyDescent="0.25">
      <c r="A896" s="53" t="inlineStr">
        <is>
          <t>LAB-000895</t>
        </is>
      </c>
      <c r="B896" s="53" t="inlineStr">
        <is>
          <t>WP-00396</t>
        </is>
      </c>
      <c r="C896" s="53" t="inlineStr">
        <is>
          <t>TECH-051</t>
        </is>
      </c>
      <c r="D896" s="53" t="inlineStr">
        <is>
          <t>Hydraulics</t>
        </is>
      </c>
      <c r="E896" s="53" t="inlineStr">
        <is>
          <t>2024-02-21</t>
        </is>
      </c>
      <c r="F896" s="53">
        <v>12</v>
      </c>
      <c r="G896" s="53">
        <v>4</v>
      </c>
      <c r="H896" s="51" t="str">
        <f>TEXT(tblLaborEntries[[#This Row],[Work date serial]]-WEEKDAY(tblLaborEntries[[#This Row],[Work date serial]],3),"yyyy-mm-dd")</f>
        <v>2024-02-19</v>
      </c>
      <c r="I896" s="64">
        <f>DATEVALUE(tblLaborEntries[[#This Row],[Work date]])</f>
        <v>45343.0</v>
      </c>
    </row>
    <row r="897" spans="1:9" ht="15" x14ac:dyDescent="0.25">
      <c r="A897" s="53" t="inlineStr">
        <is>
          <t>LAB-000896</t>
        </is>
      </c>
      <c r="B897" s="53" t="inlineStr">
        <is>
          <t>WP-00397</t>
        </is>
      </c>
      <c r="C897" s="53" t="inlineStr">
        <is>
          <t>TECH-008</t>
        </is>
      </c>
      <c r="D897" s="53" t="inlineStr">
        <is>
          <t>Avionics</t>
        </is>
      </c>
      <c r="E897" s="53" t="inlineStr">
        <is>
          <t>2024-03-15</t>
        </is>
      </c>
      <c r="F897" s="53">
        <v>12</v>
      </c>
      <c r="G897" s="53">
        <v>4</v>
      </c>
      <c r="H897" s="51" t="str">
        <f>TEXT(tblLaborEntries[[#This Row],[Work date serial]]-WEEKDAY(tblLaborEntries[[#This Row],[Work date serial]],3),"yyyy-mm-dd")</f>
        <v>2024-03-11</v>
      </c>
      <c r="I897" s="64">
        <f>DATEVALUE(tblLaborEntries[[#This Row],[Work date]])</f>
        <v>45366.0</v>
      </c>
    </row>
    <row r="898" spans="1:9" ht="15" x14ac:dyDescent="0.25">
      <c r="A898" s="53" t="inlineStr">
        <is>
          <t>LAB-000897</t>
        </is>
      </c>
      <c r="B898" s="53" t="inlineStr">
        <is>
          <t>WP-00397</t>
        </is>
      </c>
      <c r="C898" s="53" t="inlineStr">
        <is>
          <t>TECH-026</t>
        </is>
      </c>
      <c r="D898" s="53" t="inlineStr">
        <is>
          <t>Avionics</t>
        </is>
      </c>
      <c r="E898" s="53" t="inlineStr">
        <is>
          <t>2024-03-15</t>
        </is>
      </c>
      <c r="F898" s="53">
        <v>0.2</v>
      </c>
      <c r="G898" s="53">
        <v>0</v>
      </c>
      <c r="H898" s="51" t="str">
        <f>TEXT(tblLaborEntries[[#This Row],[Work date serial]]-WEEKDAY(tblLaborEntries[[#This Row],[Work date serial]],3),"yyyy-mm-dd")</f>
        <v>2024-03-11</v>
      </c>
      <c r="I898" s="64">
        <f>DATEVALUE(tblLaborEntries[[#This Row],[Work date]])</f>
        <v>45366.0</v>
      </c>
    </row>
    <row r="899" spans="1:9" ht="15" x14ac:dyDescent="0.25">
      <c r="A899" s="53" t="inlineStr">
        <is>
          <t>LAB-000898</t>
        </is>
      </c>
      <c r="B899" s="53" t="inlineStr">
        <is>
          <t>WP-00398</t>
        </is>
      </c>
      <c r="C899" s="53" t="inlineStr">
        <is>
          <t>TECH-007</t>
        </is>
      </c>
      <c r="D899" s="53" t="inlineStr">
        <is>
          <t>Airframe</t>
        </is>
      </c>
      <c r="E899" s="53" t="inlineStr">
        <is>
          <t>2025-01-19</t>
        </is>
      </c>
      <c r="F899" s="53">
        <v>5</v>
      </c>
      <c r="G899" s="53">
        <v>0</v>
      </c>
      <c r="H899" s="51" t="str">
        <f>TEXT(tblLaborEntries[[#This Row],[Work date serial]]-WEEKDAY(tblLaborEntries[[#This Row],[Work date serial]],3),"yyyy-mm-dd")</f>
        <v>2025-01-13</v>
      </c>
      <c r="I899" s="64">
        <f>DATEVALUE(tblLaborEntries[[#This Row],[Work date]])</f>
        <v>45676.0</v>
      </c>
    </row>
    <row r="900" spans="1:9" ht="15" x14ac:dyDescent="0.25">
      <c r="A900" s="53" t="inlineStr">
        <is>
          <t>LAB-000899</t>
        </is>
      </c>
      <c r="B900" s="53" t="inlineStr">
        <is>
          <t>WP-00398</t>
        </is>
      </c>
      <c r="C900" s="53" t="inlineStr">
        <is>
          <t>TECH-037</t>
        </is>
      </c>
      <c r="D900" s="53" t="inlineStr">
        <is>
          <t>Airframe</t>
        </is>
      </c>
      <c r="E900" s="53" t="inlineStr">
        <is>
          <t>2025-01-20</t>
        </is>
      </c>
      <c r="F900" s="53">
        <v>4</v>
      </c>
      <c r="G900" s="53">
        <v>0</v>
      </c>
      <c r="H900" s="51" t="str">
        <f>TEXT(tblLaborEntries[[#This Row],[Work date serial]]-WEEKDAY(tblLaborEntries[[#This Row],[Work date serial]],3),"yyyy-mm-dd")</f>
        <v>2025-01-20</v>
      </c>
      <c r="I900" s="64">
        <f>DATEVALUE(tblLaborEntries[[#This Row],[Work date]])</f>
        <v>45677.0</v>
      </c>
    </row>
    <row r="901" spans="1:9" ht="15" x14ac:dyDescent="0.25">
      <c r="A901" s="53" t="inlineStr">
        <is>
          <t>LAB-000900</t>
        </is>
      </c>
      <c r="B901" s="53" t="inlineStr">
        <is>
          <t>WP-00399</t>
        </is>
      </c>
      <c r="C901" s="53" t="inlineStr">
        <is>
          <t>TECH-064</t>
        </is>
      </c>
      <c r="D901" s="53" t="inlineStr">
        <is>
          <t>Electrical</t>
        </is>
      </c>
      <c r="E901" s="53" t="inlineStr">
        <is>
          <t>2025-02-10</t>
        </is>
      </c>
      <c r="F901" s="53">
        <v>6.9</v>
      </c>
      <c r="G901" s="53">
        <v>0</v>
      </c>
      <c r="H901" s="51" t="str">
        <f>TEXT(tblLaborEntries[[#This Row],[Work date serial]]-WEEKDAY(tblLaborEntries[[#This Row],[Work date serial]],3),"yyyy-mm-dd")</f>
        <v>2025-02-10</v>
      </c>
      <c r="I901" s="64">
        <f>DATEVALUE(tblLaborEntries[[#This Row],[Work date]])</f>
        <v>45698.0</v>
      </c>
    </row>
    <row r="902" spans="1:9" ht="15" x14ac:dyDescent="0.25">
      <c r="A902" s="53" t="inlineStr">
        <is>
          <t>LAB-000901</t>
        </is>
      </c>
      <c r="B902" s="53" t="inlineStr">
        <is>
          <t>WP-00399</t>
        </is>
      </c>
      <c r="C902" s="53" t="inlineStr">
        <is>
          <t>TECH-010</t>
        </is>
      </c>
      <c r="D902" s="53" t="inlineStr">
        <is>
          <t>Electrical</t>
        </is>
      </c>
      <c r="E902" s="53" t="inlineStr">
        <is>
          <t>2025-02-11</t>
        </is>
      </c>
      <c r="F902" s="53">
        <v>7</v>
      </c>
      <c r="G902" s="53">
        <v>0</v>
      </c>
      <c r="H902" s="51" t="str">
        <f>TEXT(tblLaborEntries[[#This Row],[Work date serial]]-WEEKDAY(tblLaborEntries[[#This Row],[Work date serial]],3),"yyyy-mm-dd")</f>
        <v>2025-02-10</v>
      </c>
      <c r="I902" s="64">
        <f>DATEVALUE(tblLaborEntries[[#This Row],[Work date]])</f>
        <v>45699.0</v>
      </c>
    </row>
    <row r="903" spans="1:9" ht="15" x14ac:dyDescent="0.25">
      <c r="A903" s="53" t="inlineStr">
        <is>
          <t>LAB-000902</t>
        </is>
      </c>
      <c r="B903" s="53" t="inlineStr">
        <is>
          <t>WP-00399</t>
        </is>
      </c>
      <c r="C903" s="53" t="inlineStr">
        <is>
          <t>TECH-052</t>
        </is>
      </c>
      <c r="D903" s="53" t="inlineStr">
        <is>
          <t>Electrical</t>
        </is>
      </c>
      <c r="E903" s="53" t="inlineStr">
        <is>
          <t>2025-02-12</t>
        </is>
      </c>
      <c r="F903" s="53">
        <v>5.7</v>
      </c>
      <c r="G903" s="53">
        <v>0</v>
      </c>
      <c r="H903" s="51" t="str">
        <f>TEXT(tblLaborEntries[[#This Row],[Work date serial]]-WEEKDAY(tblLaborEntries[[#This Row],[Work date serial]],3),"yyyy-mm-dd")</f>
        <v>2025-02-10</v>
      </c>
      <c r="I903" s="64">
        <f>DATEVALUE(tblLaborEntries[[#This Row],[Work date]])</f>
        <v>45700.0</v>
      </c>
    </row>
    <row r="904" spans="1:9" ht="15" x14ac:dyDescent="0.25">
      <c r="A904" s="53" t="inlineStr">
        <is>
          <t>LAB-000903</t>
        </is>
      </c>
      <c r="B904" s="53" t="inlineStr">
        <is>
          <t>WP-00400</t>
        </is>
      </c>
      <c r="C904" s="53" t="inlineStr">
        <is>
          <t>TECH-052</t>
        </is>
      </c>
      <c r="D904" s="53" t="inlineStr">
        <is>
          <t>Electrical</t>
        </is>
      </c>
      <c r="E904" s="53" t="inlineStr">
        <is>
          <t>2025-08-13</t>
        </is>
      </c>
      <c r="F904" s="53">
        <v>6.4</v>
      </c>
      <c r="G904" s="53">
        <v>0</v>
      </c>
      <c r="H904" s="51" t="str">
        <f>TEXT(tblLaborEntries[[#This Row],[Work date serial]]-WEEKDAY(tblLaborEntries[[#This Row],[Work date serial]],3),"yyyy-mm-dd")</f>
        <v>2025-08-11</v>
      </c>
      <c r="I904" s="64">
        <f>DATEVALUE(tblLaborEntries[[#This Row],[Work date]])</f>
        <v>45882.0</v>
      </c>
    </row>
    <row r="905" spans="1:9" ht="15" x14ac:dyDescent="0.25">
      <c r="A905" s="53" t="inlineStr">
        <is>
          <t>LAB-000904</t>
        </is>
      </c>
      <c r="B905" s="53" t="inlineStr">
        <is>
          <t>WP-00401</t>
        </is>
      </c>
      <c r="C905" s="53" t="inlineStr">
        <is>
          <t>TECH-015</t>
        </is>
      </c>
      <c r="D905" s="53" t="inlineStr">
        <is>
          <t>Hydraulics</t>
        </is>
      </c>
      <c r="E905" s="53" t="inlineStr">
        <is>
          <t>2025-07-25</t>
        </is>
      </c>
      <c r="F905" s="53">
        <v>6.3</v>
      </c>
      <c r="G905" s="53">
        <v>0</v>
      </c>
      <c r="H905" s="51" t="str">
        <f>TEXT(tblLaborEntries[[#This Row],[Work date serial]]-WEEKDAY(tblLaborEntries[[#This Row],[Work date serial]],3),"yyyy-mm-dd")</f>
        <v>2025-07-21</v>
      </c>
      <c r="I905" s="64">
        <f>DATEVALUE(tblLaborEntries[[#This Row],[Work date]])</f>
        <v>45863.0</v>
      </c>
    </row>
    <row r="906" spans="1:9" ht="15" x14ac:dyDescent="0.25">
      <c r="A906" s="53" t="inlineStr">
        <is>
          <t>LAB-000905</t>
        </is>
      </c>
      <c r="B906" s="53" t="inlineStr">
        <is>
          <t>WP-00401</t>
        </is>
      </c>
      <c r="C906" s="53" t="inlineStr">
        <is>
          <t>TECH-075</t>
        </is>
      </c>
      <c r="D906" s="53" t="inlineStr">
        <is>
          <t>Hydraulics</t>
        </is>
      </c>
      <c r="E906" s="53" t="inlineStr">
        <is>
          <t>2025-07-26</t>
        </is>
      </c>
      <c r="F906" s="53">
        <v>4.8</v>
      </c>
      <c r="G906" s="53">
        <v>0</v>
      </c>
      <c r="H906" s="51" t="str">
        <f>TEXT(tblLaborEntries[[#This Row],[Work date serial]]-WEEKDAY(tblLaborEntries[[#This Row],[Work date serial]],3),"yyyy-mm-dd")</f>
        <v>2025-07-21</v>
      </c>
      <c r="I906" s="64">
        <f>DATEVALUE(tblLaborEntries[[#This Row],[Work date]])</f>
        <v>45864.0</v>
      </c>
    </row>
    <row r="907" spans="1:9" ht="15" x14ac:dyDescent="0.25">
      <c r="A907" s="53" t="inlineStr">
        <is>
          <t>LAB-000906</t>
        </is>
      </c>
      <c r="B907" s="53" t="inlineStr">
        <is>
          <t>WP-00402</t>
        </is>
      </c>
      <c r="C907" s="53" t="inlineStr">
        <is>
          <t>TECH-073</t>
        </is>
      </c>
      <c r="D907" s="53" t="inlineStr">
        <is>
          <t>Airframe</t>
        </is>
      </c>
      <c r="E907" s="53" t="inlineStr">
        <is>
          <t>2025-06-30</t>
        </is>
      </c>
      <c r="F907" s="53">
        <v>3.6</v>
      </c>
      <c r="G907" s="53">
        <v>0</v>
      </c>
      <c r="H907" s="51" t="str">
        <f>TEXT(tblLaborEntries[[#This Row],[Work date serial]]-WEEKDAY(tblLaborEntries[[#This Row],[Work date serial]],3),"yyyy-mm-dd")</f>
        <v>2025-06-30</v>
      </c>
      <c r="I907" s="64">
        <f>DATEVALUE(tblLaborEntries[[#This Row],[Work date]])</f>
        <v>45838.0</v>
      </c>
    </row>
    <row r="908" spans="1:9" ht="15" x14ac:dyDescent="0.25">
      <c r="A908" s="53" t="inlineStr">
        <is>
          <t>LAB-000907</t>
        </is>
      </c>
      <c r="B908" s="53" t="inlineStr">
        <is>
          <t>WP-00402</t>
        </is>
      </c>
      <c r="C908" s="53" t="inlineStr">
        <is>
          <t>TECH-031</t>
        </is>
      </c>
      <c r="D908" s="53" t="inlineStr">
        <is>
          <t>Airframe</t>
        </is>
      </c>
      <c r="E908" s="53" t="inlineStr">
        <is>
          <t>2025-07-01</t>
        </is>
      </c>
      <c r="F908" s="53">
        <v>2.6</v>
      </c>
      <c r="G908" s="53">
        <v>0</v>
      </c>
      <c r="H908" s="51" t="str">
        <f>TEXT(tblLaborEntries[[#This Row],[Work date serial]]-WEEKDAY(tblLaborEntries[[#This Row],[Work date serial]],3),"yyyy-mm-dd")</f>
        <v>2025-06-30</v>
      </c>
      <c r="I908" s="64">
        <f>DATEVALUE(tblLaborEntries[[#This Row],[Work date]])</f>
        <v>45839.0</v>
      </c>
    </row>
    <row r="909" spans="1:9" ht="15" x14ac:dyDescent="0.25">
      <c r="A909" s="53" t="inlineStr">
        <is>
          <t>LAB-000908</t>
        </is>
      </c>
      <c r="B909" s="53" t="inlineStr">
        <is>
          <t>WP-00403</t>
        </is>
      </c>
      <c r="C909" s="53" t="inlineStr">
        <is>
          <t>TECH-074</t>
        </is>
      </c>
      <c r="D909" s="53" t="inlineStr">
        <is>
          <t>Avionics</t>
        </is>
      </c>
      <c r="E909" s="53" t="inlineStr">
        <is>
          <t>2025-09-23</t>
        </is>
      </c>
      <c r="F909" s="53">
        <v>5.2</v>
      </c>
      <c r="G909" s="53">
        <v>0</v>
      </c>
      <c r="H909" s="51" t="str">
        <f>TEXT(tblLaborEntries[[#This Row],[Work date serial]]-WEEKDAY(tblLaborEntries[[#This Row],[Work date serial]],3),"yyyy-mm-dd")</f>
        <v>2025-09-22</v>
      </c>
      <c r="I909" s="64">
        <f>DATEVALUE(tblLaborEntries[[#This Row],[Work date]])</f>
        <v>45923.0</v>
      </c>
    </row>
    <row r="910" spans="1:9" ht="15" x14ac:dyDescent="0.25">
      <c r="A910" s="53" t="inlineStr">
        <is>
          <t>LAB-000909</t>
        </is>
      </c>
      <c r="B910" s="53" t="inlineStr">
        <is>
          <t>WP-00403</t>
        </is>
      </c>
      <c r="C910" s="53" t="inlineStr">
        <is>
          <t>TECH-056</t>
        </is>
      </c>
      <c r="D910" s="53" t="inlineStr">
        <is>
          <t>Avionics</t>
        </is>
      </c>
      <c r="E910" s="53" t="inlineStr">
        <is>
          <t>2025-09-24</t>
        </is>
      </c>
      <c r="F910" s="53">
        <v>5</v>
      </c>
      <c r="G910" s="53">
        <v>0</v>
      </c>
      <c r="H910" s="51" t="str">
        <f>TEXT(tblLaborEntries[[#This Row],[Work date serial]]-WEEKDAY(tblLaborEntries[[#This Row],[Work date serial]],3),"yyyy-mm-dd")</f>
        <v>2025-09-22</v>
      </c>
      <c r="I910" s="64">
        <f>DATEVALUE(tblLaborEntries[[#This Row],[Work date]])</f>
        <v>45924.0</v>
      </c>
    </row>
    <row r="911" spans="1:9" ht="15" x14ac:dyDescent="0.25">
      <c r="A911" s="53" t="inlineStr">
        <is>
          <t>LAB-000910</t>
        </is>
      </c>
      <c r="B911" s="53" t="inlineStr">
        <is>
          <t>WP-00403</t>
        </is>
      </c>
      <c r="C911" s="53" t="inlineStr">
        <is>
          <t>TECH-062</t>
        </is>
      </c>
      <c r="D911" s="53" t="inlineStr">
        <is>
          <t>Avionics</t>
        </is>
      </c>
      <c r="E911" s="53" t="inlineStr">
        <is>
          <t>2025-09-25</t>
        </is>
      </c>
      <c r="F911" s="53">
        <v>3.5</v>
      </c>
      <c r="G911" s="53">
        <v>0</v>
      </c>
      <c r="H911" s="51" t="str">
        <f>TEXT(tblLaborEntries[[#This Row],[Work date serial]]-WEEKDAY(tblLaborEntries[[#This Row],[Work date serial]],3),"yyyy-mm-dd")</f>
        <v>2025-09-22</v>
      </c>
      <c r="I911" s="64">
        <f>DATEVALUE(tblLaborEntries[[#This Row],[Work date]])</f>
        <v>45925.0</v>
      </c>
    </row>
    <row r="912" spans="1:9" ht="15" x14ac:dyDescent="0.25">
      <c r="A912" s="53" t="inlineStr">
        <is>
          <t>LAB-000911</t>
        </is>
      </c>
      <c r="B912" s="53" t="inlineStr">
        <is>
          <t>WP-00404</t>
        </is>
      </c>
      <c r="C912" s="53" t="inlineStr">
        <is>
          <t>TECH-032</t>
        </is>
      </c>
      <c r="D912" s="53" t="inlineStr">
        <is>
          <t>Avionics</t>
        </is>
      </c>
      <c r="E912" s="53" t="inlineStr">
        <is>
          <t>2025-08-28</t>
        </is>
      </c>
      <c r="F912" s="53">
        <v>6.3</v>
      </c>
      <c r="G912" s="53">
        <v>0</v>
      </c>
      <c r="H912" s="51" t="str">
        <f>TEXT(tblLaborEntries[[#This Row],[Work date serial]]-WEEKDAY(tblLaborEntries[[#This Row],[Work date serial]],3),"yyyy-mm-dd")</f>
        <v>2025-08-25</v>
      </c>
      <c r="I912" s="64">
        <f>DATEVALUE(tblLaborEntries[[#This Row],[Work date]])</f>
        <v>45897.0</v>
      </c>
    </row>
    <row r="913" spans="1:9" ht="15" x14ac:dyDescent="0.25">
      <c r="A913" s="53" t="inlineStr">
        <is>
          <t>LAB-000912</t>
        </is>
      </c>
      <c r="B913" s="53" t="inlineStr">
        <is>
          <t>WP-00404</t>
        </is>
      </c>
      <c r="C913" s="53" t="inlineStr">
        <is>
          <t>TECH-068</t>
        </is>
      </c>
      <c r="D913" s="53" t="inlineStr">
        <is>
          <t>Avionics</t>
        </is>
      </c>
      <c r="E913" s="53" t="inlineStr">
        <is>
          <t>2025-08-29</t>
        </is>
      </c>
      <c r="F913" s="53">
        <v>7.3</v>
      </c>
      <c r="G913" s="53">
        <v>0</v>
      </c>
      <c r="H913" s="51" t="str">
        <f>TEXT(tblLaborEntries[[#This Row],[Work date serial]]-WEEKDAY(tblLaborEntries[[#This Row],[Work date serial]],3),"yyyy-mm-dd")</f>
        <v>2025-08-25</v>
      </c>
      <c r="I913" s="64">
        <f>DATEVALUE(tblLaborEntries[[#This Row],[Work date]])</f>
        <v>45898.0</v>
      </c>
    </row>
    <row r="914" spans="1:9" ht="15" x14ac:dyDescent="0.25">
      <c r="A914" s="53" t="inlineStr">
        <is>
          <t>LAB-000913</t>
        </is>
      </c>
      <c r="B914" s="53" t="inlineStr">
        <is>
          <t>WP-00405</t>
        </is>
      </c>
      <c r="C914" s="53" t="inlineStr">
        <is>
          <t>TECH-026</t>
        </is>
      </c>
      <c r="D914" s="53" t="inlineStr">
        <is>
          <t>Avionics</t>
        </is>
      </c>
      <c r="E914" s="53" t="inlineStr">
        <is>
          <t>2026-01-01</t>
        </is>
      </c>
      <c r="F914" s="53">
        <v>8.3</v>
      </c>
      <c r="G914" s="53">
        <v>0.3</v>
      </c>
      <c r="H914" s="51" t="str">
        <f>TEXT(tblLaborEntries[[#This Row],[Work date serial]]-WEEKDAY(tblLaborEntries[[#This Row],[Work date serial]],3),"yyyy-mm-dd")</f>
        <v>2025-12-29</v>
      </c>
      <c r="I914" s="64">
        <f>DATEVALUE(tblLaborEntries[[#This Row],[Work date]])</f>
        <v>46023.0</v>
      </c>
    </row>
    <row r="915" spans="1:9" ht="15" x14ac:dyDescent="0.25">
      <c r="A915" s="53" t="inlineStr">
        <is>
          <t>LAB-000914</t>
        </is>
      </c>
      <c r="B915" s="53" t="inlineStr">
        <is>
          <t>WP-00405</t>
        </is>
      </c>
      <c r="C915" s="53" t="inlineStr">
        <is>
          <t>TECH-044</t>
        </is>
      </c>
      <c r="D915" s="53" t="inlineStr">
        <is>
          <t>Avionics</t>
        </is>
      </c>
      <c r="E915" s="53" t="inlineStr">
        <is>
          <t>2026-01-02</t>
        </is>
      </c>
      <c r="F915" s="53">
        <v>7.7</v>
      </c>
      <c r="G915" s="53">
        <v>0</v>
      </c>
      <c r="H915" s="51" t="str">
        <f>TEXT(tblLaborEntries[[#This Row],[Work date serial]]-WEEKDAY(tblLaborEntries[[#This Row],[Work date serial]],3),"yyyy-mm-dd")</f>
        <v>2025-12-29</v>
      </c>
      <c r="I915" s="64">
        <f>DATEVALUE(tblLaborEntries[[#This Row],[Work date]])</f>
        <v>46024.0</v>
      </c>
    </row>
    <row r="916" spans="1:9" ht="15" x14ac:dyDescent="0.25">
      <c r="A916" s="53" t="inlineStr">
        <is>
          <t>LAB-000915</t>
        </is>
      </c>
      <c r="B916" s="53" t="inlineStr">
        <is>
          <t>WP-00406</t>
        </is>
      </c>
      <c r="C916" s="53" t="inlineStr">
        <is>
          <t>TECH-037</t>
        </is>
      </c>
      <c r="D916" s="53" t="inlineStr">
        <is>
          <t>Airframe</t>
        </is>
      </c>
      <c r="E916" s="53" t="inlineStr">
        <is>
          <t>2024-07-05</t>
        </is>
      </c>
      <c r="F916" s="53">
        <v>2.6</v>
      </c>
      <c r="G916" s="53">
        <v>0</v>
      </c>
      <c r="H916" s="51" t="str">
        <f>TEXT(tblLaborEntries[[#This Row],[Work date serial]]-WEEKDAY(tblLaborEntries[[#This Row],[Work date serial]],3),"yyyy-mm-dd")</f>
        <v>2024-07-01</v>
      </c>
      <c r="I916" s="64">
        <f>DATEVALUE(tblLaborEntries[[#This Row],[Work date]])</f>
        <v>45478.0</v>
      </c>
    </row>
    <row r="917" spans="1:9" ht="15" x14ac:dyDescent="0.25">
      <c r="A917" s="53" t="inlineStr">
        <is>
          <t>LAB-000916</t>
        </is>
      </c>
      <c r="B917" s="53" t="inlineStr">
        <is>
          <t>WP-00406</t>
        </is>
      </c>
      <c r="C917" s="53" t="inlineStr">
        <is>
          <t>TECH-043</t>
        </is>
      </c>
      <c r="D917" s="53" t="inlineStr">
        <is>
          <t>Airframe</t>
        </is>
      </c>
      <c r="E917" s="53" t="inlineStr">
        <is>
          <t>2024-07-06</t>
        </is>
      </c>
      <c r="F917" s="53">
        <v>2.5</v>
      </c>
      <c r="G917" s="53">
        <v>0</v>
      </c>
      <c r="H917" s="51" t="str">
        <f>TEXT(tblLaborEntries[[#This Row],[Work date serial]]-WEEKDAY(tblLaborEntries[[#This Row],[Work date serial]],3),"yyyy-mm-dd")</f>
        <v>2024-07-01</v>
      </c>
      <c r="I917" s="64">
        <f>DATEVALUE(tblLaborEntries[[#This Row],[Work date]])</f>
        <v>45479.0</v>
      </c>
    </row>
    <row r="918" spans="1:9" ht="15" x14ac:dyDescent="0.25">
      <c r="A918" s="53" t="inlineStr">
        <is>
          <t>LAB-000917</t>
        </is>
      </c>
      <c r="B918" s="53" t="inlineStr">
        <is>
          <t>WP-00407</t>
        </is>
      </c>
      <c r="C918" s="53" t="inlineStr">
        <is>
          <t>TECH-063</t>
        </is>
      </c>
      <c r="D918" s="53" t="inlineStr">
        <is>
          <t>Hydraulics</t>
        </is>
      </c>
      <c r="E918" s="53" t="inlineStr">
        <is>
          <t>2024-05-12</t>
        </is>
      </c>
      <c r="F918" s="53">
        <v>9.6</v>
      </c>
      <c r="G918" s="53">
        <v>1.6</v>
      </c>
      <c r="H918" s="51" t="str">
        <f>TEXT(tblLaborEntries[[#This Row],[Work date serial]]-WEEKDAY(tblLaborEntries[[#This Row],[Work date serial]],3),"yyyy-mm-dd")</f>
        <v>2024-05-06</v>
      </c>
      <c r="I918" s="64">
        <f>DATEVALUE(tblLaborEntries[[#This Row],[Work date]])</f>
        <v>45424.0</v>
      </c>
    </row>
    <row r="919" spans="1:9" ht="15" x14ac:dyDescent="0.25">
      <c r="A919" s="53" t="inlineStr">
        <is>
          <t>LAB-000918</t>
        </is>
      </c>
      <c r="B919" s="53" t="inlineStr">
        <is>
          <t>WP-00407</t>
        </is>
      </c>
      <c r="C919" s="53" t="inlineStr">
        <is>
          <t>TECH-003</t>
        </is>
      </c>
      <c r="D919" s="53" t="inlineStr">
        <is>
          <t>Hydraulics</t>
        </is>
      </c>
      <c r="E919" s="53" t="inlineStr">
        <is>
          <t>2024-05-13</t>
        </is>
      </c>
      <c r="F919" s="53">
        <v>7.4</v>
      </c>
      <c r="G919" s="53">
        <v>0</v>
      </c>
      <c r="H919" s="51" t="str">
        <f>TEXT(tblLaborEntries[[#This Row],[Work date serial]]-WEEKDAY(tblLaborEntries[[#This Row],[Work date serial]],3),"yyyy-mm-dd")</f>
        <v>2024-05-13</v>
      </c>
      <c r="I919" s="64">
        <f>DATEVALUE(tblLaborEntries[[#This Row],[Work date]])</f>
        <v>45425.0</v>
      </c>
    </row>
    <row r="920" spans="1:9" ht="15" x14ac:dyDescent="0.25">
      <c r="A920" s="53" t="inlineStr">
        <is>
          <t>LAB-000919</t>
        </is>
      </c>
      <c r="B920" s="53" t="inlineStr">
        <is>
          <t>WP-00408</t>
        </is>
      </c>
      <c r="C920" s="53" t="inlineStr">
        <is>
          <t>TECH-050</t>
        </is>
      </c>
      <c r="D920" s="53" t="inlineStr">
        <is>
          <t>Avionics</t>
        </is>
      </c>
      <c r="E920" s="53" t="inlineStr">
        <is>
          <t>2025-01-30</t>
        </is>
      </c>
      <c r="F920" s="53">
        <v>6.5</v>
      </c>
      <c r="G920" s="53">
        <v>0</v>
      </c>
      <c r="H920" s="51" t="str">
        <f>TEXT(tblLaborEntries[[#This Row],[Work date serial]]-WEEKDAY(tblLaborEntries[[#This Row],[Work date serial]],3),"yyyy-mm-dd")</f>
        <v>2025-01-27</v>
      </c>
      <c r="I920" s="64">
        <f>DATEVALUE(tblLaborEntries[[#This Row],[Work date]])</f>
        <v>45687.0</v>
      </c>
    </row>
    <row r="921" spans="1:9" ht="15" x14ac:dyDescent="0.25">
      <c r="A921" s="53" t="inlineStr">
        <is>
          <t>LAB-000920</t>
        </is>
      </c>
      <c r="B921" s="53" t="inlineStr">
        <is>
          <t>WP-00408</t>
        </is>
      </c>
      <c r="C921" s="53" t="inlineStr">
        <is>
          <t>TECH-032</t>
        </is>
      </c>
      <c r="D921" s="53" t="inlineStr">
        <is>
          <t>Avionics</t>
        </is>
      </c>
      <c r="E921" s="53" t="inlineStr">
        <is>
          <t>2025-01-31</t>
        </is>
      </c>
      <c r="F921" s="53">
        <v>4.6</v>
      </c>
      <c r="G921" s="53">
        <v>0</v>
      </c>
      <c r="H921" s="51" t="str">
        <f>TEXT(tblLaborEntries[[#This Row],[Work date serial]]-WEEKDAY(tblLaborEntries[[#This Row],[Work date serial]],3),"yyyy-mm-dd")</f>
        <v>2025-01-27</v>
      </c>
      <c r="I921" s="64">
        <f>DATEVALUE(tblLaborEntries[[#This Row],[Work date]])</f>
        <v>45688.0</v>
      </c>
    </row>
    <row r="922" spans="1:9" ht="15" x14ac:dyDescent="0.25">
      <c r="A922" s="53" t="inlineStr">
        <is>
          <t>LAB-000921</t>
        </is>
      </c>
      <c r="B922" s="53" t="inlineStr">
        <is>
          <t>WP-00408</t>
        </is>
      </c>
      <c r="C922" s="53" t="inlineStr">
        <is>
          <t>TECH-056</t>
        </is>
      </c>
      <c r="D922" s="53" t="inlineStr">
        <is>
          <t>Avionics</t>
        </is>
      </c>
      <c r="E922" s="53" t="inlineStr">
        <is>
          <t>2025-02-01</t>
        </is>
      </c>
      <c r="F922" s="53">
        <v>6.4</v>
      </c>
      <c r="G922" s="53">
        <v>0</v>
      </c>
      <c r="H922" s="51" t="str">
        <f>TEXT(tblLaborEntries[[#This Row],[Work date serial]]-WEEKDAY(tblLaborEntries[[#This Row],[Work date serial]],3),"yyyy-mm-dd")</f>
        <v>2025-01-27</v>
      </c>
      <c r="I922" s="64">
        <f>DATEVALUE(tblLaborEntries[[#This Row],[Work date]])</f>
        <v>45689.0</v>
      </c>
    </row>
    <row r="923" spans="1:9" ht="15" x14ac:dyDescent="0.25">
      <c r="A923" s="53" t="inlineStr">
        <is>
          <t>LAB-000922</t>
        </is>
      </c>
      <c r="B923" s="53" t="inlineStr">
        <is>
          <t>WP-00409</t>
        </is>
      </c>
      <c r="C923" s="53" t="inlineStr">
        <is>
          <t>TECH-019</t>
        </is>
      </c>
      <c r="D923" s="53" t="inlineStr">
        <is>
          <t>Airframe</t>
        </is>
      </c>
      <c r="E923" s="53" t="inlineStr">
        <is>
          <t>2025-06-29</t>
        </is>
      </c>
      <c r="F923" s="53">
        <v>2.6</v>
      </c>
      <c r="G923" s="53">
        <v>0</v>
      </c>
      <c r="H923" s="51" t="str">
        <f>TEXT(tblLaborEntries[[#This Row],[Work date serial]]-WEEKDAY(tblLaborEntries[[#This Row],[Work date serial]],3),"yyyy-mm-dd")</f>
        <v>2025-06-23</v>
      </c>
      <c r="I923" s="64">
        <f>DATEVALUE(tblLaborEntries[[#This Row],[Work date]])</f>
        <v>45837.0</v>
      </c>
    </row>
    <row r="924" spans="1:9" ht="15" x14ac:dyDescent="0.25">
      <c r="A924" s="53" t="inlineStr">
        <is>
          <t>LAB-000923</t>
        </is>
      </c>
      <c r="B924" s="53" t="inlineStr">
        <is>
          <t>WP-00410</t>
        </is>
      </c>
      <c r="C924" s="53" t="inlineStr">
        <is>
          <t>TECH-060</t>
        </is>
      </c>
      <c r="D924" s="53" t="inlineStr">
        <is>
          <t>Powerplant</t>
        </is>
      </c>
      <c r="E924" s="53" t="inlineStr">
        <is>
          <t>2024-07-08</t>
        </is>
      </c>
      <c r="F924" s="53">
        <v>3.6</v>
      </c>
      <c r="G924" s="53">
        <v>0</v>
      </c>
      <c r="H924" s="51" t="str">
        <f>TEXT(tblLaborEntries[[#This Row],[Work date serial]]-WEEKDAY(tblLaborEntries[[#This Row],[Work date serial]],3),"yyyy-mm-dd")</f>
        <v>2024-07-08</v>
      </c>
      <c r="I924" s="64">
        <f>DATEVALUE(tblLaborEntries[[#This Row],[Work date]])</f>
        <v>45481.0</v>
      </c>
    </row>
    <row r="925" spans="1:9" ht="15" x14ac:dyDescent="0.25">
      <c r="A925" s="53" t="inlineStr">
        <is>
          <t>LAB-000924</t>
        </is>
      </c>
      <c r="B925" s="53" t="inlineStr">
        <is>
          <t>WP-00410</t>
        </is>
      </c>
      <c r="C925" s="53" t="inlineStr">
        <is>
          <t>TECH-072</t>
        </is>
      </c>
      <c r="D925" s="53" t="inlineStr">
        <is>
          <t>Powerplant</t>
        </is>
      </c>
      <c r="E925" s="53" t="inlineStr">
        <is>
          <t>2024-07-09</t>
        </is>
      </c>
      <c r="F925" s="53">
        <v>2.9</v>
      </c>
      <c r="G925" s="53">
        <v>0</v>
      </c>
      <c r="H925" s="51" t="str">
        <f>TEXT(tblLaborEntries[[#This Row],[Work date serial]]-WEEKDAY(tblLaborEntries[[#This Row],[Work date serial]],3),"yyyy-mm-dd")</f>
        <v>2024-07-08</v>
      </c>
      <c r="I925" s="64">
        <f>DATEVALUE(tblLaborEntries[[#This Row],[Work date]])</f>
        <v>45482.0</v>
      </c>
    </row>
    <row r="926" spans="1:9" ht="15" x14ac:dyDescent="0.25">
      <c r="A926" s="53" t="inlineStr">
        <is>
          <t>LAB-000925</t>
        </is>
      </c>
      <c r="B926" s="53" t="inlineStr">
        <is>
          <t>WP-00410</t>
        </is>
      </c>
      <c r="C926" s="53" t="inlineStr">
        <is>
          <t>TECH-012</t>
        </is>
      </c>
      <c r="D926" s="53" t="inlineStr">
        <is>
          <t>Powerplant</t>
        </is>
      </c>
      <c r="E926" s="53" t="inlineStr">
        <is>
          <t>2024-07-10</t>
        </is>
      </c>
      <c r="F926" s="53">
        <v>2.9</v>
      </c>
      <c r="G926" s="53">
        <v>0</v>
      </c>
      <c r="H926" s="51" t="str">
        <f>TEXT(tblLaborEntries[[#This Row],[Work date serial]]-WEEKDAY(tblLaborEntries[[#This Row],[Work date serial]],3),"yyyy-mm-dd")</f>
        <v>2024-07-08</v>
      </c>
      <c r="I926" s="64">
        <f>DATEVALUE(tblLaborEntries[[#This Row],[Work date]])</f>
        <v>45483.0</v>
      </c>
    </row>
    <row r="927" spans="1:9" ht="15" x14ac:dyDescent="0.25">
      <c r="A927" s="53" t="inlineStr">
        <is>
          <t>LAB-000926</t>
        </is>
      </c>
      <c r="B927" s="53" t="inlineStr">
        <is>
          <t>WP-00411</t>
        </is>
      </c>
      <c r="C927" s="53" t="inlineStr">
        <is>
          <t>TECH-007</t>
        </is>
      </c>
      <c r="D927" s="53" t="inlineStr">
        <is>
          <t>Airframe</t>
        </is>
      </c>
      <c r="E927" s="53" t="inlineStr">
        <is>
          <t>2025-04-18</t>
        </is>
      </c>
      <c r="F927" s="53">
        <v>1.1</v>
      </c>
      <c r="G927" s="53">
        <v>0</v>
      </c>
      <c r="H927" s="51" t="str">
        <f>TEXT(tblLaborEntries[[#This Row],[Work date serial]]-WEEKDAY(tblLaborEntries[[#This Row],[Work date serial]],3),"yyyy-mm-dd")</f>
        <v>2025-04-14</v>
      </c>
      <c r="I927" s="64">
        <f>DATEVALUE(tblLaborEntries[[#This Row],[Work date]])</f>
        <v>45765.0</v>
      </c>
    </row>
    <row r="928" spans="1:9" ht="15" x14ac:dyDescent="0.25">
      <c r="A928" s="53" t="inlineStr">
        <is>
          <t>LAB-000927</t>
        </is>
      </c>
      <c r="B928" s="53" t="inlineStr">
        <is>
          <t>WP-00411</t>
        </is>
      </c>
      <c r="C928" s="53" t="inlineStr">
        <is>
          <t>TECH-019</t>
        </is>
      </c>
      <c r="D928" s="53" t="inlineStr">
        <is>
          <t>Airframe</t>
        </is>
      </c>
      <c r="E928" s="53" t="inlineStr">
        <is>
          <t>2025-04-19</t>
        </is>
      </c>
      <c r="F928" s="53">
        <v>0.7</v>
      </c>
      <c r="G928" s="53">
        <v>0</v>
      </c>
      <c r="H928" s="51" t="str">
        <f>TEXT(tblLaborEntries[[#This Row],[Work date serial]]-WEEKDAY(tblLaborEntries[[#This Row],[Work date serial]],3),"yyyy-mm-dd")</f>
        <v>2025-04-14</v>
      </c>
      <c r="I928" s="64">
        <f>DATEVALUE(tblLaborEntries[[#This Row],[Work date]])</f>
        <v>45766.0</v>
      </c>
    </row>
    <row r="929" spans="1:9" ht="15" x14ac:dyDescent="0.25">
      <c r="A929" s="53" t="inlineStr">
        <is>
          <t>LAB-000928</t>
        </is>
      </c>
      <c r="B929" s="53" t="inlineStr">
        <is>
          <t>WP-00411</t>
        </is>
      </c>
      <c r="C929" s="53" t="inlineStr">
        <is>
          <t>TECH-031</t>
        </is>
      </c>
      <c r="D929" s="53" t="inlineStr">
        <is>
          <t>Airframe</t>
        </is>
      </c>
      <c r="E929" s="53" t="inlineStr">
        <is>
          <t>2025-04-20</t>
        </is>
      </c>
      <c r="F929" s="53">
        <v>1</v>
      </c>
      <c r="G929" s="53">
        <v>0</v>
      </c>
      <c r="H929" s="51" t="str">
        <f>TEXT(tblLaborEntries[[#This Row],[Work date serial]]-WEEKDAY(tblLaborEntries[[#This Row],[Work date serial]],3),"yyyy-mm-dd")</f>
        <v>2025-04-14</v>
      </c>
      <c r="I929" s="64">
        <f>DATEVALUE(tblLaborEntries[[#This Row],[Work date]])</f>
        <v>45767.0</v>
      </c>
    </row>
    <row r="930" spans="1:9" ht="15" x14ac:dyDescent="0.25">
      <c r="A930" s="53" t="inlineStr">
        <is>
          <t>LAB-000929</t>
        </is>
      </c>
      <c r="B930" s="53" t="inlineStr">
        <is>
          <t>WP-00412</t>
        </is>
      </c>
      <c r="C930" s="53" t="inlineStr">
        <is>
          <t>TECH-003</t>
        </is>
      </c>
      <c r="D930" s="53" t="inlineStr">
        <is>
          <t>Hydraulics</t>
        </is>
      </c>
      <c r="E930" s="53" t="inlineStr">
        <is>
          <t>2024-06-01</t>
        </is>
      </c>
      <c r="F930" s="53">
        <v>7.8</v>
      </c>
      <c r="G930" s="53">
        <v>0</v>
      </c>
      <c r="H930" s="51" t="str">
        <f>TEXT(tblLaborEntries[[#This Row],[Work date serial]]-WEEKDAY(tblLaborEntries[[#This Row],[Work date serial]],3),"yyyy-mm-dd")</f>
        <v>2024-05-27</v>
      </c>
      <c r="I930" s="64">
        <f>DATEVALUE(tblLaborEntries[[#This Row],[Work date]])</f>
        <v>45444.0</v>
      </c>
    </row>
    <row r="931" spans="1:9" ht="15" x14ac:dyDescent="0.25">
      <c r="A931" s="53" t="inlineStr">
        <is>
          <t>LAB-000930</t>
        </is>
      </c>
      <c r="B931" s="53" t="inlineStr">
        <is>
          <t>WP-00412</t>
        </is>
      </c>
      <c r="C931" s="53" t="inlineStr">
        <is>
          <t>TECH-015</t>
        </is>
      </c>
      <c r="D931" s="53" t="inlineStr">
        <is>
          <t>Hydraulics</t>
        </is>
      </c>
      <c r="E931" s="53" t="inlineStr">
        <is>
          <t>2024-06-02</t>
        </is>
      </c>
      <c r="F931" s="53">
        <v>9.5</v>
      </c>
      <c r="G931" s="53">
        <v>1.5</v>
      </c>
      <c r="H931" s="51" t="str">
        <f>TEXT(tblLaborEntries[[#This Row],[Work date serial]]-WEEKDAY(tblLaborEntries[[#This Row],[Work date serial]],3),"yyyy-mm-dd")</f>
        <v>2024-05-27</v>
      </c>
      <c r="I931" s="64">
        <f>DATEVALUE(tblLaborEntries[[#This Row],[Work date]])</f>
        <v>45445.0</v>
      </c>
    </row>
    <row r="932" spans="1:9" ht="15" x14ac:dyDescent="0.25">
      <c r="A932" s="53" t="inlineStr">
        <is>
          <t>LAB-000931</t>
        </is>
      </c>
      <c r="B932" s="53" t="inlineStr">
        <is>
          <t>WP-00412</t>
        </is>
      </c>
      <c r="C932" s="53" t="inlineStr">
        <is>
          <t>TECH-057</t>
        </is>
      </c>
      <c r="D932" s="53" t="inlineStr">
        <is>
          <t>Hydraulics</t>
        </is>
      </c>
      <c r="E932" s="53" t="inlineStr">
        <is>
          <t>2024-06-03</t>
        </is>
      </c>
      <c r="F932" s="53">
        <v>6.8</v>
      </c>
      <c r="G932" s="53">
        <v>0</v>
      </c>
      <c r="H932" s="51" t="str">
        <f>TEXT(tblLaborEntries[[#This Row],[Work date serial]]-WEEKDAY(tblLaborEntries[[#This Row],[Work date serial]],3),"yyyy-mm-dd")</f>
        <v>2024-06-03</v>
      </c>
      <c r="I932" s="64">
        <f>DATEVALUE(tblLaborEntries[[#This Row],[Work date]])</f>
        <v>45446.0</v>
      </c>
    </row>
    <row r="933" spans="1:9" ht="15" x14ac:dyDescent="0.25">
      <c r="A933" s="53" t="inlineStr">
        <is>
          <t>LAB-000932</t>
        </is>
      </c>
      <c r="B933" s="53" t="inlineStr">
        <is>
          <t>WP-00413</t>
        </is>
      </c>
      <c r="C933" s="53" t="inlineStr">
        <is>
          <t>TECH-062</t>
        </is>
      </c>
      <c r="D933" s="53" t="inlineStr">
        <is>
          <t>Avionics</t>
        </is>
      </c>
      <c r="E933" s="53" t="inlineStr">
        <is>
          <t>2025-03-07</t>
        </is>
      </c>
      <c r="F933" s="53">
        <v>5.5</v>
      </c>
      <c r="G933" s="53">
        <v>0</v>
      </c>
      <c r="H933" s="51" t="str">
        <f>TEXT(tblLaborEntries[[#This Row],[Work date serial]]-WEEKDAY(tblLaborEntries[[#This Row],[Work date serial]],3),"yyyy-mm-dd")</f>
        <v>2025-03-03</v>
      </c>
      <c r="I933" s="64">
        <f>DATEVALUE(tblLaborEntries[[#This Row],[Work date]])</f>
        <v>45723.0</v>
      </c>
    </row>
    <row r="934" spans="1:9" ht="15" x14ac:dyDescent="0.25">
      <c r="A934" s="53" t="inlineStr">
        <is>
          <t>LAB-000933</t>
        </is>
      </c>
      <c r="B934" s="53" t="inlineStr">
        <is>
          <t>WP-00413</t>
        </is>
      </c>
      <c r="C934" s="53" t="inlineStr">
        <is>
          <t>TECH-002</t>
        </is>
      </c>
      <c r="D934" s="53" t="inlineStr">
        <is>
          <t>Avionics</t>
        </is>
      </c>
      <c r="E934" s="53" t="inlineStr">
        <is>
          <t>2025-03-08</t>
        </is>
      </c>
      <c r="F934" s="53">
        <v>6.3</v>
      </c>
      <c r="G934" s="53">
        <v>0</v>
      </c>
      <c r="H934" s="51" t="str">
        <f>TEXT(tblLaborEntries[[#This Row],[Work date serial]]-WEEKDAY(tblLaborEntries[[#This Row],[Work date serial]],3),"yyyy-mm-dd")</f>
        <v>2025-03-03</v>
      </c>
      <c r="I934" s="64">
        <f>DATEVALUE(tblLaborEntries[[#This Row],[Work date]])</f>
        <v>45724.0</v>
      </c>
    </row>
    <row r="935" spans="1:9" ht="15" x14ac:dyDescent="0.25">
      <c r="A935" s="53" t="inlineStr">
        <is>
          <t>LAB-000934</t>
        </is>
      </c>
      <c r="B935" s="53" t="inlineStr">
        <is>
          <t>WP-00413</t>
        </is>
      </c>
      <c r="C935" s="53" t="inlineStr">
        <is>
          <t>TECH-008</t>
        </is>
      </c>
      <c r="D935" s="53" t="inlineStr">
        <is>
          <t>Avionics</t>
        </is>
      </c>
      <c r="E935" s="53" t="inlineStr">
        <is>
          <t>2025-03-08</t>
        </is>
      </c>
      <c r="F935" s="53">
        <v>1.7</v>
      </c>
      <c r="G935" s="53">
        <v>0</v>
      </c>
      <c r="H935" s="51" t="str">
        <f>TEXT(tblLaborEntries[[#This Row],[Work date serial]]-WEEKDAY(tblLaborEntries[[#This Row],[Work date serial]],3),"yyyy-mm-dd")</f>
        <v>2025-03-03</v>
      </c>
      <c r="I935" s="64">
        <f>DATEVALUE(tblLaborEntries[[#This Row],[Work date]])</f>
        <v>45724.0</v>
      </c>
    </row>
    <row r="936" spans="1:9" ht="15" x14ac:dyDescent="0.25">
      <c r="A936" s="53" t="inlineStr">
        <is>
          <t>LAB-000935</t>
        </is>
      </c>
      <c r="B936" s="53" t="inlineStr">
        <is>
          <t>WP-00414</t>
        </is>
      </c>
      <c r="C936" s="53" t="inlineStr">
        <is>
          <t>TECH-005</t>
        </is>
      </c>
      <c r="D936" s="53" t="inlineStr">
        <is>
          <t>Structures</t>
        </is>
      </c>
      <c r="E936" s="53" t="inlineStr">
        <is>
          <t>2025-12-14</t>
        </is>
      </c>
      <c r="F936" s="53">
        <v>12</v>
      </c>
      <c r="G936" s="53">
        <v>4</v>
      </c>
      <c r="H936" s="51" t="str">
        <f>TEXT(tblLaborEntries[[#This Row],[Work date serial]]-WEEKDAY(tblLaborEntries[[#This Row],[Work date serial]],3),"yyyy-mm-dd")</f>
        <v>2025-12-08</v>
      </c>
      <c r="I936" s="64">
        <f>DATEVALUE(tblLaborEntries[[#This Row],[Work date]])</f>
        <v>46005.0</v>
      </c>
    </row>
    <row r="937" spans="1:9" ht="15" x14ac:dyDescent="0.25">
      <c r="A937" s="53" t="inlineStr">
        <is>
          <t>LAB-000936</t>
        </is>
      </c>
      <c r="B937" s="53" t="inlineStr">
        <is>
          <t>WP-00414</t>
        </is>
      </c>
      <c r="C937" s="53" t="inlineStr">
        <is>
          <t>TECH-011</t>
        </is>
      </c>
      <c r="D937" s="53" t="inlineStr">
        <is>
          <t>Structures</t>
        </is>
      </c>
      <c r="E937" s="53" t="inlineStr">
        <is>
          <t>2025-12-14</t>
        </is>
      </c>
      <c r="F937" s="53">
        <v>10.3</v>
      </c>
      <c r="G937" s="53">
        <v>2.3</v>
      </c>
      <c r="H937" s="51" t="str">
        <f>TEXT(tblLaborEntries[[#This Row],[Work date serial]]-WEEKDAY(tblLaborEntries[[#This Row],[Work date serial]],3),"yyyy-mm-dd")</f>
        <v>2025-12-08</v>
      </c>
      <c r="I937" s="64">
        <f>DATEVALUE(tblLaborEntries[[#This Row],[Work date]])</f>
        <v>46005.0</v>
      </c>
    </row>
    <row r="938" spans="1:9" ht="15" x14ac:dyDescent="0.25">
      <c r="A938" s="53" t="inlineStr">
        <is>
          <t>LAB-000937</t>
        </is>
      </c>
      <c r="B938" s="53" t="inlineStr">
        <is>
          <t>WP-00414</t>
        </is>
      </c>
      <c r="C938" s="53" t="inlineStr">
        <is>
          <t>TECH-041</t>
        </is>
      </c>
      <c r="D938" s="53" t="inlineStr">
        <is>
          <t>Structures</t>
        </is>
      </c>
      <c r="E938" s="53" t="inlineStr">
        <is>
          <t>2025-12-14</t>
        </is>
      </c>
      <c r="F938" s="53">
        <v>12</v>
      </c>
      <c r="G938" s="53">
        <v>4</v>
      </c>
      <c r="H938" s="51" t="str">
        <f>TEXT(tblLaborEntries[[#This Row],[Work date serial]]-WEEKDAY(tblLaborEntries[[#This Row],[Work date serial]],3),"yyyy-mm-dd")</f>
        <v>2025-12-08</v>
      </c>
      <c r="I938" s="64">
        <f>DATEVALUE(tblLaborEntries[[#This Row],[Work date]])</f>
        <v>46005.0</v>
      </c>
    </row>
    <row r="939" spans="1:9" ht="15" x14ac:dyDescent="0.25">
      <c r="A939" s="53" t="inlineStr">
        <is>
          <t>LAB-000938</t>
        </is>
      </c>
      <c r="B939" s="53" t="inlineStr">
        <is>
          <t>WP-00415</t>
        </is>
      </c>
      <c r="C939" s="53" t="inlineStr">
        <is>
          <t>TECH-071</t>
        </is>
      </c>
      <c r="D939" s="53" t="inlineStr">
        <is>
          <t>Structures</t>
        </is>
      </c>
      <c r="E939" s="53" t="inlineStr">
        <is>
          <t>2025-09-15</t>
        </is>
      </c>
      <c r="F939" s="53">
        <v>4.8</v>
      </c>
      <c r="G939" s="53">
        <v>0</v>
      </c>
      <c r="H939" s="51" t="str">
        <f>TEXT(tblLaborEntries[[#This Row],[Work date serial]]-WEEKDAY(tblLaborEntries[[#This Row],[Work date serial]],3),"yyyy-mm-dd")</f>
        <v>2025-09-15</v>
      </c>
      <c r="I939" s="64">
        <f>DATEVALUE(tblLaborEntries[[#This Row],[Work date]])</f>
        <v>45915.0</v>
      </c>
    </row>
    <row r="940" spans="1:9" ht="15" x14ac:dyDescent="0.25">
      <c r="A940" s="53" t="inlineStr">
        <is>
          <t>LAB-000939</t>
        </is>
      </c>
      <c r="B940" s="53" t="inlineStr">
        <is>
          <t>WP-00415</t>
        </is>
      </c>
      <c r="C940" s="53" t="inlineStr">
        <is>
          <t>TECH-035</t>
        </is>
      </c>
      <c r="D940" s="53" t="inlineStr">
        <is>
          <t>Structures</t>
        </is>
      </c>
      <c r="E940" s="53" t="inlineStr">
        <is>
          <t>2025-09-16</t>
        </is>
      </c>
      <c r="F940" s="53">
        <v>5.6</v>
      </c>
      <c r="G940" s="53">
        <v>0</v>
      </c>
      <c r="H940" s="51" t="str">
        <f>TEXT(tblLaborEntries[[#This Row],[Work date serial]]-WEEKDAY(tblLaborEntries[[#This Row],[Work date serial]],3),"yyyy-mm-dd")</f>
        <v>2025-09-15</v>
      </c>
      <c r="I940" s="64">
        <f>DATEVALUE(tblLaborEntries[[#This Row],[Work date]])</f>
        <v>45916.0</v>
      </c>
    </row>
    <row r="941" spans="1:9" ht="15" x14ac:dyDescent="0.25">
      <c r="A941" s="53" t="inlineStr">
        <is>
          <t>LAB-000940</t>
        </is>
      </c>
      <c r="B941" s="53" t="inlineStr">
        <is>
          <t>WP-00415</t>
        </is>
      </c>
      <c r="C941" s="53" t="inlineStr">
        <is>
          <t>TECH-065</t>
        </is>
      </c>
      <c r="D941" s="53" t="inlineStr">
        <is>
          <t>Structures</t>
        </is>
      </c>
      <c r="E941" s="53" t="inlineStr">
        <is>
          <t>2025-09-17</t>
        </is>
      </c>
      <c r="F941" s="53">
        <v>6.5</v>
      </c>
      <c r="G941" s="53">
        <v>0</v>
      </c>
      <c r="H941" s="51" t="str">
        <f>TEXT(tblLaborEntries[[#This Row],[Work date serial]]-WEEKDAY(tblLaborEntries[[#This Row],[Work date serial]],3),"yyyy-mm-dd")</f>
        <v>2025-09-15</v>
      </c>
      <c r="I941" s="64">
        <f>DATEVALUE(tblLaborEntries[[#This Row],[Work date]])</f>
        <v>45917.0</v>
      </c>
    </row>
    <row r="942" spans="1:9" ht="15" x14ac:dyDescent="0.25">
      <c r="A942" s="53" t="inlineStr">
        <is>
          <t>LAB-000941</t>
        </is>
      </c>
      <c r="B942" s="53" t="inlineStr">
        <is>
          <t>WP-00416</t>
        </is>
      </c>
      <c r="C942" s="53" t="inlineStr">
        <is>
          <t>TECH-042</t>
        </is>
      </c>
      <c r="D942" s="53" t="inlineStr">
        <is>
          <t>Powerplant</t>
        </is>
      </c>
      <c r="E942" s="53" t="inlineStr">
        <is>
          <t>2024-02-06</t>
        </is>
      </c>
      <c r="F942" s="53">
        <v>8.1</v>
      </c>
      <c r="G942" s="53">
        <v>0.1</v>
      </c>
      <c r="H942" s="51" t="str">
        <f>TEXT(tblLaborEntries[[#This Row],[Work date serial]]-WEEKDAY(tblLaborEntries[[#This Row],[Work date serial]],3),"yyyy-mm-dd")</f>
        <v>2024-02-05</v>
      </c>
      <c r="I942" s="64">
        <f>DATEVALUE(tblLaborEntries[[#This Row],[Work date]])</f>
        <v>45328.0</v>
      </c>
    </row>
    <row r="943" spans="1:9" ht="15" x14ac:dyDescent="0.25">
      <c r="A943" s="53" t="inlineStr">
        <is>
          <t>LAB-000942</t>
        </is>
      </c>
      <c r="B943" s="53" t="inlineStr">
        <is>
          <t>WP-00416</t>
        </is>
      </c>
      <c r="C943" s="53" t="inlineStr">
        <is>
          <t>TECH-042</t>
        </is>
      </c>
      <c r="D943" s="53" t="inlineStr">
        <is>
          <t>Powerplant</t>
        </is>
      </c>
      <c r="E943" s="53" t="inlineStr">
        <is>
          <t>2024-02-07</t>
        </is>
      </c>
      <c r="F943" s="53">
        <v>8.1</v>
      </c>
      <c r="G943" s="53">
        <v>0.1</v>
      </c>
      <c r="H943" s="51" t="str">
        <f>TEXT(tblLaborEntries[[#This Row],[Work date serial]]-WEEKDAY(tblLaborEntries[[#This Row],[Work date serial]],3),"yyyy-mm-dd")</f>
        <v>2024-02-05</v>
      </c>
      <c r="I943" s="64">
        <f>DATEVALUE(tblLaborEntries[[#This Row],[Work date]])</f>
        <v>45329.0</v>
      </c>
    </row>
    <row r="944" spans="1:9" ht="15" x14ac:dyDescent="0.25">
      <c r="A944" s="53" t="inlineStr">
        <is>
          <t>LAB-000943</t>
        </is>
      </c>
      <c r="B944" s="53" t="inlineStr">
        <is>
          <t>WP-00417</t>
        </is>
      </c>
      <c r="C944" s="53" t="inlineStr">
        <is>
          <t>TECH-074</t>
        </is>
      </c>
      <c r="D944" s="53" t="inlineStr">
        <is>
          <t>Avionics</t>
        </is>
      </c>
      <c r="E944" s="53" t="inlineStr">
        <is>
          <t>2024-05-01</t>
        </is>
      </c>
      <c r="F944" s="53">
        <v>3.6</v>
      </c>
      <c r="G944" s="53">
        <v>0</v>
      </c>
      <c r="H944" s="51" t="str">
        <f>TEXT(tblLaborEntries[[#This Row],[Work date serial]]-WEEKDAY(tblLaborEntries[[#This Row],[Work date serial]],3),"yyyy-mm-dd")</f>
        <v>2024-04-29</v>
      </c>
      <c r="I944" s="64">
        <f>DATEVALUE(tblLaborEntries[[#This Row],[Work date]])</f>
        <v>45413.0</v>
      </c>
    </row>
    <row r="945" spans="1:9" ht="15" x14ac:dyDescent="0.25">
      <c r="A945" s="53" t="inlineStr">
        <is>
          <t>LAB-000944</t>
        </is>
      </c>
      <c r="B945" s="53" t="inlineStr">
        <is>
          <t>WP-00418</t>
        </is>
      </c>
      <c r="C945" s="53" t="inlineStr">
        <is>
          <t>TECH-002</t>
        </is>
      </c>
      <c r="D945" s="53" t="inlineStr">
        <is>
          <t>Avionics</t>
        </is>
      </c>
      <c r="E945" s="53" t="inlineStr">
        <is>
          <t>2025-05-24</t>
        </is>
      </c>
      <c r="F945" s="53">
        <v>4.2</v>
      </c>
      <c r="G945" s="53">
        <v>0</v>
      </c>
      <c r="H945" s="51" t="str">
        <f>TEXT(tblLaborEntries[[#This Row],[Work date serial]]-WEEKDAY(tblLaborEntries[[#This Row],[Work date serial]],3),"yyyy-mm-dd")</f>
        <v>2025-05-19</v>
      </c>
      <c r="I945" s="64">
        <f>DATEVALUE(tblLaborEntries[[#This Row],[Work date]])</f>
        <v>45801.0</v>
      </c>
    </row>
    <row r="946" spans="1:9" ht="15" x14ac:dyDescent="0.25">
      <c r="A946" s="53" t="inlineStr">
        <is>
          <t>LAB-000945</t>
        </is>
      </c>
      <c r="B946" s="53" t="inlineStr">
        <is>
          <t>WP-00418</t>
        </is>
      </c>
      <c r="C946" s="53" t="inlineStr">
        <is>
          <t>TECH-062</t>
        </is>
      </c>
      <c r="D946" s="53" t="inlineStr">
        <is>
          <t>Avionics</t>
        </is>
      </c>
      <c r="E946" s="53" t="inlineStr">
        <is>
          <t>2025-05-24</t>
        </is>
      </c>
      <c r="F946" s="53">
        <v>12</v>
      </c>
      <c r="G946" s="53">
        <v>4</v>
      </c>
      <c r="H946" s="51" t="str">
        <f>TEXT(tblLaborEntries[[#This Row],[Work date serial]]-WEEKDAY(tblLaborEntries[[#This Row],[Work date serial]],3),"yyyy-mm-dd")</f>
        <v>2025-05-19</v>
      </c>
      <c r="I946" s="64">
        <f>DATEVALUE(tblLaborEntries[[#This Row],[Work date]])</f>
        <v>45801.0</v>
      </c>
    </row>
    <row r="947" spans="1:9" ht="15" x14ac:dyDescent="0.25">
      <c r="A947" s="53" t="inlineStr">
        <is>
          <t>LAB-000946</t>
        </is>
      </c>
      <c r="B947" s="53" t="inlineStr">
        <is>
          <t>WP-00419</t>
        </is>
      </c>
      <c r="C947" s="53" t="inlineStr">
        <is>
          <t>TECH-005</t>
        </is>
      </c>
      <c r="D947" s="53" t="inlineStr">
        <is>
          <t>Structures</t>
        </is>
      </c>
      <c r="E947" s="53" t="inlineStr">
        <is>
          <t>2025-04-24</t>
        </is>
      </c>
      <c r="F947" s="53">
        <v>4.9</v>
      </c>
      <c r="G947" s="53">
        <v>0</v>
      </c>
      <c r="H947" s="51" t="str">
        <f>TEXT(tblLaborEntries[[#This Row],[Work date serial]]-WEEKDAY(tblLaborEntries[[#This Row],[Work date serial]],3),"yyyy-mm-dd")</f>
        <v>2025-04-21</v>
      </c>
      <c r="I947" s="64">
        <f>DATEVALUE(tblLaborEntries[[#This Row],[Work date]])</f>
        <v>45771.0</v>
      </c>
    </row>
    <row r="948" spans="1:9" ht="15" x14ac:dyDescent="0.25">
      <c r="A948" s="53" t="inlineStr">
        <is>
          <t>LAB-000947</t>
        </is>
      </c>
      <c r="B948" s="53" t="inlineStr">
        <is>
          <t>WP-00419</t>
        </is>
      </c>
      <c r="C948" s="53" t="inlineStr">
        <is>
          <t>TECH-017</t>
        </is>
      </c>
      <c r="D948" s="53" t="inlineStr">
        <is>
          <t>Structures</t>
        </is>
      </c>
      <c r="E948" s="53" t="inlineStr">
        <is>
          <t>2025-04-24</t>
        </is>
      </c>
      <c r="F948" s="53">
        <v>12</v>
      </c>
      <c r="G948" s="53">
        <v>4</v>
      </c>
      <c r="H948" s="51" t="str">
        <f>TEXT(tblLaborEntries[[#This Row],[Work date serial]]-WEEKDAY(tblLaborEntries[[#This Row],[Work date serial]],3),"yyyy-mm-dd")</f>
        <v>2025-04-21</v>
      </c>
      <c r="I948" s="64">
        <f>DATEVALUE(tblLaborEntries[[#This Row],[Work date]])</f>
        <v>45771.0</v>
      </c>
    </row>
    <row r="949" spans="1:9" ht="15" x14ac:dyDescent="0.25">
      <c r="A949" s="53" t="inlineStr">
        <is>
          <t>LAB-000948</t>
        </is>
      </c>
      <c r="B949" s="53" t="inlineStr">
        <is>
          <t>WP-00419</t>
        </is>
      </c>
      <c r="C949" s="53" t="inlineStr">
        <is>
          <t>TECH-005</t>
        </is>
      </c>
      <c r="D949" s="53" t="inlineStr">
        <is>
          <t>Structures</t>
        </is>
      </c>
      <c r="E949" s="53" t="inlineStr">
        <is>
          <t>2025-04-25</t>
        </is>
      </c>
      <c r="F949" s="53">
        <v>0.7</v>
      </c>
      <c r="G949" s="53">
        <v>0</v>
      </c>
      <c r="H949" s="51" t="str">
        <f>TEXT(tblLaborEntries[[#This Row],[Work date serial]]-WEEKDAY(tblLaborEntries[[#This Row],[Work date serial]],3),"yyyy-mm-dd")</f>
        <v>2025-04-21</v>
      </c>
      <c r="I949" s="64">
        <f>DATEVALUE(tblLaborEntries[[#This Row],[Work date]])</f>
        <v>45772.0</v>
      </c>
    </row>
    <row r="950" spans="1:9" ht="15" x14ac:dyDescent="0.25">
      <c r="A950" s="53" t="inlineStr">
        <is>
          <t>LAB-000949</t>
        </is>
      </c>
      <c r="B950" s="53" t="inlineStr">
        <is>
          <t>WP-00419</t>
        </is>
      </c>
      <c r="C950" s="53" t="inlineStr">
        <is>
          <t>TECH-041</t>
        </is>
      </c>
      <c r="D950" s="53" t="inlineStr">
        <is>
          <t>Structures</t>
        </is>
      </c>
      <c r="E950" s="53" t="inlineStr">
        <is>
          <t>2025-04-25</t>
        </is>
      </c>
      <c r="F950" s="53">
        <v>12</v>
      </c>
      <c r="G950" s="53">
        <v>4</v>
      </c>
      <c r="H950" s="51" t="str">
        <f>TEXT(tblLaborEntries[[#This Row],[Work date serial]]-WEEKDAY(tblLaborEntries[[#This Row],[Work date serial]],3),"yyyy-mm-dd")</f>
        <v>2025-04-21</v>
      </c>
      <c r="I950" s="64">
        <f>DATEVALUE(tblLaborEntries[[#This Row],[Work date]])</f>
        <v>45772.0</v>
      </c>
    </row>
    <row r="951" spans="1:9" ht="15" x14ac:dyDescent="0.25">
      <c r="A951" s="53" t="inlineStr">
        <is>
          <t>LAB-000950</t>
        </is>
      </c>
      <c r="B951" s="53" t="inlineStr">
        <is>
          <t>WP-00419</t>
        </is>
      </c>
      <c r="C951" s="53" t="inlineStr">
        <is>
          <t>TECH-005</t>
        </is>
      </c>
      <c r="D951" s="53" t="inlineStr">
        <is>
          <t>Structures</t>
        </is>
      </c>
      <c r="E951" s="53" t="inlineStr">
        <is>
          <t>2025-04-26</t>
        </is>
      </c>
      <c r="F951" s="53">
        <v>5.8</v>
      </c>
      <c r="G951" s="53">
        <v>0</v>
      </c>
      <c r="H951" s="51" t="str">
        <f>TEXT(tblLaborEntries[[#This Row],[Work date serial]]-WEEKDAY(tblLaborEntries[[#This Row],[Work date serial]],3),"yyyy-mm-dd")</f>
        <v>2025-04-21</v>
      </c>
      <c r="I951" s="64">
        <f>DATEVALUE(tblLaborEntries[[#This Row],[Work date]])</f>
        <v>45773.0</v>
      </c>
    </row>
    <row r="952" spans="1:9" ht="15" x14ac:dyDescent="0.25">
      <c r="A952" s="53" t="inlineStr">
        <is>
          <t>LAB-000951</t>
        </is>
      </c>
      <c r="B952" s="53" t="inlineStr">
        <is>
          <t>WP-00419</t>
        </is>
      </c>
      <c r="C952" s="53" t="inlineStr">
        <is>
          <t>TECH-053</t>
        </is>
      </c>
      <c r="D952" s="53" t="inlineStr">
        <is>
          <t>Structures</t>
        </is>
      </c>
      <c r="E952" s="53" t="inlineStr">
        <is>
          <t>2025-04-26</t>
        </is>
      </c>
      <c r="F952" s="53">
        <v>12</v>
      </c>
      <c r="G952" s="53">
        <v>4</v>
      </c>
      <c r="H952" s="51" t="str">
        <f>TEXT(tblLaborEntries[[#This Row],[Work date serial]]-WEEKDAY(tblLaborEntries[[#This Row],[Work date serial]],3),"yyyy-mm-dd")</f>
        <v>2025-04-21</v>
      </c>
      <c r="I952" s="64">
        <f>DATEVALUE(tblLaborEntries[[#This Row],[Work date]])</f>
        <v>45773.0</v>
      </c>
    </row>
    <row r="953" spans="1:9" ht="15" x14ac:dyDescent="0.25">
      <c r="A953" s="53" t="inlineStr">
        <is>
          <t>LAB-000952</t>
        </is>
      </c>
      <c r="B953" s="53" t="inlineStr">
        <is>
          <t>WP-00420</t>
        </is>
      </c>
      <c r="C953" s="53" t="inlineStr">
        <is>
          <t>TECH-038</t>
        </is>
      </c>
      <c r="D953" s="53" t="inlineStr">
        <is>
          <t>Avionics</t>
        </is>
      </c>
      <c r="E953" s="53" t="inlineStr">
        <is>
          <t>2024-04-01</t>
        </is>
      </c>
      <c r="F953" s="53">
        <v>3</v>
      </c>
      <c r="G953" s="53">
        <v>0</v>
      </c>
      <c r="H953" s="51" t="str">
        <f>TEXT(tblLaborEntries[[#This Row],[Work date serial]]-WEEKDAY(tblLaborEntries[[#This Row],[Work date serial]],3),"yyyy-mm-dd")</f>
        <v>2024-04-01</v>
      </c>
      <c r="I953" s="64">
        <f>DATEVALUE(tblLaborEntries[[#This Row],[Work date]])</f>
        <v>45383.0</v>
      </c>
    </row>
    <row r="954" spans="1:9" ht="15" x14ac:dyDescent="0.25">
      <c r="A954" s="53" t="inlineStr">
        <is>
          <t>LAB-000953</t>
        </is>
      </c>
      <c r="B954" s="53" t="inlineStr">
        <is>
          <t>WP-00420</t>
        </is>
      </c>
      <c r="C954" s="53" t="inlineStr">
        <is>
          <t>TECH-032</t>
        </is>
      </c>
      <c r="D954" s="53" t="inlineStr">
        <is>
          <t>Avionics</t>
        </is>
      </c>
      <c r="E954" s="53" t="inlineStr">
        <is>
          <t>2024-04-02</t>
        </is>
      </c>
      <c r="F954" s="53">
        <v>2.5</v>
      </c>
      <c r="G954" s="53">
        <v>0</v>
      </c>
      <c r="H954" s="51" t="str">
        <f>TEXT(tblLaborEntries[[#This Row],[Work date serial]]-WEEKDAY(tblLaborEntries[[#This Row],[Work date serial]],3),"yyyy-mm-dd")</f>
        <v>2024-04-01</v>
      </c>
      <c r="I954" s="64">
        <f>DATEVALUE(tblLaborEntries[[#This Row],[Work date]])</f>
        <v>45384.0</v>
      </c>
    </row>
    <row r="955" spans="1:9" ht="15" x14ac:dyDescent="0.25">
      <c r="A955" s="53" t="inlineStr">
        <is>
          <t>LAB-000954</t>
        </is>
      </c>
      <c r="B955" s="53" t="inlineStr">
        <is>
          <t>WP-00420</t>
        </is>
      </c>
      <c r="C955" s="53" t="inlineStr">
        <is>
          <t>TECH-020</t>
        </is>
      </c>
      <c r="D955" s="53" t="inlineStr">
        <is>
          <t>Avionics</t>
        </is>
      </c>
      <c r="E955" s="53" t="inlineStr">
        <is>
          <t>2024-04-03</t>
        </is>
      </c>
      <c r="F955" s="53">
        <v>2.3</v>
      </c>
      <c r="G955" s="53">
        <v>0</v>
      </c>
      <c r="H955" s="51" t="str">
        <f>TEXT(tblLaborEntries[[#This Row],[Work date serial]]-WEEKDAY(tblLaborEntries[[#This Row],[Work date serial]],3),"yyyy-mm-dd")</f>
        <v>2024-04-01</v>
      </c>
      <c r="I955" s="64">
        <f>DATEVALUE(tblLaborEntries[[#This Row],[Work date]])</f>
        <v>45385.0</v>
      </c>
    </row>
    <row r="956" spans="1:9" ht="15" x14ac:dyDescent="0.25">
      <c r="A956" s="53" t="inlineStr">
        <is>
          <t>LAB-000955</t>
        </is>
      </c>
      <c r="B956" s="53" t="inlineStr">
        <is>
          <t>WP-00421</t>
        </is>
      </c>
      <c r="C956" s="53" t="inlineStr">
        <is>
          <t>TECH-062</t>
        </is>
      </c>
      <c r="D956" s="53" t="inlineStr">
        <is>
          <t>Avionics</t>
        </is>
      </c>
      <c r="E956" s="53" t="inlineStr">
        <is>
          <t>2025-09-02</t>
        </is>
      </c>
      <c r="F956" s="53">
        <v>11.7</v>
      </c>
      <c r="G956" s="53">
        <v>3.7</v>
      </c>
      <c r="H956" s="51" t="str">
        <f>TEXT(tblLaborEntries[[#This Row],[Work date serial]]-WEEKDAY(tblLaborEntries[[#This Row],[Work date serial]],3),"yyyy-mm-dd")</f>
        <v>2025-09-01</v>
      </c>
      <c r="I956" s="64">
        <f>DATEVALUE(tblLaborEntries[[#This Row],[Work date]])</f>
        <v>45902.0</v>
      </c>
    </row>
    <row r="957" spans="1:9" ht="15" x14ac:dyDescent="0.25">
      <c r="A957" s="53" t="inlineStr">
        <is>
          <t>LAB-000956</t>
        </is>
      </c>
      <c r="B957" s="53" t="inlineStr">
        <is>
          <t>WP-00421</t>
        </is>
      </c>
      <c r="C957" s="53" t="inlineStr">
        <is>
          <t>TECH-068</t>
        </is>
      </c>
      <c r="D957" s="53" t="inlineStr">
        <is>
          <t>Avionics</t>
        </is>
      </c>
      <c r="E957" s="53" t="inlineStr">
        <is>
          <t>2025-09-03</t>
        </is>
      </c>
      <c r="F957" s="53">
        <v>11.5</v>
      </c>
      <c r="G957" s="53">
        <v>3.5</v>
      </c>
      <c r="H957" s="51" t="str">
        <f>TEXT(tblLaborEntries[[#This Row],[Work date serial]]-WEEKDAY(tblLaborEntries[[#This Row],[Work date serial]],3),"yyyy-mm-dd")</f>
        <v>2025-09-01</v>
      </c>
      <c r="I957" s="64">
        <f>DATEVALUE(tblLaborEntries[[#This Row],[Work date]])</f>
        <v>45903.0</v>
      </c>
    </row>
    <row r="958" spans="1:9" ht="15" x14ac:dyDescent="0.25">
      <c r="A958" s="53" t="inlineStr">
        <is>
          <t>LAB-000957</t>
        </is>
      </c>
      <c r="B958" s="53" t="inlineStr">
        <is>
          <t>WP-00422</t>
        </is>
      </c>
      <c r="C958" s="53" t="inlineStr">
        <is>
          <t>TECH-005</t>
        </is>
      </c>
      <c r="D958" s="53" t="inlineStr">
        <is>
          <t>Structures</t>
        </is>
      </c>
      <c r="E958" s="53" t="inlineStr">
        <is>
          <t>2024-10-14</t>
        </is>
      </c>
      <c r="F958" s="53">
        <v>11.6</v>
      </c>
      <c r="G958" s="53">
        <v>3.6</v>
      </c>
      <c r="H958" s="51" t="str">
        <f>TEXT(tblLaborEntries[[#This Row],[Work date serial]]-WEEKDAY(tblLaborEntries[[#This Row],[Work date serial]],3),"yyyy-mm-dd")</f>
        <v>2024-10-14</v>
      </c>
      <c r="I958" s="64">
        <f>DATEVALUE(tblLaborEntries[[#This Row],[Work date]])</f>
        <v>45579.0</v>
      </c>
    </row>
    <row r="959" spans="1:9" ht="15" x14ac:dyDescent="0.25">
      <c r="A959" s="53" t="inlineStr">
        <is>
          <t>LAB-000958</t>
        </is>
      </c>
      <c r="B959" s="53" t="inlineStr">
        <is>
          <t>WP-00422</t>
        </is>
      </c>
      <c r="C959" s="53" t="inlineStr">
        <is>
          <t>TECH-065</t>
        </is>
      </c>
      <c r="D959" s="53" t="inlineStr">
        <is>
          <t>Structures</t>
        </is>
      </c>
      <c r="E959" s="53" t="inlineStr">
        <is>
          <t>2024-10-14</t>
        </is>
      </c>
      <c r="F959" s="53">
        <v>12</v>
      </c>
      <c r="G959" s="53">
        <v>4</v>
      </c>
      <c r="H959" s="51" t="str">
        <f>TEXT(tblLaborEntries[[#This Row],[Work date serial]]-WEEKDAY(tblLaborEntries[[#This Row],[Work date serial]],3),"yyyy-mm-dd")</f>
        <v>2024-10-14</v>
      </c>
      <c r="I959" s="64">
        <f>DATEVALUE(tblLaborEntries[[#This Row],[Work date]])</f>
        <v>45579.0</v>
      </c>
    </row>
    <row r="960" spans="1:9" ht="15" x14ac:dyDescent="0.25">
      <c r="A960" s="53" t="inlineStr">
        <is>
          <t>LAB-000959</t>
        </is>
      </c>
      <c r="B960" s="53" t="inlineStr">
        <is>
          <t>WP-00422</t>
        </is>
      </c>
      <c r="C960" s="53" t="inlineStr">
        <is>
          <t>TECH-005</t>
        </is>
      </c>
      <c r="D960" s="53" t="inlineStr">
        <is>
          <t>Structures</t>
        </is>
      </c>
      <c r="E960" s="53" t="inlineStr">
        <is>
          <t>2024-10-15</t>
        </is>
      </c>
      <c r="F960" s="53">
        <v>9.2</v>
      </c>
      <c r="G960" s="53">
        <v>1.2</v>
      </c>
      <c r="H960" s="51" t="str">
        <f>TEXT(tblLaborEntries[[#This Row],[Work date serial]]-WEEKDAY(tblLaborEntries[[#This Row],[Work date serial]],3),"yyyy-mm-dd")</f>
        <v>2024-10-14</v>
      </c>
      <c r="I960" s="64">
        <f>DATEVALUE(tblLaborEntries[[#This Row],[Work date]])</f>
        <v>45580.0</v>
      </c>
    </row>
    <row r="961" spans="1:9" ht="15" x14ac:dyDescent="0.25">
      <c r="A961" s="53" t="inlineStr">
        <is>
          <t>LAB-000960</t>
        </is>
      </c>
      <c r="B961" s="53" t="inlineStr">
        <is>
          <t>WP-00422</t>
        </is>
      </c>
      <c r="C961" s="53" t="inlineStr">
        <is>
          <t>TECH-059</t>
        </is>
      </c>
      <c r="D961" s="53" t="inlineStr">
        <is>
          <t>Structures</t>
        </is>
      </c>
      <c r="E961" s="53" t="inlineStr">
        <is>
          <t>2024-10-15</t>
        </is>
      </c>
      <c r="F961" s="53">
        <v>12</v>
      </c>
      <c r="G961" s="53">
        <v>4</v>
      </c>
      <c r="H961" s="51" t="str">
        <f>TEXT(tblLaborEntries[[#This Row],[Work date serial]]-WEEKDAY(tblLaborEntries[[#This Row],[Work date serial]],3),"yyyy-mm-dd")</f>
        <v>2024-10-14</v>
      </c>
      <c r="I961" s="64">
        <f>DATEVALUE(tblLaborEntries[[#This Row],[Work date]])</f>
        <v>45580.0</v>
      </c>
    </row>
    <row r="962" spans="1:9" ht="15" x14ac:dyDescent="0.25">
      <c r="A962" s="53" t="inlineStr">
        <is>
          <t>LAB-000961</t>
        </is>
      </c>
      <c r="B962" s="53" t="inlineStr">
        <is>
          <t>WP-00423</t>
        </is>
      </c>
      <c r="C962" s="53" t="inlineStr">
        <is>
          <t>TECH-014</t>
        </is>
      </c>
      <c r="D962" s="53" t="inlineStr">
        <is>
          <t>Avionics</t>
        </is>
      </c>
      <c r="E962" s="53" t="inlineStr">
        <is>
          <t>2025-03-28</t>
        </is>
      </c>
      <c r="F962" s="53">
        <v>2.4</v>
      </c>
      <c r="G962" s="53">
        <v>0</v>
      </c>
      <c r="H962" s="51" t="str">
        <f>TEXT(tblLaborEntries[[#This Row],[Work date serial]]-WEEKDAY(tblLaborEntries[[#This Row],[Work date serial]],3),"yyyy-mm-dd")</f>
        <v>2025-03-24</v>
      </c>
      <c r="I962" s="64">
        <f>DATEVALUE(tblLaborEntries[[#This Row],[Work date]])</f>
        <v>45744.0</v>
      </c>
    </row>
    <row r="963" spans="1:9" ht="15" x14ac:dyDescent="0.25">
      <c r="A963" s="53" t="inlineStr">
        <is>
          <t>LAB-000962</t>
        </is>
      </c>
      <c r="B963" s="53" t="inlineStr">
        <is>
          <t>WP-00423</t>
        </is>
      </c>
      <c r="C963" s="53" t="inlineStr">
        <is>
          <t>TECH-044</t>
        </is>
      </c>
      <c r="D963" s="53" t="inlineStr">
        <is>
          <t>Avionics</t>
        </is>
      </c>
      <c r="E963" s="53" t="inlineStr">
        <is>
          <t>2025-03-29</t>
        </is>
      </c>
      <c r="F963" s="53">
        <v>3.4</v>
      </c>
      <c r="G963" s="53">
        <v>0</v>
      </c>
      <c r="H963" s="51" t="str">
        <f>TEXT(tblLaborEntries[[#This Row],[Work date serial]]-WEEKDAY(tblLaborEntries[[#This Row],[Work date serial]],3),"yyyy-mm-dd")</f>
        <v>2025-03-24</v>
      </c>
      <c r="I963" s="64">
        <f>DATEVALUE(tblLaborEntries[[#This Row],[Work date]])</f>
        <v>45745.0</v>
      </c>
    </row>
    <row r="964" spans="1:9" ht="15" x14ac:dyDescent="0.25">
      <c r="A964" s="53" t="inlineStr">
        <is>
          <t>LAB-000963</t>
        </is>
      </c>
      <c r="B964" s="53" t="inlineStr">
        <is>
          <t>WP-00424</t>
        </is>
      </c>
      <c r="C964" s="53" t="inlineStr">
        <is>
          <t>TECH-020</t>
        </is>
      </c>
      <c r="D964" s="53" t="inlineStr">
        <is>
          <t>Avionics</t>
        </is>
      </c>
      <c r="E964" s="53" t="inlineStr">
        <is>
          <t>2025-10-11</t>
        </is>
      </c>
      <c r="F964" s="53">
        <v>4.8</v>
      </c>
      <c r="G964" s="53">
        <v>0</v>
      </c>
      <c r="H964" s="51" t="str">
        <f>TEXT(tblLaborEntries[[#This Row],[Work date serial]]-WEEKDAY(tblLaborEntries[[#This Row],[Work date serial]],3),"yyyy-mm-dd")</f>
        <v>2025-10-06</v>
      </c>
      <c r="I964" s="64">
        <f>DATEVALUE(tblLaborEntries[[#This Row],[Work date]])</f>
        <v>45941.0</v>
      </c>
    </row>
    <row r="965" spans="1:9" ht="15" x14ac:dyDescent="0.25">
      <c r="A965" s="53" t="inlineStr">
        <is>
          <t>LAB-000964</t>
        </is>
      </c>
      <c r="B965" s="53" t="inlineStr">
        <is>
          <t>WP-00424</t>
        </is>
      </c>
      <c r="C965" s="53" t="inlineStr">
        <is>
          <t>TECH-068</t>
        </is>
      </c>
      <c r="D965" s="53" t="inlineStr">
        <is>
          <t>Avionics</t>
        </is>
      </c>
      <c r="E965" s="53" t="inlineStr">
        <is>
          <t>2025-10-12</t>
        </is>
      </c>
      <c r="F965" s="53">
        <v>6</v>
      </c>
      <c r="G965" s="53">
        <v>0</v>
      </c>
      <c r="H965" s="51" t="str">
        <f>TEXT(tblLaborEntries[[#This Row],[Work date serial]]-WEEKDAY(tblLaborEntries[[#This Row],[Work date serial]],3),"yyyy-mm-dd")</f>
        <v>2025-10-06</v>
      </c>
      <c r="I965" s="64">
        <f>DATEVALUE(tblLaborEntries[[#This Row],[Work date]])</f>
        <v>45942.0</v>
      </c>
    </row>
    <row r="966" spans="1:9" ht="15" x14ac:dyDescent="0.25">
      <c r="A966" s="53" t="inlineStr">
        <is>
          <t>LAB-000965</t>
        </is>
      </c>
      <c r="B966" s="53" t="inlineStr">
        <is>
          <t>WP-00425</t>
        </is>
      </c>
      <c r="C966" s="53" t="inlineStr">
        <is>
          <t>TECH-006</t>
        </is>
      </c>
      <c r="D966" s="53" t="inlineStr">
        <is>
          <t>Powerplant</t>
        </is>
      </c>
      <c r="E966" s="53" t="inlineStr">
        <is>
          <t>2025-03-07</t>
        </is>
      </c>
      <c r="F966" s="53">
        <v>7</v>
      </c>
      <c r="G966" s="53">
        <v>0</v>
      </c>
      <c r="H966" s="51" t="str">
        <f>TEXT(tblLaborEntries[[#This Row],[Work date serial]]-WEEKDAY(tblLaborEntries[[#This Row],[Work date serial]],3),"yyyy-mm-dd")</f>
        <v>2025-03-03</v>
      </c>
      <c r="I966" s="64">
        <f>DATEVALUE(tblLaborEntries[[#This Row],[Work date]])</f>
        <v>45723.0</v>
      </c>
    </row>
    <row r="967" spans="1:9" ht="15" x14ac:dyDescent="0.25">
      <c r="A967" s="53" t="inlineStr">
        <is>
          <t>LAB-000966</t>
        </is>
      </c>
      <c r="B967" s="53" t="inlineStr">
        <is>
          <t>WP-00425</t>
        </is>
      </c>
      <c r="C967" s="53" t="inlineStr">
        <is>
          <t>TECH-012</t>
        </is>
      </c>
      <c r="D967" s="53" t="inlineStr">
        <is>
          <t>Powerplant</t>
        </is>
      </c>
      <c r="E967" s="53" t="inlineStr">
        <is>
          <t>2025-03-07</t>
        </is>
      </c>
      <c r="F967" s="53">
        <v>3.2</v>
      </c>
      <c r="G967" s="53">
        <v>0</v>
      </c>
      <c r="H967" s="51" t="str">
        <f>TEXT(tblLaborEntries[[#This Row],[Work date serial]]-WEEKDAY(tblLaborEntries[[#This Row],[Work date serial]],3),"yyyy-mm-dd")</f>
        <v>2025-03-03</v>
      </c>
      <c r="I967" s="64">
        <f>DATEVALUE(tblLaborEntries[[#This Row],[Work date]])</f>
        <v>45723.0</v>
      </c>
    </row>
    <row r="968" spans="1:9" ht="15" x14ac:dyDescent="0.25">
      <c r="A968" s="53" t="inlineStr">
        <is>
          <t>LAB-000967</t>
        </is>
      </c>
      <c r="B968" s="53" t="inlineStr">
        <is>
          <t>WP-00426</t>
        </is>
      </c>
      <c r="C968" s="53" t="inlineStr">
        <is>
          <t>TECH-006</t>
        </is>
      </c>
      <c r="D968" s="53" t="inlineStr">
        <is>
          <t>Powerplant</t>
        </is>
      </c>
      <c r="E968" s="53" t="inlineStr">
        <is>
          <t>2025-07-02</t>
        </is>
      </c>
      <c r="F968" s="53">
        <v>12</v>
      </c>
      <c r="G968" s="53">
        <v>4</v>
      </c>
      <c r="H968" s="51" t="str">
        <f>TEXT(tblLaborEntries[[#This Row],[Work date serial]]-WEEKDAY(tblLaborEntries[[#This Row],[Work date serial]],3),"yyyy-mm-dd")</f>
        <v>2025-06-30</v>
      </c>
      <c r="I968" s="64">
        <f>DATEVALUE(tblLaborEntries[[#This Row],[Work date]])</f>
        <v>45840.0</v>
      </c>
    </row>
    <row r="969" spans="1:9" ht="15" x14ac:dyDescent="0.25">
      <c r="A969" s="53" t="inlineStr">
        <is>
          <t>LAB-000968</t>
        </is>
      </c>
      <c r="B969" s="53" t="inlineStr">
        <is>
          <t>WP-00426</t>
        </is>
      </c>
      <c r="C969" s="53" t="inlineStr">
        <is>
          <t>TECH-012</t>
        </is>
      </c>
      <c r="D969" s="53" t="inlineStr">
        <is>
          <t>Powerplant</t>
        </is>
      </c>
      <c r="E969" s="53" t="inlineStr">
        <is>
          <t>2025-07-02</t>
        </is>
      </c>
      <c r="F969" s="53">
        <v>12</v>
      </c>
      <c r="G969" s="53">
        <v>4</v>
      </c>
      <c r="H969" s="51" t="str">
        <f>TEXT(tblLaborEntries[[#This Row],[Work date serial]]-WEEKDAY(tblLaborEntries[[#This Row],[Work date serial]],3),"yyyy-mm-dd")</f>
        <v>2025-06-30</v>
      </c>
      <c r="I969" s="64">
        <f>DATEVALUE(tblLaborEntries[[#This Row],[Work date]])</f>
        <v>45840.0</v>
      </c>
    </row>
    <row r="970" spans="1:9" ht="15" x14ac:dyDescent="0.25">
      <c r="A970" s="53" t="inlineStr">
        <is>
          <t>LAB-000969</t>
        </is>
      </c>
      <c r="B970" s="53" t="inlineStr">
        <is>
          <t>WP-00426</t>
        </is>
      </c>
      <c r="C970" s="53" t="inlineStr">
        <is>
          <t>TECH-018</t>
        </is>
      </c>
      <c r="D970" s="53" t="inlineStr">
        <is>
          <t>Powerplant</t>
        </is>
      </c>
      <c r="E970" s="53" t="inlineStr">
        <is>
          <t>2025-07-02</t>
        </is>
      </c>
      <c r="F970" s="53">
        <v>2</v>
      </c>
      <c r="G970" s="53">
        <v>0</v>
      </c>
      <c r="H970" s="51" t="str">
        <f>TEXT(tblLaborEntries[[#This Row],[Work date serial]]-WEEKDAY(tblLaborEntries[[#This Row],[Work date serial]],3),"yyyy-mm-dd")</f>
        <v>2025-06-30</v>
      </c>
      <c r="I970" s="64">
        <f>DATEVALUE(tblLaborEntries[[#This Row],[Work date]])</f>
        <v>45840.0</v>
      </c>
    </row>
    <row r="971" spans="1:9" ht="15" x14ac:dyDescent="0.25">
      <c r="A971" s="53" t="inlineStr">
        <is>
          <t>LAB-000970</t>
        </is>
      </c>
      <c r="B971" s="53" t="inlineStr">
        <is>
          <t>WP-00427</t>
        </is>
      </c>
      <c r="C971" s="53" t="inlineStr">
        <is>
          <t>TECH-032</t>
        </is>
      </c>
      <c r="D971" s="53" t="inlineStr">
        <is>
          <t>Avionics</t>
        </is>
      </c>
      <c r="E971" s="53" t="inlineStr">
        <is>
          <t>2024-11-19</t>
        </is>
      </c>
      <c r="F971" s="53">
        <v>2</v>
      </c>
      <c r="G971" s="53">
        <v>0</v>
      </c>
      <c r="H971" s="51" t="str">
        <f>TEXT(tblLaborEntries[[#This Row],[Work date serial]]-WEEKDAY(tblLaborEntries[[#This Row],[Work date serial]],3),"yyyy-mm-dd")</f>
        <v>2024-11-18</v>
      </c>
      <c r="I971" s="64">
        <f>DATEVALUE(tblLaborEntries[[#This Row],[Work date]])</f>
        <v>45615.0</v>
      </c>
    </row>
    <row r="972" spans="1:9" ht="15" x14ac:dyDescent="0.25">
      <c r="A972" s="53" t="inlineStr">
        <is>
          <t>LAB-000971</t>
        </is>
      </c>
      <c r="B972" s="53" t="inlineStr">
        <is>
          <t>WP-00427</t>
        </is>
      </c>
      <c r="C972" s="53" t="inlineStr">
        <is>
          <t>TECH-008</t>
        </is>
      </c>
      <c r="D972" s="53" t="inlineStr">
        <is>
          <t>Avionics</t>
        </is>
      </c>
      <c r="E972" s="53" t="inlineStr">
        <is>
          <t>2024-11-20</t>
        </is>
      </c>
      <c r="F972" s="53">
        <v>1.7</v>
      </c>
      <c r="G972" s="53">
        <v>0</v>
      </c>
      <c r="H972" s="51" t="str">
        <f>TEXT(tblLaborEntries[[#This Row],[Work date serial]]-WEEKDAY(tblLaborEntries[[#This Row],[Work date serial]],3),"yyyy-mm-dd")</f>
        <v>2024-11-18</v>
      </c>
      <c r="I972" s="64">
        <f>DATEVALUE(tblLaborEntries[[#This Row],[Work date]])</f>
        <v>45616.0</v>
      </c>
    </row>
    <row r="973" spans="1:9" ht="15" x14ac:dyDescent="0.25">
      <c r="A973" s="53" t="inlineStr">
        <is>
          <t>LAB-000972</t>
        </is>
      </c>
      <c r="B973" s="53" t="inlineStr">
        <is>
          <t>WP-00427</t>
        </is>
      </c>
      <c r="C973" s="53" t="inlineStr">
        <is>
          <t>TECH-050</t>
        </is>
      </c>
      <c r="D973" s="53" t="inlineStr">
        <is>
          <t>Avionics</t>
        </is>
      </c>
      <c r="E973" s="53" t="inlineStr">
        <is>
          <t>2024-11-21</t>
        </is>
      </c>
      <c r="F973" s="53">
        <v>1.8</v>
      </c>
      <c r="G973" s="53">
        <v>0</v>
      </c>
      <c r="H973" s="51" t="str">
        <f>TEXT(tblLaborEntries[[#This Row],[Work date serial]]-WEEKDAY(tblLaborEntries[[#This Row],[Work date serial]],3),"yyyy-mm-dd")</f>
        <v>2024-11-18</v>
      </c>
      <c r="I973" s="64">
        <f>DATEVALUE(tblLaborEntries[[#This Row],[Work date]])</f>
        <v>45617.0</v>
      </c>
    </row>
    <row r="974" spans="1:9" ht="15" x14ac:dyDescent="0.25">
      <c r="A974" s="53" t="inlineStr">
        <is>
          <t>LAB-000973</t>
        </is>
      </c>
      <c r="B974" s="53" t="inlineStr">
        <is>
          <t>WP-00428</t>
        </is>
      </c>
      <c r="C974" s="53" t="inlineStr">
        <is>
          <t>TECH-002</t>
        </is>
      </c>
      <c r="D974" s="53" t="inlineStr">
        <is>
          <t>Avionics</t>
        </is>
      </c>
      <c r="E974" s="53" t="inlineStr">
        <is>
          <t>2024-04-22</t>
        </is>
      </c>
      <c r="F974" s="53">
        <v>10.6</v>
      </c>
      <c r="G974" s="53">
        <v>2.6</v>
      </c>
      <c r="H974" s="51" t="str">
        <f>TEXT(tblLaborEntries[[#This Row],[Work date serial]]-WEEKDAY(tblLaborEntries[[#This Row],[Work date serial]],3),"yyyy-mm-dd")</f>
        <v>2024-04-22</v>
      </c>
      <c r="I974" s="64">
        <f>DATEVALUE(tblLaborEntries[[#This Row],[Work date]])</f>
        <v>45404.0</v>
      </c>
    </row>
    <row r="975" spans="1:9" ht="15" x14ac:dyDescent="0.25">
      <c r="A975" s="53" t="inlineStr">
        <is>
          <t>LAB-000974</t>
        </is>
      </c>
      <c r="B975" s="53" t="inlineStr">
        <is>
          <t>WP-00428</t>
        </is>
      </c>
      <c r="C975" s="53" t="inlineStr">
        <is>
          <t>TECH-062</t>
        </is>
      </c>
      <c r="D975" s="53" t="inlineStr">
        <is>
          <t>Avionics</t>
        </is>
      </c>
      <c r="E975" s="53" t="inlineStr">
        <is>
          <t>2024-04-22</t>
        </is>
      </c>
      <c r="F975" s="53">
        <v>3.9</v>
      </c>
      <c r="G975" s="53">
        <v>0</v>
      </c>
      <c r="H975" s="51" t="str">
        <f>TEXT(tblLaborEntries[[#This Row],[Work date serial]]-WEEKDAY(tblLaborEntries[[#This Row],[Work date serial]],3),"yyyy-mm-dd")</f>
        <v>2024-04-22</v>
      </c>
      <c r="I975" s="64">
        <f>DATEVALUE(tblLaborEntries[[#This Row],[Work date]])</f>
        <v>45404.0</v>
      </c>
    </row>
    <row r="976" spans="1:9" ht="15" x14ac:dyDescent="0.25">
      <c r="A976" s="53" t="inlineStr">
        <is>
          <t>LAB-000975</t>
        </is>
      </c>
      <c r="B976" s="53" t="inlineStr">
        <is>
          <t>WP-00429</t>
        </is>
      </c>
      <c r="C976" s="53" t="inlineStr">
        <is>
          <t>TECH-002</t>
        </is>
      </c>
      <c r="D976" s="53" t="inlineStr">
        <is>
          <t>Avionics</t>
        </is>
      </c>
      <c r="E976" s="53" t="inlineStr">
        <is>
          <t>2024-07-26</t>
        </is>
      </c>
      <c r="F976" s="53">
        <v>5.7</v>
      </c>
      <c r="G976" s="53">
        <v>0</v>
      </c>
      <c r="H976" s="51" t="str">
        <f>TEXT(tblLaborEntries[[#This Row],[Work date serial]]-WEEKDAY(tblLaborEntries[[#This Row],[Work date serial]],3),"yyyy-mm-dd")</f>
        <v>2024-07-22</v>
      </c>
      <c r="I976" s="64">
        <f>DATEVALUE(tblLaborEntries[[#This Row],[Work date]])</f>
        <v>45499.0</v>
      </c>
    </row>
    <row r="977" spans="1:9" ht="15" x14ac:dyDescent="0.25">
      <c r="A977" s="53" t="inlineStr">
        <is>
          <t>LAB-000976</t>
        </is>
      </c>
      <c r="B977" s="53" t="inlineStr">
        <is>
          <t>WP-00429</t>
        </is>
      </c>
      <c r="C977" s="53" t="inlineStr">
        <is>
          <t>TECH-008</t>
        </is>
      </c>
      <c r="D977" s="53" t="inlineStr">
        <is>
          <t>Avionics</t>
        </is>
      </c>
      <c r="E977" s="53" t="inlineStr">
        <is>
          <t>2024-07-27</t>
        </is>
      </c>
      <c r="F977" s="53">
        <v>6</v>
      </c>
      <c r="G977" s="53">
        <v>0</v>
      </c>
      <c r="H977" s="51" t="str">
        <f>TEXT(tblLaborEntries[[#This Row],[Work date serial]]-WEEKDAY(tblLaborEntries[[#This Row],[Work date serial]],3),"yyyy-mm-dd")</f>
        <v>2024-07-22</v>
      </c>
      <c r="I977" s="64">
        <f>DATEVALUE(tblLaborEntries[[#This Row],[Work date]])</f>
        <v>45500.0</v>
      </c>
    </row>
    <row r="978" spans="1:9" ht="15" x14ac:dyDescent="0.25">
      <c r="A978" s="53" t="inlineStr">
        <is>
          <t>LAB-000977</t>
        </is>
      </c>
      <c r="B978" s="53" t="inlineStr">
        <is>
          <t>WP-00430</t>
        </is>
      </c>
      <c r="C978" s="53" t="inlineStr">
        <is>
          <t>TECH-055</t>
        </is>
      </c>
      <c r="D978" s="53" t="inlineStr">
        <is>
          <t>Airframe</t>
        </is>
      </c>
      <c r="E978" s="53" t="inlineStr">
        <is>
          <t>2024-10-05</t>
        </is>
      </c>
      <c r="F978" s="53">
        <v>4.8</v>
      </c>
      <c r="G978" s="53">
        <v>0</v>
      </c>
      <c r="H978" s="51" t="str">
        <f>TEXT(tblLaborEntries[[#This Row],[Work date serial]]-WEEKDAY(tblLaborEntries[[#This Row],[Work date serial]],3),"yyyy-mm-dd")</f>
        <v>2024-09-30</v>
      </c>
      <c r="I978" s="64">
        <f>DATEVALUE(tblLaborEntries[[#This Row],[Work date]])</f>
        <v>45570.0</v>
      </c>
    </row>
    <row r="979" spans="1:9" ht="15" x14ac:dyDescent="0.25">
      <c r="A979" s="53" t="inlineStr">
        <is>
          <t>LAB-000978</t>
        </is>
      </c>
      <c r="B979" s="53" t="inlineStr">
        <is>
          <t>WP-00430</t>
        </is>
      </c>
      <c r="C979" s="53" t="inlineStr">
        <is>
          <t>TECH-073</t>
        </is>
      </c>
      <c r="D979" s="53" t="inlineStr">
        <is>
          <t>Airframe</t>
        </is>
      </c>
      <c r="E979" s="53" t="inlineStr">
        <is>
          <t>2024-10-06</t>
        </is>
      </c>
      <c r="F979" s="53">
        <v>4.7</v>
      </c>
      <c r="G979" s="53">
        <v>0</v>
      </c>
      <c r="H979" s="51" t="str">
        <f>TEXT(tblLaborEntries[[#This Row],[Work date serial]]-WEEKDAY(tblLaborEntries[[#This Row],[Work date serial]],3),"yyyy-mm-dd")</f>
        <v>2024-09-30</v>
      </c>
      <c r="I979" s="64">
        <f>DATEVALUE(tblLaborEntries[[#This Row],[Work date]])</f>
        <v>45571.0</v>
      </c>
    </row>
    <row r="980" spans="1:9" ht="15" x14ac:dyDescent="0.25">
      <c r="A980" s="53" t="inlineStr">
        <is>
          <t>LAB-000979</t>
        </is>
      </c>
      <c r="B980" s="53" t="inlineStr">
        <is>
          <t>WP-00430</t>
        </is>
      </c>
      <c r="C980" s="53" t="inlineStr">
        <is>
          <t>TECH-031</t>
        </is>
      </c>
      <c r="D980" s="53" t="inlineStr">
        <is>
          <t>Airframe</t>
        </is>
      </c>
      <c r="E980" s="53" t="inlineStr">
        <is>
          <t>2024-10-07</t>
        </is>
      </c>
      <c r="F980" s="53">
        <v>7.3</v>
      </c>
      <c r="G980" s="53">
        <v>0</v>
      </c>
      <c r="H980" s="51" t="str">
        <f>TEXT(tblLaborEntries[[#This Row],[Work date serial]]-WEEKDAY(tblLaborEntries[[#This Row],[Work date serial]],3),"yyyy-mm-dd")</f>
        <v>2024-10-07</v>
      </c>
      <c r="I980" s="64">
        <f>DATEVALUE(tblLaborEntries[[#This Row],[Work date]])</f>
        <v>45572.0</v>
      </c>
    </row>
    <row r="981" spans="1:9" ht="15" x14ac:dyDescent="0.25">
      <c r="A981" s="53" t="inlineStr">
        <is>
          <t>LAB-000980</t>
        </is>
      </c>
      <c r="B981" s="53" t="inlineStr">
        <is>
          <t>WP-00431</t>
        </is>
      </c>
      <c r="C981" s="53" t="inlineStr">
        <is>
          <t>TECH-036</t>
        </is>
      </c>
      <c r="D981" s="53" t="inlineStr">
        <is>
          <t>Powerplant</t>
        </is>
      </c>
      <c r="E981" s="53" t="inlineStr">
        <is>
          <t>2025-10-16</t>
        </is>
      </c>
      <c r="F981" s="53">
        <v>3.9</v>
      </c>
      <c r="G981" s="53">
        <v>0</v>
      </c>
      <c r="H981" s="51" t="str">
        <f>TEXT(tblLaborEntries[[#This Row],[Work date serial]]-WEEKDAY(tblLaborEntries[[#This Row],[Work date serial]],3),"yyyy-mm-dd")</f>
        <v>2025-10-13</v>
      </c>
      <c r="I981" s="64">
        <f>DATEVALUE(tblLaborEntries[[#This Row],[Work date]])</f>
        <v>45946.0</v>
      </c>
    </row>
    <row r="982" spans="1:9" ht="15" x14ac:dyDescent="0.25">
      <c r="A982" s="53" t="inlineStr">
        <is>
          <t>LAB-000981</t>
        </is>
      </c>
      <c r="B982" s="53" t="inlineStr">
        <is>
          <t>WP-00431</t>
        </is>
      </c>
      <c r="C982" s="53" t="inlineStr">
        <is>
          <t>TECH-066</t>
        </is>
      </c>
      <c r="D982" s="53" t="inlineStr">
        <is>
          <t>Powerplant</t>
        </is>
      </c>
      <c r="E982" s="53" t="inlineStr">
        <is>
          <t>2025-10-17</t>
        </is>
      </c>
      <c r="F982" s="53">
        <v>6</v>
      </c>
      <c r="G982" s="53">
        <v>0</v>
      </c>
      <c r="H982" s="51" t="str">
        <f>TEXT(tblLaborEntries[[#This Row],[Work date serial]]-WEEKDAY(tblLaborEntries[[#This Row],[Work date serial]],3),"yyyy-mm-dd")</f>
        <v>2025-10-13</v>
      </c>
      <c r="I982" s="64">
        <f>DATEVALUE(tblLaborEntries[[#This Row],[Work date]])</f>
        <v>45947.0</v>
      </c>
    </row>
    <row r="983" spans="1:9" ht="15" x14ac:dyDescent="0.25">
      <c r="A983" s="53" t="inlineStr">
        <is>
          <t>LAB-000982</t>
        </is>
      </c>
      <c r="B983" s="53" t="inlineStr">
        <is>
          <t>WP-00432</t>
        </is>
      </c>
      <c r="C983" s="53" t="inlineStr">
        <is>
          <t>TECH-037</t>
        </is>
      </c>
      <c r="D983" s="53" t="inlineStr">
        <is>
          <t>Airframe</t>
        </is>
      </c>
      <c r="E983" s="53" t="inlineStr">
        <is>
          <t>2024-12-28</t>
        </is>
      </c>
      <c r="F983" s="53">
        <v>3</v>
      </c>
      <c r="G983" s="53">
        <v>0</v>
      </c>
      <c r="H983" s="51" t="str">
        <f>TEXT(tblLaborEntries[[#This Row],[Work date serial]]-WEEKDAY(tblLaborEntries[[#This Row],[Work date serial]],3),"yyyy-mm-dd")</f>
        <v>2024-12-23</v>
      </c>
      <c r="I983" s="64">
        <f>DATEVALUE(tblLaborEntries[[#This Row],[Work date]])</f>
        <v>45654.0</v>
      </c>
    </row>
    <row r="984" spans="1:9" ht="15" x14ac:dyDescent="0.25">
      <c r="A984" s="53" t="inlineStr">
        <is>
          <t>LAB-000983</t>
        </is>
      </c>
      <c r="B984" s="53" t="inlineStr">
        <is>
          <t>WP-00432</t>
        </is>
      </c>
      <c r="C984" s="53" t="inlineStr">
        <is>
          <t>TECH-031</t>
        </is>
      </c>
      <c r="D984" s="53" t="inlineStr">
        <is>
          <t>Airframe</t>
        </is>
      </c>
      <c r="E984" s="53" t="inlineStr">
        <is>
          <t>2024-12-29</t>
        </is>
      </c>
      <c r="F984" s="53">
        <v>4.5</v>
      </c>
      <c r="G984" s="53">
        <v>0</v>
      </c>
      <c r="H984" s="51" t="str">
        <f>TEXT(tblLaborEntries[[#This Row],[Work date serial]]-WEEKDAY(tblLaborEntries[[#This Row],[Work date serial]],3),"yyyy-mm-dd")</f>
        <v>2024-12-23</v>
      </c>
      <c r="I984" s="64">
        <f>DATEVALUE(tblLaborEntries[[#This Row],[Work date]])</f>
        <v>45655.0</v>
      </c>
    </row>
    <row r="985" spans="1:9" ht="15" x14ac:dyDescent="0.25">
      <c r="A985" s="53" t="inlineStr">
        <is>
          <t>LAB-000984</t>
        </is>
      </c>
      <c r="B985" s="53" t="inlineStr">
        <is>
          <t>WP-00433</t>
        </is>
      </c>
      <c r="C985" s="53" t="inlineStr">
        <is>
          <t>TECH-009</t>
        </is>
      </c>
      <c r="D985" s="53" t="inlineStr">
        <is>
          <t>Hydraulics</t>
        </is>
      </c>
      <c r="E985" s="53" t="inlineStr">
        <is>
          <t>2025-03-19</t>
        </is>
      </c>
      <c r="F985" s="53">
        <v>7.9</v>
      </c>
      <c r="G985" s="53">
        <v>0</v>
      </c>
      <c r="H985" s="51" t="str">
        <f>TEXT(tblLaborEntries[[#This Row],[Work date serial]]-WEEKDAY(tblLaborEntries[[#This Row],[Work date serial]],3),"yyyy-mm-dd")</f>
        <v>2025-03-17</v>
      </c>
      <c r="I985" s="64">
        <f>DATEVALUE(tblLaborEntries[[#This Row],[Work date]])</f>
        <v>45735.0</v>
      </c>
    </row>
    <row r="986" spans="1:9" ht="15" x14ac:dyDescent="0.25">
      <c r="A986" s="53" t="inlineStr">
        <is>
          <t>LAB-000985</t>
        </is>
      </c>
      <c r="B986" s="53" t="inlineStr">
        <is>
          <t>WP-00434</t>
        </is>
      </c>
      <c r="C986" s="53" t="inlineStr">
        <is>
          <t>TECH-004</t>
        </is>
      </c>
      <c r="D986" s="53" t="inlineStr">
        <is>
          <t>Electrical</t>
        </is>
      </c>
      <c r="E986" s="53" t="inlineStr">
        <is>
          <t>2025-06-09</t>
        </is>
      </c>
      <c r="F986" s="53">
        <v>12</v>
      </c>
      <c r="G986" s="53">
        <v>4</v>
      </c>
      <c r="H986" s="51" t="str">
        <f>TEXT(tblLaborEntries[[#This Row],[Work date serial]]-WEEKDAY(tblLaborEntries[[#This Row],[Work date serial]],3),"yyyy-mm-dd")</f>
        <v>2025-06-09</v>
      </c>
      <c r="I986" s="64">
        <f>DATEVALUE(tblLaborEntries[[#This Row],[Work date]])</f>
        <v>45817.0</v>
      </c>
    </row>
    <row r="987" spans="1:9" ht="15" x14ac:dyDescent="0.25">
      <c r="A987" s="53" t="inlineStr">
        <is>
          <t>LAB-000986</t>
        </is>
      </c>
      <c r="B987" s="53" t="inlineStr">
        <is>
          <t>WP-00434</t>
        </is>
      </c>
      <c r="C987" s="53" t="inlineStr">
        <is>
          <t>TECH-010</t>
        </is>
      </c>
      <c r="D987" s="53" t="inlineStr">
        <is>
          <t>Electrical</t>
        </is>
      </c>
      <c r="E987" s="53" t="inlineStr">
        <is>
          <t>2025-06-09</t>
        </is>
      </c>
      <c r="F987" s="53">
        <v>0.6</v>
      </c>
      <c r="G987" s="53">
        <v>0</v>
      </c>
      <c r="H987" s="51" t="str">
        <f>TEXT(tblLaborEntries[[#This Row],[Work date serial]]-WEEKDAY(tblLaborEntries[[#This Row],[Work date serial]],3),"yyyy-mm-dd")</f>
        <v>2025-06-09</v>
      </c>
      <c r="I987" s="64">
        <f>DATEVALUE(tblLaborEntries[[#This Row],[Work date]])</f>
        <v>45817.0</v>
      </c>
    </row>
    <row r="988" spans="1:9" ht="15" x14ac:dyDescent="0.25">
      <c r="A988" s="53" t="inlineStr">
        <is>
          <t>LAB-000987</t>
        </is>
      </c>
      <c r="B988" s="53" t="inlineStr">
        <is>
          <t>WP-00434</t>
        </is>
      </c>
      <c r="C988" s="53" t="inlineStr">
        <is>
          <t>TECH-046</t>
        </is>
      </c>
      <c r="D988" s="53" t="inlineStr">
        <is>
          <t>Electrical</t>
        </is>
      </c>
      <c r="E988" s="53" t="inlineStr">
        <is>
          <t>2025-06-09</t>
        </is>
      </c>
      <c r="F988" s="53">
        <v>12</v>
      </c>
      <c r="G988" s="53">
        <v>4</v>
      </c>
      <c r="H988" s="51" t="str">
        <f>TEXT(tblLaborEntries[[#This Row],[Work date serial]]-WEEKDAY(tblLaborEntries[[#This Row],[Work date serial]],3),"yyyy-mm-dd")</f>
        <v>2025-06-09</v>
      </c>
      <c r="I988" s="64">
        <f>DATEVALUE(tblLaborEntries[[#This Row],[Work date]])</f>
        <v>45817.0</v>
      </c>
    </row>
    <row r="989" spans="1:9" ht="15" x14ac:dyDescent="0.25">
      <c r="A989" s="53" t="inlineStr">
        <is>
          <t>LAB-000988</t>
        </is>
      </c>
      <c r="B989" s="53" t="inlineStr">
        <is>
          <t>WP-00435</t>
        </is>
      </c>
      <c r="C989" s="53" t="inlineStr">
        <is>
          <t>TECH-056</t>
        </is>
      </c>
      <c r="D989" s="53" t="inlineStr">
        <is>
          <t>Avionics</t>
        </is>
      </c>
      <c r="E989" s="53" t="inlineStr">
        <is>
          <t>2026-01-08</t>
        </is>
      </c>
      <c r="F989" s="53">
        <v>1.6</v>
      </c>
      <c r="G989" s="53">
        <v>0</v>
      </c>
      <c r="H989" s="51" t="str">
        <f>TEXT(tblLaborEntries[[#This Row],[Work date serial]]-WEEKDAY(tblLaborEntries[[#This Row],[Work date serial]],3),"yyyy-mm-dd")</f>
        <v>2026-01-05</v>
      </c>
      <c r="I989" s="64">
        <f>DATEVALUE(tblLaborEntries[[#This Row],[Work date]])</f>
        <v>46030.0</v>
      </c>
    </row>
    <row r="990" spans="1:9" ht="15" x14ac:dyDescent="0.25">
      <c r="A990" s="53" t="inlineStr">
        <is>
          <t>LAB-000989</t>
        </is>
      </c>
      <c r="B990" s="53" t="inlineStr">
        <is>
          <t>WP-00435</t>
        </is>
      </c>
      <c r="C990" s="53" t="inlineStr">
        <is>
          <t>TECH-044</t>
        </is>
      </c>
      <c r="D990" s="53" t="inlineStr">
        <is>
          <t>Avionics</t>
        </is>
      </c>
      <c r="E990" s="53" t="inlineStr">
        <is>
          <t>2026-01-09</t>
        </is>
      </c>
      <c r="F990" s="53">
        <v>1.8</v>
      </c>
      <c r="G990" s="53">
        <v>0</v>
      </c>
      <c r="H990" s="51" t="str">
        <f>TEXT(tblLaborEntries[[#This Row],[Work date serial]]-WEEKDAY(tblLaborEntries[[#This Row],[Work date serial]],3),"yyyy-mm-dd")</f>
        <v>2026-01-05</v>
      </c>
      <c r="I990" s="64">
        <f>DATEVALUE(tblLaborEntries[[#This Row],[Work date]])</f>
        <v>46031.0</v>
      </c>
    </row>
    <row r="991" spans="1:9" ht="15" x14ac:dyDescent="0.25">
      <c r="A991" s="53" t="inlineStr">
        <is>
          <t>LAB-000990</t>
        </is>
      </c>
      <c r="B991" s="53" t="inlineStr">
        <is>
          <t>WP-00436</t>
        </is>
      </c>
      <c r="C991" s="53" t="inlineStr">
        <is>
          <t>TECH-046</t>
        </is>
      </c>
      <c r="D991" s="53" t="inlineStr">
        <is>
          <t>Electrical</t>
        </is>
      </c>
      <c r="E991" s="53" t="inlineStr">
        <is>
          <t>2025-10-05</t>
        </is>
      </c>
      <c r="F991" s="53">
        <v>1.4</v>
      </c>
      <c r="G991" s="53">
        <v>0</v>
      </c>
      <c r="H991" s="51" t="str">
        <f>TEXT(tblLaborEntries[[#This Row],[Work date serial]]-WEEKDAY(tblLaborEntries[[#This Row],[Work date serial]],3),"yyyy-mm-dd")</f>
        <v>2025-09-29</v>
      </c>
      <c r="I991" s="64">
        <f>DATEVALUE(tblLaborEntries[[#This Row],[Work date]])</f>
        <v>45935.0</v>
      </c>
    </row>
    <row r="992" spans="1:9" ht="15" x14ac:dyDescent="0.25">
      <c r="A992" s="53" t="inlineStr">
        <is>
          <t>LAB-000991</t>
        </is>
      </c>
      <c r="B992" s="53" t="inlineStr">
        <is>
          <t>WP-00436</t>
        </is>
      </c>
      <c r="C992" s="53" t="inlineStr">
        <is>
          <t>TECH-022</t>
        </is>
      </c>
      <c r="D992" s="53" t="inlineStr">
        <is>
          <t>Electrical</t>
        </is>
      </c>
      <c r="E992" s="53" t="inlineStr">
        <is>
          <t>2025-10-06</t>
        </is>
      </c>
      <c r="F992" s="53">
        <v>1.6</v>
      </c>
      <c r="G992" s="53">
        <v>0</v>
      </c>
      <c r="H992" s="51" t="str">
        <f>TEXT(tblLaborEntries[[#This Row],[Work date serial]]-WEEKDAY(tblLaborEntries[[#This Row],[Work date serial]],3),"yyyy-mm-dd")</f>
        <v>2025-10-06</v>
      </c>
      <c r="I992" s="64">
        <f>DATEVALUE(tblLaborEntries[[#This Row],[Work date]])</f>
        <v>45936.0</v>
      </c>
    </row>
    <row r="993" spans="1:9" ht="15" x14ac:dyDescent="0.25">
      <c r="A993" s="53" t="inlineStr">
        <is>
          <t>LAB-000992</t>
        </is>
      </c>
      <c r="B993" s="53" t="inlineStr">
        <is>
          <t>WP-00436</t>
        </is>
      </c>
      <c r="C993" s="53" t="inlineStr">
        <is>
          <t>TECH-064</t>
        </is>
      </c>
      <c r="D993" s="53" t="inlineStr">
        <is>
          <t>Electrical</t>
        </is>
      </c>
      <c r="E993" s="53" t="inlineStr">
        <is>
          <t>2025-10-07</t>
        </is>
      </c>
      <c r="F993" s="53">
        <v>2.3</v>
      </c>
      <c r="G993" s="53">
        <v>0</v>
      </c>
      <c r="H993" s="51" t="str">
        <f>TEXT(tblLaborEntries[[#This Row],[Work date serial]]-WEEKDAY(tblLaborEntries[[#This Row],[Work date serial]],3),"yyyy-mm-dd")</f>
        <v>2025-10-06</v>
      </c>
      <c r="I993" s="64">
        <f>DATEVALUE(tblLaborEntries[[#This Row],[Work date]])</f>
        <v>45937.0</v>
      </c>
    </row>
    <row r="994" spans="1:9" ht="15" x14ac:dyDescent="0.25">
      <c r="A994" s="53" t="inlineStr">
        <is>
          <t>LAB-000993</t>
        </is>
      </c>
      <c r="B994" s="53" t="inlineStr">
        <is>
          <t>WP-00437</t>
        </is>
      </c>
      <c r="C994" s="53" t="inlineStr">
        <is>
          <t>TECH-031</t>
        </is>
      </c>
      <c r="D994" s="53" t="inlineStr">
        <is>
          <t>Airframe</t>
        </is>
      </c>
      <c r="E994" s="53" t="inlineStr">
        <is>
          <t>2024-05-05</t>
        </is>
      </c>
      <c r="F994" s="53">
        <v>3.1</v>
      </c>
      <c r="G994" s="53">
        <v>0</v>
      </c>
      <c r="H994" s="51" t="str">
        <f>TEXT(tblLaborEntries[[#This Row],[Work date serial]]-WEEKDAY(tblLaborEntries[[#This Row],[Work date serial]],3),"yyyy-mm-dd")</f>
        <v>2024-04-29</v>
      </c>
      <c r="I994" s="64">
        <f>DATEVALUE(tblLaborEntries[[#This Row],[Work date]])</f>
        <v>45417.0</v>
      </c>
    </row>
    <row r="995" spans="1:9" ht="15" x14ac:dyDescent="0.25">
      <c r="A995" s="53" t="inlineStr">
        <is>
          <t>LAB-000994</t>
        </is>
      </c>
      <c r="B995" s="53" t="inlineStr">
        <is>
          <t>WP-00437</t>
        </is>
      </c>
      <c r="C995" s="53" t="inlineStr">
        <is>
          <t>TECH-007</t>
        </is>
      </c>
      <c r="D995" s="53" t="inlineStr">
        <is>
          <t>Airframe</t>
        </is>
      </c>
      <c r="E995" s="53" t="inlineStr">
        <is>
          <t>2024-05-06</t>
        </is>
      </c>
      <c r="F995" s="53">
        <v>2.2</v>
      </c>
      <c r="G995" s="53">
        <v>0</v>
      </c>
      <c r="H995" s="51" t="str">
        <f>TEXT(tblLaborEntries[[#This Row],[Work date serial]]-WEEKDAY(tblLaborEntries[[#This Row],[Work date serial]],3),"yyyy-mm-dd")</f>
        <v>2024-05-06</v>
      </c>
      <c r="I995" s="64">
        <f>DATEVALUE(tblLaborEntries[[#This Row],[Work date]])</f>
        <v>45418.0</v>
      </c>
    </row>
    <row r="996" spans="1:9" ht="15" x14ac:dyDescent="0.25">
      <c r="A996" s="53" t="inlineStr">
        <is>
          <t>LAB-000995</t>
        </is>
      </c>
      <c r="B996" s="53" t="inlineStr">
        <is>
          <t>WP-00438</t>
        </is>
      </c>
      <c r="C996" s="53" t="inlineStr">
        <is>
          <t>TECH-001</t>
        </is>
      </c>
      <c r="D996" s="53" t="inlineStr">
        <is>
          <t>Airframe</t>
        </is>
      </c>
      <c r="E996" s="53" t="inlineStr">
        <is>
          <t>2025-04-11</t>
        </is>
      </c>
      <c r="F996" s="53">
        <v>9.6</v>
      </c>
      <c r="G996" s="53">
        <v>1.6</v>
      </c>
      <c r="H996" s="51" t="str">
        <f>TEXT(tblLaborEntries[[#This Row],[Work date serial]]-WEEKDAY(tblLaborEntries[[#This Row],[Work date serial]],3),"yyyy-mm-dd")</f>
        <v>2025-04-07</v>
      </c>
      <c r="I996" s="64">
        <f>DATEVALUE(tblLaborEntries[[#This Row],[Work date]])</f>
        <v>45758.0</v>
      </c>
    </row>
    <row r="997" spans="1:9" ht="15" x14ac:dyDescent="0.25">
      <c r="A997" s="53" t="inlineStr">
        <is>
          <t>LAB-000996</t>
        </is>
      </c>
      <c r="B997" s="53" t="inlineStr">
        <is>
          <t>WP-00438</t>
        </is>
      </c>
      <c r="C997" s="53" t="inlineStr">
        <is>
          <t>TECH-055</t>
        </is>
      </c>
      <c r="D997" s="53" t="inlineStr">
        <is>
          <t>Airframe</t>
        </is>
      </c>
      <c r="E997" s="53" t="inlineStr">
        <is>
          <t>2025-04-11</t>
        </is>
      </c>
      <c r="F997" s="53">
        <v>12</v>
      </c>
      <c r="G997" s="53">
        <v>4</v>
      </c>
      <c r="H997" s="51" t="str">
        <f>TEXT(tblLaborEntries[[#This Row],[Work date serial]]-WEEKDAY(tblLaborEntries[[#This Row],[Work date serial]],3),"yyyy-mm-dd")</f>
        <v>2025-04-07</v>
      </c>
      <c r="I997" s="64">
        <f>DATEVALUE(tblLaborEntries[[#This Row],[Work date]])</f>
        <v>45758.0</v>
      </c>
    </row>
    <row r="998" spans="1:9" ht="15" x14ac:dyDescent="0.25">
      <c r="A998" s="53" t="inlineStr">
        <is>
          <t>LAB-000997</t>
        </is>
      </c>
      <c r="B998" s="53" t="inlineStr">
        <is>
          <t>WP-00439</t>
        </is>
      </c>
      <c r="C998" s="53" t="inlineStr">
        <is>
          <t>TECH-024</t>
        </is>
      </c>
      <c r="D998" s="53" t="inlineStr">
        <is>
          <t>Powerplant</t>
        </is>
      </c>
      <c r="E998" s="53" t="inlineStr">
        <is>
          <t>2025-01-01</t>
        </is>
      </c>
      <c r="F998" s="53">
        <v>2.8</v>
      </c>
      <c r="G998" s="53">
        <v>0</v>
      </c>
      <c r="H998" s="51" t="str">
        <f>TEXT(tblLaborEntries[[#This Row],[Work date serial]]-WEEKDAY(tblLaborEntries[[#This Row],[Work date serial]],3),"yyyy-mm-dd")</f>
        <v>2024-12-30</v>
      </c>
      <c r="I998" s="64">
        <f>DATEVALUE(tblLaborEntries[[#This Row],[Work date]])</f>
        <v>45658.0</v>
      </c>
    </row>
    <row r="999" spans="1:9" ht="15" x14ac:dyDescent="0.25">
      <c r="A999" s="53" t="inlineStr">
        <is>
          <t>LAB-000998</t>
        </is>
      </c>
      <c r="B999" s="53" t="inlineStr">
        <is>
          <t>WP-00439</t>
        </is>
      </c>
      <c r="C999" s="53" t="inlineStr">
        <is>
          <t>TECH-042</t>
        </is>
      </c>
      <c r="D999" s="53" t="inlineStr">
        <is>
          <t>Powerplant</t>
        </is>
      </c>
      <c r="E999" s="53" t="inlineStr">
        <is>
          <t>2025-01-02</t>
        </is>
      </c>
      <c r="F999" s="53">
        <v>2.2</v>
      </c>
      <c r="G999" s="53">
        <v>0</v>
      </c>
      <c r="H999" s="51" t="str">
        <f>TEXT(tblLaborEntries[[#This Row],[Work date serial]]-WEEKDAY(tblLaborEntries[[#This Row],[Work date serial]],3),"yyyy-mm-dd")</f>
        <v>2024-12-30</v>
      </c>
      <c r="I999" s="64">
        <f>DATEVALUE(tblLaborEntries[[#This Row],[Work date]])</f>
        <v>45659.0</v>
      </c>
    </row>
    <row r="1000" spans="1:9" ht="15" x14ac:dyDescent="0.25">
      <c r="A1000" s="53" t="inlineStr">
        <is>
          <t>LAB-000999</t>
        </is>
      </c>
      <c r="B1000" s="53" t="inlineStr">
        <is>
          <t>WP-00439</t>
        </is>
      </c>
      <c r="C1000" s="53" t="inlineStr">
        <is>
          <t>TECH-018</t>
        </is>
      </c>
      <c r="D1000" s="53" t="inlineStr">
        <is>
          <t>Powerplant</t>
        </is>
      </c>
      <c r="E1000" s="53" t="inlineStr">
        <is>
          <t>2025-01-03</t>
        </is>
      </c>
      <c r="F1000" s="53">
        <v>2.5</v>
      </c>
      <c r="G1000" s="53">
        <v>0</v>
      </c>
      <c r="H1000" s="51" t="str">
        <f>TEXT(tblLaborEntries[[#This Row],[Work date serial]]-WEEKDAY(tblLaborEntries[[#This Row],[Work date serial]],3),"yyyy-mm-dd")</f>
        <v>2024-12-30</v>
      </c>
      <c r="I1000" s="64">
        <f>DATEVALUE(tblLaborEntries[[#This Row],[Work date]])</f>
        <v>45660.0</v>
      </c>
    </row>
    <row r="1001" spans="1:9" ht="15" x14ac:dyDescent="0.25">
      <c r="A1001" s="53" t="inlineStr">
        <is>
          <t>LAB-001000</t>
        </is>
      </c>
      <c r="B1001" s="53" t="inlineStr">
        <is>
          <t>WP-00440</t>
        </is>
      </c>
      <c r="C1001" s="53" t="inlineStr">
        <is>
          <t>TECH-016</t>
        </is>
      </c>
      <c r="D1001" s="53" t="inlineStr">
        <is>
          <t>Electrical</t>
        </is>
      </c>
      <c r="E1001" s="53" t="inlineStr">
        <is>
          <t>2025-04-23</t>
        </is>
      </c>
      <c r="F1001" s="53">
        <v>9.3</v>
      </c>
      <c r="G1001" s="53">
        <v>1.3</v>
      </c>
      <c r="H1001" s="51" t="str">
        <f>TEXT(tblLaborEntries[[#This Row],[Work date serial]]-WEEKDAY(tblLaborEntries[[#This Row],[Work date serial]],3),"yyyy-mm-dd")</f>
        <v>2025-04-21</v>
      </c>
      <c r="I1001" s="64">
        <f>DATEVALUE(tblLaborEntries[[#This Row],[Work date]])</f>
        <v>45770.0</v>
      </c>
    </row>
    <row r="1002" spans="1:9" ht="15" x14ac:dyDescent="0.25">
      <c r="A1002" s="53" t="inlineStr">
        <is>
          <t>LAB-001001</t>
        </is>
      </c>
      <c r="B1002" s="53" t="inlineStr">
        <is>
          <t>WP-00440</t>
        </is>
      </c>
      <c r="C1002" s="53" t="inlineStr">
        <is>
          <t>TECH-034</t>
        </is>
      </c>
      <c r="D1002" s="53" t="inlineStr">
        <is>
          <t>Electrical</t>
        </is>
      </c>
      <c r="E1002" s="53" t="inlineStr">
        <is>
          <t>2025-04-24</t>
        </is>
      </c>
      <c r="F1002" s="53">
        <v>10</v>
      </c>
      <c r="G1002" s="53">
        <v>2</v>
      </c>
      <c r="H1002" s="51" t="str">
        <f>TEXT(tblLaborEntries[[#This Row],[Work date serial]]-WEEKDAY(tblLaborEntries[[#This Row],[Work date serial]],3),"yyyy-mm-dd")</f>
        <v>2025-04-21</v>
      </c>
      <c r="I1002" s="64">
        <f>DATEVALUE(tblLaborEntries[[#This Row],[Work date]])</f>
        <v>45771.0</v>
      </c>
    </row>
    <row r="1003" spans="1:9" ht="15" x14ac:dyDescent="0.25">
      <c r="A1003" s="53" t="inlineStr">
        <is>
          <t>LAB-001002</t>
        </is>
      </c>
      <c r="B1003" s="53" t="inlineStr">
        <is>
          <t>WP-00441</t>
        </is>
      </c>
      <c r="C1003" s="53" t="inlineStr">
        <is>
          <t>TECH-018</t>
        </is>
      </c>
      <c r="D1003" s="53" t="inlineStr">
        <is>
          <t>Powerplant</t>
        </is>
      </c>
      <c r="E1003" s="53" t="inlineStr">
        <is>
          <t>2024-02-09</t>
        </is>
      </c>
      <c r="F1003" s="53">
        <v>7.2</v>
      </c>
      <c r="G1003" s="53">
        <v>0</v>
      </c>
      <c r="H1003" s="51" t="str">
        <f>TEXT(tblLaborEntries[[#This Row],[Work date serial]]-WEEKDAY(tblLaborEntries[[#This Row],[Work date serial]],3),"yyyy-mm-dd")</f>
        <v>2024-02-05</v>
      </c>
      <c r="I1003" s="64">
        <f>DATEVALUE(tblLaborEntries[[#This Row],[Work date]])</f>
        <v>45331.0</v>
      </c>
    </row>
    <row r="1004" spans="1:9" ht="15" x14ac:dyDescent="0.25">
      <c r="A1004" s="53" t="inlineStr">
        <is>
          <t>LAB-001003</t>
        </is>
      </c>
      <c r="B1004" s="53" t="inlineStr">
        <is>
          <t>WP-00441</t>
        </is>
      </c>
      <c r="C1004" s="53" t="inlineStr">
        <is>
          <t>TECH-060</t>
        </is>
      </c>
      <c r="D1004" s="53" t="inlineStr">
        <is>
          <t>Powerplant</t>
        </is>
      </c>
      <c r="E1004" s="53" t="inlineStr">
        <is>
          <t>2024-02-10</t>
        </is>
      </c>
      <c r="F1004" s="53">
        <v>5.2</v>
      </c>
      <c r="G1004" s="53">
        <v>2.3</v>
      </c>
      <c r="H1004" s="51" t="str">
        <f>TEXT(tblLaborEntries[[#This Row],[Work date serial]]-WEEKDAY(tblLaborEntries[[#This Row],[Work date serial]],3),"yyyy-mm-dd")</f>
        <v>2024-02-05</v>
      </c>
      <c r="I1004" s="64">
        <f>DATEVALUE(tblLaborEntries[[#This Row],[Work date]])</f>
        <v>45332.0</v>
      </c>
    </row>
    <row r="1005" spans="1:9" ht="15" x14ac:dyDescent="0.25">
      <c r="A1005" s="53" t="inlineStr">
        <is>
          <t>LAB-001004</t>
        </is>
      </c>
      <c r="B1005" s="53" t="inlineStr">
        <is>
          <t>WP-00442</t>
        </is>
      </c>
      <c r="C1005" s="53" t="inlineStr">
        <is>
          <t>TECH-001</t>
        </is>
      </c>
      <c r="D1005" s="53" t="inlineStr">
        <is>
          <t>Airframe</t>
        </is>
      </c>
      <c r="E1005" s="53" t="inlineStr">
        <is>
          <t>2025-10-09</t>
        </is>
      </c>
      <c r="F1005" s="53">
        <v>1</v>
      </c>
      <c r="G1005" s="53">
        <v>0</v>
      </c>
      <c r="H1005" s="51" t="str">
        <f>TEXT(tblLaborEntries[[#This Row],[Work date serial]]-WEEKDAY(tblLaborEntries[[#This Row],[Work date serial]],3),"yyyy-mm-dd")</f>
        <v>2025-10-06</v>
      </c>
      <c r="I1005" s="64">
        <f>DATEVALUE(tblLaborEntries[[#This Row],[Work date]])</f>
        <v>45939.0</v>
      </c>
    </row>
    <row r="1006" spans="1:9" ht="15" x14ac:dyDescent="0.25">
      <c r="A1006" s="53" t="inlineStr">
        <is>
          <t>LAB-001005</t>
        </is>
      </c>
      <c r="B1006" s="53" t="inlineStr">
        <is>
          <t>WP-00442</t>
        </is>
      </c>
      <c r="C1006" s="53" t="inlineStr">
        <is>
          <t>TECH-073</t>
        </is>
      </c>
      <c r="D1006" s="53" t="inlineStr">
        <is>
          <t>Airframe</t>
        </is>
      </c>
      <c r="E1006" s="53" t="inlineStr">
        <is>
          <t>2025-10-09</t>
        </is>
      </c>
      <c r="F1006" s="53">
        <v>12</v>
      </c>
      <c r="G1006" s="53">
        <v>4</v>
      </c>
      <c r="H1006" s="51" t="str">
        <f>TEXT(tblLaborEntries[[#This Row],[Work date serial]]-WEEKDAY(tblLaborEntries[[#This Row],[Work date serial]],3),"yyyy-mm-dd")</f>
        <v>2025-10-06</v>
      </c>
      <c r="I1006" s="64">
        <f>DATEVALUE(tblLaborEntries[[#This Row],[Work date]])</f>
        <v>45939.0</v>
      </c>
    </row>
    <row r="1007" spans="1:9" ht="15" x14ac:dyDescent="0.25">
      <c r="A1007" s="53" t="inlineStr">
        <is>
          <t>LAB-001006</t>
        </is>
      </c>
      <c r="B1007" s="53" t="inlineStr">
        <is>
          <t>WP-00443</t>
        </is>
      </c>
      <c r="C1007" s="53" t="inlineStr">
        <is>
          <t>TECH-001</t>
        </is>
      </c>
      <c r="D1007" s="53" t="inlineStr">
        <is>
          <t>Airframe</t>
        </is>
      </c>
      <c r="E1007" s="53" t="inlineStr">
        <is>
          <t>2025-04-22</t>
        </is>
      </c>
      <c r="F1007" s="53">
        <v>3.1</v>
      </c>
      <c r="G1007" s="53">
        <v>0</v>
      </c>
      <c r="H1007" s="51" t="str">
        <f>TEXT(tblLaborEntries[[#This Row],[Work date serial]]-WEEKDAY(tblLaborEntries[[#This Row],[Work date serial]],3),"yyyy-mm-dd")</f>
        <v>2025-04-21</v>
      </c>
      <c r="I1007" s="64">
        <f>DATEVALUE(tblLaborEntries[[#This Row],[Work date]])</f>
        <v>45769.0</v>
      </c>
    </row>
    <row r="1008" spans="1:9" ht="15" x14ac:dyDescent="0.25">
      <c r="A1008" s="53" t="inlineStr">
        <is>
          <t>LAB-001007</t>
        </is>
      </c>
      <c r="B1008" s="53" t="inlineStr">
        <is>
          <t>WP-00443</t>
        </is>
      </c>
      <c r="C1008" s="53" t="inlineStr">
        <is>
          <t>TECH-061</t>
        </is>
      </c>
      <c r="D1008" s="53" t="inlineStr">
        <is>
          <t>Airframe</t>
        </is>
      </c>
      <c r="E1008" s="53" t="inlineStr">
        <is>
          <t>2025-04-23</t>
        </is>
      </c>
      <c r="F1008" s="53">
        <v>3.6</v>
      </c>
      <c r="G1008" s="53">
        <v>0</v>
      </c>
      <c r="H1008" s="51" t="str">
        <f>TEXT(tblLaborEntries[[#This Row],[Work date serial]]-WEEKDAY(tblLaborEntries[[#This Row],[Work date serial]],3),"yyyy-mm-dd")</f>
        <v>2025-04-21</v>
      </c>
      <c r="I1008" s="64">
        <f>DATEVALUE(tblLaborEntries[[#This Row],[Work date]])</f>
        <v>45770.0</v>
      </c>
    </row>
    <row r="1009" spans="1:9" ht="15" x14ac:dyDescent="0.25">
      <c r="A1009" s="53" t="inlineStr">
        <is>
          <t>LAB-001008</t>
        </is>
      </c>
      <c r="B1009" s="53" t="inlineStr">
        <is>
          <t>WP-00444</t>
        </is>
      </c>
      <c r="C1009" s="53" t="inlineStr">
        <is>
          <t>TECH-030</t>
        </is>
      </c>
      <c r="D1009" s="53" t="inlineStr">
        <is>
          <t>Powerplant</t>
        </is>
      </c>
      <c r="E1009" s="53" t="inlineStr">
        <is>
          <t>2025-01-27</t>
        </is>
      </c>
      <c r="F1009" s="53">
        <v>5.3</v>
      </c>
      <c r="G1009" s="53">
        <v>0</v>
      </c>
      <c r="H1009" s="51" t="str">
        <f>TEXT(tblLaborEntries[[#This Row],[Work date serial]]-WEEKDAY(tblLaborEntries[[#This Row],[Work date serial]],3),"yyyy-mm-dd")</f>
        <v>2025-01-27</v>
      </c>
      <c r="I1009" s="64">
        <f>DATEVALUE(tblLaborEntries[[#This Row],[Work date]])</f>
        <v>45684.0</v>
      </c>
    </row>
    <row r="1010" spans="1:9" ht="15" x14ac:dyDescent="0.25">
      <c r="A1010" s="53" t="inlineStr">
        <is>
          <t>LAB-001009</t>
        </is>
      </c>
      <c r="B1010" s="53" t="inlineStr">
        <is>
          <t>WP-00444</t>
        </is>
      </c>
      <c r="C1010" s="53" t="inlineStr">
        <is>
          <t>TECH-036</t>
        </is>
      </c>
      <c r="D1010" s="53" t="inlineStr">
        <is>
          <t>Powerplant</t>
        </is>
      </c>
      <c r="E1010" s="53" t="inlineStr">
        <is>
          <t>2025-01-28</t>
        </is>
      </c>
      <c r="F1010" s="53">
        <v>4.6</v>
      </c>
      <c r="G1010" s="53">
        <v>0</v>
      </c>
      <c r="H1010" s="51" t="str">
        <f>TEXT(tblLaborEntries[[#This Row],[Work date serial]]-WEEKDAY(tblLaborEntries[[#This Row],[Work date serial]],3),"yyyy-mm-dd")</f>
        <v>2025-01-27</v>
      </c>
      <c r="I1010" s="64">
        <f>DATEVALUE(tblLaborEntries[[#This Row],[Work date]])</f>
        <v>45685.0</v>
      </c>
    </row>
    <row r="1011" spans="1:9" ht="15" x14ac:dyDescent="0.25">
      <c r="A1011" s="53" t="inlineStr">
        <is>
          <t>LAB-001010</t>
        </is>
      </c>
      <c r="B1011" s="53" t="inlineStr">
        <is>
          <t>WP-00444</t>
        </is>
      </c>
      <c r="C1011" s="53" t="inlineStr">
        <is>
          <t>TECH-042</t>
        </is>
      </c>
      <c r="D1011" s="53" t="inlineStr">
        <is>
          <t>Powerplant</t>
        </is>
      </c>
      <c r="E1011" s="53" t="inlineStr">
        <is>
          <t>2025-01-29</t>
        </is>
      </c>
      <c r="F1011" s="53">
        <v>3.7</v>
      </c>
      <c r="G1011" s="53">
        <v>0</v>
      </c>
      <c r="H1011" s="51" t="str">
        <f>TEXT(tblLaborEntries[[#This Row],[Work date serial]]-WEEKDAY(tblLaborEntries[[#This Row],[Work date serial]],3),"yyyy-mm-dd")</f>
        <v>2025-01-27</v>
      </c>
      <c r="I1011" s="64">
        <f>DATEVALUE(tblLaborEntries[[#This Row],[Work date]])</f>
        <v>45686.0</v>
      </c>
    </row>
    <row r="1012" spans="1:9" ht="15" x14ac:dyDescent="0.25">
      <c r="A1012" s="53" t="inlineStr">
        <is>
          <t>LAB-001011</t>
        </is>
      </c>
      <c r="B1012" s="53" t="inlineStr">
        <is>
          <t>WP-00445</t>
        </is>
      </c>
      <c r="C1012" s="53" t="inlineStr">
        <is>
          <t>TECH-008</t>
        </is>
      </c>
      <c r="D1012" s="53" t="inlineStr">
        <is>
          <t>Avionics</t>
        </is>
      </c>
      <c r="E1012" s="53" t="inlineStr">
        <is>
          <t>2024-12-09</t>
        </is>
      </c>
      <c r="F1012" s="53">
        <v>4.1</v>
      </c>
      <c r="G1012" s="53">
        <v>0</v>
      </c>
      <c r="H1012" s="51" t="str">
        <f>TEXT(tblLaborEntries[[#This Row],[Work date serial]]-WEEKDAY(tblLaborEntries[[#This Row],[Work date serial]],3),"yyyy-mm-dd")</f>
        <v>2024-12-09</v>
      </c>
      <c r="I1012" s="64">
        <f>DATEVALUE(tblLaborEntries[[#This Row],[Work date]])</f>
        <v>45635.0</v>
      </c>
    </row>
    <row r="1013" spans="1:9" ht="15" x14ac:dyDescent="0.25">
      <c r="A1013" s="53" t="inlineStr">
        <is>
          <t>LAB-001012</t>
        </is>
      </c>
      <c r="B1013" s="53" t="inlineStr">
        <is>
          <t>WP-00446</t>
        </is>
      </c>
      <c r="C1013" s="53" t="inlineStr">
        <is>
          <t>TECH-058</t>
        </is>
      </c>
      <c r="D1013" s="53" t="inlineStr">
        <is>
          <t>Electrical</t>
        </is>
      </c>
      <c r="E1013" s="53" t="inlineStr">
        <is>
          <t>2024-11-16</t>
        </is>
      </c>
      <c r="F1013" s="53">
        <v>4.3</v>
      </c>
      <c r="G1013" s="53">
        <v>0</v>
      </c>
      <c r="H1013" s="51" t="str">
        <f>TEXT(tblLaborEntries[[#This Row],[Work date serial]]-WEEKDAY(tblLaborEntries[[#This Row],[Work date serial]],3),"yyyy-mm-dd")</f>
        <v>2024-11-11</v>
      </c>
      <c r="I1013" s="64">
        <f>DATEVALUE(tblLaborEntries[[#This Row],[Work date]])</f>
        <v>45612.0</v>
      </c>
    </row>
    <row r="1014" spans="1:9" ht="15" x14ac:dyDescent="0.25">
      <c r="A1014" s="53" t="inlineStr">
        <is>
          <t>LAB-001013</t>
        </is>
      </c>
      <c r="B1014" s="53" t="inlineStr">
        <is>
          <t>WP-00446</t>
        </is>
      </c>
      <c r="C1014" s="53" t="inlineStr">
        <is>
          <t>TECH-022</t>
        </is>
      </c>
      <c r="D1014" s="53" t="inlineStr">
        <is>
          <t>Electrical</t>
        </is>
      </c>
      <c r="E1014" s="53" t="inlineStr">
        <is>
          <t>2024-11-17</t>
        </is>
      </c>
      <c r="F1014" s="53">
        <v>5</v>
      </c>
      <c r="G1014" s="53">
        <v>0</v>
      </c>
      <c r="H1014" s="51" t="str">
        <f>TEXT(tblLaborEntries[[#This Row],[Work date serial]]-WEEKDAY(tblLaborEntries[[#This Row],[Work date serial]],3),"yyyy-mm-dd")</f>
        <v>2024-11-11</v>
      </c>
      <c r="I1014" s="64">
        <f>DATEVALUE(tblLaborEntries[[#This Row],[Work date]])</f>
        <v>45613.0</v>
      </c>
    </row>
    <row r="1015" spans="1:9" ht="15" x14ac:dyDescent="0.25">
      <c r="A1015" s="53" t="inlineStr">
        <is>
          <t>LAB-001014</t>
        </is>
      </c>
      <c r="B1015" s="53" t="inlineStr">
        <is>
          <t>WP-00447</t>
        </is>
      </c>
      <c r="C1015" s="53" t="inlineStr">
        <is>
          <t>TECH-060</t>
        </is>
      </c>
      <c r="D1015" s="53" t="inlineStr">
        <is>
          <t>Powerplant</t>
        </is>
      </c>
      <c r="E1015" s="53" t="inlineStr">
        <is>
          <t>2025-11-17</t>
        </is>
      </c>
      <c r="F1015" s="53">
        <v>2.5</v>
      </c>
      <c r="G1015" s="53">
        <v>0</v>
      </c>
      <c r="H1015" s="51" t="str">
        <f>TEXT(tblLaborEntries[[#This Row],[Work date serial]]-WEEKDAY(tblLaborEntries[[#This Row],[Work date serial]],3),"yyyy-mm-dd")</f>
        <v>2025-11-17</v>
      </c>
      <c r="I1015" s="64">
        <f>DATEVALUE(tblLaborEntries[[#This Row],[Work date]])</f>
        <v>45978.0</v>
      </c>
    </row>
    <row r="1016" spans="1:9" ht="15" x14ac:dyDescent="0.25">
      <c r="A1016" s="53" t="inlineStr">
        <is>
          <t>LAB-001015</t>
        </is>
      </c>
      <c r="B1016" s="53" t="inlineStr">
        <is>
          <t>WP-00447</t>
        </is>
      </c>
      <c r="C1016" s="53" t="inlineStr">
        <is>
          <t>TECH-060</t>
        </is>
      </c>
      <c r="D1016" s="53" t="inlineStr">
        <is>
          <t>Powerplant</t>
        </is>
      </c>
      <c r="E1016" s="53" t="inlineStr">
        <is>
          <t>2025-11-18</t>
        </is>
      </c>
      <c r="F1016" s="53">
        <v>2.3</v>
      </c>
      <c r="G1016" s="53">
        <v>0</v>
      </c>
      <c r="H1016" s="51" t="str">
        <f>TEXT(tblLaborEntries[[#This Row],[Work date serial]]-WEEKDAY(tblLaborEntries[[#This Row],[Work date serial]],3),"yyyy-mm-dd")</f>
        <v>2025-11-17</v>
      </c>
      <c r="I1016" s="64">
        <f>DATEVALUE(tblLaborEntries[[#This Row],[Work date]])</f>
        <v>45979.0</v>
      </c>
    </row>
    <row r="1017" spans="1:9" ht="15" x14ac:dyDescent="0.25">
      <c r="A1017" s="53" t="inlineStr">
        <is>
          <t>LAB-001016</t>
        </is>
      </c>
      <c r="B1017" s="53" t="inlineStr">
        <is>
          <t>WP-00447</t>
        </is>
      </c>
      <c r="C1017" s="53" t="inlineStr">
        <is>
          <t>TECH-012</t>
        </is>
      </c>
      <c r="D1017" s="53" t="inlineStr">
        <is>
          <t>Powerplant</t>
        </is>
      </c>
      <c r="E1017" s="53" t="inlineStr">
        <is>
          <t>2025-11-19</t>
        </is>
      </c>
      <c r="F1017" s="53">
        <v>3</v>
      </c>
      <c r="G1017" s="53">
        <v>0</v>
      </c>
      <c r="H1017" s="51" t="str">
        <f>TEXT(tblLaborEntries[[#This Row],[Work date serial]]-WEEKDAY(tblLaborEntries[[#This Row],[Work date serial]],3),"yyyy-mm-dd")</f>
        <v>2025-11-17</v>
      </c>
      <c r="I1017" s="64">
        <f>DATEVALUE(tblLaborEntries[[#This Row],[Work date]])</f>
        <v>45980.0</v>
      </c>
    </row>
    <row r="1018" spans="1:9" ht="15" x14ac:dyDescent="0.25">
      <c r="A1018" s="53" t="inlineStr">
        <is>
          <t>LAB-001017</t>
        </is>
      </c>
      <c r="B1018" s="53" t="inlineStr">
        <is>
          <t>WP-00448</t>
        </is>
      </c>
      <c r="C1018" s="53" t="inlineStr">
        <is>
          <t>TECH-068</t>
        </is>
      </c>
      <c r="D1018" s="53" t="inlineStr">
        <is>
          <t>Avionics</t>
        </is>
      </c>
      <c r="E1018" s="53" t="inlineStr">
        <is>
          <t>2025-08-11</t>
        </is>
      </c>
      <c r="F1018" s="53">
        <v>2.6</v>
      </c>
      <c r="G1018" s="53">
        <v>0</v>
      </c>
      <c r="H1018" s="51" t="str">
        <f>TEXT(tblLaborEntries[[#This Row],[Work date serial]]-WEEKDAY(tblLaborEntries[[#This Row],[Work date serial]],3),"yyyy-mm-dd")</f>
        <v>2025-08-11</v>
      </c>
      <c r="I1018" s="64">
        <f>DATEVALUE(tblLaborEntries[[#This Row],[Work date]])</f>
        <v>45880.0</v>
      </c>
    </row>
    <row r="1019" spans="1:9" ht="15" x14ac:dyDescent="0.25">
      <c r="A1019" s="53" t="inlineStr">
        <is>
          <t>LAB-001018</t>
        </is>
      </c>
      <c r="B1019" s="53" t="inlineStr">
        <is>
          <t>WP-00448</t>
        </is>
      </c>
      <c r="C1019" s="53" t="inlineStr">
        <is>
          <t>TECH-074</t>
        </is>
      </c>
      <c r="D1019" s="53" t="inlineStr">
        <is>
          <t>Avionics</t>
        </is>
      </c>
      <c r="E1019" s="53" t="inlineStr">
        <is>
          <t>2025-08-12</t>
        </is>
      </c>
      <c r="F1019" s="53">
        <v>4</v>
      </c>
      <c r="G1019" s="53">
        <v>0</v>
      </c>
      <c r="H1019" s="51" t="str">
        <f>TEXT(tblLaborEntries[[#This Row],[Work date serial]]-WEEKDAY(tblLaborEntries[[#This Row],[Work date serial]],3),"yyyy-mm-dd")</f>
        <v>2025-08-11</v>
      </c>
      <c r="I1019" s="64">
        <f>DATEVALUE(tblLaborEntries[[#This Row],[Work date]])</f>
        <v>45881.0</v>
      </c>
    </row>
    <row r="1020" spans="1:9" ht="15" x14ac:dyDescent="0.25">
      <c r="A1020" s="53" t="inlineStr">
        <is>
          <t>LAB-001019</t>
        </is>
      </c>
      <c r="B1020" s="53" t="inlineStr">
        <is>
          <t>WP-00448</t>
        </is>
      </c>
      <c r="C1020" s="53" t="inlineStr">
        <is>
          <t>TECH-068</t>
        </is>
      </c>
      <c r="D1020" s="53" t="inlineStr">
        <is>
          <t>Avionics</t>
        </is>
      </c>
      <c r="E1020" s="53" t="inlineStr">
        <is>
          <t>2025-08-13</t>
        </is>
      </c>
      <c r="F1020" s="53">
        <v>3.1</v>
      </c>
      <c r="G1020" s="53">
        <v>0</v>
      </c>
      <c r="H1020" s="51" t="str">
        <f>TEXT(tblLaborEntries[[#This Row],[Work date serial]]-WEEKDAY(tblLaborEntries[[#This Row],[Work date serial]],3),"yyyy-mm-dd")</f>
        <v>2025-08-11</v>
      </c>
      <c r="I1020" s="64">
        <f>DATEVALUE(tblLaborEntries[[#This Row],[Work date]])</f>
        <v>45882.0</v>
      </c>
    </row>
    <row r="1021" spans="1:9" ht="15" x14ac:dyDescent="0.25">
      <c r="A1021" s="53" t="inlineStr">
        <is>
          <t>LAB-001020</t>
        </is>
      </c>
      <c r="B1021" s="53" t="inlineStr">
        <is>
          <t>WP-00449</t>
        </is>
      </c>
      <c r="C1021" s="53" t="inlineStr">
        <is>
          <t>TECH-006</t>
        </is>
      </c>
      <c r="D1021" s="53" t="inlineStr">
        <is>
          <t>Powerplant</t>
        </is>
      </c>
      <c r="E1021" s="53" t="inlineStr">
        <is>
          <t>2024-01-12</t>
        </is>
      </c>
      <c r="F1021" s="53">
        <v>2.6</v>
      </c>
      <c r="G1021" s="53">
        <v>0</v>
      </c>
      <c r="H1021" s="51" t="str">
        <f>TEXT(tblLaborEntries[[#This Row],[Work date serial]]-WEEKDAY(tblLaborEntries[[#This Row],[Work date serial]],3),"yyyy-mm-dd")</f>
        <v>2024-01-08</v>
      </c>
      <c r="I1021" s="64">
        <f>DATEVALUE(tblLaborEntries[[#This Row],[Work date]])</f>
        <v>45303.0</v>
      </c>
    </row>
    <row r="1022" spans="1:9" ht="15" x14ac:dyDescent="0.25">
      <c r="A1022" s="53" t="inlineStr">
        <is>
          <t>LAB-001021</t>
        </is>
      </c>
      <c r="B1022" s="53" t="inlineStr">
        <is>
          <t>WP-00449</t>
        </is>
      </c>
      <c r="C1022" s="53" t="inlineStr">
        <is>
          <t>TECH-018</t>
        </is>
      </c>
      <c r="D1022" s="53" t="inlineStr">
        <is>
          <t>Powerplant</t>
        </is>
      </c>
      <c r="E1022" s="53" t="inlineStr">
        <is>
          <t>2024-01-12</t>
        </is>
      </c>
      <c r="F1022" s="53">
        <v>12</v>
      </c>
      <c r="G1022" s="53">
        <v>4</v>
      </c>
      <c r="H1022" s="51" t="str">
        <f>TEXT(tblLaborEntries[[#This Row],[Work date serial]]-WEEKDAY(tblLaborEntries[[#This Row],[Work date serial]],3),"yyyy-mm-dd")</f>
        <v>2024-01-08</v>
      </c>
      <c r="I1022" s="64">
        <f>DATEVALUE(tblLaborEntries[[#This Row],[Work date]])</f>
        <v>45303.0</v>
      </c>
    </row>
    <row r="1023" spans="1:9" ht="15" x14ac:dyDescent="0.25">
      <c r="A1023" s="53" t="inlineStr">
        <is>
          <t>LAB-001022</t>
        </is>
      </c>
      <c r="B1023" s="53" t="inlineStr">
        <is>
          <t>WP-00450</t>
        </is>
      </c>
      <c r="C1023" s="53" t="inlineStr">
        <is>
          <t>TECH-073</t>
        </is>
      </c>
      <c r="D1023" s="53" t="inlineStr">
        <is>
          <t>Airframe</t>
        </is>
      </c>
      <c r="E1023" s="53" t="inlineStr">
        <is>
          <t>2024-04-26</t>
        </is>
      </c>
      <c r="F1023" s="53">
        <v>6.4</v>
      </c>
      <c r="G1023" s="53">
        <v>0</v>
      </c>
      <c r="H1023" s="51" t="str">
        <f>TEXT(tblLaborEntries[[#This Row],[Work date serial]]-WEEKDAY(tblLaborEntries[[#This Row],[Work date serial]],3),"yyyy-mm-dd")</f>
        <v>2024-04-22</v>
      </c>
      <c r="I1023" s="64">
        <f>DATEVALUE(tblLaborEntries[[#This Row],[Work date]])</f>
        <v>45408.0</v>
      </c>
    </row>
    <row r="1024" spans="1:9" ht="15" x14ac:dyDescent="0.25">
      <c r="A1024" s="53" t="inlineStr">
        <is>
          <t>LAB-001023</t>
        </is>
      </c>
      <c r="B1024" s="53" t="inlineStr">
        <is>
          <t>WP-00451</t>
        </is>
      </c>
      <c r="C1024" s="53" t="inlineStr">
        <is>
          <t>TECH-008</t>
        </is>
      </c>
      <c r="D1024" s="53" t="inlineStr">
        <is>
          <t>Avionics</t>
        </is>
      </c>
      <c r="E1024" s="53" t="inlineStr">
        <is>
          <t>2024-07-24</t>
        </is>
      </c>
      <c r="F1024" s="53">
        <v>1.7</v>
      </c>
      <c r="G1024" s="53">
        <v>0</v>
      </c>
      <c r="H1024" s="51" t="str">
        <f>TEXT(tblLaborEntries[[#This Row],[Work date serial]]-WEEKDAY(tblLaborEntries[[#This Row],[Work date serial]],3),"yyyy-mm-dd")</f>
        <v>2024-07-22</v>
      </c>
      <c r="I1024" s="64">
        <f>DATEVALUE(tblLaborEntries[[#This Row],[Work date]])</f>
        <v>45497.0</v>
      </c>
    </row>
    <row r="1025" spans="1:9" ht="15" x14ac:dyDescent="0.25">
      <c r="A1025" s="53" t="inlineStr">
        <is>
          <t>LAB-001024</t>
        </is>
      </c>
      <c r="B1025" s="53" t="inlineStr">
        <is>
          <t>WP-00451</t>
        </is>
      </c>
      <c r="C1025" s="53" t="inlineStr">
        <is>
          <t>TECH-002</t>
        </is>
      </c>
      <c r="D1025" s="53" t="inlineStr">
        <is>
          <t>Avionics</t>
        </is>
      </c>
      <c r="E1025" s="53" t="inlineStr">
        <is>
          <t>2024-07-25</t>
        </is>
      </c>
      <c r="F1025" s="53">
        <v>2</v>
      </c>
      <c r="G1025" s="53">
        <v>0</v>
      </c>
      <c r="H1025" s="51" t="str">
        <f>TEXT(tblLaborEntries[[#This Row],[Work date serial]]-WEEKDAY(tblLaborEntries[[#This Row],[Work date serial]],3),"yyyy-mm-dd")</f>
        <v>2024-07-22</v>
      </c>
      <c r="I1025" s="64">
        <f>DATEVALUE(tblLaborEntries[[#This Row],[Work date]])</f>
        <v>45498.0</v>
      </c>
    </row>
    <row r="1026" spans="1:9" ht="15" x14ac:dyDescent="0.25">
      <c r="A1026" s="53" t="inlineStr">
        <is>
          <t>LAB-001025</t>
        </is>
      </c>
      <c r="B1026" s="53" t="inlineStr">
        <is>
          <t>WP-00451</t>
        </is>
      </c>
      <c r="C1026" s="53" t="inlineStr">
        <is>
          <t>TECH-032</t>
        </is>
      </c>
      <c r="D1026" s="53" t="inlineStr">
        <is>
          <t>Avionics</t>
        </is>
      </c>
      <c r="E1026" s="53" t="inlineStr">
        <is>
          <t>2024-07-26</t>
        </is>
      </c>
      <c r="F1026" s="53">
        <v>1.8</v>
      </c>
      <c r="G1026" s="53">
        <v>0</v>
      </c>
      <c r="H1026" s="51" t="str">
        <f>TEXT(tblLaborEntries[[#This Row],[Work date serial]]-WEEKDAY(tblLaborEntries[[#This Row],[Work date serial]],3),"yyyy-mm-dd")</f>
        <v>2024-07-22</v>
      </c>
      <c r="I1026" s="64">
        <f>DATEVALUE(tblLaborEntries[[#This Row],[Work date]])</f>
        <v>45499.0</v>
      </c>
    </row>
    <row r="1027" spans="1:9" ht="15" x14ac:dyDescent="0.25">
      <c r="A1027" s="53" t="inlineStr">
        <is>
          <t>LAB-001026</t>
        </is>
      </c>
      <c r="B1027" s="53" t="inlineStr">
        <is>
          <t>WP-00452</t>
        </is>
      </c>
      <c r="C1027" s="53" t="inlineStr">
        <is>
          <t>TECH-002</t>
        </is>
      </c>
      <c r="D1027" s="53" t="inlineStr">
        <is>
          <t>Avionics</t>
        </is>
      </c>
      <c r="E1027" s="53" t="inlineStr">
        <is>
          <t>2024-01-10</t>
        </is>
      </c>
      <c r="F1027" s="53">
        <v>1</v>
      </c>
      <c r="G1027" s="53">
        <v>0</v>
      </c>
      <c r="H1027" s="51" t="str">
        <f>TEXT(tblLaborEntries[[#This Row],[Work date serial]]-WEEKDAY(tblLaborEntries[[#This Row],[Work date serial]],3),"yyyy-mm-dd")</f>
        <v>2024-01-08</v>
      </c>
      <c r="I1027" s="64">
        <f>DATEVALUE(tblLaborEntries[[#This Row],[Work date]])</f>
        <v>45301.0</v>
      </c>
    </row>
    <row r="1028" spans="1:9" ht="15" x14ac:dyDescent="0.25">
      <c r="A1028" s="53" t="inlineStr">
        <is>
          <t>LAB-001027</t>
        </is>
      </c>
      <c r="B1028" s="53" t="inlineStr">
        <is>
          <t>WP-00452</t>
        </is>
      </c>
      <c r="C1028" s="53" t="inlineStr">
        <is>
          <t>TECH-050</t>
        </is>
      </c>
      <c r="D1028" s="53" t="inlineStr">
        <is>
          <t>Avionics</t>
        </is>
      </c>
      <c r="E1028" s="53" t="inlineStr">
        <is>
          <t>2024-01-11</t>
        </is>
      </c>
      <c r="F1028" s="53">
        <v>1.1</v>
      </c>
      <c r="G1028" s="53">
        <v>0</v>
      </c>
      <c r="H1028" s="51" t="str">
        <f>TEXT(tblLaborEntries[[#This Row],[Work date serial]]-WEEKDAY(tblLaborEntries[[#This Row],[Work date serial]],3),"yyyy-mm-dd")</f>
        <v>2024-01-08</v>
      </c>
      <c r="I1028" s="64">
        <f>DATEVALUE(tblLaborEntries[[#This Row],[Work date]])</f>
        <v>45302.0</v>
      </c>
    </row>
    <row r="1029" spans="1:9" ht="15" x14ac:dyDescent="0.25">
      <c r="A1029" s="53" t="inlineStr">
        <is>
          <t>LAB-001028</t>
        </is>
      </c>
      <c r="B1029" s="53" t="inlineStr">
        <is>
          <t>WP-00452</t>
        </is>
      </c>
      <c r="C1029" s="53" t="inlineStr">
        <is>
          <t>TECH-038</t>
        </is>
      </c>
      <c r="D1029" s="53" t="inlineStr">
        <is>
          <t>Avionics</t>
        </is>
      </c>
      <c r="E1029" s="53" t="inlineStr">
        <is>
          <t>2024-01-12</t>
        </is>
      </c>
      <c r="F1029" s="53">
        <v>1.3</v>
      </c>
      <c r="G1029" s="53">
        <v>0</v>
      </c>
      <c r="H1029" s="51" t="str">
        <f>TEXT(tblLaborEntries[[#This Row],[Work date serial]]-WEEKDAY(tblLaborEntries[[#This Row],[Work date serial]],3),"yyyy-mm-dd")</f>
        <v>2024-01-08</v>
      </c>
      <c r="I1029" s="64">
        <f>DATEVALUE(tblLaborEntries[[#This Row],[Work date]])</f>
        <v>45303.0</v>
      </c>
    </row>
    <row r="1030" spans="1:9" ht="15" x14ac:dyDescent="0.25">
      <c r="A1030" s="53" t="inlineStr">
        <is>
          <t>LAB-001029</t>
        </is>
      </c>
      <c r="B1030" s="53" t="inlineStr">
        <is>
          <t>WP-00453</t>
        </is>
      </c>
      <c r="C1030" s="53" t="inlineStr">
        <is>
          <t>TECH-002</t>
        </is>
      </c>
      <c r="D1030" s="53" t="inlineStr">
        <is>
          <t>Avionics</t>
        </is>
      </c>
      <c r="E1030" s="53" t="inlineStr">
        <is>
          <t>2025-04-26</t>
        </is>
      </c>
      <c r="F1030" s="53">
        <v>12</v>
      </c>
      <c r="G1030" s="53">
        <v>4</v>
      </c>
      <c r="H1030" s="51" t="str">
        <f>TEXT(tblLaborEntries[[#This Row],[Work date serial]]-WEEKDAY(tblLaborEntries[[#This Row],[Work date serial]],3),"yyyy-mm-dd")</f>
        <v>2025-04-21</v>
      </c>
      <c r="I1030" s="64">
        <f>DATEVALUE(tblLaborEntries[[#This Row],[Work date]])</f>
        <v>45773.0</v>
      </c>
    </row>
    <row r="1031" spans="1:9" ht="15" x14ac:dyDescent="0.25">
      <c r="A1031" s="53" t="inlineStr">
        <is>
          <t>LAB-001030</t>
        </is>
      </c>
      <c r="B1031" s="53" t="inlineStr">
        <is>
          <t>WP-00453</t>
        </is>
      </c>
      <c r="C1031" s="53" t="inlineStr">
        <is>
          <t>TECH-008</t>
        </is>
      </c>
      <c r="D1031" s="53" t="inlineStr">
        <is>
          <t>Avionics</t>
        </is>
      </c>
      <c r="E1031" s="53" t="inlineStr">
        <is>
          <t>2025-04-26</t>
        </is>
      </c>
      <c r="F1031" s="53">
        <v>10.9</v>
      </c>
      <c r="G1031" s="53">
        <v>2.9</v>
      </c>
      <c r="H1031" s="51" t="str">
        <f>TEXT(tblLaborEntries[[#This Row],[Work date serial]]-WEEKDAY(tblLaborEntries[[#This Row],[Work date serial]],3),"yyyy-mm-dd")</f>
        <v>2025-04-21</v>
      </c>
      <c r="I1031" s="64">
        <f>DATEVALUE(tblLaborEntries[[#This Row],[Work date]])</f>
        <v>45773.0</v>
      </c>
    </row>
    <row r="1032" spans="1:9" ht="15" x14ac:dyDescent="0.25">
      <c r="A1032" s="53" t="inlineStr">
        <is>
          <t>LAB-001031</t>
        </is>
      </c>
      <c r="B1032" s="53" t="inlineStr">
        <is>
          <t>WP-00454</t>
        </is>
      </c>
      <c r="C1032" s="53" t="inlineStr">
        <is>
          <t>TECH-068</t>
        </is>
      </c>
      <c r="D1032" s="53" t="inlineStr">
        <is>
          <t>Avionics</t>
        </is>
      </c>
      <c r="E1032" s="53" t="inlineStr">
        <is>
          <t>2025-03-17</t>
        </is>
      </c>
      <c r="F1032" s="53">
        <v>4</v>
      </c>
      <c r="G1032" s="53">
        <v>0.3</v>
      </c>
      <c r="H1032" s="51" t="str">
        <f>TEXT(tblLaborEntries[[#This Row],[Work date serial]]-WEEKDAY(tblLaborEntries[[#This Row],[Work date serial]],3),"yyyy-mm-dd")</f>
        <v>2025-03-17</v>
      </c>
      <c r="I1032" s="64">
        <f>DATEVALUE(tblLaborEntries[[#This Row],[Work date]])</f>
        <v>45733.0</v>
      </c>
    </row>
    <row r="1033" spans="1:9" ht="15" x14ac:dyDescent="0.25">
      <c r="A1033" s="53" t="inlineStr">
        <is>
          <t>LAB-001032</t>
        </is>
      </c>
      <c r="B1033" s="53" t="inlineStr">
        <is>
          <t>WP-00454</t>
        </is>
      </c>
      <c r="C1033" s="53" t="inlineStr">
        <is>
          <t>TECH-062</t>
        </is>
      </c>
      <c r="D1033" s="53" t="inlineStr">
        <is>
          <t>Avionics</t>
        </is>
      </c>
      <c r="E1033" s="53" t="inlineStr">
        <is>
          <t>2025-03-18</t>
        </is>
      </c>
      <c r="F1033" s="53">
        <v>4.3</v>
      </c>
      <c r="G1033" s="53">
        <v>0</v>
      </c>
      <c r="H1033" s="51" t="str">
        <f>TEXT(tblLaborEntries[[#This Row],[Work date serial]]-WEEKDAY(tblLaborEntries[[#This Row],[Work date serial]],3),"yyyy-mm-dd")</f>
        <v>2025-03-17</v>
      </c>
      <c r="I1033" s="64">
        <f>DATEVALUE(tblLaborEntries[[#This Row],[Work date]])</f>
        <v>45734.0</v>
      </c>
    </row>
    <row r="1034" spans="1:9" ht="15" x14ac:dyDescent="0.25">
      <c r="A1034" s="53" t="inlineStr">
        <is>
          <t>LAB-001033</t>
        </is>
      </c>
      <c r="B1034" s="53" t="inlineStr">
        <is>
          <t>WP-00455</t>
        </is>
      </c>
      <c r="C1034" s="53" t="inlineStr">
        <is>
          <t>TECH-008</t>
        </is>
      </c>
      <c r="D1034" s="53" t="inlineStr">
        <is>
          <t>Avionics</t>
        </is>
      </c>
      <c r="E1034" s="53" t="inlineStr">
        <is>
          <t>2025-05-19</t>
        </is>
      </c>
      <c r="F1034" s="53">
        <v>9</v>
      </c>
      <c r="G1034" s="53">
        <v>1</v>
      </c>
      <c r="H1034" s="51" t="str">
        <f>TEXT(tblLaborEntries[[#This Row],[Work date serial]]-WEEKDAY(tblLaborEntries[[#This Row],[Work date serial]],3),"yyyy-mm-dd")</f>
        <v>2025-05-19</v>
      </c>
      <c r="I1034" s="64">
        <f>DATEVALUE(tblLaborEntries[[#This Row],[Work date]])</f>
        <v>45796.0</v>
      </c>
    </row>
    <row r="1035" spans="1:9" ht="15" x14ac:dyDescent="0.25">
      <c r="A1035" s="53" t="inlineStr">
        <is>
          <t>LAB-001034</t>
        </is>
      </c>
      <c r="B1035" s="53" t="inlineStr">
        <is>
          <t>WP-00456</t>
        </is>
      </c>
      <c r="C1035" s="53" t="inlineStr">
        <is>
          <t>TECH-015</t>
        </is>
      </c>
      <c r="D1035" s="53" t="inlineStr">
        <is>
          <t>Hydraulics</t>
        </is>
      </c>
      <c r="E1035" s="53" t="inlineStr">
        <is>
          <t>2025-04-11</t>
        </is>
      </c>
      <c r="F1035" s="53">
        <v>10</v>
      </c>
      <c r="G1035" s="53">
        <v>2</v>
      </c>
      <c r="H1035" s="51" t="str">
        <f>TEXT(tblLaborEntries[[#This Row],[Work date serial]]-WEEKDAY(tblLaborEntries[[#This Row],[Work date serial]],3),"yyyy-mm-dd")</f>
        <v>2025-04-07</v>
      </c>
      <c r="I1035" s="64">
        <f>DATEVALUE(tblLaborEntries[[#This Row],[Work date]])</f>
        <v>45758.0</v>
      </c>
    </row>
    <row r="1036" spans="1:9" ht="15" x14ac:dyDescent="0.25">
      <c r="A1036" s="53" t="inlineStr">
        <is>
          <t>LAB-001035</t>
        </is>
      </c>
      <c r="B1036" s="53" t="inlineStr">
        <is>
          <t>WP-00456</t>
        </is>
      </c>
      <c r="C1036" s="53" t="inlineStr">
        <is>
          <t>TECH-003</t>
        </is>
      </c>
      <c r="D1036" s="53" t="inlineStr">
        <is>
          <t>Hydraulics</t>
        </is>
      </c>
      <c r="E1036" s="53" t="inlineStr">
        <is>
          <t>2025-04-12</t>
        </is>
      </c>
      <c r="F1036" s="53">
        <v>0.6</v>
      </c>
      <c r="G1036" s="53">
        <v>0</v>
      </c>
      <c r="H1036" s="51" t="str">
        <f>TEXT(tblLaborEntries[[#This Row],[Work date serial]]-WEEKDAY(tblLaborEntries[[#This Row],[Work date serial]],3),"yyyy-mm-dd")</f>
        <v>2025-04-07</v>
      </c>
      <c r="I1036" s="64">
        <f>DATEVALUE(tblLaborEntries[[#This Row],[Work date]])</f>
        <v>45759.0</v>
      </c>
    </row>
    <row r="1037" spans="1:9" ht="15" x14ac:dyDescent="0.25">
      <c r="A1037" s="53" t="inlineStr">
        <is>
          <t>LAB-001036</t>
        </is>
      </c>
      <c r="B1037" s="53" t="inlineStr">
        <is>
          <t>WP-00456</t>
        </is>
      </c>
      <c r="C1037" s="53" t="inlineStr">
        <is>
          <t>TECH-033</t>
        </is>
      </c>
      <c r="D1037" s="53" t="inlineStr">
        <is>
          <t>Hydraulics</t>
        </is>
      </c>
      <c r="E1037" s="53" t="inlineStr">
        <is>
          <t>2025-04-12</t>
        </is>
      </c>
      <c r="F1037" s="53">
        <v>12</v>
      </c>
      <c r="G1037" s="53">
        <v>4</v>
      </c>
      <c r="H1037" s="51" t="str">
        <f>TEXT(tblLaborEntries[[#This Row],[Work date serial]]-WEEKDAY(tblLaborEntries[[#This Row],[Work date serial]],3),"yyyy-mm-dd")</f>
        <v>2025-04-07</v>
      </c>
      <c r="I1037" s="64">
        <f>DATEVALUE(tblLaborEntries[[#This Row],[Work date]])</f>
        <v>45759.0</v>
      </c>
    </row>
    <row r="1038" spans="1:9" ht="15" x14ac:dyDescent="0.25">
      <c r="A1038" s="53" t="inlineStr">
        <is>
          <t>LAB-001037</t>
        </is>
      </c>
      <c r="B1038" s="53" t="inlineStr">
        <is>
          <t>WP-00457</t>
        </is>
      </c>
      <c r="C1038" s="53" t="inlineStr">
        <is>
          <t>TECH-001</t>
        </is>
      </c>
      <c r="D1038" s="53" t="inlineStr">
        <is>
          <t>Airframe</t>
        </is>
      </c>
      <c r="E1038" s="53" t="inlineStr">
        <is>
          <t>2024-06-09</t>
        </is>
      </c>
      <c r="F1038" s="53">
        <v>2.8</v>
      </c>
      <c r="G1038" s="53">
        <v>0</v>
      </c>
      <c r="H1038" s="51" t="str">
        <f>TEXT(tblLaborEntries[[#This Row],[Work date serial]]-WEEKDAY(tblLaborEntries[[#This Row],[Work date serial]],3),"yyyy-mm-dd")</f>
        <v>2024-06-03</v>
      </c>
      <c r="I1038" s="64">
        <f>DATEVALUE(tblLaborEntries[[#This Row],[Work date]])</f>
        <v>45452.0</v>
      </c>
    </row>
    <row r="1039" spans="1:9" ht="15" x14ac:dyDescent="0.25">
      <c r="A1039" s="53" t="inlineStr">
        <is>
          <t>LAB-001038</t>
        </is>
      </c>
      <c r="B1039" s="53" t="inlineStr">
        <is>
          <t>WP-00458</t>
        </is>
      </c>
      <c r="C1039" s="53" t="inlineStr">
        <is>
          <t>TECH-014</t>
        </is>
      </c>
      <c r="D1039" s="53" t="inlineStr">
        <is>
          <t>Avionics</t>
        </is>
      </c>
      <c r="E1039" s="53" t="inlineStr">
        <is>
          <t>2025-05-16</t>
        </is>
      </c>
      <c r="F1039" s="53">
        <v>6.4</v>
      </c>
      <c r="G1039" s="53">
        <v>0</v>
      </c>
      <c r="H1039" s="51" t="str">
        <f>TEXT(tblLaborEntries[[#This Row],[Work date serial]]-WEEKDAY(tblLaborEntries[[#This Row],[Work date serial]],3),"yyyy-mm-dd")</f>
        <v>2025-05-12</v>
      </c>
      <c r="I1039" s="64">
        <f>DATEVALUE(tblLaborEntries[[#This Row],[Work date]])</f>
        <v>45793.0</v>
      </c>
    </row>
    <row r="1040" spans="1:9" ht="15" x14ac:dyDescent="0.25">
      <c r="A1040" s="53" t="inlineStr">
        <is>
          <t>LAB-001039</t>
        </is>
      </c>
      <c r="B1040" s="53" t="inlineStr">
        <is>
          <t>WP-00459</t>
        </is>
      </c>
      <c r="C1040" s="53" t="inlineStr">
        <is>
          <t>TECH-013</t>
        </is>
      </c>
      <c r="D1040" s="53" t="inlineStr">
        <is>
          <t>Airframe</t>
        </is>
      </c>
      <c r="E1040" s="53" t="inlineStr">
        <is>
          <t>2026-01-04</t>
        </is>
      </c>
      <c r="F1040" s="53">
        <v>6.1</v>
      </c>
      <c r="G1040" s="53">
        <v>0</v>
      </c>
      <c r="H1040" s="51" t="str">
        <f>TEXT(tblLaborEntries[[#This Row],[Work date serial]]-WEEKDAY(tblLaborEntries[[#This Row],[Work date serial]],3),"yyyy-mm-dd")</f>
        <v>2025-12-29</v>
      </c>
      <c r="I1040" s="64">
        <f>DATEVALUE(tblLaborEntries[[#This Row],[Work date]])</f>
        <v>46026.0</v>
      </c>
    </row>
    <row r="1041" spans="1:9" ht="15" x14ac:dyDescent="0.25">
      <c r="A1041" s="53" t="inlineStr">
        <is>
          <t>LAB-001040</t>
        </is>
      </c>
      <c r="B1041" s="53" t="inlineStr">
        <is>
          <t>WP-00460</t>
        </is>
      </c>
      <c r="C1041" s="53" t="inlineStr">
        <is>
          <t>TECH-063</t>
        </is>
      </c>
      <c r="D1041" s="53" t="inlineStr">
        <is>
          <t>Hydraulics</t>
        </is>
      </c>
      <c r="E1041" s="53" t="inlineStr">
        <is>
          <t>2024-04-18</t>
        </is>
      </c>
      <c r="F1041" s="53">
        <v>9.8</v>
      </c>
      <c r="G1041" s="53">
        <v>1.8</v>
      </c>
      <c r="H1041" s="51" t="str">
        <f>TEXT(tblLaborEntries[[#This Row],[Work date serial]]-WEEKDAY(tblLaborEntries[[#This Row],[Work date serial]],3),"yyyy-mm-dd")</f>
        <v>2024-04-15</v>
      </c>
      <c r="I1041" s="64">
        <f>DATEVALUE(tblLaborEntries[[#This Row],[Work date]])</f>
        <v>45400.0</v>
      </c>
    </row>
    <row r="1042" spans="1:9" ht="15" x14ac:dyDescent="0.25">
      <c r="A1042" s="53" t="inlineStr">
        <is>
          <t>LAB-001041</t>
        </is>
      </c>
      <c r="B1042" s="53" t="inlineStr">
        <is>
          <t>WP-00461</t>
        </is>
      </c>
      <c r="C1042" s="53" t="inlineStr">
        <is>
          <t>TECH-074</t>
        </is>
      </c>
      <c r="D1042" s="53" t="inlineStr">
        <is>
          <t>Avionics</t>
        </is>
      </c>
      <c r="E1042" s="53" t="inlineStr">
        <is>
          <t>2025-07-24</t>
        </is>
      </c>
      <c r="F1042" s="53">
        <v>3.7</v>
      </c>
      <c r="G1042" s="53">
        <v>0</v>
      </c>
      <c r="H1042" s="51" t="str">
        <f>TEXT(tblLaborEntries[[#This Row],[Work date serial]]-WEEKDAY(tblLaborEntries[[#This Row],[Work date serial]],3),"yyyy-mm-dd")</f>
        <v>2025-07-21</v>
      </c>
      <c r="I1042" s="64">
        <f>DATEVALUE(tblLaborEntries[[#This Row],[Work date]])</f>
        <v>45862.0</v>
      </c>
    </row>
    <row r="1043" spans="1:9" ht="15" x14ac:dyDescent="0.25">
      <c r="A1043" s="53" t="inlineStr">
        <is>
          <t>LAB-001042</t>
        </is>
      </c>
      <c r="B1043" s="53" t="inlineStr">
        <is>
          <t>WP-00461</t>
        </is>
      </c>
      <c r="C1043" s="53" t="inlineStr">
        <is>
          <t>TECH-038</t>
        </is>
      </c>
      <c r="D1043" s="53" t="inlineStr">
        <is>
          <t>Avionics</t>
        </is>
      </c>
      <c r="E1043" s="53" t="inlineStr">
        <is>
          <t>2025-07-25</t>
        </is>
      </c>
      <c r="F1043" s="53">
        <v>4.6</v>
      </c>
      <c r="G1043" s="53">
        <v>0</v>
      </c>
      <c r="H1043" s="51" t="str">
        <f>TEXT(tblLaborEntries[[#This Row],[Work date serial]]-WEEKDAY(tblLaborEntries[[#This Row],[Work date serial]],3),"yyyy-mm-dd")</f>
        <v>2025-07-21</v>
      </c>
      <c r="I1043" s="64">
        <f>DATEVALUE(tblLaborEntries[[#This Row],[Work date]])</f>
        <v>45863.0</v>
      </c>
    </row>
    <row r="1044" spans="1:9" ht="15" x14ac:dyDescent="0.25">
      <c r="A1044" s="53" t="inlineStr">
        <is>
          <t>LAB-001043</t>
        </is>
      </c>
      <c r="B1044" s="53" t="inlineStr">
        <is>
          <t>WP-00462</t>
        </is>
      </c>
      <c r="C1044" s="53" t="inlineStr">
        <is>
          <t>TECH-005</t>
        </is>
      </c>
      <c r="D1044" s="53" t="inlineStr">
        <is>
          <t>Structures</t>
        </is>
      </c>
      <c r="E1044" s="53" t="inlineStr">
        <is>
          <t>2025-06-12</t>
        </is>
      </c>
      <c r="F1044" s="53">
        <v>0.3</v>
      </c>
      <c r="G1044" s="53">
        <v>0</v>
      </c>
      <c r="H1044" s="51" t="str">
        <f>TEXT(tblLaborEntries[[#This Row],[Work date serial]]-WEEKDAY(tblLaborEntries[[#This Row],[Work date serial]],3),"yyyy-mm-dd")</f>
        <v>2025-06-09</v>
      </c>
      <c r="I1044" s="64">
        <f>DATEVALUE(tblLaborEntries[[#This Row],[Work date]])</f>
        <v>45820.0</v>
      </c>
    </row>
    <row r="1045" spans="1:9" ht="15" x14ac:dyDescent="0.25">
      <c r="A1045" s="53" t="inlineStr">
        <is>
          <t>LAB-001044</t>
        </is>
      </c>
      <c r="B1045" s="53" t="inlineStr">
        <is>
          <t>WP-00462</t>
        </is>
      </c>
      <c r="C1045" s="53" t="inlineStr">
        <is>
          <t>TECH-047</t>
        </is>
      </c>
      <c r="D1045" s="53" t="inlineStr">
        <is>
          <t>Structures</t>
        </is>
      </c>
      <c r="E1045" s="53" t="inlineStr">
        <is>
          <t>2025-06-12</t>
        </is>
      </c>
      <c r="F1045" s="53">
        <v>12</v>
      </c>
      <c r="G1045" s="53">
        <v>4</v>
      </c>
      <c r="H1045" s="51" t="str">
        <f>TEXT(tblLaborEntries[[#This Row],[Work date serial]]-WEEKDAY(tblLaborEntries[[#This Row],[Work date serial]],3),"yyyy-mm-dd")</f>
        <v>2025-06-09</v>
      </c>
      <c r="I1045" s="64">
        <f>DATEVALUE(tblLaborEntries[[#This Row],[Work date]])</f>
        <v>45820.0</v>
      </c>
    </row>
    <row r="1046" spans="1:9" ht="15" x14ac:dyDescent="0.25">
      <c r="A1046" s="53" t="inlineStr">
        <is>
          <t>LAB-001045</t>
        </is>
      </c>
      <c r="B1046" s="53" t="inlineStr">
        <is>
          <t>WP-00462</t>
        </is>
      </c>
      <c r="C1046" s="53" t="inlineStr">
        <is>
          <t>TECH-005</t>
        </is>
      </c>
      <c r="D1046" s="53" t="inlineStr">
        <is>
          <t>Structures</t>
        </is>
      </c>
      <c r="E1046" s="53" t="inlineStr">
        <is>
          <t>2025-06-13</t>
        </is>
      </c>
      <c r="F1046" s="53">
        <v>3.4</v>
      </c>
      <c r="G1046" s="53">
        <v>0</v>
      </c>
      <c r="H1046" s="51" t="str">
        <f>TEXT(tblLaborEntries[[#This Row],[Work date serial]]-WEEKDAY(tblLaborEntries[[#This Row],[Work date serial]],3),"yyyy-mm-dd")</f>
        <v>2025-06-09</v>
      </c>
      <c r="I1046" s="64">
        <f>DATEVALUE(tblLaborEntries[[#This Row],[Work date]])</f>
        <v>45821.0</v>
      </c>
    </row>
    <row r="1047" spans="1:9" ht="15" x14ac:dyDescent="0.25">
      <c r="A1047" s="53" t="inlineStr">
        <is>
          <t>LAB-001046</t>
        </is>
      </c>
      <c r="B1047" s="53" t="inlineStr">
        <is>
          <t>WP-00462</t>
        </is>
      </c>
      <c r="C1047" s="53" t="inlineStr">
        <is>
          <t>TECH-041</t>
        </is>
      </c>
      <c r="D1047" s="53" t="inlineStr">
        <is>
          <t>Structures</t>
        </is>
      </c>
      <c r="E1047" s="53" t="inlineStr">
        <is>
          <t>2025-06-13</t>
        </is>
      </c>
      <c r="F1047" s="53">
        <v>12</v>
      </c>
      <c r="G1047" s="53">
        <v>4</v>
      </c>
      <c r="H1047" s="51" t="str">
        <f>TEXT(tblLaborEntries[[#This Row],[Work date serial]]-WEEKDAY(tblLaborEntries[[#This Row],[Work date serial]],3),"yyyy-mm-dd")</f>
        <v>2025-06-09</v>
      </c>
      <c r="I1047" s="64">
        <f>DATEVALUE(tblLaborEntries[[#This Row],[Work date]])</f>
        <v>45821.0</v>
      </c>
    </row>
    <row r="1048" spans="1:9" ht="15" x14ac:dyDescent="0.25">
      <c r="A1048" s="53" t="inlineStr">
        <is>
          <t>LAB-001047</t>
        </is>
      </c>
      <c r="B1048" s="53" t="inlineStr">
        <is>
          <t>WP-00462</t>
        </is>
      </c>
      <c r="C1048" s="53" t="inlineStr">
        <is>
          <t>TECH-005</t>
        </is>
      </c>
      <c r="D1048" s="53" t="inlineStr">
        <is>
          <t>Structures</t>
        </is>
      </c>
      <c r="E1048" s="53" t="inlineStr">
        <is>
          <t>2025-06-14</t>
        </is>
      </c>
      <c r="F1048" s="53">
        <v>1.9</v>
      </c>
      <c r="G1048" s="53">
        <v>0</v>
      </c>
      <c r="H1048" s="51" t="str">
        <f>TEXT(tblLaborEntries[[#This Row],[Work date serial]]-WEEKDAY(tblLaborEntries[[#This Row],[Work date serial]],3),"yyyy-mm-dd")</f>
        <v>2025-06-09</v>
      </c>
      <c r="I1048" s="64">
        <f>DATEVALUE(tblLaborEntries[[#This Row],[Work date]])</f>
        <v>45822.0</v>
      </c>
    </row>
    <row r="1049" spans="1:9" ht="15" x14ac:dyDescent="0.25">
      <c r="A1049" s="53" t="inlineStr">
        <is>
          <t>LAB-001048</t>
        </is>
      </c>
      <c r="B1049" s="53" t="inlineStr">
        <is>
          <t>WP-00462</t>
        </is>
      </c>
      <c r="C1049" s="53" t="inlineStr">
        <is>
          <t>TECH-053</t>
        </is>
      </c>
      <c r="D1049" s="53" t="inlineStr">
        <is>
          <t>Structures</t>
        </is>
      </c>
      <c r="E1049" s="53" t="inlineStr">
        <is>
          <t>2025-06-14</t>
        </is>
      </c>
      <c r="F1049" s="53">
        <v>12</v>
      </c>
      <c r="G1049" s="53">
        <v>4</v>
      </c>
      <c r="H1049" s="51" t="str">
        <f>TEXT(tblLaborEntries[[#This Row],[Work date serial]]-WEEKDAY(tblLaborEntries[[#This Row],[Work date serial]],3),"yyyy-mm-dd")</f>
        <v>2025-06-09</v>
      </c>
      <c r="I1049" s="64">
        <f>DATEVALUE(tblLaborEntries[[#This Row],[Work date]])</f>
        <v>45822.0</v>
      </c>
    </row>
    <row r="1050" spans="1:9" ht="15" x14ac:dyDescent="0.25">
      <c r="A1050" s="53" t="inlineStr">
        <is>
          <t>LAB-001049</t>
        </is>
      </c>
      <c r="B1050" s="53" t="inlineStr">
        <is>
          <t>WP-00463</t>
        </is>
      </c>
      <c r="C1050" s="53" t="inlineStr">
        <is>
          <t>TECH-002</t>
        </is>
      </c>
      <c r="D1050" s="53" t="inlineStr">
        <is>
          <t>Avionics</t>
        </is>
      </c>
      <c r="E1050" s="53" t="inlineStr">
        <is>
          <t>2024-06-13</t>
        </is>
      </c>
      <c r="F1050" s="53">
        <v>5.4</v>
      </c>
      <c r="G1050" s="53">
        <v>0</v>
      </c>
      <c r="H1050" s="51" t="str">
        <f>TEXT(tblLaborEntries[[#This Row],[Work date serial]]-WEEKDAY(tblLaborEntries[[#This Row],[Work date serial]],3),"yyyy-mm-dd")</f>
        <v>2024-06-10</v>
      </c>
      <c r="I1050" s="64">
        <f>DATEVALUE(tblLaborEntries[[#This Row],[Work date]])</f>
        <v>45456.0</v>
      </c>
    </row>
    <row r="1051" spans="1:9" ht="15" x14ac:dyDescent="0.25">
      <c r="A1051" s="53" t="inlineStr">
        <is>
          <t>LAB-001050</t>
        </is>
      </c>
      <c r="B1051" s="53" t="inlineStr">
        <is>
          <t>WP-00463</t>
        </is>
      </c>
      <c r="C1051" s="53" t="inlineStr">
        <is>
          <t>TECH-014</t>
        </is>
      </c>
      <c r="D1051" s="53" t="inlineStr">
        <is>
          <t>Avionics</t>
        </is>
      </c>
      <c r="E1051" s="53" t="inlineStr">
        <is>
          <t>2024-06-13</t>
        </is>
      </c>
      <c r="F1051" s="53">
        <v>12</v>
      </c>
      <c r="G1051" s="53">
        <v>4</v>
      </c>
      <c r="H1051" s="51" t="str">
        <f>TEXT(tblLaborEntries[[#This Row],[Work date serial]]-WEEKDAY(tblLaborEntries[[#This Row],[Work date serial]],3),"yyyy-mm-dd")</f>
        <v>2024-06-10</v>
      </c>
      <c r="I1051" s="64">
        <f>DATEVALUE(tblLaborEntries[[#This Row],[Work date]])</f>
        <v>45456.0</v>
      </c>
    </row>
    <row r="1052" spans="1:9" ht="15" x14ac:dyDescent="0.25">
      <c r="A1052" s="53" t="inlineStr">
        <is>
          <t>LAB-001051</t>
        </is>
      </c>
      <c r="B1052" s="53" t="inlineStr">
        <is>
          <t>WP-00464</t>
        </is>
      </c>
      <c r="C1052" s="53" t="inlineStr">
        <is>
          <t>TECH-068</t>
        </is>
      </c>
      <c r="D1052" s="53" t="inlineStr">
        <is>
          <t>Avionics</t>
        </is>
      </c>
      <c r="E1052" s="53" t="inlineStr">
        <is>
          <t>2024-03-18</t>
        </is>
      </c>
      <c r="F1052" s="53">
        <v>11.4</v>
      </c>
      <c r="G1052" s="53">
        <v>3.4</v>
      </c>
      <c r="H1052" s="51" t="str">
        <f>TEXT(tblLaborEntries[[#This Row],[Work date serial]]-WEEKDAY(tblLaborEntries[[#This Row],[Work date serial]],3),"yyyy-mm-dd")</f>
        <v>2024-03-18</v>
      </c>
      <c r="I1052" s="64">
        <f>DATEVALUE(tblLaborEntries[[#This Row],[Work date]])</f>
        <v>45369.0</v>
      </c>
    </row>
    <row r="1053" spans="1:9" ht="15" x14ac:dyDescent="0.25">
      <c r="A1053" s="53" t="inlineStr">
        <is>
          <t>LAB-001052</t>
        </is>
      </c>
      <c r="B1053" s="53" t="inlineStr">
        <is>
          <t>WP-00464</t>
        </is>
      </c>
      <c r="C1053" s="53" t="inlineStr">
        <is>
          <t>TECH-038</t>
        </is>
      </c>
      <c r="D1053" s="53" t="inlineStr">
        <is>
          <t>Avionics</t>
        </is>
      </c>
      <c r="E1053" s="53" t="inlineStr">
        <is>
          <t>2024-03-19</t>
        </is>
      </c>
      <c r="F1053" s="53">
        <v>11.2</v>
      </c>
      <c r="G1053" s="53">
        <v>3.2</v>
      </c>
      <c r="H1053" s="51" t="str">
        <f>TEXT(tblLaborEntries[[#This Row],[Work date serial]]-WEEKDAY(tblLaborEntries[[#This Row],[Work date serial]],3),"yyyy-mm-dd")</f>
        <v>2024-03-18</v>
      </c>
      <c r="I1053" s="64">
        <f>DATEVALUE(tblLaborEntries[[#This Row],[Work date]])</f>
        <v>45370.0</v>
      </c>
    </row>
    <row r="1054" spans="1:9" ht="15" x14ac:dyDescent="0.25">
      <c r="A1054" s="53" t="inlineStr">
        <is>
          <t>LAB-001053</t>
        </is>
      </c>
      <c r="B1054" s="53" t="inlineStr">
        <is>
          <t>WP-00465</t>
        </is>
      </c>
      <c r="C1054" s="53" t="inlineStr">
        <is>
          <t>TECH-067</t>
        </is>
      </c>
      <c r="D1054" s="53" t="inlineStr">
        <is>
          <t>Airframe</t>
        </is>
      </c>
      <c r="E1054" s="53" t="inlineStr">
        <is>
          <t>2024-02-19</t>
        </is>
      </c>
      <c r="F1054" s="53">
        <v>7.8</v>
      </c>
      <c r="G1054" s="53">
        <v>0</v>
      </c>
      <c r="H1054" s="51" t="str">
        <f>TEXT(tblLaborEntries[[#This Row],[Work date serial]]-WEEKDAY(tblLaborEntries[[#This Row],[Work date serial]],3),"yyyy-mm-dd")</f>
        <v>2024-02-19</v>
      </c>
      <c r="I1054" s="64">
        <f>DATEVALUE(tblLaborEntries[[#This Row],[Work date]])</f>
        <v>45341.0</v>
      </c>
    </row>
    <row r="1055" spans="1:9" ht="15" x14ac:dyDescent="0.25">
      <c r="A1055" s="53" t="inlineStr">
        <is>
          <t>LAB-001054</t>
        </is>
      </c>
      <c r="B1055" s="53" t="inlineStr">
        <is>
          <t>WP-00466</t>
        </is>
      </c>
      <c r="C1055" s="53" t="inlineStr">
        <is>
          <t>TECH-067</t>
        </is>
      </c>
      <c r="D1055" s="53" t="inlineStr">
        <is>
          <t>Airframe</t>
        </is>
      </c>
      <c r="E1055" s="53" t="inlineStr">
        <is>
          <t>2024-12-20</t>
        </is>
      </c>
      <c r="F1055" s="53">
        <v>10.2</v>
      </c>
      <c r="G1055" s="53">
        <v>2.2</v>
      </c>
      <c r="H1055" s="51" t="str">
        <f>TEXT(tblLaborEntries[[#This Row],[Work date serial]]-WEEKDAY(tblLaborEntries[[#This Row],[Work date serial]],3),"yyyy-mm-dd")</f>
        <v>2024-12-16</v>
      </c>
      <c r="I1055" s="64">
        <f>DATEVALUE(tblLaborEntries[[#This Row],[Work date]])</f>
        <v>45646.0</v>
      </c>
    </row>
    <row r="1056" spans="1:9" ht="15" x14ac:dyDescent="0.25">
      <c r="A1056" s="53" t="inlineStr">
        <is>
          <t>LAB-001055</t>
        </is>
      </c>
      <c r="B1056" s="53" t="inlineStr">
        <is>
          <t>WP-00467</t>
        </is>
      </c>
      <c r="C1056" s="53" t="inlineStr">
        <is>
          <t>TECH-019</t>
        </is>
      </c>
      <c r="D1056" s="53" t="inlineStr">
        <is>
          <t>Airframe</t>
        </is>
      </c>
      <c r="E1056" s="53" t="inlineStr">
        <is>
          <t>2025-03-09</t>
        </is>
      </c>
      <c r="F1056" s="53">
        <v>7.5</v>
      </c>
      <c r="G1056" s="53">
        <v>0</v>
      </c>
      <c r="H1056" s="51" t="str">
        <f>TEXT(tblLaborEntries[[#This Row],[Work date serial]]-WEEKDAY(tblLaborEntries[[#This Row],[Work date serial]],3),"yyyy-mm-dd")</f>
        <v>2025-03-03</v>
      </c>
      <c r="I1056" s="64">
        <f>DATEVALUE(tblLaborEntries[[#This Row],[Work date]])</f>
        <v>45725.0</v>
      </c>
    </row>
    <row r="1057" spans="1:9" ht="15" x14ac:dyDescent="0.25">
      <c r="A1057" s="53" t="inlineStr">
        <is>
          <t>LAB-001056</t>
        </is>
      </c>
      <c r="B1057" s="53" t="inlineStr">
        <is>
          <t>WP-00468</t>
        </is>
      </c>
      <c r="C1057" s="53" t="inlineStr">
        <is>
          <t>TECH-015</t>
        </is>
      </c>
      <c r="D1057" s="53" t="inlineStr">
        <is>
          <t>Hydraulics</t>
        </is>
      </c>
      <c r="E1057" s="53" t="inlineStr">
        <is>
          <t>2025-05-21</t>
        </is>
      </c>
      <c r="F1057" s="53">
        <v>9.3</v>
      </c>
      <c r="G1057" s="53">
        <v>1.3</v>
      </c>
      <c r="H1057" s="51" t="str">
        <f>TEXT(tblLaborEntries[[#This Row],[Work date serial]]-WEEKDAY(tblLaborEntries[[#This Row],[Work date serial]],3),"yyyy-mm-dd")</f>
        <v>2025-05-19</v>
      </c>
      <c r="I1057" s="64">
        <f>DATEVALUE(tblLaborEntries[[#This Row],[Work date]])</f>
        <v>45798.0</v>
      </c>
    </row>
    <row r="1058" spans="1:9" ht="15" x14ac:dyDescent="0.25">
      <c r="A1058" s="53" t="inlineStr">
        <is>
          <t>LAB-001057</t>
        </is>
      </c>
      <c r="B1058" s="53" t="inlineStr">
        <is>
          <t>WP-00468</t>
        </is>
      </c>
      <c r="C1058" s="53" t="inlineStr">
        <is>
          <t>TECH-045</t>
        </is>
      </c>
      <c r="D1058" s="53" t="inlineStr">
        <is>
          <t>Hydraulics</t>
        </is>
      </c>
      <c r="E1058" s="53" t="inlineStr">
        <is>
          <t>2025-05-22</t>
        </is>
      </c>
      <c r="F1058" s="53">
        <v>11.7</v>
      </c>
      <c r="G1058" s="53">
        <v>3.7</v>
      </c>
      <c r="H1058" s="51" t="str">
        <f>TEXT(tblLaborEntries[[#This Row],[Work date serial]]-WEEKDAY(tblLaborEntries[[#This Row],[Work date serial]],3),"yyyy-mm-dd")</f>
        <v>2025-05-19</v>
      </c>
      <c r="I1058" s="64">
        <f>DATEVALUE(tblLaborEntries[[#This Row],[Work date]])</f>
        <v>45799.0</v>
      </c>
    </row>
    <row r="1059" spans="1:9" ht="15" x14ac:dyDescent="0.25">
      <c r="A1059" s="53" t="inlineStr">
        <is>
          <t>LAB-001058</t>
        </is>
      </c>
      <c r="B1059" s="53" t="inlineStr">
        <is>
          <t>WP-00468</t>
        </is>
      </c>
      <c r="C1059" s="53" t="inlineStr">
        <is>
          <t>TECH-003</t>
        </is>
      </c>
      <c r="D1059" s="53" t="inlineStr">
        <is>
          <t>Hydraulics</t>
        </is>
      </c>
      <c r="E1059" s="53" t="inlineStr">
        <is>
          <t>2025-05-23</t>
        </is>
      </c>
      <c r="F1059" s="53">
        <v>3.5</v>
      </c>
      <c r="G1059" s="53">
        <v>0</v>
      </c>
      <c r="H1059" s="51" t="str">
        <f>TEXT(tblLaborEntries[[#This Row],[Work date serial]]-WEEKDAY(tblLaborEntries[[#This Row],[Work date serial]],3),"yyyy-mm-dd")</f>
        <v>2025-05-19</v>
      </c>
      <c r="I1059" s="64">
        <f>DATEVALUE(tblLaborEntries[[#This Row],[Work date]])</f>
        <v>45800.0</v>
      </c>
    </row>
    <row r="1060" spans="1:9" ht="15" x14ac:dyDescent="0.25">
      <c r="A1060" s="53" t="inlineStr">
        <is>
          <t>LAB-001059</t>
        </is>
      </c>
      <c r="B1060" s="53" t="inlineStr">
        <is>
          <t>WP-00468</t>
        </is>
      </c>
      <c r="C1060" s="53" t="inlineStr">
        <is>
          <t>TECH-075</t>
        </is>
      </c>
      <c r="D1060" s="53" t="inlineStr">
        <is>
          <t>Hydraulics</t>
        </is>
      </c>
      <c r="E1060" s="53" t="inlineStr">
        <is>
          <t>2025-05-23</t>
        </is>
      </c>
      <c r="F1060" s="53">
        <v>5.3</v>
      </c>
      <c r="G1060" s="53">
        <v>0</v>
      </c>
      <c r="H1060" s="51" t="str">
        <f>TEXT(tblLaborEntries[[#This Row],[Work date serial]]-WEEKDAY(tblLaborEntries[[#This Row],[Work date serial]],3),"yyyy-mm-dd")</f>
        <v>2025-05-19</v>
      </c>
      <c r="I1060" s="64">
        <f>DATEVALUE(tblLaborEntries[[#This Row],[Work date]])</f>
        <v>45800.0</v>
      </c>
    </row>
    <row r="1061" spans="1:9" ht="15" x14ac:dyDescent="0.25">
      <c r="A1061" s="53" t="inlineStr">
        <is>
          <t>LAB-001060</t>
        </is>
      </c>
      <c r="B1061" s="53" t="inlineStr">
        <is>
          <t>WP-00469</t>
        </is>
      </c>
      <c r="C1061" s="53" t="inlineStr">
        <is>
          <t>TECH-043</t>
        </is>
      </c>
      <c r="D1061" s="53" t="inlineStr">
        <is>
          <t>Airframe</t>
        </is>
      </c>
      <c r="E1061" s="53" t="inlineStr">
        <is>
          <t>2025-08-14</t>
        </is>
      </c>
      <c r="F1061" s="53">
        <v>2.3</v>
      </c>
      <c r="G1061" s="53">
        <v>0</v>
      </c>
      <c r="H1061" s="51" t="str">
        <f>TEXT(tblLaborEntries[[#This Row],[Work date serial]]-WEEKDAY(tblLaborEntries[[#This Row],[Work date serial]],3),"yyyy-mm-dd")</f>
        <v>2025-08-11</v>
      </c>
      <c r="I1061" s="64">
        <f>DATEVALUE(tblLaborEntries[[#This Row],[Work date]])</f>
        <v>45883.0</v>
      </c>
    </row>
    <row r="1062" spans="1:9" ht="15" x14ac:dyDescent="0.25">
      <c r="A1062" s="53" t="inlineStr">
        <is>
          <t>LAB-001061</t>
        </is>
      </c>
      <c r="B1062" s="53" t="inlineStr">
        <is>
          <t>WP-00469</t>
        </is>
      </c>
      <c r="C1062" s="53" t="inlineStr">
        <is>
          <t>TECH-025</t>
        </is>
      </c>
      <c r="D1062" s="53" t="inlineStr">
        <is>
          <t>Airframe</t>
        </is>
      </c>
      <c r="E1062" s="53" t="inlineStr">
        <is>
          <t>2025-08-15</t>
        </is>
      </c>
      <c r="F1062" s="53">
        <v>2.9</v>
      </c>
      <c r="G1062" s="53">
        <v>0</v>
      </c>
      <c r="H1062" s="51" t="str">
        <f>TEXT(tblLaborEntries[[#This Row],[Work date serial]]-WEEKDAY(tblLaborEntries[[#This Row],[Work date serial]],3),"yyyy-mm-dd")</f>
        <v>2025-08-11</v>
      </c>
      <c r="I1062" s="64">
        <f>DATEVALUE(tblLaborEntries[[#This Row],[Work date]])</f>
        <v>45884.0</v>
      </c>
    </row>
    <row r="1063" spans="1:9" ht="15" x14ac:dyDescent="0.25">
      <c r="A1063" s="53" t="inlineStr">
        <is>
          <t>LAB-001062</t>
        </is>
      </c>
      <c r="B1063" s="53" t="inlineStr">
        <is>
          <t>WP-00470</t>
        </is>
      </c>
      <c r="C1063" s="53" t="inlineStr">
        <is>
          <t>TECH-003</t>
        </is>
      </c>
      <c r="D1063" s="53" t="inlineStr">
        <is>
          <t>Hydraulics</t>
        </is>
      </c>
      <c r="E1063" s="53" t="inlineStr">
        <is>
          <t>2024-05-03</t>
        </is>
      </c>
      <c r="F1063" s="53">
        <v>3.3</v>
      </c>
      <c r="G1063" s="53">
        <v>0</v>
      </c>
      <c r="H1063" s="51" t="str">
        <f>TEXT(tblLaborEntries[[#This Row],[Work date serial]]-WEEKDAY(tblLaborEntries[[#This Row],[Work date serial]],3),"yyyy-mm-dd")</f>
        <v>2024-04-29</v>
      </c>
      <c r="I1063" s="64">
        <f>DATEVALUE(tblLaborEntries[[#This Row],[Work date]])</f>
        <v>45415.0</v>
      </c>
    </row>
    <row r="1064" spans="1:9" ht="15" x14ac:dyDescent="0.25">
      <c r="A1064" s="53" t="inlineStr">
        <is>
          <t>LAB-001063</t>
        </is>
      </c>
      <c r="B1064" s="53" t="inlineStr">
        <is>
          <t>WP-00470</t>
        </is>
      </c>
      <c r="C1064" s="53" t="inlineStr">
        <is>
          <t>TECH-027</t>
        </is>
      </c>
      <c r="D1064" s="53" t="inlineStr">
        <is>
          <t>Hydraulics</t>
        </is>
      </c>
      <c r="E1064" s="53" t="inlineStr">
        <is>
          <t>2024-05-04</t>
        </is>
      </c>
      <c r="F1064" s="53">
        <v>3.2</v>
      </c>
      <c r="G1064" s="53">
        <v>0</v>
      </c>
      <c r="H1064" s="51" t="str">
        <f>TEXT(tblLaborEntries[[#This Row],[Work date serial]]-WEEKDAY(tblLaborEntries[[#This Row],[Work date serial]],3),"yyyy-mm-dd")</f>
        <v>2024-04-29</v>
      </c>
      <c r="I1064" s="64">
        <f>DATEVALUE(tblLaborEntries[[#This Row],[Work date]])</f>
        <v>45416.0</v>
      </c>
    </row>
    <row r="1065" spans="1:9" ht="15" x14ac:dyDescent="0.25">
      <c r="A1065" s="53" t="inlineStr">
        <is>
          <t>LAB-001064</t>
        </is>
      </c>
      <c r="B1065" s="53" t="inlineStr">
        <is>
          <t>WP-00470</t>
        </is>
      </c>
      <c r="C1065" s="53" t="inlineStr">
        <is>
          <t>TECH-015</t>
        </is>
      </c>
      <c r="D1065" s="53" t="inlineStr">
        <is>
          <t>Hydraulics</t>
        </is>
      </c>
      <c r="E1065" s="53" t="inlineStr">
        <is>
          <t>2024-05-05</t>
        </is>
      </c>
      <c r="F1065" s="53">
        <v>2.3</v>
      </c>
      <c r="G1065" s="53">
        <v>0</v>
      </c>
      <c r="H1065" s="51" t="str">
        <f>TEXT(tblLaborEntries[[#This Row],[Work date serial]]-WEEKDAY(tblLaborEntries[[#This Row],[Work date serial]],3),"yyyy-mm-dd")</f>
        <v>2024-04-29</v>
      </c>
      <c r="I1065" s="64">
        <f>DATEVALUE(tblLaborEntries[[#This Row],[Work date]])</f>
        <v>45417.0</v>
      </c>
    </row>
    <row r="1066" spans="1:9" ht="15" x14ac:dyDescent="0.25">
      <c r="A1066" s="53" t="inlineStr">
        <is>
          <t>LAB-001065</t>
        </is>
      </c>
      <c r="B1066" s="53" t="inlineStr">
        <is>
          <t>WP-00471</t>
        </is>
      </c>
      <c r="C1066" s="53" t="inlineStr">
        <is>
          <t>TECH-006</t>
        </is>
      </c>
      <c r="D1066" s="53" t="inlineStr">
        <is>
          <t>Powerplant</t>
        </is>
      </c>
      <c r="E1066" s="53" t="inlineStr">
        <is>
          <t>2024-02-03</t>
        </is>
      </c>
      <c r="F1066" s="53">
        <v>3.3</v>
      </c>
      <c r="G1066" s="53">
        <v>0</v>
      </c>
      <c r="H1066" s="51" t="str">
        <f>TEXT(tblLaborEntries[[#This Row],[Work date serial]]-WEEKDAY(tblLaborEntries[[#This Row],[Work date serial]],3),"yyyy-mm-dd")</f>
        <v>2024-01-29</v>
      </c>
      <c r="I1066" s="64">
        <f>DATEVALUE(tblLaborEntries[[#This Row],[Work date]])</f>
        <v>45325.0</v>
      </c>
    </row>
    <row r="1067" spans="1:9" ht="15" x14ac:dyDescent="0.25">
      <c r="A1067" s="53" t="inlineStr">
        <is>
          <t>LAB-001066</t>
        </is>
      </c>
      <c r="B1067" s="53" t="inlineStr">
        <is>
          <t>WP-00471</t>
        </is>
      </c>
      <c r="C1067" s="53" t="inlineStr">
        <is>
          <t>TECH-006</t>
        </is>
      </c>
      <c r="D1067" s="53" t="inlineStr">
        <is>
          <t>Powerplant</t>
        </is>
      </c>
      <c r="E1067" s="53" t="inlineStr">
        <is>
          <t>2024-02-04</t>
        </is>
      </c>
      <c r="F1067" s="53">
        <v>4.9</v>
      </c>
      <c r="G1067" s="53">
        <v>0</v>
      </c>
      <c r="H1067" s="51" t="str">
        <f>TEXT(tblLaborEntries[[#This Row],[Work date serial]]-WEEKDAY(tblLaborEntries[[#This Row],[Work date serial]],3),"yyyy-mm-dd")</f>
        <v>2024-01-29</v>
      </c>
      <c r="I1067" s="64">
        <f>DATEVALUE(tblLaborEntries[[#This Row],[Work date]])</f>
        <v>45326.0</v>
      </c>
    </row>
    <row r="1068" spans="1:9" ht="15" x14ac:dyDescent="0.25">
      <c r="A1068" s="53" t="inlineStr">
        <is>
          <t>LAB-001067</t>
        </is>
      </c>
      <c r="B1068" s="53" t="inlineStr">
        <is>
          <t>WP-00471</t>
        </is>
      </c>
      <c r="C1068" s="53" t="inlineStr">
        <is>
          <t>TECH-012</t>
        </is>
      </c>
      <c r="D1068" s="53" t="inlineStr">
        <is>
          <t>Powerplant</t>
        </is>
      </c>
      <c r="E1068" s="53" t="inlineStr">
        <is>
          <t>2024-02-05</t>
        </is>
      </c>
      <c r="F1068" s="53">
        <v>3.8</v>
      </c>
      <c r="G1068" s="53">
        <v>0</v>
      </c>
      <c r="H1068" s="51" t="str">
        <f>TEXT(tblLaborEntries[[#This Row],[Work date serial]]-WEEKDAY(tblLaborEntries[[#This Row],[Work date serial]],3),"yyyy-mm-dd")</f>
        <v>2024-02-05</v>
      </c>
      <c r="I1068" s="64">
        <f>DATEVALUE(tblLaborEntries[[#This Row],[Work date]])</f>
        <v>45327.0</v>
      </c>
    </row>
    <row r="1069" spans="1:9" ht="15" x14ac:dyDescent="0.25">
      <c r="A1069" s="53" t="inlineStr">
        <is>
          <t>LAB-001068</t>
        </is>
      </c>
      <c r="B1069" s="53" t="inlineStr">
        <is>
          <t>WP-00472</t>
        </is>
      </c>
      <c r="C1069" s="53" t="inlineStr">
        <is>
          <t>TECH-067</t>
        </is>
      </c>
      <c r="D1069" s="53" t="inlineStr">
        <is>
          <t>Airframe</t>
        </is>
      </c>
      <c r="E1069" s="53" t="inlineStr">
        <is>
          <t>2025-12-10</t>
        </is>
      </c>
      <c r="F1069" s="53">
        <v>8</v>
      </c>
      <c r="G1069" s="53">
        <v>0</v>
      </c>
      <c r="H1069" s="51" t="str">
        <f>TEXT(tblLaborEntries[[#This Row],[Work date serial]]-WEEKDAY(tblLaborEntries[[#This Row],[Work date serial]],3),"yyyy-mm-dd")</f>
        <v>2025-12-08</v>
      </c>
      <c r="I1069" s="64">
        <f>DATEVALUE(tblLaborEntries[[#This Row],[Work date]])</f>
        <v>46001.0</v>
      </c>
    </row>
    <row r="1070" spans="1:9" ht="15" x14ac:dyDescent="0.25">
      <c r="A1070" s="53" t="inlineStr">
        <is>
          <t>LAB-001069</t>
        </is>
      </c>
      <c r="B1070" s="53" t="inlineStr">
        <is>
          <t>WP-00473</t>
        </is>
      </c>
      <c r="C1070" s="53" t="inlineStr">
        <is>
          <t>TECH-055</t>
        </is>
      </c>
      <c r="D1070" s="53" t="inlineStr">
        <is>
          <t>Airframe</t>
        </is>
      </c>
      <c r="E1070" s="53" t="inlineStr">
        <is>
          <t>2025-10-09</t>
        </is>
      </c>
      <c r="F1070" s="53">
        <v>3</v>
      </c>
      <c r="G1070" s="53">
        <v>0</v>
      </c>
      <c r="H1070" s="51" t="str">
        <f>TEXT(tblLaborEntries[[#This Row],[Work date serial]]-WEEKDAY(tblLaborEntries[[#This Row],[Work date serial]],3),"yyyy-mm-dd")</f>
        <v>2025-10-06</v>
      </c>
      <c r="I1070" s="64">
        <f>DATEVALUE(tblLaborEntries[[#This Row],[Work date]])</f>
        <v>45939.0</v>
      </c>
    </row>
    <row r="1071" spans="1:9" ht="15" x14ac:dyDescent="0.25">
      <c r="A1071" s="53" t="inlineStr">
        <is>
          <t>LAB-001070</t>
        </is>
      </c>
      <c r="B1071" s="53" t="inlineStr">
        <is>
          <t>WP-00473</t>
        </is>
      </c>
      <c r="C1071" s="53" t="inlineStr">
        <is>
          <t>TECH-067</t>
        </is>
      </c>
      <c r="D1071" s="53" t="inlineStr">
        <is>
          <t>Airframe</t>
        </is>
      </c>
      <c r="E1071" s="53" t="inlineStr">
        <is>
          <t>2025-10-10</t>
        </is>
      </c>
      <c r="F1071" s="53">
        <v>2.6</v>
      </c>
      <c r="G1071" s="53">
        <v>0</v>
      </c>
      <c r="H1071" s="51" t="str">
        <f>TEXT(tblLaborEntries[[#This Row],[Work date serial]]-WEEKDAY(tblLaborEntries[[#This Row],[Work date serial]],3),"yyyy-mm-dd")</f>
        <v>2025-10-06</v>
      </c>
      <c r="I1071" s="64">
        <f>DATEVALUE(tblLaborEntries[[#This Row],[Work date]])</f>
        <v>45940.0</v>
      </c>
    </row>
    <row r="1072" spans="1:9" ht="15" x14ac:dyDescent="0.25">
      <c r="A1072" s="53" t="inlineStr">
        <is>
          <t>LAB-001071</t>
        </is>
      </c>
      <c r="B1072" s="53" t="inlineStr">
        <is>
          <t>WP-00473</t>
        </is>
      </c>
      <c r="C1072" s="53" t="inlineStr">
        <is>
          <t>TECH-055</t>
        </is>
      </c>
      <c r="D1072" s="53" t="inlineStr">
        <is>
          <t>Airframe</t>
        </is>
      </c>
      <c r="E1072" s="53" t="inlineStr">
        <is>
          <t>2025-10-11</t>
        </is>
      </c>
      <c r="F1072" s="53">
        <v>2.5</v>
      </c>
      <c r="G1072" s="53">
        <v>0</v>
      </c>
      <c r="H1072" s="51" t="str">
        <f>TEXT(tblLaborEntries[[#This Row],[Work date serial]]-WEEKDAY(tblLaborEntries[[#This Row],[Work date serial]],3),"yyyy-mm-dd")</f>
        <v>2025-10-06</v>
      </c>
      <c r="I1072" s="64">
        <f>DATEVALUE(tblLaborEntries[[#This Row],[Work date]])</f>
        <v>45941.0</v>
      </c>
    </row>
    <row r="1073" spans="1:9" ht="15" x14ac:dyDescent="0.25">
      <c r="A1073" s="53" t="inlineStr">
        <is>
          <t>LAB-001072</t>
        </is>
      </c>
      <c r="B1073" s="53" t="inlineStr">
        <is>
          <t>WP-00474</t>
        </is>
      </c>
      <c r="C1073" s="53" t="inlineStr">
        <is>
          <t>TECH-002</t>
        </is>
      </c>
      <c r="D1073" s="53" t="inlineStr">
        <is>
          <t>Avionics</t>
        </is>
      </c>
      <c r="E1073" s="53" t="inlineStr">
        <is>
          <t>2025-07-23</t>
        </is>
      </c>
      <c r="F1073" s="53">
        <v>1.3</v>
      </c>
      <c r="G1073" s="53">
        <v>0</v>
      </c>
      <c r="H1073" s="51" t="str">
        <f>TEXT(tblLaborEntries[[#This Row],[Work date serial]]-WEEKDAY(tblLaborEntries[[#This Row],[Work date serial]],3),"yyyy-mm-dd")</f>
        <v>2025-07-21</v>
      </c>
      <c r="I1073" s="64">
        <f>DATEVALUE(tblLaborEntries[[#This Row],[Work date]])</f>
        <v>45861.0</v>
      </c>
    </row>
    <row r="1074" spans="1:9" ht="15" x14ac:dyDescent="0.25">
      <c r="A1074" s="53" t="inlineStr">
        <is>
          <t>LAB-001073</t>
        </is>
      </c>
      <c r="B1074" s="53" t="inlineStr">
        <is>
          <t>WP-00474</t>
        </is>
      </c>
      <c r="C1074" s="53" t="inlineStr">
        <is>
          <t>TECH-062</t>
        </is>
      </c>
      <c r="D1074" s="53" t="inlineStr">
        <is>
          <t>Avionics</t>
        </is>
      </c>
      <c r="E1074" s="53" t="inlineStr">
        <is>
          <t>2025-07-24</t>
        </is>
      </c>
      <c r="F1074" s="53">
        <v>2</v>
      </c>
      <c r="G1074" s="53">
        <v>0</v>
      </c>
      <c r="H1074" s="51" t="str">
        <f>TEXT(tblLaborEntries[[#This Row],[Work date serial]]-WEEKDAY(tblLaborEntries[[#This Row],[Work date serial]],3),"yyyy-mm-dd")</f>
        <v>2025-07-21</v>
      </c>
      <c r="I1074" s="64">
        <f>DATEVALUE(tblLaborEntries[[#This Row],[Work date]])</f>
        <v>45862.0</v>
      </c>
    </row>
    <row r="1075" spans="1:9" ht="15" x14ac:dyDescent="0.25">
      <c r="A1075" s="53" t="inlineStr">
        <is>
          <t>LAB-001074</t>
        </is>
      </c>
      <c r="B1075" s="53" t="inlineStr">
        <is>
          <t>WP-00475</t>
        </is>
      </c>
      <c r="C1075" s="53" t="inlineStr">
        <is>
          <t>TECH-033</t>
        </is>
      </c>
      <c r="D1075" s="53" t="inlineStr">
        <is>
          <t>Hydraulics</t>
        </is>
      </c>
      <c r="E1075" s="53" t="inlineStr">
        <is>
          <t>2025-11-11</t>
        </is>
      </c>
      <c r="F1075" s="53">
        <v>6.5</v>
      </c>
      <c r="G1075" s="53">
        <v>0</v>
      </c>
      <c r="H1075" s="51" t="str">
        <f>TEXT(tblLaborEntries[[#This Row],[Work date serial]]-WEEKDAY(tblLaborEntries[[#This Row],[Work date serial]],3),"yyyy-mm-dd")</f>
        <v>2025-11-10</v>
      </c>
      <c r="I1075" s="64">
        <f>DATEVALUE(tblLaborEntries[[#This Row],[Work date]])</f>
        <v>45972.0</v>
      </c>
    </row>
    <row r="1076" spans="1:9" ht="15" x14ac:dyDescent="0.25">
      <c r="A1076" s="53" t="inlineStr">
        <is>
          <t>LAB-001075</t>
        </is>
      </c>
      <c r="B1076" s="53" t="inlineStr">
        <is>
          <t>WP-00475</t>
        </is>
      </c>
      <c r="C1076" s="53" t="inlineStr">
        <is>
          <t>TECH-027</t>
        </is>
      </c>
      <c r="D1076" s="53" t="inlineStr">
        <is>
          <t>Hydraulics</t>
        </is>
      </c>
      <c r="E1076" s="53" t="inlineStr">
        <is>
          <t>2025-11-12</t>
        </is>
      </c>
      <c r="F1076" s="53">
        <v>7</v>
      </c>
      <c r="G1076" s="53">
        <v>0</v>
      </c>
      <c r="H1076" s="51" t="str">
        <f>TEXT(tblLaborEntries[[#This Row],[Work date serial]]-WEEKDAY(tblLaborEntries[[#This Row],[Work date serial]],3),"yyyy-mm-dd")</f>
        <v>2025-11-10</v>
      </c>
      <c r="I1076" s="64">
        <f>DATEVALUE(tblLaborEntries[[#This Row],[Work date]])</f>
        <v>45973.0</v>
      </c>
    </row>
    <row r="1077" spans="1:9" ht="15" x14ac:dyDescent="0.25">
      <c r="A1077" s="53" t="inlineStr">
        <is>
          <t>LAB-001076</t>
        </is>
      </c>
      <c r="B1077" s="53" t="inlineStr">
        <is>
          <t>WP-00475</t>
        </is>
      </c>
      <c r="C1077" s="53" t="inlineStr">
        <is>
          <t>TECH-003</t>
        </is>
      </c>
      <c r="D1077" s="53" t="inlineStr">
        <is>
          <t>Hydraulics</t>
        </is>
      </c>
      <c r="E1077" s="53" t="inlineStr">
        <is>
          <t>2025-11-13</t>
        </is>
      </c>
      <c r="F1077" s="53">
        <v>5.5</v>
      </c>
      <c r="G1077" s="53">
        <v>0</v>
      </c>
      <c r="H1077" s="51" t="str">
        <f>TEXT(tblLaborEntries[[#This Row],[Work date serial]]-WEEKDAY(tblLaborEntries[[#This Row],[Work date serial]],3),"yyyy-mm-dd")</f>
        <v>2025-11-10</v>
      </c>
      <c r="I1077" s="64">
        <f>DATEVALUE(tblLaborEntries[[#This Row],[Work date]])</f>
        <v>45974.0</v>
      </c>
    </row>
    <row r="1078" spans="1:9" ht="15" x14ac:dyDescent="0.25">
      <c r="A1078" s="53" t="inlineStr">
        <is>
          <t>LAB-001077</t>
        </is>
      </c>
      <c r="B1078" s="53" t="inlineStr">
        <is>
          <t>WP-00476</t>
        </is>
      </c>
      <c r="C1078" s="53" t="inlineStr">
        <is>
          <t>TECH-055</t>
        </is>
      </c>
      <c r="D1078" s="53" t="inlineStr">
        <is>
          <t>Airframe</t>
        </is>
      </c>
      <c r="E1078" s="53" t="inlineStr">
        <is>
          <t>2025-02-08</t>
        </is>
      </c>
      <c r="F1078" s="53">
        <v>5</v>
      </c>
      <c r="G1078" s="53">
        <v>0</v>
      </c>
      <c r="H1078" s="51" t="str">
        <f>TEXT(tblLaborEntries[[#This Row],[Work date serial]]-WEEKDAY(tblLaborEntries[[#This Row],[Work date serial]],3),"yyyy-mm-dd")</f>
        <v>2025-02-03</v>
      </c>
      <c r="I1078" s="64">
        <f>DATEVALUE(tblLaborEntries[[#This Row],[Work date]])</f>
        <v>45696.0</v>
      </c>
    </row>
    <row r="1079" spans="1:9" ht="15" x14ac:dyDescent="0.25">
      <c r="A1079" s="53" t="inlineStr">
        <is>
          <t>LAB-001078</t>
        </is>
      </c>
      <c r="B1079" s="53" t="inlineStr">
        <is>
          <t>WP-00476</t>
        </is>
      </c>
      <c r="C1079" s="53" t="inlineStr">
        <is>
          <t>TECH-013</t>
        </is>
      </c>
      <c r="D1079" s="53" t="inlineStr">
        <is>
          <t>Airframe</t>
        </is>
      </c>
      <c r="E1079" s="53" t="inlineStr">
        <is>
          <t>2025-02-09</t>
        </is>
      </c>
      <c r="F1079" s="53">
        <v>4.7</v>
      </c>
      <c r="G1079" s="53">
        <v>0</v>
      </c>
      <c r="H1079" s="51" t="str">
        <f>TEXT(tblLaborEntries[[#This Row],[Work date serial]]-WEEKDAY(tblLaborEntries[[#This Row],[Work date serial]],3),"yyyy-mm-dd")</f>
        <v>2025-02-03</v>
      </c>
      <c r="I1079" s="64">
        <f>DATEVALUE(tblLaborEntries[[#This Row],[Work date]])</f>
        <v>45697.0</v>
      </c>
    </row>
    <row r="1080" spans="1:9" ht="15" x14ac:dyDescent="0.25">
      <c r="A1080" s="53" t="inlineStr">
        <is>
          <t>LAB-001079</t>
        </is>
      </c>
      <c r="B1080" s="53" t="inlineStr">
        <is>
          <t>WP-00476</t>
        </is>
      </c>
      <c r="C1080" s="53" t="inlineStr">
        <is>
          <t>TECH-001</t>
        </is>
      </c>
      <c r="D1080" s="53" t="inlineStr">
        <is>
          <t>Airframe</t>
        </is>
      </c>
      <c r="E1080" s="53" t="inlineStr">
        <is>
          <t>2025-02-10</t>
        </is>
      </c>
      <c r="F1080" s="53">
        <v>5.2</v>
      </c>
      <c r="G1080" s="53">
        <v>0</v>
      </c>
      <c r="H1080" s="51" t="str">
        <f>TEXT(tblLaborEntries[[#This Row],[Work date serial]]-WEEKDAY(tblLaborEntries[[#This Row],[Work date serial]],3),"yyyy-mm-dd")</f>
        <v>2025-02-10</v>
      </c>
      <c r="I1080" s="64">
        <f>DATEVALUE(tblLaborEntries[[#This Row],[Work date]])</f>
        <v>45698.0</v>
      </c>
    </row>
    <row r="1081" spans="1:9" ht="15" x14ac:dyDescent="0.25">
      <c r="A1081" s="53" t="inlineStr">
        <is>
          <t>LAB-001080</t>
        </is>
      </c>
      <c r="B1081" s="53" t="inlineStr">
        <is>
          <t>WP-00477</t>
        </is>
      </c>
      <c r="C1081" s="53" t="inlineStr">
        <is>
          <t>TECH-012</t>
        </is>
      </c>
      <c r="D1081" s="53" t="inlineStr">
        <is>
          <t>Powerplant</t>
        </is>
      </c>
      <c r="E1081" s="53" t="inlineStr">
        <is>
          <t>2025-10-14</t>
        </is>
      </c>
      <c r="F1081" s="53">
        <v>4.8</v>
      </c>
      <c r="G1081" s="53">
        <v>0</v>
      </c>
      <c r="H1081" s="51" t="str">
        <f>TEXT(tblLaborEntries[[#This Row],[Work date serial]]-WEEKDAY(tblLaborEntries[[#This Row],[Work date serial]],3),"yyyy-mm-dd")</f>
        <v>2025-10-13</v>
      </c>
      <c r="I1081" s="64">
        <f>DATEVALUE(tblLaborEntries[[#This Row],[Work date]])</f>
        <v>45944.0</v>
      </c>
    </row>
    <row r="1082" spans="1:9" ht="15" x14ac:dyDescent="0.25">
      <c r="A1082" s="53" t="inlineStr">
        <is>
          <t>LAB-001081</t>
        </is>
      </c>
      <c r="B1082" s="53" t="inlineStr">
        <is>
          <t>WP-00477</t>
        </is>
      </c>
      <c r="C1082" s="53" t="inlineStr">
        <is>
          <t>TECH-006</t>
        </is>
      </c>
      <c r="D1082" s="53" t="inlineStr">
        <is>
          <t>Powerplant</t>
        </is>
      </c>
      <c r="E1082" s="53" t="inlineStr">
        <is>
          <t>2025-10-15</t>
        </is>
      </c>
      <c r="F1082" s="53">
        <v>4.4</v>
      </c>
      <c r="G1082" s="53">
        <v>0</v>
      </c>
      <c r="H1082" s="51" t="str">
        <f>TEXT(tblLaborEntries[[#This Row],[Work date serial]]-WEEKDAY(tblLaborEntries[[#This Row],[Work date serial]],3),"yyyy-mm-dd")</f>
        <v>2025-10-13</v>
      </c>
      <c r="I1082" s="64">
        <f>DATEVALUE(tblLaborEntries[[#This Row],[Work date]])</f>
        <v>45945.0</v>
      </c>
    </row>
    <row r="1083" spans="1:9" ht="15" x14ac:dyDescent="0.25">
      <c r="A1083" s="53" t="inlineStr">
        <is>
          <t>LAB-001082</t>
        </is>
      </c>
      <c r="B1083" s="53" t="inlineStr">
        <is>
          <t>WP-00477</t>
        </is>
      </c>
      <c r="C1083" s="53" t="inlineStr">
        <is>
          <t>TECH-030</t>
        </is>
      </c>
      <c r="D1083" s="53" t="inlineStr">
        <is>
          <t>Powerplant</t>
        </is>
      </c>
      <c r="E1083" s="53" t="inlineStr">
        <is>
          <t>2025-10-16</t>
        </is>
      </c>
      <c r="F1083" s="53">
        <v>3.8</v>
      </c>
      <c r="G1083" s="53">
        <v>0</v>
      </c>
      <c r="H1083" s="51" t="str">
        <f>TEXT(tblLaborEntries[[#This Row],[Work date serial]]-WEEKDAY(tblLaborEntries[[#This Row],[Work date serial]],3),"yyyy-mm-dd")</f>
        <v>2025-10-13</v>
      </c>
      <c r="I1083" s="64">
        <f>DATEVALUE(tblLaborEntries[[#This Row],[Work date]])</f>
        <v>45946.0</v>
      </c>
    </row>
    <row r="1084" spans="1:9" ht="15" x14ac:dyDescent="0.25">
      <c r="A1084" s="53" t="inlineStr">
        <is>
          <t>LAB-001083</t>
        </is>
      </c>
      <c r="B1084" s="53" t="inlineStr">
        <is>
          <t>WP-00478</t>
        </is>
      </c>
      <c r="C1084" s="53" t="inlineStr">
        <is>
          <t>TECH-026</t>
        </is>
      </c>
      <c r="D1084" s="53" t="inlineStr">
        <is>
          <t>Avionics</t>
        </is>
      </c>
      <c r="E1084" s="53" t="inlineStr">
        <is>
          <t>2025-11-21</t>
        </is>
      </c>
      <c r="F1084" s="53">
        <v>3.1</v>
      </c>
      <c r="G1084" s="53">
        <v>0</v>
      </c>
      <c r="H1084" s="51" t="str">
        <f>TEXT(tblLaborEntries[[#This Row],[Work date serial]]-WEEKDAY(tblLaborEntries[[#This Row],[Work date serial]],3),"yyyy-mm-dd")</f>
        <v>2025-11-17</v>
      </c>
      <c r="I1084" s="64">
        <f>DATEVALUE(tblLaborEntries[[#This Row],[Work date]])</f>
        <v>45982.0</v>
      </c>
    </row>
    <row r="1085" spans="1:9" ht="15" x14ac:dyDescent="0.25">
      <c r="A1085" s="53" t="inlineStr">
        <is>
          <t>LAB-001084</t>
        </is>
      </c>
      <c r="B1085" s="53" t="inlineStr">
        <is>
          <t>WP-00478</t>
        </is>
      </c>
      <c r="C1085" s="53" t="inlineStr">
        <is>
          <t>TECH-032</t>
        </is>
      </c>
      <c r="D1085" s="53" t="inlineStr">
        <is>
          <t>Avionics</t>
        </is>
      </c>
      <c r="E1085" s="53" t="inlineStr">
        <is>
          <t>2025-11-22</t>
        </is>
      </c>
      <c r="F1085" s="53">
        <v>3.3</v>
      </c>
      <c r="G1085" s="53">
        <v>0</v>
      </c>
      <c r="H1085" s="51" t="str">
        <f>TEXT(tblLaborEntries[[#This Row],[Work date serial]]-WEEKDAY(tblLaborEntries[[#This Row],[Work date serial]],3),"yyyy-mm-dd")</f>
        <v>2025-11-17</v>
      </c>
      <c r="I1085" s="64">
        <f>DATEVALUE(tblLaborEntries[[#This Row],[Work date]])</f>
        <v>45983.0</v>
      </c>
    </row>
    <row r="1086" spans="1:9" ht="15" x14ac:dyDescent="0.25">
      <c r="A1086" s="53" t="inlineStr">
        <is>
          <t>LAB-001085</t>
        </is>
      </c>
      <c r="B1086" s="53" t="inlineStr">
        <is>
          <t>WP-00479</t>
        </is>
      </c>
      <c r="C1086" s="53" t="inlineStr">
        <is>
          <t>TECH-019</t>
        </is>
      </c>
      <c r="D1086" s="53" t="inlineStr">
        <is>
          <t>Airframe</t>
        </is>
      </c>
      <c r="E1086" s="53" t="inlineStr">
        <is>
          <t>2025-04-22</t>
        </is>
      </c>
      <c r="F1086" s="53">
        <v>6.9</v>
      </c>
      <c r="G1086" s="53">
        <v>0</v>
      </c>
      <c r="H1086" s="51" t="str">
        <f>TEXT(tblLaborEntries[[#This Row],[Work date serial]]-WEEKDAY(tblLaborEntries[[#This Row],[Work date serial]],3),"yyyy-mm-dd")</f>
        <v>2025-04-21</v>
      </c>
      <c r="I1086" s="64">
        <f>DATEVALUE(tblLaborEntries[[#This Row],[Work date]])</f>
        <v>45769.0</v>
      </c>
    </row>
    <row r="1087" spans="1:9" ht="15" x14ac:dyDescent="0.25">
      <c r="A1087" s="53" t="inlineStr">
        <is>
          <t>LAB-001086</t>
        </is>
      </c>
      <c r="B1087" s="53" t="inlineStr">
        <is>
          <t>WP-00479</t>
        </is>
      </c>
      <c r="C1087" s="53" t="inlineStr">
        <is>
          <t>TECH-013</t>
        </is>
      </c>
      <c r="D1087" s="53" t="inlineStr">
        <is>
          <t>Airframe</t>
        </is>
      </c>
      <c r="E1087" s="53" t="inlineStr">
        <is>
          <t>2025-04-23</t>
        </is>
      </c>
      <c r="F1087" s="53">
        <v>4.8</v>
      </c>
      <c r="G1087" s="53">
        <v>0</v>
      </c>
      <c r="H1087" s="51" t="str">
        <f>TEXT(tblLaborEntries[[#This Row],[Work date serial]]-WEEKDAY(tblLaborEntries[[#This Row],[Work date serial]],3),"yyyy-mm-dd")</f>
        <v>2025-04-21</v>
      </c>
      <c r="I1087" s="64">
        <f>DATEVALUE(tblLaborEntries[[#This Row],[Work date]])</f>
        <v>45770.0</v>
      </c>
    </row>
    <row r="1088" spans="1:9" ht="15" x14ac:dyDescent="0.25">
      <c r="A1088" s="53" t="inlineStr">
        <is>
          <t>LAB-001087</t>
        </is>
      </c>
      <c r="B1088" s="53" t="inlineStr">
        <is>
          <t>WP-00479</t>
        </is>
      </c>
      <c r="C1088" s="53" t="inlineStr">
        <is>
          <t>TECH-001</t>
        </is>
      </c>
      <c r="D1088" s="53" t="inlineStr">
        <is>
          <t>Airframe</t>
        </is>
      </c>
      <c r="E1088" s="53" t="inlineStr">
        <is>
          <t>2025-04-24</t>
        </is>
      </c>
      <c r="F1088" s="53">
        <v>2.4</v>
      </c>
      <c r="G1088" s="53">
        <v>0</v>
      </c>
      <c r="H1088" s="51" t="str">
        <f>TEXT(tblLaborEntries[[#This Row],[Work date serial]]-WEEKDAY(tblLaborEntries[[#This Row],[Work date serial]],3),"yyyy-mm-dd")</f>
        <v>2025-04-21</v>
      </c>
      <c r="I1088" s="64">
        <f>DATEVALUE(tblLaborEntries[[#This Row],[Work date]])</f>
        <v>45771.0</v>
      </c>
    </row>
    <row r="1089" spans="1:9" ht="15" x14ac:dyDescent="0.25">
      <c r="A1089" s="53" t="inlineStr">
        <is>
          <t>LAB-001088</t>
        </is>
      </c>
      <c r="B1089" s="53" t="inlineStr">
        <is>
          <t>WP-00479</t>
        </is>
      </c>
      <c r="C1089" s="53" t="inlineStr">
        <is>
          <t>TECH-007</t>
        </is>
      </c>
      <c r="D1089" s="53" t="inlineStr">
        <is>
          <t>Airframe</t>
        </is>
      </c>
      <c r="E1089" s="53" t="inlineStr">
        <is>
          <t>2025-04-24</t>
        </is>
      </c>
      <c r="F1089" s="53">
        <v>5.1</v>
      </c>
      <c r="G1089" s="53">
        <v>0</v>
      </c>
      <c r="H1089" s="51" t="str">
        <f>TEXT(tblLaborEntries[[#This Row],[Work date serial]]-WEEKDAY(tblLaborEntries[[#This Row],[Work date serial]],3),"yyyy-mm-dd")</f>
        <v>2025-04-21</v>
      </c>
      <c r="I1089" s="64">
        <f>DATEVALUE(tblLaborEntries[[#This Row],[Work date]])</f>
        <v>45771.0</v>
      </c>
    </row>
    <row r="1090" spans="1:9" ht="15" x14ac:dyDescent="0.25">
      <c r="A1090" s="53" t="inlineStr">
        <is>
          <t>LAB-001089</t>
        </is>
      </c>
      <c r="B1090" s="53" t="inlineStr">
        <is>
          <t>WP-00480</t>
        </is>
      </c>
      <c r="C1090" s="53" t="inlineStr">
        <is>
          <t>TECH-019</t>
        </is>
      </c>
      <c r="D1090" s="53" t="inlineStr">
        <is>
          <t>Airframe</t>
        </is>
      </c>
      <c r="E1090" s="53" t="inlineStr">
        <is>
          <t>2025-06-14</t>
        </is>
      </c>
      <c r="F1090" s="53">
        <v>2.4</v>
      </c>
      <c r="G1090" s="53">
        <v>0</v>
      </c>
      <c r="H1090" s="51" t="str">
        <f>TEXT(tblLaborEntries[[#This Row],[Work date serial]]-WEEKDAY(tblLaborEntries[[#This Row],[Work date serial]],3),"yyyy-mm-dd")</f>
        <v>2025-06-09</v>
      </c>
      <c r="I1090" s="64">
        <f>DATEVALUE(tblLaborEntries[[#This Row],[Work date]])</f>
        <v>45822.0</v>
      </c>
    </row>
    <row r="1091" spans="1:9" ht="15" x14ac:dyDescent="0.25">
      <c r="A1091" s="53" t="inlineStr">
        <is>
          <t>LAB-001090</t>
        </is>
      </c>
      <c r="B1091" s="53" t="inlineStr">
        <is>
          <t>WP-00480</t>
        </is>
      </c>
      <c r="C1091" s="53" t="inlineStr">
        <is>
          <t>TECH-037</t>
        </is>
      </c>
      <c r="D1091" s="53" t="inlineStr">
        <is>
          <t>Airframe</t>
        </is>
      </c>
      <c r="E1091" s="53" t="inlineStr">
        <is>
          <t>2025-06-15</t>
        </is>
      </c>
      <c r="F1091" s="53">
        <v>2.8</v>
      </c>
      <c r="G1091" s="53">
        <v>0</v>
      </c>
      <c r="H1091" s="51" t="str">
        <f>TEXT(tblLaborEntries[[#This Row],[Work date serial]]-WEEKDAY(tblLaborEntries[[#This Row],[Work date serial]],3),"yyyy-mm-dd")</f>
        <v>2025-06-09</v>
      </c>
      <c r="I1091" s="64">
        <f>DATEVALUE(tblLaborEntries[[#This Row],[Work date]])</f>
        <v>45823.0</v>
      </c>
    </row>
    <row r="1092" spans="1:9" ht="15" x14ac:dyDescent="0.25">
      <c r="A1092" s="53" t="inlineStr">
        <is>
          <t>LAB-001091</t>
        </is>
      </c>
      <c r="B1092" s="53" t="inlineStr">
        <is>
          <t>WP-00481</t>
        </is>
      </c>
      <c r="C1092" s="53" t="inlineStr">
        <is>
          <t>TECH-008</t>
        </is>
      </c>
      <c r="D1092" s="53" t="inlineStr">
        <is>
          <t>Avionics</t>
        </is>
      </c>
      <c r="E1092" s="53" t="inlineStr">
        <is>
          <t>2025-04-14</t>
        </is>
      </c>
      <c r="F1092" s="53">
        <v>7.3</v>
      </c>
      <c r="G1092" s="53">
        <v>0</v>
      </c>
      <c r="H1092" s="51" t="str">
        <f>TEXT(tblLaborEntries[[#This Row],[Work date serial]]-WEEKDAY(tblLaborEntries[[#This Row],[Work date serial]],3),"yyyy-mm-dd")</f>
        <v>2025-04-14</v>
      </c>
      <c r="I1092" s="64">
        <f>DATEVALUE(tblLaborEntries[[#This Row],[Work date]])</f>
        <v>45761.0</v>
      </c>
    </row>
    <row r="1093" spans="1:9" ht="15" x14ac:dyDescent="0.25">
      <c r="A1093" s="53" t="inlineStr">
        <is>
          <t>LAB-001092</t>
        </is>
      </c>
      <c r="B1093" s="53" t="inlineStr">
        <is>
          <t>WP-00482</t>
        </is>
      </c>
      <c r="C1093" s="53" t="inlineStr">
        <is>
          <t>TECH-009</t>
        </is>
      </c>
      <c r="D1093" s="53" t="inlineStr">
        <is>
          <t>Hydraulics</t>
        </is>
      </c>
      <c r="E1093" s="53" t="inlineStr">
        <is>
          <t>2025-04-01</t>
        </is>
      </c>
      <c r="F1093" s="53">
        <v>1.4</v>
      </c>
      <c r="G1093" s="53">
        <v>0</v>
      </c>
      <c r="H1093" s="51" t="str">
        <f>TEXT(tblLaborEntries[[#This Row],[Work date serial]]-WEEKDAY(tblLaborEntries[[#This Row],[Work date serial]],3),"yyyy-mm-dd")</f>
        <v>2025-03-31</v>
      </c>
      <c r="I1093" s="64">
        <f>DATEVALUE(tblLaborEntries[[#This Row],[Work date]])</f>
        <v>45748.0</v>
      </c>
    </row>
    <row r="1094" spans="1:9" ht="15" x14ac:dyDescent="0.25">
      <c r="A1094" s="53" t="inlineStr">
        <is>
          <t>LAB-001093</t>
        </is>
      </c>
      <c r="B1094" s="53" t="inlineStr">
        <is>
          <t>WP-00482</t>
        </is>
      </c>
      <c r="C1094" s="53" t="inlineStr">
        <is>
          <t>TECH-045</t>
        </is>
      </c>
      <c r="D1094" s="53" t="inlineStr">
        <is>
          <t>Hydraulics</t>
        </is>
      </c>
      <c r="E1094" s="53" t="inlineStr">
        <is>
          <t>2025-04-01</t>
        </is>
      </c>
      <c r="F1094" s="53">
        <v>12</v>
      </c>
      <c r="G1094" s="53">
        <v>4</v>
      </c>
      <c r="H1094" s="51" t="str">
        <f>TEXT(tblLaborEntries[[#This Row],[Work date serial]]-WEEKDAY(tblLaborEntries[[#This Row],[Work date serial]],3),"yyyy-mm-dd")</f>
        <v>2025-03-31</v>
      </c>
      <c r="I1094" s="64">
        <f>DATEVALUE(tblLaborEntries[[#This Row],[Work date]])</f>
        <v>45748.0</v>
      </c>
    </row>
    <row r="1095" spans="1:9" ht="15" x14ac:dyDescent="0.25">
      <c r="A1095" s="53" t="inlineStr">
        <is>
          <t>LAB-001094</t>
        </is>
      </c>
      <c r="B1095" s="53" t="inlineStr">
        <is>
          <t>WP-00482</t>
        </is>
      </c>
      <c r="C1095" s="53" t="inlineStr">
        <is>
          <t>TECH-069</t>
        </is>
      </c>
      <c r="D1095" s="53" t="inlineStr">
        <is>
          <t>Hydraulics</t>
        </is>
      </c>
      <c r="E1095" s="53" t="inlineStr">
        <is>
          <t>2025-04-02</t>
        </is>
      </c>
      <c r="F1095" s="53">
        <v>11.5</v>
      </c>
      <c r="G1095" s="53">
        <v>3.5</v>
      </c>
      <c r="H1095" s="51" t="str">
        <f>TEXT(tblLaborEntries[[#This Row],[Work date serial]]-WEEKDAY(tblLaborEntries[[#This Row],[Work date serial]],3),"yyyy-mm-dd")</f>
        <v>2025-03-31</v>
      </c>
      <c r="I1095" s="64">
        <f>DATEVALUE(tblLaborEntries[[#This Row],[Work date]])</f>
        <v>45749.0</v>
      </c>
    </row>
    <row r="1096" spans="1:9" ht="15" x14ac:dyDescent="0.25">
      <c r="A1096" s="53" t="inlineStr">
        <is>
          <t>LAB-001095</t>
        </is>
      </c>
      <c r="B1096" s="53" t="inlineStr">
        <is>
          <t>WP-00483</t>
        </is>
      </c>
      <c r="C1096" s="53" t="inlineStr">
        <is>
          <t>TECH-066</t>
        </is>
      </c>
      <c r="D1096" s="53" t="inlineStr">
        <is>
          <t>Powerplant</t>
        </is>
      </c>
      <c r="E1096" s="53" t="inlineStr">
        <is>
          <t>2024-04-02</t>
        </is>
      </c>
      <c r="F1096" s="53">
        <v>10.1</v>
      </c>
      <c r="G1096" s="53">
        <v>2.1</v>
      </c>
      <c r="H1096" s="51" t="str">
        <f>TEXT(tblLaborEntries[[#This Row],[Work date serial]]-WEEKDAY(tblLaborEntries[[#This Row],[Work date serial]],3),"yyyy-mm-dd")</f>
        <v>2024-04-01</v>
      </c>
      <c r="I1096" s="64">
        <f>DATEVALUE(tblLaborEntries[[#This Row],[Work date]])</f>
        <v>45384.0</v>
      </c>
    </row>
    <row r="1097" spans="1:9" ht="15" x14ac:dyDescent="0.25">
      <c r="A1097" s="53" t="inlineStr">
        <is>
          <t>LAB-001096</t>
        </is>
      </c>
      <c r="B1097" s="53" t="inlineStr">
        <is>
          <t>WP-00484</t>
        </is>
      </c>
      <c r="C1097" s="53" t="inlineStr">
        <is>
          <t>TECH-011</t>
        </is>
      </c>
      <c r="D1097" s="53" t="inlineStr">
        <is>
          <t>Structures</t>
        </is>
      </c>
      <c r="E1097" s="53" t="inlineStr">
        <is>
          <t>2025-11-20</t>
        </is>
      </c>
      <c r="F1097" s="53">
        <v>7.2</v>
      </c>
      <c r="G1097" s="53">
        <v>0</v>
      </c>
      <c r="H1097" s="51" t="str">
        <f>TEXT(tblLaborEntries[[#This Row],[Work date serial]]-WEEKDAY(tblLaborEntries[[#This Row],[Work date serial]],3),"yyyy-mm-dd")</f>
        <v>2025-11-17</v>
      </c>
      <c r="I1097" s="64">
        <f>DATEVALUE(tblLaborEntries[[#This Row],[Work date]])</f>
        <v>45981.0</v>
      </c>
    </row>
    <row r="1098" spans="1:9" ht="15" x14ac:dyDescent="0.25">
      <c r="A1098" s="53" t="inlineStr">
        <is>
          <t>LAB-001097</t>
        </is>
      </c>
      <c r="B1098" s="53" t="inlineStr">
        <is>
          <t>WP-00484</t>
        </is>
      </c>
      <c r="C1098" s="53" t="inlineStr">
        <is>
          <t>TECH-023</t>
        </is>
      </c>
      <c r="D1098" s="53" t="inlineStr">
        <is>
          <t>Structures</t>
        </is>
      </c>
      <c r="E1098" s="53" t="inlineStr">
        <is>
          <t>2025-11-21</t>
        </is>
      </c>
      <c r="F1098" s="53">
        <v>7.5</v>
      </c>
      <c r="G1098" s="53">
        <v>0</v>
      </c>
      <c r="H1098" s="51" t="str">
        <f>TEXT(tblLaborEntries[[#This Row],[Work date serial]]-WEEKDAY(tblLaborEntries[[#This Row],[Work date serial]],3),"yyyy-mm-dd")</f>
        <v>2025-11-17</v>
      </c>
      <c r="I1098" s="64">
        <f>DATEVALUE(tblLaborEntries[[#This Row],[Work date]])</f>
        <v>45982.0</v>
      </c>
    </row>
    <row r="1099" spans="1:9" ht="15" x14ac:dyDescent="0.25">
      <c r="A1099" s="53" t="inlineStr">
        <is>
          <t>LAB-001098</t>
        </is>
      </c>
      <c r="B1099" s="53" t="inlineStr">
        <is>
          <t>WP-00485</t>
        </is>
      </c>
      <c r="C1099" s="53" t="inlineStr">
        <is>
          <t>TECH-013</t>
        </is>
      </c>
      <c r="D1099" s="53" t="inlineStr">
        <is>
          <t>Airframe</t>
        </is>
      </c>
      <c r="E1099" s="53" t="inlineStr">
        <is>
          <t>2024-08-25</t>
        </is>
      </c>
      <c r="F1099" s="53">
        <v>6.4</v>
      </c>
      <c r="G1099" s="53">
        <v>0</v>
      </c>
      <c r="H1099" s="51" t="str">
        <f>TEXT(tblLaborEntries[[#This Row],[Work date serial]]-WEEKDAY(tblLaborEntries[[#This Row],[Work date serial]],3),"yyyy-mm-dd")</f>
        <v>2024-08-19</v>
      </c>
      <c r="I1099" s="64">
        <f>DATEVALUE(tblLaborEntries[[#This Row],[Work date]])</f>
        <v>45529.0</v>
      </c>
    </row>
    <row r="1100" spans="1:9" ht="15" x14ac:dyDescent="0.25">
      <c r="A1100" s="53" t="inlineStr">
        <is>
          <t>LAB-001099</t>
        </is>
      </c>
      <c r="B1100" s="53" t="inlineStr">
        <is>
          <t>WP-00485</t>
        </is>
      </c>
      <c r="C1100" s="53" t="inlineStr">
        <is>
          <t>TECH-055</t>
        </is>
      </c>
      <c r="D1100" s="53" t="inlineStr">
        <is>
          <t>Airframe</t>
        </is>
      </c>
      <c r="E1100" s="53" t="inlineStr">
        <is>
          <t>2024-08-26</t>
        </is>
      </c>
      <c r="F1100" s="53">
        <v>5.5</v>
      </c>
      <c r="G1100" s="53">
        <v>0</v>
      </c>
      <c r="H1100" s="51" t="str">
        <f>TEXT(tblLaborEntries[[#This Row],[Work date serial]]-WEEKDAY(tblLaborEntries[[#This Row],[Work date serial]],3),"yyyy-mm-dd")</f>
        <v>2024-08-26</v>
      </c>
      <c r="I1100" s="64">
        <f>DATEVALUE(tblLaborEntries[[#This Row],[Work date]])</f>
        <v>45530.0</v>
      </c>
    </row>
    <row r="1101" spans="1:9" ht="15" x14ac:dyDescent="0.25">
      <c r="A1101" s="53" t="inlineStr">
        <is>
          <t>LAB-001100</t>
        </is>
      </c>
      <c r="B1101" s="53" t="inlineStr">
        <is>
          <t>WP-00486</t>
        </is>
      </c>
      <c r="C1101" s="53" t="inlineStr">
        <is>
          <t>TECH-050</t>
        </is>
      </c>
      <c r="D1101" s="53" t="inlineStr">
        <is>
          <t>Avionics</t>
        </is>
      </c>
      <c r="E1101" s="53" t="inlineStr">
        <is>
          <t>2025-05-21</t>
        </is>
      </c>
      <c r="F1101" s="53">
        <v>3.6</v>
      </c>
      <c r="G1101" s="53">
        <v>0</v>
      </c>
      <c r="H1101" s="51" t="str">
        <f>TEXT(tblLaborEntries[[#This Row],[Work date serial]]-WEEKDAY(tblLaborEntries[[#This Row],[Work date serial]],3),"yyyy-mm-dd")</f>
        <v>2025-05-19</v>
      </c>
      <c r="I1101" s="64">
        <f>DATEVALUE(tblLaborEntries[[#This Row],[Work date]])</f>
        <v>45798.0</v>
      </c>
    </row>
    <row r="1102" spans="1:9" ht="15" x14ac:dyDescent="0.25">
      <c r="A1102" s="53" t="inlineStr">
        <is>
          <t>LAB-001101</t>
        </is>
      </c>
      <c r="B1102" s="53" t="inlineStr">
        <is>
          <t>WP-00486</t>
        </is>
      </c>
      <c r="C1102" s="53" t="inlineStr">
        <is>
          <t>TECH-062</t>
        </is>
      </c>
      <c r="D1102" s="53" t="inlineStr">
        <is>
          <t>Avionics</t>
        </is>
      </c>
      <c r="E1102" s="53" t="inlineStr">
        <is>
          <t>2025-05-22</t>
        </is>
      </c>
      <c r="F1102" s="53">
        <v>5.6</v>
      </c>
      <c r="G1102" s="53">
        <v>0</v>
      </c>
      <c r="H1102" s="51" t="str">
        <f>TEXT(tblLaborEntries[[#This Row],[Work date serial]]-WEEKDAY(tblLaborEntries[[#This Row],[Work date serial]],3),"yyyy-mm-dd")</f>
        <v>2025-05-19</v>
      </c>
      <c r="I1102" s="64">
        <f>DATEVALUE(tblLaborEntries[[#This Row],[Work date]])</f>
        <v>45799.0</v>
      </c>
    </row>
    <row r="1103" spans="1:9" ht="15" x14ac:dyDescent="0.25">
      <c r="A1103" s="53" t="inlineStr">
        <is>
          <t>LAB-001102</t>
        </is>
      </c>
      <c r="B1103" s="53" t="inlineStr">
        <is>
          <t>WP-00487</t>
        </is>
      </c>
      <c r="C1103" s="53" t="inlineStr">
        <is>
          <t>TECH-018</t>
        </is>
      </c>
      <c r="D1103" s="53" t="inlineStr">
        <is>
          <t>Powerplant</t>
        </is>
      </c>
      <c r="E1103" s="53" t="inlineStr">
        <is>
          <t>2025-02-03</t>
        </is>
      </c>
      <c r="F1103" s="53">
        <v>1.8</v>
      </c>
      <c r="G1103" s="53">
        <v>0</v>
      </c>
      <c r="H1103" s="51" t="str">
        <f>TEXT(tblLaborEntries[[#This Row],[Work date serial]]-WEEKDAY(tblLaborEntries[[#This Row],[Work date serial]],3),"yyyy-mm-dd")</f>
        <v>2025-02-03</v>
      </c>
      <c r="I1103" s="64">
        <f>DATEVALUE(tblLaborEntries[[#This Row],[Work date]])</f>
        <v>45691.0</v>
      </c>
    </row>
    <row r="1104" spans="1:9" ht="15" x14ac:dyDescent="0.25">
      <c r="A1104" s="53" t="inlineStr">
        <is>
          <t>LAB-001103</t>
        </is>
      </c>
      <c r="B1104" s="53" t="inlineStr">
        <is>
          <t>WP-00487</t>
        </is>
      </c>
      <c r="C1104" s="53" t="inlineStr">
        <is>
          <t>TECH-024</t>
        </is>
      </c>
      <c r="D1104" s="53" t="inlineStr">
        <is>
          <t>Powerplant</t>
        </is>
      </c>
      <c r="E1104" s="53" t="inlineStr">
        <is>
          <t>2025-02-04</t>
        </is>
      </c>
      <c r="F1104" s="53">
        <v>2.9</v>
      </c>
      <c r="G1104" s="53">
        <v>0</v>
      </c>
      <c r="H1104" s="51" t="str">
        <f>TEXT(tblLaborEntries[[#This Row],[Work date serial]]-WEEKDAY(tblLaborEntries[[#This Row],[Work date serial]],3),"yyyy-mm-dd")</f>
        <v>2025-02-03</v>
      </c>
      <c r="I1104" s="64">
        <f>DATEVALUE(tblLaborEntries[[#This Row],[Work date]])</f>
        <v>45692.0</v>
      </c>
    </row>
    <row r="1105" spans="1:9" ht="15" x14ac:dyDescent="0.25">
      <c r="A1105" s="53" t="inlineStr">
        <is>
          <t>LAB-001104</t>
        </is>
      </c>
      <c r="B1105" s="53" t="inlineStr">
        <is>
          <t>WP-00487</t>
        </is>
      </c>
      <c r="C1105" s="53" t="inlineStr">
        <is>
          <t>TECH-048</t>
        </is>
      </c>
      <c r="D1105" s="53" t="inlineStr">
        <is>
          <t>Powerplant</t>
        </is>
      </c>
      <c r="E1105" s="53" t="inlineStr">
        <is>
          <t>2025-02-05</t>
        </is>
      </c>
      <c r="F1105" s="53">
        <v>2.1</v>
      </c>
      <c r="G1105" s="53">
        <v>0</v>
      </c>
      <c r="H1105" s="51" t="str">
        <f>TEXT(tblLaborEntries[[#This Row],[Work date serial]]-WEEKDAY(tblLaborEntries[[#This Row],[Work date serial]],3),"yyyy-mm-dd")</f>
        <v>2025-02-03</v>
      </c>
      <c r="I1105" s="64">
        <f>DATEVALUE(tblLaborEntries[[#This Row],[Work date]])</f>
        <v>45693.0</v>
      </c>
    </row>
    <row r="1106" spans="1:9" ht="15" x14ac:dyDescent="0.25">
      <c r="A1106" s="53" t="inlineStr">
        <is>
          <t>LAB-001105</t>
        </is>
      </c>
      <c r="B1106" s="53" t="inlineStr">
        <is>
          <t>WP-00488</t>
        </is>
      </c>
      <c r="C1106" s="53" t="inlineStr">
        <is>
          <t>TECH-045</t>
        </is>
      </c>
      <c r="D1106" s="53" t="inlineStr">
        <is>
          <t>Hydraulics</t>
        </is>
      </c>
      <c r="E1106" s="53" t="inlineStr">
        <is>
          <t>2025-11-02</t>
        </is>
      </c>
      <c r="F1106" s="53">
        <v>8.2</v>
      </c>
      <c r="G1106" s="53">
        <v>0.2</v>
      </c>
      <c r="H1106" s="51" t="str">
        <f>TEXT(tblLaborEntries[[#This Row],[Work date serial]]-WEEKDAY(tblLaborEntries[[#This Row],[Work date serial]],3),"yyyy-mm-dd")</f>
        <v>2025-10-27</v>
      </c>
      <c r="I1106" s="64">
        <f>DATEVALUE(tblLaborEntries[[#This Row],[Work date]])</f>
        <v>45963.0</v>
      </c>
    </row>
    <row r="1107" spans="1:9" ht="15" x14ac:dyDescent="0.25">
      <c r="A1107" s="53" t="inlineStr">
        <is>
          <t>LAB-001106</t>
        </is>
      </c>
      <c r="B1107" s="53" t="inlineStr">
        <is>
          <t>WP-00489</t>
        </is>
      </c>
      <c r="C1107" s="53" t="inlineStr">
        <is>
          <t>TECH-025</t>
        </is>
      </c>
      <c r="D1107" s="53" t="inlineStr">
        <is>
          <t>Airframe</t>
        </is>
      </c>
      <c r="E1107" s="53" t="inlineStr">
        <is>
          <t>2024-07-19</t>
        </is>
      </c>
      <c r="F1107" s="53">
        <v>2</v>
      </c>
      <c r="G1107" s="53">
        <v>0</v>
      </c>
      <c r="H1107" s="51" t="str">
        <f>TEXT(tblLaborEntries[[#This Row],[Work date serial]]-WEEKDAY(tblLaborEntries[[#This Row],[Work date serial]],3),"yyyy-mm-dd")</f>
        <v>2024-07-15</v>
      </c>
      <c r="I1107" s="64">
        <f>DATEVALUE(tblLaborEntries[[#This Row],[Work date]])</f>
        <v>45492.0</v>
      </c>
    </row>
    <row r="1108" spans="1:9" ht="15" x14ac:dyDescent="0.25">
      <c r="A1108" s="53" t="inlineStr">
        <is>
          <t>LAB-001107</t>
        </is>
      </c>
      <c r="B1108" s="53" t="inlineStr">
        <is>
          <t>WP-00489</t>
        </is>
      </c>
      <c r="C1108" s="53" t="inlineStr">
        <is>
          <t>TECH-055</t>
        </is>
      </c>
      <c r="D1108" s="53" t="inlineStr">
        <is>
          <t>Airframe</t>
        </is>
      </c>
      <c r="E1108" s="53" t="inlineStr">
        <is>
          <t>2024-07-20</t>
        </is>
      </c>
      <c r="F1108" s="53">
        <v>2</v>
      </c>
      <c r="G1108" s="53">
        <v>0</v>
      </c>
      <c r="H1108" s="51" t="str">
        <f>TEXT(tblLaborEntries[[#This Row],[Work date serial]]-WEEKDAY(tblLaborEntries[[#This Row],[Work date serial]],3),"yyyy-mm-dd")</f>
        <v>2024-07-15</v>
      </c>
      <c r="I1108" s="64">
        <f>DATEVALUE(tblLaborEntries[[#This Row],[Work date]])</f>
        <v>45493.0</v>
      </c>
    </row>
    <row r="1109" spans="1:9" ht="15" x14ac:dyDescent="0.25">
      <c r="A1109" s="53" t="inlineStr">
        <is>
          <t>LAB-001108</t>
        </is>
      </c>
      <c r="B1109" s="53" t="inlineStr">
        <is>
          <t>WP-00490</t>
        </is>
      </c>
      <c r="C1109" s="53" t="inlineStr">
        <is>
          <t>TECH-038</t>
        </is>
      </c>
      <c r="D1109" s="53" t="inlineStr">
        <is>
          <t>Avionics</t>
        </is>
      </c>
      <c r="E1109" s="53" t="inlineStr">
        <is>
          <t>2025-12-10</t>
        </is>
      </c>
      <c r="F1109" s="53">
        <v>5.3</v>
      </c>
      <c r="G1109" s="53">
        <v>0</v>
      </c>
      <c r="H1109" s="51" t="str">
        <f>TEXT(tblLaborEntries[[#This Row],[Work date serial]]-WEEKDAY(tblLaborEntries[[#This Row],[Work date serial]],3),"yyyy-mm-dd")</f>
        <v>2025-12-08</v>
      </c>
      <c r="I1109" s="64">
        <f>DATEVALUE(tblLaborEntries[[#This Row],[Work date]])</f>
        <v>46001.0</v>
      </c>
    </row>
    <row r="1110" spans="1:9" ht="15" x14ac:dyDescent="0.25">
      <c r="A1110" s="53" t="inlineStr">
        <is>
          <t>LAB-001109</t>
        </is>
      </c>
      <c r="B1110" s="53" t="inlineStr">
        <is>
          <t>WP-00490</t>
        </is>
      </c>
      <c r="C1110" s="53" t="inlineStr">
        <is>
          <t>TECH-032</t>
        </is>
      </c>
      <c r="D1110" s="53" t="inlineStr">
        <is>
          <t>Avionics</t>
        </is>
      </c>
      <c r="E1110" s="53" t="inlineStr">
        <is>
          <t>2025-12-11</t>
        </is>
      </c>
      <c r="F1110" s="53">
        <v>3.8</v>
      </c>
      <c r="G1110" s="53">
        <v>0</v>
      </c>
      <c r="H1110" s="51" t="str">
        <f>TEXT(tblLaborEntries[[#This Row],[Work date serial]]-WEEKDAY(tblLaborEntries[[#This Row],[Work date serial]],3),"yyyy-mm-dd")</f>
        <v>2025-12-08</v>
      </c>
      <c r="I1110" s="64">
        <f>DATEVALUE(tblLaborEntries[[#This Row],[Work date]])</f>
        <v>46002.0</v>
      </c>
    </row>
    <row r="1111" spans="1:9" ht="15" x14ac:dyDescent="0.25">
      <c r="A1111" s="53" t="inlineStr">
        <is>
          <t>LAB-001110</t>
        </is>
      </c>
      <c r="B1111" s="53" t="inlineStr">
        <is>
          <t>WP-00490</t>
        </is>
      </c>
      <c r="C1111" s="53" t="inlineStr">
        <is>
          <t>TECH-002</t>
        </is>
      </c>
      <c r="D1111" s="53" t="inlineStr">
        <is>
          <t>Avionics</t>
        </is>
      </c>
      <c r="E1111" s="53" t="inlineStr">
        <is>
          <t>2025-12-12</t>
        </is>
      </c>
      <c r="F1111" s="53">
        <v>1.4</v>
      </c>
      <c r="G1111" s="53">
        <v>0</v>
      </c>
      <c r="H1111" s="51" t="str">
        <f>TEXT(tblLaborEntries[[#This Row],[Work date serial]]-WEEKDAY(tblLaborEntries[[#This Row],[Work date serial]],3),"yyyy-mm-dd")</f>
        <v>2025-12-08</v>
      </c>
      <c r="I1111" s="64">
        <f>DATEVALUE(tblLaborEntries[[#This Row],[Work date]])</f>
        <v>46003.0</v>
      </c>
    </row>
    <row r="1112" spans="1:9" ht="15" x14ac:dyDescent="0.25">
      <c r="A1112" s="53" t="inlineStr">
        <is>
          <t>LAB-001111</t>
        </is>
      </c>
      <c r="B1112" s="53" t="inlineStr">
        <is>
          <t>WP-00490</t>
        </is>
      </c>
      <c r="C1112" s="53" t="inlineStr">
        <is>
          <t>TECH-020</t>
        </is>
      </c>
      <c r="D1112" s="53" t="inlineStr">
        <is>
          <t>Avionics</t>
        </is>
      </c>
      <c r="E1112" s="53" t="inlineStr">
        <is>
          <t>2025-12-12</t>
        </is>
      </c>
      <c r="F1112" s="53">
        <v>4.3</v>
      </c>
      <c r="G1112" s="53">
        <v>0</v>
      </c>
      <c r="H1112" s="51" t="str">
        <f>TEXT(tblLaborEntries[[#This Row],[Work date serial]]-WEEKDAY(tblLaborEntries[[#This Row],[Work date serial]],3),"yyyy-mm-dd")</f>
        <v>2025-12-08</v>
      </c>
      <c r="I1112" s="64">
        <f>DATEVALUE(tblLaborEntries[[#This Row],[Work date]])</f>
        <v>46003.0</v>
      </c>
    </row>
    <row r="1113" spans="1:9" ht="15" x14ac:dyDescent="0.25">
      <c r="A1113" s="53" t="inlineStr">
        <is>
          <t>LAB-001112</t>
        </is>
      </c>
      <c r="B1113" s="53" t="inlineStr">
        <is>
          <t>WP-00491</t>
        </is>
      </c>
      <c r="C1113" s="53" t="inlineStr">
        <is>
          <t>TECH-016</t>
        </is>
      </c>
      <c r="D1113" s="53" t="inlineStr">
        <is>
          <t>Electrical</t>
        </is>
      </c>
      <c r="E1113" s="53" t="inlineStr">
        <is>
          <t>2025-11-14</t>
        </is>
      </c>
      <c r="F1113" s="53">
        <v>3.1</v>
      </c>
      <c r="G1113" s="53">
        <v>0</v>
      </c>
      <c r="H1113" s="51" t="str">
        <f>TEXT(tblLaborEntries[[#This Row],[Work date serial]]-WEEKDAY(tblLaborEntries[[#This Row],[Work date serial]],3),"yyyy-mm-dd")</f>
        <v>2025-11-10</v>
      </c>
      <c r="I1113" s="64">
        <f>DATEVALUE(tblLaborEntries[[#This Row],[Work date]])</f>
        <v>45975.0</v>
      </c>
    </row>
    <row r="1114" spans="1:9" ht="15" x14ac:dyDescent="0.25">
      <c r="A1114" s="53" t="inlineStr">
        <is>
          <t>LAB-001113</t>
        </is>
      </c>
      <c r="B1114" s="53" t="inlineStr">
        <is>
          <t>WP-00491</t>
        </is>
      </c>
      <c r="C1114" s="53" t="inlineStr">
        <is>
          <t>TECH-046</t>
        </is>
      </c>
      <c r="D1114" s="53" t="inlineStr">
        <is>
          <t>Electrical</t>
        </is>
      </c>
      <c r="E1114" s="53" t="inlineStr">
        <is>
          <t>2025-11-15</t>
        </is>
      </c>
      <c r="F1114" s="53">
        <v>2.9</v>
      </c>
      <c r="G1114" s="53">
        <v>0</v>
      </c>
      <c r="H1114" s="51" t="str">
        <f>TEXT(tblLaborEntries[[#This Row],[Work date serial]]-WEEKDAY(tblLaborEntries[[#This Row],[Work date serial]],3),"yyyy-mm-dd")</f>
        <v>2025-11-10</v>
      </c>
      <c r="I1114" s="64">
        <f>DATEVALUE(tblLaborEntries[[#This Row],[Work date]])</f>
        <v>45976.0</v>
      </c>
    </row>
    <row r="1115" spans="1:9" ht="15" x14ac:dyDescent="0.25">
      <c r="A1115" s="53" t="inlineStr">
        <is>
          <t>LAB-001114</t>
        </is>
      </c>
      <c r="B1115" s="53" t="inlineStr">
        <is>
          <t>WP-00492</t>
        </is>
      </c>
      <c r="C1115" s="53" t="inlineStr">
        <is>
          <t>TECH-026</t>
        </is>
      </c>
      <c r="D1115" s="53" t="inlineStr">
        <is>
          <t>Avionics</t>
        </is>
      </c>
      <c r="E1115" s="53" t="inlineStr">
        <is>
          <t>2024-09-26</t>
        </is>
      </c>
      <c r="F1115" s="53">
        <v>5</v>
      </c>
      <c r="G1115" s="53">
        <v>0</v>
      </c>
      <c r="H1115" s="51" t="str">
        <f>TEXT(tblLaborEntries[[#This Row],[Work date serial]]-WEEKDAY(tblLaborEntries[[#This Row],[Work date serial]],3),"yyyy-mm-dd")</f>
        <v>2024-09-23</v>
      </c>
      <c r="I1115" s="64">
        <f>DATEVALUE(tblLaborEntries[[#This Row],[Work date]])</f>
        <v>45561.0</v>
      </c>
    </row>
    <row r="1116" spans="1:9" ht="15" x14ac:dyDescent="0.25">
      <c r="A1116" s="53" t="inlineStr">
        <is>
          <t>LAB-001115</t>
        </is>
      </c>
      <c r="B1116" s="53" t="inlineStr">
        <is>
          <t>WP-00492</t>
        </is>
      </c>
      <c r="C1116" s="53" t="inlineStr">
        <is>
          <t>TECH-044</t>
        </is>
      </c>
      <c r="D1116" s="53" t="inlineStr">
        <is>
          <t>Avionics</t>
        </is>
      </c>
      <c r="E1116" s="53" t="inlineStr">
        <is>
          <t>2024-09-27</t>
        </is>
      </c>
      <c r="F1116" s="53">
        <v>5.3</v>
      </c>
      <c r="G1116" s="53">
        <v>0</v>
      </c>
      <c r="H1116" s="51" t="str">
        <f>TEXT(tblLaborEntries[[#This Row],[Work date serial]]-WEEKDAY(tblLaborEntries[[#This Row],[Work date serial]],3),"yyyy-mm-dd")</f>
        <v>2024-09-23</v>
      </c>
      <c r="I1116" s="64">
        <f>DATEVALUE(tblLaborEntries[[#This Row],[Work date]])</f>
        <v>45562.0</v>
      </c>
    </row>
    <row r="1117" spans="1:9" ht="15" x14ac:dyDescent="0.25">
      <c r="A1117" s="53" t="inlineStr">
        <is>
          <t>LAB-001116</t>
        </is>
      </c>
      <c r="B1117" s="53" t="inlineStr">
        <is>
          <t>WP-00492</t>
        </is>
      </c>
      <c r="C1117" s="53" t="inlineStr">
        <is>
          <t>TECH-032</t>
        </is>
      </c>
      <c r="D1117" s="53" t="inlineStr">
        <is>
          <t>Avionics</t>
        </is>
      </c>
      <c r="E1117" s="53" t="inlineStr">
        <is>
          <t>2024-09-28</t>
        </is>
      </c>
      <c r="F1117" s="53">
        <v>6.5</v>
      </c>
      <c r="G1117" s="53">
        <v>0</v>
      </c>
      <c r="H1117" s="51" t="str">
        <f>TEXT(tblLaborEntries[[#This Row],[Work date serial]]-WEEKDAY(tblLaborEntries[[#This Row],[Work date serial]],3),"yyyy-mm-dd")</f>
        <v>2024-09-23</v>
      </c>
      <c r="I1117" s="64">
        <f>DATEVALUE(tblLaborEntries[[#This Row],[Work date]])</f>
        <v>45563.0</v>
      </c>
    </row>
    <row r="1118" spans="1:9" ht="15" x14ac:dyDescent="0.25">
      <c r="A1118" s="53" t="inlineStr">
        <is>
          <t>LAB-001117</t>
        </is>
      </c>
      <c r="B1118" s="53" t="inlineStr">
        <is>
          <t>WP-00493</t>
        </is>
      </c>
      <c r="C1118" s="53" t="inlineStr">
        <is>
          <t>TECH-043</t>
        </is>
      </c>
      <c r="D1118" s="53" t="inlineStr">
        <is>
          <t>Airframe</t>
        </is>
      </c>
      <c r="E1118" s="53" t="inlineStr">
        <is>
          <t>2025-06-25</t>
        </is>
      </c>
      <c r="F1118" s="53">
        <v>10</v>
      </c>
      <c r="G1118" s="53">
        <v>2</v>
      </c>
      <c r="H1118" s="51" t="str">
        <f>TEXT(tblLaborEntries[[#This Row],[Work date serial]]-WEEKDAY(tblLaborEntries[[#This Row],[Work date serial]],3),"yyyy-mm-dd")</f>
        <v>2025-06-23</v>
      </c>
      <c r="I1118" s="64">
        <f>DATEVALUE(tblLaborEntries[[#This Row],[Work date]])</f>
        <v>45833.0</v>
      </c>
    </row>
    <row r="1119" spans="1:9" ht="15" x14ac:dyDescent="0.25">
      <c r="A1119" s="53" t="inlineStr">
        <is>
          <t>LAB-001118</t>
        </is>
      </c>
      <c r="B1119" s="53" t="inlineStr">
        <is>
          <t>WP-00494</t>
        </is>
      </c>
      <c r="C1119" s="53" t="inlineStr">
        <is>
          <t>TECH-002</t>
        </is>
      </c>
      <c r="D1119" s="53" t="inlineStr">
        <is>
          <t>Avionics</t>
        </is>
      </c>
      <c r="E1119" s="53" t="inlineStr">
        <is>
          <t>2024-06-01</t>
        </is>
      </c>
      <c r="F1119" s="53">
        <v>10.4</v>
      </c>
      <c r="G1119" s="53">
        <v>2.4</v>
      </c>
      <c r="H1119" s="51" t="str">
        <f>TEXT(tblLaborEntries[[#This Row],[Work date serial]]-WEEKDAY(tblLaborEntries[[#This Row],[Work date serial]],3),"yyyy-mm-dd")</f>
        <v>2024-05-27</v>
      </c>
      <c r="I1119" s="64">
        <f>DATEVALUE(tblLaborEntries[[#This Row],[Work date]])</f>
        <v>45444.0</v>
      </c>
    </row>
    <row r="1120" spans="1:9" ht="15" x14ac:dyDescent="0.25">
      <c r="A1120" s="53" t="inlineStr">
        <is>
          <t>LAB-001119</t>
        </is>
      </c>
      <c r="B1120" s="53" t="inlineStr">
        <is>
          <t>WP-00494</t>
        </is>
      </c>
      <c r="C1120" s="53" t="inlineStr">
        <is>
          <t>TECH-032</t>
        </is>
      </c>
      <c r="D1120" s="53" t="inlineStr">
        <is>
          <t>Avionics</t>
        </is>
      </c>
      <c r="E1120" s="53" t="inlineStr">
        <is>
          <t>2024-06-01</t>
        </is>
      </c>
      <c r="F1120" s="53">
        <v>12</v>
      </c>
      <c r="G1120" s="53">
        <v>4</v>
      </c>
      <c r="H1120" s="51" t="str">
        <f>TEXT(tblLaborEntries[[#This Row],[Work date serial]]-WEEKDAY(tblLaborEntries[[#This Row],[Work date serial]],3),"yyyy-mm-dd")</f>
        <v>2024-05-27</v>
      </c>
      <c r="I1120" s="64">
        <f>DATEVALUE(tblLaborEntries[[#This Row],[Work date]])</f>
        <v>45444.0</v>
      </c>
    </row>
    <row r="1121" spans="1:9" ht="15" x14ac:dyDescent="0.25">
      <c r="A1121" s="53" t="inlineStr">
        <is>
          <t>LAB-001120</t>
        </is>
      </c>
      <c r="B1121" s="53" t="inlineStr">
        <is>
          <t>WP-00495</t>
        </is>
      </c>
      <c r="C1121" s="53" t="inlineStr">
        <is>
          <t>TECH-001</t>
        </is>
      </c>
      <c r="D1121" s="53" t="inlineStr">
        <is>
          <t>Airframe</t>
        </is>
      </c>
      <c r="E1121" s="53" t="inlineStr">
        <is>
          <t>2025-06-30</t>
        </is>
      </c>
      <c r="F1121" s="53">
        <v>8.4</v>
      </c>
      <c r="G1121" s="53">
        <v>0.4</v>
      </c>
      <c r="H1121" s="51" t="str">
        <f>TEXT(tblLaborEntries[[#This Row],[Work date serial]]-WEEKDAY(tblLaborEntries[[#This Row],[Work date serial]],3),"yyyy-mm-dd")</f>
        <v>2025-06-30</v>
      </c>
      <c r="I1121" s="64">
        <f>DATEVALUE(tblLaborEntries[[#This Row],[Work date]])</f>
        <v>45838.0</v>
      </c>
    </row>
    <row r="1122" spans="1:9" ht="15" x14ac:dyDescent="0.25">
      <c r="A1122" s="53" t="inlineStr">
        <is>
          <t>LAB-001121</t>
        </is>
      </c>
      <c r="B1122" s="53" t="inlineStr">
        <is>
          <t>WP-00495</t>
        </is>
      </c>
      <c r="C1122" s="53" t="inlineStr">
        <is>
          <t>TECH-013</t>
        </is>
      </c>
      <c r="D1122" s="53" t="inlineStr">
        <is>
          <t>Airframe</t>
        </is>
      </c>
      <c r="E1122" s="53" t="inlineStr">
        <is>
          <t>2025-06-30</t>
        </is>
      </c>
      <c r="F1122" s="53">
        <v>12</v>
      </c>
      <c r="G1122" s="53">
        <v>4</v>
      </c>
      <c r="H1122" s="51" t="str">
        <f>TEXT(tblLaborEntries[[#This Row],[Work date serial]]-WEEKDAY(tblLaborEntries[[#This Row],[Work date serial]],3),"yyyy-mm-dd")</f>
        <v>2025-06-30</v>
      </c>
      <c r="I1122" s="64">
        <f>DATEVALUE(tblLaborEntries[[#This Row],[Work date]])</f>
        <v>45838.0</v>
      </c>
    </row>
    <row r="1123" spans="1:9" ht="15" x14ac:dyDescent="0.25">
      <c r="A1123" s="53" t="inlineStr">
        <is>
          <t>LAB-001122</t>
        </is>
      </c>
      <c r="B1123" s="53" t="inlineStr">
        <is>
          <t>WP-00496</t>
        </is>
      </c>
      <c r="C1123" s="53" t="inlineStr">
        <is>
          <t>TECH-007</t>
        </is>
      </c>
      <c r="D1123" s="53" t="inlineStr">
        <is>
          <t>Airframe</t>
        </is>
      </c>
      <c r="E1123" s="53" t="inlineStr">
        <is>
          <t>2025-10-23</t>
        </is>
      </c>
      <c r="F1123" s="53">
        <v>0.6</v>
      </c>
      <c r="G1123" s="53">
        <v>0</v>
      </c>
      <c r="H1123" s="51" t="str">
        <f>TEXT(tblLaborEntries[[#This Row],[Work date serial]]-WEEKDAY(tblLaborEntries[[#This Row],[Work date serial]],3),"yyyy-mm-dd")</f>
        <v>2025-10-20</v>
      </c>
      <c r="I1123" s="64">
        <f>DATEVALUE(tblLaborEntries[[#This Row],[Work date]])</f>
        <v>45953.0</v>
      </c>
    </row>
    <row r="1124" spans="1:9" ht="15" x14ac:dyDescent="0.25">
      <c r="A1124" s="53" t="inlineStr">
        <is>
          <t>LAB-001123</t>
        </is>
      </c>
      <c r="B1124" s="53" t="inlineStr">
        <is>
          <t>WP-00496</t>
        </is>
      </c>
      <c r="C1124" s="53" t="inlineStr">
        <is>
          <t>TECH-037</t>
        </is>
      </c>
      <c r="D1124" s="53" t="inlineStr">
        <is>
          <t>Airframe</t>
        </is>
      </c>
      <c r="E1124" s="53" t="inlineStr">
        <is>
          <t>2025-10-23</t>
        </is>
      </c>
      <c r="F1124" s="53">
        <v>12</v>
      </c>
      <c r="G1124" s="53">
        <v>4</v>
      </c>
      <c r="H1124" s="51" t="str">
        <f>TEXT(tblLaborEntries[[#This Row],[Work date serial]]-WEEKDAY(tblLaborEntries[[#This Row],[Work date serial]],3),"yyyy-mm-dd")</f>
        <v>2025-10-20</v>
      </c>
      <c r="I1124" s="64">
        <f>DATEVALUE(tblLaborEntries[[#This Row],[Work date]])</f>
        <v>45953.0</v>
      </c>
    </row>
    <row r="1125" spans="1:9" ht="15" x14ac:dyDescent="0.25">
      <c r="A1125" s="53" t="inlineStr">
        <is>
          <t>LAB-001124</t>
        </is>
      </c>
      <c r="B1125" s="53" t="inlineStr">
        <is>
          <t>WP-00497</t>
        </is>
      </c>
      <c r="C1125" s="53" t="inlineStr">
        <is>
          <t>TECH-018</t>
        </is>
      </c>
      <c r="D1125" s="53" t="inlineStr">
        <is>
          <t>Powerplant</t>
        </is>
      </c>
      <c r="E1125" s="53" t="inlineStr">
        <is>
          <t>2025-02-22</t>
        </is>
      </c>
      <c r="F1125" s="53">
        <v>3.1</v>
      </c>
      <c r="G1125" s="53">
        <v>0</v>
      </c>
      <c r="H1125" s="51" t="str">
        <f>TEXT(tblLaborEntries[[#This Row],[Work date serial]]-WEEKDAY(tblLaborEntries[[#This Row],[Work date serial]],3),"yyyy-mm-dd")</f>
        <v>2025-02-17</v>
      </c>
      <c r="I1125" s="64">
        <f>DATEVALUE(tblLaborEntries[[#This Row],[Work date]])</f>
        <v>45710.0</v>
      </c>
    </row>
    <row r="1126" spans="1:9" ht="15" x14ac:dyDescent="0.25">
      <c r="A1126" s="53" t="inlineStr">
        <is>
          <t>LAB-001125</t>
        </is>
      </c>
      <c r="B1126" s="53" t="inlineStr">
        <is>
          <t>WP-00497</t>
        </is>
      </c>
      <c r="C1126" s="53" t="inlineStr">
        <is>
          <t>TECH-006</t>
        </is>
      </c>
      <c r="D1126" s="53" t="inlineStr">
        <is>
          <t>Powerplant</t>
        </is>
      </c>
      <c r="E1126" s="53" t="inlineStr">
        <is>
          <t>2025-02-23</t>
        </is>
      </c>
      <c r="F1126" s="53">
        <v>4</v>
      </c>
      <c r="G1126" s="53">
        <v>0</v>
      </c>
      <c r="H1126" s="51" t="str">
        <f>TEXT(tblLaborEntries[[#This Row],[Work date serial]]-WEEKDAY(tblLaborEntries[[#This Row],[Work date serial]],3),"yyyy-mm-dd")</f>
        <v>2025-02-17</v>
      </c>
      <c r="I1126" s="64">
        <f>DATEVALUE(tblLaborEntries[[#This Row],[Work date]])</f>
        <v>45711.0</v>
      </c>
    </row>
    <row r="1127" spans="1:9" ht="15" x14ac:dyDescent="0.25">
      <c r="A1127" s="53" t="inlineStr">
        <is>
          <t>LAB-001126</t>
        </is>
      </c>
      <c r="B1127" s="53" t="inlineStr">
        <is>
          <t>WP-00497</t>
        </is>
      </c>
      <c r="C1127" s="53" t="inlineStr">
        <is>
          <t>TECH-018</t>
        </is>
      </c>
      <c r="D1127" s="53" t="inlineStr">
        <is>
          <t>Powerplant</t>
        </is>
      </c>
      <c r="E1127" s="53" t="inlineStr">
        <is>
          <t>2025-02-24</t>
        </is>
      </c>
      <c r="F1127" s="53">
        <v>3</v>
      </c>
      <c r="G1127" s="53">
        <v>0</v>
      </c>
      <c r="H1127" s="51" t="str">
        <f>TEXT(tblLaborEntries[[#This Row],[Work date serial]]-WEEKDAY(tblLaborEntries[[#This Row],[Work date serial]],3),"yyyy-mm-dd")</f>
        <v>2025-02-24</v>
      </c>
      <c r="I1127" s="64">
        <f>DATEVALUE(tblLaborEntries[[#This Row],[Work date]])</f>
        <v>45712.0</v>
      </c>
    </row>
    <row r="1128" spans="1:9" ht="15" x14ac:dyDescent="0.25">
      <c r="A1128" s="53" t="inlineStr">
        <is>
          <t>LAB-001127</t>
        </is>
      </c>
      <c r="B1128" s="53" t="inlineStr">
        <is>
          <t>WP-00498</t>
        </is>
      </c>
      <c r="C1128" s="53" t="inlineStr">
        <is>
          <t>TECH-001</t>
        </is>
      </c>
      <c r="D1128" s="53" t="inlineStr">
        <is>
          <t>Airframe</t>
        </is>
      </c>
      <c r="E1128" s="53" t="inlineStr">
        <is>
          <t>2024-03-15</t>
        </is>
      </c>
      <c r="F1128" s="53">
        <v>0.3</v>
      </c>
      <c r="G1128" s="53">
        <v>0</v>
      </c>
      <c r="H1128" s="51" t="str">
        <f>TEXT(tblLaborEntries[[#This Row],[Work date serial]]-WEEKDAY(tblLaborEntries[[#This Row],[Work date serial]],3),"yyyy-mm-dd")</f>
        <v>2024-03-11</v>
      </c>
      <c r="I1128" s="64">
        <f>DATEVALUE(tblLaborEntries[[#This Row],[Work date]])</f>
        <v>45366.0</v>
      </c>
    </row>
    <row r="1129" spans="1:9" ht="15" x14ac:dyDescent="0.25">
      <c r="A1129" s="53" t="inlineStr">
        <is>
          <t>LAB-001128</t>
        </is>
      </c>
      <c r="B1129" s="53" t="inlineStr">
        <is>
          <t>WP-00498</t>
        </is>
      </c>
      <c r="C1129" s="53" t="inlineStr">
        <is>
          <t>TECH-055</t>
        </is>
      </c>
      <c r="D1129" s="53" t="inlineStr">
        <is>
          <t>Airframe</t>
        </is>
      </c>
      <c r="E1129" s="53" t="inlineStr">
        <is>
          <t>2024-03-15</t>
        </is>
      </c>
      <c r="F1129" s="53">
        <v>12</v>
      </c>
      <c r="G1129" s="53">
        <v>4</v>
      </c>
      <c r="H1129" s="51" t="str">
        <f>TEXT(tblLaborEntries[[#This Row],[Work date serial]]-WEEKDAY(tblLaborEntries[[#This Row],[Work date serial]],3),"yyyy-mm-dd")</f>
        <v>2024-03-11</v>
      </c>
      <c r="I1129" s="64">
        <f>DATEVALUE(tblLaborEntries[[#This Row],[Work date]])</f>
        <v>45366.0</v>
      </c>
    </row>
    <row r="1130" spans="1:9" ht="15" x14ac:dyDescent="0.25">
      <c r="A1130" s="53" t="inlineStr">
        <is>
          <t>LAB-001129</t>
        </is>
      </c>
      <c r="B1130" s="53" t="inlineStr">
        <is>
          <t>WP-00498</t>
        </is>
      </c>
      <c r="C1130" s="53" t="inlineStr">
        <is>
          <t>TECH-013</t>
        </is>
      </c>
      <c r="D1130" s="53" t="inlineStr">
        <is>
          <t>Airframe</t>
        </is>
      </c>
      <c r="E1130" s="53" t="inlineStr">
        <is>
          <t>2024-03-16</t>
        </is>
      </c>
      <c r="F1130" s="53">
        <v>9.9</v>
      </c>
      <c r="G1130" s="53">
        <v>1.9</v>
      </c>
      <c r="H1130" s="51" t="str">
        <f>TEXT(tblLaborEntries[[#This Row],[Work date serial]]-WEEKDAY(tblLaborEntries[[#This Row],[Work date serial]],3),"yyyy-mm-dd")</f>
        <v>2024-03-11</v>
      </c>
      <c r="I1130" s="64">
        <f>DATEVALUE(tblLaborEntries[[#This Row],[Work date]])</f>
        <v>45367.0</v>
      </c>
    </row>
    <row r="1131" spans="1:9" ht="15" x14ac:dyDescent="0.25">
      <c r="A1131" s="53" t="inlineStr">
        <is>
          <t>LAB-001130</t>
        </is>
      </c>
      <c r="B1131" s="53" t="inlineStr">
        <is>
          <t>WP-00499</t>
        </is>
      </c>
      <c r="C1131" s="53" t="inlineStr">
        <is>
          <t>TECH-049</t>
        </is>
      </c>
      <c r="D1131" s="53" t="inlineStr">
        <is>
          <t>Airframe</t>
        </is>
      </c>
      <c r="E1131" s="53" t="inlineStr">
        <is>
          <t>2024-05-23</t>
        </is>
      </c>
      <c r="F1131" s="53">
        <v>0.8</v>
      </c>
      <c r="G1131" s="53">
        <v>0</v>
      </c>
      <c r="H1131" s="51" t="str">
        <f>TEXT(tblLaborEntries[[#This Row],[Work date serial]]-WEEKDAY(tblLaborEntries[[#This Row],[Work date serial]],3),"yyyy-mm-dd")</f>
        <v>2024-05-20</v>
      </c>
      <c r="I1131" s="64">
        <f>DATEVALUE(tblLaborEntries[[#This Row],[Work date]])</f>
        <v>45435.0</v>
      </c>
    </row>
    <row r="1132" spans="1:9" ht="15" x14ac:dyDescent="0.25">
      <c r="A1132" s="53" t="inlineStr">
        <is>
          <t>LAB-001131</t>
        </is>
      </c>
      <c r="B1132" s="53" t="inlineStr">
        <is>
          <t>WP-00499</t>
        </is>
      </c>
      <c r="C1132" s="53" t="inlineStr">
        <is>
          <t>TECH-043</t>
        </is>
      </c>
      <c r="D1132" s="53" t="inlineStr">
        <is>
          <t>Airframe</t>
        </is>
      </c>
      <c r="E1132" s="53" t="inlineStr">
        <is>
          <t>2024-05-24</t>
        </is>
      </c>
      <c r="F1132" s="53">
        <v>0.7</v>
      </c>
      <c r="G1132" s="53">
        <v>0</v>
      </c>
      <c r="H1132" s="51" t="str">
        <f>TEXT(tblLaborEntries[[#This Row],[Work date serial]]-WEEKDAY(tblLaborEntries[[#This Row],[Work date serial]],3),"yyyy-mm-dd")</f>
        <v>2024-05-20</v>
      </c>
      <c r="I1132" s="64">
        <f>DATEVALUE(tblLaborEntries[[#This Row],[Work date]])</f>
        <v>45436.0</v>
      </c>
    </row>
    <row r="1133" spans="1:9" ht="15" x14ac:dyDescent="0.25">
      <c r="A1133" s="53" t="inlineStr">
        <is>
          <t>LAB-001132</t>
        </is>
      </c>
      <c r="B1133" s="53" t="inlineStr">
        <is>
          <t>WP-00499</t>
        </is>
      </c>
      <c r="C1133" s="53" t="inlineStr">
        <is>
          <t>TECH-037</t>
        </is>
      </c>
      <c r="D1133" s="53" t="inlineStr">
        <is>
          <t>Airframe</t>
        </is>
      </c>
      <c r="E1133" s="53" t="inlineStr">
        <is>
          <t>2024-05-25</t>
        </is>
      </c>
      <c r="F1133" s="53">
        <v>0.6</v>
      </c>
      <c r="G1133" s="53">
        <v>0</v>
      </c>
      <c r="H1133" s="51" t="str">
        <f>TEXT(tblLaborEntries[[#This Row],[Work date serial]]-WEEKDAY(tblLaborEntries[[#This Row],[Work date serial]],3),"yyyy-mm-dd")</f>
        <v>2024-05-20</v>
      </c>
      <c r="I1133" s="64">
        <f>DATEVALUE(tblLaborEntries[[#This Row],[Work date]])</f>
        <v>45437.0</v>
      </c>
    </row>
    <row r="1134" spans="1:9" ht="15" x14ac:dyDescent="0.25">
      <c r="A1134" s="53" t="inlineStr">
        <is>
          <t>LAB-001133</t>
        </is>
      </c>
      <c r="B1134" s="53" t="inlineStr">
        <is>
          <t>WP-00500</t>
        </is>
      </c>
      <c r="C1134" s="53" t="inlineStr">
        <is>
          <t>TECH-074</t>
        </is>
      </c>
      <c r="D1134" s="53" t="inlineStr">
        <is>
          <t>Avionics</t>
        </is>
      </c>
      <c r="E1134" s="53" t="inlineStr">
        <is>
          <t>2025-01-19</t>
        </is>
      </c>
      <c r="F1134" s="53">
        <v>1.9</v>
      </c>
      <c r="G1134" s="53">
        <v>0</v>
      </c>
      <c r="H1134" s="51" t="str">
        <f>TEXT(tblLaborEntries[[#This Row],[Work date serial]]-WEEKDAY(tblLaborEntries[[#This Row],[Work date serial]],3),"yyyy-mm-dd")</f>
        <v>2025-01-13</v>
      </c>
      <c r="I1134" s="64">
        <f>DATEVALUE(tblLaborEntries[[#This Row],[Work date]])</f>
        <v>45676.0</v>
      </c>
    </row>
    <row r="1135" spans="1:9" ht="15" x14ac:dyDescent="0.25">
      <c r="A1135" s="53" t="inlineStr">
        <is>
          <t>LAB-001134</t>
        </is>
      </c>
      <c r="B1135" s="53" t="inlineStr">
        <is>
          <t>WP-00500</t>
        </is>
      </c>
      <c r="C1135" s="53" t="inlineStr">
        <is>
          <t>TECH-032</t>
        </is>
      </c>
      <c r="D1135" s="53" t="inlineStr">
        <is>
          <t>Avionics</t>
        </is>
      </c>
      <c r="E1135" s="53" t="inlineStr">
        <is>
          <t>2025-01-20</t>
        </is>
      </c>
      <c r="F1135" s="53">
        <v>1.7</v>
      </c>
      <c r="G1135" s="53">
        <v>0</v>
      </c>
      <c r="H1135" s="51" t="str">
        <f>TEXT(tblLaborEntries[[#This Row],[Work date serial]]-WEEKDAY(tblLaborEntries[[#This Row],[Work date serial]],3),"yyyy-mm-dd")</f>
        <v>2025-01-20</v>
      </c>
      <c r="I1135" s="64">
        <f>DATEVALUE(tblLaborEntries[[#This Row],[Work date]])</f>
        <v>45677.0</v>
      </c>
    </row>
    <row r="1136" spans="1:9" ht="15" x14ac:dyDescent="0.25">
      <c r="A1136" s="53" t="inlineStr">
        <is>
          <t>LAB-001135</t>
        </is>
      </c>
      <c r="B1136" s="53" t="inlineStr">
        <is>
          <t>WP-00500</t>
        </is>
      </c>
      <c r="C1136" s="53" t="inlineStr">
        <is>
          <t>TECH-062</t>
        </is>
      </c>
      <c r="D1136" s="53" t="inlineStr">
        <is>
          <t>Avionics</t>
        </is>
      </c>
      <c r="E1136" s="53" t="inlineStr">
        <is>
          <t>2025-01-21</t>
        </is>
      </c>
      <c r="F1136" s="53">
        <v>2.6</v>
      </c>
      <c r="G1136" s="53">
        <v>0</v>
      </c>
      <c r="H1136" s="51" t="str">
        <f>TEXT(tblLaborEntries[[#This Row],[Work date serial]]-WEEKDAY(tblLaborEntries[[#This Row],[Work date serial]],3),"yyyy-mm-dd")</f>
        <v>2025-01-20</v>
      </c>
      <c r="I1136" s="64">
        <f>DATEVALUE(tblLaborEntries[[#This Row],[Work date]])</f>
        <v>45678.0</v>
      </c>
    </row>
    <row r="1137" spans="1:9" ht="15" x14ac:dyDescent="0.25">
      <c r="A1137" s="53" t="inlineStr">
        <is>
          <t>LAB-001136</t>
        </is>
      </c>
      <c r="B1137" s="53" t="inlineStr">
        <is>
          <t>WP-00501</t>
        </is>
      </c>
      <c r="C1137" s="53" t="inlineStr">
        <is>
          <t>TECH-067</t>
        </is>
      </c>
      <c r="D1137" s="53" t="inlineStr">
        <is>
          <t>Airframe</t>
        </is>
      </c>
      <c r="E1137" s="53" t="inlineStr">
        <is>
          <t>2024-01-27</t>
        </is>
      </c>
      <c r="F1137" s="53">
        <v>2.8</v>
      </c>
      <c r="G1137" s="53">
        <v>0</v>
      </c>
      <c r="H1137" s="51" t="str">
        <f>TEXT(tblLaborEntries[[#This Row],[Work date serial]]-WEEKDAY(tblLaborEntries[[#This Row],[Work date serial]],3),"yyyy-mm-dd")</f>
        <v>2024-01-22</v>
      </c>
      <c r="I1137" s="64">
        <f>DATEVALUE(tblLaborEntries[[#This Row],[Work date]])</f>
        <v>45318.0</v>
      </c>
    </row>
    <row r="1138" spans="1:9" ht="15" x14ac:dyDescent="0.25">
      <c r="A1138" s="53" t="inlineStr">
        <is>
          <t>LAB-001137</t>
        </is>
      </c>
      <c r="B1138" s="53" t="inlineStr">
        <is>
          <t>WP-00501</t>
        </is>
      </c>
      <c r="C1138" s="53" t="inlineStr">
        <is>
          <t>TECH-067</t>
        </is>
      </c>
      <c r="D1138" s="53" t="inlineStr">
        <is>
          <t>Airframe</t>
        </is>
      </c>
      <c r="E1138" s="53" t="inlineStr">
        <is>
          <t>2024-01-28</t>
        </is>
      </c>
      <c r="F1138" s="53">
        <v>2.5</v>
      </c>
      <c r="G1138" s="53">
        <v>0</v>
      </c>
      <c r="H1138" s="51" t="str">
        <f>TEXT(tblLaborEntries[[#This Row],[Work date serial]]-WEEKDAY(tblLaborEntries[[#This Row],[Work date serial]],3),"yyyy-mm-dd")</f>
        <v>2024-01-22</v>
      </c>
      <c r="I1138" s="64">
        <f>DATEVALUE(tblLaborEntries[[#This Row],[Work date]])</f>
        <v>45319.0</v>
      </c>
    </row>
    <row r="1139" spans="1:9" ht="15" x14ac:dyDescent="0.25">
      <c r="A1139" s="53" t="inlineStr">
        <is>
          <t>LAB-001138</t>
        </is>
      </c>
      <c r="B1139" s="53" t="inlineStr">
        <is>
          <t>WP-00501</t>
        </is>
      </c>
      <c r="C1139" s="53" t="inlineStr">
        <is>
          <t>TECH-031</t>
        </is>
      </c>
      <c r="D1139" s="53" t="inlineStr">
        <is>
          <t>Airframe</t>
        </is>
      </c>
      <c r="E1139" s="53" t="inlineStr">
        <is>
          <t>2024-01-29</t>
        </is>
      </c>
      <c r="F1139" s="53">
        <v>2.8</v>
      </c>
      <c r="G1139" s="53">
        <v>0</v>
      </c>
      <c r="H1139" s="51" t="str">
        <f>TEXT(tblLaborEntries[[#This Row],[Work date serial]]-WEEKDAY(tblLaborEntries[[#This Row],[Work date serial]],3),"yyyy-mm-dd")</f>
        <v>2024-01-29</v>
      </c>
      <c r="I1139" s="64">
        <f>DATEVALUE(tblLaborEntries[[#This Row],[Work date]])</f>
        <v>45320.0</v>
      </c>
    </row>
    <row r="1140" spans="1:9" ht="15" x14ac:dyDescent="0.25">
      <c r="A1140" s="53" t="inlineStr">
        <is>
          <t>LAB-001139</t>
        </is>
      </c>
      <c r="B1140" s="53" t="inlineStr">
        <is>
          <t>WP-00502</t>
        </is>
      </c>
      <c r="C1140" s="53" t="inlineStr">
        <is>
          <t>TECH-031</t>
        </is>
      </c>
      <c r="D1140" s="53" t="inlineStr">
        <is>
          <t>Airframe</t>
        </is>
      </c>
      <c r="E1140" s="53" t="inlineStr">
        <is>
          <t>2025-07-01</t>
        </is>
      </c>
      <c r="F1140" s="53">
        <v>4.8</v>
      </c>
      <c r="G1140" s="53">
        <v>0</v>
      </c>
      <c r="H1140" s="51" t="str">
        <f>TEXT(tblLaborEntries[[#This Row],[Work date serial]]-WEEKDAY(tblLaborEntries[[#This Row],[Work date serial]],3),"yyyy-mm-dd")</f>
        <v>2025-06-30</v>
      </c>
      <c r="I1140" s="64">
        <f>DATEVALUE(tblLaborEntries[[#This Row],[Work date]])</f>
        <v>45839.0</v>
      </c>
    </row>
    <row r="1141" spans="1:9" ht="15" x14ac:dyDescent="0.25">
      <c r="A1141" s="53" t="inlineStr">
        <is>
          <t>LAB-001140</t>
        </is>
      </c>
      <c r="B1141" s="53" t="inlineStr">
        <is>
          <t>WP-00503</t>
        </is>
      </c>
      <c r="C1141" s="53" t="inlineStr">
        <is>
          <t>TECH-005</t>
        </is>
      </c>
      <c r="D1141" s="53" t="inlineStr">
        <is>
          <t>Structures</t>
        </is>
      </c>
      <c r="E1141" s="53" t="inlineStr">
        <is>
          <t>2025-04-04</t>
        </is>
      </c>
      <c r="F1141" s="53">
        <v>1.1</v>
      </c>
      <c r="G1141" s="53">
        <v>0</v>
      </c>
      <c r="H1141" s="51" t="str">
        <f>TEXT(tblLaborEntries[[#This Row],[Work date serial]]-WEEKDAY(tblLaborEntries[[#This Row],[Work date serial]],3),"yyyy-mm-dd")</f>
        <v>2025-03-31</v>
      </c>
      <c r="I1141" s="64">
        <f>DATEVALUE(tblLaborEntries[[#This Row],[Work date]])</f>
        <v>45751.0</v>
      </c>
    </row>
    <row r="1142" spans="1:9" ht="15" x14ac:dyDescent="0.25">
      <c r="A1142" s="53" t="inlineStr">
        <is>
          <t>LAB-001141</t>
        </is>
      </c>
      <c r="B1142" s="53" t="inlineStr">
        <is>
          <t>WP-00503</t>
        </is>
      </c>
      <c r="C1142" s="53" t="inlineStr">
        <is>
          <t>TECH-011</t>
        </is>
      </c>
      <c r="D1142" s="53" t="inlineStr">
        <is>
          <t>Structures</t>
        </is>
      </c>
      <c r="E1142" s="53" t="inlineStr">
        <is>
          <t>2025-04-04</t>
        </is>
      </c>
      <c r="F1142" s="53">
        <v>12</v>
      </c>
      <c r="G1142" s="53">
        <v>4</v>
      </c>
      <c r="H1142" s="51" t="str">
        <f>TEXT(tblLaborEntries[[#This Row],[Work date serial]]-WEEKDAY(tblLaborEntries[[#This Row],[Work date serial]],3),"yyyy-mm-dd")</f>
        <v>2025-03-31</v>
      </c>
      <c r="I1142" s="64">
        <f>DATEVALUE(tblLaborEntries[[#This Row],[Work date]])</f>
        <v>45751.0</v>
      </c>
    </row>
    <row r="1143" spans="1:9" ht="15" x14ac:dyDescent="0.25">
      <c r="A1143" s="53" t="inlineStr">
        <is>
          <t>LAB-001142</t>
        </is>
      </c>
      <c r="B1143" s="53" t="inlineStr">
        <is>
          <t>WP-00504</t>
        </is>
      </c>
      <c r="C1143" s="53" t="inlineStr">
        <is>
          <t>TECH-069</t>
        </is>
      </c>
      <c r="D1143" s="53" t="inlineStr">
        <is>
          <t>Hydraulics</t>
        </is>
      </c>
      <c r="E1143" s="53" t="inlineStr">
        <is>
          <t>2024-08-07</t>
        </is>
      </c>
      <c r="F1143" s="53">
        <v>3.7</v>
      </c>
      <c r="G1143" s="53">
        <v>0</v>
      </c>
      <c r="H1143" s="51" t="str">
        <f>TEXT(tblLaborEntries[[#This Row],[Work date serial]]-WEEKDAY(tblLaborEntries[[#This Row],[Work date serial]],3),"yyyy-mm-dd")</f>
        <v>2024-08-05</v>
      </c>
      <c r="I1143" s="64">
        <f>DATEVALUE(tblLaborEntries[[#This Row],[Work date]])</f>
        <v>45511.0</v>
      </c>
    </row>
    <row r="1144" spans="1:9" ht="15" x14ac:dyDescent="0.25">
      <c r="A1144" s="53" t="inlineStr">
        <is>
          <t>LAB-001143</t>
        </is>
      </c>
      <c r="B1144" s="53" t="inlineStr">
        <is>
          <t>WP-00504</t>
        </is>
      </c>
      <c r="C1144" s="53" t="inlineStr">
        <is>
          <t>TECH-039</t>
        </is>
      </c>
      <c r="D1144" s="53" t="inlineStr">
        <is>
          <t>Hydraulics</t>
        </is>
      </c>
      <c r="E1144" s="53" t="inlineStr">
        <is>
          <t>2024-08-08</t>
        </is>
      </c>
      <c r="F1144" s="53">
        <v>2.8</v>
      </c>
      <c r="G1144" s="53">
        <v>0</v>
      </c>
      <c r="H1144" s="51" t="str">
        <f>TEXT(tblLaborEntries[[#This Row],[Work date serial]]-WEEKDAY(tblLaborEntries[[#This Row],[Work date serial]],3),"yyyy-mm-dd")</f>
        <v>2024-08-05</v>
      </c>
      <c r="I1144" s="64">
        <f>DATEVALUE(tblLaborEntries[[#This Row],[Work date]])</f>
        <v>45512.0</v>
      </c>
    </row>
    <row r="1145" spans="1:9" ht="15" x14ac:dyDescent="0.25">
      <c r="A1145" s="53" t="inlineStr">
        <is>
          <t>LAB-001144</t>
        </is>
      </c>
      <c r="B1145" s="53" t="inlineStr">
        <is>
          <t>WP-00504</t>
        </is>
      </c>
      <c r="C1145" s="53" t="inlineStr">
        <is>
          <t>TECH-051</t>
        </is>
      </c>
      <c r="D1145" s="53" t="inlineStr">
        <is>
          <t>Hydraulics</t>
        </is>
      </c>
      <c r="E1145" s="53" t="inlineStr">
        <is>
          <t>2024-08-09</t>
        </is>
      </c>
      <c r="F1145" s="53">
        <v>4.2</v>
      </c>
      <c r="G1145" s="53">
        <v>0</v>
      </c>
      <c r="H1145" s="51" t="str">
        <f>TEXT(tblLaborEntries[[#This Row],[Work date serial]]-WEEKDAY(tblLaborEntries[[#This Row],[Work date serial]],3),"yyyy-mm-dd")</f>
        <v>2024-08-05</v>
      </c>
      <c r="I1145" s="64">
        <f>DATEVALUE(tblLaborEntries[[#This Row],[Work date]])</f>
        <v>45513.0</v>
      </c>
    </row>
    <row r="1146" spans="1:9" ht="15" x14ac:dyDescent="0.25">
      <c r="A1146" s="53" t="inlineStr">
        <is>
          <t>LAB-001145</t>
        </is>
      </c>
      <c r="B1146" s="53" t="inlineStr">
        <is>
          <t>WP-00505</t>
        </is>
      </c>
      <c r="C1146" s="53" t="inlineStr">
        <is>
          <t>TECH-053</t>
        </is>
      </c>
      <c r="D1146" s="53" t="inlineStr">
        <is>
          <t>Structures</t>
        </is>
      </c>
      <c r="E1146" s="53" t="inlineStr">
        <is>
          <t>2025-05-01</t>
        </is>
      </c>
      <c r="F1146" s="53">
        <v>8.4</v>
      </c>
      <c r="G1146" s="53">
        <v>0.4</v>
      </c>
      <c r="H1146" s="51" t="str">
        <f>TEXT(tblLaborEntries[[#This Row],[Work date serial]]-WEEKDAY(tblLaborEntries[[#This Row],[Work date serial]],3),"yyyy-mm-dd")</f>
        <v>2025-04-28</v>
      </c>
      <c r="I1146" s="64">
        <f>DATEVALUE(tblLaborEntries[[#This Row],[Work date]])</f>
        <v>45778.0</v>
      </c>
    </row>
    <row r="1147" spans="1:9" ht="15" x14ac:dyDescent="0.25">
      <c r="A1147" s="53" t="inlineStr">
        <is>
          <t>LAB-001146</t>
        </is>
      </c>
      <c r="B1147" s="53" t="inlineStr">
        <is>
          <t>WP-00505</t>
        </is>
      </c>
      <c r="C1147" s="53" t="inlineStr">
        <is>
          <t>TECH-011</t>
        </is>
      </c>
      <c r="D1147" s="53" t="inlineStr">
        <is>
          <t>Structures</t>
        </is>
      </c>
      <c r="E1147" s="53" t="inlineStr">
        <is>
          <t>2025-05-02</t>
        </is>
      </c>
      <c r="F1147" s="53">
        <v>0.4</v>
      </c>
      <c r="G1147" s="53">
        <v>0</v>
      </c>
      <c r="H1147" s="51" t="str">
        <f>TEXT(tblLaborEntries[[#This Row],[Work date serial]]-WEEKDAY(tblLaborEntries[[#This Row],[Work date serial]],3),"yyyy-mm-dd")</f>
        <v>2025-04-28</v>
      </c>
      <c r="I1147" s="64">
        <f>DATEVALUE(tblLaborEntries[[#This Row],[Work date]])</f>
        <v>45779.0</v>
      </c>
    </row>
    <row r="1148" spans="1:9" ht="15" x14ac:dyDescent="0.25">
      <c r="A1148" s="53" t="inlineStr">
        <is>
          <t>LAB-001147</t>
        </is>
      </c>
      <c r="B1148" s="53" t="inlineStr">
        <is>
          <t>WP-00505</t>
        </is>
      </c>
      <c r="C1148" s="53" t="inlineStr">
        <is>
          <t>TECH-047</t>
        </is>
      </c>
      <c r="D1148" s="53" t="inlineStr">
        <is>
          <t>Structures</t>
        </is>
      </c>
      <c r="E1148" s="53" t="inlineStr">
        <is>
          <t>2025-05-02</t>
        </is>
      </c>
      <c r="F1148" s="53">
        <v>12</v>
      </c>
      <c r="G1148" s="53">
        <v>4</v>
      </c>
      <c r="H1148" s="51" t="str">
        <f>TEXT(tblLaborEntries[[#This Row],[Work date serial]]-WEEKDAY(tblLaborEntries[[#This Row],[Work date serial]],3),"yyyy-mm-dd")</f>
        <v>2025-04-28</v>
      </c>
      <c r="I1148" s="64">
        <f>DATEVALUE(tblLaborEntries[[#This Row],[Work date]])</f>
        <v>45779.0</v>
      </c>
    </row>
    <row r="1149" spans="1:9" ht="15" x14ac:dyDescent="0.25">
      <c r="A1149" s="53" t="inlineStr">
        <is>
          <t>LAB-001148</t>
        </is>
      </c>
      <c r="B1149" s="53" t="inlineStr">
        <is>
          <t>WP-00506</t>
        </is>
      </c>
      <c r="C1149" s="53" t="inlineStr">
        <is>
          <t>TECH-002</t>
        </is>
      </c>
      <c r="D1149" s="53" t="inlineStr">
        <is>
          <t>Avionics</t>
        </is>
      </c>
      <c r="E1149" s="53" t="inlineStr">
        <is>
          <t>2024-07-01</t>
        </is>
      </c>
      <c r="F1149" s="53">
        <v>3.6</v>
      </c>
      <c r="G1149" s="53">
        <v>0</v>
      </c>
      <c r="H1149" s="51" t="str">
        <f>TEXT(tblLaborEntries[[#This Row],[Work date serial]]-WEEKDAY(tblLaborEntries[[#This Row],[Work date serial]],3),"yyyy-mm-dd")</f>
        <v>2024-07-01</v>
      </c>
      <c r="I1149" s="64">
        <f>DATEVALUE(tblLaborEntries[[#This Row],[Work date]])</f>
        <v>45474.0</v>
      </c>
    </row>
    <row r="1150" spans="1:9" ht="15" x14ac:dyDescent="0.25">
      <c r="A1150" s="53" t="inlineStr">
        <is>
          <t>LAB-001149</t>
        </is>
      </c>
      <c r="B1150" s="53" t="inlineStr">
        <is>
          <t>WP-00506</t>
        </is>
      </c>
      <c r="C1150" s="53" t="inlineStr">
        <is>
          <t>TECH-068</t>
        </is>
      </c>
      <c r="D1150" s="53" t="inlineStr">
        <is>
          <t>Avionics</t>
        </is>
      </c>
      <c r="E1150" s="53" t="inlineStr">
        <is>
          <t>2024-07-02</t>
        </is>
      </c>
      <c r="F1150" s="53">
        <v>4.3</v>
      </c>
      <c r="G1150" s="53">
        <v>0</v>
      </c>
      <c r="H1150" s="51" t="str">
        <f>TEXT(tblLaborEntries[[#This Row],[Work date serial]]-WEEKDAY(tblLaborEntries[[#This Row],[Work date serial]],3),"yyyy-mm-dd")</f>
        <v>2024-07-01</v>
      </c>
      <c r="I1150" s="64">
        <f>DATEVALUE(tblLaborEntries[[#This Row],[Work date]])</f>
        <v>45475.0</v>
      </c>
    </row>
    <row r="1151" spans="1:9" ht="15" x14ac:dyDescent="0.25">
      <c r="A1151" s="53" t="inlineStr">
        <is>
          <t>LAB-001150</t>
        </is>
      </c>
      <c r="B1151" s="53" t="inlineStr">
        <is>
          <t>WP-00507</t>
        </is>
      </c>
      <c r="C1151" s="53" t="inlineStr">
        <is>
          <t>TECH-002</t>
        </is>
      </c>
      <c r="D1151" s="53" t="inlineStr">
        <is>
          <t>Avionics</t>
        </is>
      </c>
      <c r="E1151" s="53" t="inlineStr">
        <is>
          <t>2024-09-06</t>
        </is>
      </c>
      <c r="F1151" s="53">
        <v>4.3</v>
      </c>
      <c r="G1151" s="53">
        <v>0</v>
      </c>
      <c r="H1151" s="51" t="str">
        <f>TEXT(tblLaborEntries[[#This Row],[Work date serial]]-WEEKDAY(tblLaborEntries[[#This Row],[Work date serial]],3),"yyyy-mm-dd")</f>
        <v>2024-09-02</v>
      </c>
      <c r="I1151" s="64">
        <f>DATEVALUE(tblLaborEntries[[#This Row],[Work date]])</f>
        <v>45541.0</v>
      </c>
    </row>
    <row r="1152" spans="1:9" ht="15" x14ac:dyDescent="0.25">
      <c r="A1152" s="53" t="inlineStr">
        <is>
          <t>LAB-001151</t>
        </is>
      </c>
      <c r="B1152" s="53" t="inlineStr">
        <is>
          <t>WP-00508</t>
        </is>
      </c>
      <c r="C1152" s="53" t="inlineStr">
        <is>
          <t>TECH-074</t>
        </is>
      </c>
      <c r="D1152" s="53" t="inlineStr">
        <is>
          <t>Avionics</t>
        </is>
      </c>
      <c r="E1152" s="53" t="inlineStr">
        <is>
          <t>2025-02-23</t>
        </is>
      </c>
      <c r="F1152" s="53">
        <v>3.7</v>
      </c>
      <c r="G1152" s="53">
        <v>0</v>
      </c>
      <c r="H1152" s="51" t="str">
        <f>TEXT(tblLaborEntries[[#This Row],[Work date serial]]-WEEKDAY(tblLaborEntries[[#This Row],[Work date serial]],3),"yyyy-mm-dd")</f>
        <v>2025-02-17</v>
      </c>
      <c r="I1152" s="64">
        <f>DATEVALUE(tblLaborEntries[[#This Row],[Work date]])</f>
        <v>45711.0</v>
      </c>
    </row>
    <row r="1153" spans="1:9" ht="15" x14ac:dyDescent="0.25">
      <c r="A1153" s="53" t="inlineStr">
        <is>
          <t>LAB-001152</t>
        </is>
      </c>
      <c r="B1153" s="53" t="inlineStr">
        <is>
          <t>WP-00508</t>
        </is>
      </c>
      <c r="C1153" s="53" t="inlineStr">
        <is>
          <t>TECH-032</t>
        </is>
      </c>
      <c r="D1153" s="53" t="inlineStr">
        <is>
          <t>Avionics</t>
        </is>
      </c>
      <c r="E1153" s="53" t="inlineStr">
        <is>
          <t>2025-02-24</t>
        </is>
      </c>
      <c r="F1153" s="53">
        <v>3.4</v>
      </c>
      <c r="G1153" s="53">
        <v>0</v>
      </c>
      <c r="H1153" s="51" t="str">
        <f>TEXT(tblLaborEntries[[#This Row],[Work date serial]]-WEEKDAY(tblLaborEntries[[#This Row],[Work date serial]],3),"yyyy-mm-dd")</f>
        <v>2025-02-24</v>
      </c>
      <c r="I1153" s="64">
        <f>DATEVALUE(tblLaborEntries[[#This Row],[Work date]])</f>
        <v>45712.0</v>
      </c>
    </row>
    <row r="1154" spans="1:9" ht="15" x14ac:dyDescent="0.25">
      <c r="A1154" s="53" t="inlineStr">
        <is>
          <t>LAB-001153</t>
        </is>
      </c>
      <c r="B1154" s="53" t="inlineStr">
        <is>
          <t>WP-00508</t>
        </is>
      </c>
      <c r="C1154" s="53" t="inlineStr">
        <is>
          <t>TECH-062</t>
        </is>
      </c>
      <c r="D1154" s="53" t="inlineStr">
        <is>
          <t>Avionics</t>
        </is>
      </c>
      <c r="E1154" s="53" t="inlineStr">
        <is>
          <t>2025-02-25</t>
        </is>
      </c>
      <c r="F1154" s="53">
        <v>2.8</v>
      </c>
      <c r="G1154" s="53">
        <v>0</v>
      </c>
      <c r="H1154" s="51" t="str">
        <f>TEXT(tblLaborEntries[[#This Row],[Work date serial]]-WEEKDAY(tblLaborEntries[[#This Row],[Work date serial]],3),"yyyy-mm-dd")</f>
        <v>2025-02-24</v>
      </c>
      <c r="I1154" s="64">
        <f>DATEVALUE(tblLaborEntries[[#This Row],[Work date]])</f>
        <v>45713.0</v>
      </c>
    </row>
    <row r="1155" spans="1:9" ht="15" x14ac:dyDescent="0.25">
      <c r="A1155" s="53" t="inlineStr">
        <is>
          <t>LAB-001154</t>
        </is>
      </c>
      <c r="B1155" s="53" t="inlineStr">
        <is>
          <t>WP-00509</t>
        </is>
      </c>
      <c r="C1155" s="53" t="inlineStr">
        <is>
          <t>TECH-032</t>
        </is>
      </c>
      <c r="D1155" s="53" t="inlineStr">
        <is>
          <t>Avionics</t>
        </is>
      </c>
      <c r="E1155" s="53" t="inlineStr">
        <is>
          <t>2025-04-30</t>
        </is>
      </c>
      <c r="F1155" s="53">
        <v>10</v>
      </c>
      <c r="G1155" s="53">
        <v>2</v>
      </c>
      <c r="H1155" s="51" t="str">
        <f>TEXT(tblLaborEntries[[#This Row],[Work date serial]]-WEEKDAY(tblLaborEntries[[#This Row],[Work date serial]],3),"yyyy-mm-dd")</f>
        <v>2025-04-28</v>
      </c>
      <c r="I1155" s="64">
        <f>DATEVALUE(tblLaborEntries[[#This Row],[Work date]])</f>
        <v>45777.0</v>
      </c>
    </row>
    <row r="1156" spans="1:9" ht="15" x14ac:dyDescent="0.25">
      <c r="A1156" s="53" t="inlineStr">
        <is>
          <t>LAB-001155</t>
        </is>
      </c>
      <c r="B1156" s="53" t="inlineStr">
        <is>
          <t>WP-00509</t>
        </is>
      </c>
      <c r="C1156" s="53" t="inlineStr">
        <is>
          <t>TECH-014</t>
        </is>
      </c>
      <c r="D1156" s="53" t="inlineStr">
        <is>
          <t>Avionics</t>
        </is>
      </c>
      <c r="E1156" s="53" t="inlineStr">
        <is>
          <t>2025-05-01</t>
        </is>
      </c>
      <c r="F1156" s="53">
        <v>11.2</v>
      </c>
      <c r="G1156" s="53">
        <v>3.2</v>
      </c>
      <c r="H1156" s="51" t="str">
        <f>TEXT(tblLaborEntries[[#This Row],[Work date serial]]-WEEKDAY(tblLaborEntries[[#This Row],[Work date serial]],3),"yyyy-mm-dd")</f>
        <v>2025-04-28</v>
      </c>
      <c r="I1156" s="64">
        <f>DATEVALUE(tblLaborEntries[[#This Row],[Work date]])</f>
        <v>45778.0</v>
      </c>
    </row>
    <row r="1157" spans="1:9" ht="15" x14ac:dyDescent="0.25">
      <c r="A1157" s="53" t="inlineStr">
        <is>
          <t>LAB-001156</t>
        </is>
      </c>
      <c r="B1157" s="53" t="inlineStr">
        <is>
          <t>WP-00510</t>
        </is>
      </c>
      <c r="C1157" s="53" t="inlineStr">
        <is>
          <t>TECH-033</t>
        </is>
      </c>
      <c r="D1157" s="53" t="inlineStr">
        <is>
          <t>Hydraulics</t>
        </is>
      </c>
      <c r="E1157" s="53" t="inlineStr">
        <is>
          <t>2024-09-04</t>
        </is>
      </c>
      <c r="F1157" s="53">
        <v>1.5</v>
      </c>
      <c r="G1157" s="53">
        <v>0</v>
      </c>
      <c r="H1157" s="51" t="str">
        <f>TEXT(tblLaborEntries[[#This Row],[Work date serial]]-WEEKDAY(tblLaborEntries[[#This Row],[Work date serial]],3),"yyyy-mm-dd")</f>
        <v>2024-09-02</v>
      </c>
      <c r="I1157" s="64">
        <f>DATEVALUE(tblLaborEntries[[#This Row],[Work date]])</f>
        <v>45539.0</v>
      </c>
    </row>
    <row r="1158" spans="1:9" ht="15" x14ac:dyDescent="0.25">
      <c r="A1158" s="53" t="inlineStr">
        <is>
          <t>LAB-001157</t>
        </is>
      </c>
      <c r="B1158" s="53" t="inlineStr">
        <is>
          <t>WP-00510</t>
        </is>
      </c>
      <c r="C1158" s="53" t="inlineStr">
        <is>
          <t>TECH-075</t>
        </is>
      </c>
      <c r="D1158" s="53" t="inlineStr">
        <is>
          <t>Hydraulics</t>
        </is>
      </c>
      <c r="E1158" s="53" t="inlineStr">
        <is>
          <t>2024-09-05</t>
        </is>
      </c>
      <c r="F1158" s="53">
        <v>1.5</v>
      </c>
      <c r="G1158" s="53">
        <v>0</v>
      </c>
      <c r="H1158" s="51" t="str">
        <f>TEXT(tblLaborEntries[[#This Row],[Work date serial]]-WEEKDAY(tblLaborEntries[[#This Row],[Work date serial]],3),"yyyy-mm-dd")</f>
        <v>2024-09-02</v>
      </c>
      <c r="I1158" s="64">
        <f>DATEVALUE(tblLaborEntries[[#This Row],[Work date]])</f>
        <v>45540.0</v>
      </c>
    </row>
    <row r="1159" spans="1:9" ht="15" x14ac:dyDescent="0.25">
      <c r="A1159" s="53" t="inlineStr">
        <is>
          <t>LAB-001158</t>
        </is>
      </c>
      <c r="B1159" s="53" t="inlineStr">
        <is>
          <t>WP-00510</t>
        </is>
      </c>
      <c r="C1159" s="53" t="inlineStr">
        <is>
          <t>TECH-051</t>
        </is>
      </c>
      <c r="D1159" s="53" t="inlineStr">
        <is>
          <t>Hydraulics</t>
        </is>
      </c>
      <c r="E1159" s="53" t="inlineStr">
        <is>
          <t>2024-09-06</t>
        </is>
      </c>
      <c r="F1159" s="53">
        <v>1.9</v>
      </c>
      <c r="G1159" s="53">
        <v>0</v>
      </c>
      <c r="H1159" s="51" t="str">
        <f>TEXT(tblLaborEntries[[#This Row],[Work date serial]]-WEEKDAY(tblLaborEntries[[#This Row],[Work date serial]],3),"yyyy-mm-dd")</f>
        <v>2024-09-02</v>
      </c>
      <c r="I1159" s="64">
        <f>DATEVALUE(tblLaborEntries[[#This Row],[Work date]])</f>
        <v>45541.0</v>
      </c>
    </row>
    <row r="1160" spans="1:9" ht="15" x14ac:dyDescent="0.25">
      <c r="A1160" s="53" t="inlineStr">
        <is>
          <t>LAB-001159</t>
        </is>
      </c>
      <c r="B1160" s="53" t="inlineStr">
        <is>
          <t>WP-00511</t>
        </is>
      </c>
      <c r="C1160" s="53" t="inlineStr">
        <is>
          <t>TECH-008</t>
        </is>
      </c>
      <c r="D1160" s="53" t="inlineStr">
        <is>
          <t>Avionics</t>
        </is>
      </c>
      <c r="E1160" s="53" t="inlineStr">
        <is>
          <t>2025-09-05</t>
        </is>
      </c>
      <c r="F1160" s="53">
        <v>2.3</v>
      </c>
      <c r="G1160" s="53">
        <v>0</v>
      </c>
      <c r="H1160" s="51" t="str">
        <f>TEXT(tblLaborEntries[[#This Row],[Work date serial]]-WEEKDAY(tblLaborEntries[[#This Row],[Work date serial]],3),"yyyy-mm-dd")</f>
        <v>2025-09-01</v>
      </c>
      <c r="I1160" s="64">
        <f>DATEVALUE(tblLaborEntries[[#This Row],[Work date]])</f>
        <v>45905.0</v>
      </c>
    </row>
    <row r="1161" spans="1:9" ht="15" x14ac:dyDescent="0.25">
      <c r="A1161" s="53" t="inlineStr">
        <is>
          <t>LAB-001160</t>
        </is>
      </c>
      <c r="B1161" s="53" t="inlineStr">
        <is>
          <t>WP-00511</t>
        </is>
      </c>
      <c r="C1161" s="53" t="inlineStr">
        <is>
          <t>TECH-014</t>
        </is>
      </c>
      <c r="D1161" s="53" t="inlineStr">
        <is>
          <t>Avionics</t>
        </is>
      </c>
      <c r="E1161" s="53" t="inlineStr">
        <is>
          <t>2025-09-06</t>
        </is>
      </c>
      <c r="F1161" s="53">
        <v>1.9</v>
      </c>
      <c r="G1161" s="53">
        <v>0</v>
      </c>
      <c r="H1161" s="51" t="str">
        <f>TEXT(tblLaborEntries[[#This Row],[Work date serial]]-WEEKDAY(tblLaborEntries[[#This Row],[Work date serial]],3),"yyyy-mm-dd")</f>
        <v>2025-09-01</v>
      </c>
      <c r="I1161" s="64">
        <f>DATEVALUE(tblLaborEntries[[#This Row],[Work date]])</f>
        <v>45906.0</v>
      </c>
    </row>
    <row r="1162" spans="1:9" ht="15" x14ac:dyDescent="0.25">
      <c r="A1162" s="53" t="inlineStr">
        <is>
          <t>LAB-001161</t>
        </is>
      </c>
      <c r="B1162" s="53" t="inlineStr">
        <is>
          <t>WP-00511</t>
        </is>
      </c>
      <c r="C1162" s="53" t="inlineStr">
        <is>
          <t>TECH-020</t>
        </is>
      </c>
      <c r="D1162" s="53" t="inlineStr">
        <is>
          <t>Avionics</t>
        </is>
      </c>
      <c r="E1162" s="53" t="inlineStr">
        <is>
          <t>2025-09-07</t>
        </is>
      </c>
      <c r="F1162" s="53">
        <v>2.1</v>
      </c>
      <c r="G1162" s="53">
        <v>0</v>
      </c>
      <c r="H1162" s="51" t="str">
        <f>TEXT(tblLaborEntries[[#This Row],[Work date serial]]-WEEKDAY(tblLaborEntries[[#This Row],[Work date serial]],3),"yyyy-mm-dd")</f>
        <v>2025-09-01</v>
      </c>
      <c r="I1162" s="64">
        <f>DATEVALUE(tblLaborEntries[[#This Row],[Work date]])</f>
        <v>45907.0</v>
      </c>
    </row>
    <row r="1163" spans="1:9" ht="15" x14ac:dyDescent="0.25">
      <c r="A1163" s="53" t="inlineStr">
        <is>
          <t>LAB-001162</t>
        </is>
      </c>
      <c r="B1163" s="53" t="inlineStr">
        <is>
          <t>WP-00512</t>
        </is>
      </c>
      <c r="C1163" s="53" t="inlineStr">
        <is>
          <t>TECH-030</t>
        </is>
      </c>
      <c r="D1163" s="53" t="inlineStr">
        <is>
          <t>Powerplant</t>
        </is>
      </c>
      <c r="E1163" s="53" t="inlineStr">
        <is>
          <t>2024-03-30</t>
        </is>
      </c>
      <c r="F1163" s="53">
        <v>2.6</v>
      </c>
      <c r="G1163" s="53">
        <v>0</v>
      </c>
      <c r="H1163" s="51" t="str">
        <f>TEXT(tblLaborEntries[[#This Row],[Work date serial]]-WEEKDAY(tblLaborEntries[[#This Row],[Work date serial]],3),"yyyy-mm-dd")</f>
        <v>2024-03-25</v>
      </c>
      <c r="I1163" s="64">
        <f>DATEVALUE(tblLaborEntries[[#This Row],[Work date]])</f>
        <v>45381.0</v>
      </c>
    </row>
    <row r="1164" spans="1:9" ht="15" x14ac:dyDescent="0.25">
      <c r="A1164" s="53" t="inlineStr">
        <is>
          <t>LAB-001163</t>
        </is>
      </c>
      <c r="B1164" s="53" t="inlineStr">
        <is>
          <t>WP-00512</t>
        </is>
      </c>
      <c r="C1164" s="53" t="inlineStr">
        <is>
          <t>TECH-006</t>
        </is>
      </c>
      <c r="D1164" s="53" t="inlineStr">
        <is>
          <t>Powerplant</t>
        </is>
      </c>
      <c r="E1164" s="53" t="inlineStr">
        <is>
          <t>2024-03-31</t>
        </is>
      </c>
      <c r="F1164" s="53">
        <v>3.2</v>
      </c>
      <c r="G1164" s="53">
        <v>0</v>
      </c>
      <c r="H1164" s="51" t="str">
        <f>TEXT(tblLaborEntries[[#This Row],[Work date serial]]-WEEKDAY(tblLaborEntries[[#This Row],[Work date serial]],3),"yyyy-mm-dd")</f>
        <v>2024-03-25</v>
      </c>
      <c r="I1164" s="64">
        <f>DATEVALUE(tblLaborEntries[[#This Row],[Work date]])</f>
        <v>45382.0</v>
      </c>
    </row>
    <row r="1165" spans="1:9" ht="15" x14ac:dyDescent="0.25">
      <c r="A1165" s="53" t="inlineStr">
        <is>
          <t>LAB-001164</t>
        </is>
      </c>
      <c r="B1165" s="53" t="inlineStr">
        <is>
          <t>WP-00513</t>
        </is>
      </c>
      <c r="C1165" s="53" t="inlineStr">
        <is>
          <t>TECH-072</t>
        </is>
      </c>
      <c r="D1165" s="53" t="inlineStr">
        <is>
          <t>Powerplant</t>
        </is>
      </c>
      <c r="E1165" s="53" t="inlineStr">
        <is>
          <t>2025-07-18</t>
        </is>
      </c>
      <c r="F1165" s="53">
        <v>7.5</v>
      </c>
      <c r="G1165" s="53">
        <v>0</v>
      </c>
      <c r="H1165" s="51" t="str">
        <f>TEXT(tblLaborEntries[[#This Row],[Work date serial]]-WEEKDAY(tblLaborEntries[[#This Row],[Work date serial]],3),"yyyy-mm-dd")</f>
        <v>2025-07-14</v>
      </c>
      <c r="I1165" s="64">
        <f>DATEVALUE(tblLaborEntries[[#This Row],[Work date]])</f>
        <v>45856.0</v>
      </c>
    </row>
    <row r="1166" spans="1:9" ht="15" x14ac:dyDescent="0.25">
      <c r="A1166" s="53" t="inlineStr">
        <is>
          <t>LAB-001165</t>
        </is>
      </c>
      <c r="B1166" s="53" t="inlineStr">
        <is>
          <t>WP-00514</t>
        </is>
      </c>
      <c r="C1166" s="53" t="inlineStr">
        <is>
          <t>TECH-020</t>
        </is>
      </c>
      <c r="D1166" s="53" t="inlineStr">
        <is>
          <t>Avionics</t>
        </is>
      </c>
      <c r="E1166" s="53" t="inlineStr">
        <is>
          <t>2024-05-21</t>
        </is>
      </c>
      <c r="F1166" s="53">
        <v>10.6</v>
      </c>
      <c r="G1166" s="53">
        <v>2.6</v>
      </c>
      <c r="H1166" s="51" t="str">
        <f>TEXT(tblLaborEntries[[#This Row],[Work date serial]]-WEEKDAY(tblLaborEntries[[#This Row],[Work date serial]],3),"yyyy-mm-dd")</f>
        <v>2024-05-20</v>
      </c>
      <c r="I1166" s="64">
        <f>DATEVALUE(tblLaborEntries[[#This Row],[Work date]])</f>
        <v>45433.0</v>
      </c>
    </row>
    <row r="1167" spans="1:9" ht="15" x14ac:dyDescent="0.25">
      <c r="A1167" s="53" t="inlineStr">
        <is>
          <t>LAB-001166</t>
        </is>
      </c>
      <c r="B1167" s="53" t="inlineStr">
        <is>
          <t>WP-00515</t>
        </is>
      </c>
      <c r="C1167" s="53" t="inlineStr">
        <is>
          <t>TECH-005</t>
        </is>
      </c>
      <c r="D1167" s="53" t="inlineStr">
        <is>
          <t>Structures</t>
        </is>
      </c>
      <c r="E1167" s="53" t="inlineStr">
        <is>
          <t>2025-02-27</t>
        </is>
      </c>
      <c r="F1167" s="53">
        <v>11.4</v>
      </c>
      <c r="G1167" s="53">
        <v>3.4</v>
      </c>
      <c r="H1167" s="51" t="str">
        <f>TEXT(tblLaborEntries[[#This Row],[Work date serial]]-WEEKDAY(tblLaborEntries[[#This Row],[Work date serial]],3),"yyyy-mm-dd")</f>
        <v>2025-02-24</v>
      </c>
      <c r="I1167" s="64">
        <f>DATEVALUE(tblLaborEntries[[#This Row],[Work date]])</f>
        <v>45715.0</v>
      </c>
    </row>
    <row r="1168" spans="1:9" ht="15" x14ac:dyDescent="0.25">
      <c r="A1168" s="53" t="inlineStr">
        <is>
          <t>LAB-001167</t>
        </is>
      </c>
      <c r="B1168" s="53" t="inlineStr">
        <is>
          <t>WP-00515</t>
        </is>
      </c>
      <c r="C1168" s="53" t="inlineStr">
        <is>
          <t>TECH-071</t>
        </is>
      </c>
      <c r="D1168" s="53" t="inlineStr">
        <is>
          <t>Structures</t>
        </is>
      </c>
      <c r="E1168" s="53" t="inlineStr">
        <is>
          <t>2025-02-27</t>
        </is>
      </c>
      <c r="F1168" s="53">
        <v>12</v>
      </c>
      <c r="G1168" s="53">
        <v>4</v>
      </c>
      <c r="H1168" s="51" t="str">
        <f>TEXT(tblLaborEntries[[#This Row],[Work date serial]]-WEEKDAY(tblLaborEntries[[#This Row],[Work date serial]],3),"yyyy-mm-dd")</f>
        <v>2025-02-24</v>
      </c>
      <c r="I1168" s="64">
        <f>DATEVALUE(tblLaborEntries[[#This Row],[Work date]])</f>
        <v>45715.0</v>
      </c>
    </row>
    <row r="1169" spans="1:9" ht="15" x14ac:dyDescent="0.25">
      <c r="A1169" s="53" t="inlineStr">
        <is>
          <t>LAB-001168</t>
        </is>
      </c>
      <c r="B1169" s="53" t="inlineStr">
        <is>
          <t>WP-00516</t>
        </is>
      </c>
      <c r="C1169" s="53" t="inlineStr">
        <is>
          <t>TECH-018</t>
        </is>
      </c>
      <c r="D1169" s="53" t="inlineStr">
        <is>
          <t>Powerplant</t>
        </is>
      </c>
      <c r="E1169" s="53" t="inlineStr">
        <is>
          <t>2024-03-01</t>
        </is>
      </c>
      <c r="F1169" s="53">
        <v>7.9</v>
      </c>
      <c r="G1169" s="53">
        <v>0</v>
      </c>
      <c r="H1169" s="51" t="str">
        <f>TEXT(tblLaborEntries[[#This Row],[Work date serial]]-WEEKDAY(tblLaborEntries[[#This Row],[Work date serial]],3),"yyyy-mm-dd")</f>
        <v>2024-02-26</v>
      </c>
      <c r="I1169" s="64">
        <f>DATEVALUE(tblLaborEntries[[#This Row],[Work date]])</f>
        <v>45352.0</v>
      </c>
    </row>
    <row r="1170" spans="1:9" ht="15" x14ac:dyDescent="0.25">
      <c r="A1170" s="53" t="inlineStr">
        <is>
          <t>LAB-001169</t>
        </is>
      </c>
      <c r="B1170" s="53" t="inlineStr">
        <is>
          <t>WP-00517</t>
        </is>
      </c>
      <c r="C1170" s="53" t="inlineStr">
        <is>
          <t>TECH-073</t>
        </is>
      </c>
      <c r="D1170" s="53" t="inlineStr">
        <is>
          <t>Airframe</t>
        </is>
      </c>
      <c r="E1170" s="53" t="inlineStr">
        <is>
          <t>2024-03-21</t>
        </is>
      </c>
      <c r="F1170" s="53">
        <v>1.3</v>
      </c>
      <c r="G1170" s="53">
        <v>0</v>
      </c>
      <c r="H1170" s="51" t="str">
        <f>TEXT(tblLaborEntries[[#This Row],[Work date serial]]-WEEKDAY(tblLaborEntries[[#This Row],[Work date serial]],3),"yyyy-mm-dd")</f>
        <v>2024-03-18</v>
      </c>
      <c r="I1170" s="64">
        <f>DATEVALUE(tblLaborEntries[[#This Row],[Work date]])</f>
        <v>45372.0</v>
      </c>
    </row>
    <row r="1171" spans="1:9" ht="15" x14ac:dyDescent="0.25">
      <c r="A1171" s="53" t="inlineStr">
        <is>
          <t>LAB-001170</t>
        </is>
      </c>
      <c r="B1171" s="53" t="inlineStr">
        <is>
          <t>WP-00517</t>
        </is>
      </c>
      <c r="C1171" s="53" t="inlineStr">
        <is>
          <t>TECH-001</t>
        </is>
      </c>
      <c r="D1171" s="53" t="inlineStr">
        <is>
          <t>Airframe</t>
        </is>
      </c>
      <c r="E1171" s="53" t="inlineStr">
        <is>
          <t>2024-03-22</t>
        </is>
      </c>
      <c r="F1171" s="53">
        <v>1</v>
      </c>
      <c r="G1171" s="53">
        <v>0</v>
      </c>
      <c r="H1171" s="51" t="str">
        <f>TEXT(tblLaborEntries[[#This Row],[Work date serial]]-WEEKDAY(tblLaborEntries[[#This Row],[Work date serial]],3),"yyyy-mm-dd")</f>
        <v>2024-03-18</v>
      </c>
      <c r="I1171" s="64">
        <f>DATEVALUE(tblLaborEntries[[#This Row],[Work date]])</f>
        <v>45373.0</v>
      </c>
    </row>
    <row r="1172" spans="1:9" ht="15" x14ac:dyDescent="0.25">
      <c r="A1172" s="53" t="inlineStr">
        <is>
          <t>LAB-001171</t>
        </is>
      </c>
      <c r="B1172" s="53" t="inlineStr">
        <is>
          <t>WP-00518</t>
        </is>
      </c>
      <c r="C1172" s="53" t="inlineStr">
        <is>
          <t>TECH-037</t>
        </is>
      </c>
      <c r="D1172" s="53" t="inlineStr">
        <is>
          <t>Airframe</t>
        </is>
      </c>
      <c r="E1172" s="53" t="inlineStr">
        <is>
          <t>2024-10-15</t>
        </is>
      </c>
      <c r="F1172" s="53">
        <v>3</v>
      </c>
      <c r="G1172" s="53">
        <v>0</v>
      </c>
      <c r="H1172" s="51" t="str">
        <f>TEXT(tblLaborEntries[[#This Row],[Work date serial]]-WEEKDAY(tblLaborEntries[[#This Row],[Work date serial]],3),"yyyy-mm-dd")</f>
        <v>2024-10-14</v>
      </c>
      <c r="I1172" s="64">
        <f>DATEVALUE(tblLaborEntries[[#This Row],[Work date]])</f>
        <v>45580.0</v>
      </c>
    </row>
    <row r="1173" spans="1:9" ht="15" x14ac:dyDescent="0.25">
      <c r="A1173" s="53" t="inlineStr">
        <is>
          <t>LAB-001172</t>
        </is>
      </c>
      <c r="B1173" s="53" t="inlineStr">
        <is>
          <t>WP-00518</t>
        </is>
      </c>
      <c r="C1173" s="53" t="inlineStr">
        <is>
          <t>TECH-055</t>
        </is>
      </c>
      <c r="D1173" s="53" t="inlineStr">
        <is>
          <t>Airframe</t>
        </is>
      </c>
      <c r="E1173" s="53" t="inlineStr">
        <is>
          <t>2024-10-16</t>
        </is>
      </c>
      <c r="F1173" s="53">
        <v>3.4</v>
      </c>
      <c r="G1173" s="53">
        <v>0</v>
      </c>
      <c r="H1173" s="51" t="str">
        <f>TEXT(tblLaborEntries[[#This Row],[Work date serial]]-WEEKDAY(tblLaborEntries[[#This Row],[Work date serial]],3),"yyyy-mm-dd")</f>
        <v>2024-10-14</v>
      </c>
      <c r="I1173" s="64">
        <f>DATEVALUE(tblLaborEntries[[#This Row],[Work date]])</f>
        <v>45581.0</v>
      </c>
    </row>
    <row r="1174" spans="1:9" ht="15" x14ac:dyDescent="0.25">
      <c r="A1174" s="53" t="inlineStr">
        <is>
          <t>LAB-001173</t>
        </is>
      </c>
      <c r="B1174" s="53" t="inlineStr">
        <is>
          <t>WP-00518</t>
        </is>
      </c>
      <c r="C1174" s="53" t="inlineStr">
        <is>
          <t>TECH-007</t>
        </is>
      </c>
      <c r="D1174" s="53" t="inlineStr">
        <is>
          <t>Airframe</t>
        </is>
      </c>
      <c r="E1174" s="53" t="inlineStr">
        <is>
          <t>2024-10-17</t>
        </is>
      </c>
      <c r="F1174" s="53">
        <v>4.9</v>
      </c>
      <c r="G1174" s="53">
        <v>0</v>
      </c>
      <c r="H1174" s="51" t="str">
        <f>TEXT(tblLaborEntries[[#This Row],[Work date serial]]-WEEKDAY(tblLaborEntries[[#This Row],[Work date serial]],3),"yyyy-mm-dd")</f>
        <v>2024-10-14</v>
      </c>
      <c r="I1174" s="64">
        <f>DATEVALUE(tblLaborEntries[[#This Row],[Work date]])</f>
        <v>45582.0</v>
      </c>
    </row>
    <row r="1175" spans="1:9" ht="15" x14ac:dyDescent="0.25">
      <c r="A1175" s="53" t="inlineStr">
        <is>
          <t>LAB-001174</t>
        </is>
      </c>
      <c r="B1175" s="53" t="inlineStr">
        <is>
          <t>WP-00519</t>
        </is>
      </c>
      <c r="C1175" s="53" t="inlineStr">
        <is>
          <t>TECH-007</t>
        </is>
      </c>
      <c r="D1175" s="53" t="inlineStr">
        <is>
          <t>Airframe</t>
        </is>
      </c>
      <c r="E1175" s="53" t="inlineStr">
        <is>
          <t>2025-09-08</t>
        </is>
      </c>
      <c r="F1175" s="53">
        <v>2.9</v>
      </c>
      <c r="G1175" s="53">
        <v>0</v>
      </c>
      <c r="H1175" s="51" t="str">
        <f>TEXT(tblLaborEntries[[#This Row],[Work date serial]]-WEEKDAY(tblLaborEntries[[#This Row],[Work date serial]],3),"yyyy-mm-dd")</f>
        <v>2025-09-08</v>
      </c>
      <c r="I1175" s="64">
        <f>DATEVALUE(tblLaborEntries[[#This Row],[Work date]])</f>
        <v>45908.0</v>
      </c>
    </row>
    <row r="1176" spans="1:9" ht="15" x14ac:dyDescent="0.25">
      <c r="A1176" s="53" t="inlineStr">
        <is>
          <t>LAB-001175</t>
        </is>
      </c>
      <c r="B1176" s="53" t="inlineStr">
        <is>
          <t>WP-00519</t>
        </is>
      </c>
      <c r="C1176" s="53" t="inlineStr">
        <is>
          <t>TECH-025</t>
        </is>
      </c>
      <c r="D1176" s="53" t="inlineStr">
        <is>
          <t>Airframe</t>
        </is>
      </c>
      <c r="E1176" s="53" t="inlineStr">
        <is>
          <t>2025-09-09</t>
        </is>
      </c>
      <c r="F1176" s="53">
        <v>2.4</v>
      </c>
      <c r="G1176" s="53">
        <v>0</v>
      </c>
      <c r="H1176" s="51" t="str">
        <f>TEXT(tblLaborEntries[[#This Row],[Work date serial]]-WEEKDAY(tblLaborEntries[[#This Row],[Work date serial]],3),"yyyy-mm-dd")</f>
        <v>2025-09-08</v>
      </c>
      <c r="I1176" s="64">
        <f>DATEVALUE(tblLaborEntries[[#This Row],[Work date]])</f>
        <v>45909.0</v>
      </c>
    </row>
    <row r="1177" spans="1:9" ht="15" x14ac:dyDescent="0.25">
      <c r="A1177" s="53" t="inlineStr">
        <is>
          <t>LAB-001176</t>
        </is>
      </c>
      <c r="B1177" s="53" t="inlineStr">
        <is>
          <t>WP-00520</t>
        </is>
      </c>
      <c r="C1177" s="53" t="inlineStr">
        <is>
          <t>TECH-074</t>
        </is>
      </c>
      <c r="D1177" s="53" t="inlineStr">
        <is>
          <t>Avionics</t>
        </is>
      </c>
      <c r="E1177" s="53" t="inlineStr">
        <is>
          <t>2024-11-04</t>
        </is>
      </c>
      <c r="F1177" s="53">
        <v>3.7</v>
      </c>
      <c r="G1177" s="53">
        <v>0</v>
      </c>
      <c r="H1177" s="51" t="str">
        <f>TEXT(tblLaborEntries[[#This Row],[Work date serial]]-WEEKDAY(tblLaborEntries[[#This Row],[Work date serial]],3),"yyyy-mm-dd")</f>
        <v>2024-11-04</v>
      </c>
      <c r="I1177" s="64">
        <f>DATEVALUE(tblLaborEntries[[#This Row],[Work date]])</f>
        <v>45600.0</v>
      </c>
    </row>
    <row r="1178" spans="1:9" ht="15" x14ac:dyDescent="0.25">
      <c r="A1178" s="53" t="inlineStr">
        <is>
          <t>LAB-001177</t>
        </is>
      </c>
      <c r="B1178" s="53" t="inlineStr">
        <is>
          <t>WP-00521</t>
        </is>
      </c>
      <c r="C1178" s="53" t="inlineStr">
        <is>
          <t>TECH-001</t>
        </is>
      </c>
      <c r="D1178" s="53" t="inlineStr">
        <is>
          <t>Airframe</t>
        </is>
      </c>
      <c r="E1178" s="53" t="inlineStr">
        <is>
          <t>2024-07-09</t>
        </is>
      </c>
      <c r="F1178" s="53">
        <v>4.2</v>
      </c>
      <c r="G1178" s="53">
        <v>0</v>
      </c>
      <c r="H1178" s="51" t="str">
        <f>TEXT(tblLaborEntries[[#This Row],[Work date serial]]-WEEKDAY(tblLaborEntries[[#This Row],[Work date serial]],3),"yyyy-mm-dd")</f>
        <v>2024-07-08</v>
      </c>
      <c r="I1178" s="64">
        <f>DATEVALUE(tblLaborEntries[[#This Row],[Work date]])</f>
        <v>45482.0</v>
      </c>
    </row>
    <row r="1179" spans="1:9" ht="15" x14ac:dyDescent="0.25">
      <c r="A1179" s="53" t="inlineStr">
        <is>
          <t>LAB-001178</t>
        </is>
      </c>
      <c r="B1179" s="53" t="inlineStr">
        <is>
          <t>WP-00521</t>
        </is>
      </c>
      <c r="C1179" s="53" t="inlineStr">
        <is>
          <t>TECH-013</t>
        </is>
      </c>
      <c r="D1179" s="53" t="inlineStr">
        <is>
          <t>Airframe</t>
        </is>
      </c>
      <c r="E1179" s="53" t="inlineStr">
        <is>
          <t>2024-07-10</t>
        </is>
      </c>
      <c r="F1179" s="53">
        <v>6.4</v>
      </c>
      <c r="G1179" s="53">
        <v>0</v>
      </c>
      <c r="H1179" s="51" t="str">
        <f>TEXT(tblLaborEntries[[#This Row],[Work date serial]]-WEEKDAY(tblLaborEntries[[#This Row],[Work date serial]],3),"yyyy-mm-dd")</f>
        <v>2024-07-08</v>
      </c>
      <c r="I1179" s="64">
        <f>DATEVALUE(tblLaborEntries[[#This Row],[Work date]])</f>
        <v>45483.0</v>
      </c>
    </row>
    <row r="1180" spans="1:9" ht="15" x14ac:dyDescent="0.25">
      <c r="A1180" s="53" t="inlineStr">
        <is>
          <t>LAB-001179</t>
        </is>
      </c>
      <c r="B1180" s="53" t="inlineStr">
        <is>
          <t>WP-00522</t>
        </is>
      </c>
      <c r="C1180" s="53" t="inlineStr">
        <is>
          <t>TECH-012</t>
        </is>
      </c>
      <c r="D1180" s="53" t="inlineStr">
        <is>
          <t>Powerplant</t>
        </is>
      </c>
      <c r="E1180" s="53" t="inlineStr">
        <is>
          <t>2025-05-19</t>
        </is>
      </c>
      <c r="F1180" s="53">
        <v>10.6</v>
      </c>
      <c r="G1180" s="53">
        <v>2.6</v>
      </c>
      <c r="H1180" s="51" t="str">
        <f>TEXT(tblLaborEntries[[#This Row],[Work date serial]]-WEEKDAY(tblLaborEntries[[#This Row],[Work date serial]],3),"yyyy-mm-dd")</f>
        <v>2025-05-19</v>
      </c>
      <c r="I1180" s="64">
        <f>DATEVALUE(tblLaborEntries[[#This Row],[Work date]])</f>
        <v>45796.0</v>
      </c>
    </row>
    <row r="1181" spans="1:9" ht="15" x14ac:dyDescent="0.25">
      <c r="A1181" s="53" t="inlineStr">
        <is>
          <t>LAB-001180</t>
        </is>
      </c>
      <c r="B1181" s="53" t="inlineStr">
        <is>
          <t>WP-00522</t>
        </is>
      </c>
      <c r="C1181" s="53" t="inlineStr">
        <is>
          <t>TECH-072</t>
        </is>
      </c>
      <c r="D1181" s="53" t="inlineStr">
        <is>
          <t>Powerplant</t>
        </is>
      </c>
      <c r="E1181" s="53" t="inlineStr">
        <is>
          <t>2025-05-20</t>
        </is>
      </c>
      <c r="F1181" s="53">
        <v>10.7</v>
      </c>
      <c r="G1181" s="53">
        <v>2.7</v>
      </c>
      <c r="H1181" s="51" t="str">
        <f>TEXT(tblLaborEntries[[#This Row],[Work date serial]]-WEEKDAY(tblLaborEntries[[#This Row],[Work date serial]],3),"yyyy-mm-dd")</f>
        <v>2025-05-19</v>
      </c>
      <c r="I1181" s="64">
        <f>DATEVALUE(tblLaborEntries[[#This Row],[Work date]])</f>
        <v>45797.0</v>
      </c>
    </row>
    <row r="1182" spans="1:9" ht="15" x14ac:dyDescent="0.25">
      <c r="A1182" s="53" t="inlineStr">
        <is>
          <t>LAB-001181</t>
        </is>
      </c>
      <c r="B1182" s="53" t="inlineStr">
        <is>
          <t>WP-00522</t>
        </is>
      </c>
      <c r="C1182" s="53" t="inlineStr">
        <is>
          <t>TECH-006</t>
        </is>
      </c>
      <c r="D1182" s="53" t="inlineStr">
        <is>
          <t>Powerplant</t>
        </is>
      </c>
      <c r="E1182" s="53" t="inlineStr">
        <is>
          <t>2025-05-21</t>
        </is>
      </c>
      <c r="F1182" s="53">
        <v>3.5</v>
      </c>
      <c r="G1182" s="53">
        <v>0</v>
      </c>
      <c r="H1182" s="51" t="str">
        <f>TEXT(tblLaborEntries[[#This Row],[Work date serial]]-WEEKDAY(tblLaborEntries[[#This Row],[Work date serial]],3),"yyyy-mm-dd")</f>
        <v>2025-05-19</v>
      </c>
      <c r="I1182" s="64">
        <f>DATEVALUE(tblLaborEntries[[#This Row],[Work date]])</f>
        <v>45798.0</v>
      </c>
    </row>
    <row r="1183" spans="1:9" ht="15" x14ac:dyDescent="0.25">
      <c r="A1183" s="53" t="inlineStr">
        <is>
          <t>LAB-001182</t>
        </is>
      </c>
      <c r="B1183" s="53" t="inlineStr">
        <is>
          <t>WP-00522</t>
        </is>
      </c>
      <c r="C1183" s="53" t="inlineStr">
        <is>
          <t>TECH-030</t>
        </is>
      </c>
      <c r="D1183" s="53" t="inlineStr">
        <is>
          <t>Powerplant</t>
        </is>
      </c>
      <c r="E1183" s="53" t="inlineStr">
        <is>
          <t>2025-05-21</t>
        </is>
      </c>
      <c r="F1183" s="53">
        <v>5.9</v>
      </c>
      <c r="G1183" s="53">
        <v>0</v>
      </c>
      <c r="H1183" s="51" t="str">
        <f>TEXT(tblLaborEntries[[#This Row],[Work date serial]]-WEEKDAY(tblLaborEntries[[#This Row],[Work date serial]],3),"yyyy-mm-dd")</f>
        <v>2025-05-19</v>
      </c>
      <c r="I1183" s="64">
        <f>DATEVALUE(tblLaborEntries[[#This Row],[Work date]])</f>
        <v>45798.0</v>
      </c>
    </row>
    <row r="1184" spans="1:9" ht="15" x14ac:dyDescent="0.25">
      <c r="A1184" s="53" t="inlineStr">
        <is>
          <t>LAB-001183</t>
        </is>
      </c>
      <c r="B1184" s="53" t="inlineStr">
        <is>
          <t>WP-00523</t>
        </is>
      </c>
      <c r="C1184" s="53" t="inlineStr">
        <is>
          <t>TECH-074</t>
        </is>
      </c>
      <c r="D1184" s="53" t="inlineStr">
        <is>
          <t>Avionics</t>
        </is>
      </c>
      <c r="E1184" s="53" t="inlineStr">
        <is>
          <t>2025-02-02</t>
        </is>
      </c>
      <c r="F1184" s="53">
        <v>1</v>
      </c>
      <c r="G1184" s="53">
        <v>0</v>
      </c>
      <c r="H1184" s="51" t="str">
        <f>TEXT(tblLaborEntries[[#This Row],[Work date serial]]-WEEKDAY(tblLaborEntries[[#This Row],[Work date serial]],3),"yyyy-mm-dd")</f>
        <v>2025-01-27</v>
      </c>
      <c r="I1184" s="64">
        <f>DATEVALUE(tblLaborEntries[[#This Row],[Work date]])</f>
        <v>45690.0</v>
      </c>
    </row>
    <row r="1185" spans="1:9" ht="15" x14ac:dyDescent="0.25">
      <c r="A1185" s="53" t="inlineStr">
        <is>
          <t>LAB-001184</t>
        </is>
      </c>
      <c r="B1185" s="53" t="inlineStr">
        <is>
          <t>WP-00523</t>
        </is>
      </c>
      <c r="C1185" s="53" t="inlineStr">
        <is>
          <t>TECH-056</t>
        </is>
      </c>
      <c r="D1185" s="53" t="inlineStr">
        <is>
          <t>Avionics</t>
        </is>
      </c>
      <c r="E1185" s="53" t="inlineStr">
        <is>
          <t>2025-02-03</t>
        </is>
      </c>
      <c r="F1185" s="53">
        <v>1.1</v>
      </c>
      <c r="G1185" s="53">
        <v>0</v>
      </c>
      <c r="H1185" s="51" t="str">
        <f>TEXT(tblLaborEntries[[#This Row],[Work date serial]]-WEEKDAY(tblLaborEntries[[#This Row],[Work date serial]],3),"yyyy-mm-dd")</f>
        <v>2025-02-03</v>
      </c>
      <c r="I1185" s="64">
        <f>DATEVALUE(tblLaborEntries[[#This Row],[Work date]])</f>
        <v>45691.0</v>
      </c>
    </row>
    <row r="1186" spans="1:9" ht="15" x14ac:dyDescent="0.25">
      <c r="A1186" s="53" t="inlineStr">
        <is>
          <t>LAB-001185</t>
        </is>
      </c>
      <c r="B1186" s="53" t="inlineStr">
        <is>
          <t>WP-00523</t>
        </is>
      </c>
      <c r="C1186" s="53" t="inlineStr">
        <is>
          <t>TECH-056</t>
        </is>
      </c>
      <c r="D1186" s="53" t="inlineStr">
        <is>
          <t>Avionics</t>
        </is>
      </c>
      <c r="E1186" s="53" t="inlineStr">
        <is>
          <t>2025-02-04</t>
        </is>
      </c>
      <c r="F1186" s="53">
        <v>1.2</v>
      </c>
      <c r="G1186" s="53">
        <v>0</v>
      </c>
      <c r="H1186" s="51" t="str">
        <f>TEXT(tblLaborEntries[[#This Row],[Work date serial]]-WEEKDAY(tblLaborEntries[[#This Row],[Work date serial]],3),"yyyy-mm-dd")</f>
        <v>2025-02-03</v>
      </c>
      <c r="I1186" s="64">
        <f>DATEVALUE(tblLaborEntries[[#This Row],[Work date]])</f>
        <v>45692.0</v>
      </c>
    </row>
    <row r="1187" spans="1:9" ht="15" x14ac:dyDescent="0.25">
      <c r="A1187" s="53" t="inlineStr">
        <is>
          <t>LAB-001186</t>
        </is>
      </c>
      <c r="B1187" s="53" t="inlineStr">
        <is>
          <t>WP-00524</t>
        </is>
      </c>
      <c r="C1187" s="53" t="inlineStr">
        <is>
          <t>TECH-072</t>
        </is>
      </c>
      <c r="D1187" s="53" t="inlineStr">
        <is>
          <t>Powerplant</t>
        </is>
      </c>
      <c r="E1187" s="53" t="inlineStr">
        <is>
          <t>2024-08-23</t>
        </is>
      </c>
      <c r="F1187" s="53">
        <v>6.5</v>
      </c>
      <c r="G1187" s="53">
        <v>0</v>
      </c>
      <c r="H1187" s="51" t="str">
        <f>TEXT(tblLaborEntries[[#This Row],[Work date serial]]-WEEKDAY(tblLaborEntries[[#This Row],[Work date serial]],3),"yyyy-mm-dd")</f>
        <v>2024-08-19</v>
      </c>
      <c r="I1187" s="64">
        <f>DATEVALUE(tblLaborEntries[[#This Row],[Work date]])</f>
        <v>45527.0</v>
      </c>
    </row>
    <row r="1188" spans="1:9" ht="15" x14ac:dyDescent="0.25">
      <c r="A1188" s="53" t="inlineStr">
        <is>
          <t>LAB-001187</t>
        </is>
      </c>
      <c r="B1188" s="53" t="inlineStr">
        <is>
          <t>WP-00524</t>
        </is>
      </c>
      <c r="C1188" s="53" t="inlineStr">
        <is>
          <t>TECH-036</t>
        </is>
      </c>
      <c r="D1188" s="53" t="inlineStr">
        <is>
          <t>Powerplant</t>
        </is>
      </c>
      <c r="E1188" s="53" t="inlineStr">
        <is>
          <t>2024-08-24</t>
        </is>
      </c>
      <c r="F1188" s="53">
        <v>6</v>
      </c>
      <c r="G1188" s="53">
        <v>0</v>
      </c>
      <c r="H1188" s="51" t="str">
        <f>TEXT(tblLaborEntries[[#This Row],[Work date serial]]-WEEKDAY(tblLaborEntries[[#This Row],[Work date serial]],3),"yyyy-mm-dd")</f>
        <v>2024-08-19</v>
      </c>
      <c r="I1188" s="64">
        <f>DATEVALUE(tblLaborEntries[[#This Row],[Work date]])</f>
        <v>45528.0</v>
      </c>
    </row>
    <row r="1189" spans="1:9" ht="15" x14ac:dyDescent="0.25">
      <c r="A1189" s="53" t="inlineStr">
        <is>
          <t>LAB-001188</t>
        </is>
      </c>
      <c r="B1189" s="53" t="inlineStr">
        <is>
          <t>WP-00524</t>
        </is>
      </c>
      <c r="C1189" s="53" t="inlineStr">
        <is>
          <t>TECH-054</t>
        </is>
      </c>
      <c r="D1189" s="53" t="inlineStr">
        <is>
          <t>Powerplant</t>
        </is>
      </c>
      <c r="E1189" s="53" t="inlineStr">
        <is>
          <t>2024-08-25</t>
        </is>
      </c>
      <c r="F1189" s="53">
        <v>6.6</v>
      </c>
      <c r="G1189" s="53">
        <v>0</v>
      </c>
      <c r="H1189" s="51" t="str">
        <f>TEXT(tblLaborEntries[[#This Row],[Work date serial]]-WEEKDAY(tblLaborEntries[[#This Row],[Work date serial]],3),"yyyy-mm-dd")</f>
        <v>2024-08-19</v>
      </c>
      <c r="I1189" s="64">
        <f>DATEVALUE(tblLaborEntries[[#This Row],[Work date]])</f>
        <v>45529.0</v>
      </c>
    </row>
    <row r="1190" spans="1:9" ht="15" x14ac:dyDescent="0.25">
      <c r="A1190" s="53" t="inlineStr">
        <is>
          <t>LAB-001189</t>
        </is>
      </c>
      <c r="B1190" s="53" t="inlineStr">
        <is>
          <t>WP-00525</t>
        </is>
      </c>
      <c r="C1190" s="53" t="inlineStr">
        <is>
          <t>TECH-050</t>
        </is>
      </c>
      <c r="D1190" s="53" t="inlineStr">
        <is>
          <t>Avionics</t>
        </is>
      </c>
      <c r="E1190" s="53" t="inlineStr">
        <is>
          <t>2024-06-21</t>
        </is>
      </c>
      <c r="F1190" s="53">
        <v>2.8</v>
      </c>
      <c r="G1190" s="53">
        <v>0</v>
      </c>
      <c r="H1190" s="51" t="str">
        <f>TEXT(tblLaborEntries[[#This Row],[Work date serial]]-WEEKDAY(tblLaborEntries[[#This Row],[Work date serial]],3),"yyyy-mm-dd")</f>
        <v>2024-06-17</v>
      </c>
      <c r="I1190" s="64">
        <f>DATEVALUE(tblLaborEntries[[#This Row],[Work date]])</f>
        <v>45464.0</v>
      </c>
    </row>
    <row r="1191" spans="1:9" ht="15" x14ac:dyDescent="0.25">
      <c r="A1191" s="53" t="inlineStr">
        <is>
          <t>LAB-001190</t>
        </is>
      </c>
      <c r="B1191" s="53" t="inlineStr">
        <is>
          <t>WP-00525</t>
        </is>
      </c>
      <c r="C1191" s="53" t="inlineStr">
        <is>
          <t>TECH-002</t>
        </is>
      </c>
      <c r="D1191" s="53" t="inlineStr">
        <is>
          <t>Avionics</t>
        </is>
      </c>
      <c r="E1191" s="53" t="inlineStr">
        <is>
          <t>2024-06-22</t>
        </is>
      </c>
      <c r="F1191" s="53">
        <v>3.7</v>
      </c>
      <c r="G1191" s="53">
        <v>0</v>
      </c>
      <c r="H1191" s="51" t="str">
        <f>TEXT(tblLaborEntries[[#This Row],[Work date serial]]-WEEKDAY(tblLaborEntries[[#This Row],[Work date serial]],3),"yyyy-mm-dd")</f>
        <v>2024-06-17</v>
      </c>
      <c r="I1191" s="64">
        <f>DATEVALUE(tblLaborEntries[[#This Row],[Work date]])</f>
        <v>45465.0</v>
      </c>
    </row>
    <row r="1192" spans="1:9" ht="15" x14ac:dyDescent="0.25">
      <c r="A1192" s="53" t="inlineStr">
        <is>
          <t>LAB-001191</t>
        </is>
      </c>
      <c r="B1192" s="53" t="inlineStr">
        <is>
          <t>WP-00526</t>
        </is>
      </c>
      <c r="C1192" s="53" t="inlineStr">
        <is>
          <t>TECH-007</t>
        </is>
      </c>
      <c r="D1192" s="53" t="inlineStr">
        <is>
          <t>Airframe</t>
        </is>
      </c>
      <c r="E1192" s="53" t="inlineStr">
        <is>
          <t>2024-10-25</t>
        </is>
      </c>
      <c r="F1192" s="53">
        <v>2.6</v>
      </c>
      <c r="G1192" s="53">
        <v>0</v>
      </c>
      <c r="H1192" s="51" t="str">
        <f>TEXT(tblLaborEntries[[#This Row],[Work date serial]]-WEEKDAY(tblLaborEntries[[#This Row],[Work date serial]],3),"yyyy-mm-dd")</f>
        <v>2024-10-21</v>
      </c>
      <c r="I1192" s="64">
        <f>DATEVALUE(tblLaborEntries[[#This Row],[Work date]])</f>
        <v>45590.0</v>
      </c>
    </row>
    <row r="1193" spans="1:9" ht="15" x14ac:dyDescent="0.25">
      <c r="A1193" s="53" t="inlineStr">
        <is>
          <t>LAB-001192</t>
        </is>
      </c>
      <c r="B1193" s="53" t="inlineStr">
        <is>
          <t>WP-00526</t>
        </is>
      </c>
      <c r="C1193" s="53" t="inlineStr">
        <is>
          <t>TECH-061</t>
        </is>
      </c>
      <c r="D1193" s="53" t="inlineStr">
        <is>
          <t>Airframe</t>
        </is>
      </c>
      <c r="E1193" s="53" t="inlineStr">
        <is>
          <t>2024-10-26</t>
        </is>
      </c>
      <c r="F1193" s="53">
        <v>2.6</v>
      </c>
      <c r="G1193" s="53">
        <v>0</v>
      </c>
      <c r="H1193" s="51" t="str">
        <f>TEXT(tblLaborEntries[[#This Row],[Work date serial]]-WEEKDAY(tblLaborEntries[[#This Row],[Work date serial]],3),"yyyy-mm-dd")</f>
        <v>2024-10-21</v>
      </c>
      <c r="I1193" s="64">
        <f>DATEVALUE(tblLaborEntries[[#This Row],[Work date]])</f>
        <v>45591.0</v>
      </c>
    </row>
    <row r="1194" spans="1:9" ht="15" x14ac:dyDescent="0.25">
      <c r="A1194" s="53" t="inlineStr">
        <is>
          <t>LAB-001193</t>
        </is>
      </c>
      <c r="B1194" s="53" t="inlineStr">
        <is>
          <t>WP-00526</t>
        </is>
      </c>
      <c r="C1194" s="53" t="inlineStr">
        <is>
          <t>TECH-025</t>
        </is>
      </c>
      <c r="D1194" s="53" t="inlineStr">
        <is>
          <t>Airframe</t>
        </is>
      </c>
      <c r="E1194" s="53" t="inlineStr">
        <is>
          <t>2024-10-27</t>
        </is>
      </c>
      <c r="F1194" s="53">
        <v>3.2</v>
      </c>
      <c r="G1194" s="53">
        <v>0</v>
      </c>
      <c r="H1194" s="51" t="str">
        <f>TEXT(tblLaborEntries[[#This Row],[Work date serial]]-WEEKDAY(tblLaborEntries[[#This Row],[Work date serial]],3),"yyyy-mm-dd")</f>
        <v>2024-10-21</v>
      </c>
      <c r="I1194" s="64">
        <f>DATEVALUE(tblLaborEntries[[#This Row],[Work date]])</f>
        <v>45592.0</v>
      </c>
    </row>
    <row r="1195" spans="1:9" ht="15" x14ac:dyDescent="0.25">
      <c r="A1195" s="53" t="inlineStr">
        <is>
          <t>LAB-001194</t>
        </is>
      </c>
      <c r="B1195" s="53" t="inlineStr">
        <is>
          <t>WP-00527</t>
        </is>
      </c>
      <c r="C1195" s="53" t="inlineStr">
        <is>
          <t>TECH-043</t>
        </is>
      </c>
      <c r="D1195" s="53" t="inlineStr">
        <is>
          <t>Airframe</t>
        </is>
      </c>
      <c r="E1195" s="53" t="inlineStr">
        <is>
          <t>2025-01-31</t>
        </is>
      </c>
      <c r="F1195" s="53">
        <v>5.4</v>
      </c>
      <c r="G1195" s="53">
        <v>0</v>
      </c>
      <c r="H1195" s="51" t="str">
        <f>TEXT(tblLaborEntries[[#This Row],[Work date serial]]-WEEKDAY(tblLaborEntries[[#This Row],[Work date serial]],3),"yyyy-mm-dd")</f>
        <v>2025-01-27</v>
      </c>
      <c r="I1195" s="64">
        <f>DATEVALUE(tblLaborEntries[[#This Row],[Work date]])</f>
        <v>45688.0</v>
      </c>
    </row>
    <row r="1196" spans="1:9" ht="15" x14ac:dyDescent="0.25">
      <c r="A1196" s="53" t="inlineStr">
        <is>
          <t>LAB-001195</t>
        </is>
      </c>
      <c r="B1196" s="53" t="inlineStr">
        <is>
          <t>WP-00527</t>
        </is>
      </c>
      <c r="C1196" s="53" t="inlineStr">
        <is>
          <t>TECH-061</t>
        </is>
      </c>
      <c r="D1196" s="53" t="inlineStr">
        <is>
          <t>Airframe</t>
        </is>
      </c>
      <c r="E1196" s="53" t="inlineStr">
        <is>
          <t>2025-02-01</t>
        </is>
      </c>
      <c r="F1196" s="53">
        <v>5.8</v>
      </c>
      <c r="G1196" s="53">
        <v>0</v>
      </c>
      <c r="H1196" s="51" t="str">
        <f>TEXT(tblLaborEntries[[#This Row],[Work date serial]]-WEEKDAY(tblLaborEntries[[#This Row],[Work date serial]],3),"yyyy-mm-dd")</f>
        <v>2025-01-27</v>
      </c>
      <c r="I1196" s="64">
        <f>DATEVALUE(tblLaborEntries[[#This Row],[Work date]])</f>
        <v>45689.0</v>
      </c>
    </row>
    <row r="1197" spans="1:9" ht="15" x14ac:dyDescent="0.25">
      <c r="A1197" s="53" t="inlineStr">
        <is>
          <t>LAB-001196</t>
        </is>
      </c>
      <c r="B1197" s="53" t="inlineStr">
        <is>
          <t>WP-00528</t>
        </is>
      </c>
      <c r="C1197" s="53" t="inlineStr">
        <is>
          <t>TECH-073</t>
        </is>
      </c>
      <c r="D1197" s="53" t="inlineStr">
        <is>
          <t>Airframe</t>
        </is>
      </c>
      <c r="E1197" s="53" t="inlineStr">
        <is>
          <t>2025-02-26</t>
        </is>
      </c>
      <c r="F1197" s="53">
        <v>4.8</v>
      </c>
      <c r="G1197" s="53">
        <v>0</v>
      </c>
      <c r="H1197" s="51" t="str">
        <f>TEXT(tblLaborEntries[[#This Row],[Work date serial]]-WEEKDAY(tblLaborEntries[[#This Row],[Work date serial]],3),"yyyy-mm-dd")</f>
        <v>2025-02-24</v>
      </c>
      <c r="I1197" s="64">
        <f>DATEVALUE(tblLaborEntries[[#This Row],[Work date]])</f>
        <v>45714.0</v>
      </c>
    </row>
    <row r="1198" spans="1:9" ht="15" x14ac:dyDescent="0.25">
      <c r="A1198" s="53" t="inlineStr">
        <is>
          <t>LAB-001197</t>
        </is>
      </c>
      <c r="B1198" s="53" t="inlineStr">
        <is>
          <t>WP-00528</t>
        </is>
      </c>
      <c r="C1198" s="53" t="inlineStr">
        <is>
          <t>TECH-061</t>
        </is>
      </c>
      <c r="D1198" s="53" t="inlineStr">
        <is>
          <t>Airframe</t>
        </is>
      </c>
      <c r="E1198" s="53" t="inlineStr">
        <is>
          <t>2025-02-27</t>
        </is>
      </c>
      <c r="F1198" s="53">
        <v>4</v>
      </c>
      <c r="G1198" s="53">
        <v>0</v>
      </c>
      <c r="H1198" s="51" t="str">
        <f>TEXT(tblLaborEntries[[#This Row],[Work date serial]]-WEEKDAY(tblLaborEntries[[#This Row],[Work date serial]],3),"yyyy-mm-dd")</f>
        <v>2025-02-24</v>
      </c>
      <c r="I1198" s="64">
        <f>DATEVALUE(tblLaborEntries[[#This Row],[Work date]])</f>
        <v>45715.0</v>
      </c>
    </row>
    <row r="1199" spans="1:9" ht="15" x14ac:dyDescent="0.25">
      <c r="A1199" s="53" t="inlineStr">
        <is>
          <t>LAB-001198</t>
        </is>
      </c>
      <c r="B1199" s="53" t="inlineStr">
        <is>
          <t>WP-00528</t>
        </is>
      </c>
      <c r="C1199" s="53" t="inlineStr">
        <is>
          <t>TECH-013</t>
        </is>
      </c>
      <c r="D1199" s="53" t="inlineStr">
        <is>
          <t>Airframe</t>
        </is>
      </c>
      <c r="E1199" s="53" t="inlineStr">
        <is>
          <t>2025-02-28</t>
        </is>
      </c>
      <c r="F1199" s="53">
        <v>3.8</v>
      </c>
      <c r="G1199" s="53">
        <v>0</v>
      </c>
      <c r="H1199" s="51" t="str">
        <f>TEXT(tblLaborEntries[[#This Row],[Work date serial]]-WEEKDAY(tblLaborEntries[[#This Row],[Work date serial]],3),"yyyy-mm-dd")</f>
        <v>2025-02-24</v>
      </c>
      <c r="I1199" s="64">
        <f>DATEVALUE(tblLaborEntries[[#This Row],[Work date]])</f>
        <v>45716.0</v>
      </c>
    </row>
    <row r="1200" spans="1:9" ht="15" x14ac:dyDescent="0.25">
      <c r="A1200" s="53" t="inlineStr">
        <is>
          <t>LAB-001199</t>
        </is>
      </c>
      <c r="B1200" s="53" t="inlineStr">
        <is>
          <t>WP-00529</t>
        </is>
      </c>
      <c r="C1200" s="53" t="inlineStr">
        <is>
          <t>TECH-008</t>
        </is>
      </c>
      <c r="D1200" s="53" t="inlineStr">
        <is>
          <t>Avionics</t>
        </is>
      </c>
      <c r="E1200" s="53" t="inlineStr">
        <is>
          <t>2025-05-11</t>
        </is>
      </c>
      <c r="F1200" s="53">
        <v>7.7</v>
      </c>
      <c r="G1200" s="53">
        <v>0</v>
      </c>
      <c r="H1200" s="51" t="str">
        <f>TEXT(tblLaborEntries[[#This Row],[Work date serial]]-WEEKDAY(tblLaborEntries[[#This Row],[Work date serial]],3),"yyyy-mm-dd")</f>
        <v>2025-05-05</v>
      </c>
      <c r="I1200" s="64">
        <f>DATEVALUE(tblLaborEntries[[#This Row],[Work date]])</f>
        <v>45788.0</v>
      </c>
    </row>
    <row r="1201" spans="1:9" ht="15" x14ac:dyDescent="0.25">
      <c r="A1201" s="53" t="inlineStr">
        <is>
          <t>LAB-001200</t>
        </is>
      </c>
      <c r="B1201" s="53" t="inlineStr">
        <is>
          <t>WP-00530</t>
        </is>
      </c>
      <c r="C1201" s="53" t="inlineStr">
        <is>
          <t>TECH-026</t>
        </is>
      </c>
      <c r="D1201" s="53" t="inlineStr">
        <is>
          <t>Avionics</t>
        </is>
      </c>
      <c r="E1201" s="53" t="inlineStr">
        <is>
          <t>2024-11-25</t>
        </is>
      </c>
      <c r="F1201" s="53">
        <v>1.7</v>
      </c>
      <c r="G1201" s="53">
        <v>0</v>
      </c>
      <c r="H1201" s="51" t="str">
        <f>TEXT(tblLaborEntries[[#This Row],[Work date serial]]-WEEKDAY(tblLaborEntries[[#This Row],[Work date serial]],3),"yyyy-mm-dd")</f>
        <v>2024-11-25</v>
      </c>
      <c r="I1201" s="64">
        <f>DATEVALUE(tblLaborEntries[[#This Row],[Work date]])</f>
        <v>45621.0</v>
      </c>
    </row>
    <row r="1202" spans="1:9" ht="15" x14ac:dyDescent="0.25">
      <c r="A1202" s="53" t="inlineStr">
        <is>
          <t>LAB-001201</t>
        </is>
      </c>
      <c r="B1202" s="53" t="inlineStr">
        <is>
          <t>WP-00530</t>
        </is>
      </c>
      <c r="C1202" s="53" t="inlineStr">
        <is>
          <t>TECH-056</t>
        </is>
      </c>
      <c r="D1202" s="53" t="inlineStr">
        <is>
          <t>Avionics</t>
        </is>
      </c>
      <c r="E1202" s="53" t="inlineStr">
        <is>
          <t>2024-11-26</t>
        </is>
      </c>
      <c r="F1202" s="53">
        <v>1.3</v>
      </c>
      <c r="G1202" s="53">
        <v>0</v>
      </c>
      <c r="H1202" s="51" t="str">
        <f>TEXT(tblLaborEntries[[#This Row],[Work date serial]]-WEEKDAY(tblLaborEntries[[#This Row],[Work date serial]],3),"yyyy-mm-dd")</f>
        <v>2024-11-25</v>
      </c>
      <c r="I1202" s="64">
        <f>DATEVALUE(tblLaborEntries[[#This Row],[Work date]])</f>
        <v>45622.0</v>
      </c>
    </row>
    <row r="1203" spans="1:9" ht="15" x14ac:dyDescent="0.25">
      <c r="A1203" s="53" t="inlineStr">
        <is>
          <t>LAB-001202</t>
        </is>
      </c>
      <c r="B1203" s="53" t="inlineStr">
        <is>
          <t>WP-00530</t>
        </is>
      </c>
      <c r="C1203" s="53" t="inlineStr">
        <is>
          <t>TECH-008</t>
        </is>
      </c>
      <c r="D1203" s="53" t="inlineStr">
        <is>
          <t>Avionics</t>
        </is>
      </c>
      <c r="E1203" s="53" t="inlineStr">
        <is>
          <t>2024-11-27</t>
        </is>
      </c>
      <c r="F1203" s="53">
        <v>1.9</v>
      </c>
      <c r="G1203" s="53">
        <v>0</v>
      </c>
      <c r="H1203" s="51" t="str">
        <f>TEXT(tblLaborEntries[[#This Row],[Work date serial]]-WEEKDAY(tblLaborEntries[[#This Row],[Work date serial]],3),"yyyy-mm-dd")</f>
        <v>2024-11-25</v>
      </c>
      <c r="I1203" s="64">
        <f>DATEVALUE(tblLaborEntries[[#This Row],[Work date]])</f>
        <v>45623.0</v>
      </c>
    </row>
    <row r="1204" spans="1:9" ht="15" x14ac:dyDescent="0.25">
      <c r="A1204" s="53" t="inlineStr">
        <is>
          <t>LAB-001203</t>
        </is>
      </c>
      <c r="B1204" s="53" t="inlineStr">
        <is>
          <t>WP-00531</t>
        </is>
      </c>
      <c r="C1204" s="53" t="inlineStr">
        <is>
          <t>TECH-014</t>
        </is>
      </c>
      <c r="D1204" s="53" t="inlineStr">
        <is>
          <t>Avionics</t>
        </is>
      </c>
      <c r="E1204" s="53" t="inlineStr">
        <is>
          <t>2024-08-02</t>
        </is>
      </c>
      <c r="F1204" s="53">
        <v>3.3</v>
      </c>
      <c r="G1204" s="53">
        <v>0</v>
      </c>
      <c r="H1204" s="51" t="str">
        <f>TEXT(tblLaborEntries[[#This Row],[Work date serial]]-WEEKDAY(tblLaborEntries[[#This Row],[Work date serial]],3),"yyyy-mm-dd")</f>
        <v>2024-07-29</v>
      </c>
      <c r="I1204" s="64">
        <f>DATEVALUE(tblLaborEntries[[#This Row],[Work date]])</f>
        <v>45506.0</v>
      </c>
    </row>
    <row r="1205" spans="1:9" ht="15" x14ac:dyDescent="0.25">
      <c r="A1205" s="53" t="inlineStr">
        <is>
          <t>LAB-001204</t>
        </is>
      </c>
      <c r="B1205" s="53" t="inlineStr">
        <is>
          <t>WP-00531</t>
        </is>
      </c>
      <c r="C1205" s="53" t="inlineStr">
        <is>
          <t>TECH-002</t>
        </is>
      </c>
      <c r="D1205" s="53" t="inlineStr">
        <is>
          <t>Avionics</t>
        </is>
      </c>
      <c r="E1205" s="53" t="inlineStr">
        <is>
          <t>2024-08-03</t>
        </is>
      </c>
      <c r="F1205" s="53">
        <v>4.5</v>
      </c>
      <c r="G1205" s="53">
        <v>0</v>
      </c>
      <c r="H1205" s="51" t="str">
        <f>TEXT(tblLaborEntries[[#This Row],[Work date serial]]-WEEKDAY(tblLaborEntries[[#This Row],[Work date serial]],3),"yyyy-mm-dd")</f>
        <v>2024-07-29</v>
      </c>
      <c r="I1205" s="64">
        <f>DATEVALUE(tblLaborEntries[[#This Row],[Work date]])</f>
        <v>45507.0</v>
      </c>
    </row>
    <row r="1206" spans="1:9" ht="15" x14ac:dyDescent="0.25">
      <c r="A1206" s="53" t="inlineStr">
        <is>
          <t>LAB-001205</t>
        </is>
      </c>
      <c r="B1206" s="53" t="inlineStr">
        <is>
          <t>WP-00531</t>
        </is>
      </c>
      <c r="C1206" s="53" t="inlineStr">
        <is>
          <t>TECH-026</t>
        </is>
      </c>
      <c r="D1206" s="53" t="inlineStr">
        <is>
          <t>Avionics</t>
        </is>
      </c>
      <c r="E1206" s="53" t="inlineStr">
        <is>
          <t>2024-08-04</t>
        </is>
      </c>
      <c r="F1206" s="53">
        <v>4.1</v>
      </c>
      <c r="G1206" s="53">
        <v>0</v>
      </c>
      <c r="H1206" s="51" t="str">
        <f>TEXT(tblLaborEntries[[#This Row],[Work date serial]]-WEEKDAY(tblLaborEntries[[#This Row],[Work date serial]],3),"yyyy-mm-dd")</f>
        <v>2024-07-29</v>
      </c>
      <c r="I1206" s="64">
        <f>DATEVALUE(tblLaborEntries[[#This Row],[Work date]])</f>
        <v>45508.0</v>
      </c>
    </row>
    <row r="1207" spans="1:9" ht="15" x14ac:dyDescent="0.25">
      <c r="A1207" s="53" t="inlineStr">
        <is>
          <t>LAB-001206</t>
        </is>
      </c>
      <c r="B1207" s="53" t="inlineStr">
        <is>
          <t>WP-00532</t>
        </is>
      </c>
      <c r="C1207" s="53" t="inlineStr">
        <is>
          <t>TECH-048</t>
        </is>
      </c>
      <c r="D1207" s="53" t="inlineStr">
        <is>
          <t>Powerplant</t>
        </is>
      </c>
      <c r="E1207" s="53" t="inlineStr">
        <is>
          <t>2025-09-02</t>
        </is>
      </c>
      <c r="F1207" s="53">
        <v>3</v>
      </c>
      <c r="G1207" s="53">
        <v>0</v>
      </c>
      <c r="H1207" s="51" t="str">
        <f>TEXT(tblLaborEntries[[#This Row],[Work date serial]]-WEEKDAY(tblLaborEntries[[#This Row],[Work date serial]],3),"yyyy-mm-dd")</f>
        <v>2025-09-01</v>
      </c>
      <c r="I1207" s="64">
        <f>DATEVALUE(tblLaborEntries[[#This Row],[Work date]])</f>
        <v>45902.0</v>
      </c>
    </row>
    <row r="1208" spans="1:9" ht="15" x14ac:dyDescent="0.25">
      <c r="A1208" s="53" t="inlineStr">
        <is>
          <t>LAB-001207</t>
        </is>
      </c>
      <c r="B1208" s="53" t="inlineStr">
        <is>
          <t>WP-00532</t>
        </is>
      </c>
      <c r="C1208" s="53" t="inlineStr">
        <is>
          <t>TECH-012</t>
        </is>
      </c>
      <c r="D1208" s="53" t="inlineStr">
        <is>
          <t>Powerplant</t>
        </is>
      </c>
      <c r="E1208" s="53" t="inlineStr">
        <is>
          <t>2025-09-03</t>
        </is>
      </c>
      <c r="F1208" s="53">
        <v>2.9</v>
      </c>
      <c r="G1208" s="53">
        <v>0</v>
      </c>
      <c r="H1208" s="51" t="str">
        <f>TEXT(tblLaborEntries[[#This Row],[Work date serial]]-WEEKDAY(tblLaborEntries[[#This Row],[Work date serial]],3),"yyyy-mm-dd")</f>
        <v>2025-09-01</v>
      </c>
      <c r="I1208" s="64">
        <f>DATEVALUE(tblLaborEntries[[#This Row],[Work date]])</f>
        <v>45903.0</v>
      </c>
    </row>
    <row r="1209" spans="1:9" ht="15" x14ac:dyDescent="0.25">
      <c r="A1209" s="53" t="inlineStr">
        <is>
          <t>LAB-001208</t>
        </is>
      </c>
      <c r="B1209" s="53" t="inlineStr">
        <is>
          <t>WP-00533</t>
        </is>
      </c>
      <c r="C1209" s="53" t="inlineStr">
        <is>
          <t>TECH-051</t>
        </is>
      </c>
      <c r="D1209" s="53" t="inlineStr">
        <is>
          <t>Hydraulics</t>
        </is>
      </c>
      <c r="E1209" s="53" t="inlineStr">
        <is>
          <t>2024-04-03</t>
        </is>
      </c>
      <c r="F1209" s="53">
        <v>6.8</v>
      </c>
      <c r="G1209" s="53">
        <v>0</v>
      </c>
      <c r="H1209" s="51" t="str">
        <f>TEXT(tblLaborEntries[[#This Row],[Work date serial]]-WEEKDAY(tblLaborEntries[[#This Row],[Work date serial]],3),"yyyy-mm-dd")</f>
        <v>2024-04-01</v>
      </c>
      <c r="I1209" s="64">
        <f>DATEVALUE(tblLaborEntries[[#This Row],[Work date]])</f>
        <v>45385.0</v>
      </c>
    </row>
    <row r="1210" spans="1:9" ht="15" x14ac:dyDescent="0.25">
      <c r="A1210" s="53" t="inlineStr">
        <is>
          <t>LAB-001209</t>
        </is>
      </c>
      <c r="B1210" s="53" t="inlineStr">
        <is>
          <t>WP-00534</t>
        </is>
      </c>
      <c r="C1210" s="53" t="inlineStr">
        <is>
          <t>TECH-058</t>
        </is>
      </c>
      <c r="D1210" s="53" t="inlineStr">
        <is>
          <t>Electrical</t>
        </is>
      </c>
      <c r="E1210" s="53" t="inlineStr">
        <is>
          <t>2025-03-03</t>
        </is>
      </c>
      <c r="F1210" s="53">
        <v>7.3</v>
      </c>
      <c r="G1210" s="53">
        <v>0</v>
      </c>
      <c r="H1210" s="51" t="str">
        <f>TEXT(tblLaborEntries[[#This Row],[Work date serial]]-WEEKDAY(tblLaborEntries[[#This Row],[Work date serial]],3),"yyyy-mm-dd")</f>
        <v>2025-03-03</v>
      </c>
      <c r="I1210" s="64">
        <f>DATEVALUE(tblLaborEntries[[#This Row],[Work date]])</f>
        <v>45719.0</v>
      </c>
    </row>
    <row r="1211" spans="1:9" ht="15" x14ac:dyDescent="0.25">
      <c r="A1211" s="53" t="inlineStr">
        <is>
          <t>LAB-001210</t>
        </is>
      </c>
      <c r="B1211" s="53" t="inlineStr">
        <is>
          <t>WP-00534</t>
        </is>
      </c>
      <c r="C1211" s="53" t="inlineStr">
        <is>
          <t>TECH-034</t>
        </is>
      </c>
      <c r="D1211" s="53" t="inlineStr">
        <is>
          <t>Electrical</t>
        </is>
      </c>
      <c r="E1211" s="53" t="inlineStr">
        <is>
          <t>2025-03-04</t>
        </is>
      </c>
      <c r="F1211" s="53">
        <v>5.4</v>
      </c>
      <c r="G1211" s="53">
        <v>0</v>
      </c>
      <c r="H1211" s="51" t="str">
        <f>TEXT(tblLaborEntries[[#This Row],[Work date serial]]-WEEKDAY(tblLaborEntries[[#This Row],[Work date serial]],3),"yyyy-mm-dd")</f>
        <v>2025-03-03</v>
      </c>
      <c r="I1211" s="64">
        <f>DATEVALUE(tblLaborEntries[[#This Row],[Work date]])</f>
        <v>45720.0</v>
      </c>
    </row>
    <row r="1212" spans="1:9" ht="15" x14ac:dyDescent="0.25">
      <c r="A1212" s="53" t="inlineStr">
        <is>
          <t>LAB-001211</t>
        </is>
      </c>
      <c r="B1212" s="53" t="inlineStr">
        <is>
          <t>WP-00534</t>
        </is>
      </c>
      <c r="C1212" s="53" t="inlineStr">
        <is>
          <t>TECH-058</t>
        </is>
      </c>
      <c r="D1212" s="53" t="inlineStr">
        <is>
          <t>Electrical</t>
        </is>
      </c>
      <c r="E1212" s="53" t="inlineStr">
        <is>
          <t>2025-03-05</t>
        </is>
      </c>
      <c r="F1212" s="53">
        <v>6.1</v>
      </c>
      <c r="G1212" s="53">
        <v>0</v>
      </c>
      <c r="H1212" s="51" t="str">
        <f>TEXT(tblLaborEntries[[#This Row],[Work date serial]]-WEEKDAY(tblLaborEntries[[#This Row],[Work date serial]],3),"yyyy-mm-dd")</f>
        <v>2025-03-03</v>
      </c>
      <c r="I1212" s="64">
        <f>DATEVALUE(tblLaborEntries[[#This Row],[Work date]])</f>
        <v>45721.0</v>
      </c>
    </row>
    <row r="1213" spans="1:9" ht="15" x14ac:dyDescent="0.25">
      <c r="A1213" s="53" t="inlineStr">
        <is>
          <t>LAB-001212</t>
        </is>
      </c>
      <c r="B1213" s="53" t="inlineStr">
        <is>
          <t>WP-00535</t>
        </is>
      </c>
      <c r="C1213" s="53" t="inlineStr">
        <is>
          <t>TECH-066</t>
        </is>
      </c>
      <c r="D1213" s="53" t="inlineStr">
        <is>
          <t>Powerplant</t>
        </is>
      </c>
      <c r="E1213" s="53" t="inlineStr">
        <is>
          <t>2024-06-16</t>
        </is>
      </c>
      <c r="F1213" s="53">
        <v>8.1</v>
      </c>
      <c r="G1213" s="53">
        <v>0.1</v>
      </c>
      <c r="H1213" s="51" t="str">
        <f>TEXT(tblLaborEntries[[#This Row],[Work date serial]]-WEEKDAY(tblLaborEntries[[#This Row],[Work date serial]],3),"yyyy-mm-dd")</f>
        <v>2024-06-10</v>
      </c>
      <c r="I1213" s="64">
        <f>DATEVALUE(tblLaborEntries[[#This Row],[Work date]])</f>
        <v>45459.0</v>
      </c>
    </row>
    <row r="1214" spans="1:9" ht="15" x14ac:dyDescent="0.25">
      <c r="A1214" s="53" t="inlineStr">
        <is>
          <t>LAB-001213</t>
        </is>
      </c>
      <c r="B1214" s="53" t="inlineStr">
        <is>
          <t>WP-00535</t>
        </is>
      </c>
      <c r="C1214" s="53" t="inlineStr">
        <is>
          <t>TECH-018</t>
        </is>
      </c>
      <c r="D1214" s="53" t="inlineStr">
        <is>
          <t>Powerplant</t>
        </is>
      </c>
      <c r="E1214" s="53" t="inlineStr">
        <is>
          <t>2024-06-17</t>
        </is>
      </c>
      <c r="F1214" s="53">
        <v>8.9</v>
      </c>
      <c r="G1214" s="53">
        <v>0.9</v>
      </c>
      <c r="H1214" s="51" t="str">
        <f>TEXT(tblLaborEntries[[#This Row],[Work date serial]]-WEEKDAY(tblLaborEntries[[#This Row],[Work date serial]],3),"yyyy-mm-dd")</f>
        <v>2024-06-17</v>
      </c>
      <c r="I1214" s="64">
        <f>DATEVALUE(tblLaborEntries[[#This Row],[Work date]])</f>
        <v>45460.0</v>
      </c>
    </row>
    <row r="1215" spans="1:9" ht="15" x14ac:dyDescent="0.25">
      <c r="A1215" s="53" t="inlineStr">
        <is>
          <t>LAB-001214</t>
        </is>
      </c>
      <c r="B1215" s="53" t="inlineStr">
        <is>
          <t>WP-00536</t>
        </is>
      </c>
      <c r="C1215" s="53" t="inlineStr">
        <is>
          <t>TECH-054</t>
        </is>
      </c>
      <c r="D1215" s="53" t="inlineStr">
        <is>
          <t>Powerplant</t>
        </is>
      </c>
      <c r="E1215" s="53" t="inlineStr">
        <is>
          <t>2025-03-10</t>
        </is>
      </c>
      <c r="F1215" s="53">
        <v>10.2</v>
      </c>
      <c r="G1215" s="53">
        <v>2.2</v>
      </c>
      <c r="H1215" s="51" t="str">
        <f>TEXT(tblLaborEntries[[#This Row],[Work date serial]]-WEEKDAY(tblLaborEntries[[#This Row],[Work date serial]],3),"yyyy-mm-dd")</f>
        <v>2025-03-10</v>
      </c>
      <c r="I1215" s="64">
        <f>DATEVALUE(tblLaborEntries[[#This Row],[Work date]])</f>
        <v>45726.0</v>
      </c>
    </row>
    <row r="1216" spans="1:9" ht="15" x14ac:dyDescent="0.25">
      <c r="A1216" s="53" t="inlineStr">
        <is>
          <t>LAB-001215</t>
        </is>
      </c>
      <c r="B1216" s="53" t="inlineStr">
        <is>
          <t>WP-00536</t>
        </is>
      </c>
      <c r="C1216" s="53" t="inlineStr">
        <is>
          <t>TECH-066</t>
        </is>
      </c>
      <c r="D1216" s="53" t="inlineStr">
        <is>
          <t>Powerplant</t>
        </is>
      </c>
      <c r="E1216" s="53" t="inlineStr">
        <is>
          <t>2025-03-11</t>
        </is>
      </c>
      <c r="F1216" s="53">
        <v>9.5</v>
      </c>
      <c r="G1216" s="53">
        <v>1.5</v>
      </c>
      <c r="H1216" s="51" t="str">
        <f>TEXT(tblLaborEntries[[#This Row],[Work date serial]]-WEEKDAY(tblLaborEntries[[#This Row],[Work date serial]],3),"yyyy-mm-dd")</f>
        <v>2025-03-10</v>
      </c>
      <c r="I1216" s="64">
        <f>DATEVALUE(tblLaborEntries[[#This Row],[Work date]])</f>
        <v>45727.0</v>
      </c>
    </row>
    <row r="1217" spans="1:9" ht="15" x14ac:dyDescent="0.25">
      <c r="A1217" s="53" t="inlineStr">
        <is>
          <t>LAB-001216</t>
        </is>
      </c>
      <c r="B1217" s="53" t="inlineStr">
        <is>
          <t>WP-00537</t>
        </is>
      </c>
      <c r="C1217" s="53" t="inlineStr">
        <is>
          <t>TECH-006</t>
        </is>
      </c>
      <c r="D1217" s="53" t="inlineStr">
        <is>
          <t>Powerplant</t>
        </is>
      </c>
      <c r="E1217" s="53" t="inlineStr">
        <is>
          <t>2025-09-03</t>
        </is>
      </c>
      <c r="F1217" s="53">
        <v>8.8</v>
      </c>
      <c r="G1217" s="53">
        <v>0.8</v>
      </c>
      <c r="H1217" s="51" t="str">
        <f>TEXT(tblLaborEntries[[#This Row],[Work date serial]]-WEEKDAY(tblLaborEntries[[#This Row],[Work date serial]],3),"yyyy-mm-dd")</f>
        <v>2025-09-01</v>
      </c>
      <c r="I1217" s="64">
        <f>DATEVALUE(tblLaborEntries[[#This Row],[Work date]])</f>
        <v>45903.0</v>
      </c>
    </row>
    <row r="1218" spans="1:9" ht="15" x14ac:dyDescent="0.25">
      <c r="A1218" s="53" t="inlineStr">
        <is>
          <t>LAB-001217</t>
        </is>
      </c>
      <c r="B1218" s="53" t="inlineStr">
        <is>
          <t>WP-00537</t>
        </is>
      </c>
      <c r="C1218" s="53" t="inlineStr">
        <is>
          <t>TECH-024</t>
        </is>
      </c>
      <c r="D1218" s="53" t="inlineStr">
        <is>
          <t>Powerplant</t>
        </is>
      </c>
      <c r="E1218" s="53" t="inlineStr">
        <is>
          <t>2025-09-03</t>
        </is>
      </c>
      <c r="F1218" s="53">
        <v>12</v>
      </c>
      <c r="G1218" s="53">
        <v>4</v>
      </c>
      <c r="H1218" s="51" t="str">
        <f>TEXT(tblLaborEntries[[#This Row],[Work date serial]]-WEEKDAY(tblLaborEntries[[#This Row],[Work date serial]],3),"yyyy-mm-dd")</f>
        <v>2025-09-01</v>
      </c>
      <c r="I1218" s="64">
        <f>DATEVALUE(tblLaborEntries[[#This Row],[Work date]])</f>
        <v>45903.0</v>
      </c>
    </row>
    <row r="1219" spans="1:9" ht="15" x14ac:dyDescent="0.25">
      <c r="A1219" s="53" t="inlineStr">
        <is>
          <t>LAB-001218</t>
        </is>
      </c>
      <c r="B1219" s="53" t="inlineStr">
        <is>
          <t>WP-00538</t>
        </is>
      </c>
      <c r="C1219" s="53" t="inlineStr">
        <is>
          <t>TECH-075</t>
        </is>
      </c>
      <c r="D1219" s="53" t="inlineStr">
        <is>
          <t>Hydraulics</t>
        </is>
      </c>
      <c r="E1219" s="53" t="inlineStr">
        <is>
          <t>2025-09-13</t>
        </is>
      </c>
      <c r="F1219" s="53">
        <v>3.3</v>
      </c>
      <c r="G1219" s="53">
        <v>0</v>
      </c>
      <c r="H1219" s="51" t="str">
        <f>TEXT(tblLaborEntries[[#This Row],[Work date serial]]-WEEKDAY(tblLaborEntries[[#This Row],[Work date serial]],3),"yyyy-mm-dd")</f>
        <v>2025-09-08</v>
      </c>
      <c r="I1219" s="64">
        <f>DATEVALUE(tblLaborEntries[[#This Row],[Work date]])</f>
        <v>45913.0</v>
      </c>
    </row>
    <row r="1220" spans="1:9" ht="15" x14ac:dyDescent="0.25">
      <c r="A1220" s="53" t="inlineStr">
        <is>
          <t>LAB-001219</t>
        </is>
      </c>
      <c r="B1220" s="53" t="inlineStr">
        <is>
          <t>WP-00538</t>
        </is>
      </c>
      <c r="C1220" s="53" t="inlineStr">
        <is>
          <t>TECH-033</t>
        </is>
      </c>
      <c r="D1220" s="53" t="inlineStr">
        <is>
          <t>Hydraulics</t>
        </is>
      </c>
      <c r="E1220" s="53" t="inlineStr">
        <is>
          <t>2025-09-14</t>
        </is>
      </c>
      <c r="F1220" s="53">
        <v>4.5</v>
      </c>
      <c r="G1220" s="53">
        <v>0</v>
      </c>
      <c r="H1220" s="51" t="str">
        <f>TEXT(tblLaborEntries[[#This Row],[Work date serial]]-WEEKDAY(tblLaborEntries[[#This Row],[Work date serial]],3),"yyyy-mm-dd")</f>
        <v>2025-09-08</v>
      </c>
      <c r="I1220" s="64">
        <f>DATEVALUE(tblLaborEntries[[#This Row],[Work date]])</f>
        <v>45914.0</v>
      </c>
    </row>
    <row r="1221" spans="1:9" ht="15" x14ac:dyDescent="0.25">
      <c r="A1221" s="53" t="inlineStr">
        <is>
          <t>LAB-001220</t>
        </is>
      </c>
      <c r="B1221" s="53" t="inlineStr">
        <is>
          <t>WP-00538</t>
        </is>
      </c>
      <c r="C1221" s="53" t="inlineStr">
        <is>
          <t>TECH-045</t>
        </is>
      </c>
      <c r="D1221" s="53" t="inlineStr">
        <is>
          <t>Hydraulics</t>
        </is>
      </c>
      <c r="E1221" s="53" t="inlineStr">
        <is>
          <t>2025-09-15</t>
        </is>
      </c>
      <c r="F1221" s="53">
        <v>3.5</v>
      </c>
      <c r="G1221" s="53">
        <v>0</v>
      </c>
      <c r="H1221" s="51" t="str">
        <f>TEXT(tblLaborEntries[[#This Row],[Work date serial]]-WEEKDAY(tblLaborEntries[[#This Row],[Work date serial]],3),"yyyy-mm-dd")</f>
        <v>2025-09-15</v>
      </c>
      <c r="I1221" s="64">
        <f>DATEVALUE(tblLaborEntries[[#This Row],[Work date]])</f>
        <v>45915.0</v>
      </c>
    </row>
    <row r="1222" spans="1:9" ht="15" x14ac:dyDescent="0.25">
      <c r="A1222" s="53" t="inlineStr">
        <is>
          <t>LAB-001221</t>
        </is>
      </c>
      <c r="B1222" s="53" t="inlineStr">
        <is>
          <t>WP-00539</t>
        </is>
      </c>
      <c r="C1222" s="53" t="inlineStr">
        <is>
          <t>TECH-002</t>
        </is>
      </c>
      <c r="D1222" s="53" t="inlineStr">
        <is>
          <t>Avionics</t>
        </is>
      </c>
      <c r="E1222" s="53" t="inlineStr">
        <is>
          <t>2025-12-31</t>
        </is>
      </c>
      <c r="F1222" s="53">
        <v>12</v>
      </c>
      <c r="G1222" s="53">
        <v>4</v>
      </c>
      <c r="H1222" s="51" t="str">
        <f>TEXT(tblLaborEntries[[#This Row],[Work date serial]]-WEEKDAY(tblLaborEntries[[#This Row],[Work date serial]],3),"yyyy-mm-dd")</f>
        <v>2025-12-29</v>
      </c>
      <c r="I1222" s="64">
        <f>DATEVALUE(tblLaborEntries[[#This Row],[Work date]])</f>
        <v>46022.0</v>
      </c>
    </row>
    <row r="1223" spans="1:9" ht="15" x14ac:dyDescent="0.25">
      <c r="A1223" s="53" t="inlineStr">
        <is>
          <t>LAB-001222</t>
        </is>
      </c>
      <c r="B1223" s="53" t="inlineStr">
        <is>
          <t>WP-00539</t>
        </is>
      </c>
      <c r="C1223" s="53" t="inlineStr">
        <is>
          <t>TECH-008</t>
        </is>
      </c>
      <c r="D1223" s="53" t="inlineStr">
        <is>
          <t>Avionics</t>
        </is>
      </c>
      <c r="E1223" s="53" t="inlineStr">
        <is>
          <t>2025-12-31</t>
        </is>
      </c>
      <c r="F1223" s="53">
        <v>8.6</v>
      </c>
      <c r="G1223" s="53">
        <v>0.6</v>
      </c>
      <c r="H1223" s="51" t="str">
        <f>TEXT(tblLaborEntries[[#This Row],[Work date serial]]-WEEKDAY(tblLaborEntries[[#This Row],[Work date serial]],3),"yyyy-mm-dd")</f>
        <v>2025-12-29</v>
      </c>
      <c r="I1223" s="64">
        <f>DATEVALUE(tblLaborEntries[[#This Row],[Work date]])</f>
        <v>46022.0</v>
      </c>
    </row>
    <row r="1224" spans="1:9" ht="15" x14ac:dyDescent="0.25">
      <c r="A1224" s="53" t="inlineStr">
        <is>
          <t>LAB-001223</t>
        </is>
      </c>
      <c r="B1224" s="53" t="inlineStr">
        <is>
          <t>WP-00540</t>
        </is>
      </c>
      <c r="C1224" s="53" t="inlineStr">
        <is>
          <t>TECH-056</t>
        </is>
      </c>
      <c r="D1224" s="53" t="inlineStr">
        <is>
          <t>Avionics</t>
        </is>
      </c>
      <c r="E1224" s="53" t="inlineStr">
        <is>
          <t>2025-07-09</t>
        </is>
      </c>
      <c r="F1224" s="53">
        <v>2.2</v>
      </c>
      <c r="G1224" s="53">
        <v>0</v>
      </c>
      <c r="H1224" s="51" t="str">
        <f>TEXT(tblLaborEntries[[#This Row],[Work date serial]]-WEEKDAY(tblLaborEntries[[#This Row],[Work date serial]],3),"yyyy-mm-dd")</f>
        <v>2025-07-07</v>
      </c>
      <c r="I1224" s="64">
        <f>DATEVALUE(tblLaborEntries[[#This Row],[Work date]])</f>
        <v>45847.0</v>
      </c>
    </row>
    <row r="1225" spans="1:9" ht="15" x14ac:dyDescent="0.25">
      <c r="A1225" s="53" t="inlineStr">
        <is>
          <t>LAB-001224</t>
        </is>
      </c>
      <c r="B1225" s="53" t="inlineStr">
        <is>
          <t>WP-00540</t>
        </is>
      </c>
      <c r="C1225" s="53" t="inlineStr">
        <is>
          <t>TECH-038</t>
        </is>
      </c>
      <c r="D1225" s="53" t="inlineStr">
        <is>
          <t>Avionics</t>
        </is>
      </c>
      <c r="E1225" s="53" t="inlineStr">
        <is>
          <t>2025-07-10</t>
        </is>
      </c>
      <c r="F1225" s="53">
        <v>1.8</v>
      </c>
      <c r="G1225" s="53">
        <v>0</v>
      </c>
      <c r="H1225" s="51" t="str">
        <f>TEXT(tblLaborEntries[[#This Row],[Work date serial]]-WEEKDAY(tblLaborEntries[[#This Row],[Work date serial]],3),"yyyy-mm-dd")</f>
        <v>2025-07-07</v>
      </c>
      <c r="I1225" s="64">
        <f>DATEVALUE(tblLaborEntries[[#This Row],[Work date]])</f>
        <v>45848.0</v>
      </c>
    </row>
    <row r="1226" spans="1:9" ht="15" x14ac:dyDescent="0.25">
      <c r="A1226" s="53" t="inlineStr">
        <is>
          <t>LAB-001225</t>
        </is>
      </c>
      <c r="B1226" s="53" t="inlineStr">
        <is>
          <t>WP-00540</t>
        </is>
      </c>
      <c r="C1226" s="53" t="inlineStr">
        <is>
          <t>TECH-008</t>
        </is>
      </c>
      <c r="D1226" s="53" t="inlineStr">
        <is>
          <t>Avionics</t>
        </is>
      </c>
      <c r="E1226" s="53" t="inlineStr">
        <is>
          <t>2025-07-11</t>
        </is>
      </c>
      <c r="F1226" s="53">
        <v>1.7</v>
      </c>
      <c r="G1226" s="53">
        <v>0</v>
      </c>
      <c r="H1226" s="51" t="str">
        <f>TEXT(tblLaborEntries[[#This Row],[Work date serial]]-WEEKDAY(tblLaborEntries[[#This Row],[Work date serial]],3),"yyyy-mm-dd")</f>
        <v>2025-07-07</v>
      </c>
      <c r="I1226" s="64">
        <f>DATEVALUE(tblLaborEntries[[#This Row],[Work date]])</f>
        <v>45849.0</v>
      </c>
    </row>
    <row r="1227" spans="1:9" ht="15" x14ac:dyDescent="0.25">
      <c r="A1227" s="53" t="inlineStr">
        <is>
          <t>LAB-001226</t>
        </is>
      </c>
      <c r="B1227" s="53" t="inlineStr">
        <is>
          <t>WP-00541</t>
        </is>
      </c>
      <c r="C1227" s="53" t="inlineStr">
        <is>
          <t>TECH-056</t>
        </is>
      </c>
      <c r="D1227" s="53" t="inlineStr">
        <is>
          <t>Avionics</t>
        </is>
      </c>
      <c r="E1227" s="53" t="inlineStr">
        <is>
          <t>2025-08-27</t>
        </is>
      </c>
      <c r="F1227" s="53">
        <v>1.4</v>
      </c>
      <c r="G1227" s="53">
        <v>0</v>
      </c>
      <c r="H1227" s="51" t="str">
        <f>TEXT(tblLaborEntries[[#This Row],[Work date serial]]-WEEKDAY(tblLaborEntries[[#This Row],[Work date serial]],3),"yyyy-mm-dd")</f>
        <v>2025-08-25</v>
      </c>
      <c r="I1227" s="64">
        <f>DATEVALUE(tblLaborEntries[[#This Row],[Work date]])</f>
        <v>45896.0</v>
      </c>
    </row>
    <row r="1228" spans="1:9" ht="15" x14ac:dyDescent="0.25">
      <c r="A1228" s="53" t="inlineStr">
        <is>
          <t>LAB-001227</t>
        </is>
      </c>
      <c r="B1228" s="53" t="inlineStr">
        <is>
          <t>WP-00541</t>
        </is>
      </c>
      <c r="C1228" s="53" t="inlineStr">
        <is>
          <t>TECH-050</t>
        </is>
      </c>
      <c r="D1228" s="53" t="inlineStr">
        <is>
          <t>Avionics</t>
        </is>
      </c>
      <c r="E1228" s="53" t="inlineStr">
        <is>
          <t>2025-08-28</t>
        </is>
      </c>
      <c r="F1228" s="53">
        <v>1.3</v>
      </c>
      <c r="G1228" s="53">
        <v>0</v>
      </c>
      <c r="H1228" s="51" t="str">
        <f>TEXT(tblLaborEntries[[#This Row],[Work date serial]]-WEEKDAY(tblLaborEntries[[#This Row],[Work date serial]],3),"yyyy-mm-dd")</f>
        <v>2025-08-25</v>
      </c>
      <c r="I1228" s="64">
        <f>DATEVALUE(tblLaborEntries[[#This Row],[Work date]])</f>
        <v>45897.0</v>
      </c>
    </row>
    <row r="1229" spans="1:9" ht="15" x14ac:dyDescent="0.25">
      <c r="A1229" s="53" t="inlineStr">
        <is>
          <t>LAB-001228</t>
        </is>
      </c>
      <c r="B1229" s="53" t="inlineStr">
        <is>
          <t>WP-00541</t>
        </is>
      </c>
      <c r="C1229" s="53" t="inlineStr">
        <is>
          <t>TECH-020</t>
        </is>
      </c>
      <c r="D1229" s="53" t="inlineStr">
        <is>
          <t>Avionics</t>
        </is>
      </c>
      <c r="E1229" s="53" t="inlineStr">
        <is>
          <t>2025-08-29</t>
        </is>
      </c>
      <c r="F1229" s="53">
        <v>1.3</v>
      </c>
      <c r="G1229" s="53">
        <v>0</v>
      </c>
      <c r="H1229" s="51" t="str">
        <f>TEXT(tblLaborEntries[[#This Row],[Work date serial]]-WEEKDAY(tblLaborEntries[[#This Row],[Work date serial]],3),"yyyy-mm-dd")</f>
        <v>2025-08-25</v>
      </c>
      <c r="I1229" s="64">
        <f>DATEVALUE(tblLaborEntries[[#This Row],[Work date]])</f>
        <v>45898.0</v>
      </c>
    </row>
    <row r="1230" spans="1:9" ht="15" x14ac:dyDescent="0.25">
      <c r="A1230" s="53" t="inlineStr">
        <is>
          <t>LAB-001229</t>
        </is>
      </c>
      <c r="B1230" s="53" t="inlineStr">
        <is>
          <t>WP-00542</t>
        </is>
      </c>
      <c r="C1230" s="53" t="inlineStr">
        <is>
          <t>TECH-056</t>
        </is>
      </c>
      <c r="D1230" s="53" t="inlineStr">
        <is>
          <t>Avionics</t>
        </is>
      </c>
      <c r="E1230" s="53" t="inlineStr">
        <is>
          <t>2024-08-22</t>
        </is>
      </c>
      <c r="F1230" s="53">
        <v>1.1</v>
      </c>
      <c r="G1230" s="53">
        <v>0</v>
      </c>
      <c r="H1230" s="51" t="str">
        <f>TEXT(tblLaborEntries[[#This Row],[Work date serial]]-WEEKDAY(tblLaborEntries[[#This Row],[Work date serial]],3),"yyyy-mm-dd")</f>
        <v>2024-08-19</v>
      </c>
      <c r="I1230" s="64">
        <f>DATEVALUE(tblLaborEntries[[#This Row],[Work date]])</f>
        <v>45526.0</v>
      </c>
    </row>
    <row r="1231" spans="1:9" ht="15" x14ac:dyDescent="0.25">
      <c r="A1231" s="53" t="inlineStr">
        <is>
          <t>LAB-001230</t>
        </is>
      </c>
      <c r="B1231" s="53" t="inlineStr">
        <is>
          <t>WP-00542</t>
        </is>
      </c>
      <c r="C1231" s="53" t="inlineStr">
        <is>
          <t>TECH-026</t>
        </is>
      </c>
      <c r="D1231" s="53" t="inlineStr">
        <is>
          <t>Avionics</t>
        </is>
      </c>
      <c r="E1231" s="53" t="inlineStr">
        <is>
          <t>2024-08-23</t>
        </is>
      </c>
      <c r="F1231" s="53">
        <v>0.8</v>
      </c>
      <c r="G1231" s="53">
        <v>0</v>
      </c>
      <c r="H1231" s="51" t="str">
        <f>TEXT(tblLaborEntries[[#This Row],[Work date serial]]-WEEKDAY(tblLaborEntries[[#This Row],[Work date serial]],3),"yyyy-mm-dd")</f>
        <v>2024-08-19</v>
      </c>
      <c r="I1231" s="64">
        <f>DATEVALUE(tblLaborEntries[[#This Row],[Work date]])</f>
        <v>45527.0</v>
      </c>
    </row>
    <row r="1232" spans="1:9" ht="15" x14ac:dyDescent="0.25">
      <c r="A1232" s="53" t="inlineStr">
        <is>
          <t>LAB-001231</t>
        </is>
      </c>
      <c r="B1232" s="53" t="inlineStr">
        <is>
          <t>WP-00542</t>
        </is>
      </c>
      <c r="C1232" s="53" t="inlineStr">
        <is>
          <t>TECH-068</t>
        </is>
      </c>
      <c r="D1232" s="53" t="inlineStr">
        <is>
          <t>Avionics</t>
        </is>
      </c>
      <c r="E1232" s="53" t="inlineStr">
        <is>
          <t>2024-08-24</t>
        </is>
      </c>
      <c r="F1232" s="53">
        <v>1.2</v>
      </c>
      <c r="G1232" s="53">
        <v>0</v>
      </c>
      <c r="H1232" s="51" t="str">
        <f>TEXT(tblLaborEntries[[#This Row],[Work date serial]]-WEEKDAY(tblLaborEntries[[#This Row],[Work date serial]],3),"yyyy-mm-dd")</f>
        <v>2024-08-19</v>
      </c>
      <c r="I1232" s="64">
        <f>DATEVALUE(tblLaborEntries[[#This Row],[Work date]])</f>
        <v>45528.0</v>
      </c>
    </row>
    <row r="1233" spans="1:9" ht="15" x14ac:dyDescent="0.25">
      <c r="A1233" s="53" t="inlineStr">
        <is>
          <t>LAB-001232</t>
        </is>
      </c>
      <c r="B1233" s="53" t="inlineStr">
        <is>
          <t>WP-00543</t>
        </is>
      </c>
      <c r="C1233" s="53" t="inlineStr">
        <is>
          <t>TECH-014</t>
        </is>
      </c>
      <c r="D1233" s="53" t="inlineStr">
        <is>
          <t>Avionics</t>
        </is>
      </c>
      <c r="E1233" s="53" t="inlineStr">
        <is>
          <t>2025-06-23</t>
        </is>
      </c>
      <c r="F1233" s="53">
        <v>4.2</v>
      </c>
      <c r="G1233" s="53">
        <v>0</v>
      </c>
      <c r="H1233" s="51" t="str">
        <f>TEXT(tblLaborEntries[[#This Row],[Work date serial]]-WEEKDAY(tblLaborEntries[[#This Row],[Work date serial]],3),"yyyy-mm-dd")</f>
        <v>2025-06-23</v>
      </c>
      <c r="I1233" s="64">
        <f>DATEVALUE(tblLaborEntries[[#This Row],[Work date]])</f>
        <v>45831.0</v>
      </c>
    </row>
    <row r="1234" spans="1:9" ht="15" x14ac:dyDescent="0.25">
      <c r="A1234" s="53" t="inlineStr">
        <is>
          <t>LAB-001233</t>
        </is>
      </c>
      <c r="B1234" s="53" t="inlineStr">
        <is>
          <t>WP-00543</t>
        </is>
      </c>
      <c r="C1234" s="53" t="inlineStr">
        <is>
          <t>TECH-038</t>
        </is>
      </c>
      <c r="D1234" s="53" t="inlineStr">
        <is>
          <t>Avionics</t>
        </is>
      </c>
      <c r="E1234" s="53" t="inlineStr">
        <is>
          <t>2025-06-24</t>
        </is>
      </c>
      <c r="F1234" s="53">
        <v>5.2</v>
      </c>
      <c r="G1234" s="53">
        <v>0</v>
      </c>
      <c r="H1234" s="51" t="str">
        <f>TEXT(tblLaborEntries[[#This Row],[Work date serial]]-WEEKDAY(tblLaborEntries[[#This Row],[Work date serial]],3),"yyyy-mm-dd")</f>
        <v>2025-06-23</v>
      </c>
      <c r="I1234" s="64">
        <f>DATEVALUE(tblLaborEntries[[#This Row],[Work date]])</f>
        <v>45832.0</v>
      </c>
    </row>
    <row r="1235" spans="1:9" ht="15" x14ac:dyDescent="0.25">
      <c r="A1235" s="53" t="inlineStr">
        <is>
          <t>LAB-001234</t>
        </is>
      </c>
      <c r="B1235" s="53" t="inlineStr">
        <is>
          <t>WP-00544</t>
        </is>
      </c>
      <c r="C1235" s="53" t="inlineStr">
        <is>
          <t>TECH-042</t>
        </is>
      </c>
      <c r="D1235" s="53" t="inlineStr">
        <is>
          <t>Powerplant</t>
        </is>
      </c>
      <c r="E1235" s="53" t="inlineStr">
        <is>
          <t>2024-07-29</t>
        </is>
      </c>
      <c r="F1235" s="53">
        <v>4.8</v>
      </c>
      <c r="G1235" s="53">
        <v>0</v>
      </c>
      <c r="H1235" s="51" t="str">
        <f>TEXT(tblLaborEntries[[#This Row],[Work date serial]]-WEEKDAY(tblLaborEntries[[#This Row],[Work date serial]],3),"yyyy-mm-dd")</f>
        <v>2024-07-29</v>
      </c>
      <c r="I1235" s="64">
        <f>DATEVALUE(tblLaborEntries[[#This Row],[Work date]])</f>
        <v>45502.0</v>
      </c>
    </row>
    <row r="1236" spans="1:9" ht="15" x14ac:dyDescent="0.25">
      <c r="A1236" s="53" t="inlineStr">
        <is>
          <t>LAB-001235</t>
        </is>
      </c>
      <c r="B1236" s="53" t="inlineStr">
        <is>
          <t>WP-00544</t>
        </is>
      </c>
      <c r="C1236" s="53" t="inlineStr">
        <is>
          <t>TECH-012</t>
        </is>
      </c>
      <c r="D1236" s="53" t="inlineStr">
        <is>
          <t>Powerplant</t>
        </is>
      </c>
      <c r="E1236" s="53" t="inlineStr">
        <is>
          <t>2024-07-30</t>
        </is>
      </c>
      <c r="F1236" s="53">
        <v>6.1</v>
      </c>
      <c r="G1236" s="53">
        <v>0</v>
      </c>
      <c r="H1236" s="51" t="str">
        <f>TEXT(tblLaborEntries[[#This Row],[Work date serial]]-WEEKDAY(tblLaborEntries[[#This Row],[Work date serial]],3),"yyyy-mm-dd")</f>
        <v>2024-07-29</v>
      </c>
      <c r="I1236" s="64">
        <f>DATEVALUE(tblLaborEntries[[#This Row],[Work date]])</f>
        <v>45503.0</v>
      </c>
    </row>
    <row r="1237" spans="1:9" ht="15" x14ac:dyDescent="0.25">
      <c r="A1237" s="53" t="inlineStr">
        <is>
          <t>LAB-001236</t>
        </is>
      </c>
      <c r="B1237" s="53" t="inlineStr">
        <is>
          <t>WP-00544</t>
        </is>
      </c>
      <c r="C1237" s="53" t="inlineStr">
        <is>
          <t>TECH-036</t>
        </is>
      </c>
      <c r="D1237" s="53" t="inlineStr">
        <is>
          <t>Powerplant</t>
        </is>
      </c>
      <c r="E1237" s="53" t="inlineStr">
        <is>
          <t>2024-07-31</t>
        </is>
      </c>
      <c r="F1237" s="53">
        <v>5.9</v>
      </c>
      <c r="G1237" s="53">
        <v>0</v>
      </c>
      <c r="H1237" s="51" t="str">
        <f>TEXT(tblLaborEntries[[#This Row],[Work date serial]]-WEEKDAY(tblLaborEntries[[#This Row],[Work date serial]],3),"yyyy-mm-dd")</f>
        <v>2024-07-29</v>
      </c>
      <c r="I1237" s="64">
        <f>DATEVALUE(tblLaborEntries[[#This Row],[Work date]])</f>
        <v>45504.0</v>
      </c>
    </row>
    <row r="1238" spans="1:9" ht="15" x14ac:dyDescent="0.25">
      <c r="A1238" s="53" t="inlineStr">
        <is>
          <t>LAB-001237</t>
        </is>
      </c>
      <c r="B1238" s="53" t="inlineStr">
        <is>
          <t>WP-00545</t>
        </is>
      </c>
      <c r="C1238" s="53" t="inlineStr">
        <is>
          <t>TECH-045</t>
        </is>
      </c>
      <c r="D1238" s="53" t="inlineStr">
        <is>
          <t>Hydraulics</t>
        </is>
      </c>
      <c r="E1238" s="53" t="inlineStr">
        <is>
          <t>2024-10-03</t>
        </is>
      </c>
      <c r="F1238" s="53">
        <v>9.7</v>
      </c>
      <c r="G1238" s="53">
        <v>1.7</v>
      </c>
      <c r="H1238" s="51" t="str">
        <f>TEXT(tblLaborEntries[[#This Row],[Work date serial]]-WEEKDAY(tblLaborEntries[[#This Row],[Work date serial]],3),"yyyy-mm-dd")</f>
        <v>2024-09-30</v>
      </c>
      <c r="I1238" s="64">
        <f>DATEVALUE(tblLaborEntries[[#This Row],[Work date]])</f>
        <v>45568.0</v>
      </c>
    </row>
    <row r="1239" spans="1:9" ht="15" x14ac:dyDescent="0.25">
      <c r="A1239" s="53" t="inlineStr">
        <is>
          <t>LAB-001238</t>
        </is>
      </c>
      <c r="B1239" s="53" t="inlineStr">
        <is>
          <t>WP-00546</t>
        </is>
      </c>
      <c r="C1239" s="53" t="inlineStr">
        <is>
          <t>TECH-013</t>
        </is>
      </c>
      <c r="D1239" s="53" t="inlineStr">
        <is>
          <t>Airframe</t>
        </is>
      </c>
      <c r="E1239" s="53" t="inlineStr">
        <is>
          <t>2025-05-01</t>
        </is>
      </c>
      <c r="F1239" s="53">
        <v>2.5</v>
      </c>
      <c r="G1239" s="53">
        <v>0</v>
      </c>
      <c r="H1239" s="51" t="str">
        <f>TEXT(tblLaborEntries[[#This Row],[Work date serial]]-WEEKDAY(tblLaborEntries[[#This Row],[Work date serial]],3),"yyyy-mm-dd")</f>
        <v>2025-04-28</v>
      </c>
      <c r="I1239" s="64">
        <f>DATEVALUE(tblLaborEntries[[#This Row],[Work date]])</f>
        <v>45778.0</v>
      </c>
    </row>
    <row r="1240" spans="1:9" ht="15" x14ac:dyDescent="0.25">
      <c r="A1240" s="53" t="inlineStr">
        <is>
          <t>LAB-001239</t>
        </is>
      </c>
      <c r="B1240" s="53" t="inlineStr">
        <is>
          <t>WP-00546</t>
        </is>
      </c>
      <c r="C1240" s="53" t="inlineStr">
        <is>
          <t>TECH-007</t>
        </is>
      </c>
      <c r="D1240" s="53" t="inlineStr">
        <is>
          <t>Airframe</t>
        </is>
      </c>
      <c r="E1240" s="53" t="inlineStr">
        <is>
          <t>2025-05-02</t>
        </is>
      </c>
      <c r="F1240" s="53">
        <v>2.6</v>
      </c>
      <c r="G1240" s="53">
        <v>0</v>
      </c>
      <c r="H1240" s="51" t="str">
        <f>TEXT(tblLaborEntries[[#This Row],[Work date serial]]-WEEKDAY(tblLaborEntries[[#This Row],[Work date serial]],3),"yyyy-mm-dd")</f>
        <v>2025-04-28</v>
      </c>
      <c r="I1240" s="64">
        <f>DATEVALUE(tblLaborEntries[[#This Row],[Work date]])</f>
        <v>45779.0</v>
      </c>
    </row>
    <row r="1241" spans="1:9" ht="15" x14ac:dyDescent="0.25">
      <c r="A1241" s="53" t="inlineStr">
        <is>
          <t>LAB-001240</t>
        </is>
      </c>
      <c r="B1241" s="53" t="inlineStr">
        <is>
          <t>WP-00546</t>
        </is>
      </c>
      <c r="C1241" s="53" t="inlineStr">
        <is>
          <t>TECH-049</t>
        </is>
      </c>
      <c r="D1241" s="53" t="inlineStr">
        <is>
          <t>Airframe</t>
        </is>
      </c>
      <c r="E1241" s="53" t="inlineStr">
        <is>
          <t>2025-05-03</t>
        </is>
      </c>
      <c r="F1241" s="53">
        <v>2.2</v>
      </c>
      <c r="G1241" s="53">
        <v>0</v>
      </c>
      <c r="H1241" s="51" t="str">
        <f>TEXT(tblLaborEntries[[#This Row],[Work date serial]]-WEEKDAY(tblLaborEntries[[#This Row],[Work date serial]],3),"yyyy-mm-dd")</f>
        <v>2025-04-28</v>
      </c>
      <c r="I1241" s="64">
        <f>DATEVALUE(tblLaborEntries[[#This Row],[Work date]])</f>
        <v>45780.0</v>
      </c>
    </row>
    <row r="1242" spans="1:9" ht="15" x14ac:dyDescent="0.25">
      <c r="A1242" s="53" t="inlineStr">
        <is>
          <t>LAB-001241</t>
        </is>
      </c>
      <c r="B1242" s="53" t="inlineStr">
        <is>
          <t>WP-00547</t>
        </is>
      </c>
      <c r="C1242" s="53" t="inlineStr">
        <is>
          <t>TECH-030</t>
        </is>
      </c>
      <c r="D1242" s="53" t="inlineStr">
        <is>
          <t>Powerplant</t>
        </is>
      </c>
      <c r="E1242" s="53" t="inlineStr">
        <is>
          <t>2024-10-08</t>
        </is>
      </c>
      <c r="F1242" s="53">
        <v>4.5</v>
      </c>
      <c r="G1242" s="53">
        <v>0</v>
      </c>
      <c r="H1242" s="51" t="str">
        <f>TEXT(tblLaborEntries[[#This Row],[Work date serial]]-WEEKDAY(tblLaborEntries[[#This Row],[Work date serial]],3),"yyyy-mm-dd")</f>
        <v>2024-10-07</v>
      </c>
      <c r="I1242" s="64">
        <f>DATEVALUE(tblLaborEntries[[#This Row],[Work date]])</f>
        <v>45573.0</v>
      </c>
    </row>
    <row r="1243" spans="1:9" ht="15" x14ac:dyDescent="0.25">
      <c r="A1243" s="53" t="inlineStr">
        <is>
          <t>LAB-001242</t>
        </is>
      </c>
      <c r="B1243" s="53" t="inlineStr">
        <is>
          <t>WP-00547</t>
        </is>
      </c>
      <c r="C1243" s="53" t="inlineStr">
        <is>
          <t>TECH-012</t>
        </is>
      </c>
      <c r="D1243" s="53" t="inlineStr">
        <is>
          <t>Powerplant</t>
        </is>
      </c>
      <c r="E1243" s="53" t="inlineStr">
        <is>
          <t>2024-10-09</t>
        </is>
      </c>
      <c r="F1243" s="53">
        <v>4.3</v>
      </c>
      <c r="G1243" s="53">
        <v>0</v>
      </c>
      <c r="H1243" s="51" t="str">
        <f>TEXT(tblLaborEntries[[#This Row],[Work date serial]]-WEEKDAY(tblLaborEntries[[#This Row],[Work date serial]],3),"yyyy-mm-dd")</f>
        <v>2024-10-07</v>
      </c>
      <c r="I1243" s="64">
        <f>DATEVALUE(tblLaborEntries[[#This Row],[Work date]])</f>
        <v>45574.0</v>
      </c>
    </row>
    <row r="1244" spans="1:9" ht="15" x14ac:dyDescent="0.25">
      <c r="A1244" s="53" t="inlineStr">
        <is>
          <t>LAB-001243</t>
        </is>
      </c>
      <c r="B1244" s="53" t="inlineStr">
        <is>
          <t>WP-00547</t>
        </is>
      </c>
      <c r="C1244" s="53" t="inlineStr">
        <is>
          <t>TECH-018</t>
        </is>
      </c>
      <c r="D1244" s="53" t="inlineStr">
        <is>
          <t>Powerplant</t>
        </is>
      </c>
      <c r="E1244" s="53" t="inlineStr">
        <is>
          <t>2024-10-10</t>
        </is>
      </c>
      <c r="F1244" s="53">
        <v>3.3</v>
      </c>
      <c r="G1244" s="53">
        <v>0</v>
      </c>
      <c r="H1244" s="51" t="str">
        <f>TEXT(tblLaborEntries[[#This Row],[Work date serial]]-WEEKDAY(tblLaborEntries[[#This Row],[Work date serial]],3),"yyyy-mm-dd")</f>
        <v>2024-10-07</v>
      </c>
      <c r="I1244" s="64">
        <f>DATEVALUE(tblLaborEntries[[#This Row],[Work date]])</f>
        <v>45575.0</v>
      </c>
    </row>
    <row r="1245" spans="1:9" ht="15" x14ac:dyDescent="0.25">
      <c r="A1245" s="53" t="inlineStr">
        <is>
          <t>LAB-001244</t>
        </is>
      </c>
      <c r="B1245" s="53" t="inlineStr">
        <is>
          <t>WP-00548</t>
        </is>
      </c>
      <c r="C1245" s="53" t="inlineStr">
        <is>
          <t>TECH-037</t>
        </is>
      </c>
      <c r="D1245" s="53" t="inlineStr">
        <is>
          <t>Airframe</t>
        </is>
      </c>
      <c r="E1245" s="53" t="inlineStr">
        <is>
          <t>2025-08-15</t>
        </is>
      </c>
      <c r="F1245" s="53">
        <v>6.6</v>
      </c>
      <c r="G1245" s="53">
        <v>0</v>
      </c>
      <c r="H1245" s="51" t="str">
        <f>TEXT(tblLaborEntries[[#This Row],[Work date serial]]-WEEKDAY(tblLaborEntries[[#This Row],[Work date serial]],3),"yyyy-mm-dd")</f>
        <v>2025-08-11</v>
      </c>
      <c r="I1245" s="64">
        <f>DATEVALUE(tblLaborEntries[[#This Row],[Work date]])</f>
        <v>45884.0</v>
      </c>
    </row>
    <row r="1246" spans="1:9" ht="15" x14ac:dyDescent="0.25">
      <c r="A1246" s="53" t="inlineStr">
        <is>
          <t>LAB-001245</t>
        </is>
      </c>
      <c r="B1246" s="53" t="inlineStr">
        <is>
          <t>WP-00548</t>
        </is>
      </c>
      <c r="C1246" s="53" t="inlineStr">
        <is>
          <t>TECH-073</t>
        </is>
      </c>
      <c r="D1246" s="53" t="inlineStr">
        <is>
          <t>Airframe</t>
        </is>
      </c>
      <c r="E1246" s="53" t="inlineStr">
        <is>
          <t>2025-08-16</t>
        </is>
      </c>
      <c r="F1246" s="53">
        <v>7.6</v>
      </c>
      <c r="G1246" s="53">
        <v>0</v>
      </c>
      <c r="H1246" s="51" t="str">
        <f>TEXT(tblLaborEntries[[#This Row],[Work date serial]]-WEEKDAY(tblLaborEntries[[#This Row],[Work date serial]],3),"yyyy-mm-dd")</f>
        <v>2025-08-11</v>
      </c>
      <c r="I1246" s="64">
        <f>DATEVALUE(tblLaborEntries[[#This Row],[Work date]])</f>
        <v>45885.0</v>
      </c>
    </row>
    <row r="1247" spans="1:9" ht="15" x14ac:dyDescent="0.25">
      <c r="A1247" s="53" t="inlineStr">
        <is>
          <t>LAB-001246</t>
        </is>
      </c>
      <c r="B1247" s="53" t="inlineStr">
        <is>
          <t>WP-00549</t>
        </is>
      </c>
      <c r="C1247" s="53" t="inlineStr">
        <is>
          <t>TECH-044</t>
        </is>
      </c>
      <c r="D1247" s="53" t="inlineStr">
        <is>
          <t>Avionics</t>
        </is>
      </c>
      <c r="E1247" s="53" t="inlineStr">
        <is>
          <t>2024-05-14</t>
        </is>
      </c>
      <c r="F1247" s="53">
        <v>2.4</v>
      </c>
      <c r="G1247" s="53">
        <v>0</v>
      </c>
      <c r="H1247" s="51" t="str">
        <f>TEXT(tblLaborEntries[[#This Row],[Work date serial]]-WEEKDAY(tblLaborEntries[[#This Row],[Work date serial]],3),"yyyy-mm-dd")</f>
        <v>2024-05-13</v>
      </c>
      <c r="I1247" s="64">
        <f>DATEVALUE(tblLaborEntries[[#This Row],[Work date]])</f>
        <v>45426.0</v>
      </c>
    </row>
    <row r="1248" spans="1:9" ht="15" x14ac:dyDescent="0.25">
      <c r="A1248" s="53" t="inlineStr">
        <is>
          <t>LAB-001247</t>
        </is>
      </c>
      <c r="B1248" s="53" t="inlineStr">
        <is>
          <t>WP-00549</t>
        </is>
      </c>
      <c r="C1248" s="53" t="inlineStr">
        <is>
          <t>TECH-056</t>
        </is>
      </c>
      <c r="D1248" s="53" t="inlineStr">
        <is>
          <t>Avionics</t>
        </is>
      </c>
      <c r="E1248" s="53" t="inlineStr">
        <is>
          <t>2024-05-15</t>
        </is>
      </c>
      <c r="F1248" s="53">
        <v>1.8</v>
      </c>
      <c r="G1248" s="53">
        <v>0</v>
      </c>
      <c r="H1248" s="51" t="str">
        <f>TEXT(tblLaborEntries[[#This Row],[Work date serial]]-WEEKDAY(tblLaborEntries[[#This Row],[Work date serial]],3),"yyyy-mm-dd")</f>
        <v>2024-05-13</v>
      </c>
      <c r="I1248" s="64">
        <f>DATEVALUE(tblLaborEntries[[#This Row],[Work date]])</f>
        <v>45427.0</v>
      </c>
    </row>
    <row r="1249" spans="1:9" ht="15" x14ac:dyDescent="0.25">
      <c r="A1249" s="53" t="inlineStr">
        <is>
          <t>LAB-001248</t>
        </is>
      </c>
      <c r="B1249" s="53" t="inlineStr">
        <is>
          <t>WP-00549</t>
        </is>
      </c>
      <c r="C1249" s="53" t="inlineStr">
        <is>
          <t>TECH-020</t>
        </is>
      </c>
      <c r="D1249" s="53" t="inlineStr">
        <is>
          <t>Avionics</t>
        </is>
      </c>
      <c r="E1249" s="53" t="inlineStr">
        <is>
          <t>2024-05-16</t>
        </is>
      </c>
      <c r="F1249" s="53">
        <v>1.9</v>
      </c>
      <c r="G1249" s="53">
        <v>0</v>
      </c>
      <c r="H1249" s="51" t="str">
        <f>TEXT(tblLaborEntries[[#This Row],[Work date serial]]-WEEKDAY(tblLaborEntries[[#This Row],[Work date serial]],3),"yyyy-mm-dd")</f>
        <v>2024-05-13</v>
      </c>
      <c r="I1249" s="64">
        <f>DATEVALUE(tblLaborEntries[[#This Row],[Work date]])</f>
        <v>45428.0</v>
      </c>
    </row>
    <row r="1250" spans="1:9" ht="15" x14ac:dyDescent="0.25">
      <c r="A1250" s="53" t="inlineStr">
        <is>
          <t>LAB-001249</t>
        </is>
      </c>
      <c r="B1250" s="53" t="inlineStr">
        <is>
          <t>WP-00550</t>
        </is>
      </c>
      <c r="C1250" s="53" t="inlineStr">
        <is>
          <t>TECH-039</t>
        </is>
      </c>
      <c r="D1250" s="53" t="inlineStr">
        <is>
          <t>Hydraulics</t>
        </is>
      </c>
      <c r="E1250" s="53" t="inlineStr">
        <is>
          <t>2024-09-14</t>
        </is>
      </c>
      <c r="F1250" s="53">
        <v>8.2</v>
      </c>
      <c r="G1250" s="53">
        <v>0.2</v>
      </c>
      <c r="H1250" s="51" t="str">
        <f>TEXT(tblLaborEntries[[#This Row],[Work date serial]]-WEEKDAY(tblLaborEntries[[#This Row],[Work date serial]],3),"yyyy-mm-dd")</f>
        <v>2024-09-09</v>
      </c>
      <c r="I1250" s="64">
        <f>DATEVALUE(tblLaborEntries[[#This Row],[Work date]])</f>
        <v>45549.0</v>
      </c>
    </row>
    <row r="1251" spans="1:9" ht="15" x14ac:dyDescent="0.25">
      <c r="A1251" s="53" t="inlineStr">
        <is>
          <t>LAB-001250</t>
        </is>
      </c>
      <c r="B1251" s="53" t="inlineStr">
        <is>
          <t>WP-00551</t>
        </is>
      </c>
      <c r="C1251" s="53" t="inlineStr">
        <is>
          <t>TECH-020</t>
        </is>
      </c>
      <c r="D1251" s="53" t="inlineStr">
        <is>
          <t>Avionics</t>
        </is>
      </c>
      <c r="E1251" s="53" t="inlineStr">
        <is>
          <t>2024-11-19</t>
        </is>
      </c>
      <c r="F1251" s="53">
        <v>1.9</v>
      </c>
      <c r="G1251" s="53">
        <v>0</v>
      </c>
      <c r="H1251" s="51" t="str">
        <f>TEXT(tblLaborEntries[[#This Row],[Work date serial]]-WEEKDAY(tblLaborEntries[[#This Row],[Work date serial]],3),"yyyy-mm-dd")</f>
        <v>2024-11-18</v>
      </c>
      <c r="I1251" s="64">
        <f>DATEVALUE(tblLaborEntries[[#This Row],[Work date]])</f>
        <v>45615.0</v>
      </c>
    </row>
    <row r="1252" spans="1:9" ht="15" x14ac:dyDescent="0.25">
      <c r="A1252" s="53" t="inlineStr">
        <is>
          <t>LAB-001251</t>
        </is>
      </c>
      <c r="B1252" s="53" t="inlineStr">
        <is>
          <t>WP-00551</t>
        </is>
      </c>
      <c r="C1252" s="53" t="inlineStr">
        <is>
          <t>TECH-020</t>
        </is>
      </c>
      <c r="D1252" s="53" t="inlineStr">
        <is>
          <t>Avionics</t>
        </is>
      </c>
      <c r="E1252" s="53" t="inlineStr">
        <is>
          <t>2024-11-20</t>
        </is>
      </c>
      <c r="F1252" s="53">
        <v>2</v>
      </c>
      <c r="G1252" s="53">
        <v>0</v>
      </c>
      <c r="H1252" s="51" t="str">
        <f>TEXT(tblLaborEntries[[#This Row],[Work date serial]]-WEEKDAY(tblLaborEntries[[#This Row],[Work date serial]],3),"yyyy-mm-dd")</f>
        <v>2024-11-18</v>
      </c>
      <c r="I1252" s="64">
        <f>DATEVALUE(tblLaborEntries[[#This Row],[Work date]])</f>
        <v>45616.0</v>
      </c>
    </row>
    <row r="1253" spans="1:9" ht="15" x14ac:dyDescent="0.25">
      <c r="A1253" s="53" t="inlineStr">
        <is>
          <t>LAB-001252</t>
        </is>
      </c>
      <c r="B1253" s="53" t="inlineStr">
        <is>
          <t>WP-00552</t>
        </is>
      </c>
      <c r="C1253" s="53" t="inlineStr">
        <is>
          <t>TECH-074</t>
        </is>
      </c>
      <c r="D1253" s="53" t="inlineStr">
        <is>
          <t>Avionics</t>
        </is>
      </c>
      <c r="E1253" s="53" t="inlineStr">
        <is>
          <t>2024-04-28</t>
        </is>
      </c>
      <c r="F1253" s="53">
        <v>1.5</v>
      </c>
      <c r="G1253" s="53">
        <v>0</v>
      </c>
      <c r="H1253" s="51" t="str">
        <f>TEXT(tblLaborEntries[[#This Row],[Work date serial]]-WEEKDAY(tblLaborEntries[[#This Row],[Work date serial]],3),"yyyy-mm-dd")</f>
        <v>2024-04-22</v>
      </c>
      <c r="I1253" s="64">
        <f>DATEVALUE(tblLaborEntries[[#This Row],[Work date]])</f>
        <v>45410.0</v>
      </c>
    </row>
    <row r="1254" spans="1:9" ht="15" x14ac:dyDescent="0.25">
      <c r="A1254" s="53" t="inlineStr">
        <is>
          <t>LAB-001253</t>
        </is>
      </c>
      <c r="B1254" s="53" t="inlineStr">
        <is>
          <t>WP-00552</t>
        </is>
      </c>
      <c r="C1254" s="53" t="inlineStr">
        <is>
          <t>TECH-026</t>
        </is>
      </c>
      <c r="D1254" s="53" t="inlineStr">
        <is>
          <t>Avionics</t>
        </is>
      </c>
      <c r="E1254" s="53" t="inlineStr">
        <is>
          <t>2024-04-29</t>
        </is>
      </c>
      <c r="F1254" s="53">
        <v>1.2</v>
      </c>
      <c r="G1254" s="53">
        <v>0</v>
      </c>
      <c r="H1254" s="51" t="str">
        <f>TEXT(tblLaborEntries[[#This Row],[Work date serial]]-WEEKDAY(tblLaborEntries[[#This Row],[Work date serial]],3),"yyyy-mm-dd")</f>
        <v>2024-04-29</v>
      </c>
      <c r="I1254" s="64">
        <f>DATEVALUE(tblLaborEntries[[#This Row],[Work date]])</f>
        <v>45411.0</v>
      </c>
    </row>
    <row r="1255" spans="1:9" ht="15" x14ac:dyDescent="0.25">
      <c r="A1255" s="53" t="inlineStr">
        <is>
          <t>LAB-001254</t>
        </is>
      </c>
      <c r="B1255" s="53" t="inlineStr">
        <is>
          <t>WP-00552</t>
        </is>
      </c>
      <c r="C1255" s="53" t="inlineStr">
        <is>
          <t>TECH-014</t>
        </is>
      </c>
      <c r="D1255" s="53" t="inlineStr">
        <is>
          <t>Avionics</t>
        </is>
      </c>
      <c r="E1255" s="53" t="inlineStr">
        <is>
          <t>2024-04-30</t>
        </is>
      </c>
      <c r="F1255" s="53">
        <v>1.6</v>
      </c>
      <c r="G1255" s="53">
        <v>0</v>
      </c>
      <c r="H1255" s="51" t="str">
        <f>TEXT(tblLaborEntries[[#This Row],[Work date serial]]-WEEKDAY(tblLaborEntries[[#This Row],[Work date serial]],3),"yyyy-mm-dd")</f>
        <v>2024-04-29</v>
      </c>
      <c r="I1255" s="64">
        <f>DATEVALUE(tblLaborEntries[[#This Row],[Work date]])</f>
        <v>45412.0</v>
      </c>
    </row>
    <row r="1256" spans="1:9" ht="15" x14ac:dyDescent="0.25">
      <c r="A1256" s="53" t="inlineStr">
        <is>
          <t>LAB-001255</t>
        </is>
      </c>
      <c r="B1256" s="53" t="inlineStr">
        <is>
          <t>WP-00553</t>
        </is>
      </c>
      <c r="C1256" s="53" t="inlineStr">
        <is>
          <t>TECH-068</t>
        </is>
      </c>
      <c r="D1256" s="53" t="inlineStr">
        <is>
          <t>Avionics</t>
        </is>
      </c>
      <c r="E1256" s="53" t="inlineStr">
        <is>
          <t>2024-12-14</t>
        </is>
      </c>
      <c r="F1256" s="53">
        <v>2.8</v>
      </c>
      <c r="G1256" s="53">
        <v>0</v>
      </c>
      <c r="H1256" s="51" t="str">
        <f>TEXT(tblLaborEntries[[#This Row],[Work date serial]]-WEEKDAY(tblLaborEntries[[#This Row],[Work date serial]],3),"yyyy-mm-dd")</f>
        <v>2024-12-09</v>
      </c>
      <c r="I1256" s="64">
        <f>DATEVALUE(tblLaborEntries[[#This Row],[Work date]])</f>
        <v>45640.0</v>
      </c>
    </row>
    <row r="1257" spans="1:9" ht="15" x14ac:dyDescent="0.25">
      <c r="A1257" s="53" t="inlineStr">
        <is>
          <t>LAB-001256</t>
        </is>
      </c>
      <c r="B1257" s="53" t="inlineStr">
        <is>
          <t>WP-00553</t>
        </is>
      </c>
      <c r="C1257" s="53" t="inlineStr">
        <is>
          <t>TECH-038</t>
        </is>
      </c>
      <c r="D1257" s="53" t="inlineStr">
        <is>
          <t>Avionics</t>
        </is>
      </c>
      <c r="E1257" s="53" t="inlineStr">
        <is>
          <t>2024-12-15</t>
        </is>
      </c>
      <c r="F1257" s="53">
        <v>3.2</v>
      </c>
      <c r="G1257" s="53">
        <v>0</v>
      </c>
      <c r="H1257" s="51" t="str">
        <f>TEXT(tblLaborEntries[[#This Row],[Work date serial]]-WEEKDAY(tblLaborEntries[[#This Row],[Work date serial]],3),"yyyy-mm-dd")</f>
        <v>2024-12-09</v>
      </c>
      <c r="I1257" s="64">
        <f>DATEVALUE(tblLaborEntries[[#This Row],[Work date]])</f>
        <v>45641.0</v>
      </c>
    </row>
    <row r="1258" spans="1:9" ht="15" x14ac:dyDescent="0.25">
      <c r="A1258" s="53" t="inlineStr">
        <is>
          <t>LAB-001257</t>
        </is>
      </c>
      <c r="B1258" s="53" t="inlineStr">
        <is>
          <t>WP-00554</t>
        </is>
      </c>
      <c r="C1258" s="53" t="inlineStr">
        <is>
          <t>TECH-060</t>
        </is>
      </c>
      <c r="D1258" s="53" t="inlineStr">
        <is>
          <t>Powerplant</t>
        </is>
      </c>
      <c r="E1258" s="53" t="inlineStr">
        <is>
          <t>2025-01-30</t>
        </is>
      </c>
      <c r="F1258" s="53">
        <v>5.4</v>
      </c>
      <c r="G1258" s="53">
        <v>0</v>
      </c>
      <c r="H1258" s="51" t="str">
        <f>TEXT(tblLaborEntries[[#This Row],[Work date serial]]-WEEKDAY(tblLaborEntries[[#This Row],[Work date serial]],3),"yyyy-mm-dd")</f>
        <v>2025-01-27</v>
      </c>
      <c r="I1258" s="64">
        <f>DATEVALUE(tblLaborEntries[[#This Row],[Work date]])</f>
        <v>45687.0</v>
      </c>
    </row>
    <row r="1259" spans="1:9" ht="15" x14ac:dyDescent="0.25">
      <c r="A1259" s="53" t="inlineStr">
        <is>
          <t>LAB-001258</t>
        </is>
      </c>
      <c r="B1259" s="53" t="inlineStr">
        <is>
          <t>WP-00554</t>
        </is>
      </c>
      <c r="C1259" s="53" t="inlineStr">
        <is>
          <t>TECH-006</t>
        </is>
      </c>
      <c r="D1259" s="53" t="inlineStr">
        <is>
          <t>Powerplant</t>
        </is>
      </c>
      <c r="E1259" s="53" t="inlineStr">
        <is>
          <t>2025-01-31</t>
        </is>
      </c>
      <c r="F1259" s="53">
        <v>8.1</v>
      </c>
      <c r="G1259" s="53">
        <v>0.1</v>
      </c>
      <c r="H1259" s="51" t="str">
        <f>TEXT(tblLaborEntries[[#This Row],[Work date serial]]-WEEKDAY(tblLaborEntries[[#This Row],[Work date serial]],3),"yyyy-mm-dd")</f>
        <v>2025-01-27</v>
      </c>
      <c r="I1259" s="64">
        <f>DATEVALUE(tblLaborEntries[[#This Row],[Work date]])</f>
        <v>45688.0</v>
      </c>
    </row>
    <row r="1260" spans="1:9" ht="15" x14ac:dyDescent="0.25">
      <c r="A1260" s="53" t="inlineStr">
        <is>
          <t>LAB-001259</t>
        </is>
      </c>
      <c r="B1260" s="53" t="inlineStr">
        <is>
          <t>WP-00555</t>
        </is>
      </c>
      <c r="C1260" s="53" t="inlineStr">
        <is>
          <t>TECH-072</t>
        </is>
      </c>
      <c r="D1260" s="53" t="inlineStr">
        <is>
          <t>Powerplant</t>
        </is>
      </c>
      <c r="E1260" s="53" t="inlineStr">
        <is>
          <t>2025-08-22</t>
        </is>
      </c>
      <c r="F1260" s="53">
        <v>2.4</v>
      </c>
      <c r="G1260" s="53">
        <v>0</v>
      </c>
      <c r="H1260" s="51" t="str">
        <f>TEXT(tblLaborEntries[[#This Row],[Work date serial]]-WEEKDAY(tblLaborEntries[[#This Row],[Work date serial]],3),"yyyy-mm-dd")</f>
        <v>2025-08-18</v>
      </c>
      <c r="I1260" s="64">
        <f>DATEVALUE(tblLaborEntries[[#This Row],[Work date]])</f>
        <v>45891.0</v>
      </c>
    </row>
    <row r="1261" spans="1:9" ht="15" x14ac:dyDescent="0.25">
      <c r="A1261" s="53" t="inlineStr">
        <is>
          <t>LAB-001260</t>
        </is>
      </c>
      <c r="B1261" s="53" t="inlineStr">
        <is>
          <t>WP-00555</t>
        </is>
      </c>
      <c r="C1261" s="53" t="inlineStr">
        <is>
          <t>TECH-012</t>
        </is>
      </c>
      <c r="D1261" s="53" t="inlineStr">
        <is>
          <t>Powerplant</t>
        </is>
      </c>
      <c r="E1261" s="53" t="inlineStr">
        <is>
          <t>2025-08-23</t>
        </is>
      </c>
      <c r="F1261" s="53">
        <v>2.5</v>
      </c>
      <c r="G1261" s="53">
        <v>0</v>
      </c>
      <c r="H1261" s="51" t="str">
        <f>TEXT(tblLaborEntries[[#This Row],[Work date serial]]-WEEKDAY(tblLaborEntries[[#This Row],[Work date serial]],3),"yyyy-mm-dd")</f>
        <v>2025-08-18</v>
      </c>
      <c r="I1261" s="64">
        <f>DATEVALUE(tblLaborEntries[[#This Row],[Work date]])</f>
        <v>45892.0</v>
      </c>
    </row>
    <row r="1262" spans="1:9" ht="15" x14ac:dyDescent="0.25">
      <c r="A1262" s="53" t="inlineStr">
        <is>
          <t>LAB-001261</t>
        </is>
      </c>
      <c r="B1262" s="53" t="inlineStr">
        <is>
          <t>WP-00555</t>
        </is>
      </c>
      <c r="C1262" s="53" t="inlineStr">
        <is>
          <t>TECH-042</t>
        </is>
      </c>
      <c r="D1262" s="53" t="inlineStr">
        <is>
          <t>Powerplant</t>
        </is>
      </c>
      <c r="E1262" s="53" t="inlineStr">
        <is>
          <t>2025-08-24</t>
        </is>
      </c>
      <c r="F1262" s="53">
        <v>2.1</v>
      </c>
      <c r="G1262" s="53">
        <v>0</v>
      </c>
      <c r="H1262" s="51" t="str">
        <f>TEXT(tblLaborEntries[[#This Row],[Work date serial]]-WEEKDAY(tblLaborEntries[[#This Row],[Work date serial]],3),"yyyy-mm-dd")</f>
        <v>2025-08-18</v>
      </c>
      <c r="I1262" s="64">
        <f>DATEVALUE(tblLaborEntries[[#This Row],[Work date]])</f>
        <v>45893.0</v>
      </c>
    </row>
    <row r="1263" spans="1:9" ht="15" x14ac:dyDescent="0.25">
      <c r="A1263" s="53" t="inlineStr">
        <is>
          <t>LAB-001262</t>
        </is>
      </c>
      <c r="B1263" s="53" t="inlineStr">
        <is>
          <t>WP-00556</t>
        </is>
      </c>
      <c r="C1263" s="53" t="inlineStr">
        <is>
          <t>TECH-017</t>
        </is>
      </c>
      <c r="D1263" s="53" t="inlineStr">
        <is>
          <t>Structures</t>
        </is>
      </c>
      <c r="E1263" s="53" t="inlineStr">
        <is>
          <t>2025-03-04</t>
        </is>
      </c>
      <c r="F1263" s="53">
        <v>1.7</v>
      </c>
      <c r="G1263" s="53">
        <v>0</v>
      </c>
      <c r="H1263" s="51" t="str">
        <f>TEXT(tblLaborEntries[[#This Row],[Work date serial]]-WEEKDAY(tblLaborEntries[[#This Row],[Work date serial]],3),"yyyy-mm-dd")</f>
        <v>2025-03-03</v>
      </c>
      <c r="I1263" s="64">
        <f>DATEVALUE(tblLaborEntries[[#This Row],[Work date]])</f>
        <v>45720.0</v>
      </c>
    </row>
    <row r="1264" spans="1:9" ht="15" x14ac:dyDescent="0.25">
      <c r="A1264" s="53" t="inlineStr">
        <is>
          <t>LAB-001263</t>
        </is>
      </c>
      <c r="B1264" s="53" t="inlineStr">
        <is>
          <t>WP-00556</t>
        </is>
      </c>
      <c r="C1264" s="53" t="inlineStr">
        <is>
          <t>TECH-053</t>
        </is>
      </c>
      <c r="D1264" s="53" t="inlineStr">
        <is>
          <t>Structures</t>
        </is>
      </c>
      <c r="E1264" s="53" t="inlineStr">
        <is>
          <t>2025-03-04</t>
        </is>
      </c>
      <c r="F1264" s="53">
        <v>12</v>
      </c>
      <c r="G1264" s="53">
        <v>4</v>
      </c>
      <c r="H1264" s="51" t="str">
        <f>TEXT(tblLaborEntries[[#This Row],[Work date serial]]-WEEKDAY(tblLaborEntries[[#This Row],[Work date serial]],3),"yyyy-mm-dd")</f>
        <v>2025-03-03</v>
      </c>
      <c r="I1264" s="64">
        <f>DATEVALUE(tblLaborEntries[[#This Row],[Work date]])</f>
        <v>45720.0</v>
      </c>
    </row>
    <row r="1265" spans="1:9" ht="15" x14ac:dyDescent="0.25">
      <c r="A1265" s="53" t="inlineStr">
        <is>
          <t>LAB-001264</t>
        </is>
      </c>
      <c r="B1265" s="53" t="inlineStr">
        <is>
          <t>WP-00557</t>
        </is>
      </c>
      <c r="C1265" s="53" t="inlineStr">
        <is>
          <t>TECH-013</t>
        </is>
      </c>
      <c r="D1265" s="53" t="inlineStr">
        <is>
          <t>Airframe</t>
        </is>
      </c>
      <c r="E1265" s="53" t="inlineStr">
        <is>
          <t>2025-04-17</t>
        </is>
      </c>
      <c r="F1265" s="53">
        <v>1.4</v>
      </c>
      <c r="G1265" s="53">
        <v>0</v>
      </c>
      <c r="H1265" s="51" t="str">
        <f>TEXT(tblLaborEntries[[#This Row],[Work date serial]]-WEEKDAY(tblLaborEntries[[#This Row],[Work date serial]],3),"yyyy-mm-dd")</f>
        <v>2025-04-14</v>
      </c>
      <c r="I1265" s="64">
        <f>DATEVALUE(tblLaborEntries[[#This Row],[Work date]])</f>
        <v>45764.0</v>
      </c>
    </row>
    <row r="1266" spans="1:9" ht="15" x14ac:dyDescent="0.25">
      <c r="A1266" s="53" t="inlineStr">
        <is>
          <t>LAB-001265</t>
        </is>
      </c>
      <c r="B1266" s="53" t="inlineStr">
        <is>
          <t>WP-00557</t>
        </is>
      </c>
      <c r="C1266" s="53" t="inlineStr">
        <is>
          <t>TECH-013</t>
        </is>
      </c>
      <c r="D1266" s="53" t="inlineStr">
        <is>
          <t>Airframe</t>
        </is>
      </c>
      <c r="E1266" s="53" t="inlineStr">
        <is>
          <t>2025-04-18</t>
        </is>
      </c>
      <c r="F1266" s="53">
        <v>1.2</v>
      </c>
      <c r="G1266" s="53">
        <v>0</v>
      </c>
      <c r="H1266" s="51" t="str">
        <f>TEXT(tblLaborEntries[[#This Row],[Work date serial]]-WEEKDAY(tblLaborEntries[[#This Row],[Work date serial]],3),"yyyy-mm-dd")</f>
        <v>2025-04-14</v>
      </c>
      <c r="I1266" s="64">
        <f>DATEVALUE(tblLaborEntries[[#This Row],[Work date]])</f>
        <v>45765.0</v>
      </c>
    </row>
    <row r="1267" spans="1:9" ht="15" x14ac:dyDescent="0.25">
      <c r="A1267" s="53" t="inlineStr">
        <is>
          <t>LAB-001266</t>
        </is>
      </c>
      <c r="B1267" s="53" t="inlineStr">
        <is>
          <t>WP-00558</t>
        </is>
      </c>
      <c r="C1267" s="53" t="inlineStr">
        <is>
          <t>TECH-033</t>
        </is>
      </c>
      <c r="D1267" s="53" t="inlineStr">
        <is>
          <t>Hydraulics</t>
        </is>
      </c>
      <c r="E1267" s="53" t="inlineStr">
        <is>
          <t>2024-05-31</t>
        </is>
      </c>
      <c r="F1267" s="53">
        <v>9.4</v>
      </c>
      <c r="G1267" s="53">
        <v>1.4</v>
      </c>
      <c r="H1267" s="51" t="str">
        <f>TEXT(tblLaborEntries[[#This Row],[Work date serial]]-WEEKDAY(tblLaborEntries[[#This Row],[Work date serial]],3),"yyyy-mm-dd")</f>
        <v>2024-05-27</v>
      </c>
      <c r="I1267" s="64">
        <f>DATEVALUE(tblLaborEntries[[#This Row],[Work date]])</f>
        <v>45443.0</v>
      </c>
    </row>
    <row r="1268" spans="1:9" ht="15" x14ac:dyDescent="0.25">
      <c r="A1268" s="53" t="inlineStr">
        <is>
          <t>LAB-001267</t>
        </is>
      </c>
      <c r="B1268" s="53" t="inlineStr">
        <is>
          <t>WP-00559</t>
        </is>
      </c>
      <c r="C1268" s="53" t="inlineStr">
        <is>
          <t>TECH-024</t>
        </is>
      </c>
      <c r="D1268" s="53" t="inlineStr">
        <is>
          <t>Powerplant</t>
        </is>
      </c>
      <c r="E1268" s="53" t="inlineStr">
        <is>
          <t>2024-05-26</t>
        </is>
      </c>
      <c r="F1268" s="53">
        <v>8.1</v>
      </c>
      <c r="G1268" s="53">
        <v>0.1</v>
      </c>
      <c r="H1268" s="51" t="str">
        <f>TEXT(tblLaborEntries[[#This Row],[Work date serial]]-WEEKDAY(tblLaborEntries[[#This Row],[Work date serial]],3),"yyyy-mm-dd")</f>
        <v>2024-05-20</v>
      </c>
      <c r="I1268" s="64">
        <f>DATEVALUE(tblLaborEntries[[#This Row],[Work date]])</f>
        <v>45438.0</v>
      </c>
    </row>
    <row r="1269" spans="1:9" ht="15" x14ac:dyDescent="0.25">
      <c r="A1269" s="53" t="inlineStr">
        <is>
          <t>LAB-001268</t>
        </is>
      </c>
      <c r="B1269" s="53" t="inlineStr">
        <is>
          <t>WP-00560</t>
        </is>
      </c>
      <c r="C1269" s="53" t="inlineStr">
        <is>
          <t>TECH-008</t>
        </is>
      </c>
      <c r="D1269" s="53" t="inlineStr">
        <is>
          <t>Avionics</t>
        </is>
      </c>
      <c r="E1269" s="53" t="inlineStr">
        <is>
          <t>2025-10-20</t>
        </is>
      </c>
      <c r="F1269" s="53">
        <v>1.5</v>
      </c>
      <c r="G1269" s="53">
        <v>0</v>
      </c>
      <c r="H1269" s="51" t="str">
        <f>TEXT(tblLaborEntries[[#This Row],[Work date serial]]-WEEKDAY(tblLaborEntries[[#This Row],[Work date serial]],3),"yyyy-mm-dd")</f>
        <v>2025-10-20</v>
      </c>
      <c r="I1269" s="64">
        <f>DATEVALUE(tblLaborEntries[[#This Row],[Work date]])</f>
        <v>45950.0</v>
      </c>
    </row>
    <row r="1270" spans="1:9" ht="15" x14ac:dyDescent="0.25">
      <c r="A1270" s="53" t="inlineStr">
        <is>
          <t>LAB-001269</t>
        </is>
      </c>
      <c r="B1270" s="53" t="inlineStr">
        <is>
          <t>WP-00560</t>
        </is>
      </c>
      <c r="C1270" s="53" t="inlineStr">
        <is>
          <t>TECH-008</t>
        </is>
      </c>
      <c r="D1270" s="53" t="inlineStr">
        <is>
          <t>Avionics</t>
        </is>
      </c>
      <c r="E1270" s="53" t="inlineStr">
        <is>
          <t>2025-10-21</t>
        </is>
      </c>
      <c r="F1270" s="53">
        <v>1.3</v>
      </c>
      <c r="G1270" s="53">
        <v>0</v>
      </c>
      <c r="H1270" s="51" t="str">
        <f>TEXT(tblLaborEntries[[#This Row],[Work date serial]]-WEEKDAY(tblLaborEntries[[#This Row],[Work date serial]],3),"yyyy-mm-dd")</f>
        <v>2025-10-20</v>
      </c>
      <c r="I1270" s="64">
        <f>DATEVALUE(tblLaborEntries[[#This Row],[Work date]])</f>
        <v>45951.0</v>
      </c>
    </row>
    <row r="1271" spans="1:9" ht="15" x14ac:dyDescent="0.25">
      <c r="A1271" s="53" t="inlineStr">
        <is>
          <t>LAB-001270</t>
        </is>
      </c>
      <c r="B1271" s="53" t="inlineStr">
        <is>
          <t>WP-00561</t>
        </is>
      </c>
      <c r="C1271" s="53" t="inlineStr">
        <is>
          <t>TECH-041</t>
        </is>
      </c>
      <c r="D1271" s="53" t="inlineStr">
        <is>
          <t>Structures</t>
        </is>
      </c>
      <c r="E1271" s="53" t="inlineStr">
        <is>
          <t>2025-10-23</t>
        </is>
      </c>
      <c r="F1271" s="53">
        <v>10.9</v>
      </c>
      <c r="G1271" s="53">
        <v>2.9</v>
      </c>
      <c r="H1271" s="51" t="str">
        <f>TEXT(tblLaborEntries[[#This Row],[Work date serial]]-WEEKDAY(tblLaborEntries[[#This Row],[Work date serial]],3),"yyyy-mm-dd")</f>
        <v>2025-10-20</v>
      </c>
      <c r="I1271" s="64">
        <f>DATEVALUE(tblLaborEntries[[#This Row],[Work date]])</f>
        <v>45953.0</v>
      </c>
    </row>
    <row r="1272" spans="1:9" ht="15" x14ac:dyDescent="0.25">
      <c r="A1272" s="53" t="inlineStr">
        <is>
          <t>LAB-001271</t>
        </is>
      </c>
      <c r="B1272" s="53" t="inlineStr">
        <is>
          <t>WP-00561</t>
        </is>
      </c>
      <c r="C1272" s="53" t="inlineStr">
        <is>
          <t>TECH-017</t>
        </is>
      </c>
      <c r="D1272" s="53" t="inlineStr">
        <is>
          <t>Structures</t>
        </is>
      </c>
      <c r="E1272" s="53" t="inlineStr">
        <is>
          <t>2025-10-24</t>
        </is>
      </c>
      <c r="F1272" s="53">
        <v>4.2</v>
      </c>
      <c r="G1272" s="53">
        <v>0</v>
      </c>
      <c r="H1272" s="51" t="str">
        <f>TEXT(tblLaborEntries[[#This Row],[Work date serial]]-WEEKDAY(tblLaborEntries[[#This Row],[Work date serial]],3),"yyyy-mm-dd")</f>
        <v>2025-10-20</v>
      </c>
      <c r="I1272" s="64">
        <f>DATEVALUE(tblLaborEntries[[#This Row],[Work date]])</f>
        <v>45954.0</v>
      </c>
    </row>
    <row r="1273" spans="1:9" ht="15" x14ac:dyDescent="0.25">
      <c r="A1273" s="53" t="inlineStr">
        <is>
          <t>LAB-001272</t>
        </is>
      </c>
      <c r="B1273" s="53" t="inlineStr">
        <is>
          <t>WP-00561</t>
        </is>
      </c>
      <c r="C1273" s="53" t="inlineStr">
        <is>
          <t>TECH-065</t>
        </is>
      </c>
      <c r="D1273" s="53" t="inlineStr">
        <is>
          <t>Structures</t>
        </is>
      </c>
      <c r="E1273" s="53" t="inlineStr">
        <is>
          <t>2025-10-24</t>
        </is>
      </c>
      <c r="F1273" s="53">
        <v>12</v>
      </c>
      <c r="G1273" s="53">
        <v>4</v>
      </c>
      <c r="H1273" s="51" t="str">
        <f>TEXT(tblLaborEntries[[#This Row],[Work date serial]]-WEEKDAY(tblLaborEntries[[#This Row],[Work date serial]],3),"yyyy-mm-dd")</f>
        <v>2025-10-20</v>
      </c>
      <c r="I1273" s="64">
        <f>DATEVALUE(tblLaborEntries[[#This Row],[Work date]])</f>
        <v>45954.0</v>
      </c>
    </row>
    <row r="1274" spans="1:9" ht="15" x14ac:dyDescent="0.25">
      <c r="A1274" s="53" t="inlineStr">
        <is>
          <t>LAB-001273</t>
        </is>
      </c>
      <c r="B1274" s="53" t="inlineStr">
        <is>
          <t>WP-00561</t>
        </is>
      </c>
      <c r="C1274" s="53" t="inlineStr">
        <is>
          <t>TECH-005</t>
        </is>
      </c>
      <c r="D1274" s="53" t="inlineStr">
        <is>
          <t>Structures</t>
        </is>
      </c>
      <c r="E1274" s="53" t="inlineStr">
        <is>
          <t>2025-10-25</t>
        </is>
      </c>
      <c r="F1274" s="53">
        <v>2</v>
      </c>
      <c r="G1274" s="53">
        <v>0</v>
      </c>
      <c r="H1274" s="51" t="str">
        <f>TEXT(tblLaborEntries[[#This Row],[Work date serial]]-WEEKDAY(tblLaborEntries[[#This Row],[Work date serial]],3),"yyyy-mm-dd")</f>
        <v>2025-10-20</v>
      </c>
      <c r="I1274" s="64">
        <f>DATEVALUE(tblLaborEntries[[#This Row],[Work date]])</f>
        <v>45955.0</v>
      </c>
    </row>
    <row r="1275" spans="1:9" ht="15" x14ac:dyDescent="0.25">
      <c r="A1275" s="53" t="inlineStr">
        <is>
          <t>LAB-001274</t>
        </is>
      </c>
      <c r="B1275" s="53" t="inlineStr">
        <is>
          <t>WP-00561</t>
        </is>
      </c>
      <c r="C1275" s="53" t="inlineStr">
        <is>
          <t>TECH-023</t>
        </is>
      </c>
      <c r="D1275" s="53" t="inlineStr">
        <is>
          <t>Structures</t>
        </is>
      </c>
      <c r="E1275" s="53" t="inlineStr">
        <is>
          <t>2025-10-25</t>
        </is>
      </c>
      <c r="F1275" s="53">
        <v>12</v>
      </c>
      <c r="G1275" s="53">
        <v>4</v>
      </c>
      <c r="H1275" s="51" t="str">
        <f>TEXT(tblLaborEntries[[#This Row],[Work date serial]]-WEEKDAY(tblLaborEntries[[#This Row],[Work date serial]],3),"yyyy-mm-dd")</f>
        <v>2025-10-20</v>
      </c>
      <c r="I1275" s="64">
        <f>DATEVALUE(tblLaborEntries[[#This Row],[Work date]])</f>
        <v>45955.0</v>
      </c>
    </row>
    <row r="1276" spans="1:9" ht="15" x14ac:dyDescent="0.25">
      <c r="A1276" s="53" t="inlineStr">
        <is>
          <t>LAB-001275</t>
        </is>
      </c>
      <c r="B1276" s="53" t="inlineStr">
        <is>
          <t>WP-00562</t>
        </is>
      </c>
      <c r="C1276" s="53" t="inlineStr">
        <is>
          <t>TECH-003</t>
        </is>
      </c>
      <c r="D1276" s="53" t="inlineStr">
        <is>
          <t>Hydraulics</t>
        </is>
      </c>
      <c r="E1276" s="53" t="inlineStr">
        <is>
          <t>2024-08-01</t>
        </is>
      </c>
      <c r="F1276" s="53">
        <v>12</v>
      </c>
      <c r="G1276" s="53">
        <v>4</v>
      </c>
      <c r="H1276" s="51" t="str">
        <f>TEXT(tblLaborEntries[[#This Row],[Work date serial]]-WEEKDAY(tblLaborEntries[[#This Row],[Work date serial]],3),"yyyy-mm-dd")</f>
        <v>2024-07-29</v>
      </c>
      <c r="I1276" s="64">
        <f>DATEVALUE(tblLaborEntries[[#This Row],[Work date]])</f>
        <v>45505.0</v>
      </c>
    </row>
    <row r="1277" spans="1:9" ht="15" x14ac:dyDescent="0.25">
      <c r="A1277" s="53" t="inlineStr">
        <is>
          <t>LAB-001276</t>
        </is>
      </c>
      <c r="B1277" s="53" t="inlineStr">
        <is>
          <t>WP-00562</t>
        </is>
      </c>
      <c r="C1277" s="53" t="inlineStr">
        <is>
          <t>TECH-009</t>
        </is>
      </c>
      <c r="D1277" s="53" t="inlineStr">
        <is>
          <t>Hydraulics</t>
        </is>
      </c>
      <c r="E1277" s="53" t="inlineStr">
        <is>
          <t>2024-08-01</t>
        </is>
      </c>
      <c r="F1277" s="53">
        <v>0.8</v>
      </c>
      <c r="G1277" s="53">
        <v>0</v>
      </c>
      <c r="H1277" s="51" t="str">
        <f>TEXT(tblLaborEntries[[#This Row],[Work date serial]]-WEEKDAY(tblLaborEntries[[#This Row],[Work date serial]],3),"yyyy-mm-dd")</f>
        <v>2024-07-29</v>
      </c>
      <c r="I1277" s="64">
        <f>DATEVALUE(tblLaborEntries[[#This Row],[Work date]])</f>
        <v>45505.0</v>
      </c>
    </row>
    <row r="1278" spans="1:9" ht="15" x14ac:dyDescent="0.25">
      <c r="A1278" s="53" t="inlineStr">
        <is>
          <t>LAB-001277</t>
        </is>
      </c>
      <c r="B1278" s="53" t="inlineStr">
        <is>
          <t>WP-00563</t>
        </is>
      </c>
      <c r="C1278" s="53" t="inlineStr">
        <is>
          <t>TECH-026</t>
        </is>
      </c>
      <c r="D1278" s="53" t="inlineStr">
        <is>
          <t>Avionics</t>
        </is>
      </c>
      <c r="E1278" s="53" t="inlineStr">
        <is>
          <t>2025-08-01</t>
        </is>
      </c>
      <c r="F1278" s="53">
        <v>11.3</v>
      </c>
      <c r="G1278" s="53">
        <v>3.3</v>
      </c>
      <c r="H1278" s="51" t="str">
        <f>TEXT(tblLaborEntries[[#This Row],[Work date serial]]-WEEKDAY(tblLaborEntries[[#This Row],[Work date serial]],3),"yyyy-mm-dd")</f>
        <v>2025-07-28</v>
      </c>
      <c r="I1278" s="64">
        <f>DATEVALUE(tblLaborEntries[[#This Row],[Work date]])</f>
        <v>45870.0</v>
      </c>
    </row>
    <row r="1279" spans="1:9" ht="15" x14ac:dyDescent="0.25">
      <c r="A1279" s="53" t="inlineStr">
        <is>
          <t>LAB-001278</t>
        </is>
      </c>
      <c r="B1279" s="53" t="inlineStr">
        <is>
          <t>WP-00564</t>
        </is>
      </c>
      <c r="C1279" s="53" t="inlineStr">
        <is>
          <t>TECH-004</t>
        </is>
      </c>
      <c r="D1279" s="53" t="inlineStr">
        <is>
          <t>Electrical</t>
        </is>
      </c>
      <c r="E1279" s="53" t="inlineStr">
        <is>
          <t>2025-08-17</t>
        </is>
      </c>
      <c r="F1279" s="53">
        <v>10.3</v>
      </c>
      <c r="G1279" s="53">
        <v>2.3</v>
      </c>
      <c r="H1279" s="51" t="str">
        <f>TEXT(tblLaborEntries[[#This Row],[Work date serial]]-WEEKDAY(tblLaborEntries[[#This Row],[Work date serial]],3),"yyyy-mm-dd")</f>
        <v>2025-08-11</v>
      </c>
      <c r="I1279" s="64">
        <f>DATEVALUE(tblLaborEntries[[#This Row],[Work date]])</f>
        <v>45886.0</v>
      </c>
    </row>
    <row r="1280" spans="1:9" ht="15" x14ac:dyDescent="0.25">
      <c r="A1280" s="53" t="inlineStr">
        <is>
          <t>LAB-001279</t>
        </is>
      </c>
      <c r="B1280" s="53" t="inlineStr">
        <is>
          <t>WP-00564</t>
        </is>
      </c>
      <c r="C1280" s="53" t="inlineStr">
        <is>
          <t>TECH-004</t>
        </is>
      </c>
      <c r="D1280" s="53" t="inlineStr">
        <is>
          <t>Electrical</t>
        </is>
      </c>
      <c r="E1280" s="53" t="inlineStr">
        <is>
          <t>2025-08-18</t>
        </is>
      </c>
      <c r="F1280" s="53">
        <v>12</v>
      </c>
      <c r="G1280" s="53">
        <v>4</v>
      </c>
      <c r="H1280" s="51" t="str">
        <f>TEXT(tblLaborEntries[[#This Row],[Work date serial]]-WEEKDAY(tblLaborEntries[[#This Row],[Work date serial]],3),"yyyy-mm-dd")</f>
        <v>2025-08-18</v>
      </c>
      <c r="I1280" s="64">
        <f>DATEVALUE(tblLaborEntries[[#This Row],[Work date]])</f>
        <v>45887.0</v>
      </c>
    </row>
    <row r="1281" spans="1:9" ht="15" x14ac:dyDescent="0.25">
      <c r="A1281" s="53" t="inlineStr">
        <is>
          <t>LAB-001280</t>
        </is>
      </c>
      <c r="B1281" s="53" t="inlineStr">
        <is>
          <t>WP-00564</t>
        </is>
      </c>
      <c r="C1281" s="53" t="inlineStr">
        <is>
          <t>TECH-010</t>
        </is>
      </c>
      <c r="D1281" s="53" t="inlineStr">
        <is>
          <t>Electrical</t>
        </is>
      </c>
      <c r="E1281" s="53" t="inlineStr">
        <is>
          <t>2025-08-18</t>
        </is>
      </c>
      <c r="F1281" s="53">
        <v>2.4</v>
      </c>
      <c r="G1281" s="53">
        <v>0</v>
      </c>
      <c r="H1281" s="51" t="str">
        <f>TEXT(tblLaborEntries[[#This Row],[Work date serial]]-WEEKDAY(tblLaborEntries[[#This Row],[Work date serial]],3),"yyyy-mm-dd")</f>
        <v>2025-08-18</v>
      </c>
      <c r="I1281" s="64">
        <f>DATEVALUE(tblLaborEntries[[#This Row],[Work date]])</f>
        <v>45887.0</v>
      </c>
    </row>
    <row r="1282" spans="1:9" ht="15" x14ac:dyDescent="0.25">
      <c r="A1282" s="53" t="inlineStr">
        <is>
          <t>LAB-001281</t>
        </is>
      </c>
      <c r="B1282" s="53" t="inlineStr">
        <is>
          <t>WP-00565</t>
        </is>
      </c>
      <c r="C1282" s="53" t="inlineStr">
        <is>
          <t>TECH-038</t>
        </is>
      </c>
      <c r="D1282" s="53" t="inlineStr">
        <is>
          <t>Avionics</t>
        </is>
      </c>
      <c r="E1282" s="53" t="inlineStr">
        <is>
          <t>2025-01-14</t>
        </is>
      </c>
      <c r="F1282" s="53">
        <v>10.2</v>
      </c>
      <c r="G1282" s="53">
        <v>2.2</v>
      </c>
      <c r="H1282" s="51" t="str">
        <f>TEXT(tblLaborEntries[[#This Row],[Work date serial]]-WEEKDAY(tblLaborEntries[[#This Row],[Work date serial]],3),"yyyy-mm-dd")</f>
        <v>2025-01-13</v>
      </c>
      <c r="I1282" s="64">
        <f>DATEVALUE(tblLaborEntries[[#This Row],[Work date]])</f>
        <v>45671.0</v>
      </c>
    </row>
    <row r="1283" spans="1:9" ht="15" x14ac:dyDescent="0.25">
      <c r="A1283" s="53" t="inlineStr">
        <is>
          <t>LAB-001282</t>
        </is>
      </c>
      <c r="B1283" s="53" t="inlineStr">
        <is>
          <t>WP-00566</t>
        </is>
      </c>
      <c r="C1283" s="53" t="inlineStr">
        <is>
          <t>TECH-066</t>
        </is>
      </c>
      <c r="D1283" s="53" t="inlineStr">
        <is>
          <t>Powerplant</t>
        </is>
      </c>
      <c r="E1283" s="53" t="inlineStr">
        <is>
          <t>2025-12-24</t>
        </is>
      </c>
      <c r="F1283" s="53">
        <v>7</v>
      </c>
      <c r="G1283" s="53">
        <v>0</v>
      </c>
      <c r="H1283" s="51" t="str">
        <f>TEXT(tblLaborEntries[[#This Row],[Work date serial]]-WEEKDAY(tblLaborEntries[[#This Row],[Work date serial]],3),"yyyy-mm-dd")</f>
        <v>2025-12-22</v>
      </c>
      <c r="I1283" s="64">
        <f>DATEVALUE(tblLaborEntries[[#This Row],[Work date]])</f>
        <v>46015.0</v>
      </c>
    </row>
    <row r="1284" spans="1:9" ht="15" x14ac:dyDescent="0.25">
      <c r="A1284" s="53" t="inlineStr">
        <is>
          <t>LAB-001283</t>
        </is>
      </c>
      <c r="B1284" s="53" t="inlineStr">
        <is>
          <t>WP-00566</t>
        </is>
      </c>
      <c r="C1284" s="53" t="inlineStr">
        <is>
          <t>TECH-060</t>
        </is>
      </c>
      <c r="D1284" s="53" t="inlineStr">
        <is>
          <t>Powerplant</t>
        </is>
      </c>
      <c r="E1284" s="53" t="inlineStr">
        <is>
          <t>2025-12-25</t>
        </is>
      </c>
      <c r="F1284" s="53">
        <v>7.5</v>
      </c>
      <c r="G1284" s="53">
        <v>0</v>
      </c>
      <c r="H1284" s="51" t="str">
        <f>TEXT(tblLaborEntries[[#This Row],[Work date serial]]-WEEKDAY(tblLaborEntries[[#This Row],[Work date serial]],3),"yyyy-mm-dd")</f>
        <v>2025-12-22</v>
      </c>
      <c r="I1284" s="64">
        <f>DATEVALUE(tblLaborEntries[[#This Row],[Work date]])</f>
        <v>46016.0</v>
      </c>
    </row>
    <row r="1285" spans="1:9" ht="15" x14ac:dyDescent="0.25">
      <c r="A1285" s="53" t="inlineStr">
        <is>
          <t>LAB-001284</t>
        </is>
      </c>
      <c r="B1285" s="53" t="inlineStr">
        <is>
          <t>WP-00566</t>
        </is>
      </c>
      <c r="C1285" s="53" t="inlineStr">
        <is>
          <t>TECH-066</t>
        </is>
      </c>
      <c r="D1285" s="53" t="inlineStr">
        <is>
          <t>Powerplant</t>
        </is>
      </c>
      <c r="E1285" s="53" t="inlineStr">
        <is>
          <t>2025-12-26</t>
        </is>
      </c>
      <c r="F1285" s="53">
        <v>5.7</v>
      </c>
      <c r="G1285" s="53">
        <v>0</v>
      </c>
      <c r="H1285" s="51" t="str">
        <f>TEXT(tblLaborEntries[[#This Row],[Work date serial]]-WEEKDAY(tblLaborEntries[[#This Row],[Work date serial]],3),"yyyy-mm-dd")</f>
        <v>2025-12-22</v>
      </c>
      <c r="I1285" s="64">
        <f>DATEVALUE(tblLaborEntries[[#This Row],[Work date]])</f>
        <v>46017.0</v>
      </c>
    </row>
    <row r="1286" spans="1:9" ht="15" x14ac:dyDescent="0.25">
      <c r="A1286" s="53" t="inlineStr">
        <is>
          <t>LAB-001285</t>
        </is>
      </c>
      <c r="B1286" s="53" t="inlineStr">
        <is>
          <t>WP-00567</t>
        </is>
      </c>
      <c r="C1286" s="53" t="inlineStr">
        <is>
          <t>TECH-031</t>
        </is>
      </c>
      <c r="D1286" s="53" t="inlineStr">
        <is>
          <t>Airframe</t>
        </is>
      </c>
      <c r="E1286" s="53" t="inlineStr">
        <is>
          <t>2025-11-26</t>
        </is>
      </c>
      <c r="F1286" s="53">
        <v>4.7</v>
      </c>
      <c r="G1286" s="53">
        <v>0</v>
      </c>
      <c r="H1286" s="51" t="str">
        <f>TEXT(tblLaborEntries[[#This Row],[Work date serial]]-WEEKDAY(tblLaborEntries[[#This Row],[Work date serial]],3),"yyyy-mm-dd")</f>
        <v>2025-11-24</v>
      </c>
      <c r="I1286" s="64">
        <f>DATEVALUE(tblLaborEntries[[#This Row],[Work date]])</f>
        <v>45987.0</v>
      </c>
    </row>
    <row r="1287" spans="1:9" ht="15" x14ac:dyDescent="0.25">
      <c r="A1287" s="53" t="inlineStr">
        <is>
          <t>LAB-001286</t>
        </is>
      </c>
      <c r="B1287" s="53" t="inlineStr">
        <is>
          <t>WP-00567</t>
        </is>
      </c>
      <c r="C1287" s="53" t="inlineStr">
        <is>
          <t>TECH-055</t>
        </is>
      </c>
      <c r="D1287" s="53" t="inlineStr">
        <is>
          <t>Airframe</t>
        </is>
      </c>
      <c r="E1287" s="53" t="inlineStr">
        <is>
          <t>2025-11-27</t>
        </is>
      </c>
      <c r="F1287" s="53">
        <v>3.6</v>
      </c>
      <c r="G1287" s="53">
        <v>0</v>
      </c>
      <c r="H1287" s="51" t="str">
        <f>TEXT(tblLaborEntries[[#This Row],[Work date serial]]-WEEKDAY(tblLaborEntries[[#This Row],[Work date serial]],3),"yyyy-mm-dd")</f>
        <v>2025-11-24</v>
      </c>
      <c r="I1287" s="64">
        <f>DATEVALUE(tblLaborEntries[[#This Row],[Work date]])</f>
        <v>45988.0</v>
      </c>
    </row>
    <row r="1288" spans="1:9" ht="15" x14ac:dyDescent="0.25">
      <c r="A1288" s="53" t="inlineStr">
        <is>
          <t>LAB-001287</t>
        </is>
      </c>
      <c r="B1288" s="53" t="inlineStr">
        <is>
          <t>WP-00568</t>
        </is>
      </c>
      <c r="C1288" s="53" t="inlineStr">
        <is>
          <t>TECH-042</t>
        </is>
      </c>
      <c r="D1288" s="53" t="inlineStr">
        <is>
          <t>Powerplant</t>
        </is>
      </c>
      <c r="E1288" s="53" t="inlineStr">
        <is>
          <t>2025-08-19</t>
        </is>
      </c>
      <c r="F1288" s="53">
        <v>5.9</v>
      </c>
      <c r="G1288" s="53">
        <v>0</v>
      </c>
      <c r="H1288" s="51" t="str">
        <f>TEXT(tblLaborEntries[[#This Row],[Work date serial]]-WEEKDAY(tblLaborEntries[[#This Row],[Work date serial]],3),"yyyy-mm-dd")</f>
        <v>2025-08-18</v>
      </c>
      <c r="I1288" s="64">
        <f>DATEVALUE(tblLaborEntries[[#This Row],[Work date]])</f>
        <v>45888.0</v>
      </c>
    </row>
    <row r="1289" spans="1:9" ht="15" x14ac:dyDescent="0.25">
      <c r="A1289" s="53" t="inlineStr">
        <is>
          <t>LAB-001288</t>
        </is>
      </c>
      <c r="B1289" s="53" t="inlineStr">
        <is>
          <t>WP-00569</t>
        </is>
      </c>
      <c r="C1289" s="53" t="inlineStr">
        <is>
          <t>TECH-025</t>
        </is>
      </c>
      <c r="D1289" s="53" t="inlineStr">
        <is>
          <t>Airframe</t>
        </is>
      </c>
      <c r="E1289" s="53" t="inlineStr">
        <is>
          <t>2024-09-21</t>
        </is>
      </c>
      <c r="F1289" s="53">
        <v>2.1</v>
      </c>
      <c r="G1289" s="53">
        <v>0</v>
      </c>
      <c r="H1289" s="51" t="str">
        <f>TEXT(tblLaborEntries[[#This Row],[Work date serial]]-WEEKDAY(tblLaborEntries[[#This Row],[Work date serial]],3),"yyyy-mm-dd")</f>
        <v>2024-09-16</v>
      </c>
      <c r="I1289" s="64">
        <f>DATEVALUE(tblLaborEntries[[#This Row],[Work date]])</f>
        <v>45556.0</v>
      </c>
    </row>
    <row r="1290" spans="1:9" ht="15" x14ac:dyDescent="0.25">
      <c r="A1290" s="53" t="inlineStr">
        <is>
          <t>LAB-001289</t>
        </is>
      </c>
      <c r="B1290" s="53" t="inlineStr">
        <is>
          <t>WP-00569</t>
        </is>
      </c>
      <c r="C1290" s="53" t="inlineStr">
        <is>
          <t>TECH-061</t>
        </is>
      </c>
      <c r="D1290" s="53" t="inlineStr">
        <is>
          <t>Airframe</t>
        </is>
      </c>
      <c r="E1290" s="53" t="inlineStr">
        <is>
          <t>2024-09-22</t>
        </is>
      </c>
      <c r="F1290" s="53">
        <v>2.8</v>
      </c>
      <c r="G1290" s="53">
        <v>0</v>
      </c>
      <c r="H1290" s="51" t="str">
        <f>TEXT(tblLaborEntries[[#This Row],[Work date serial]]-WEEKDAY(tblLaborEntries[[#This Row],[Work date serial]],3),"yyyy-mm-dd")</f>
        <v>2024-09-16</v>
      </c>
      <c r="I1290" s="64">
        <f>DATEVALUE(tblLaborEntries[[#This Row],[Work date]])</f>
        <v>45557.0</v>
      </c>
    </row>
    <row r="1291" spans="1:9" ht="15" x14ac:dyDescent="0.25">
      <c r="A1291" s="53" t="inlineStr">
        <is>
          <t>LAB-001290</t>
        </is>
      </c>
      <c r="B1291" s="53" t="inlineStr">
        <is>
          <t>WP-00569</t>
        </is>
      </c>
      <c r="C1291" s="53" t="inlineStr">
        <is>
          <t>TECH-019</t>
        </is>
      </c>
      <c r="D1291" s="53" t="inlineStr">
        <is>
          <t>Airframe</t>
        </is>
      </c>
      <c r="E1291" s="53" t="inlineStr">
        <is>
          <t>2024-09-23</t>
        </is>
      </c>
      <c r="F1291" s="53">
        <v>3.1</v>
      </c>
      <c r="G1291" s="53">
        <v>0</v>
      </c>
      <c r="H1291" s="51" t="str">
        <f>TEXT(tblLaborEntries[[#This Row],[Work date serial]]-WEEKDAY(tblLaborEntries[[#This Row],[Work date serial]],3),"yyyy-mm-dd")</f>
        <v>2024-09-23</v>
      </c>
      <c r="I1291" s="64">
        <f>DATEVALUE(tblLaborEntries[[#This Row],[Work date]])</f>
        <v>45558.0</v>
      </c>
    </row>
    <row r="1292" spans="1:9" ht="15" x14ac:dyDescent="0.25">
      <c r="A1292" s="53" t="inlineStr">
        <is>
          <t>LAB-001291</t>
        </is>
      </c>
      <c r="B1292" s="53" t="inlineStr">
        <is>
          <t>WP-00570</t>
        </is>
      </c>
      <c r="C1292" s="53" t="inlineStr">
        <is>
          <t>TECH-050</t>
        </is>
      </c>
      <c r="D1292" s="53" t="inlineStr">
        <is>
          <t>Avionics</t>
        </is>
      </c>
      <c r="E1292" s="53" t="inlineStr">
        <is>
          <t>2025-09-08</t>
        </is>
      </c>
      <c r="F1292" s="53">
        <v>3.5</v>
      </c>
      <c r="G1292" s="53">
        <v>0</v>
      </c>
      <c r="H1292" s="51" t="str">
        <f>TEXT(tblLaborEntries[[#This Row],[Work date serial]]-WEEKDAY(tblLaborEntries[[#This Row],[Work date serial]],3),"yyyy-mm-dd")</f>
        <v>2025-09-08</v>
      </c>
      <c r="I1292" s="64">
        <f>DATEVALUE(tblLaborEntries[[#This Row],[Work date]])</f>
        <v>45908.0</v>
      </c>
    </row>
    <row r="1293" spans="1:9" ht="15" x14ac:dyDescent="0.25">
      <c r="A1293" s="53" t="inlineStr">
        <is>
          <t>LAB-001292</t>
        </is>
      </c>
      <c r="B1293" s="53" t="inlineStr">
        <is>
          <t>WP-00570</t>
        </is>
      </c>
      <c r="C1293" s="53" t="inlineStr">
        <is>
          <t>TECH-068</t>
        </is>
      </c>
      <c r="D1293" s="53" t="inlineStr">
        <is>
          <t>Avionics</t>
        </is>
      </c>
      <c r="E1293" s="53" t="inlineStr">
        <is>
          <t>2025-09-09</t>
        </is>
      </c>
      <c r="F1293" s="53">
        <v>5.1</v>
      </c>
      <c r="G1293" s="53">
        <v>0</v>
      </c>
      <c r="H1293" s="51" t="str">
        <f>TEXT(tblLaborEntries[[#This Row],[Work date serial]]-WEEKDAY(tblLaborEntries[[#This Row],[Work date serial]],3),"yyyy-mm-dd")</f>
        <v>2025-09-08</v>
      </c>
      <c r="I1293" s="64">
        <f>DATEVALUE(tblLaborEntries[[#This Row],[Work date]])</f>
        <v>45909.0</v>
      </c>
    </row>
    <row r="1294" spans="1:9" ht="15" x14ac:dyDescent="0.25">
      <c r="A1294" s="53" t="inlineStr">
        <is>
          <t>LAB-001293</t>
        </is>
      </c>
      <c r="B1294" s="53" t="inlineStr">
        <is>
          <t>WP-00571</t>
        </is>
      </c>
      <c r="C1294" s="53" t="inlineStr">
        <is>
          <t>TECH-001</t>
        </is>
      </c>
      <c r="D1294" s="53" t="inlineStr">
        <is>
          <t>Airframe</t>
        </is>
      </c>
      <c r="E1294" s="53" t="inlineStr">
        <is>
          <t>2024-07-15</t>
        </is>
      </c>
      <c r="F1294" s="53">
        <v>5</v>
      </c>
      <c r="G1294" s="53">
        <v>0</v>
      </c>
      <c r="H1294" s="51" t="str">
        <f>TEXT(tblLaborEntries[[#This Row],[Work date serial]]-WEEKDAY(tblLaborEntries[[#This Row],[Work date serial]],3),"yyyy-mm-dd")</f>
        <v>2024-07-15</v>
      </c>
      <c r="I1294" s="64">
        <f>DATEVALUE(tblLaborEntries[[#This Row],[Work date]])</f>
        <v>45488.0</v>
      </c>
    </row>
    <row r="1295" spans="1:9" ht="15" x14ac:dyDescent="0.25">
      <c r="A1295" s="53" t="inlineStr">
        <is>
          <t>LAB-001294</t>
        </is>
      </c>
      <c r="B1295" s="53" t="inlineStr">
        <is>
          <t>WP-00571</t>
        </is>
      </c>
      <c r="C1295" s="53" t="inlineStr">
        <is>
          <t>TECH-061</t>
        </is>
      </c>
      <c r="D1295" s="53" t="inlineStr">
        <is>
          <t>Airframe</t>
        </is>
      </c>
      <c r="E1295" s="53" t="inlineStr">
        <is>
          <t>2024-07-15</t>
        </is>
      </c>
      <c r="F1295" s="53">
        <v>12</v>
      </c>
      <c r="G1295" s="53">
        <v>4</v>
      </c>
      <c r="H1295" s="51" t="str">
        <f>TEXT(tblLaborEntries[[#This Row],[Work date serial]]-WEEKDAY(tblLaborEntries[[#This Row],[Work date serial]],3),"yyyy-mm-dd")</f>
        <v>2024-07-15</v>
      </c>
      <c r="I1295" s="64">
        <f>DATEVALUE(tblLaborEntries[[#This Row],[Work date]])</f>
        <v>45488.0</v>
      </c>
    </row>
    <row r="1296" spans="1:9" ht="15" x14ac:dyDescent="0.25">
      <c r="A1296" s="53" t="inlineStr">
        <is>
          <t>LAB-001295</t>
        </is>
      </c>
      <c r="B1296" s="53" t="inlineStr">
        <is>
          <t>WP-00572</t>
        </is>
      </c>
      <c r="C1296" s="53" t="inlineStr">
        <is>
          <t>TECH-020</t>
        </is>
      </c>
      <c r="D1296" s="53" t="inlineStr">
        <is>
          <t>Avionics</t>
        </is>
      </c>
      <c r="E1296" s="53" t="inlineStr">
        <is>
          <t>2025-08-20</t>
        </is>
      </c>
      <c r="F1296" s="53">
        <v>2</v>
      </c>
      <c r="G1296" s="53">
        <v>0</v>
      </c>
      <c r="H1296" s="51" t="str">
        <f>TEXT(tblLaborEntries[[#This Row],[Work date serial]]-WEEKDAY(tblLaborEntries[[#This Row],[Work date serial]],3),"yyyy-mm-dd")</f>
        <v>2025-08-18</v>
      </c>
      <c r="I1296" s="64">
        <f>DATEVALUE(tblLaborEntries[[#This Row],[Work date]])</f>
        <v>45889.0</v>
      </c>
    </row>
    <row r="1297" spans="1:9" ht="15" x14ac:dyDescent="0.25">
      <c r="A1297" s="53" t="inlineStr">
        <is>
          <t>LAB-001296</t>
        </is>
      </c>
      <c r="B1297" s="53" t="inlineStr">
        <is>
          <t>WP-00572</t>
        </is>
      </c>
      <c r="C1297" s="53" t="inlineStr">
        <is>
          <t>TECH-026</t>
        </is>
      </c>
      <c r="D1297" s="53" t="inlineStr">
        <is>
          <t>Avionics</t>
        </is>
      </c>
      <c r="E1297" s="53" t="inlineStr">
        <is>
          <t>2025-08-21</t>
        </is>
      </c>
      <c r="F1297" s="53">
        <v>1.8</v>
      </c>
      <c r="G1297" s="53">
        <v>0</v>
      </c>
      <c r="H1297" s="51" t="str">
        <f>TEXT(tblLaborEntries[[#This Row],[Work date serial]]-WEEKDAY(tblLaborEntries[[#This Row],[Work date serial]],3),"yyyy-mm-dd")</f>
        <v>2025-08-18</v>
      </c>
      <c r="I1297" s="64">
        <f>DATEVALUE(tblLaborEntries[[#This Row],[Work date]])</f>
        <v>45890.0</v>
      </c>
    </row>
    <row r="1298" spans="1:9" ht="15" x14ac:dyDescent="0.25">
      <c r="A1298" s="53" t="inlineStr">
        <is>
          <t>LAB-001297</t>
        </is>
      </c>
      <c r="B1298" s="53" t="inlineStr">
        <is>
          <t>WP-00572</t>
        </is>
      </c>
      <c r="C1298" s="53" t="inlineStr">
        <is>
          <t>TECH-026</t>
        </is>
      </c>
      <c r="D1298" s="53" t="inlineStr">
        <is>
          <t>Avionics</t>
        </is>
      </c>
      <c r="E1298" s="53" t="inlineStr">
        <is>
          <t>2025-08-22</t>
        </is>
      </c>
      <c r="F1298" s="53">
        <v>2</v>
      </c>
      <c r="G1298" s="53">
        <v>0</v>
      </c>
      <c r="H1298" s="51" t="str">
        <f>TEXT(tblLaborEntries[[#This Row],[Work date serial]]-WEEKDAY(tblLaborEntries[[#This Row],[Work date serial]],3),"yyyy-mm-dd")</f>
        <v>2025-08-18</v>
      </c>
      <c r="I1298" s="64">
        <f>DATEVALUE(tblLaborEntries[[#This Row],[Work date]])</f>
        <v>45891.0</v>
      </c>
    </row>
    <row r="1299" spans="1:9" ht="15" x14ac:dyDescent="0.25">
      <c r="A1299" s="53" t="inlineStr">
        <is>
          <t>LAB-001298</t>
        </is>
      </c>
      <c r="B1299" s="53" t="inlineStr">
        <is>
          <t>WP-00573</t>
        </is>
      </c>
      <c r="C1299" s="53" t="inlineStr">
        <is>
          <t>TECH-004</t>
        </is>
      </c>
      <c r="D1299" s="53" t="inlineStr">
        <is>
          <t>Electrical</t>
        </is>
      </c>
      <c r="E1299" s="53" t="inlineStr">
        <is>
          <t>2025-08-06</t>
        </is>
      </c>
      <c r="F1299" s="53">
        <v>9.6</v>
      </c>
      <c r="G1299" s="53">
        <v>1.6</v>
      </c>
      <c r="H1299" s="51" t="str">
        <f>TEXT(tblLaborEntries[[#This Row],[Work date serial]]-WEEKDAY(tblLaborEntries[[#This Row],[Work date serial]],3),"yyyy-mm-dd")</f>
        <v>2025-08-04</v>
      </c>
      <c r="I1299" s="64">
        <f>DATEVALUE(tblLaborEntries[[#This Row],[Work date]])</f>
        <v>45875.0</v>
      </c>
    </row>
    <row r="1300" spans="1:9" ht="15" x14ac:dyDescent="0.25">
      <c r="A1300" s="53" t="inlineStr">
        <is>
          <t>LAB-001299</t>
        </is>
      </c>
      <c r="B1300" s="53" t="inlineStr">
        <is>
          <t>WP-00573</t>
        </is>
      </c>
      <c r="C1300" s="53" t="inlineStr">
        <is>
          <t>TECH-058</t>
        </is>
      </c>
      <c r="D1300" s="53" t="inlineStr">
        <is>
          <t>Electrical</t>
        </is>
      </c>
      <c r="E1300" s="53" t="inlineStr">
        <is>
          <t>2025-08-06</t>
        </is>
      </c>
      <c r="F1300" s="53">
        <v>12</v>
      </c>
      <c r="G1300" s="53">
        <v>4</v>
      </c>
      <c r="H1300" s="51" t="str">
        <f>TEXT(tblLaborEntries[[#This Row],[Work date serial]]-WEEKDAY(tblLaborEntries[[#This Row],[Work date serial]],3),"yyyy-mm-dd")</f>
        <v>2025-08-04</v>
      </c>
      <c r="I1300" s="64">
        <f>DATEVALUE(tblLaborEntries[[#This Row],[Work date]])</f>
        <v>45875.0</v>
      </c>
    </row>
    <row r="1301" spans="1:9" ht="15" x14ac:dyDescent="0.25">
      <c r="A1301" s="53" t="inlineStr">
        <is>
          <t>LAB-001300</t>
        </is>
      </c>
      <c r="B1301" s="53" t="inlineStr">
        <is>
          <t>WP-00574</t>
        </is>
      </c>
      <c r="C1301" s="53" t="inlineStr">
        <is>
          <t>TECH-023</t>
        </is>
      </c>
      <c r="D1301" s="53" t="inlineStr">
        <is>
          <t>Structures</t>
        </is>
      </c>
      <c r="E1301" s="53" t="inlineStr">
        <is>
          <t>2025-04-11</t>
        </is>
      </c>
      <c r="F1301" s="53">
        <v>8.2</v>
      </c>
      <c r="G1301" s="53">
        <v>0.2</v>
      </c>
      <c r="H1301" s="51" t="str">
        <f>TEXT(tblLaborEntries[[#This Row],[Work date serial]]-WEEKDAY(tblLaborEntries[[#This Row],[Work date serial]],3),"yyyy-mm-dd")</f>
        <v>2025-04-07</v>
      </c>
      <c r="I1301" s="64">
        <f>DATEVALUE(tblLaborEntries[[#This Row],[Work date]])</f>
        <v>45758.0</v>
      </c>
    </row>
    <row r="1302" spans="1:9" ht="15" x14ac:dyDescent="0.25">
      <c r="A1302" s="53" t="inlineStr">
        <is>
          <t>LAB-001301</t>
        </is>
      </c>
      <c r="B1302" s="53" t="inlineStr">
        <is>
          <t>WP-00574</t>
        </is>
      </c>
      <c r="C1302" s="53" t="inlineStr">
        <is>
          <t>TECH-071</t>
        </is>
      </c>
      <c r="D1302" s="53" t="inlineStr">
        <is>
          <t>Structures</t>
        </is>
      </c>
      <c r="E1302" s="53" t="inlineStr">
        <is>
          <t>2025-04-12</t>
        </is>
      </c>
      <c r="F1302" s="53">
        <v>10.4</v>
      </c>
      <c r="G1302" s="53">
        <v>2.4</v>
      </c>
      <c r="H1302" s="51" t="str">
        <f>TEXT(tblLaborEntries[[#This Row],[Work date serial]]-WEEKDAY(tblLaborEntries[[#This Row],[Work date serial]],3),"yyyy-mm-dd")</f>
        <v>2025-04-07</v>
      </c>
      <c r="I1302" s="64">
        <f>DATEVALUE(tblLaborEntries[[#This Row],[Work date]])</f>
        <v>45759.0</v>
      </c>
    </row>
    <row r="1303" spans="1:9" ht="15" x14ac:dyDescent="0.25">
      <c r="A1303" s="53" t="inlineStr">
        <is>
          <t>LAB-001302</t>
        </is>
      </c>
      <c r="B1303" s="53" t="inlineStr">
        <is>
          <t>WP-00574</t>
        </is>
      </c>
      <c r="C1303" s="53" t="inlineStr">
        <is>
          <t>TECH-059</t>
        </is>
      </c>
      <c r="D1303" s="53" t="inlineStr">
        <is>
          <t>Structures</t>
        </is>
      </c>
      <c r="E1303" s="53" t="inlineStr">
        <is>
          <t>2025-04-13</t>
        </is>
      </c>
      <c r="F1303" s="53">
        <v>9.9</v>
      </c>
      <c r="G1303" s="53">
        <v>1.9</v>
      </c>
      <c r="H1303" s="51" t="str">
        <f>TEXT(tblLaborEntries[[#This Row],[Work date serial]]-WEEKDAY(tblLaborEntries[[#This Row],[Work date serial]],3),"yyyy-mm-dd")</f>
        <v>2025-04-07</v>
      </c>
      <c r="I1303" s="64">
        <f>DATEVALUE(tblLaborEntries[[#This Row],[Work date]])</f>
        <v>45760.0</v>
      </c>
    </row>
    <row r="1304" spans="1:9" ht="15" x14ac:dyDescent="0.25">
      <c r="A1304" s="53" t="inlineStr">
        <is>
          <t>LAB-001303</t>
        </is>
      </c>
      <c r="B1304" s="53" t="inlineStr">
        <is>
          <t>WP-00575</t>
        </is>
      </c>
      <c r="C1304" s="53" t="inlineStr">
        <is>
          <t>TECH-020</t>
        </is>
      </c>
      <c r="D1304" s="53" t="inlineStr">
        <is>
          <t>Avionics</t>
        </is>
      </c>
      <c r="E1304" s="53" t="inlineStr">
        <is>
          <t>2024-11-03</t>
        </is>
      </c>
      <c r="F1304" s="53">
        <v>1.6</v>
      </c>
      <c r="G1304" s="53">
        <v>0</v>
      </c>
      <c r="H1304" s="51" t="str">
        <f>TEXT(tblLaborEntries[[#This Row],[Work date serial]]-WEEKDAY(tblLaborEntries[[#This Row],[Work date serial]],3),"yyyy-mm-dd")</f>
        <v>2024-10-28</v>
      </c>
      <c r="I1304" s="64">
        <f>DATEVALUE(tblLaborEntries[[#This Row],[Work date]])</f>
        <v>45599.0</v>
      </c>
    </row>
    <row r="1305" spans="1:9" ht="15" x14ac:dyDescent="0.25">
      <c r="A1305" s="53" t="inlineStr">
        <is>
          <t>LAB-001304</t>
        </is>
      </c>
      <c r="B1305" s="53" t="inlineStr">
        <is>
          <t>WP-00575</t>
        </is>
      </c>
      <c r="C1305" s="53" t="inlineStr">
        <is>
          <t>TECH-002</t>
        </is>
      </c>
      <c r="D1305" s="53" t="inlineStr">
        <is>
          <t>Avionics</t>
        </is>
      </c>
      <c r="E1305" s="53" t="inlineStr">
        <is>
          <t>2024-11-04</t>
        </is>
      </c>
      <c r="F1305" s="53">
        <v>1.5</v>
      </c>
      <c r="G1305" s="53">
        <v>0</v>
      </c>
      <c r="H1305" s="51" t="str">
        <f>TEXT(tblLaborEntries[[#This Row],[Work date serial]]-WEEKDAY(tblLaborEntries[[#This Row],[Work date serial]],3),"yyyy-mm-dd")</f>
        <v>2024-11-04</v>
      </c>
      <c r="I1305" s="64">
        <f>DATEVALUE(tblLaborEntries[[#This Row],[Work date]])</f>
        <v>45600.0</v>
      </c>
    </row>
    <row r="1306" spans="1:9" ht="15" x14ac:dyDescent="0.25">
      <c r="A1306" s="53" t="inlineStr">
        <is>
          <t>LAB-001305</t>
        </is>
      </c>
      <c r="B1306" s="53" t="inlineStr">
        <is>
          <t>WP-00576</t>
        </is>
      </c>
      <c r="C1306" s="53" t="inlineStr">
        <is>
          <t>TECH-031</t>
        </is>
      </c>
      <c r="D1306" s="53" t="inlineStr">
        <is>
          <t>Airframe</t>
        </is>
      </c>
      <c r="E1306" s="53" t="inlineStr">
        <is>
          <t>2024-02-26</t>
        </is>
      </c>
      <c r="F1306" s="53">
        <v>1.1</v>
      </c>
      <c r="G1306" s="53">
        <v>0</v>
      </c>
      <c r="H1306" s="51" t="str">
        <f>TEXT(tblLaborEntries[[#This Row],[Work date serial]]-WEEKDAY(tblLaborEntries[[#This Row],[Work date serial]],3),"yyyy-mm-dd")</f>
        <v>2024-02-26</v>
      </c>
      <c r="I1306" s="64">
        <f>DATEVALUE(tblLaborEntries[[#This Row],[Work date]])</f>
        <v>45348.0</v>
      </c>
    </row>
    <row r="1307" spans="1:9" ht="15" x14ac:dyDescent="0.25">
      <c r="A1307" s="53" t="inlineStr">
        <is>
          <t>LAB-001306</t>
        </is>
      </c>
      <c r="B1307" s="53" t="inlineStr">
        <is>
          <t>WP-00576</t>
        </is>
      </c>
      <c r="C1307" s="53" t="inlineStr">
        <is>
          <t>TECH-001</t>
        </is>
      </c>
      <c r="D1307" s="53" t="inlineStr">
        <is>
          <t>Airframe</t>
        </is>
      </c>
      <c r="E1307" s="53" t="inlineStr">
        <is>
          <t>2024-02-27</t>
        </is>
      </c>
      <c r="F1307" s="53">
        <v>0.9</v>
      </c>
      <c r="G1307" s="53">
        <v>0</v>
      </c>
      <c r="H1307" s="51" t="str">
        <f>TEXT(tblLaborEntries[[#This Row],[Work date serial]]-WEEKDAY(tblLaborEntries[[#This Row],[Work date serial]],3),"yyyy-mm-dd")</f>
        <v>2024-02-26</v>
      </c>
      <c r="I1307" s="64">
        <f>DATEVALUE(tblLaborEntries[[#This Row],[Work date]])</f>
        <v>45349.0</v>
      </c>
    </row>
    <row r="1308" spans="1:9" ht="15" x14ac:dyDescent="0.25">
      <c r="A1308" s="53" t="inlineStr">
        <is>
          <t>LAB-001307</t>
        </is>
      </c>
      <c r="B1308" s="53" t="inlineStr">
        <is>
          <t>WP-00576</t>
        </is>
      </c>
      <c r="C1308" s="53" t="inlineStr">
        <is>
          <t>TECH-031</t>
        </is>
      </c>
      <c r="D1308" s="53" t="inlineStr">
        <is>
          <t>Airframe</t>
        </is>
      </c>
      <c r="E1308" s="53" t="inlineStr">
        <is>
          <t>2024-02-28</t>
        </is>
      </c>
      <c r="F1308" s="53">
        <v>0.9</v>
      </c>
      <c r="G1308" s="53">
        <v>0</v>
      </c>
      <c r="H1308" s="51" t="str">
        <f>TEXT(tblLaborEntries[[#This Row],[Work date serial]]-WEEKDAY(tblLaborEntries[[#This Row],[Work date serial]],3),"yyyy-mm-dd")</f>
        <v>2024-02-26</v>
      </c>
      <c r="I1308" s="64">
        <f>DATEVALUE(tblLaborEntries[[#This Row],[Work date]])</f>
        <v>45350.0</v>
      </c>
    </row>
    <row r="1309" spans="1:9" ht="15" x14ac:dyDescent="0.25">
      <c r="A1309" s="53" t="inlineStr">
        <is>
          <t>LAB-001308</t>
        </is>
      </c>
      <c r="B1309" s="53" t="inlineStr">
        <is>
          <t>WP-00577</t>
        </is>
      </c>
      <c r="C1309" s="53" t="inlineStr">
        <is>
          <t>TECH-068</t>
        </is>
      </c>
      <c r="D1309" s="53" t="inlineStr">
        <is>
          <t>Avionics</t>
        </is>
      </c>
      <c r="E1309" s="53" t="inlineStr">
        <is>
          <t>2024-12-02</t>
        </is>
      </c>
      <c r="F1309" s="53">
        <v>6.6</v>
      </c>
      <c r="G1309" s="53">
        <v>0</v>
      </c>
      <c r="H1309" s="51" t="str">
        <f>TEXT(tblLaborEntries[[#This Row],[Work date serial]]-WEEKDAY(tblLaborEntries[[#This Row],[Work date serial]],3),"yyyy-mm-dd")</f>
        <v>2024-12-02</v>
      </c>
      <c r="I1309" s="64">
        <f>DATEVALUE(tblLaborEntries[[#This Row],[Work date]])</f>
        <v>45628.0</v>
      </c>
    </row>
    <row r="1310" spans="1:9" ht="15" x14ac:dyDescent="0.25">
      <c r="A1310" s="53" t="inlineStr">
        <is>
          <t>LAB-001309</t>
        </is>
      </c>
      <c r="B1310" s="53" t="inlineStr">
        <is>
          <t>WP-00578</t>
        </is>
      </c>
      <c r="C1310" s="53" t="inlineStr">
        <is>
          <t>TECH-014</t>
        </is>
      </c>
      <c r="D1310" s="53" t="inlineStr">
        <is>
          <t>Avionics</t>
        </is>
      </c>
      <c r="E1310" s="53" t="inlineStr">
        <is>
          <t>2025-08-08</t>
        </is>
      </c>
      <c r="F1310" s="53">
        <v>1.6</v>
      </c>
      <c r="G1310" s="53">
        <v>0</v>
      </c>
      <c r="H1310" s="51" t="str">
        <f>TEXT(tblLaborEntries[[#This Row],[Work date serial]]-WEEKDAY(tblLaborEntries[[#This Row],[Work date serial]],3),"yyyy-mm-dd")</f>
        <v>2025-08-04</v>
      </c>
      <c r="I1310" s="64">
        <f>DATEVALUE(tblLaborEntries[[#This Row],[Work date]])</f>
        <v>45877.0</v>
      </c>
    </row>
    <row r="1311" spans="1:9" ht="15" x14ac:dyDescent="0.25">
      <c r="A1311" s="53" t="inlineStr">
        <is>
          <t>LAB-001310</t>
        </is>
      </c>
      <c r="B1311" s="53" t="inlineStr">
        <is>
          <t>WP-00578</t>
        </is>
      </c>
      <c r="C1311" s="53" t="inlineStr">
        <is>
          <t>TECH-062</t>
        </is>
      </c>
      <c r="D1311" s="53" t="inlineStr">
        <is>
          <t>Avionics</t>
        </is>
      </c>
      <c r="E1311" s="53" t="inlineStr">
        <is>
          <t>2025-08-09</t>
        </is>
      </c>
      <c r="F1311" s="53">
        <v>1.9</v>
      </c>
      <c r="G1311" s="53">
        <v>0</v>
      </c>
      <c r="H1311" s="51" t="str">
        <f>TEXT(tblLaborEntries[[#This Row],[Work date serial]]-WEEKDAY(tblLaborEntries[[#This Row],[Work date serial]],3),"yyyy-mm-dd")</f>
        <v>2025-08-04</v>
      </c>
      <c r="I1311" s="64">
        <f>DATEVALUE(tblLaborEntries[[#This Row],[Work date]])</f>
        <v>45878.0</v>
      </c>
    </row>
    <row r="1312" spans="1:9" ht="15" x14ac:dyDescent="0.25">
      <c r="A1312" s="53" t="inlineStr">
        <is>
          <t>LAB-001311</t>
        </is>
      </c>
      <c r="B1312" s="53" t="inlineStr">
        <is>
          <t>WP-00578</t>
        </is>
      </c>
      <c r="C1312" s="53" t="inlineStr">
        <is>
          <t>TECH-008</t>
        </is>
      </c>
      <c r="D1312" s="53" t="inlineStr">
        <is>
          <t>Avionics</t>
        </is>
      </c>
      <c r="E1312" s="53" t="inlineStr">
        <is>
          <t>2025-08-10</t>
        </is>
      </c>
      <c r="F1312" s="53">
        <v>2.6</v>
      </c>
      <c r="G1312" s="53">
        <v>0</v>
      </c>
      <c r="H1312" s="51" t="str">
        <f>TEXT(tblLaborEntries[[#This Row],[Work date serial]]-WEEKDAY(tblLaborEntries[[#This Row],[Work date serial]],3),"yyyy-mm-dd")</f>
        <v>2025-08-04</v>
      </c>
      <c r="I1312" s="64">
        <f>DATEVALUE(tblLaborEntries[[#This Row],[Work date]])</f>
        <v>45879.0</v>
      </c>
    </row>
    <row r="1313" spans="1:9" ht="15" x14ac:dyDescent="0.25">
      <c r="A1313" s="53" t="inlineStr">
        <is>
          <t>LAB-001312</t>
        </is>
      </c>
      <c r="B1313" s="53" t="inlineStr">
        <is>
          <t>WP-00579</t>
        </is>
      </c>
      <c r="C1313" s="53" t="inlineStr">
        <is>
          <t>TECH-050</t>
        </is>
      </c>
      <c r="D1313" s="53" t="inlineStr">
        <is>
          <t>Avionics</t>
        </is>
      </c>
      <c r="E1313" s="53" t="inlineStr">
        <is>
          <t>2025-03-26</t>
        </is>
      </c>
      <c r="F1313" s="53">
        <v>1</v>
      </c>
      <c r="G1313" s="53">
        <v>0</v>
      </c>
      <c r="H1313" s="51" t="str">
        <f>TEXT(tblLaborEntries[[#This Row],[Work date serial]]-WEEKDAY(tblLaborEntries[[#This Row],[Work date serial]],3),"yyyy-mm-dd")</f>
        <v>2025-03-24</v>
      </c>
      <c r="I1313" s="64">
        <f>DATEVALUE(tblLaborEntries[[#This Row],[Work date]])</f>
        <v>45742.0</v>
      </c>
    </row>
    <row r="1314" spans="1:9" ht="15" x14ac:dyDescent="0.25">
      <c r="A1314" s="53" t="inlineStr">
        <is>
          <t>LAB-001313</t>
        </is>
      </c>
      <c r="B1314" s="53" t="inlineStr">
        <is>
          <t>WP-00579</t>
        </is>
      </c>
      <c r="C1314" s="53" t="inlineStr">
        <is>
          <t>TECH-008</t>
        </is>
      </c>
      <c r="D1314" s="53" t="inlineStr">
        <is>
          <t>Avionics</t>
        </is>
      </c>
      <c r="E1314" s="53" t="inlineStr">
        <is>
          <t>2025-03-27</t>
        </is>
      </c>
      <c r="F1314" s="53">
        <v>12</v>
      </c>
      <c r="G1314" s="53">
        <v>4</v>
      </c>
      <c r="H1314" s="51" t="str">
        <f>TEXT(tblLaborEntries[[#This Row],[Work date serial]]-WEEKDAY(tblLaborEntries[[#This Row],[Work date serial]],3),"yyyy-mm-dd")</f>
        <v>2025-03-24</v>
      </c>
      <c r="I1314" s="64">
        <f>DATEVALUE(tblLaborEntries[[#This Row],[Work date]])</f>
        <v>45743.0</v>
      </c>
    </row>
    <row r="1315" spans="1:9" ht="15" x14ac:dyDescent="0.25">
      <c r="A1315" s="53" t="inlineStr">
        <is>
          <t>LAB-001314</t>
        </is>
      </c>
      <c r="B1315" s="53" t="inlineStr">
        <is>
          <t>WP-00579</t>
        </is>
      </c>
      <c r="C1315" s="53" t="inlineStr">
        <is>
          <t>TECH-020</t>
        </is>
      </c>
      <c r="D1315" s="53" t="inlineStr">
        <is>
          <t>Avionics</t>
        </is>
      </c>
      <c r="E1315" s="53" t="inlineStr">
        <is>
          <t>2025-03-27</t>
        </is>
      </c>
      <c r="F1315" s="53">
        <v>12</v>
      </c>
      <c r="G1315" s="53">
        <v>4</v>
      </c>
      <c r="H1315" s="51" t="str">
        <f>TEXT(tblLaborEntries[[#This Row],[Work date serial]]-WEEKDAY(tblLaborEntries[[#This Row],[Work date serial]],3),"yyyy-mm-dd")</f>
        <v>2025-03-24</v>
      </c>
      <c r="I1315" s="64">
        <f>DATEVALUE(tblLaborEntries[[#This Row],[Work date]])</f>
        <v>45743.0</v>
      </c>
    </row>
    <row r="1316" spans="1:9" ht="15" x14ac:dyDescent="0.25">
      <c r="A1316" s="53" t="inlineStr">
        <is>
          <t>LAB-001315</t>
        </is>
      </c>
      <c r="B1316" s="53" t="inlineStr">
        <is>
          <t>WP-00579</t>
        </is>
      </c>
      <c r="C1316" s="53" t="inlineStr">
        <is>
          <t>TECH-050</t>
        </is>
      </c>
      <c r="D1316" s="53" t="inlineStr">
        <is>
          <t>Avionics</t>
        </is>
      </c>
      <c r="E1316" s="53" t="inlineStr">
        <is>
          <t>2025-03-27</t>
        </is>
      </c>
      <c r="F1316" s="53">
        <v>12</v>
      </c>
      <c r="G1316" s="53">
        <v>4</v>
      </c>
      <c r="H1316" s="51" t="str">
        <f>TEXT(tblLaborEntries[[#This Row],[Work date serial]]-WEEKDAY(tblLaborEntries[[#This Row],[Work date serial]],3),"yyyy-mm-dd")</f>
        <v>2025-03-24</v>
      </c>
      <c r="I1316" s="64">
        <f>DATEVALUE(tblLaborEntries[[#This Row],[Work date]])</f>
        <v>45743.0</v>
      </c>
    </row>
    <row r="1317" spans="1:9" ht="15" x14ac:dyDescent="0.25">
      <c r="A1317" s="53" t="inlineStr">
        <is>
          <t>LAB-001316</t>
        </is>
      </c>
      <c r="B1317" s="53" t="inlineStr">
        <is>
          <t>WP-00580</t>
        </is>
      </c>
      <c r="C1317" s="53" t="inlineStr">
        <is>
          <t>TECH-049</t>
        </is>
      </c>
      <c r="D1317" s="53" t="inlineStr">
        <is>
          <t>Airframe</t>
        </is>
      </c>
      <c r="E1317" s="53" t="inlineStr">
        <is>
          <t>2025-01-03</t>
        </is>
      </c>
      <c r="F1317" s="53">
        <v>3.8</v>
      </c>
      <c r="G1317" s="53">
        <v>0</v>
      </c>
      <c r="H1317" s="51" t="str">
        <f>TEXT(tblLaborEntries[[#This Row],[Work date serial]]-WEEKDAY(tblLaborEntries[[#This Row],[Work date serial]],3),"yyyy-mm-dd")</f>
        <v>2024-12-30</v>
      </c>
      <c r="I1317" s="64">
        <f>DATEVALUE(tblLaborEntries[[#This Row],[Work date]])</f>
        <v>45660.0</v>
      </c>
    </row>
    <row r="1318" spans="1:9" ht="15" x14ac:dyDescent="0.25">
      <c r="A1318" s="53" t="inlineStr">
        <is>
          <t>LAB-001317</t>
        </is>
      </c>
      <c r="B1318" s="53" t="inlineStr">
        <is>
          <t>WP-00580</t>
        </is>
      </c>
      <c r="C1318" s="53" t="inlineStr">
        <is>
          <t>TECH-007</t>
        </is>
      </c>
      <c r="D1318" s="53" t="inlineStr">
        <is>
          <t>Airframe</t>
        </is>
      </c>
      <c r="E1318" s="53" t="inlineStr">
        <is>
          <t>2025-01-04</t>
        </is>
      </c>
      <c r="F1318" s="53">
        <v>5.1</v>
      </c>
      <c r="G1318" s="53">
        <v>0</v>
      </c>
      <c r="H1318" s="51" t="str">
        <f>TEXT(tblLaborEntries[[#This Row],[Work date serial]]-WEEKDAY(tblLaborEntries[[#This Row],[Work date serial]],3),"yyyy-mm-dd")</f>
        <v>2024-12-30</v>
      </c>
      <c r="I1318" s="64">
        <f>DATEVALUE(tblLaborEntries[[#This Row],[Work date]])</f>
        <v>45661.0</v>
      </c>
    </row>
    <row r="1319" spans="1:9" ht="15" x14ac:dyDescent="0.25">
      <c r="A1319" s="53" t="inlineStr">
        <is>
          <t>LAB-001318</t>
        </is>
      </c>
      <c r="B1319" s="53" t="inlineStr">
        <is>
          <t>WP-00580</t>
        </is>
      </c>
      <c r="C1319" s="53" t="inlineStr">
        <is>
          <t>TECH-001</t>
        </is>
      </c>
      <c r="D1319" s="53" t="inlineStr">
        <is>
          <t>Airframe</t>
        </is>
      </c>
      <c r="E1319" s="53" t="inlineStr">
        <is>
          <t>2025-01-05</t>
        </is>
      </c>
      <c r="F1319" s="53">
        <v>3.8</v>
      </c>
      <c r="G1319" s="53">
        <v>0</v>
      </c>
      <c r="H1319" s="51" t="str">
        <f>TEXT(tblLaborEntries[[#This Row],[Work date serial]]-WEEKDAY(tblLaborEntries[[#This Row],[Work date serial]],3),"yyyy-mm-dd")</f>
        <v>2024-12-30</v>
      </c>
      <c r="I1319" s="64">
        <f>DATEVALUE(tblLaborEntries[[#This Row],[Work date]])</f>
        <v>45662.0</v>
      </c>
    </row>
    <row r="1320" spans="1:9" ht="15" x14ac:dyDescent="0.25">
      <c r="A1320" s="53" t="inlineStr">
        <is>
          <t>LAB-001319</t>
        </is>
      </c>
      <c r="B1320" s="53" t="inlineStr">
        <is>
          <t>WP-00581</t>
        </is>
      </c>
      <c r="C1320" s="53" t="inlineStr">
        <is>
          <t>TECH-002</t>
        </is>
      </c>
      <c r="D1320" s="53" t="inlineStr">
        <is>
          <t>Avionics</t>
        </is>
      </c>
      <c r="E1320" s="53" t="inlineStr">
        <is>
          <t>2024-10-28</t>
        </is>
      </c>
      <c r="F1320" s="53">
        <v>12</v>
      </c>
      <c r="G1320" s="53">
        <v>4</v>
      </c>
      <c r="H1320" s="51" t="str">
        <f>TEXT(tblLaborEntries[[#This Row],[Work date serial]]-WEEKDAY(tblLaborEntries[[#This Row],[Work date serial]],3),"yyyy-mm-dd")</f>
        <v>2024-10-28</v>
      </c>
      <c r="I1320" s="64">
        <f>DATEVALUE(tblLaborEntries[[#This Row],[Work date]])</f>
        <v>45593.0</v>
      </c>
    </row>
    <row r="1321" spans="1:9" ht="15" x14ac:dyDescent="0.25">
      <c r="A1321" s="53" t="inlineStr">
        <is>
          <t>LAB-001320</t>
        </is>
      </c>
      <c r="B1321" s="53" t="inlineStr">
        <is>
          <t>WP-00581</t>
        </is>
      </c>
      <c r="C1321" s="53" t="inlineStr">
        <is>
          <t>TECH-008</t>
        </is>
      </c>
      <c r="D1321" s="53" t="inlineStr">
        <is>
          <t>Avionics</t>
        </is>
      </c>
      <c r="E1321" s="53" t="inlineStr">
        <is>
          <t>2024-10-28</t>
        </is>
      </c>
      <c r="F1321" s="53">
        <v>0.8</v>
      </c>
      <c r="G1321" s="53">
        <v>0</v>
      </c>
      <c r="H1321" s="51" t="str">
        <f>TEXT(tblLaborEntries[[#This Row],[Work date serial]]-WEEKDAY(tblLaborEntries[[#This Row],[Work date serial]],3),"yyyy-mm-dd")</f>
        <v>2024-10-28</v>
      </c>
      <c r="I1321" s="64">
        <f>DATEVALUE(tblLaborEntries[[#This Row],[Work date]])</f>
        <v>45593.0</v>
      </c>
    </row>
    <row r="1322" spans="1:9" ht="15" x14ac:dyDescent="0.25">
      <c r="A1322" s="53" t="inlineStr">
        <is>
          <t>LAB-001321</t>
        </is>
      </c>
      <c r="B1322" s="53" t="inlineStr">
        <is>
          <t>WP-00581</t>
        </is>
      </c>
      <c r="C1322" s="53" t="inlineStr">
        <is>
          <t>TECH-056</t>
        </is>
      </c>
      <c r="D1322" s="53" t="inlineStr">
        <is>
          <t>Avionics</t>
        </is>
      </c>
      <c r="E1322" s="53" t="inlineStr">
        <is>
          <t>2024-10-28</t>
        </is>
      </c>
      <c r="F1322" s="53">
        <v>12</v>
      </c>
      <c r="G1322" s="53">
        <v>4</v>
      </c>
      <c r="H1322" s="51" t="str">
        <f>TEXT(tblLaborEntries[[#This Row],[Work date serial]]-WEEKDAY(tblLaborEntries[[#This Row],[Work date serial]],3),"yyyy-mm-dd")</f>
        <v>2024-10-28</v>
      </c>
      <c r="I1322" s="64">
        <f>DATEVALUE(tblLaborEntries[[#This Row],[Work date]])</f>
        <v>45593.0</v>
      </c>
    </row>
    <row r="1323" spans="1:9" ht="15" x14ac:dyDescent="0.25">
      <c r="A1323" s="53" t="inlineStr">
        <is>
          <t>LAB-001322</t>
        </is>
      </c>
      <c r="B1323" s="53" t="inlineStr">
        <is>
          <t>WP-00582</t>
        </is>
      </c>
      <c r="C1323" s="53" t="inlineStr">
        <is>
          <t>TECH-007</t>
        </is>
      </c>
      <c r="D1323" s="53" t="inlineStr">
        <is>
          <t>Airframe</t>
        </is>
      </c>
      <c r="E1323" s="53" t="inlineStr">
        <is>
          <t>2024-10-20</t>
        </is>
      </c>
      <c r="F1323" s="53">
        <v>0.9</v>
      </c>
      <c r="G1323" s="53">
        <v>0</v>
      </c>
      <c r="H1323" s="51" t="str">
        <f>TEXT(tblLaborEntries[[#This Row],[Work date serial]]-WEEKDAY(tblLaborEntries[[#This Row],[Work date serial]],3),"yyyy-mm-dd")</f>
        <v>2024-10-14</v>
      </c>
      <c r="I1323" s="64">
        <f>DATEVALUE(tblLaborEntries[[#This Row],[Work date]])</f>
        <v>45585.0</v>
      </c>
    </row>
    <row r="1324" spans="1:9" ht="15" x14ac:dyDescent="0.25">
      <c r="A1324" s="53" t="inlineStr">
        <is>
          <t>LAB-001323</t>
        </is>
      </c>
      <c r="B1324" s="53" t="inlineStr">
        <is>
          <t>WP-00582</t>
        </is>
      </c>
      <c r="C1324" s="53" t="inlineStr">
        <is>
          <t>TECH-001</t>
        </is>
      </c>
      <c r="D1324" s="53" t="inlineStr">
        <is>
          <t>Airframe</t>
        </is>
      </c>
      <c r="E1324" s="53" t="inlineStr">
        <is>
          <t>2024-10-21</t>
        </is>
      </c>
      <c r="F1324" s="53">
        <v>1</v>
      </c>
      <c r="G1324" s="53">
        <v>0</v>
      </c>
      <c r="H1324" s="51" t="str">
        <f>TEXT(tblLaborEntries[[#This Row],[Work date serial]]-WEEKDAY(tblLaborEntries[[#This Row],[Work date serial]],3),"yyyy-mm-dd")</f>
        <v>2024-10-21</v>
      </c>
      <c r="I1324" s="64">
        <f>DATEVALUE(tblLaborEntries[[#This Row],[Work date]])</f>
        <v>45586.0</v>
      </c>
    </row>
    <row r="1325" spans="1:9" ht="15" x14ac:dyDescent="0.25">
      <c r="A1325" s="53" t="inlineStr">
        <is>
          <t>LAB-001324</t>
        </is>
      </c>
      <c r="B1325" s="53" t="inlineStr">
        <is>
          <t>WP-00583</t>
        </is>
      </c>
      <c r="C1325" s="53" t="inlineStr">
        <is>
          <t>TECH-068</t>
        </is>
      </c>
      <c r="D1325" s="53" t="inlineStr">
        <is>
          <t>Avionics</t>
        </is>
      </c>
      <c r="E1325" s="53" t="inlineStr">
        <is>
          <t>2025-06-08</t>
        </is>
      </c>
      <c r="F1325" s="53">
        <v>10.2</v>
      </c>
      <c r="G1325" s="53">
        <v>2.2</v>
      </c>
      <c r="H1325" s="51" t="str">
        <f>TEXT(tblLaborEntries[[#This Row],[Work date serial]]-WEEKDAY(tblLaborEntries[[#This Row],[Work date serial]],3),"yyyy-mm-dd")</f>
        <v>2025-06-02</v>
      </c>
      <c r="I1325" s="64">
        <f>DATEVALUE(tblLaborEntries[[#This Row],[Work date]])</f>
        <v>45816.0</v>
      </c>
    </row>
    <row r="1326" spans="1:9" ht="15" x14ac:dyDescent="0.25">
      <c r="A1326" s="53" t="inlineStr">
        <is>
          <t>LAB-001325</t>
        </is>
      </c>
      <c r="B1326" s="53" t="inlineStr">
        <is>
          <t>WP-00584</t>
        </is>
      </c>
      <c r="C1326" s="53" t="inlineStr">
        <is>
          <t>TECH-063</t>
        </is>
      </c>
      <c r="D1326" s="53" t="inlineStr">
        <is>
          <t>Hydraulics</t>
        </is>
      </c>
      <c r="E1326" s="53" t="inlineStr">
        <is>
          <t>2024-10-06</t>
        </is>
      </c>
      <c r="F1326" s="53">
        <v>7.5</v>
      </c>
      <c r="G1326" s="53">
        <v>0</v>
      </c>
      <c r="H1326" s="51" t="str">
        <f>TEXT(tblLaborEntries[[#This Row],[Work date serial]]-WEEKDAY(tblLaborEntries[[#This Row],[Work date serial]],3),"yyyy-mm-dd")</f>
        <v>2024-09-30</v>
      </c>
      <c r="I1326" s="64">
        <f>DATEVALUE(tblLaborEntries[[#This Row],[Work date]])</f>
        <v>45571.0</v>
      </c>
    </row>
    <row r="1327" spans="1:9" ht="15" x14ac:dyDescent="0.25">
      <c r="A1327" s="53" t="inlineStr">
        <is>
          <t>LAB-001326</t>
        </is>
      </c>
      <c r="B1327" s="53" t="inlineStr">
        <is>
          <t>WP-00585</t>
        </is>
      </c>
      <c r="C1327" s="53" t="inlineStr">
        <is>
          <t>TECH-016</t>
        </is>
      </c>
      <c r="D1327" s="53" t="inlineStr">
        <is>
          <t>Electrical</t>
        </is>
      </c>
      <c r="E1327" s="53" t="inlineStr">
        <is>
          <t>2025-01-30</t>
        </is>
      </c>
      <c r="F1327" s="53">
        <v>3.6</v>
      </c>
      <c r="G1327" s="53">
        <v>0</v>
      </c>
      <c r="H1327" s="51" t="str">
        <f>TEXT(tblLaborEntries[[#This Row],[Work date serial]]-WEEKDAY(tblLaborEntries[[#This Row],[Work date serial]],3),"yyyy-mm-dd")</f>
        <v>2025-01-27</v>
      </c>
      <c r="I1327" s="64">
        <f>DATEVALUE(tblLaborEntries[[#This Row],[Work date]])</f>
        <v>45687.0</v>
      </c>
    </row>
    <row r="1328" spans="1:9" ht="15" x14ac:dyDescent="0.25">
      <c r="A1328" s="53" t="inlineStr">
        <is>
          <t>LAB-001327</t>
        </is>
      </c>
      <c r="B1328" s="53" t="inlineStr">
        <is>
          <t>WP-00585</t>
        </is>
      </c>
      <c r="C1328" s="53" t="inlineStr">
        <is>
          <t>TECH-052</t>
        </is>
      </c>
      <c r="D1328" s="53" t="inlineStr">
        <is>
          <t>Electrical</t>
        </is>
      </c>
      <c r="E1328" s="53" t="inlineStr">
        <is>
          <t>2025-01-31</t>
        </is>
      </c>
      <c r="F1328" s="53">
        <v>4.3</v>
      </c>
      <c r="G1328" s="53">
        <v>0</v>
      </c>
      <c r="H1328" s="51" t="str">
        <f>TEXT(tblLaborEntries[[#This Row],[Work date serial]]-WEEKDAY(tblLaborEntries[[#This Row],[Work date serial]],3),"yyyy-mm-dd")</f>
        <v>2025-01-27</v>
      </c>
      <c r="I1328" s="64">
        <f>DATEVALUE(tblLaborEntries[[#This Row],[Work date]])</f>
        <v>45688.0</v>
      </c>
    </row>
    <row r="1329" spans="1:9" ht="15" x14ac:dyDescent="0.25">
      <c r="A1329" s="53" t="inlineStr">
        <is>
          <t>LAB-001328</t>
        </is>
      </c>
      <c r="B1329" s="53" t="inlineStr">
        <is>
          <t>WP-00585</t>
        </is>
      </c>
      <c r="C1329" s="53" t="inlineStr">
        <is>
          <t>TECH-016</t>
        </is>
      </c>
      <c r="D1329" s="53" t="inlineStr">
        <is>
          <t>Electrical</t>
        </is>
      </c>
      <c r="E1329" s="53" t="inlineStr">
        <is>
          <t>2025-02-01</t>
        </is>
      </c>
      <c r="F1329" s="53">
        <v>5.1</v>
      </c>
      <c r="G1329" s="53">
        <v>0</v>
      </c>
      <c r="H1329" s="51" t="str">
        <f>TEXT(tblLaborEntries[[#This Row],[Work date serial]]-WEEKDAY(tblLaborEntries[[#This Row],[Work date serial]],3),"yyyy-mm-dd")</f>
        <v>2025-01-27</v>
      </c>
      <c r="I1329" s="64">
        <f>DATEVALUE(tblLaborEntries[[#This Row],[Work date]])</f>
        <v>45689.0</v>
      </c>
    </row>
    <row r="1330" spans="1:9" ht="15" x14ac:dyDescent="0.25">
      <c r="A1330" s="53" t="inlineStr">
        <is>
          <t>LAB-001329</t>
        </is>
      </c>
      <c r="B1330" s="53" t="inlineStr">
        <is>
          <t>WP-00586</t>
        </is>
      </c>
      <c r="C1330" s="53" t="inlineStr">
        <is>
          <t>TECH-001</t>
        </is>
      </c>
      <c r="D1330" s="53" t="inlineStr">
        <is>
          <t>Airframe</t>
        </is>
      </c>
      <c r="E1330" s="53" t="inlineStr">
        <is>
          <t>2025-12-02</t>
        </is>
      </c>
      <c r="F1330" s="53">
        <v>1.2</v>
      </c>
      <c r="G1330" s="53">
        <v>0</v>
      </c>
      <c r="H1330" s="51" t="str">
        <f>TEXT(tblLaborEntries[[#This Row],[Work date serial]]-WEEKDAY(tblLaborEntries[[#This Row],[Work date serial]],3),"yyyy-mm-dd")</f>
        <v>2025-12-01</v>
      </c>
      <c r="I1330" s="64">
        <f>DATEVALUE(tblLaborEntries[[#This Row],[Work date]])</f>
        <v>45993.0</v>
      </c>
    </row>
    <row r="1331" spans="1:9" ht="15" x14ac:dyDescent="0.25">
      <c r="A1331" s="53" t="inlineStr">
        <is>
          <t>LAB-001330</t>
        </is>
      </c>
      <c r="B1331" s="53" t="inlineStr">
        <is>
          <t>WP-00586</t>
        </is>
      </c>
      <c r="C1331" s="53" t="inlineStr">
        <is>
          <t>TECH-013</t>
        </is>
      </c>
      <c r="D1331" s="53" t="inlineStr">
        <is>
          <t>Airframe</t>
        </is>
      </c>
      <c r="E1331" s="53" t="inlineStr">
        <is>
          <t>2025-12-02</t>
        </is>
      </c>
      <c r="F1331" s="53">
        <v>12</v>
      </c>
      <c r="G1331" s="53">
        <v>4</v>
      </c>
      <c r="H1331" s="51" t="str">
        <f>TEXT(tblLaborEntries[[#This Row],[Work date serial]]-WEEKDAY(tblLaborEntries[[#This Row],[Work date serial]],3),"yyyy-mm-dd")</f>
        <v>2025-12-01</v>
      </c>
      <c r="I1331" s="64">
        <f>DATEVALUE(tblLaborEntries[[#This Row],[Work date]])</f>
        <v>45993.0</v>
      </c>
    </row>
    <row r="1332" spans="1:9" ht="15" x14ac:dyDescent="0.25">
      <c r="A1332" s="53" t="inlineStr">
        <is>
          <t>LAB-001331</t>
        </is>
      </c>
      <c r="B1332" s="53" t="inlineStr">
        <is>
          <t>WP-00587</t>
        </is>
      </c>
      <c r="C1332" s="53" t="inlineStr">
        <is>
          <t>TECH-006</t>
        </is>
      </c>
      <c r="D1332" s="53" t="inlineStr">
        <is>
          <t>Powerplant</t>
        </is>
      </c>
      <c r="E1332" s="53" t="inlineStr">
        <is>
          <t>2025-11-24</t>
        </is>
      </c>
      <c r="F1332" s="53">
        <v>0.7</v>
      </c>
      <c r="G1332" s="53">
        <v>0</v>
      </c>
      <c r="H1332" s="51" t="str">
        <f>TEXT(tblLaborEntries[[#This Row],[Work date serial]]-WEEKDAY(tblLaborEntries[[#This Row],[Work date serial]],3),"yyyy-mm-dd")</f>
        <v>2025-11-24</v>
      </c>
      <c r="I1332" s="64">
        <f>DATEVALUE(tblLaborEntries[[#This Row],[Work date]])</f>
        <v>45985.0</v>
      </c>
    </row>
    <row r="1333" spans="1:9" ht="15" x14ac:dyDescent="0.25">
      <c r="A1333" s="53" t="inlineStr">
        <is>
          <t>LAB-001332</t>
        </is>
      </c>
      <c r="B1333" s="53" t="inlineStr">
        <is>
          <t>WP-00587</t>
        </is>
      </c>
      <c r="C1333" s="53" t="inlineStr">
        <is>
          <t>TECH-054</t>
        </is>
      </c>
      <c r="D1333" s="53" t="inlineStr">
        <is>
          <t>Powerplant</t>
        </is>
      </c>
      <c r="E1333" s="53" t="inlineStr">
        <is>
          <t>2025-11-24</t>
        </is>
      </c>
      <c r="F1333" s="53">
        <v>12</v>
      </c>
      <c r="G1333" s="53">
        <v>4</v>
      </c>
      <c r="H1333" s="51" t="str">
        <f>TEXT(tblLaborEntries[[#This Row],[Work date serial]]-WEEKDAY(tblLaborEntries[[#This Row],[Work date serial]],3),"yyyy-mm-dd")</f>
        <v>2025-11-24</v>
      </c>
      <c r="I1333" s="64">
        <f>DATEVALUE(tblLaborEntries[[#This Row],[Work date]])</f>
        <v>45985.0</v>
      </c>
    </row>
    <row r="1334" spans="1:9" ht="15" x14ac:dyDescent="0.25">
      <c r="A1334" s="53" t="inlineStr">
        <is>
          <t>LAB-001333</t>
        </is>
      </c>
      <c r="B1334" s="53" t="inlineStr">
        <is>
          <t>WP-00588</t>
        </is>
      </c>
      <c r="C1334" s="53" t="inlineStr">
        <is>
          <t>TECH-005</t>
        </is>
      </c>
      <c r="D1334" s="53" t="inlineStr">
        <is>
          <t>Structures</t>
        </is>
      </c>
      <c r="E1334" s="53" t="inlineStr">
        <is>
          <t>2025-12-29</t>
        </is>
      </c>
      <c r="F1334" s="53">
        <v>7.4</v>
      </c>
      <c r="G1334" s="53">
        <v>0</v>
      </c>
      <c r="H1334" s="51" t="str">
        <f>TEXT(tblLaborEntries[[#This Row],[Work date serial]]-WEEKDAY(tblLaborEntries[[#This Row],[Work date serial]],3),"yyyy-mm-dd")</f>
        <v>2025-12-29</v>
      </c>
      <c r="I1334" s="64">
        <f>DATEVALUE(tblLaborEntries[[#This Row],[Work date]])</f>
        <v>46020.0</v>
      </c>
    </row>
    <row r="1335" spans="1:9" ht="15" x14ac:dyDescent="0.25">
      <c r="A1335" s="53" t="inlineStr">
        <is>
          <t>LAB-001334</t>
        </is>
      </c>
      <c r="B1335" s="53" t="inlineStr">
        <is>
          <t>WP-00588</t>
        </is>
      </c>
      <c r="C1335" s="53" t="inlineStr">
        <is>
          <t>TECH-023</t>
        </is>
      </c>
      <c r="D1335" s="53" t="inlineStr">
        <is>
          <t>Structures</t>
        </is>
      </c>
      <c r="E1335" s="53" t="inlineStr">
        <is>
          <t>2025-12-29</t>
        </is>
      </c>
      <c r="F1335" s="53">
        <v>12</v>
      </c>
      <c r="G1335" s="53">
        <v>4</v>
      </c>
      <c r="H1335" s="51" t="str">
        <f>TEXT(tblLaborEntries[[#This Row],[Work date serial]]-WEEKDAY(tblLaborEntries[[#This Row],[Work date serial]],3),"yyyy-mm-dd")</f>
        <v>2025-12-29</v>
      </c>
      <c r="I1335" s="64">
        <f>DATEVALUE(tblLaborEntries[[#This Row],[Work date]])</f>
        <v>46020.0</v>
      </c>
    </row>
    <row r="1336" spans="1:9" ht="15" x14ac:dyDescent="0.25">
      <c r="A1336" s="53" t="inlineStr">
        <is>
          <t>LAB-001335</t>
        </is>
      </c>
      <c r="B1336" s="53" t="inlineStr">
        <is>
          <t>WP-00589</t>
        </is>
      </c>
      <c r="C1336" s="53" t="inlineStr">
        <is>
          <t>TECH-056</t>
        </is>
      </c>
      <c r="D1336" s="53" t="inlineStr">
        <is>
          <t>Avionics</t>
        </is>
      </c>
      <c r="E1336" s="53" t="inlineStr">
        <is>
          <t>2024-07-30</t>
        </is>
      </c>
      <c r="F1336" s="53">
        <v>5.6</v>
      </c>
      <c r="G1336" s="53">
        <v>0</v>
      </c>
      <c r="H1336" s="51" t="str">
        <f>TEXT(tblLaborEntries[[#This Row],[Work date serial]]-WEEKDAY(tblLaborEntries[[#This Row],[Work date serial]],3),"yyyy-mm-dd")</f>
        <v>2024-07-29</v>
      </c>
      <c r="I1336" s="64">
        <f>DATEVALUE(tblLaborEntries[[#This Row],[Work date]])</f>
        <v>45503.0</v>
      </c>
    </row>
    <row r="1337" spans="1:9" ht="15" x14ac:dyDescent="0.25">
      <c r="A1337" s="53" t="inlineStr">
        <is>
          <t>LAB-001336</t>
        </is>
      </c>
      <c r="B1337" s="53" t="inlineStr">
        <is>
          <t>WP-00589</t>
        </is>
      </c>
      <c r="C1337" s="53" t="inlineStr">
        <is>
          <t>TECH-068</t>
        </is>
      </c>
      <c r="D1337" s="53" t="inlineStr">
        <is>
          <t>Avionics</t>
        </is>
      </c>
      <c r="E1337" s="53" t="inlineStr">
        <is>
          <t>2024-07-31</t>
        </is>
      </c>
      <c r="F1337" s="53">
        <v>5.5</v>
      </c>
      <c r="G1337" s="53">
        <v>0</v>
      </c>
      <c r="H1337" s="51" t="str">
        <f>TEXT(tblLaborEntries[[#This Row],[Work date serial]]-WEEKDAY(tblLaborEntries[[#This Row],[Work date serial]],3),"yyyy-mm-dd")</f>
        <v>2024-07-29</v>
      </c>
      <c r="I1337" s="64">
        <f>DATEVALUE(tblLaborEntries[[#This Row],[Work date]])</f>
        <v>45504.0</v>
      </c>
    </row>
    <row r="1338" spans="1:9" ht="15" x14ac:dyDescent="0.25">
      <c r="A1338" s="53" t="inlineStr">
        <is>
          <t>LAB-001337</t>
        </is>
      </c>
      <c r="B1338" s="53" t="inlineStr">
        <is>
          <t>WP-00590</t>
        </is>
      </c>
      <c r="C1338" s="53" t="inlineStr">
        <is>
          <t>TECH-008</t>
        </is>
      </c>
      <c r="D1338" s="53" t="inlineStr">
        <is>
          <t>Avionics</t>
        </is>
      </c>
      <c r="E1338" s="53" t="inlineStr">
        <is>
          <t>2025-03-15</t>
        </is>
      </c>
      <c r="F1338" s="53">
        <v>7.1</v>
      </c>
      <c r="G1338" s="53">
        <v>0</v>
      </c>
      <c r="H1338" s="51" t="str">
        <f>TEXT(tblLaborEntries[[#This Row],[Work date serial]]-WEEKDAY(tblLaborEntries[[#This Row],[Work date serial]],3),"yyyy-mm-dd")</f>
        <v>2025-03-10</v>
      </c>
      <c r="I1338" s="64">
        <f>DATEVALUE(tblLaborEntries[[#This Row],[Work date]])</f>
        <v>45731.0</v>
      </c>
    </row>
    <row r="1339" spans="1:9" ht="15" x14ac:dyDescent="0.25">
      <c r="A1339" s="53" t="inlineStr">
        <is>
          <t>LAB-001338</t>
        </is>
      </c>
      <c r="B1339" s="53" t="inlineStr">
        <is>
          <t>WP-00590</t>
        </is>
      </c>
      <c r="C1339" s="53" t="inlineStr">
        <is>
          <t>TECH-056</t>
        </is>
      </c>
      <c r="D1339" s="53" t="inlineStr">
        <is>
          <t>Avionics</t>
        </is>
      </c>
      <c r="E1339" s="53" t="inlineStr">
        <is>
          <t>2025-03-15</t>
        </is>
      </c>
      <c r="F1339" s="53">
        <v>12</v>
      </c>
      <c r="G1339" s="53">
        <v>4</v>
      </c>
      <c r="H1339" s="51" t="str">
        <f>TEXT(tblLaborEntries[[#This Row],[Work date serial]]-WEEKDAY(tblLaborEntries[[#This Row],[Work date serial]],3),"yyyy-mm-dd")</f>
        <v>2025-03-10</v>
      </c>
      <c r="I1339" s="64">
        <f>DATEVALUE(tblLaborEntries[[#This Row],[Work date]])</f>
        <v>45731.0</v>
      </c>
    </row>
    <row r="1340" spans="1:9" ht="15" x14ac:dyDescent="0.25">
      <c r="A1340" s="53" t="inlineStr">
        <is>
          <t>LAB-001339</t>
        </is>
      </c>
      <c r="B1340" s="53" t="inlineStr">
        <is>
          <t>WP-00591</t>
        </is>
      </c>
      <c r="C1340" s="53" t="inlineStr">
        <is>
          <t>TECH-003</t>
        </is>
      </c>
      <c r="D1340" s="53" t="inlineStr">
        <is>
          <t>Hydraulics</t>
        </is>
      </c>
      <c r="E1340" s="53" t="inlineStr">
        <is>
          <t>2024-06-22</t>
        </is>
      </c>
      <c r="F1340" s="53">
        <v>0.8</v>
      </c>
      <c r="G1340" s="53">
        <v>0</v>
      </c>
      <c r="H1340" s="51" t="str">
        <f>TEXT(tblLaborEntries[[#This Row],[Work date serial]]-WEEKDAY(tblLaborEntries[[#This Row],[Work date serial]],3),"yyyy-mm-dd")</f>
        <v>2024-06-17</v>
      </c>
      <c r="I1340" s="64">
        <f>DATEVALUE(tblLaborEntries[[#This Row],[Work date]])</f>
        <v>45465.0</v>
      </c>
    </row>
    <row r="1341" spans="1:9" ht="15" x14ac:dyDescent="0.25">
      <c r="A1341" s="53" t="inlineStr">
        <is>
          <t>LAB-001340</t>
        </is>
      </c>
      <c r="B1341" s="53" t="inlineStr">
        <is>
          <t>WP-00591</t>
        </is>
      </c>
      <c r="C1341" s="53" t="inlineStr">
        <is>
          <t>TECH-051</t>
        </is>
      </c>
      <c r="D1341" s="53" t="inlineStr">
        <is>
          <t>Hydraulics</t>
        </is>
      </c>
      <c r="E1341" s="53" t="inlineStr">
        <is>
          <t>2024-06-22</t>
        </is>
      </c>
      <c r="F1341" s="53">
        <v>12</v>
      </c>
      <c r="G1341" s="53">
        <v>4</v>
      </c>
      <c r="H1341" s="51" t="str">
        <f>TEXT(tblLaborEntries[[#This Row],[Work date serial]]-WEEKDAY(tblLaborEntries[[#This Row],[Work date serial]],3),"yyyy-mm-dd")</f>
        <v>2024-06-17</v>
      </c>
      <c r="I1341" s="64">
        <f>DATEVALUE(tblLaborEntries[[#This Row],[Work date]])</f>
        <v>45465.0</v>
      </c>
    </row>
    <row r="1342" spans="1:9" ht="15" x14ac:dyDescent="0.25">
      <c r="A1342" s="53" t="inlineStr">
        <is>
          <t>LAB-001341</t>
        </is>
      </c>
      <c r="B1342" s="53" t="inlineStr">
        <is>
          <t>WP-00592</t>
        </is>
      </c>
      <c r="C1342" s="53" t="inlineStr">
        <is>
          <t>TECH-008</t>
        </is>
      </c>
      <c r="D1342" s="53" t="inlineStr">
        <is>
          <t>Avionics</t>
        </is>
      </c>
      <c r="E1342" s="53" t="inlineStr">
        <is>
          <t>2025-12-07</t>
        </is>
      </c>
      <c r="F1342" s="53">
        <v>1.4</v>
      </c>
      <c r="G1342" s="53">
        <v>0</v>
      </c>
      <c r="H1342" s="51" t="str">
        <f>TEXT(tblLaborEntries[[#This Row],[Work date serial]]-WEEKDAY(tblLaborEntries[[#This Row],[Work date serial]],3),"yyyy-mm-dd")</f>
        <v>2025-12-01</v>
      </c>
      <c r="I1342" s="64">
        <f>DATEVALUE(tblLaborEntries[[#This Row],[Work date]])</f>
        <v>45998.0</v>
      </c>
    </row>
    <row r="1343" spans="1:9" ht="15" x14ac:dyDescent="0.25">
      <c r="A1343" s="53" t="inlineStr">
        <is>
          <t>LAB-001342</t>
        </is>
      </c>
      <c r="B1343" s="53" t="inlineStr">
        <is>
          <t>WP-00592</t>
        </is>
      </c>
      <c r="C1343" s="53" t="inlineStr">
        <is>
          <t>TECH-068</t>
        </is>
      </c>
      <c r="D1343" s="53" t="inlineStr">
        <is>
          <t>Avionics</t>
        </is>
      </c>
      <c r="E1343" s="53" t="inlineStr">
        <is>
          <t>2025-12-08</t>
        </is>
      </c>
      <c r="F1343" s="53">
        <v>2</v>
      </c>
      <c r="G1343" s="53">
        <v>0</v>
      </c>
      <c r="H1343" s="51" t="str">
        <f>TEXT(tblLaborEntries[[#This Row],[Work date serial]]-WEEKDAY(tblLaborEntries[[#This Row],[Work date serial]],3),"yyyy-mm-dd")</f>
        <v>2025-12-08</v>
      </c>
      <c r="I1343" s="64">
        <f>DATEVALUE(tblLaborEntries[[#This Row],[Work date]])</f>
        <v>45999.0</v>
      </c>
    </row>
    <row r="1344" spans="1:9" ht="15" x14ac:dyDescent="0.25">
      <c r="A1344" s="53" t="inlineStr">
        <is>
          <t>LAB-001343</t>
        </is>
      </c>
      <c r="B1344" s="53" t="inlineStr">
        <is>
          <t>WP-00593</t>
        </is>
      </c>
      <c r="C1344" s="53" t="inlineStr">
        <is>
          <t>TECH-024</t>
        </is>
      </c>
      <c r="D1344" s="53" t="inlineStr">
        <is>
          <t>Powerplant</t>
        </is>
      </c>
      <c r="E1344" s="53" t="inlineStr">
        <is>
          <t>2024-06-30</t>
        </is>
      </c>
      <c r="F1344" s="53">
        <v>5.1</v>
      </c>
      <c r="G1344" s="53">
        <v>0</v>
      </c>
      <c r="H1344" s="51" t="str">
        <f>TEXT(tblLaborEntries[[#This Row],[Work date serial]]-WEEKDAY(tblLaborEntries[[#This Row],[Work date serial]],3),"yyyy-mm-dd")</f>
        <v>2024-06-24</v>
      </c>
      <c r="I1344" s="64">
        <f>DATEVALUE(tblLaborEntries[[#This Row],[Work date]])</f>
        <v>45473.0</v>
      </c>
    </row>
    <row r="1345" spans="1:9" ht="15" x14ac:dyDescent="0.25">
      <c r="A1345" s="53" t="inlineStr">
        <is>
          <t>LAB-001344</t>
        </is>
      </c>
      <c r="B1345" s="53" t="inlineStr">
        <is>
          <t>WP-00593</t>
        </is>
      </c>
      <c r="C1345" s="53" t="inlineStr">
        <is>
          <t>TECH-036</t>
        </is>
      </c>
      <c r="D1345" s="53" t="inlineStr">
        <is>
          <t>Powerplant</t>
        </is>
      </c>
      <c r="E1345" s="53" t="inlineStr">
        <is>
          <t>2024-07-01</t>
        </is>
      </c>
      <c r="F1345" s="53">
        <v>4.6</v>
      </c>
      <c r="G1345" s="53">
        <v>0</v>
      </c>
      <c r="H1345" s="51" t="str">
        <f>TEXT(tblLaborEntries[[#This Row],[Work date serial]]-WEEKDAY(tblLaborEntries[[#This Row],[Work date serial]],3),"yyyy-mm-dd")</f>
        <v>2024-07-01</v>
      </c>
      <c r="I1345" s="64">
        <f>DATEVALUE(tblLaborEntries[[#This Row],[Work date]])</f>
        <v>45474.0</v>
      </c>
    </row>
    <row r="1346" spans="1:9" ht="15" x14ac:dyDescent="0.25">
      <c r="A1346" s="53" t="inlineStr">
        <is>
          <t>LAB-001345</t>
        </is>
      </c>
      <c r="B1346" s="53" t="inlineStr">
        <is>
          <t>WP-00594</t>
        </is>
      </c>
      <c r="C1346" s="53" t="inlineStr">
        <is>
          <t>TECH-002</t>
        </is>
      </c>
      <c r="D1346" s="53" t="inlineStr">
        <is>
          <t>Avionics</t>
        </is>
      </c>
      <c r="E1346" s="53" t="inlineStr">
        <is>
          <t>2024-12-07</t>
        </is>
      </c>
      <c r="F1346" s="53">
        <v>1.2</v>
      </c>
      <c r="G1346" s="53">
        <v>0</v>
      </c>
      <c r="H1346" s="51" t="str">
        <f>TEXT(tblLaborEntries[[#This Row],[Work date serial]]-WEEKDAY(tblLaborEntries[[#This Row],[Work date serial]],3),"yyyy-mm-dd")</f>
        <v>2024-12-02</v>
      </c>
      <c r="I1346" s="64">
        <f>DATEVALUE(tblLaborEntries[[#This Row],[Work date]])</f>
        <v>45633.0</v>
      </c>
    </row>
    <row r="1347" spans="1:9" ht="15" x14ac:dyDescent="0.25">
      <c r="A1347" s="53" t="inlineStr">
        <is>
          <t>LAB-001346</t>
        </is>
      </c>
      <c r="B1347" s="53" t="inlineStr">
        <is>
          <t>WP-00594</t>
        </is>
      </c>
      <c r="C1347" s="53" t="inlineStr">
        <is>
          <t>TECH-074</t>
        </is>
      </c>
      <c r="D1347" s="53" t="inlineStr">
        <is>
          <t>Avionics</t>
        </is>
      </c>
      <c r="E1347" s="53" t="inlineStr">
        <is>
          <t>2024-12-07</t>
        </is>
      </c>
      <c r="F1347" s="53">
        <v>12</v>
      </c>
      <c r="G1347" s="53">
        <v>4</v>
      </c>
      <c r="H1347" s="51" t="str">
        <f>TEXT(tblLaborEntries[[#This Row],[Work date serial]]-WEEKDAY(tblLaborEntries[[#This Row],[Work date serial]],3),"yyyy-mm-dd")</f>
        <v>2024-12-02</v>
      </c>
      <c r="I1347" s="64">
        <f>DATEVALUE(tblLaborEntries[[#This Row],[Work date]])</f>
        <v>45633.0</v>
      </c>
    </row>
    <row r="1348" spans="1:9" ht="15" x14ac:dyDescent="0.25">
      <c r="A1348" s="53" t="inlineStr">
        <is>
          <t>LAB-001347</t>
        </is>
      </c>
      <c r="B1348" s="53" t="inlineStr">
        <is>
          <t>WP-00595</t>
        </is>
      </c>
      <c r="C1348" s="53" t="inlineStr">
        <is>
          <t>TECH-066</t>
        </is>
      </c>
      <c r="D1348" s="53" t="inlineStr">
        <is>
          <t>Powerplant</t>
        </is>
      </c>
      <c r="E1348" s="53" t="inlineStr">
        <is>
          <t>2025-01-09</t>
        </is>
      </c>
      <c r="F1348" s="53">
        <v>6.1</v>
      </c>
      <c r="G1348" s="53">
        <v>0</v>
      </c>
      <c r="H1348" s="51" t="str">
        <f>TEXT(tblLaborEntries[[#This Row],[Work date serial]]-WEEKDAY(tblLaborEntries[[#This Row],[Work date serial]],3),"yyyy-mm-dd")</f>
        <v>2025-01-06</v>
      </c>
      <c r="I1348" s="64">
        <f>DATEVALUE(tblLaborEntries[[#This Row],[Work date]])</f>
        <v>45666.0</v>
      </c>
    </row>
    <row r="1349" spans="1:9" ht="15" x14ac:dyDescent="0.25">
      <c r="A1349" s="53" t="inlineStr">
        <is>
          <t>LAB-001348</t>
        </is>
      </c>
      <c r="B1349" s="53" t="inlineStr">
        <is>
          <t>WP-00596</t>
        </is>
      </c>
      <c r="C1349" s="53" t="inlineStr">
        <is>
          <t>TECH-038</t>
        </is>
      </c>
      <c r="D1349" s="53" t="inlineStr">
        <is>
          <t>Avionics</t>
        </is>
      </c>
      <c r="E1349" s="53" t="inlineStr">
        <is>
          <t>2024-09-08</t>
        </is>
      </c>
      <c r="F1349" s="53">
        <v>0.6</v>
      </c>
      <c r="G1349" s="53">
        <v>0</v>
      </c>
      <c r="H1349" s="51" t="str">
        <f>TEXT(tblLaborEntries[[#This Row],[Work date serial]]-WEEKDAY(tblLaborEntries[[#This Row],[Work date serial]],3),"yyyy-mm-dd")</f>
        <v>2024-09-02</v>
      </c>
      <c r="I1349" s="64">
        <f>DATEVALUE(tblLaborEntries[[#This Row],[Work date]])</f>
        <v>45543.0</v>
      </c>
    </row>
    <row r="1350" spans="1:9" ht="15" x14ac:dyDescent="0.25">
      <c r="A1350" s="53" t="inlineStr">
        <is>
          <t>LAB-001349</t>
        </is>
      </c>
      <c r="B1350" s="53" t="inlineStr">
        <is>
          <t>WP-00596</t>
        </is>
      </c>
      <c r="C1350" s="53" t="inlineStr">
        <is>
          <t>TECH-032</t>
        </is>
      </c>
      <c r="D1350" s="53" t="inlineStr">
        <is>
          <t>Avionics</t>
        </is>
      </c>
      <c r="E1350" s="53" t="inlineStr">
        <is>
          <t>2024-09-09</t>
        </is>
      </c>
      <c r="F1350" s="53">
        <v>0.9</v>
      </c>
      <c r="G1350" s="53">
        <v>0</v>
      </c>
      <c r="H1350" s="51" t="str">
        <f>TEXT(tblLaborEntries[[#This Row],[Work date serial]]-WEEKDAY(tblLaborEntries[[#This Row],[Work date serial]],3),"yyyy-mm-dd")</f>
        <v>2024-09-09</v>
      </c>
      <c r="I1350" s="64">
        <f>DATEVALUE(tblLaborEntries[[#This Row],[Work date]])</f>
        <v>45544.0</v>
      </c>
    </row>
    <row r="1351" spans="1:9" ht="15" x14ac:dyDescent="0.25">
      <c r="A1351" s="53" t="inlineStr">
        <is>
          <t>LAB-001350</t>
        </is>
      </c>
      <c r="B1351" s="53" t="inlineStr">
        <is>
          <t>WP-00596</t>
        </is>
      </c>
      <c r="C1351" s="53" t="inlineStr">
        <is>
          <t>TECH-068</t>
        </is>
      </c>
      <c r="D1351" s="53" t="inlineStr">
        <is>
          <t>Avionics</t>
        </is>
      </c>
      <c r="E1351" s="53" t="inlineStr">
        <is>
          <t>2024-09-10</t>
        </is>
      </c>
      <c r="F1351" s="53">
        <v>0.7</v>
      </c>
      <c r="G1351" s="53">
        <v>0</v>
      </c>
      <c r="H1351" s="51" t="str">
        <f>TEXT(tblLaborEntries[[#This Row],[Work date serial]]-WEEKDAY(tblLaborEntries[[#This Row],[Work date serial]],3),"yyyy-mm-dd")</f>
        <v>2024-09-09</v>
      </c>
      <c r="I1351" s="64">
        <f>DATEVALUE(tblLaborEntries[[#This Row],[Work date]])</f>
        <v>45545.0</v>
      </c>
    </row>
    <row r="1352" spans="1:9" ht="15" x14ac:dyDescent="0.25">
      <c r="A1352" s="53" t="inlineStr">
        <is>
          <t>LAB-001351</t>
        </is>
      </c>
      <c r="B1352" s="53" t="inlineStr">
        <is>
          <t>WP-00597</t>
        </is>
      </c>
      <c r="C1352" s="53" t="inlineStr">
        <is>
          <t>TECH-043</t>
        </is>
      </c>
      <c r="D1352" s="53" t="inlineStr">
        <is>
          <t>Airframe</t>
        </is>
      </c>
      <c r="E1352" s="53" t="inlineStr">
        <is>
          <t>2024-08-05</t>
        </is>
      </c>
      <c r="F1352" s="53">
        <v>3.5</v>
      </c>
      <c r="G1352" s="53">
        <v>0</v>
      </c>
      <c r="H1352" s="51" t="str">
        <f>TEXT(tblLaborEntries[[#This Row],[Work date serial]]-WEEKDAY(tblLaborEntries[[#This Row],[Work date serial]],3),"yyyy-mm-dd")</f>
        <v>2024-08-05</v>
      </c>
      <c r="I1352" s="64">
        <f>DATEVALUE(tblLaborEntries[[#This Row],[Work date]])</f>
        <v>45509.0</v>
      </c>
    </row>
    <row r="1353" spans="1:9" ht="15" x14ac:dyDescent="0.25">
      <c r="A1353" s="53" t="inlineStr">
        <is>
          <t>LAB-001352</t>
        </is>
      </c>
      <c r="B1353" s="53" t="inlineStr">
        <is>
          <t>WP-00597</t>
        </is>
      </c>
      <c r="C1353" s="53" t="inlineStr">
        <is>
          <t>TECH-067</t>
        </is>
      </c>
      <c r="D1353" s="53" t="inlineStr">
        <is>
          <t>Airframe</t>
        </is>
      </c>
      <c r="E1353" s="53" t="inlineStr">
        <is>
          <t>2024-08-06</t>
        </is>
      </c>
      <c r="F1353" s="53">
        <v>3.7</v>
      </c>
      <c r="G1353" s="53">
        <v>0</v>
      </c>
      <c r="H1353" s="51" t="str">
        <f>TEXT(tblLaborEntries[[#This Row],[Work date serial]]-WEEKDAY(tblLaborEntries[[#This Row],[Work date serial]],3),"yyyy-mm-dd")</f>
        <v>2024-08-05</v>
      </c>
      <c r="I1353" s="64">
        <f>DATEVALUE(tblLaborEntries[[#This Row],[Work date]])</f>
        <v>45510.0</v>
      </c>
    </row>
    <row r="1354" spans="1:9" ht="15" x14ac:dyDescent="0.25">
      <c r="A1354" s="53" t="inlineStr">
        <is>
          <t>LAB-001353</t>
        </is>
      </c>
      <c r="B1354" s="53" t="inlineStr">
        <is>
          <t>WP-00598</t>
        </is>
      </c>
      <c r="C1354" s="53" t="inlineStr">
        <is>
          <t>TECH-056</t>
        </is>
      </c>
      <c r="D1354" s="53" t="inlineStr">
        <is>
          <t>Avionics</t>
        </is>
      </c>
      <c r="E1354" s="53" t="inlineStr">
        <is>
          <t>2024-08-15</t>
        </is>
      </c>
      <c r="F1354" s="53">
        <v>10</v>
      </c>
      <c r="G1354" s="53">
        <v>2</v>
      </c>
      <c r="H1354" s="51" t="str">
        <f>TEXT(tblLaborEntries[[#This Row],[Work date serial]]-WEEKDAY(tblLaborEntries[[#This Row],[Work date serial]],3),"yyyy-mm-dd")</f>
        <v>2024-08-12</v>
      </c>
      <c r="I1354" s="64">
        <f>DATEVALUE(tblLaborEntries[[#This Row],[Work date]])</f>
        <v>45519.0</v>
      </c>
    </row>
    <row r="1355" spans="1:9" ht="15" x14ac:dyDescent="0.25">
      <c r="A1355" s="53" t="inlineStr">
        <is>
          <t>LAB-001354</t>
        </is>
      </c>
      <c r="B1355" s="53" t="inlineStr">
        <is>
          <t>WP-00599</t>
        </is>
      </c>
      <c r="C1355" s="53" t="inlineStr">
        <is>
          <t>TECH-007</t>
        </is>
      </c>
      <c r="D1355" s="53" t="inlineStr">
        <is>
          <t>Airframe</t>
        </is>
      </c>
      <c r="E1355" s="53" t="inlineStr">
        <is>
          <t>2025-03-09</t>
        </is>
      </c>
      <c r="F1355" s="53">
        <v>0.2</v>
      </c>
      <c r="G1355" s="53">
        <v>0</v>
      </c>
      <c r="H1355" s="51" t="str">
        <f>TEXT(tblLaborEntries[[#This Row],[Work date serial]]-WEEKDAY(tblLaborEntries[[#This Row],[Work date serial]],3),"yyyy-mm-dd")</f>
        <v>2025-03-03</v>
      </c>
      <c r="I1355" s="64">
        <f>DATEVALUE(tblLaborEntries[[#This Row],[Work date]])</f>
        <v>45725.0</v>
      </c>
    </row>
    <row r="1356" spans="1:9" ht="15" x14ac:dyDescent="0.25">
      <c r="A1356" s="53" t="inlineStr">
        <is>
          <t>LAB-001355</t>
        </is>
      </c>
      <c r="B1356" s="53" t="inlineStr">
        <is>
          <t>WP-00599</t>
        </is>
      </c>
      <c r="C1356" s="53" t="inlineStr">
        <is>
          <t>TECH-049</t>
        </is>
      </c>
      <c r="D1356" s="53" t="inlineStr">
        <is>
          <t>Airframe</t>
        </is>
      </c>
      <c r="E1356" s="53" t="inlineStr">
        <is>
          <t>2025-03-09</t>
        </is>
      </c>
      <c r="F1356" s="53">
        <v>12</v>
      </c>
      <c r="G1356" s="53">
        <v>4</v>
      </c>
      <c r="H1356" s="51" t="str">
        <f>TEXT(tblLaborEntries[[#This Row],[Work date serial]]-WEEKDAY(tblLaborEntries[[#This Row],[Work date serial]],3),"yyyy-mm-dd")</f>
        <v>2025-03-03</v>
      </c>
      <c r="I1356" s="64">
        <f>DATEVALUE(tblLaborEntries[[#This Row],[Work date]])</f>
        <v>45725.0</v>
      </c>
    </row>
    <row r="1357" spans="1:9" ht="15" x14ac:dyDescent="0.25">
      <c r="A1357" s="53" t="inlineStr">
        <is>
          <t>LAB-001356</t>
        </is>
      </c>
      <c r="B1357" s="53" t="inlineStr">
        <is>
          <t>WP-00599</t>
        </is>
      </c>
      <c r="C1357" s="53" t="inlineStr">
        <is>
          <t>TECH-037</t>
        </is>
      </c>
      <c r="D1357" s="53" t="inlineStr">
        <is>
          <t>Airframe</t>
        </is>
      </c>
      <c r="E1357" s="53" t="inlineStr">
        <is>
          <t>2025-03-10</t>
        </is>
      </c>
      <c r="F1357" s="53">
        <v>9.1</v>
      </c>
      <c r="G1357" s="53">
        <v>1.1</v>
      </c>
      <c r="H1357" s="51" t="str">
        <f>TEXT(tblLaborEntries[[#This Row],[Work date serial]]-WEEKDAY(tblLaborEntries[[#This Row],[Work date serial]],3),"yyyy-mm-dd")</f>
        <v>2025-03-10</v>
      </c>
      <c r="I1357" s="64">
        <f>DATEVALUE(tblLaborEntries[[#This Row],[Work date]])</f>
        <v>45726.0</v>
      </c>
    </row>
    <row r="1358" spans="1:9" ht="15" x14ac:dyDescent="0.25">
      <c r="A1358" s="53" t="inlineStr">
        <is>
          <t>LAB-001357</t>
        </is>
      </c>
      <c r="B1358" s="53" t="inlineStr">
        <is>
          <t>WP-00600</t>
        </is>
      </c>
      <c r="C1358" s="53" t="inlineStr">
        <is>
          <t>TECH-032</t>
        </is>
      </c>
      <c r="D1358" s="53" t="inlineStr">
        <is>
          <t>Avionics</t>
        </is>
      </c>
      <c r="E1358" s="53" t="inlineStr">
        <is>
          <t>2025-03-30</t>
        </is>
      </c>
      <c r="F1358" s="53">
        <v>2.7</v>
      </c>
      <c r="G1358" s="53">
        <v>0</v>
      </c>
      <c r="H1358" s="51" t="str">
        <f>TEXT(tblLaborEntries[[#This Row],[Work date serial]]-WEEKDAY(tblLaborEntries[[#This Row],[Work date serial]],3),"yyyy-mm-dd")</f>
        <v>2025-03-24</v>
      </c>
      <c r="I1358" s="64">
        <f>DATEVALUE(tblLaborEntries[[#This Row],[Work date]])</f>
        <v>45746.0</v>
      </c>
    </row>
    <row r="1359" spans="1:9" ht="15" x14ac:dyDescent="0.25">
      <c r="A1359" s="53" t="inlineStr">
        <is>
          <t>LAB-001358</t>
        </is>
      </c>
      <c r="B1359" s="53" t="inlineStr">
        <is>
          <t>WP-00600</t>
        </is>
      </c>
      <c r="C1359" s="53" t="inlineStr">
        <is>
          <t>TECH-008</t>
        </is>
      </c>
      <c r="D1359" s="53" t="inlineStr">
        <is>
          <t>Avionics</t>
        </is>
      </c>
      <c r="E1359" s="53" t="inlineStr">
        <is>
          <t>2025-03-31</t>
        </is>
      </c>
      <c r="F1359" s="53">
        <v>3.3</v>
      </c>
      <c r="G1359" s="53">
        <v>0</v>
      </c>
      <c r="H1359" s="51" t="str">
        <f>TEXT(tblLaborEntries[[#This Row],[Work date serial]]-WEEKDAY(tblLaborEntries[[#This Row],[Work date serial]],3),"yyyy-mm-dd")</f>
        <v>2025-03-31</v>
      </c>
      <c r="I1359" s="64">
        <f>DATEVALUE(tblLaborEntries[[#This Row],[Work date]])</f>
        <v>45747.0</v>
      </c>
    </row>
    <row r="1360" spans="1:9" ht="15" x14ac:dyDescent="0.25">
      <c r="A1360" s="53" t="inlineStr">
        <is>
          <t>LAB-001359</t>
        </is>
      </c>
      <c r="B1360" s="53" t="inlineStr">
        <is>
          <t>WP-00600</t>
        </is>
      </c>
      <c r="C1360" s="53" t="inlineStr">
        <is>
          <t>TECH-038</t>
        </is>
      </c>
      <c r="D1360" s="53" t="inlineStr">
        <is>
          <t>Avionics</t>
        </is>
      </c>
      <c r="E1360" s="53" t="inlineStr">
        <is>
          <t>2025-04-01</t>
        </is>
      </c>
      <c r="F1360" s="53">
        <v>3</v>
      </c>
      <c r="G1360" s="53">
        <v>0</v>
      </c>
      <c r="H1360" s="51" t="str">
        <f>TEXT(tblLaborEntries[[#This Row],[Work date serial]]-WEEKDAY(tblLaborEntries[[#This Row],[Work date serial]],3),"yyyy-mm-dd")</f>
        <v>2025-03-31</v>
      </c>
      <c r="I1360" s="64">
        <f>DATEVALUE(tblLaborEntries[[#This Row],[Work date]])</f>
        <v>45748.0</v>
      </c>
    </row>
    <row r="1361" spans="1:9" ht="15" x14ac:dyDescent="0.25">
      <c r="A1361" s="53" t="inlineStr">
        <is>
          <t>LAB-001360</t>
        </is>
      </c>
      <c r="B1361" s="53" t="inlineStr">
        <is>
          <t>WP-00601</t>
        </is>
      </c>
      <c r="C1361" s="53" t="inlineStr">
        <is>
          <t>TECH-002</t>
        </is>
      </c>
      <c r="D1361" s="53" t="inlineStr">
        <is>
          <t>Avionics</t>
        </is>
      </c>
      <c r="E1361" s="53" t="inlineStr">
        <is>
          <t>2024-04-21</t>
        </is>
      </c>
      <c r="F1361" s="53">
        <v>7.5</v>
      </c>
      <c r="G1361" s="53">
        <v>0</v>
      </c>
      <c r="H1361" s="51" t="str">
        <f>TEXT(tblLaborEntries[[#This Row],[Work date serial]]-WEEKDAY(tblLaborEntries[[#This Row],[Work date serial]],3),"yyyy-mm-dd")</f>
        <v>2024-04-15</v>
      </c>
      <c r="I1361" s="64">
        <f>DATEVALUE(tblLaborEntries[[#This Row],[Work date]])</f>
        <v>45403.0</v>
      </c>
    </row>
    <row r="1362" spans="1:9" ht="15" x14ac:dyDescent="0.25">
      <c r="A1362" s="53" t="inlineStr">
        <is>
          <t>LAB-001361</t>
        </is>
      </c>
      <c r="B1362" s="53" t="inlineStr">
        <is>
          <t>WP-00601</t>
        </is>
      </c>
      <c r="C1362" s="53" t="inlineStr">
        <is>
          <t>TECH-062</t>
        </is>
      </c>
      <c r="D1362" s="53" t="inlineStr">
        <is>
          <t>Avionics</t>
        </is>
      </c>
      <c r="E1362" s="53" t="inlineStr">
        <is>
          <t>2024-04-22</t>
        </is>
      </c>
      <c r="F1362" s="53">
        <v>8.1</v>
      </c>
      <c r="G1362" s="53">
        <v>4</v>
      </c>
      <c r="H1362" s="51" t="str">
        <f>TEXT(tblLaborEntries[[#This Row],[Work date serial]]-WEEKDAY(tblLaborEntries[[#This Row],[Work date serial]],3),"yyyy-mm-dd")</f>
        <v>2024-04-22</v>
      </c>
      <c r="I1362" s="64">
        <f>DATEVALUE(tblLaborEntries[[#This Row],[Work date]])</f>
        <v>45404.0</v>
      </c>
    </row>
    <row r="1363" spans="1:9" ht="15" x14ac:dyDescent="0.25">
      <c r="A1363" s="53" t="inlineStr">
        <is>
          <t>LAB-001362</t>
        </is>
      </c>
      <c r="B1363" s="53" t="inlineStr">
        <is>
          <t>WP-00601</t>
        </is>
      </c>
      <c r="C1363" s="53" t="inlineStr">
        <is>
          <t>TECH-008</t>
        </is>
      </c>
      <c r="D1363" s="53" t="inlineStr">
        <is>
          <t>Avionics</t>
        </is>
      </c>
      <c r="E1363" s="53" t="inlineStr">
        <is>
          <t>2024-04-23</t>
        </is>
      </c>
      <c r="F1363" s="53">
        <v>5.7</v>
      </c>
      <c r="G1363" s="53">
        <v>0</v>
      </c>
      <c r="H1363" s="51" t="str">
        <f>TEXT(tblLaborEntries[[#This Row],[Work date serial]]-WEEKDAY(tblLaborEntries[[#This Row],[Work date serial]],3),"yyyy-mm-dd")</f>
        <v>2024-04-22</v>
      </c>
      <c r="I1363" s="64">
        <f>DATEVALUE(tblLaborEntries[[#This Row],[Work date]])</f>
        <v>45405.0</v>
      </c>
    </row>
    <row r="1364" spans="1:9" ht="15" x14ac:dyDescent="0.25">
      <c r="A1364" s="53" t="inlineStr">
        <is>
          <t>LAB-001363</t>
        </is>
      </c>
      <c r="B1364" s="53" t="inlineStr">
        <is>
          <t>WP-00602</t>
        </is>
      </c>
      <c r="C1364" s="53" t="inlineStr">
        <is>
          <t>TECH-071</t>
        </is>
      </c>
      <c r="D1364" s="53" t="inlineStr">
        <is>
          <t>Structures</t>
        </is>
      </c>
      <c r="E1364" s="53" t="inlineStr">
        <is>
          <t>2024-12-26</t>
        </is>
      </c>
      <c r="F1364" s="53">
        <v>12</v>
      </c>
      <c r="G1364" s="53">
        <v>4</v>
      </c>
      <c r="H1364" s="51" t="str">
        <f>TEXT(tblLaborEntries[[#This Row],[Work date serial]]-WEEKDAY(tblLaborEntries[[#This Row],[Work date serial]],3),"yyyy-mm-dd")</f>
        <v>2024-12-23</v>
      </c>
      <c r="I1364" s="64">
        <f>DATEVALUE(tblLaborEntries[[#This Row],[Work date]])</f>
        <v>45652.0</v>
      </c>
    </row>
    <row r="1365" spans="1:9" ht="15" x14ac:dyDescent="0.25">
      <c r="A1365" s="53" t="inlineStr">
        <is>
          <t>LAB-001364</t>
        </is>
      </c>
      <c r="B1365" s="53" t="inlineStr">
        <is>
          <t>WP-00602</t>
        </is>
      </c>
      <c r="C1365" s="53" t="inlineStr">
        <is>
          <t>TECH-011</t>
        </is>
      </c>
      <c r="D1365" s="53" t="inlineStr">
        <is>
          <t>Structures</t>
        </is>
      </c>
      <c r="E1365" s="53" t="inlineStr">
        <is>
          <t>2024-12-27</t>
        </is>
      </c>
      <c r="F1365" s="53">
        <v>9.8</v>
      </c>
      <c r="G1365" s="53">
        <v>1.8</v>
      </c>
      <c r="H1365" s="51" t="str">
        <f>TEXT(tblLaborEntries[[#This Row],[Work date serial]]-WEEKDAY(tblLaborEntries[[#This Row],[Work date serial]],3),"yyyy-mm-dd")</f>
        <v>2024-12-23</v>
      </c>
      <c r="I1365" s="64">
        <f>DATEVALUE(tblLaborEntries[[#This Row],[Work date]])</f>
        <v>45653.0</v>
      </c>
    </row>
    <row r="1366" spans="1:9" ht="15" x14ac:dyDescent="0.25">
      <c r="A1366" s="53" t="inlineStr">
        <is>
          <t>LAB-001365</t>
        </is>
      </c>
      <c r="B1366" s="53" t="inlineStr">
        <is>
          <t>WP-00602</t>
        </is>
      </c>
      <c r="C1366" s="53" t="inlineStr">
        <is>
          <t>TECH-047</t>
        </is>
      </c>
      <c r="D1366" s="53" t="inlineStr">
        <is>
          <t>Structures</t>
        </is>
      </c>
      <c r="E1366" s="53" t="inlineStr">
        <is>
          <t>2024-12-28</t>
        </is>
      </c>
      <c r="F1366" s="53">
        <v>9.5</v>
      </c>
      <c r="G1366" s="53">
        <v>1.5</v>
      </c>
      <c r="H1366" s="51" t="str">
        <f>TEXT(tblLaborEntries[[#This Row],[Work date serial]]-WEEKDAY(tblLaborEntries[[#This Row],[Work date serial]],3),"yyyy-mm-dd")</f>
        <v>2024-12-23</v>
      </c>
      <c r="I1366" s="64">
        <f>DATEVALUE(tblLaborEntries[[#This Row],[Work date]])</f>
        <v>45654.0</v>
      </c>
    </row>
    <row r="1367" spans="1:9" ht="15" x14ac:dyDescent="0.25">
      <c r="A1367" s="53" t="inlineStr">
        <is>
          <t>LAB-001366</t>
        </is>
      </c>
      <c r="B1367" s="53" t="inlineStr">
        <is>
          <t>WP-00603</t>
        </is>
      </c>
      <c r="C1367" s="53" t="inlineStr">
        <is>
          <t>TECH-045</t>
        </is>
      </c>
      <c r="D1367" s="53" t="inlineStr">
        <is>
          <t>Hydraulics</t>
        </is>
      </c>
      <c r="E1367" s="53" t="inlineStr">
        <is>
          <t>2025-06-25</t>
        </is>
      </c>
      <c r="F1367" s="53">
        <v>7.3</v>
      </c>
      <c r="G1367" s="53">
        <v>0</v>
      </c>
      <c r="H1367" s="51" t="str">
        <f>TEXT(tblLaborEntries[[#This Row],[Work date serial]]-WEEKDAY(tblLaborEntries[[#This Row],[Work date serial]],3),"yyyy-mm-dd")</f>
        <v>2025-06-23</v>
      </c>
      <c r="I1367" s="64">
        <f>DATEVALUE(tblLaborEntries[[#This Row],[Work date]])</f>
        <v>45833.0</v>
      </c>
    </row>
    <row r="1368" spans="1:9" ht="15" x14ac:dyDescent="0.25">
      <c r="A1368" s="53" t="inlineStr">
        <is>
          <t>LAB-001367</t>
        </is>
      </c>
      <c r="B1368" s="53" t="inlineStr">
        <is>
          <t>WP-00603</t>
        </is>
      </c>
      <c r="C1368" s="53" t="inlineStr">
        <is>
          <t>TECH-075</t>
        </is>
      </c>
      <c r="D1368" s="53" t="inlineStr">
        <is>
          <t>Hydraulics</t>
        </is>
      </c>
      <c r="E1368" s="53" t="inlineStr">
        <is>
          <t>2025-06-26</t>
        </is>
      </c>
      <c r="F1368" s="53">
        <v>7.1</v>
      </c>
      <c r="G1368" s="53">
        <v>0</v>
      </c>
      <c r="H1368" s="51" t="str">
        <f>TEXT(tblLaborEntries[[#This Row],[Work date serial]]-WEEKDAY(tblLaborEntries[[#This Row],[Work date serial]],3),"yyyy-mm-dd")</f>
        <v>2025-06-23</v>
      </c>
      <c r="I1368" s="64">
        <f>DATEVALUE(tblLaborEntries[[#This Row],[Work date]])</f>
        <v>45834.0</v>
      </c>
    </row>
    <row r="1369" spans="1:9" ht="15" x14ac:dyDescent="0.25">
      <c r="A1369" s="53" t="inlineStr">
        <is>
          <t>LAB-001368</t>
        </is>
      </c>
      <c r="B1369" s="53" t="inlineStr">
        <is>
          <t>WP-00604</t>
        </is>
      </c>
      <c r="C1369" s="53" t="inlineStr">
        <is>
          <t>TECH-056</t>
        </is>
      </c>
      <c r="D1369" s="53" t="inlineStr">
        <is>
          <t>Avionics</t>
        </is>
      </c>
      <c r="E1369" s="53" t="inlineStr">
        <is>
          <t>2024-11-28</t>
        </is>
      </c>
      <c r="F1369" s="53">
        <v>2.9</v>
      </c>
      <c r="G1369" s="53">
        <v>0</v>
      </c>
      <c r="H1369" s="51" t="str">
        <f>TEXT(tblLaborEntries[[#This Row],[Work date serial]]-WEEKDAY(tblLaborEntries[[#This Row],[Work date serial]],3),"yyyy-mm-dd")</f>
        <v>2024-11-25</v>
      </c>
      <c r="I1369" s="64">
        <f>DATEVALUE(tblLaborEntries[[#This Row],[Work date]])</f>
        <v>45624.0</v>
      </c>
    </row>
    <row r="1370" spans="1:9" ht="15" x14ac:dyDescent="0.25">
      <c r="A1370" s="53" t="inlineStr">
        <is>
          <t>LAB-001369</t>
        </is>
      </c>
      <c r="B1370" s="53" t="inlineStr">
        <is>
          <t>WP-00604</t>
        </is>
      </c>
      <c r="C1370" s="53" t="inlineStr">
        <is>
          <t>TECH-050</t>
        </is>
      </c>
      <c r="D1370" s="53" t="inlineStr">
        <is>
          <t>Avionics</t>
        </is>
      </c>
      <c r="E1370" s="53" t="inlineStr">
        <is>
          <t>2024-11-29</t>
        </is>
      </c>
      <c r="F1370" s="53">
        <v>2.4</v>
      </c>
      <c r="G1370" s="53">
        <v>0</v>
      </c>
      <c r="H1370" s="51" t="str">
        <f>TEXT(tblLaborEntries[[#This Row],[Work date serial]]-WEEKDAY(tblLaborEntries[[#This Row],[Work date serial]],3),"yyyy-mm-dd")</f>
        <v>2024-11-25</v>
      </c>
      <c r="I1370" s="64">
        <f>DATEVALUE(tblLaborEntries[[#This Row],[Work date]])</f>
        <v>45625.0</v>
      </c>
    </row>
    <row r="1371" spans="1:9" ht="15" x14ac:dyDescent="0.25">
      <c r="A1371" s="53" t="inlineStr">
        <is>
          <t>LAB-001370</t>
        </is>
      </c>
      <c r="B1371" s="53" t="inlineStr">
        <is>
          <t>WP-00605</t>
        </is>
      </c>
      <c r="C1371" s="53" t="inlineStr">
        <is>
          <t>TECH-032</t>
        </is>
      </c>
      <c r="D1371" s="53" t="inlineStr">
        <is>
          <t>Avionics</t>
        </is>
      </c>
      <c r="E1371" s="53" t="inlineStr">
        <is>
          <t>2025-03-15</t>
        </is>
      </c>
      <c r="F1371" s="53">
        <v>2.8</v>
      </c>
      <c r="G1371" s="53">
        <v>0</v>
      </c>
      <c r="H1371" s="51" t="str">
        <f>TEXT(tblLaborEntries[[#This Row],[Work date serial]]-WEEKDAY(tblLaborEntries[[#This Row],[Work date serial]],3),"yyyy-mm-dd")</f>
        <v>2025-03-10</v>
      </c>
      <c r="I1371" s="64">
        <f>DATEVALUE(tblLaborEntries[[#This Row],[Work date]])</f>
        <v>45731.0</v>
      </c>
    </row>
    <row r="1372" spans="1:9" ht="15" x14ac:dyDescent="0.25">
      <c r="A1372" s="53" t="inlineStr">
        <is>
          <t>LAB-001371</t>
        </is>
      </c>
      <c r="B1372" s="53" t="inlineStr">
        <is>
          <t>WP-00605</t>
        </is>
      </c>
      <c r="C1372" s="53" t="inlineStr">
        <is>
          <t>TECH-020</t>
        </is>
      </c>
      <c r="D1372" s="53" t="inlineStr">
        <is>
          <t>Avionics</t>
        </is>
      </c>
      <c r="E1372" s="53" t="inlineStr">
        <is>
          <t>2025-03-16</t>
        </is>
      </c>
      <c r="F1372" s="53">
        <v>2.5</v>
      </c>
      <c r="G1372" s="53">
        <v>0</v>
      </c>
      <c r="H1372" s="51" t="str">
        <f>TEXT(tblLaborEntries[[#This Row],[Work date serial]]-WEEKDAY(tblLaborEntries[[#This Row],[Work date serial]],3),"yyyy-mm-dd")</f>
        <v>2025-03-10</v>
      </c>
      <c r="I1372" s="64">
        <f>DATEVALUE(tblLaborEntries[[#This Row],[Work date]])</f>
        <v>45732.0</v>
      </c>
    </row>
    <row r="1373" spans="1:9" ht="15" x14ac:dyDescent="0.25">
      <c r="A1373" s="53" t="inlineStr">
        <is>
          <t>LAB-001372</t>
        </is>
      </c>
      <c r="B1373" s="53" t="inlineStr">
        <is>
          <t>WP-00605</t>
        </is>
      </c>
      <c r="C1373" s="53" t="inlineStr">
        <is>
          <t>TECH-002</t>
        </is>
      </c>
      <c r="D1373" s="53" t="inlineStr">
        <is>
          <t>Avionics</t>
        </is>
      </c>
      <c r="E1373" s="53" t="inlineStr">
        <is>
          <t>2025-03-17</t>
        </is>
      </c>
      <c r="F1373" s="53">
        <v>2.1</v>
      </c>
      <c r="G1373" s="53">
        <v>0</v>
      </c>
      <c r="H1373" s="51" t="str">
        <f>TEXT(tblLaborEntries[[#This Row],[Work date serial]]-WEEKDAY(tblLaborEntries[[#This Row],[Work date serial]],3),"yyyy-mm-dd")</f>
        <v>2025-03-17</v>
      </c>
      <c r="I1373" s="64">
        <f>DATEVALUE(tblLaborEntries[[#This Row],[Work date]])</f>
        <v>45733.0</v>
      </c>
    </row>
    <row r="1374" spans="1:9" ht="15" x14ac:dyDescent="0.25">
      <c r="A1374" s="53" t="inlineStr">
        <is>
          <t>LAB-001373</t>
        </is>
      </c>
      <c r="B1374" s="53" t="inlineStr">
        <is>
          <t>WP-00606</t>
        </is>
      </c>
      <c r="C1374" s="53" t="inlineStr">
        <is>
          <t>TECH-050</t>
        </is>
      </c>
      <c r="D1374" s="53" t="inlineStr">
        <is>
          <t>Avionics</t>
        </is>
      </c>
      <c r="E1374" s="53" t="inlineStr">
        <is>
          <t>2024-07-12</t>
        </is>
      </c>
      <c r="F1374" s="53">
        <v>3</v>
      </c>
      <c r="G1374" s="53">
        <v>0</v>
      </c>
      <c r="H1374" s="51" t="str">
        <f>TEXT(tblLaborEntries[[#This Row],[Work date serial]]-WEEKDAY(tblLaborEntries[[#This Row],[Work date serial]],3),"yyyy-mm-dd")</f>
        <v>2024-07-08</v>
      </c>
      <c r="I1374" s="64">
        <f>DATEVALUE(tblLaborEntries[[#This Row],[Work date]])</f>
        <v>45485.0</v>
      </c>
    </row>
    <row r="1375" spans="1:9" ht="15" x14ac:dyDescent="0.25">
      <c r="A1375" s="53" t="inlineStr">
        <is>
          <t>LAB-001374</t>
        </is>
      </c>
      <c r="B1375" s="53" t="inlineStr">
        <is>
          <t>WP-00606</t>
        </is>
      </c>
      <c r="C1375" s="53" t="inlineStr">
        <is>
          <t>TECH-038</t>
        </is>
      </c>
      <c r="D1375" s="53" t="inlineStr">
        <is>
          <t>Avionics</t>
        </is>
      </c>
      <c r="E1375" s="53" t="inlineStr">
        <is>
          <t>2024-07-13</t>
        </is>
      </c>
      <c r="F1375" s="53">
        <v>4.5</v>
      </c>
      <c r="G1375" s="53">
        <v>0</v>
      </c>
      <c r="H1375" s="51" t="str">
        <f>TEXT(tblLaborEntries[[#This Row],[Work date serial]]-WEEKDAY(tblLaborEntries[[#This Row],[Work date serial]],3),"yyyy-mm-dd")</f>
        <v>2024-07-08</v>
      </c>
      <c r="I1375" s="64">
        <f>DATEVALUE(tblLaborEntries[[#This Row],[Work date]])</f>
        <v>45486.0</v>
      </c>
    </row>
    <row r="1376" spans="1:9" ht="15" x14ac:dyDescent="0.25">
      <c r="A1376" s="53" t="inlineStr">
        <is>
          <t>LAB-001375</t>
        </is>
      </c>
      <c r="B1376" s="53" t="inlineStr">
        <is>
          <t>WP-00607</t>
        </is>
      </c>
      <c r="C1376" s="53" t="inlineStr">
        <is>
          <t>TECH-045</t>
        </is>
      </c>
      <c r="D1376" s="53" t="inlineStr">
        <is>
          <t>Hydraulics</t>
        </is>
      </c>
      <c r="E1376" s="53" t="inlineStr">
        <is>
          <t>2025-01-26</t>
        </is>
      </c>
      <c r="F1376" s="53">
        <v>8.1</v>
      </c>
      <c r="G1376" s="53">
        <v>0.1</v>
      </c>
      <c r="H1376" s="51" t="str">
        <f>TEXT(tblLaborEntries[[#This Row],[Work date serial]]-WEEKDAY(tblLaborEntries[[#This Row],[Work date serial]],3),"yyyy-mm-dd")</f>
        <v>2025-01-20</v>
      </c>
      <c r="I1376" s="64">
        <f>DATEVALUE(tblLaborEntries[[#This Row],[Work date]])</f>
        <v>45683.0</v>
      </c>
    </row>
    <row r="1377" spans="1:9" ht="15" x14ac:dyDescent="0.25">
      <c r="A1377" s="53" t="inlineStr">
        <is>
          <t>LAB-001376</t>
        </is>
      </c>
      <c r="B1377" s="53" t="inlineStr">
        <is>
          <t>WP-00607</t>
        </is>
      </c>
      <c r="C1377" s="53" t="inlineStr">
        <is>
          <t>TECH-051</t>
        </is>
      </c>
      <c r="D1377" s="53" t="inlineStr">
        <is>
          <t>Hydraulics</t>
        </is>
      </c>
      <c r="E1377" s="53" t="inlineStr">
        <is>
          <t>2025-01-27</t>
        </is>
      </c>
      <c r="F1377" s="53">
        <v>9.1</v>
      </c>
      <c r="G1377" s="53">
        <v>1.1</v>
      </c>
      <c r="H1377" s="51" t="str">
        <f>TEXT(tblLaborEntries[[#This Row],[Work date serial]]-WEEKDAY(tblLaborEntries[[#This Row],[Work date serial]],3),"yyyy-mm-dd")</f>
        <v>2025-01-27</v>
      </c>
      <c r="I1377" s="64">
        <f>DATEVALUE(tblLaborEntries[[#This Row],[Work date]])</f>
        <v>45684.0</v>
      </c>
    </row>
    <row r="1378" spans="1:9" ht="15" x14ac:dyDescent="0.25">
      <c r="A1378" s="53" t="inlineStr">
        <is>
          <t>LAB-001377</t>
        </is>
      </c>
      <c r="B1378" s="53" t="inlineStr">
        <is>
          <t>WP-00607</t>
        </is>
      </c>
      <c r="C1378" s="53" t="inlineStr">
        <is>
          <t>TECH-069</t>
        </is>
      </c>
      <c r="D1378" s="53" t="inlineStr">
        <is>
          <t>Hydraulics</t>
        </is>
      </c>
      <c r="E1378" s="53" t="inlineStr">
        <is>
          <t>2025-01-28</t>
        </is>
      </c>
      <c r="F1378" s="53">
        <v>9.2</v>
      </c>
      <c r="G1378" s="53">
        <v>1.2</v>
      </c>
      <c r="H1378" s="51" t="str">
        <f>TEXT(tblLaborEntries[[#This Row],[Work date serial]]-WEEKDAY(tblLaborEntries[[#This Row],[Work date serial]],3),"yyyy-mm-dd")</f>
        <v>2025-01-27</v>
      </c>
      <c r="I1378" s="64">
        <f>DATEVALUE(tblLaborEntries[[#This Row],[Work date]])</f>
        <v>45685.0</v>
      </c>
    </row>
    <row r="1379" spans="1:9" ht="15" x14ac:dyDescent="0.25">
      <c r="A1379" s="53" t="inlineStr">
        <is>
          <t>LAB-001378</t>
        </is>
      </c>
      <c r="B1379" s="53" t="inlineStr">
        <is>
          <t>WP-00608</t>
        </is>
      </c>
      <c r="C1379" s="53" t="inlineStr">
        <is>
          <t>TECH-050</t>
        </is>
      </c>
      <c r="D1379" s="53" t="inlineStr">
        <is>
          <t>Avionics</t>
        </is>
      </c>
      <c r="E1379" s="53" t="inlineStr">
        <is>
          <t>2024-02-26</t>
        </is>
      </c>
      <c r="F1379" s="53">
        <v>5.7</v>
      </c>
      <c r="G1379" s="53">
        <v>0</v>
      </c>
      <c r="H1379" s="51" t="str">
        <f>TEXT(tblLaborEntries[[#This Row],[Work date serial]]-WEEKDAY(tblLaborEntries[[#This Row],[Work date serial]],3),"yyyy-mm-dd")</f>
        <v>2024-02-26</v>
      </c>
      <c r="I1379" s="64">
        <f>DATEVALUE(tblLaborEntries[[#This Row],[Work date]])</f>
        <v>45348.0</v>
      </c>
    </row>
    <row r="1380" spans="1:9" ht="15" x14ac:dyDescent="0.25">
      <c r="A1380" s="53" t="inlineStr">
        <is>
          <t>LAB-001379</t>
        </is>
      </c>
      <c r="B1380" s="53" t="inlineStr">
        <is>
          <t>WP-00609</t>
        </is>
      </c>
      <c r="C1380" s="53" t="inlineStr">
        <is>
          <t>TECH-062</t>
        </is>
      </c>
      <c r="D1380" s="53" t="inlineStr">
        <is>
          <t>Avionics</t>
        </is>
      </c>
      <c r="E1380" s="53" t="inlineStr">
        <is>
          <t>2025-06-17</t>
        </is>
      </c>
      <c r="F1380" s="53">
        <v>2.4</v>
      </c>
      <c r="G1380" s="53">
        <v>0</v>
      </c>
      <c r="H1380" s="51" t="str">
        <f>TEXT(tblLaborEntries[[#This Row],[Work date serial]]-WEEKDAY(tblLaborEntries[[#This Row],[Work date serial]],3),"yyyy-mm-dd")</f>
        <v>2025-06-16</v>
      </c>
      <c r="I1380" s="64">
        <f>DATEVALUE(tblLaborEntries[[#This Row],[Work date]])</f>
        <v>45825.0</v>
      </c>
    </row>
    <row r="1381" spans="1:9" ht="15" x14ac:dyDescent="0.25">
      <c r="A1381" s="53" t="inlineStr">
        <is>
          <t>LAB-001380</t>
        </is>
      </c>
      <c r="B1381" s="53" t="inlineStr">
        <is>
          <t>WP-00609</t>
        </is>
      </c>
      <c r="C1381" s="53" t="inlineStr">
        <is>
          <t>TECH-044</t>
        </is>
      </c>
      <c r="D1381" s="53" t="inlineStr">
        <is>
          <t>Avionics</t>
        </is>
      </c>
      <c r="E1381" s="53" t="inlineStr">
        <is>
          <t>2025-06-18</t>
        </is>
      </c>
      <c r="F1381" s="53">
        <v>3.8</v>
      </c>
      <c r="G1381" s="53">
        <v>0</v>
      </c>
      <c r="H1381" s="51" t="str">
        <f>TEXT(tblLaborEntries[[#This Row],[Work date serial]]-WEEKDAY(tblLaborEntries[[#This Row],[Work date serial]],3),"yyyy-mm-dd")</f>
        <v>2025-06-16</v>
      </c>
      <c r="I1381" s="64">
        <f>DATEVALUE(tblLaborEntries[[#This Row],[Work date]])</f>
        <v>45826.0</v>
      </c>
    </row>
    <row r="1382" spans="1:9" ht="15" x14ac:dyDescent="0.25">
      <c r="A1382" s="53" t="inlineStr">
        <is>
          <t>LAB-001381</t>
        </is>
      </c>
      <c r="B1382" s="53" t="inlineStr">
        <is>
          <t>WP-00609</t>
        </is>
      </c>
      <c r="C1382" s="53" t="inlineStr">
        <is>
          <t>TECH-020</t>
        </is>
      </c>
      <c r="D1382" s="53" t="inlineStr">
        <is>
          <t>Avionics</t>
        </is>
      </c>
      <c r="E1382" s="53" t="inlineStr">
        <is>
          <t>2025-06-19</t>
        </is>
      </c>
      <c r="F1382" s="53">
        <v>2.8</v>
      </c>
      <c r="G1382" s="53">
        <v>0</v>
      </c>
      <c r="H1382" s="51" t="str">
        <f>TEXT(tblLaborEntries[[#This Row],[Work date serial]]-WEEKDAY(tblLaborEntries[[#This Row],[Work date serial]],3),"yyyy-mm-dd")</f>
        <v>2025-06-16</v>
      </c>
      <c r="I1382" s="64">
        <f>DATEVALUE(tblLaborEntries[[#This Row],[Work date]])</f>
        <v>45827.0</v>
      </c>
    </row>
    <row r="1383" spans="1:9" ht="15" x14ac:dyDescent="0.25">
      <c r="A1383" s="53" t="inlineStr">
        <is>
          <t>LAB-001382</t>
        </is>
      </c>
      <c r="B1383" s="53" t="inlineStr">
        <is>
          <t>WP-00610</t>
        </is>
      </c>
      <c r="C1383" s="53" t="inlineStr">
        <is>
          <t>TECH-040</t>
        </is>
      </c>
      <c r="D1383" s="53" t="inlineStr">
        <is>
          <t>Electrical</t>
        </is>
      </c>
      <c r="E1383" s="53" t="inlineStr">
        <is>
          <t>2025-12-30</t>
        </is>
      </c>
      <c r="F1383" s="53">
        <v>6.2</v>
      </c>
      <c r="G1383" s="53">
        <v>0</v>
      </c>
      <c r="H1383" s="51" t="str">
        <f>TEXT(tblLaborEntries[[#This Row],[Work date serial]]-WEEKDAY(tblLaborEntries[[#This Row],[Work date serial]],3),"yyyy-mm-dd")</f>
        <v>2025-12-29</v>
      </c>
      <c r="I1383" s="64">
        <f>DATEVALUE(tblLaborEntries[[#This Row],[Work date]])</f>
        <v>46021.0</v>
      </c>
    </row>
    <row r="1384" spans="1:9" ht="15" x14ac:dyDescent="0.25">
      <c r="A1384" s="53" t="inlineStr">
        <is>
          <t>LAB-001383</t>
        </is>
      </c>
      <c r="B1384" s="53" t="inlineStr">
        <is>
          <t>WP-00610</t>
        </is>
      </c>
      <c r="C1384" s="53" t="inlineStr">
        <is>
          <t>TECH-028</t>
        </is>
      </c>
      <c r="D1384" s="53" t="inlineStr">
        <is>
          <t>Electrical</t>
        </is>
      </c>
      <c r="E1384" s="53" t="inlineStr">
        <is>
          <t>2025-12-31</t>
        </is>
      </c>
      <c r="F1384" s="53">
        <v>7</v>
      </c>
      <c r="G1384" s="53">
        <v>0</v>
      </c>
      <c r="H1384" s="51" t="str">
        <f>TEXT(tblLaborEntries[[#This Row],[Work date serial]]-WEEKDAY(tblLaborEntries[[#This Row],[Work date serial]],3),"yyyy-mm-dd")</f>
        <v>2025-12-29</v>
      </c>
      <c r="I1384" s="64">
        <f>DATEVALUE(tblLaborEntries[[#This Row],[Work date]])</f>
        <v>46022.0</v>
      </c>
    </row>
    <row r="1385" spans="1:9" ht="15" x14ac:dyDescent="0.25">
      <c r="A1385" s="53" t="inlineStr">
        <is>
          <t>LAB-001384</t>
        </is>
      </c>
      <c r="B1385" s="53" t="inlineStr">
        <is>
          <t>WP-00611</t>
        </is>
      </c>
      <c r="C1385" s="53" t="inlineStr">
        <is>
          <t>TECH-017</t>
        </is>
      </c>
      <c r="D1385" s="53" t="inlineStr">
        <is>
          <t>Structures</t>
        </is>
      </c>
      <c r="E1385" s="53" t="inlineStr">
        <is>
          <t>2025-08-21</t>
        </is>
      </c>
      <c r="F1385" s="53">
        <v>5</v>
      </c>
      <c r="G1385" s="53">
        <v>0</v>
      </c>
      <c r="H1385" s="51" t="str">
        <f>TEXT(tblLaborEntries[[#This Row],[Work date serial]]-WEEKDAY(tblLaborEntries[[#This Row],[Work date serial]],3),"yyyy-mm-dd")</f>
        <v>2025-08-18</v>
      </c>
      <c r="I1385" s="64">
        <f>DATEVALUE(tblLaborEntries[[#This Row],[Work date]])</f>
        <v>45890.0</v>
      </c>
    </row>
    <row r="1386" spans="1:9" ht="15" x14ac:dyDescent="0.25">
      <c r="A1386" s="53" t="inlineStr">
        <is>
          <t>LAB-001385</t>
        </is>
      </c>
      <c r="B1386" s="53" t="inlineStr">
        <is>
          <t>WP-00611</t>
        </is>
      </c>
      <c r="C1386" s="53" t="inlineStr">
        <is>
          <t>TECH-029</t>
        </is>
      </c>
      <c r="D1386" s="53" t="inlineStr">
        <is>
          <t>Structures</t>
        </is>
      </c>
      <c r="E1386" s="53" t="inlineStr">
        <is>
          <t>2025-08-22</t>
        </is>
      </c>
      <c r="F1386" s="53">
        <v>4.7</v>
      </c>
      <c r="G1386" s="53">
        <v>0</v>
      </c>
      <c r="H1386" s="51" t="str">
        <f>TEXT(tblLaborEntries[[#This Row],[Work date serial]]-WEEKDAY(tblLaborEntries[[#This Row],[Work date serial]],3),"yyyy-mm-dd")</f>
        <v>2025-08-18</v>
      </c>
      <c r="I1386" s="64">
        <f>DATEVALUE(tblLaborEntries[[#This Row],[Work date]])</f>
        <v>45891.0</v>
      </c>
    </row>
    <row r="1387" spans="1:9" ht="15" x14ac:dyDescent="0.25">
      <c r="A1387" s="53" t="inlineStr">
        <is>
          <t>LAB-001386</t>
        </is>
      </c>
      <c r="B1387" s="53" t="inlineStr">
        <is>
          <t>WP-00611</t>
        </is>
      </c>
      <c r="C1387" s="53" t="inlineStr">
        <is>
          <t>TECH-059</t>
        </is>
      </c>
      <c r="D1387" s="53" t="inlineStr">
        <is>
          <t>Structures</t>
        </is>
      </c>
      <c r="E1387" s="53" t="inlineStr">
        <is>
          <t>2025-08-23</t>
        </is>
      </c>
      <c r="F1387" s="53">
        <v>3.4</v>
      </c>
      <c r="G1387" s="53">
        <v>0</v>
      </c>
      <c r="H1387" s="51" t="str">
        <f>TEXT(tblLaborEntries[[#This Row],[Work date serial]]-WEEKDAY(tblLaborEntries[[#This Row],[Work date serial]],3),"yyyy-mm-dd")</f>
        <v>2025-08-18</v>
      </c>
      <c r="I1387" s="64">
        <f>DATEVALUE(tblLaborEntries[[#This Row],[Work date]])</f>
        <v>45892.0</v>
      </c>
    </row>
    <row r="1388" spans="1:9" ht="15" x14ac:dyDescent="0.25">
      <c r="A1388" s="53" t="inlineStr">
        <is>
          <t>LAB-001387</t>
        </is>
      </c>
      <c r="B1388" s="53" t="inlineStr">
        <is>
          <t>WP-00612</t>
        </is>
      </c>
      <c r="C1388" s="53" t="inlineStr">
        <is>
          <t>TECH-032</t>
        </is>
      </c>
      <c r="D1388" s="53" t="inlineStr">
        <is>
          <t>Avionics</t>
        </is>
      </c>
      <c r="E1388" s="53" t="inlineStr">
        <is>
          <t>2025-01-13</t>
        </is>
      </c>
      <c r="F1388" s="53">
        <v>5.5</v>
      </c>
      <c r="G1388" s="53">
        <v>0</v>
      </c>
      <c r="H1388" s="51" t="str">
        <f>TEXT(tblLaborEntries[[#This Row],[Work date serial]]-WEEKDAY(tblLaborEntries[[#This Row],[Work date serial]],3),"yyyy-mm-dd")</f>
        <v>2025-01-13</v>
      </c>
      <c r="I1388" s="64">
        <f>DATEVALUE(tblLaborEntries[[#This Row],[Work date]])</f>
        <v>45670.0</v>
      </c>
    </row>
    <row r="1389" spans="1:9" ht="15" x14ac:dyDescent="0.25">
      <c r="A1389" s="53" t="inlineStr">
        <is>
          <t>LAB-001388</t>
        </is>
      </c>
      <c r="B1389" s="53" t="inlineStr">
        <is>
          <t>WP-00612</t>
        </is>
      </c>
      <c r="C1389" s="53" t="inlineStr">
        <is>
          <t>TECH-020</t>
        </is>
      </c>
      <c r="D1389" s="53" t="inlineStr">
        <is>
          <t>Avionics</t>
        </is>
      </c>
      <c r="E1389" s="53" t="inlineStr">
        <is>
          <t>2025-01-14</t>
        </is>
      </c>
      <c r="F1389" s="53">
        <v>4.6</v>
      </c>
      <c r="G1389" s="53">
        <v>0</v>
      </c>
      <c r="H1389" s="51" t="str">
        <f>TEXT(tblLaborEntries[[#This Row],[Work date serial]]-WEEKDAY(tblLaborEntries[[#This Row],[Work date serial]],3),"yyyy-mm-dd")</f>
        <v>2025-01-13</v>
      </c>
      <c r="I1389" s="64">
        <f>DATEVALUE(tblLaborEntries[[#This Row],[Work date]])</f>
        <v>45671.0</v>
      </c>
    </row>
    <row r="1390" spans="1:9" ht="15" x14ac:dyDescent="0.25">
      <c r="A1390" s="53" t="inlineStr">
        <is>
          <t>LAB-001389</t>
        </is>
      </c>
      <c r="B1390" s="53" t="inlineStr">
        <is>
          <t>WP-00613</t>
        </is>
      </c>
      <c r="C1390" s="53" t="inlineStr">
        <is>
          <t>TECH-066</t>
        </is>
      </c>
      <c r="D1390" s="53" t="inlineStr">
        <is>
          <t>Powerplant</t>
        </is>
      </c>
      <c r="E1390" s="53" t="inlineStr">
        <is>
          <t>2024-04-30</t>
        </is>
      </c>
      <c r="F1390" s="53">
        <v>5.4</v>
      </c>
      <c r="G1390" s="53">
        <v>0</v>
      </c>
      <c r="H1390" s="51" t="str">
        <f>TEXT(tblLaborEntries[[#This Row],[Work date serial]]-WEEKDAY(tblLaborEntries[[#This Row],[Work date serial]],3),"yyyy-mm-dd")</f>
        <v>2024-04-29</v>
      </c>
      <c r="I1390" s="64">
        <f>DATEVALUE(tblLaborEntries[[#This Row],[Work date]])</f>
        <v>45412.0</v>
      </c>
    </row>
    <row r="1391" spans="1:9" ht="15" x14ac:dyDescent="0.25">
      <c r="A1391" s="53" t="inlineStr">
        <is>
          <t>LAB-001390</t>
        </is>
      </c>
      <c r="B1391" s="53" t="inlineStr">
        <is>
          <t>WP-00613</t>
        </is>
      </c>
      <c r="C1391" s="53" t="inlineStr">
        <is>
          <t>TECH-018</t>
        </is>
      </c>
      <c r="D1391" s="53" t="inlineStr">
        <is>
          <t>Powerplant</t>
        </is>
      </c>
      <c r="E1391" s="53" t="inlineStr">
        <is>
          <t>2024-05-01</t>
        </is>
      </c>
      <c r="F1391" s="53">
        <v>5.7</v>
      </c>
      <c r="G1391" s="53">
        <v>0</v>
      </c>
      <c r="H1391" s="51" t="str">
        <f>TEXT(tblLaborEntries[[#This Row],[Work date serial]]-WEEKDAY(tblLaborEntries[[#This Row],[Work date serial]],3),"yyyy-mm-dd")</f>
        <v>2024-04-29</v>
      </c>
      <c r="I1391" s="64">
        <f>DATEVALUE(tblLaborEntries[[#This Row],[Work date]])</f>
        <v>45413.0</v>
      </c>
    </row>
    <row r="1392" spans="1:9" ht="15" x14ac:dyDescent="0.25">
      <c r="A1392" s="53" t="inlineStr">
        <is>
          <t>LAB-001391</t>
        </is>
      </c>
      <c r="B1392" s="53" t="inlineStr">
        <is>
          <t>WP-00614</t>
        </is>
      </c>
      <c r="C1392" s="53" t="inlineStr">
        <is>
          <t>TECH-022</t>
        </is>
      </c>
      <c r="D1392" s="53" t="inlineStr">
        <is>
          <t>Electrical</t>
        </is>
      </c>
      <c r="E1392" s="53" t="inlineStr">
        <is>
          <t>2024-06-26</t>
        </is>
      </c>
      <c r="F1392" s="53">
        <v>5.4</v>
      </c>
      <c r="G1392" s="53">
        <v>0</v>
      </c>
      <c r="H1392" s="51" t="str">
        <f>TEXT(tblLaborEntries[[#This Row],[Work date serial]]-WEEKDAY(tblLaborEntries[[#This Row],[Work date serial]],3),"yyyy-mm-dd")</f>
        <v>2024-06-24</v>
      </c>
      <c r="I1392" s="64">
        <f>DATEVALUE(tblLaborEntries[[#This Row],[Work date]])</f>
        <v>45469.0</v>
      </c>
    </row>
    <row r="1393" spans="1:9" ht="15" x14ac:dyDescent="0.25">
      <c r="A1393" s="53" t="inlineStr">
        <is>
          <t>LAB-001392</t>
        </is>
      </c>
      <c r="B1393" s="53" t="inlineStr">
        <is>
          <t>WP-00614</t>
        </is>
      </c>
      <c r="C1393" s="53" t="inlineStr">
        <is>
          <t>TECH-064</t>
        </is>
      </c>
      <c r="D1393" s="53" t="inlineStr">
        <is>
          <t>Electrical</t>
        </is>
      </c>
      <c r="E1393" s="53" t="inlineStr">
        <is>
          <t>2024-06-26</t>
        </is>
      </c>
      <c r="F1393" s="53">
        <v>12</v>
      </c>
      <c r="G1393" s="53">
        <v>4</v>
      </c>
      <c r="H1393" s="51" t="str">
        <f>TEXT(tblLaborEntries[[#This Row],[Work date serial]]-WEEKDAY(tblLaborEntries[[#This Row],[Work date serial]],3),"yyyy-mm-dd")</f>
        <v>2024-06-24</v>
      </c>
      <c r="I1393" s="64">
        <f>DATEVALUE(tblLaborEntries[[#This Row],[Work date]])</f>
        <v>45469.0</v>
      </c>
    </row>
    <row r="1394" spans="1:9" ht="15" x14ac:dyDescent="0.25">
      <c r="A1394" s="53" t="inlineStr">
        <is>
          <t>LAB-001393</t>
        </is>
      </c>
      <c r="B1394" s="53" t="inlineStr">
        <is>
          <t>WP-00615</t>
        </is>
      </c>
      <c r="C1394" s="53" t="inlineStr">
        <is>
          <t>TECH-044</t>
        </is>
      </c>
      <c r="D1394" s="53" t="inlineStr">
        <is>
          <t>Avionics</t>
        </is>
      </c>
      <c r="E1394" s="53" t="inlineStr">
        <is>
          <t>2025-08-18</t>
        </is>
      </c>
      <c r="F1394" s="53">
        <v>1.5</v>
      </c>
      <c r="G1394" s="53">
        <v>0</v>
      </c>
      <c r="H1394" s="51" t="str">
        <f>TEXT(tblLaborEntries[[#This Row],[Work date serial]]-WEEKDAY(tblLaborEntries[[#This Row],[Work date serial]],3),"yyyy-mm-dd")</f>
        <v>2025-08-18</v>
      </c>
      <c r="I1394" s="64">
        <f>DATEVALUE(tblLaborEntries[[#This Row],[Work date]])</f>
        <v>45887.0</v>
      </c>
    </row>
    <row r="1395" spans="1:9" ht="15" x14ac:dyDescent="0.25">
      <c r="A1395" s="53" t="inlineStr">
        <is>
          <t>LAB-001394</t>
        </is>
      </c>
      <c r="B1395" s="53" t="inlineStr">
        <is>
          <t>WP-00615</t>
        </is>
      </c>
      <c r="C1395" s="53" t="inlineStr">
        <is>
          <t>TECH-062</t>
        </is>
      </c>
      <c r="D1395" s="53" t="inlineStr">
        <is>
          <t>Avionics</t>
        </is>
      </c>
      <c r="E1395" s="53" t="inlineStr">
        <is>
          <t>2025-08-19</t>
        </is>
      </c>
      <c r="F1395" s="53">
        <v>1.4</v>
      </c>
      <c r="G1395" s="53">
        <v>0</v>
      </c>
      <c r="H1395" s="51" t="str">
        <f>TEXT(tblLaborEntries[[#This Row],[Work date serial]]-WEEKDAY(tblLaborEntries[[#This Row],[Work date serial]],3),"yyyy-mm-dd")</f>
        <v>2025-08-18</v>
      </c>
      <c r="I1395" s="64">
        <f>DATEVALUE(tblLaborEntries[[#This Row],[Work date]])</f>
        <v>45888.0</v>
      </c>
    </row>
    <row r="1396" spans="1:9" ht="15" x14ac:dyDescent="0.25">
      <c r="A1396" s="53" t="inlineStr">
        <is>
          <t>LAB-001395</t>
        </is>
      </c>
      <c r="B1396" s="53" t="inlineStr">
        <is>
          <t>WP-00615</t>
        </is>
      </c>
      <c r="C1396" s="53" t="inlineStr">
        <is>
          <t>TECH-020</t>
        </is>
      </c>
      <c r="D1396" s="53" t="inlineStr">
        <is>
          <t>Avionics</t>
        </is>
      </c>
      <c r="E1396" s="53" t="inlineStr">
        <is>
          <t>2025-08-20</t>
        </is>
      </c>
      <c r="F1396" s="53">
        <v>1.5</v>
      </c>
      <c r="G1396" s="53">
        <v>0</v>
      </c>
      <c r="H1396" s="51" t="str">
        <f>TEXT(tblLaborEntries[[#This Row],[Work date serial]]-WEEKDAY(tblLaborEntries[[#This Row],[Work date serial]],3),"yyyy-mm-dd")</f>
        <v>2025-08-18</v>
      </c>
      <c r="I1396" s="64">
        <f>DATEVALUE(tblLaborEntries[[#This Row],[Work date]])</f>
        <v>45889.0</v>
      </c>
    </row>
    <row r="1397" spans="1:9" ht="15" x14ac:dyDescent="0.25">
      <c r="A1397" s="53" t="inlineStr">
        <is>
          <t>LAB-001396</t>
        </is>
      </c>
      <c r="B1397" s="53" t="inlineStr">
        <is>
          <t>WP-00616</t>
        </is>
      </c>
      <c r="C1397" s="53" t="inlineStr">
        <is>
          <t>TECH-044</t>
        </is>
      </c>
      <c r="D1397" s="53" t="inlineStr">
        <is>
          <t>Avionics</t>
        </is>
      </c>
      <c r="E1397" s="53" t="inlineStr">
        <is>
          <t>2024-02-06</t>
        </is>
      </c>
      <c r="F1397" s="53">
        <v>3.2</v>
      </c>
      <c r="G1397" s="53">
        <v>0</v>
      </c>
      <c r="H1397" s="51" t="str">
        <f>TEXT(tblLaborEntries[[#This Row],[Work date serial]]-WEEKDAY(tblLaborEntries[[#This Row],[Work date serial]],3),"yyyy-mm-dd")</f>
        <v>2024-02-05</v>
      </c>
      <c r="I1397" s="64">
        <f>DATEVALUE(tblLaborEntries[[#This Row],[Work date]])</f>
        <v>45328.0</v>
      </c>
    </row>
    <row r="1398" spans="1:9" ht="15" x14ac:dyDescent="0.25">
      <c r="A1398" s="53" t="inlineStr">
        <is>
          <t>LAB-001397</t>
        </is>
      </c>
      <c r="B1398" s="53" t="inlineStr">
        <is>
          <t>WP-00616</t>
        </is>
      </c>
      <c r="C1398" s="53" t="inlineStr">
        <is>
          <t>TECH-026</t>
        </is>
      </c>
      <c r="D1398" s="53" t="inlineStr">
        <is>
          <t>Avionics</t>
        </is>
      </c>
      <c r="E1398" s="53" t="inlineStr">
        <is>
          <t>2024-02-07</t>
        </is>
      </c>
      <c r="F1398" s="53">
        <v>3.6</v>
      </c>
      <c r="G1398" s="53">
        <v>0</v>
      </c>
      <c r="H1398" s="51" t="str">
        <f>TEXT(tblLaborEntries[[#This Row],[Work date serial]]-WEEKDAY(tblLaborEntries[[#This Row],[Work date serial]],3),"yyyy-mm-dd")</f>
        <v>2024-02-05</v>
      </c>
      <c r="I1398" s="64">
        <f>DATEVALUE(tblLaborEntries[[#This Row],[Work date]])</f>
        <v>45329.0</v>
      </c>
    </row>
    <row r="1399" spans="1:9" ht="15" x14ac:dyDescent="0.25">
      <c r="A1399" s="53" t="inlineStr">
        <is>
          <t>LAB-001398</t>
        </is>
      </c>
      <c r="B1399" s="53" t="inlineStr">
        <is>
          <t>WP-00616</t>
        </is>
      </c>
      <c r="C1399" s="53" t="inlineStr">
        <is>
          <t>TECH-056</t>
        </is>
      </c>
      <c r="D1399" s="53" t="inlineStr">
        <is>
          <t>Avionics</t>
        </is>
      </c>
      <c r="E1399" s="53" t="inlineStr">
        <is>
          <t>2024-02-08</t>
        </is>
      </c>
      <c r="F1399" s="53">
        <v>2.7</v>
      </c>
      <c r="G1399" s="53">
        <v>0</v>
      </c>
      <c r="H1399" s="51" t="str">
        <f>TEXT(tblLaborEntries[[#This Row],[Work date serial]]-WEEKDAY(tblLaborEntries[[#This Row],[Work date serial]],3),"yyyy-mm-dd")</f>
        <v>2024-02-05</v>
      </c>
      <c r="I1399" s="64">
        <f>DATEVALUE(tblLaborEntries[[#This Row],[Work date]])</f>
        <v>45330.0</v>
      </c>
    </row>
    <row r="1400" spans="1:9" ht="15" x14ac:dyDescent="0.25">
      <c r="A1400" s="53" t="inlineStr">
        <is>
          <t>LAB-001399</t>
        </is>
      </c>
      <c r="B1400" s="53" t="inlineStr">
        <is>
          <t>WP-00617</t>
        </is>
      </c>
      <c r="C1400" s="53" t="inlineStr">
        <is>
          <t>TECH-067</t>
        </is>
      </c>
      <c r="D1400" s="53" t="inlineStr">
        <is>
          <t>Airframe</t>
        </is>
      </c>
      <c r="E1400" s="53" t="inlineStr">
        <is>
          <t>2025-05-15</t>
        </is>
      </c>
      <c r="F1400" s="53">
        <v>2.5</v>
      </c>
      <c r="G1400" s="53">
        <v>0</v>
      </c>
      <c r="H1400" s="51" t="str">
        <f>TEXT(tblLaborEntries[[#This Row],[Work date serial]]-WEEKDAY(tblLaborEntries[[#This Row],[Work date serial]],3),"yyyy-mm-dd")</f>
        <v>2025-05-12</v>
      </c>
      <c r="I1400" s="64">
        <f>DATEVALUE(tblLaborEntries[[#This Row],[Work date]])</f>
        <v>45792.0</v>
      </c>
    </row>
    <row r="1401" spans="1:9" ht="15" x14ac:dyDescent="0.25">
      <c r="A1401" s="53" t="inlineStr">
        <is>
          <t>LAB-001400</t>
        </is>
      </c>
      <c r="B1401" s="53" t="inlineStr">
        <is>
          <t>WP-00618</t>
        </is>
      </c>
      <c r="C1401" s="53" t="inlineStr">
        <is>
          <t>TECH-005</t>
        </is>
      </c>
      <c r="D1401" s="53" t="inlineStr">
        <is>
          <t>Structures</t>
        </is>
      </c>
      <c r="E1401" s="53" t="inlineStr">
        <is>
          <t>2024-06-12</t>
        </is>
      </c>
      <c r="F1401" s="53">
        <v>8.9</v>
      </c>
      <c r="G1401" s="53">
        <v>0.9</v>
      </c>
      <c r="H1401" s="51" t="str">
        <f>TEXT(tblLaborEntries[[#This Row],[Work date serial]]-WEEKDAY(tblLaborEntries[[#This Row],[Work date serial]],3),"yyyy-mm-dd")</f>
        <v>2024-06-10</v>
      </c>
      <c r="I1401" s="64">
        <f>DATEVALUE(tblLaborEntries[[#This Row],[Work date]])</f>
        <v>45455.0</v>
      </c>
    </row>
    <row r="1402" spans="1:9" ht="15" x14ac:dyDescent="0.25">
      <c r="A1402" s="53" t="inlineStr">
        <is>
          <t>LAB-001401</t>
        </is>
      </c>
      <c r="B1402" s="53" t="inlineStr">
        <is>
          <t>WP-00618</t>
        </is>
      </c>
      <c r="C1402" s="53" t="inlineStr">
        <is>
          <t>TECH-029</t>
        </is>
      </c>
      <c r="D1402" s="53" t="inlineStr">
        <is>
          <t>Structures</t>
        </is>
      </c>
      <c r="E1402" s="53" t="inlineStr">
        <is>
          <t>2024-06-12</t>
        </is>
      </c>
      <c r="F1402" s="53">
        <v>12</v>
      </c>
      <c r="G1402" s="53">
        <v>4</v>
      </c>
      <c r="H1402" s="51" t="str">
        <f>TEXT(tblLaborEntries[[#This Row],[Work date serial]]-WEEKDAY(tblLaborEntries[[#This Row],[Work date serial]],3),"yyyy-mm-dd")</f>
        <v>2024-06-10</v>
      </c>
      <c r="I1402" s="64">
        <f>DATEVALUE(tblLaborEntries[[#This Row],[Work date]])</f>
        <v>45455.0</v>
      </c>
    </row>
    <row r="1403" spans="1:9" ht="15" x14ac:dyDescent="0.25">
      <c r="A1403" s="53" t="inlineStr">
        <is>
          <t>LAB-001402</t>
        </is>
      </c>
      <c r="B1403" s="53" t="inlineStr">
        <is>
          <t>WP-00618</t>
        </is>
      </c>
      <c r="C1403" s="53" t="inlineStr">
        <is>
          <t>TECH-005</t>
        </is>
      </c>
      <c r="D1403" s="53" t="inlineStr">
        <is>
          <t>Structures</t>
        </is>
      </c>
      <c r="E1403" s="53" t="inlineStr">
        <is>
          <t>2024-06-13</t>
        </is>
      </c>
      <c r="F1403" s="53">
        <v>9.9</v>
      </c>
      <c r="G1403" s="53">
        <v>1.9</v>
      </c>
      <c r="H1403" s="51" t="str">
        <f>TEXT(tblLaborEntries[[#This Row],[Work date serial]]-WEEKDAY(tblLaborEntries[[#This Row],[Work date serial]],3),"yyyy-mm-dd")</f>
        <v>2024-06-10</v>
      </c>
      <c r="I1403" s="64">
        <f>DATEVALUE(tblLaborEntries[[#This Row],[Work date]])</f>
        <v>45456.0</v>
      </c>
    </row>
    <row r="1404" spans="1:9" ht="15" x14ac:dyDescent="0.25">
      <c r="A1404" s="53" t="inlineStr">
        <is>
          <t>LAB-001403</t>
        </is>
      </c>
      <c r="B1404" s="53" t="inlineStr">
        <is>
          <t>WP-00618</t>
        </is>
      </c>
      <c r="C1404" s="53" t="inlineStr">
        <is>
          <t>TECH-053</t>
        </is>
      </c>
      <c r="D1404" s="53" t="inlineStr">
        <is>
          <t>Structures</t>
        </is>
      </c>
      <c r="E1404" s="53" t="inlineStr">
        <is>
          <t>2024-06-13</t>
        </is>
      </c>
      <c r="F1404" s="53">
        <v>12</v>
      </c>
      <c r="G1404" s="53">
        <v>4</v>
      </c>
      <c r="H1404" s="51" t="str">
        <f>TEXT(tblLaborEntries[[#This Row],[Work date serial]]-WEEKDAY(tblLaborEntries[[#This Row],[Work date serial]],3),"yyyy-mm-dd")</f>
        <v>2024-06-10</v>
      </c>
      <c r="I1404" s="64">
        <f>DATEVALUE(tblLaborEntries[[#This Row],[Work date]])</f>
        <v>45456.0</v>
      </c>
    </row>
    <row r="1405" spans="1:9" ht="15" x14ac:dyDescent="0.25">
      <c r="A1405" s="53" t="inlineStr">
        <is>
          <t>LAB-001404</t>
        </is>
      </c>
      <c r="B1405" s="53" t="inlineStr">
        <is>
          <t>WP-00619</t>
        </is>
      </c>
      <c r="C1405" s="53" t="inlineStr">
        <is>
          <t>TECH-008</t>
        </is>
      </c>
      <c r="D1405" s="53" t="inlineStr">
        <is>
          <t>Avionics</t>
        </is>
      </c>
      <c r="E1405" s="53" t="inlineStr">
        <is>
          <t>2025-04-09</t>
        </is>
      </c>
      <c r="F1405" s="53">
        <v>8.9</v>
      </c>
      <c r="G1405" s="53">
        <v>0.9</v>
      </c>
      <c r="H1405" s="51" t="str">
        <f>TEXT(tblLaborEntries[[#This Row],[Work date serial]]-WEEKDAY(tblLaborEntries[[#This Row],[Work date serial]],3),"yyyy-mm-dd")</f>
        <v>2025-04-07</v>
      </c>
      <c r="I1405" s="64">
        <f>DATEVALUE(tblLaborEntries[[#This Row],[Work date]])</f>
        <v>45756.0</v>
      </c>
    </row>
    <row r="1406" spans="1:9" ht="15" x14ac:dyDescent="0.25">
      <c r="A1406" s="53" t="inlineStr">
        <is>
          <t>LAB-001405</t>
        </is>
      </c>
      <c r="B1406" s="53" t="inlineStr">
        <is>
          <t>WP-00619</t>
        </is>
      </c>
      <c r="C1406" s="53" t="inlineStr">
        <is>
          <t>TECH-032</t>
        </is>
      </c>
      <c r="D1406" s="53" t="inlineStr">
        <is>
          <t>Avionics</t>
        </is>
      </c>
      <c r="E1406" s="53" t="inlineStr">
        <is>
          <t>2025-04-09</t>
        </is>
      </c>
      <c r="F1406" s="53">
        <v>12</v>
      </c>
      <c r="G1406" s="53">
        <v>4</v>
      </c>
      <c r="H1406" s="51" t="str">
        <f>TEXT(tblLaborEntries[[#This Row],[Work date serial]]-WEEKDAY(tblLaborEntries[[#This Row],[Work date serial]],3),"yyyy-mm-dd")</f>
        <v>2025-04-07</v>
      </c>
      <c r="I1406" s="64">
        <f>DATEVALUE(tblLaborEntries[[#This Row],[Work date]])</f>
        <v>45756.0</v>
      </c>
    </row>
    <row r="1407" spans="1:9" ht="15" x14ac:dyDescent="0.25">
      <c r="A1407" s="53" t="inlineStr">
        <is>
          <t>LAB-001406</t>
        </is>
      </c>
      <c r="B1407" s="53" t="inlineStr">
        <is>
          <t>WP-00620</t>
        </is>
      </c>
      <c r="C1407" s="53" t="inlineStr">
        <is>
          <t>TECH-028</t>
        </is>
      </c>
      <c r="D1407" s="53" t="inlineStr">
        <is>
          <t>Electrical</t>
        </is>
      </c>
      <c r="E1407" s="53" t="inlineStr">
        <is>
          <t>2025-08-02</t>
        </is>
      </c>
      <c r="F1407" s="53">
        <v>4</v>
      </c>
      <c r="G1407" s="53">
        <v>0</v>
      </c>
      <c r="H1407" s="51" t="str">
        <f>TEXT(tblLaborEntries[[#This Row],[Work date serial]]-WEEKDAY(tblLaborEntries[[#This Row],[Work date serial]],3),"yyyy-mm-dd")</f>
        <v>2025-07-28</v>
      </c>
      <c r="I1407" s="64">
        <f>DATEVALUE(tblLaborEntries[[#This Row],[Work date]])</f>
        <v>45871.0</v>
      </c>
    </row>
    <row r="1408" spans="1:9" ht="15" x14ac:dyDescent="0.25">
      <c r="A1408" s="53" t="inlineStr">
        <is>
          <t>LAB-001407</t>
        </is>
      </c>
      <c r="B1408" s="53" t="inlineStr">
        <is>
          <t>WP-00620</t>
        </is>
      </c>
      <c r="C1408" s="53" t="inlineStr">
        <is>
          <t>TECH-052</t>
        </is>
      </c>
      <c r="D1408" s="53" t="inlineStr">
        <is>
          <t>Electrical</t>
        </is>
      </c>
      <c r="E1408" s="53" t="inlineStr">
        <is>
          <t>2025-08-03</t>
        </is>
      </c>
      <c r="F1408" s="53">
        <v>3.8</v>
      </c>
      <c r="G1408" s="53">
        <v>0</v>
      </c>
      <c r="H1408" s="51" t="str">
        <f>TEXT(tblLaborEntries[[#This Row],[Work date serial]]-WEEKDAY(tblLaborEntries[[#This Row],[Work date serial]],3),"yyyy-mm-dd")</f>
        <v>2025-07-28</v>
      </c>
      <c r="I1408" s="64">
        <f>DATEVALUE(tblLaborEntries[[#This Row],[Work date]])</f>
        <v>45872.0</v>
      </c>
    </row>
    <row r="1409" spans="1:9" ht="15" x14ac:dyDescent="0.25">
      <c r="A1409" s="53" t="inlineStr">
        <is>
          <t>LAB-001408</t>
        </is>
      </c>
      <c r="B1409" s="53" t="inlineStr">
        <is>
          <t>WP-00621</t>
        </is>
      </c>
      <c r="C1409" s="53" t="inlineStr">
        <is>
          <t>TECH-024</t>
        </is>
      </c>
      <c r="D1409" s="53" t="inlineStr">
        <is>
          <t>Powerplant</t>
        </is>
      </c>
      <c r="E1409" s="53" t="inlineStr">
        <is>
          <t>2024-03-29</t>
        </is>
      </c>
      <c r="F1409" s="53">
        <v>8.5</v>
      </c>
      <c r="G1409" s="53">
        <v>0.5</v>
      </c>
      <c r="H1409" s="51" t="str">
        <f>TEXT(tblLaborEntries[[#This Row],[Work date serial]]-WEEKDAY(tblLaborEntries[[#This Row],[Work date serial]],3),"yyyy-mm-dd")</f>
        <v>2024-03-25</v>
      </c>
      <c r="I1409" s="64">
        <f>DATEVALUE(tblLaborEntries[[#This Row],[Work date]])</f>
        <v>45380.0</v>
      </c>
    </row>
    <row r="1410" spans="1:9" ht="15" x14ac:dyDescent="0.25">
      <c r="A1410" s="53" t="inlineStr">
        <is>
          <t>LAB-001409</t>
        </is>
      </c>
      <c r="B1410" s="53" t="inlineStr">
        <is>
          <t>WP-00621</t>
        </is>
      </c>
      <c r="C1410" s="53" t="inlineStr">
        <is>
          <t>TECH-024</t>
        </is>
      </c>
      <c r="D1410" s="53" t="inlineStr">
        <is>
          <t>Powerplant</t>
        </is>
      </c>
      <c r="E1410" s="53" t="inlineStr">
        <is>
          <t>2024-03-30</t>
        </is>
      </c>
      <c r="F1410" s="53">
        <v>10</v>
      </c>
      <c r="G1410" s="53">
        <v>2</v>
      </c>
      <c r="H1410" s="51" t="str">
        <f>TEXT(tblLaborEntries[[#This Row],[Work date serial]]-WEEKDAY(tblLaborEntries[[#This Row],[Work date serial]],3),"yyyy-mm-dd")</f>
        <v>2024-03-25</v>
      </c>
      <c r="I1410" s="64">
        <f>DATEVALUE(tblLaborEntries[[#This Row],[Work date]])</f>
        <v>45381.0</v>
      </c>
    </row>
    <row r="1411" spans="1:9" ht="15" x14ac:dyDescent="0.25">
      <c r="A1411" s="53" t="inlineStr">
        <is>
          <t>LAB-001410</t>
        </is>
      </c>
      <c r="B1411" s="53" t="inlineStr">
        <is>
          <t>WP-00621</t>
        </is>
      </c>
      <c r="C1411" s="53" t="inlineStr">
        <is>
          <t>TECH-024</t>
        </is>
      </c>
      <c r="D1411" s="53" t="inlineStr">
        <is>
          <t>Powerplant</t>
        </is>
      </c>
      <c r="E1411" s="53" t="inlineStr">
        <is>
          <t>2024-03-31</t>
        </is>
      </c>
      <c r="F1411" s="53">
        <v>8.4</v>
      </c>
      <c r="G1411" s="53">
        <v>0.4</v>
      </c>
      <c r="H1411" s="51" t="str">
        <f>TEXT(tblLaborEntries[[#This Row],[Work date serial]]-WEEKDAY(tblLaborEntries[[#This Row],[Work date serial]],3),"yyyy-mm-dd")</f>
        <v>2024-03-25</v>
      </c>
      <c r="I1411" s="64">
        <f>DATEVALUE(tblLaborEntries[[#This Row],[Work date]])</f>
        <v>45382.0</v>
      </c>
    </row>
    <row r="1412" spans="1:9" ht="15" x14ac:dyDescent="0.25">
      <c r="A1412" s="53" t="inlineStr">
        <is>
          <t>LAB-001411</t>
        </is>
      </c>
      <c r="B1412" s="53" t="inlineStr">
        <is>
          <t>WP-00622</t>
        </is>
      </c>
      <c r="C1412" s="53" t="inlineStr">
        <is>
          <t>TECH-038</t>
        </is>
      </c>
      <c r="D1412" s="53" t="inlineStr">
        <is>
          <t>Avionics</t>
        </is>
      </c>
      <c r="E1412" s="53" t="inlineStr">
        <is>
          <t>2024-10-19</t>
        </is>
      </c>
      <c r="F1412" s="53">
        <v>1.6</v>
      </c>
      <c r="G1412" s="53">
        <v>0</v>
      </c>
      <c r="H1412" s="51" t="str">
        <f>TEXT(tblLaborEntries[[#This Row],[Work date serial]]-WEEKDAY(tblLaborEntries[[#This Row],[Work date serial]],3),"yyyy-mm-dd")</f>
        <v>2024-10-14</v>
      </c>
      <c r="I1412" s="64">
        <f>DATEVALUE(tblLaborEntries[[#This Row],[Work date]])</f>
        <v>45584.0</v>
      </c>
    </row>
    <row r="1413" spans="1:9" ht="15" x14ac:dyDescent="0.25">
      <c r="A1413" s="53" t="inlineStr">
        <is>
          <t>LAB-001412</t>
        </is>
      </c>
      <c r="B1413" s="53" t="inlineStr">
        <is>
          <t>WP-00622</t>
        </is>
      </c>
      <c r="C1413" s="53" t="inlineStr">
        <is>
          <t>TECH-026</t>
        </is>
      </c>
      <c r="D1413" s="53" t="inlineStr">
        <is>
          <t>Avionics</t>
        </is>
      </c>
      <c r="E1413" s="53" t="inlineStr">
        <is>
          <t>2024-10-20</t>
        </is>
      </c>
      <c r="F1413" s="53">
        <v>1.6</v>
      </c>
      <c r="G1413" s="53">
        <v>0</v>
      </c>
      <c r="H1413" s="51" t="str">
        <f>TEXT(tblLaborEntries[[#This Row],[Work date serial]]-WEEKDAY(tblLaborEntries[[#This Row],[Work date serial]],3),"yyyy-mm-dd")</f>
        <v>2024-10-14</v>
      </c>
      <c r="I1413" s="64">
        <f>DATEVALUE(tblLaborEntries[[#This Row],[Work date]])</f>
        <v>45585.0</v>
      </c>
    </row>
    <row r="1414" spans="1:9" ht="15" x14ac:dyDescent="0.25">
      <c r="A1414" s="53" t="inlineStr">
        <is>
          <t>LAB-001413</t>
        </is>
      </c>
      <c r="B1414" s="53" t="inlineStr">
        <is>
          <t>WP-00622</t>
        </is>
      </c>
      <c r="C1414" s="53" t="inlineStr">
        <is>
          <t>TECH-068</t>
        </is>
      </c>
      <c r="D1414" s="53" t="inlineStr">
        <is>
          <t>Avionics</t>
        </is>
      </c>
      <c r="E1414" s="53" t="inlineStr">
        <is>
          <t>2024-10-21</t>
        </is>
      </c>
      <c r="F1414" s="53">
        <v>1.2</v>
      </c>
      <c r="G1414" s="53">
        <v>0</v>
      </c>
      <c r="H1414" s="51" t="str">
        <f>TEXT(tblLaborEntries[[#This Row],[Work date serial]]-WEEKDAY(tblLaborEntries[[#This Row],[Work date serial]],3),"yyyy-mm-dd")</f>
        <v>2024-10-21</v>
      </c>
      <c r="I1414" s="64">
        <f>DATEVALUE(tblLaborEntries[[#This Row],[Work date]])</f>
        <v>45586.0</v>
      </c>
    </row>
    <row r="1415" spans="1:9" ht="15" x14ac:dyDescent="0.25">
      <c r="A1415" s="53" t="inlineStr">
        <is>
          <t>LAB-001414</t>
        </is>
      </c>
      <c r="B1415" s="53" t="inlineStr">
        <is>
          <t>WP-00623</t>
        </is>
      </c>
      <c r="C1415" s="53" t="inlineStr">
        <is>
          <t>TECH-026</t>
        </is>
      </c>
      <c r="D1415" s="53" t="inlineStr">
        <is>
          <t>Avionics</t>
        </is>
      </c>
      <c r="E1415" s="53" t="inlineStr">
        <is>
          <t>2024-11-20</t>
        </is>
      </c>
      <c r="F1415" s="53">
        <v>2.4</v>
      </c>
      <c r="G1415" s="53">
        <v>0</v>
      </c>
      <c r="H1415" s="51" t="str">
        <f>TEXT(tblLaborEntries[[#This Row],[Work date serial]]-WEEKDAY(tblLaborEntries[[#This Row],[Work date serial]],3),"yyyy-mm-dd")</f>
        <v>2024-11-18</v>
      </c>
      <c r="I1415" s="64">
        <f>DATEVALUE(tblLaborEntries[[#This Row],[Work date]])</f>
        <v>45616.0</v>
      </c>
    </row>
    <row r="1416" spans="1:9" ht="15" x14ac:dyDescent="0.25">
      <c r="A1416" s="53" t="inlineStr">
        <is>
          <t>LAB-001415</t>
        </is>
      </c>
      <c r="B1416" s="53" t="inlineStr">
        <is>
          <t>WP-00623</t>
        </is>
      </c>
      <c r="C1416" s="53" t="inlineStr">
        <is>
          <t>TECH-050</t>
        </is>
      </c>
      <c r="D1416" s="53" t="inlineStr">
        <is>
          <t>Avionics</t>
        </is>
      </c>
      <c r="E1416" s="53" t="inlineStr">
        <is>
          <t>2024-11-21</t>
        </is>
      </c>
      <c r="F1416" s="53">
        <v>1.7</v>
      </c>
      <c r="G1416" s="53">
        <v>0</v>
      </c>
      <c r="H1416" s="51" t="str">
        <f>TEXT(tblLaborEntries[[#This Row],[Work date serial]]-WEEKDAY(tblLaborEntries[[#This Row],[Work date serial]],3),"yyyy-mm-dd")</f>
        <v>2024-11-18</v>
      </c>
      <c r="I1416" s="64">
        <f>DATEVALUE(tblLaborEntries[[#This Row],[Work date]])</f>
        <v>45617.0</v>
      </c>
    </row>
    <row r="1417" spans="1:9" ht="15" x14ac:dyDescent="0.25">
      <c r="A1417" s="53" t="inlineStr">
        <is>
          <t>LAB-001416</t>
        </is>
      </c>
      <c r="B1417" s="53" t="inlineStr">
        <is>
          <t>WP-00624</t>
        </is>
      </c>
      <c r="C1417" s="53" t="inlineStr">
        <is>
          <t>TECH-074</t>
        </is>
      </c>
      <c r="D1417" s="53" t="inlineStr">
        <is>
          <t>Avionics</t>
        </is>
      </c>
      <c r="E1417" s="53" t="inlineStr">
        <is>
          <t>2024-11-01</t>
        </is>
      </c>
      <c r="F1417" s="53">
        <v>1.6</v>
      </c>
      <c r="G1417" s="53">
        <v>0</v>
      </c>
      <c r="H1417" s="51" t="str">
        <f>TEXT(tblLaborEntries[[#This Row],[Work date serial]]-WEEKDAY(tblLaborEntries[[#This Row],[Work date serial]],3),"yyyy-mm-dd")</f>
        <v>2024-10-28</v>
      </c>
      <c r="I1417" s="64">
        <f>DATEVALUE(tblLaborEntries[[#This Row],[Work date]])</f>
        <v>45597.0</v>
      </c>
    </row>
    <row r="1418" spans="1:9" ht="15" x14ac:dyDescent="0.25">
      <c r="A1418" s="53" t="inlineStr">
        <is>
          <t>LAB-001417</t>
        </is>
      </c>
      <c r="B1418" s="53" t="inlineStr">
        <is>
          <t>WP-00624</t>
        </is>
      </c>
      <c r="C1418" s="53" t="inlineStr">
        <is>
          <t>TECH-008</t>
        </is>
      </c>
      <c r="D1418" s="53" t="inlineStr">
        <is>
          <t>Avionics</t>
        </is>
      </c>
      <c r="E1418" s="53" t="inlineStr">
        <is>
          <t>2024-11-02</t>
        </is>
      </c>
      <c r="F1418" s="53">
        <v>2.4</v>
      </c>
      <c r="G1418" s="53">
        <v>0</v>
      </c>
      <c r="H1418" s="51" t="str">
        <f>TEXT(tblLaborEntries[[#This Row],[Work date serial]]-WEEKDAY(tblLaborEntries[[#This Row],[Work date serial]],3),"yyyy-mm-dd")</f>
        <v>2024-10-28</v>
      </c>
      <c r="I1418" s="64">
        <f>DATEVALUE(tblLaborEntries[[#This Row],[Work date]])</f>
        <v>45598.0</v>
      </c>
    </row>
    <row r="1419" spans="1:9" ht="15" x14ac:dyDescent="0.25">
      <c r="A1419" s="53" t="inlineStr">
        <is>
          <t>LAB-001418</t>
        </is>
      </c>
      <c r="B1419" s="53" t="inlineStr">
        <is>
          <t>WP-00625</t>
        </is>
      </c>
      <c r="C1419" s="53" t="inlineStr">
        <is>
          <t>TECH-068</t>
        </is>
      </c>
      <c r="D1419" s="53" t="inlineStr">
        <is>
          <t>Avionics</t>
        </is>
      </c>
      <c r="E1419" s="53" t="inlineStr">
        <is>
          <t>2024-04-23</t>
        </is>
      </c>
      <c r="F1419" s="53">
        <v>1.4</v>
      </c>
      <c r="G1419" s="53">
        <v>0</v>
      </c>
      <c r="H1419" s="51" t="str">
        <f>TEXT(tblLaborEntries[[#This Row],[Work date serial]]-WEEKDAY(tblLaborEntries[[#This Row],[Work date serial]],3),"yyyy-mm-dd")</f>
        <v>2024-04-22</v>
      </c>
      <c r="I1419" s="64">
        <f>DATEVALUE(tblLaborEntries[[#This Row],[Work date]])</f>
        <v>45405.0</v>
      </c>
    </row>
    <row r="1420" spans="1:9" ht="15" x14ac:dyDescent="0.25">
      <c r="A1420" s="53" t="inlineStr">
        <is>
          <t>LAB-001419</t>
        </is>
      </c>
      <c r="B1420" s="53" t="inlineStr">
        <is>
          <t>WP-00625</t>
        </is>
      </c>
      <c r="C1420" s="53" t="inlineStr">
        <is>
          <t>TECH-068</t>
        </is>
      </c>
      <c r="D1420" s="53" t="inlineStr">
        <is>
          <t>Avionics</t>
        </is>
      </c>
      <c r="E1420" s="53" t="inlineStr">
        <is>
          <t>2024-04-24</t>
        </is>
      </c>
      <c r="F1420" s="53">
        <v>1.1</v>
      </c>
      <c r="G1420" s="53">
        <v>0</v>
      </c>
      <c r="H1420" s="51" t="str">
        <f>TEXT(tblLaborEntries[[#This Row],[Work date serial]]-WEEKDAY(tblLaborEntries[[#This Row],[Work date serial]],3),"yyyy-mm-dd")</f>
        <v>2024-04-22</v>
      </c>
      <c r="I1420" s="64">
        <f>DATEVALUE(tblLaborEntries[[#This Row],[Work date]])</f>
        <v>45406.0</v>
      </c>
    </row>
    <row r="1421" spans="1:9" ht="15" x14ac:dyDescent="0.25">
      <c r="A1421" s="53" t="inlineStr">
        <is>
          <t>LAB-001420</t>
        </is>
      </c>
      <c r="B1421" s="53" t="inlineStr">
        <is>
          <t>WP-00625</t>
        </is>
      </c>
      <c r="C1421" s="53" t="inlineStr">
        <is>
          <t>TECH-032</t>
        </is>
      </c>
      <c r="D1421" s="53" t="inlineStr">
        <is>
          <t>Avionics</t>
        </is>
      </c>
      <c r="E1421" s="53" t="inlineStr">
        <is>
          <t>2024-04-25</t>
        </is>
      </c>
      <c r="F1421" s="53">
        <v>1</v>
      </c>
      <c r="G1421" s="53">
        <v>0</v>
      </c>
      <c r="H1421" s="51" t="str">
        <f>TEXT(tblLaborEntries[[#This Row],[Work date serial]]-WEEKDAY(tblLaborEntries[[#This Row],[Work date serial]],3),"yyyy-mm-dd")</f>
        <v>2024-04-22</v>
      </c>
      <c r="I1421" s="64">
        <f>DATEVALUE(tblLaborEntries[[#This Row],[Work date]])</f>
        <v>45407.0</v>
      </c>
    </row>
    <row r="1422" spans="1:9" ht="15" x14ac:dyDescent="0.25">
      <c r="A1422" s="53" t="inlineStr">
        <is>
          <t>LAB-001421</t>
        </is>
      </c>
      <c r="B1422" s="53" t="inlineStr">
        <is>
          <t>WP-00626</t>
        </is>
      </c>
      <c r="C1422" s="53" t="inlineStr">
        <is>
          <t>TECH-073</t>
        </is>
      </c>
      <c r="D1422" s="53" t="inlineStr">
        <is>
          <t>Airframe</t>
        </is>
      </c>
      <c r="E1422" s="53" t="inlineStr">
        <is>
          <t>2025-04-06</t>
        </is>
      </c>
      <c r="F1422" s="53">
        <v>10</v>
      </c>
      <c r="G1422" s="53">
        <v>2</v>
      </c>
      <c r="H1422" s="51" t="str">
        <f>TEXT(tblLaborEntries[[#This Row],[Work date serial]]-WEEKDAY(tblLaborEntries[[#This Row],[Work date serial]],3),"yyyy-mm-dd")</f>
        <v>2025-03-31</v>
      </c>
      <c r="I1422" s="64">
        <f>DATEVALUE(tblLaborEntries[[#This Row],[Work date]])</f>
        <v>45753.0</v>
      </c>
    </row>
    <row r="1423" spans="1:9" ht="15" x14ac:dyDescent="0.25">
      <c r="A1423" s="53" t="inlineStr">
        <is>
          <t>LAB-001422</t>
        </is>
      </c>
      <c r="B1423" s="53" t="inlineStr">
        <is>
          <t>WP-00627</t>
        </is>
      </c>
      <c r="C1423" s="53" t="inlineStr">
        <is>
          <t>TECH-022</t>
        </is>
      </c>
      <c r="D1423" s="53" t="inlineStr">
        <is>
          <t>Electrical</t>
        </is>
      </c>
      <c r="E1423" s="53" t="inlineStr">
        <is>
          <t>2025-08-14</t>
        </is>
      </c>
      <c r="F1423" s="53">
        <v>7</v>
      </c>
      <c r="G1423" s="53">
        <v>0</v>
      </c>
      <c r="H1423" s="51" t="str">
        <f>TEXT(tblLaborEntries[[#This Row],[Work date serial]]-WEEKDAY(tblLaborEntries[[#This Row],[Work date serial]],3),"yyyy-mm-dd")</f>
        <v>2025-08-11</v>
      </c>
      <c r="I1423" s="64">
        <f>DATEVALUE(tblLaborEntries[[#This Row],[Work date]])</f>
        <v>45883.0</v>
      </c>
    </row>
    <row r="1424" spans="1:9" ht="15" x14ac:dyDescent="0.25">
      <c r="A1424" s="53" t="inlineStr">
        <is>
          <t>LAB-001423</t>
        </is>
      </c>
      <c r="B1424" s="53" t="inlineStr">
        <is>
          <t>WP-00627</t>
        </is>
      </c>
      <c r="C1424" s="53" t="inlineStr">
        <is>
          <t>TECH-064</t>
        </is>
      </c>
      <c r="D1424" s="53" t="inlineStr">
        <is>
          <t>Electrical</t>
        </is>
      </c>
      <c r="E1424" s="53" t="inlineStr">
        <is>
          <t>2025-08-15</t>
        </is>
      </c>
      <c r="F1424" s="53">
        <v>7.4</v>
      </c>
      <c r="G1424" s="53">
        <v>0</v>
      </c>
      <c r="H1424" s="51" t="str">
        <f>TEXT(tblLaborEntries[[#This Row],[Work date serial]]-WEEKDAY(tblLaborEntries[[#This Row],[Work date serial]],3),"yyyy-mm-dd")</f>
        <v>2025-08-11</v>
      </c>
      <c r="I1424" s="64">
        <f>DATEVALUE(tblLaborEntries[[#This Row],[Work date]])</f>
        <v>45884.0</v>
      </c>
    </row>
    <row r="1425" spans="1:9" ht="15" x14ac:dyDescent="0.25">
      <c r="A1425" s="53" t="inlineStr">
        <is>
          <t>LAB-001424</t>
        </is>
      </c>
      <c r="B1425" s="53" t="inlineStr">
        <is>
          <t>WP-00628</t>
        </is>
      </c>
      <c r="C1425" s="53" t="inlineStr">
        <is>
          <t>TECH-031</t>
        </is>
      </c>
      <c r="D1425" s="53" t="inlineStr">
        <is>
          <t>Airframe</t>
        </is>
      </c>
      <c r="E1425" s="53" t="inlineStr">
        <is>
          <t>2025-12-22</t>
        </is>
      </c>
      <c r="F1425" s="53">
        <v>5.3</v>
      </c>
      <c r="G1425" s="53">
        <v>0</v>
      </c>
      <c r="H1425" s="51" t="str">
        <f>TEXT(tblLaborEntries[[#This Row],[Work date serial]]-WEEKDAY(tblLaborEntries[[#This Row],[Work date serial]],3),"yyyy-mm-dd")</f>
        <v>2025-12-22</v>
      </c>
      <c r="I1425" s="64">
        <f>DATEVALUE(tblLaborEntries[[#This Row],[Work date]])</f>
        <v>46013.0</v>
      </c>
    </row>
    <row r="1426" spans="1:9" ht="15" x14ac:dyDescent="0.25">
      <c r="A1426" s="53" t="inlineStr">
        <is>
          <t>LAB-001425</t>
        </is>
      </c>
      <c r="B1426" s="53" t="inlineStr">
        <is>
          <t>WP-00629</t>
        </is>
      </c>
      <c r="C1426" s="53" t="inlineStr">
        <is>
          <t>TECH-006</t>
        </is>
      </c>
      <c r="D1426" s="53" t="inlineStr">
        <is>
          <t>Powerplant</t>
        </is>
      </c>
      <c r="E1426" s="53" t="inlineStr">
        <is>
          <t>2025-05-13</t>
        </is>
      </c>
      <c r="F1426" s="53">
        <v>0.2</v>
      </c>
      <c r="G1426" s="53">
        <v>0</v>
      </c>
      <c r="H1426" s="51" t="str">
        <f>TEXT(tblLaborEntries[[#This Row],[Work date serial]]-WEEKDAY(tblLaborEntries[[#This Row],[Work date serial]],3),"yyyy-mm-dd")</f>
        <v>2025-05-12</v>
      </c>
      <c r="I1426" s="64">
        <f>DATEVALUE(tblLaborEntries[[#This Row],[Work date]])</f>
        <v>45790.0</v>
      </c>
    </row>
    <row r="1427" spans="1:9" ht="15" x14ac:dyDescent="0.25">
      <c r="A1427" s="53" t="inlineStr">
        <is>
          <t>LAB-001426</t>
        </is>
      </c>
      <c r="B1427" s="53" t="inlineStr">
        <is>
          <t>WP-00629</t>
        </is>
      </c>
      <c r="C1427" s="53" t="inlineStr">
        <is>
          <t>TECH-054</t>
        </is>
      </c>
      <c r="D1427" s="53" t="inlineStr">
        <is>
          <t>Powerplant</t>
        </is>
      </c>
      <c r="E1427" s="53" t="inlineStr">
        <is>
          <t>2025-05-13</t>
        </is>
      </c>
      <c r="F1427" s="53">
        <v>12</v>
      </c>
      <c r="G1427" s="53">
        <v>4</v>
      </c>
      <c r="H1427" s="51" t="str">
        <f>TEXT(tblLaborEntries[[#This Row],[Work date serial]]-WEEKDAY(tblLaborEntries[[#This Row],[Work date serial]],3),"yyyy-mm-dd")</f>
        <v>2025-05-12</v>
      </c>
      <c r="I1427" s="64">
        <f>DATEVALUE(tblLaborEntries[[#This Row],[Work date]])</f>
        <v>45790.0</v>
      </c>
    </row>
    <row r="1428" spans="1:9" ht="15" x14ac:dyDescent="0.25">
      <c r="A1428" s="53" t="inlineStr">
        <is>
          <t>LAB-001427</t>
        </is>
      </c>
      <c r="B1428" s="53" t="inlineStr">
        <is>
          <t>WP-00629</t>
        </is>
      </c>
      <c r="C1428" s="53" t="inlineStr">
        <is>
          <t>TECH-018</t>
        </is>
      </c>
      <c r="D1428" s="53" t="inlineStr">
        <is>
          <t>Powerplant</t>
        </is>
      </c>
      <c r="E1428" s="53" t="inlineStr">
        <is>
          <t>2025-05-14</t>
        </is>
      </c>
      <c r="F1428" s="53">
        <v>11.4</v>
      </c>
      <c r="G1428" s="53">
        <v>3.4</v>
      </c>
      <c r="H1428" s="51" t="str">
        <f>TEXT(tblLaborEntries[[#This Row],[Work date serial]]-WEEKDAY(tblLaborEntries[[#This Row],[Work date serial]],3),"yyyy-mm-dd")</f>
        <v>2025-05-12</v>
      </c>
      <c r="I1428" s="64">
        <f>DATEVALUE(tblLaborEntries[[#This Row],[Work date]])</f>
        <v>45791.0</v>
      </c>
    </row>
    <row r="1429" spans="1:9" ht="15" x14ac:dyDescent="0.25">
      <c r="A1429" s="53" t="inlineStr">
        <is>
          <t>LAB-001428</t>
        </is>
      </c>
      <c r="B1429" s="53" t="inlineStr">
        <is>
          <t>WP-00629</t>
        </is>
      </c>
      <c r="C1429" s="53" t="inlineStr">
        <is>
          <t>TECH-012</t>
        </is>
      </c>
      <c r="D1429" s="53" t="inlineStr">
        <is>
          <t>Powerplant</t>
        </is>
      </c>
      <c r="E1429" s="53" t="inlineStr">
        <is>
          <t>2025-05-15</t>
        </is>
      </c>
      <c r="F1429" s="53">
        <v>2</v>
      </c>
      <c r="G1429" s="53">
        <v>0</v>
      </c>
      <c r="H1429" s="51" t="str">
        <f>TEXT(tblLaborEntries[[#This Row],[Work date serial]]-WEEKDAY(tblLaborEntries[[#This Row],[Work date serial]],3),"yyyy-mm-dd")</f>
        <v>2025-05-12</v>
      </c>
      <c r="I1429" s="64">
        <f>DATEVALUE(tblLaborEntries[[#This Row],[Work date]])</f>
        <v>45792.0</v>
      </c>
    </row>
    <row r="1430" spans="1:9" ht="15" x14ac:dyDescent="0.25">
      <c r="A1430" s="53" t="inlineStr">
        <is>
          <t>LAB-001429</t>
        </is>
      </c>
      <c r="B1430" s="53" t="inlineStr">
        <is>
          <t>WP-00629</t>
        </is>
      </c>
      <c r="C1430" s="53" t="inlineStr">
        <is>
          <t>TECH-054</t>
        </is>
      </c>
      <c r="D1430" s="53" t="inlineStr">
        <is>
          <t>Powerplant</t>
        </is>
      </c>
      <c r="E1430" s="53" t="inlineStr">
        <is>
          <t>2025-05-15</t>
        </is>
      </c>
      <c r="F1430" s="53">
        <v>12</v>
      </c>
      <c r="G1430" s="53">
        <v>4</v>
      </c>
      <c r="H1430" s="51" t="str">
        <f>TEXT(tblLaborEntries[[#This Row],[Work date serial]]-WEEKDAY(tblLaborEntries[[#This Row],[Work date serial]],3),"yyyy-mm-dd")</f>
        <v>2025-05-12</v>
      </c>
      <c r="I1430" s="64">
        <f>DATEVALUE(tblLaborEntries[[#This Row],[Work date]])</f>
        <v>45792.0</v>
      </c>
    </row>
    <row r="1431" spans="1:9" ht="15" x14ac:dyDescent="0.25">
      <c r="A1431" s="53" t="inlineStr">
        <is>
          <t>LAB-001430</t>
        </is>
      </c>
      <c r="B1431" s="53" t="inlineStr">
        <is>
          <t>WP-00630</t>
        </is>
      </c>
      <c r="C1431" s="53" t="inlineStr">
        <is>
          <t>TECH-008</t>
        </is>
      </c>
      <c r="D1431" s="53" t="inlineStr">
        <is>
          <t>Avionics</t>
        </is>
      </c>
      <c r="E1431" s="53" t="inlineStr">
        <is>
          <t>2024-12-17</t>
        </is>
      </c>
      <c r="F1431" s="53">
        <v>5.4</v>
      </c>
      <c r="G1431" s="53">
        <v>0</v>
      </c>
      <c r="H1431" s="51" t="str">
        <f>TEXT(tblLaborEntries[[#This Row],[Work date serial]]-WEEKDAY(tblLaborEntries[[#This Row],[Work date serial]],3),"yyyy-mm-dd")</f>
        <v>2024-12-16</v>
      </c>
      <c r="I1431" s="64">
        <f>DATEVALUE(tblLaborEntries[[#This Row],[Work date]])</f>
        <v>45643.0</v>
      </c>
    </row>
    <row r="1432" spans="1:9" ht="15" x14ac:dyDescent="0.25">
      <c r="A1432" s="53" t="inlineStr">
        <is>
          <t>LAB-001431</t>
        </is>
      </c>
      <c r="B1432" s="53" t="inlineStr">
        <is>
          <t>WP-00631</t>
        </is>
      </c>
      <c r="C1432" s="53" t="inlineStr">
        <is>
          <t>TECH-013</t>
        </is>
      </c>
      <c r="D1432" s="53" t="inlineStr">
        <is>
          <t>Airframe</t>
        </is>
      </c>
      <c r="E1432" s="53" t="inlineStr">
        <is>
          <t>2025-07-07</t>
        </is>
      </c>
      <c r="F1432" s="53">
        <v>3.7</v>
      </c>
      <c r="G1432" s="53">
        <v>0</v>
      </c>
      <c r="H1432" s="51" t="str">
        <f>TEXT(tblLaborEntries[[#This Row],[Work date serial]]-WEEKDAY(tblLaborEntries[[#This Row],[Work date serial]],3),"yyyy-mm-dd")</f>
        <v>2025-07-07</v>
      </c>
      <c r="I1432" s="64">
        <f>DATEVALUE(tblLaborEntries[[#This Row],[Work date]])</f>
        <v>45845.0</v>
      </c>
    </row>
    <row r="1433" spans="1:9" ht="15" x14ac:dyDescent="0.25">
      <c r="A1433" s="53" t="inlineStr">
        <is>
          <t>LAB-001432</t>
        </is>
      </c>
      <c r="B1433" s="53" t="inlineStr">
        <is>
          <t>WP-00632</t>
        </is>
      </c>
      <c r="C1433" s="53" t="inlineStr">
        <is>
          <t>TECH-004</t>
        </is>
      </c>
      <c r="D1433" s="53" t="inlineStr">
        <is>
          <t>Electrical</t>
        </is>
      </c>
      <c r="E1433" s="53" t="inlineStr">
        <is>
          <t>2025-03-09</t>
        </is>
      </c>
      <c r="F1433" s="53">
        <v>8.6</v>
      </c>
      <c r="G1433" s="53">
        <v>0.6</v>
      </c>
      <c r="H1433" s="51" t="str">
        <f>TEXT(tblLaborEntries[[#This Row],[Work date serial]]-WEEKDAY(tblLaborEntries[[#This Row],[Work date serial]],3),"yyyy-mm-dd")</f>
        <v>2025-03-03</v>
      </c>
      <c r="I1433" s="64">
        <f>DATEVALUE(tblLaborEntries[[#This Row],[Work date]])</f>
        <v>45725.0</v>
      </c>
    </row>
    <row r="1434" spans="1:9" ht="15" x14ac:dyDescent="0.25">
      <c r="A1434" s="53" t="inlineStr">
        <is>
          <t>LAB-001433</t>
        </is>
      </c>
      <c r="B1434" s="53" t="inlineStr">
        <is>
          <t>WP-00632</t>
        </is>
      </c>
      <c r="C1434" s="53" t="inlineStr">
        <is>
          <t>TECH-022</t>
        </is>
      </c>
      <c r="D1434" s="53" t="inlineStr">
        <is>
          <t>Electrical</t>
        </is>
      </c>
      <c r="E1434" s="53" t="inlineStr">
        <is>
          <t>2025-03-09</t>
        </is>
      </c>
      <c r="F1434" s="53">
        <v>12</v>
      </c>
      <c r="G1434" s="53">
        <v>4</v>
      </c>
      <c r="H1434" s="51" t="str">
        <f>TEXT(tblLaborEntries[[#This Row],[Work date serial]]-WEEKDAY(tblLaborEntries[[#This Row],[Work date serial]],3),"yyyy-mm-dd")</f>
        <v>2025-03-03</v>
      </c>
      <c r="I1434" s="64">
        <f>DATEVALUE(tblLaborEntries[[#This Row],[Work date]])</f>
        <v>45725.0</v>
      </c>
    </row>
    <row r="1435" spans="1:9" ht="15" x14ac:dyDescent="0.25">
      <c r="A1435" s="53" t="inlineStr">
        <is>
          <t>LAB-001434</t>
        </is>
      </c>
      <c r="B1435" s="53" t="inlineStr">
        <is>
          <t>WP-00633</t>
        </is>
      </c>
      <c r="C1435" s="53" t="inlineStr">
        <is>
          <t>TECH-038</t>
        </is>
      </c>
      <c r="D1435" s="53" t="inlineStr">
        <is>
          <t>Avionics</t>
        </is>
      </c>
      <c r="E1435" s="53" t="inlineStr">
        <is>
          <t>2025-10-18</t>
        </is>
      </c>
      <c r="F1435" s="53">
        <v>6.5</v>
      </c>
      <c r="G1435" s="53">
        <v>0</v>
      </c>
      <c r="H1435" s="51" t="str">
        <f>TEXT(tblLaborEntries[[#This Row],[Work date serial]]-WEEKDAY(tblLaborEntries[[#This Row],[Work date serial]],3),"yyyy-mm-dd")</f>
        <v>2025-10-13</v>
      </c>
      <c r="I1435" s="64">
        <f>DATEVALUE(tblLaborEntries[[#This Row],[Work date]])</f>
        <v>45948.0</v>
      </c>
    </row>
    <row r="1436" spans="1:9" ht="15" x14ac:dyDescent="0.25">
      <c r="A1436" s="53" t="inlineStr">
        <is>
          <t>LAB-001435</t>
        </is>
      </c>
      <c r="B1436" s="53" t="inlineStr">
        <is>
          <t>WP-00633</t>
        </is>
      </c>
      <c r="C1436" s="53" t="inlineStr">
        <is>
          <t>TECH-050</t>
        </is>
      </c>
      <c r="D1436" s="53" t="inlineStr">
        <is>
          <t>Avionics</t>
        </is>
      </c>
      <c r="E1436" s="53" t="inlineStr">
        <is>
          <t>2025-10-19</t>
        </is>
      </c>
      <c r="F1436" s="53">
        <v>7.1</v>
      </c>
      <c r="G1436" s="53">
        <v>0</v>
      </c>
      <c r="H1436" s="51" t="str">
        <f>TEXT(tblLaborEntries[[#This Row],[Work date serial]]-WEEKDAY(tblLaborEntries[[#This Row],[Work date serial]],3),"yyyy-mm-dd")</f>
        <v>2025-10-13</v>
      </c>
      <c r="I1436" s="64">
        <f>DATEVALUE(tblLaborEntries[[#This Row],[Work date]])</f>
        <v>45949.0</v>
      </c>
    </row>
    <row r="1437" spans="1:9" ht="15" x14ac:dyDescent="0.25">
      <c r="A1437" s="53" t="inlineStr">
        <is>
          <t>LAB-001436</t>
        </is>
      </c>
      <c r="B1437" s="53" t="inlineStr">
        <is>
          <t>WP-00634</t>
        </is>
      </c>
      <c r="C1437" s="53" t="inlineStr">
        <is>
          <t>TECH-002</t>
        </is>
      </c>
      <c r="D1437" s="53" t="inlineStr">
        <is>
          <t>Avionics</t>
        </is>
      </c>
      <c r="E1437" s="53" t="inlineStr">
        <is>
          <t>2024-12-21</t>
        </is>
      </c>
      <c r="F1437" s="53">
        <v>12</v>
      </c>
      <c r="G1437" s="53">
        <v>4</v>
      </c>
      <c r="H1437" s="51" t="str">
        <f>TEXT(tblLaborEntries[[#This Row],[Work date serial]]-WEEKDAY(tblLaborEntries[[#This Row],[Work date serial]],3),"yyyy-mm-dd")</f>
        <v>2024-12-16</v>
      </c>
      <c r="I1437" s="64">
        <f>DATEVALUE(tblLaborEntries[[#This Row],[Work date]])</f>
        <v>45647.0</v>
      </c>
    </row>
    <row r="1438" spans="1:9" ht="15" x14ac:dyDescent="0.25">
      <c r="A1438" s="53" t="inlineStr">
        <is>
          <t>LAB-001437</t>
        </is>
      </c>
      <c r="B1438" s="53" t="inlineStr">
        <is>
          <t>WP-00634</t>
        </is>
      </c>
      <c r="C1438" s="53" t="inlineStr">
        <is>
          <t>TECH-008</t>
        </is>
      </c>
      <c r="D1438" s="53" t="inlineStr">
        <is>
          <t>Avionics</t>
        </is>
      </c>
      <c r="E1438" s="53" t="inlineStr">
        <is>
          <t>2024-12-21</t>
        </is>
      </c>
      <c r="F1438" s="53">
        <v>9.5</v>
      </c>
      <c r="G1438" s="53">
        <v>1.5</v>
      </c>
      <c r="H1438" s="51" t="str">
        <f>TEXT(tblLaborEntries[[#This Row],[Work date serial]]-WEEKDAY(tblLaborEntries[[#This Row],[Work date serial]],3),"yyyy-mm-dd")</f>
        <v>2024-12-16</v>
      </c>
      <c r="I1438" s="64">
        <f>DATEVALUE(tblLaborEntries[[#This Row],[Work date]])</f>
        <v>45647.0</v>
      </c>
    </row>
    <row r="1439" spans="1:9" ht="15" x14ac:dyDescent="0.25">
      <c r="A1439" s="53" t="inlineStr">
        <is>
          <t>LAB-001438</t>
        </is>
      </c>
      <c r="B1439" s="53" t="inlineStr">
        <is>
          <t>WP-00635</t>
        </is>
      </c>
      <c r="C1439" s="53" t="inlineStr">
        <is>
          <t>TECH-016</t>
        </is>
      </c>
      <c r="D1439" s="53" t="inlineStr">
        <is>
          <t>Electrical</t>
        </is>
      </c>
      <c r="E1439" s="53" t="inlineStr">
        <is>
          <t>2024-08-27</t>
        </is>
      </c>
      <c r="F1439" s="53">
        <v>10.7</v>
      </c>
      <c r="G1439" s="53">
        <v>2.7</v>
      </c>
      <c r="H1439" s="51" t="str">
        <f>TEXT(tblLaborEntries[[#This Row],[Work date serial]]-WEEKDAY(tblLaborEntries[[#This Row],[Work date serial]],3),"yyyy-mm-dd")</f>
        <v>2024-08-26</v>
      </c>
      <c r="I1439" s="64">
        <f>DATEVALUE(tblLaborEntries[[#This Row],[Work date]])</f>
        <v>45531.0</v>
      </c>
    </row>
    <row r="1440" spans="1:9" ht="15" x14ac:dyDescent="0.25">
      <c r="A1440" s="53" t="inlineStr">
        <is>
          <t>LAB-001439</t>
        </is>
      </c>
      <c r="B1440" s="53" t="inlineStr">
        <is>
          <t>WP-00635</t>
        </is>
      </c>
      <c r="C1440" s="53" t="inlineStr">
        <is>
          <t>TECH-070</t>
        </is>
      </c>
      <c r="D1440" s="53" t="inlineStr">
        <is>
          <t>Electrical</t>
        </is>
      </c>
      <c r="E1440" s="53" t="inlineStr">
        <is>
          <t>2024-08-28</t>
        </is>
      </c>
      <c r="F1440" s="53">
        <v>9.1</v>
      </c>
      <c r="G1440" s="53">
        <v>1.1</v>
      </c>
      <c r="H1440" s="51" t="str">
        <f>TEXT(tblLaborEntries[[#This Row],[Work date serial]]-WEEKDAY(tblLaborEntries[[#This Row],[Work date serial]],3),"yyyy-mm-dd")</f>
        <v>2024-08-26</v>
      </c>
      <c r="I1440" s="64">
        <f>DATEVALUE(tblLaborEntries[[#This Row],[Work date]])</f>
        <v>45532.0</v>
      </c>
    </row>
    <row r="1441" spans="1:9" ht="15" x14ac:dyDescent="0.25">
      <c r="A1441" s="53" t="inlineStr">
        <is>
          <t>LAB-001440</t>
        </is>
      </c>
      <c r="B1441" s="53" t="inlineStr">
        <is>
          <t>WP-00635</t>
        </is>
      </c>
      <c r="C1441" s="53" t="inlineStr">
        <is>
          <t>TECH-040</t>
        </is>
      </c>
      <c r="D1441" s="53" t="inlineStr">
        <is>
          <t>Electrical</t>
        </is>
      </c>
      <c r="E1441" s="53" t="inlineStr">
        <is>
          <t>2024-08-29</t>
        </is>
      </c>
      <c r="F1441" s="53">
        <v>7.8</v>
      </c>
      <c r="G1441" s="53">
        <v>0</v>
      </c>
      <c r="H1441" s="51" t="str">
        <f>TEXT(tblLaborEntries[[#This Row],[Work date serial]]-WEEKDAY(tblLaborEntries[[#This Row],[Work date serial]],3),"yyyy-mm-dd")</f>
        <v>2024-08-26</v>
      </c>
      <c r="I1441" s="64">
        <f>DATEVALUE(tblLaborEntries[[#This Row],[Work date]])</f>
        <v>45533.0</v>
      </c>
    </row>
    <row r="1442" spans="1:9" ht="15" x14ac:dyDescent="0.25">
      <c r="A1442" s="53" t="inlineStr">
        <is>
          <t>LAB-001441</t>
        </is>
      </c>
      <c r="B1442" s="53" t="inlineStr">
        <is>
          <t>WP-00636</t>
        </is>
      </c>
      <c r="C1442" s="53" t="inlineStr">
        <is>
          <t>TECH-046</t>
        </is>
      </c>
      <c r="D1442" s="53" t="inlineStr">
        <is>
          <t>Electrical</t>
        </is>
      </c>
      <c r="E1442" s="53" t="inlineStr">
        <is>
          <t>2025-09-23</t>
        </is>
      </c>
      <c r="F1442" s="53">
        <v>3.3</v>
      </c>
      <c r="G1442" s="53">
        <v>0</v>
      </c>
      <c r="H1442" s="51" t="str">
        <f>TEXT(tblLaborEntries[[#This Row],[Work date serial]]-WEEKDAY(tblLaborEntries[[#This Row],[Work date serial]],3),"yyyy-mm-dd")</f>
        <v>2025-09-22</v>
      </c>
      <c r="I1442" s="64">
        <f>DATEVALUE(tblLaborEntries[[#This Row],[Work date]])</f>
        <v>45923.0</v>
      </c>
    </row>
    <row r="1443" spans="1:9" ht="15" x14ac:dyDescent="0.25">
      <c r="A1443" s="53" t="inlineStr">
        <is>
          <t>LAB-001442</t>
        </is>
      </c>
      <c r="B1443" s="53" t="inlineStr">
        <is>
          <t>WP-00636</t>
        </is>
      </c>
      <c r="C1443" s="53" t="inlineStr">
        <is>
          <t>TECH-046</t>
        </is>
      </c>
      <c r="D1443" s="53" t="inlineStr">
        <is>
          <t>Electrical</t>
        </is>
      </c>
      <c r="E1443" s="53" t="inlineStr">
        <is>
          <t>2025-09-24</t>
        </is>
      </c>
      <c r="F1443" s="53">
        <v>3.2</v>
      </c>
      <c r="G1443" s="53">
        <v>0</v>
      </c>
      <c r="H1443" s="51" t="str">
        <f>TEXT(tblLaborEntries[[#This Row],[Work date serial]]-WEEKDAY(tblLaborEntries[[#This Row],[Work date serial]],3),"yyyy-mm-dd")</f>
        <v>2025-09-22</v>
      </c>
      <c r="I1443" s="64">
        <f>DATEVALUE(tblLaborEntries[[#This Row],[Work date]])</f>
        <v>45924.0</v>
      </c>
    </row>
    <row r="1444" spans="1:9" ht="15" x14ac:dyDescent="0.25">
      <c r="A1444" s="53" t="inlineStr">
        <is>
          <t>LAB-001443</t>
        </is>
      </c>
      <c r="B1444" s="53" t="inlineStr">
        <is>
          <t>WP-00637</t>
        </is>
      </c>
      <c r="C1444" s="53" t="inlineStr">
        <is>
          <t>TECH-061</t>
        </is>
      </c>
      <c r="D1444" s="53" t="inlineStr">
        <is>
          <t>Airframe</t>
        </is>
      </c>
      <c r="E1444" s="53" t="inlineStr">
        <is>
          <t>2025-08-14</t>
        </is>
      </c>
      <c r="F1444" s="53">
        <v>2.7</v>
      </c>
      <c r="G1444" s="53">
        <v>0</v>
      </c>
      <c r="H1444" s="51" t="str">
        <f>TEXT(tblLaborEntries[[#This Row],[Work date serial]]-WEEKDAY(tblLaborEntries[[#This Row],[Work date serial]],3),"yyyy-mm-dd")</f>
        <v>2025-08-11</v>
      </c>
      <c r="I1444" s="64">
        <f>DATEVALUE(tblLaborEntries[[#This Row],[Work date]])</f>
        <v>45883.0</v>
      </c>
    </row>
    <row r="1445" spans="1:9" ht="15" x14ac:dyDescent="0.25">
      <c r="A1445" s="53" t="inlineStr">
        <is>
          <t>LAB-001444</t>
        </is>
      </c>
      <c r="B1445" s="53" t="inlineStr">
        <is>
          <t>WP-00638</t>
        </is>
      </c>
      <c r="C1445" s="53" t="inlineStr">
        <is>
          <t>TECH-043</t>
        </is>
      </c>
      <c r="D1445" s="53" t="inlineStr">
        <is>
          <t>Airframe</t>
        </is>
      </c>
      <c r="E1445" s="53" t="inlineStr">
        <is>
          <t>2025-03-23</t>
        </is>
      </c>
      <c r="F1445" s="53">
        <v>2.2</v>
      </c>
      <c r="G1445" s="53">
        <v>0</v>
      </c>
      <c r="H1445" s="51" t="str">
        <f>TEXT(tblLaborEntries[[#This Row],[Work date serial]]-WEEKDAY(tblLaborEntries[[#This Row],[Work date serial]],3),"yyyy-mm-dd")</f>
        <v>2025-03-17</v>
      </c>
      <c r="I1445" s="64">
        <f>DATEVALUE(tblLaborEntries[[#This Row],[Work date]])</f>
        <v>45739.0</v>
      </c>
    </row>
    <row r="1446" spans="1:9" ht="15" x14ac:dyDescent="0.25">
      <c r="A1446" s="53" t="inlineStr">
        <is>
          <t>LAB-001445</t>
        </is>
      </c>
      <c r="B1446" s="53" t="inlineStr">
        <is>
          <t>WP-00638</t>
        </is>
      </c>
      <c r="C1446" s="53" t="inlineStr">
        <is>
          <t>TECH-031</t>
        </is>
      </c>
      <c r="D1446" s="53" t="inlineStr">
        <is>
          <t>Airframe</t>
        </is>
      </c>
      <c r="E1446" s="53" t="inlineStr">
        <is>
          <t>2025-03-24</t>
        </is>
      </c>
      <c r="F1446" s="53">
        <v>2.5</v>
      </c>
      <c r="G1446" s="53">
        <v>0</v>
      </c>
      <c r="H1446" s="51" t="str">
        <f>TEXT(tblLaborEntries[[#This Row],[Work date serial]]-WEEKDAY(tblLaborEntries[[#This Row],[Work date serial]],3),"yyyy-mm-dd")</f>
        <v>2025-03-24</v>
      </c>
      <c r="I1446" s="64">
        <f>DATEVALUE(tblLaborEntries[[#This Row],[Work date]])</f>
        <v>45740.0</v>
      </c>
    </row>
    <row r="1447" spans="1:9" ht="15" x14ac:dyDescent="0.25">
      <c r="A1447" s="53" t="inlineStr">
        <is>
          <t>LAB-001446</t>
        </is>
      </c>
      <c r="B1447" s="53" t="inlineStr">
        <is>
          <t>WP-00638</t>
        </is>
      </c>
      <c r="C1447" s="53" t="inlineStr">
        <is>
          <t>TECH-001</t>
        </is>
      </c>
      <c r="D1447" s="53" t="inlineStr">
        <is>
          <t>Airframe</t>
        </is>
      </c>
      <c r="E1447" s="53" t="inlineStr">
        <is>
          <t>2025-03-25</t>
        </is>
      </c>
      <c r="F1447" s="53">
        <v>3.1</v>
      </c>
      <c r="G1447" s="53">
        <v>0</v>
      </c>
      <c r="H1447" s="51" t="str">
        <f>TEXT(tblLaborEntries[[#This Row],[Work date serial]]-WEEKDAY(tblLaborEntries[[#This Row],[Work date serial]],3),"yyyy-mm-dd")</f>
        <v>2025-03-24</v>
      </c>
      <c r="I1447" s="64">
        <f>DATEVALUE(tblLaborEntries[[#This Row],[Work date]])</f>
        <v>45741.0</v>
      </c>
    </row>
    <row r="1448" spans="1:9" ht="15" x14ac:dyDescent="0.25">
      <c r="A1448" s="53" t="inlineStr">
        <is>
          <t>LAB-001447</t>
        </is>
      </c>
      <c r="B1448" s="53" t="inlineStr">
        <is>
          <t>WP-00639</t>
        </is>
      </c>
      <c r="C1448" s="53" t="inlineStr">
        <is>
          <t>TECH-006</t>
        </is>
      </c>
      <c r="D1448" s="53" t="inlineStr">
        <is>
          <t>Powerplant</t>
        </is>
      </c>
      <c r="E1448" s="53" t="inlineStr">
        <is>
          <t>2024-04-24</t>
        </is>
      </c>
      <c r="F1448" s="53">
        <v>6.4</v>
      </c>
      <c r="G1448" s="53">
        <v>0</v>
      </c>
      <c r="H1448" s="51" t="str">
        <f>TEXT(tblLaborEntries[[#This Row],[Work date serial]]-WEEKDAY(tblLaborEntries[[#This Row],[Work date serial]],3),"yyyy-mm-dd")</f>
        <v>2024-04-22</v>
      </c>
      <c r="I1448" s="64">
        <f>DATEVALUE(tblLaborEntries[[#This Row],[Work date]])</f>
        <v>45406.0</v>
      </c>
    </row>
    <row r="1449" spans="1:9" ht="15" x14ac:dyDescent="0.25">
      <c r="A1449" s="53" t="inlineStr">
        <is>
          <t>LAB-001448</t>
        </is>
      </c>
      <c r="B1449" s="53" t="inlineStr">
        <is>
          <t>WP-00639</t>
        </is>
      </c>
      <c r="C1449" s="53" t="inlineStr">
        <is>
          <t>TECH-042</t>
        </is>
      </c>
      <c r="D1449" s="53" t="inlineStr">
        <is>
          <t>Powerplant</t>
        </is>
      </c>
      <c r="E1449" s="53" t="inlineStr">
        <is>
          <t>2024-04-25</t>
        </is>
      </c>
      <c r="F1449" s="53">
        <v>5</v>
      </c>
      <c r="G1449" s="53">
        <v>0</v>
      </c>
      <c r="H1449" s="51" t="str">
        <f>TEXT(tblLaborEntries[[#This Row],[Work date serial]]-WEEKDAY(tblLaborEntries[[#This Row],[Work date serial]],3),"yyyy-mm-dd")</f>
        <v>2024-04-22</v>
      </c>
      <c r="I1449" s="64">
        <f>DATEVALUE(tblLaborEntries[[#This Row],[Work date]])</f>
        <v>45407.0</v>
      </c>
    </row>
    <row r="1450" spans="1:9" ht="15" x14ac:dyDescent="0.25">
      <c r="A1450" s="53" t="inlineStr">
        <is>
          <t>LAB-001449</t>
        </is>
      </c>
      <c r="B1450" s="53" t="inlineStr">
        <is>
          <t>WP-00640</t>
        </is>
      </c>
      <c r="C1450" s="53" t="inlineStr">
        <is>
          <t>TECH-001</t>
        </is>
      </c>
      <c r="D1450" s="53" t="inlineStr">
        <is>
          <t>Airframe</t>
        </is>
      </c>
      <c r="E1450" s="53" t="inlineStr">
        <is>
          <t>2025-04-30</t>
        </is>
      </c>
      <c r="F1450" s="53">
        <v>12</v>
      </c>
      <c r="G1450" s="53">
        <v>4</v>
      </c>
      <c r="H1450" s="51" t="str">
        <f>TEXT(tblLaborEntries[[#This Row],[Work date serial]]-WEEKDAY(tblLaborEntries[[#This Row],[Work date serial]],3),"yyyy-mm-dd")</f>
        <v>2025-04-28</v>
      </c>
      <c r="I1450" s="64">
        <f>DATEVALUE(tblLaborEntries[[#This Row],[Work date]])</f>
        <v>45777.0</v>
      </c>
    </row>
    <row r="1451" spans="1:9" ht="15" x14ac:dyDescent="0.25">
      <c r="A1451" s="53" t="inlineStr">
        <is>
          <t>LAB-001450</t>
        </is>
      </c>
      <c r="B1451" s="53" t="inlineStr">
        <is>
          <t>WP-00640</t>
        </is>
      </c>
      <c r="C1451" s="53" t="inlineStr">
        <is>
          <t>TECH-007</t>
        </is>
      </c>
      <c r="D1451" s="53" t="inlineStr">
        <is>
          <t>Airframe</t>
        </is>
      </c>
      <c r="E1451" s="53" t="inlineStr">
        <is>
          <t>2025-04-30</t>
        </is>
      </c>
      <c r="F1451" s="53">
        <v>2.7</v>
      </c>
      <c r="G1451" s="53">
        <v>0</v>
      </c>
      <c r="H1451" s="51" t="str">
        <f>TEXT(tblLaborEntries[[#This Row],[Work date serial]]-WEEKDAY(tblLaborEntries[[#This Row],[Work date serial]],3),"yyyy-mm-dd")</f>
        <v>2025-04-28</v>
      </c>
      <c r="I1451" s="64">
        <f>DATEVALUE(tblLaborEntries[[#This Row],[Work date]])</f>
        <v>45777.0</v>
      </c>
    </row>
    <row r="1452" spans="1:9" ht="15" x14ac:dyDescent="0.25">
      <c r="A1452" s="53" t="inlineStr">
        <is>
          <t>LAB-001451</t>
        </is>
      </c>
      <c r="B1452" s="53" t="inlineStr">
        <is>
          <t>WP-00640</t>
        </is>
      </c>
      <c r="C1452" s="53" t="inlineStr">
        <is>
          <t>TECH-013</t>
        </is>
      </c>
      <c r="D1452" s="53" t="inlineStr">
        <is>
          <t>Airframe</t>
        </is>
      </c>
      <c r="E1452" s="53" t="inlineStr">
        <is>
          <t>2025-04-30</t>
        </is>
      </c>
      <c r="F1452" s="53">
        <v>8.4</v>
      </c>
      <c r="G1452" s="53">
        <v>0.4</v>
      </c>
      <c r="H1452" s="51" t="str">
        <f>TEXT(tblLaborEntries[[#This Row],[Work date serial]]-WEEKDAY(tblLaborEntries[[#This Row],[Work date serial]],3),"yyyy-mm-dd")</f>
        <v>2025-04-28</v>
      </c>
      <c r="I1452" s="64">
        <f>DATEVALUE(tblLaborEntries[[#This Row],[Work date]])</f>
        <v>45777.0</v>
      </c>
    </row>
    <row r="1453" spans="1:9" ht="15" x14ac:dyDescent="0.25">
      <c r="A1453" s="53" t="inlineStr">
        <is>
          <t>LAB-001452</t>
        </is>
      </c>
      <c r="B1453" s="53" t="inlineStr">
        <is>
          <t>WP-00641</t>
        </is>
      </c>
      <c r="C1453" s="53" t="inlineStr">
        <is>
          <t>TECH-005</t>
        </is>
      </c>
      <c r="D1453" s="53" t="inlineStr">
        <is>
          <t>Structures</t>
        </is>
      </c>
      <c r="E1453" s="53" t="inlineStr">
        <is>
          <t>2025-11-13</t>
        </is>
      </c>
      <c r="F1453" s="53">
        <v>2.8</v>
      </c>
      <c r="G1453" s="53">
        <v>0</v>
      </c>
      <c r="H1453" s="51" t="str">
        <f>TEXT(tblLaborEntries[[#This Row],[Work date serial]]-WEEKDAY(tblLaborEntries[[#This Row],[Work date serial]],3),"yyyy-mm-dd")</f>
        <v>2025-11-10</v>
      </c>
      <c r="I1453" s="64">
        <f>DATEVALUE(tblLaborEntries[[#This Row],[Work date]])</f>
        <v>45974.0</v>
      </c>
    </row>
    <row r="1454" spans="1:9" ht="15" x14ac:dyDescent="0.25">
      <c r="A1454" s="53" t="inlineStr">
        <is>
          <t>LAB-001453</t>
        </is>
      </c>
      <c r="B1454" s="53" t="inlineStr">
        <is>
          <t>WP-00641</t>
        </is>
      </c>
      <c r="C1454" s="53" t="inlineStr">
        <is>
          <t>TECH-071</t>
        </is>
      </c>
      <c r="D1454" s="53" t="inlineStr">
        <is>
          <t>Structures</t>
        </is>
      </c>
      <c r="E1454" s="53" t="inlineStr">
        <is>
          <t>2025-11-13</t>
        </is>
      </c>
      <c r="F1454" s="53">
        <v>12</v>
      </c>
      <c r="G1454" s="53">
        <v>4</v>
      </c>
      <c r="H1454" s="51" t="str">
        <f>TEXT(tblLaborEntries[[#This Row],[Work date serial]]-WEEKDAY(tblLaborEntries[[#This Row],[Work date serial]],3),"yyyy-mm-dd")</f>
        <v>2025-11-10</v>
      </c>
      <c r="I1454" s="64">
        <f>DATEVALUE(tblLaborEntries[[#This Row],[Work date]])</f>
        <v>45974.0</v>
      </c>
    </row>
    <row r="1455" spans="1:9" ht="15" x14ac:dyDescent="0.25">
      <c r="A1455" s="53" t="inlineStr">
        <is>
          <t>LAB-001454</t>
        </is>
      </c>
      <c r="B1455" s="53" t="inlineStr">
        <is>
          <t>WP-00641</t>
        </is>
      </c>
      <c r="C1455" s="53" t="inlineStr">
        <is>
          <t>TECH-011</t>
        </is>
      </c>
      <c r="D1455" s="53" t="inlineStr">
        <is>
          <t>Structures</t>
        </is>
      </c>
      <c r="E1455" s="53" t="inlineStr">
        <is>
          <t>2025-11-14</t>
        </is>
      </c>
      <c r="F1455" s="53">
        <v>0.8</v>
      </c>
      <c r="G1455" s="53">
        <v>0</v>
      </c>
      <c r="H1455" s="51" t="str">
        <f>TEXT(tblLaborEntries[[#This Row],[Work date serial]]-WEEKDAY(tblLaborEntries[[#This Row],[Work date serial]],3),"yyyy-mm-dd")</f>
        <v>2025-11-10</v>
      </c>
      <c r="I1455" s="64">
        <f>DATEVALUE(tblLaborEntries[[#This Row],[Work date]])</f>
        <v>45975.0</v>
      </c>
    </row>
    <row r="1456" spans="1:9" ht="15" x14ac:dyDescent="0.25">
      <c r="A1456" s="53" t="inlineStr">
        <is>
          <t>LAB-001455</t>
        </is>
      </c>
      <c r="B1456" s="53" t="inlineStr">
        <is>
          <t>WP-00641</t>
        </is>
      </c>
      <c r="C1456" s="53" t="inlineStr">
        <is>
          <t>TECH-059</t>
        </is>
      </c>
      <c r="D1456" s="53" t="inlineStr">
        <is>
          <t>Structures</t>
        </is>
      </c>
      <c r="E1456" s="53" t="inlineStr">
        <is>
          <t>2025-11-14</t>
        </is>
      </c>
      <c r="F1456" s="53">
        <v>12</v>
      </c>
      <c r="G1456" s="53">
        <v>4</v>
      </c>
      <c r="H1456" s="51" t="str">
        <f>TEXT(tblLaborEntries[[#This Row],[Work date serial]]-WEEKDAY(tblLaborEntries[[#This Row],[Work date serial]],3),"yyyy-mm-dd")</f>
        <v>2025-11-10</v>
      </c>
      <c r="I1456" s="64">
        <f>DATEVALUE(tblLaborEntries[[#This Row],[Work date]])</f>
        <v>45975.0</v>
      </c>
    </row>
    <row r="1457" spans="1:9" ht="15" x14ac:dyDescent="0.25">
      <c r="A1457" s="53" t="inlineStr">
        <is>
          <t>LAB-001456</t>
        </is>
      </c>
      <c r="B1457" s="53" t="inlineStr">
        <is>
          <t>WP-00642</t>
        </is>
      </c>
      <c r="C1457" s="53" t="inlineStr">
        <is>
          <t>TECH-056</t>
        </is>
      </c>
      <c r="D1457" s="53" t="inlineStr">
        <is>
          <t>Avionics</t>
        </is>
      </c>
      <c r="E1457" s="53" t="inlineStr">
        <is>
          <t>2024-12-14</t>
        </is>
      </c>
      <c r="F1457" s="53">
        <v>3</v>
      </c>
      <c r="G1457" s="53">
        <v>0</v>
      </c>
      <c r="H1457" s="51" t="str">
        <f>TEXT(tblLaborEntries[[#This Row],[Work date serial]]-WEEKDAY(tblLaborEntries[[#This Row],[Work date serial]],3),"yyyy-mm-dd")</f>
        <v>2024-12-09</v>
      </c>
      <c r="I1457" s="64">
        <f>DATEVALUE(tblLaborEntries[[#This Row],[Work date]])</f>
        <v>45640.0</v>
      </c>
    </row>
    <row r="1458" spans="1:9" ht="15" x14ac:dyDescent="0.25">
      <c r="A1458" s="53" t="inlineStr">
        <is>
          <t>LAB-001457</t>
        </is>
      </c>
      <c r="B1458" s="53" t="inlineStr">
        <is>
          <t>WP-00642</t>
        </is>
      </c>
      <c r="C1458" s="53" t="inlineStr">
        <is>
          <t>TECH-002</t>
        </is>
      </c>
      <c r="D1458" s="53" t="inlineStr">
        <is>
          <t>Avionics</t>
        </is>
      </c>
      <c r="E1458" s="53" t="inlineStr">
        <is>
          <t>2024-12-15</t>
        </is>
      </c>
      <c r="F1458" s="53">
        <v>2.7</v>
      </c>
      <c r="G1458" s="53">
        <v>0</v>
      </c>
      <c r="H1458" s="51" t="str">
        <f>TEXT(tblLaborEntries[[#This Row],[Work date serial]]-WEEKDAY(tblLaborEntries[[#This Row],[Work date serial]],3),"yyyy-mm-dd")</f>
        <v>2024-12-09</v>
      </c>
      <c r="I1458" s="64">
        <f>DATEVALUE(tblLaborEntries[[#This Row],[Work date]])</f>
        <v>45641.0</v>
      </c>
    </row>
    <row r="1459" spans="1:9" ht="15" x14ac:dyDescent="0.25">
      <c r="A1459" s="53" t="inlineStr">
        <is>
          <t>LAB-001458</t>
        </is>
      </c>
      <c r="B1459" s="53" t="inlineStr">
        <is>
          <t>WP-00642</t>
        </is>
      </c>
      <c r="C1459" s="53" t="inlineStr">
        <is>
          <t>TECH-074</t>
        </is>
      </c>
      <c r="D1459" s="53" t="inlineStr">
        <is>
          <t>Avionics</t>
        </is>
      </c>
      <c r="E1459" s="53" t="inlineStr">
        <is>
          <t>2024-12-16</t>
        </is>
      </c>
      <c r="F1459" s="53">
        <v>3.1</v>
      </c>
      <c r="G1459" s="53">
        <v>0</v>
      </c>
      <c r="H1459" s="51" t="str">
        <f>TEXT(tblLaborEntries[[#This Row],[Work date serial]]-WEEKDAY(tblLaborEntries[[#This Row],[Work date serial]],3),"yyyy-mm-dd")</f>
        <v>2024-12-16</v>
      </c>
      <c r="I1459" s="64">
        <f>DATEVALUE(tblLaborEntries[[#This Row],[Work date]])</f>
        <v>45642.0</v>
      </c>
    </row>
    <row r="1460" spans="1:9" ht="15" x14ac:dyDescent="0.25">
      <c r="A1460" s="53" t="inlineStr">
        <is>
          <t>LAB-001459</t>
        </is>
      </c>
      <c r="B1460" s="53" t="inlineStr">
        <is>
          <t>WP-00643</t>
        </is>
      </c>
      <c r="C1460" s="53" t="inlineStr">
        <is>
          <t>TECH-062</t>
        </is>
      </c>
      <c r="D1460" s="53" t="inlineStr">
        <is>
          <t>Avionics</t>
        </is>
      </c>
      <c r="E1460" s="53" t="inlineStr">
        <is>
          <t>2025-04-09</t>
        </is>
      </c>
      <c r="F1460" s="53">
        <v>4.8</v>
      </c>
      <c r="G1460" s="53">
        <v>0</v>
      </c>
      <c r="H1460" s="51" t="str">
        <f>TEXT(tblLaborEntries[[#This Row],[Work date serial]]-WEEKDAY(tblLaborEntries[[#This Row],[Work date serial]],3),"yyyy-mm-dd")</f>
        <v>2025-04-07</v>
      </c>
      <c r="I1460" s="64">
        <f>DATEVALUE(tblLaborEntries[[#This Row],[Work date]])</f>
        <v>45756.0</v>
      </c>
    </row>
    <row r="1461" spans="1:9" ht="15" x14ac:dyDescent="0.25">
      <c r="A1461" s="53" t="inlineStr">
        <is>
          <t>LAB-001460</t>
        </is>
      </c>
      <c r="B1461" s="53" t="inlineStr">
        <is>
          <t>WP-00644</t>
        </is>
      </c>
      <c r="C1461" s="53" t="inlineStr">
        <is>
          <t>TECH-016</t>
        </is>
      </c>
      <c r="D1461" s="53" t="inlineStr">
        <is>
          <t>Electrical</t>
        </is>
      </c>
      <c r="E1461" s="53" t="inlineStr">
        <is>
          <t>2024-10-05</t>
        </is>
      </c>
      <c r="F1461" s="53">
        <v>6.8</v>
      </c>
      <c r="G1461" s="53">
        <v>0</v>
      </c>
      <c r="H1461" s="51" t="str">
        <f>TEXT(tblLaborEntries[[#This Row],[Work date serial]]-WEEKDAY(tblLaborEntries[[#This Row],[Work date serial]],3),"yyyy-mm-dd")</f>
        <v>2024-09-30</v>
      </c>
      <c r="I1461" s="64">
        <f>DATEVALUE(tblLaborEntries[[#This Row],[Work date]])</f>
        <v>45570.0</v>
      </c>
    </row>
    <row r="1462" spans="1:9" ht="15" x14ac:dyDescent="0.25">
      <c r="A1462" s="53" t="inlineStr">
        <is>
          <t>LAB-001461</t>
        </is>
      </c>
      <c r="B1462" s="53" t="inlineStr">
        <is>
          <t>WP-00644</t>
        </is>
      </c>
      <c r="C1462" s="53" t="inlineStr">
        <is>
          <t>TECH-040</t>
        </is>
      </c>
      <c r="D1462" s="53" t="inlineStr">
        <is>
          <t>Electrical</t>
        </is>
      </c>
      <c r="E1462" s="53" t="inlineStr">
        <is>
          <t>2024-10-06</t>
        </is>
      </c>
      <c r="F1462" s="53">
        <v>4.6</v>
      </c>
      <c r="G1462" s="53">
        <v>0</v>
      </c>
      <c r="H1462" s="51" t="str">
        <f>TEXT(tblLaborEntries[[#This Row],[Work date serial]]-WEEKDAY(tblLaborEntries[[#This Row],[Work date serial]],3),"yyyy-mm-dd")</f>
        <v>2024-09-30</v>
      </c>
      <c r="I1462" s="64">
        <f>DATEVALUE(tblLaborEntries[[#This Row],[Work date]])</f>
        <v>45571.0</v>
      </c>
    </row>
    <row r="1463" spans="1:9" ht="15" x14ac:dyDescent="0.25">
      <c r="A1463" s="53" t="inlineStr">
        <is>
          <t>LAB-001462</t>
        </is>
      </c>
      <c r="B1463" s="53" t="inlineStr">
        <is>
          <t>WP-00644</t>
        </is>
      </c>
      <c r="C1463" s="53" t="inlineStr">
        <is>
          <t>TECH-022</t>
        </is>
      </c>
      <c r="D1463" s="53" t="inlineStr">
        <is>
          <t>Electrical</t>
        </is>
      </c>
      <c r="E1463" s="53" t="inlineStr">
        <is>
          <t>2024-10-07</t>
        </is>
      </c>
      <c r="F1463" s="53">
        <v>6.4</v>
      </c>
      <c r="G1463" s="53">
        <v>0</v>
      </c>
      <c r="H1463" s="51" t="str">
        <f>TEXT(tblLaborEntries[[#This Row],[Work date serial]]-WEEKDAY(tblLaborEntries[[#This Row],[Work date serial]],3),"yyyy-mm-dd")</f>
        <v>2024-10-07</v>
      </c>
      <c r="I1463" s="64">
        <f>DATEVALUE(tblLaborEntries[[#This Row],[Work date]])</f>
        <v>45572.0</v>
      </c>
    </row>
    <row r="1464" spans="1:9" ht="15" x14ac:dyDescent="0.25">
      <c r="A1464" s="53" t="inlineStr">
        <is>
          <t>LAB-001463</t>
        </is>
      </c>
      <c r="B1464" s="53" t="inlineStr">
        <is>
          <t>WP-00645</t>
        </is>
      </c>
      <c r="C1464" s="53" t="inlineStr">
        <is>
          <t>TECH-031</t>
        </is>
      </c>
      <c r="D1464" s="53" t="inlineStr">
        <is>
          <t>Airframe</t>
        </is>
      </c>
      <c r="E1464" s="53" t="inlineStr">
        <is>
          <t>2025-04-08</t>
        </is>
      </c>
      <c r="F1464" s="53">
        <v>4.3</v>
      </c>
      <c r="G1464" s="53">
        <v>0</v>
      </c>
      <c r="H1464" s="51" t="str">
        <f>TEXT(tblLaborEntries[[#This Row],[Work date serial]]-WEEKDAY(tblLaborEntries[[#This Row],[Work date serial]],3),"yyyy-mm-dd")</f>
        <v>2025-04-07</v>
      </c>
      <c r="I1464" s="64">
        <f>DATEVALUE(tblLaborEntries[[#This Row],[Work date]])</f>
        <v>45755.0</v>
      </c>
    </row>
    <row r="1465" spans="1:9" ht="15" x14ac:dyDescent="0.25">
      <c r="A1465" s="53" t="inlineStr">
        <is>
          <t>LAB-001464</t>
        </is>
      </c>
      <c r="B1465" s="53" t="inlineStr">
        <is>
          <t>WP-00645</t>
        </is>
      </c>
      <c r="C1465" s="53" t="inlineStr">
        <is>
          <t>TECH-061</t>
        </is>
      </c>
      <c r="D1465" s="53" t="inlineStr">
        <is>
          <t>Airframe</t>
        </is>
      </c>
      <c r="E1465" s="53" t="inlineStr">
        <is>
          <t>2025-04-09</t>
        </is>
      </c>
      <c r="F1465" s="53">
        <v>4.5</v>
      </c>
      <c r="G1465" s="53">
        <v>0</v>
      </c>
      <c r="H1465" s="51" t="str">
        <f>TEXT(tblLaborEntries[[#This Row],[Work date serial]]-WEEKDAY(tblLaborEntries[[#This Row],[Work date serial]],3),"yyyy-mm-dd")</f>
        <v>2025-04-07</v>
      </c>
      <c r="I1465" s="64">
        <f>DATEVALUE(tblLaborEntries[[#This Row],[Work date]])</f>
        <v>45756.0</v>
      </c>
    </row>
    <row r="1466" spans="1:9" ht="15" x14ac:dyDescent="0.25">
      <c r="A1466" s="53" t="inlineStr">
        <is>
          <t>LAB-001465</t>
        </is>
      </c>
      <c r="B1466" s="53" t="inlineStr">
        <is>
          <t>WP-00645</t>
        </is>
      </c>
      <c r="C1466" s="53" t="inlineStr">
        <is>
          <t>TECH-043</t>
        </is>
      </c>
      <c r="D1466" s="53" t="inlineStr">
        <is>
          <t>Airframe</t>
        </is>
      </c>
      <c r="E1466" s="53" t="inlineStr">
        <is>
          <t>2025-04-10</t>
        </is>
      </c>
      <c r="F1466" s="53">
        <v>3.6</v>
      </c>
      <c r="G1466" s="53">
        <v>0</v>
      </c>
      <c r="H1466" s="51" t="str">
        <f>TEXT(tblLaborEntries[[#This Row],[Work date serial]]-WEEKDAY(tblLaborEntries[[#This Row],[Work date serial]],3),"yyyy-mm-dd")</f>
        <v>2025-04-07</v>
      </c>
      <c r="I1466" s="64">
        <f>DATEVALUE(tblLaborEntries[[#This Row],[Work date]])</f>
        <v>45757.0</v>
      </c>
    </row>
    <row r="1467" spans="1:9" ht="15" x14ac:dyDescent="0.25">
      <c r="A1467" s="53" t="inlineStr">
        <is>
          <t>LAB-001466</t>
        </is>
      </c>
      <c r="B1467" s="53" t="inlineStr">
        <is>
          <t>WP-00646</t>
        </is>
      </c>
      <c r="C1467" s="53" t="inlineStr">
        <is>
          <t>TECH-025</t>
        </is>
      </c>
      <c r="D1467" s="53" t="inlineStr">
        <is>
          <t>Airframe</t>
        </is>
      </c>
      <c r="E1467" s="53" t="inlineStr">
        <is>
          <t>2025-02-20</t>
        </is>
      </c>
      <c r="F1467" s="53">
        <v>7.8</v>
      </c>
      <c r="G1467" s="53">
        <v>0</v>
      </c>
      <c r="H1467" s="51" t="str">
        <f>TEXT(tblLaborEntries[[#This Row],[Work date serial]]-WEEKDAY(tblLaborEntries[[#This Row],[Work date serial]],3),"yyyy-mm-dd")</f>
        <v>2025-02-17</v>
      </c>
      <c r="I1467" s="64">
        <f>DATEVALUE(tblLaborEntries[[#This Row],[Work date]])</f>
        <v>45708.0</v>
      </c>
    </row>
    <row r="1468" spans="1:9" ht="15" x14ac:dyDescent="0.25">
      <c r="A1468" s="53" t="inlineStr">
        <is>
          <t>LAB-001467</t>
        </is>
      </c>
      <c r="B1468" s="53" t="inlineStr">
        <is>
          <t>WP-00646</t>
        </is>
      </c>
      <c r="C1468" s="53" t="inlineStr">
        <is>
          <t>TECH-043</t>
        </is>
      </c>
      <c r="D1468" s="53" t="inlineStr">
        <is>
          <t>Airframe</t>
        </is>
      </c>
      <c r="E1468" s="53" t="inlineStr">
        <is>
          <t>2025-02-21</t>
        </is>
      </c>
      <c r="F1468" s="53">
        <v>8.9</v>
      </c>
      <c r="G1468" s="53">
        <v>0.9</v>
      </c>
      <c r="H1468" s="51" t="str">
        <f>TEXT(tblLaborEntries[[#This Row],[Work date serial]]-WEEKDAY(tblLaborEntries[[#This Row],[Work date serial]],3),"yyyy-mm-dd")</f>
        <v>2025-02-17</v>
      </c>
      <c r="I1468" s="64">
        <f>DATEVALUE(tblLaborEntries[[#This Row],[Work date]])</f>
        <v>45709.0</v>
      </c>
    </row>
    <row r="1469" spans="1:9" ht="15" x14ac:dyDescent="0.25">
      <c r="A1469" s="53" t="inlineStr">
        <is>
          <t>LAB-001468</t>
        </is>
      </c>
      <c r="B1469" s="53" t="inlineStr">
        <is>
          <t>WP-00647</t>
        </is>
      </c>
      <c r="C1469" s="53" t="inlineStr">
        <is>
          <t>TECH-023</t>
        </is>
      </c>
      <c r="D1469" s="53" t="inlineStr">
        <is>
          <t>Structures</t>
        </is>
      </c>
      <c r="E1469" s="53" t="inlineStr">
        <is>
          <t>2025-12-06</t>
        </is>
      </c>
      <c r="F1469" s="53">
        <v>5.7</v>
      </c>
      <c r="G1469" s="53">
        <v>0</v>
      </c>
      <c r="H1469" s="51" t="str">
        <f>TEXT(tblLaborEntries[[#This Row],[Work date serial]]-WEEKDAY(tblLaborEntries[[#This Row],[Work date serial]],3),"yyyy-mm-dd")</f>
        <v>2025-12-01</v>
      </c>
      <c r="I1469" s="64">
        <f>DATEVALUE(tblLaborEntries[[#This Row],[Work date]])</f>
        <v>45997.0</v>
      </c>
    </row>
    <row r="1470" spans="1:9" ht="15" x14ac:dyDescent="0.25">
      <c r="A1470" s="53" t="inlineStr">
        <is>
          <t>LAB-001469</t>
        </is>
      </c>
      <c r="B1470" s="53" t="inlineStr">
        <is>
          <t>WP-00647</t>
        </is>
      </c>
      <c r="C1470" s="53" t="inlineStr">
        <is>
          <t>TECH-029</t>
        </is>
      </c>
      <c r="D1470" s="53" t="inlineStr">
        <is>
          <t>Structures</t>
        </is>
      </c>
      <c r="E1470" s="53" t="inlineStr">
        <is>
          <t>2025-12-07</t>
        </is>
      </c>
      <c r="F1470" s="53">
        <v>5.6</v>
      </c>
      <c r="G1470" s="53">
        <v>0</v>
      </c>
      <c r="H1470" s="51" t="str">
        <f>TEXT(tblLaborEntries[[#This Row],[Work date serial]]-WEEKDAY(tblLaborEntries[[#This Row],[Work date serial]],3),"yyyy-mm-dd")</f>
        <v>2025-12-01</v>
      </c>
      <c r="I1470" s="64">
        <f>DATEVALUE(tblLaborEntries[[#This Row],[Work date]])</f>
        <v>45998.0</v>
      </c>
    </row>
    <row r="1471" spans="1:9" ht="15" x14ac:dyDescent="0.25">
      <c r="A1471" s="53" t="inlineStr">
        <is>
          <t>LAB-001470</t>
        </is>
      </c>
      <c r="B1471" s="53" t="inlineStr">
        <is>
          <t>WP-00648</t>
        </is>
      </c>
      <c r="C1471" s="53" t="inlineStr">
        <is>
          <t>TECH-027</t>
        </is>
      </c>
      <c r="D1471" s="53" t="inlineStr">
        <is>
          <t>Hydraulics</t>
        </is>
      </c>
      <c r="E1471" s="53" t="inlineStr">
        <is>
          <t>2025-07-14</t>
        </is>
      </c>
      <c r="F1471" s="53">
        <v>2.5</v>
      </c>
      <c r="G1471" s="53">
        <v>0</v>
      </c>
      <c r="H1471" s="51" t="str">
        <f>TEXT(tblLaborEntries[[#This Row],[Work date serial]]-WEEKDAY(tblLaborEntries[[#This Row],[Work date serial]],3),"yyyy-mm-dd")</f>
        <v>2025-07-14</v>
      </c>
      <c r="I1471" s="64">
        <f>DATEVALUE(tblLaborEntries[[#This Row],[Work date]])</f>
        <v>45852.0</v>
      </c>
    </row>
    <row r="1472" spans="1:9" ht="15" x14ac:dyDescent="0.25">
      <c r="A1472" s="53" t="inlineStr">
        <is>
          <t>LAB-001471</t>
        </is>
      </c>
      <c r="B1472" s="53" t="inlineStr">
        <is>
          <t>WP-00648</t>
        </is>
      </c>
      <c r="C1472" s="53" t="inlineStr">
        <is>
          <t>TECH-063</t>
        </is>
      </c>
      <c r="D1472" s="53" t="inlineStr">
        <is>
          <t>Hydraulics</t>
        </is>
      </c>
      <c r="E1472" s="53" t="inlineStr">
        <is>
          <t>2025-07-15</t>
        </is>
      </c>
      <c r="F1472" s="53">
        <v>2.5</v>
      </c>
      <c r="G1472" s="53">
        <v>0</v>
      </c>
      <c r="H1472" s="51" t="str">
        <f>TEXT(tblLaborEntries[[#This Row],[Work date serial]]-WEEKDAY(tblLaborEntries[[#This Row],[Work date serial]],3),"yyyy-mm-dd")</f>
        <v>2025-07-14</v>
      </c>
      <c r="I1472" s="64">
        <f>DATEVALUE(tblLaborEntries[[#This Row],[Work date]])</f>
        <v>45853.0</v>
      </c>
    </row>
    <row r="1473" spans="1:9" ht="15" x14ac:dyDescent="0.25">
      <c r="A1473" s="53" t="inlineStr">
        <is>
          <t>LAB-001472</t>
        </is>
      </c>
      <c r="B1473" s="53" t="inlineStr">
        <is>
          <t>WP-00648</t>
        </is>
      </c>
      <c r="C1473" s="53" t="inlineStr">
        <is>
          <t>TECH-027</t>
        </is>
      </c>
      <c r="D1473" s="53" t="inlineStr">
        <is>
          <t>Hydraulics</t>
        </is>
      </c>
      <c r="E1473" s="53" t="inlineStr">
        <is>
          <t>2025-07-16</t>
        </is>
      </c>
      <c r="F1473" s="53">
        <v>3.6</v>
      </c>
      <c r="G1473" s="53">
        <v>0</v>
      </c>
      <c r="H1473" s="51" t="str">
        <f>TEXT(tblLaborEntries[[#This Row],[Work date serial]]-WEEKDAY(tblLaborEntries[[#This Row],[Work date serial]],3),"yyyy-mm-dd")</f>
        <v>2025-07-14</v>
      </c>
      <c r="I1473" s="64">
        <f>DATEVALUE(tblLaborEntries[[#This Row],[Work date]])</f>
        <v>45854.0</v>
      </c>
    </row>
    <row r="1474" spans="1:9" ht="15" x14ac:dyDescent="0.25">
      <c r="A1474" s="53" t="inlineStr">
        <is>
          <t>LAB-001473</t>
        </is>
      </c>
      <c r="B1474" s="53" t="inlineStr">
        <is>
          <t>WP-00649</t>
        </is>
      </c>
      <c r="C1474" s="53" t="inlineStr">
        <is>
          <t>TECH-005</t>
        </is>
      </c>
      <c r="D1474" s="53" t="inlineStr">
        <is>
          <t>Structures</t>
        </is>
      </c>
      <c r="E1474" s="53" t="inlineStr">
        <is>
          <t>2024-06-15</t>
        </is>
      </c>
      <c r="F1474" s="53">
        <v>0.1</v>
      </c>
      <c r="G1474" s="53">
        <v>0</v>
      </c>
      <c r="H1474" s="51" t="str">
        <f>TEXT(tblLaborEntries[[#This Row],[Work date serial]]-WEEKDAY(tblLaborEntries[[#This Row],[Work date serial]],3),"yyyy-mm-dd")</f>
        <v>2024-06-10</v>
      </c>
      <c r="I1474" s="64">
        <f>DATEVALUE(tblLaborEntries[[#This Row],[Work date]])</f>
        <v>45458.0</v>
      </c>
    </row>
    <row r="1475" spans="1:9" ht="15" x14ac:dyDescent="0.25">
      <c r="A1475" s="53" t="inlineStr">
        <is>
          <t>LAB-001474</t>
        </is>
      </c>
      <c r="B1475" s="53" t="inlineStr">
        <is>
          <t>WP-00649</t>
        </is>
      </c>
      <c r="C1475" s="53" t="inlineStr">
        <is>
          <t>TECH-041</t>
        </is>
      </c>
      <c r="D1475" s="53" t="inlineStr">
        <is>
          <t>Structures</t>
        </is>
      </c>
      <c r="E1475" s="53" t="inlineStr">
        <is>
          <t>2024-06-15</t>
        </is>
      </c>
      <c r="F1475" s="53">
        <v>12</v>
      </c>
      <c r="G1475" s="53">
        <v>4</v>
      </c>
      <c r="H1475" s="51" t="str">
        <f>TEXT(tblLaborEntries[[#This Row],[Work date serial]]-WEEKDAY(tblLaborEntries[[#This Row],[Work date serial]],3),"yyyy-mm-dd")</f>
        <v>2024-06-10</v>
      </c>
      <c r="I1475" s="64">
        <f>DATEVALUE(tblLaborEntries[[#This Row],[Work date]])</f>
        <v>45458.0</v>
      </c>
    </row>
    <row r="1476" spans="1:9" ht="15" x14ac:dyDescent="0.25">
      <c r="A1476" s="53" t="inlineStr">
        <is>
          <t>LAB-001475</t>
        </is>
      </c>
      <c r="B1476" s="53" t="inlineStr">
        <is>
          <t>WP-00650</t>
        </is>
      </c>
      <c r="C1476" s="53" t="inlineStr">
        <is>
          <t>TECH-024</t>
        </is>
      </c>
      <c r="D1476" s="53" t="inlineStr">
        <is>
          <t>Powerplant</t>
        </is>
      </c>
      <c r="E1476" s="53" t="inlineStr">
        <is>
          <t>2025-01-13</t>
        </is>
      </c>
      <c r="F1476" s="53">
        <v>6.5</v>
      </c>
      <c r="G1476" s="53">
        <v>0</v>
      </c>
      <c r="H1476" s="51" t="str">
        <f>TEXT(tblLaborEntries[[#This Row],[Work date serial]]-WEEKDAY(tblLaborEntries[[#This Row],[Work date serial]],3),"yyyy-mm-dd")</f>
        <v>2025-01-13</v>
      </c>
      <c r="I1476" s="64">
        <f>DATEVALUE(tblLaborEntries[[#This Row],[Work date]])</f>
        <v>45670.0</v>
      </c>
    </row>
    <row r="1477" spans="1:9" ht="15" x14ac:dyDescent="0.25">
      <c r="A1477" s="53" t="inlineStr">
        <is>
          <t>LAB-001476</t>
        </is>
      </c>
      <c r="B1477" s="53" t="inlineStr">
        <is>
          <t>WP-00650</t>
        </is>
      </c>
      <c r="C1477" s="53" t="inlineStr">
        <is>
          <t>TECH-042</t>
        </is>
      </c>
      <c r="D1477" s="53" t="inlineStr">
        <is>
          <t>Powerplant</t>
        </is>
      </c>
      <c r="E1477" s="53" t="inlineStr">
        <is>
          <t>2025-01-14</t>
        </is>
      </c>
      <c r="F1477" s="53">
        <v>4.6</v>
      </c>
      <c r="G1477" s="53">
        <v>0</v>
      </c>
      <c r="H1477" s="51" t="str">
        <f>TEXT(tblLaborEntries[[#This Row],[Work date serial]]-WEEKDAY(tblLaborEntries[[#This Row],[Work date serial]],3),"yyyy-mm-dd")</f>
        <v>2025-01-13</v>
      </c>
      <c r="I1477" s="64">
        <f>DATEVALUE(tblLaborEntries[[#This Row],[Work date]])</f>
        <v>45671.0</v>
      </c>
    </row>
    <row r="1478" spans="1:9" ht="15" x14ac:dyDescent="0.25">
      <c r="A1478" s="53" t="inlineStr">
        <is>
          <t>LAB-001477</t>
        </is>
      </c>
      <c r="B1478" s="53" t="inlineStr">
        <is>
          <t>WP-00650</t>
        </is>
      </c>
      <c r="C1478" s="53" t="inlineStr">
        <is>
          <t>TECH-018</t>
        </is>
      </c>
      <c r="D1478" s="53" t="inlineStr">
        <is>
          <t>Powerplant</t>
        </is>
      </c>
      <c r="E1478" s="53" t="inlineStr">
        <is>
          <t>2025-01-15</t>
        </is>
      </c>
      <c r="F1478" s="53">
        <v>7.1</v>
      </c>
      <c r="G1478" s="53">
        <v>0</v>
      </c>
      <c r="H1478" s="51" t="str">
        <f>TEXT(tblLaborEntries[[#This Row],[Work date serial]]-WEEKDAY(tblLaborEntries[[#This Row],[Work date serial]],3),"yyyy-mm-dd")</f>
        <v>2025-01-13</v>
      </c>
      <c r="I1478" s="64">
        <f>DATEVALUE(tblLaborEntries[[#This Row],[Work date]])</f>
        <v>45672.0</v>
      </c>
    </row>
    <row r="1479" spans="1:9" ht="15" x14ac:dyDescent="0.25">
      <c r="A1479" s="53" t="inlineStr">
        <is>
          <t>LAB-001478</t>
        </is>
      </c>
      <c r="B1479" s="53" t="inlineStr">
        <is>
          <t>WP-00651</t>
        </is>
      </c>
      <c r="C1479" s="53" t="inlineStr">
        <is>
          <t>TECH-003</t>
        </is>
      </c>
      <c r="D1479" s="53" t="inlineStr">
        <is>
          <t>Hydraulics</t>
        </is>
      </c>
      <c r="E1479" s="53" t="inlineStr">
        <is>
          <t>2024-05-04</t>
        </is>
      </c>
      <c r="F1479" s="53">
        <v>8.3</v>
      </c>
      <c r="G1479" s="53">
        <v>0.3</v>
      </c>
      <c r="H1479" s="51" t="str">
        <f>TEXT(tblLaborEntries[[#This Row],[Work date serial]]-WEEKDAY(tblLaborEntries[[#This Row],[Work date serial]],3),"yyyy-mm-dd")</f>
        <v>2024-04-29</v>
      </c>
      <c r="I1479" s="64">
        <f>DATEVALUE(tblLaborEntries[[#This Row],[Work date]])</f>
        <v>45416.0</v>
      </c>
    </row>
    <row r="1480" spans="1:9" ht="15" x14ac:dyDescent="0.25">
      <c r="A1480" s="53" t="inlineStr">
        <is>
          <t>LAB-001479</t>
        </is>
      </c>
      <c r="B1480" s="53" t="inlineStr">
        <is>
          <t>WP-00652</t>
        </is>
      </c>
      <c r="C1480" s="53" t="inlineStr">
        <is>
          <t>TECH-051</t>
        </is>
      </c>
      <c r="D1480" s="53" t="inlineStr">
        <is>
          <t>Hydraulics</t>
        </is>
      </c>
      <c r="E1480" s="53" t="inlineStr">
        <is>
          <t>2025-05-22</t>
        </is>
      </c>
      <c r="F1480" s="53">
        <v>6.4</v>
      </c>
      <c r="G1480" s="53">
        <v>0</v>
      </c>
      <c r="H1480" s="51" t="str">
        <f>TEXT(tblLaborEntries[[#This Row],[Work date serial]]-WEEKDAY(tblLaborEntries[[#This Row],[Work date serial]],3),"yyyy-mm-dd")</f>
        <v>2025-05-19</v>
      </c>
      <c r="I1480" s="64">
        <f>DATEVALUE(tblLaborEntries[[#This Row],[Work date]])</f>
        <v>45799.0</v>
      </c>
    </row>
    <row r="1481" spans="1:9" ht="15" x14ac:dyDescent="0.25">
      <c r="A1481" s="53" t="inlineStr">
        <is>
          <t>LAB-001480</t>
        </is>
      </c>
      <c r="B1481" s="53" t="inlineStr">
        <is>
          <t>WP-00652</t>
        </is>
      </c>
      <c r="C1481" s="53" t="inlineStr">
        <is>
          <t>TECH-075</t>
        </is>
      </c>
      <c r="D1481" s="53" t="inlineStr">
        <is>
          <t>Hydraulics</t>
        </is>
      </c>
      <c r="E1481" s="53" t="inlineStr">
        <is>
          <t>2025-05-23</t>
        </is>
      </c>
      <c r="F1481" s="53">
        <v>6.7</v>
      </c>
      <c r="G1481" s="53">
        <v>4</v>
      </c>
      <c r="H1481" s="51" t="str">
        <f>TEXT(tblLaborEntries[[#This Row],[Work date serial]]-WEEKDAY(tblLaborEntries[[#This Row],[Work date serial]],3),"yyyy-mm-dd")</f>
        <v>2025-05-19</v>
      </c>
      <c r="I1481" s="64">
        <f>DATEVALUE(tblLaborEntries[[#This Row],[Work date]])</f>
        <v>45800.0</v>
      </c>
    </row>
    <row r="1482" spans="1:9" ht="15" x14ac:dyDescent="0.25">
      <c r="A1482" s="53" t="inlineStr">
        <is>
          <t>LAB-001481</t>
        </is>
      </c>
      <c r="B1482" s="53" t="inlineStr">
        <is>
          <t>WP-00652</t>
        </is>
      </c>
      <c r="C1482" s="53" t="inlineStr">
        <is>
          <t>TECH-033</t>
        </is>
      </c>
      <c r="D1482" s="53" t="inlineStr">
        <is>
          <t>Hydraulics</t>
        </is>
      </c>
      <c r="E1482" s="53" t="inlineStr">
        <is>
          <t>2025-05-24</t>
        </is>
      </c>
      <c r="F1482" s="53">
        <v>6.5</v>
      </c>
      <c r="G1482" s="53">
        <v>0</v>
      </c>
      <c r="H1482" s="51" t="str">
        <f>TEXT(tblLaborEntries[[#This Row],[Work date serial]]-WEEKDAY(tblLaborEntries[[#This Row],[Work date serial]],3),"yyyy-mm-dd")</f>
        <v>2025-05-19</v>
      </c>
      <c r="I1482" s="64">
        <f>DATEVALUE(tblLaborEntries[[#This Row],[Work date]])</f>
        <v>45801.0</v>
      </c>
    </row>
    <row r="1483" spans="1:9" ht="15" x14ac:dyDescent="0.25">
      <c r="A1483" s="53" t="inlineStr">
        <is>
          <t>LAB-001482</t>
        </is>
      </c>
      <c r="B1483" s="53" t="inlineStr">
        <is>
          <t>WP-00653</t>
        </is>
      </c>
      <c r="C1483" s="53" t="inlineStr">
        <is>
          <t>TECH-048</t>
        </is>
      </c>
      <c r="D1483" s="53" t="inlineStr">
        <is>
          <t>Powerplant</t>
        </is>
      </c>
      <c r="E1483" s="53" t="inlineStr">
        <is>
          <t>2025-08-04</t>
        </is>
      </c>
      <c r="F1483" s="53">
        <v>4.6</v>
      </c>
      <c r="G1483" s="53">
        <v>0</v>
      </c>
      <c r="H1483" s="51" t="str">
        <f>TEXT(tblLaborEntries[[#This Row],[Work date serial]]-WEEKDAY(tblLaborEntries[[#This Row],[Work date serial]],3),"yyyy-mm-dd")</f>
        <v>2025-08-04</v>
      </c>
      <c r="I1483" s="64">
        <f>DATEVALUE(tblLaborEntries[[#This Row],[Work date]])</f>
        <v>45873.0</v>
      </c>
    </row>
    <row r="1484" spans="1:9" ht="15" x14ac:dyDescent="0.25">
      <c r="A1484" s="53" t="inlineStr">
        <is>
          <t>LAB-001483</t>
        </is>
      </c>
      <c r="B1484" s="53" t="inlineStr">
        <is>
          <t>WP-00653</t>
        </is>
      </c>
      <c r="C1484" s="53" t="inlineStr">
        <is>
          <t>TECH-072</t>
        </is>
      </c>
      <c r="D1484" s="53" t="inlineStr">
        <is>
          <t>Powerplant</t>
        </is>
      </c>
      <c r="E1484" s="53" t="inlineStr">
        <is>
          <t>2025-08-05</t>
        </is>
      </c>
      <c r="F1484" s="53">
        <v>5.7</v>
      </c>
      <c r="G1484" s="53">
        <v>0</v>
      </c>
      <c r="H1484" s="51" t="str">
        <f>TEXT(tblLaborEntries[[#This Row],[Work date serial]]-WEEKDAY(tblLaborEntries[[#This Row],[Work date serial]],3),"yyyy-mm-dd")</f>
        <v>2025-08-04</v>
      </c>
      <c r="I1484" s="64">
        <f>DATEVALUE(tblLaborEntries[[#This Row],[Work date]])</f>
        <v>45874.0</v>
      </c>
    </row>
    <row r="1485" spans="1:9" ht="15" x14ac:dyDescent="0.25">
      <c r="A1485" s="53" t="inlineStr">
        <is>
          <t>LAB-001484</t>
        </is>
      </c>
      <c r="B1485" s="53" t="inlineStr">
        <is>
          <t>WP-00653</t>
        </is>
      </c>
      <c r="C1485" s="53" t="inlineStr">
        <is>
          <t>TECH-054</t>
        </is>
      </c>
      <c r="D1485" s="53" t="inlineStr">
        <is>
          <t>Powerplant</t>
        </is>
      </c>
      <c r="E1485" s="53" t="inlineStr">
        <is>
          <t>2025-08-06</t>
        </is>
      </c>
      <c r="F1485" s="53">
        <v>7</v>
      </c>
      <c r="G1485" s="53">
        <v>0</v>
      </c>
      <c r="H1485" s="51" t="str">
        <f>TEXT(tblLaborEntries[[#This Row],[Work date serial]]-WEEKDAY(tblLaborEntries[[#This Row],[Work date serial]],3),"yyyy-mm-dd")</f>
        <v>2025-08-04</v>
      </c>
      <c r="I1485" s="64">
        <f>DATEVALUE(tblLaborEntries[[#This Row],[Work date]])</f>
        <v>45875.0</v>
      </c>
    </row>
    <row r="1486" spans="1:9" ht="15" x14ac:dyDescent="0.25">
      <c r="A1486" s="53" t="inlineStr">
        <is>
          <t>LAB-001485</t>
        </is>
      </c>
      <c r="B1486" s="53" t="inlineStr">
        <is>
          <t>WP-00654</t>
        </is>
      </c>
      <c r="C1486" s="53" t="inlineStr">
        <is>
          <t>TECH-068</t>
        </is>
      </c>
      <c r="D1486" s="53" t="inlineStr">
        <is>
          <t>Avionics</t>
        </is>
      </c>
      <c r="E1486" s="53" t="inlineStr">
        <is>
          <t>2025-05-09</t>
        </is>
      </c>
      <c r="F1486" s="53">
        <v>1.8</v>
      </c>
      <c r="G1486" s="53">
        <v>0</v>
      </c>
      <c r="H1486" s="51" t="str">
        <f>TEXT(tblLaborEntries[[#This Row],[Work date serial]]-WEEKDAY(tblLaborEntries[[#This Row],[Work date serial]],3),"yyyy-mm-dd")</f>
        <v>2025-05-05</v>
      </c>
      <c r="I1486" s="64">
        <f>DATEVALUE(tblLaborEntries[[#This Row],[Work date]])</f>
        <v>45786.0</v>
      </c>
    </row>
    <row r="1487" spans="1:9" ht="15" x14ac:dyDescent="0.25">
      <c r="A1487" s="53" t="inlineStr">
        <is>
          <t>LAB-001486</t>
        </is>
      </c>
      <c r="B1487" s="53" t="inlineStr">
        <is>
          <t>WP-00654</t>
        </is>
      </c>
      <c r="C1487" s="53" t="inlineStr">
        <is>
          <t>TECH-038</t>
        </is>
      </c>
      <c r="D1487" s="53" t="inlineStr">
        <is>
          <t>Avionics</t>
        </is>
      </c>
      <c r="E1487" s="53" t="inlineStr">
        <is>
          <t>2025-05-10</t>
        </is>
      </c>
      <c r="F1487" s="53">
        <v>1.7</v>
      </c>
      <c r="G1487" s="53">
        <v>0</v>
      </c>
      <c r="H1487" s="51" t="str">
        <f>TEXT(tblLaborEntries[[#This Row],[Work date serial]]-WEEKDAY(tblLaborEntries[[#This Row],[Work date serial]],3),"yyyy-mm-dd")</f>
        <v>2025-05-05</v>
      </c>
      <c r="I1487" s="64">
        <f>DATEVALUE(tblLaborEntries[[#This Row],[Work date]])</f>
        <v>45787.0</v>
      </c>
    </row>
    <row r="1488" spans="1:9" ht="15" x14ac:dyDescent="0.25">
      <c r="A1488" s="53" t="inlineStr">
        <is>
          <t>LAB-001487</t>
        </is>
      </c>
      <c r="B1488" s="53" t="inlineStr">
        <is>
          <t>WP-00655</t>
        </is>
      </c>
      <c r="C1488" s="53" t="inlineStr">
        <is>
          <t>TECH-060</t>
        </is>
      </c>
      <c r="D1488" s="53" t="inlineStr">
        <is>
          <t>Powerplant</t>
        </is>
      </c>
      <c r="E1488" s="53" t="inlineStr">
        <is>
          <t>2025-01-16</t>
        </is>
      </c>
      <c r="F1488" s="53">
        <v>3.1</v>
      </c>
      <c r="G1488" s="53">
        <v>0</v>
      </c>
      <c r="H1488" s="51" t="str">
        <f>TEXT(tblLaborEntries[[#This Row],[Work date serial]]-WEEKDAY(tblLaborEntries[[#This Row],[Work date serial]],3),"yyyy-mm-dd")</f>
        <v>2025-01-13</v>
      </c>
      <c r="I1488" s="64">
        <f>DATEVALUE(tblLaborEntries[[#This Row],[Work date]])</f>
        <v>45673.0</v>
      </c>
    </row>
    <row r="1489" spans="1:9" ht="15" x14ac:dyDescent="0.25">
      <c r="A1489" s="53" t="inlineStr">
        <is>
          <t>LAB-001488</t>
        </is>
      </c>
      <c r="B1489" s="53" t="inlineStr">
        <is>
          <t>WP-00655</t>
        </is>
      </c>
      <c r="C1489" s="53" t="inlineStr">
        <is>
          <t>TECH-036</t>
        </is>
      </c>
      <c r="D1489" s="53" t="inlineStr">
        <is>
          <t>Powerplant</t>
        </is>
      </c>
      <c r="E1489" s="53" t="inlineStr">
        <is>
          <t>2025-01-17</t>
        </is>
      </c>
      <c r="F1489" s="53">
        <v>3.5</v>
      </c>
      <c r="G1489" s="53">
        <v>0</v>
      </c>
      <c r="H1489" s="51" t="str">
        <f>TEXT(tblLaborEntries[[#This Row],[Work date serial]]-WEEKDAY(tblLaborEntries[[#This Row],[Work date serial]],3),"yyyy-mm-dd")</f>
        <v>2025-01-13</v>
      </c>
      <c r="I1489" s="64">
        <f>DATEVALUE(tblLaborEntries[[#This Row],[Work date]])</f>
        <v>45674.0</v>
      </c>
    </row>
    <row r="1490" spans="1:9" ht="15" x14ac:dyDescent="0.25">
      <c r="A1490" s="53" t="inlineStr">
        <is>
          <t>LAB-001489</t>
        </is>
      </c>
      <c r="B1490" s="53" t="inlineStr">
        <is>
          <t>WP-00655</t>
        </is>
      </c>
      <c r="C1490" s="53" t="inlineStr">
        <is>
          <t>TECH-048</t>
        </is>
      </c>
      <c r="D1490" s="53" t="inlineStr">
        <is>
          <t>Powerplant</t>
        </is>
      </c>
      <c r="E1490" s="53" t="inlineStr">
        <is>
          <t>2025-01-18</t>
        </is>
      </c>
      <c r="F1490" s="53">
        <v>4.5</v>
      </c>
      <c r="G1490" s="53">
        <v>0</v>
      </c>
      <c r="H1490" s="51" t="str">
        <f>TEXT(tblLaborEntries[[#This Row],[Work date serial]]-WEEKDAY(tblLaborEntries[[#This Row],[Work date serial]],3),"yyyy-mm-dd")</f>
        <v>2025-01-13</v>
      </c>
      <c r="I1490" s="64">
        <f>DATEVALUE(tblLaborEntries[[#This Row],[Work date]])</f>
        <v>45675.0</v>
      </c>
    </row>
    <row r="1491" spans="1:9" ht="15" x14ac:dyDescent="0.25">
      <c r="A1491" s="53" t="inlineStr">
        <is>
          <t>LAB-001490</t>
        </is>
      </c>
      <c r="B1491" s="53" t="inlineStr">
        <is>
          <t>WP-00656</t>
        </is>
      </c>
      <c r="C1491" s="53" t="inlineStr">
        <is>
          <t>TECH-020</t>
        </is>
      </c>
      <c r="D1491" s="53" t="inlineStr">
        <is>
          <t>Avionics</t>
        </is>
      </c>
      <c r="E1491" s="53" t="inlineStr">
        <is>
          <t>2024-03-18</t>
        </is>
      </c>
      <c r="F1491" s="53">
        <v>3</v>
      </c>
      <c r="G1491" s="53">
        <v>0</v>
      </c>
      <c r="H1491" s="51" t="str">
        <f>TEXT(tblLaborEntries[[#This Row],[Work date serial]]-WEEKDAY(tblLaborEntries[[#This Row],[Work date serial]],3),"yyyy-mm-dd")</f>
        <v>2024-03-18</v>
      </c>
      <c r="I1491" s="64">
        <f>DATEVALUE(tblLaborEntries[[#This Row],[Work date]])</f>
        <v>45369.0</v>
      </c>
    </row>
    <row r="1492" spans="1:9" ht="15" x14ac:dyDescent="0.25">
      <c r="A1492" s="53" t="inlineStr">
        <is>
          <t>LAB-001491</t>
        </is>
      </c>
      <c r="B1492" s="53" t="inlineStr">
        <is>
          <t>WP-00656</t>
        </is>
      </c>
      <c r="C1492" s="53" t="inlineStr">
        <is>
          <t>TECH-020</t>
        </is>
      </c>
      <c r="D1492" s="53" t="inlineStr">
        <is>
          <t>Avionics</t>
        </is>
      </c>
      <c r="E1492" s="53" t="inlineStr">
        <is>
          <t>2024-03-19</t>
        </is>
      </c>
      <c r="F1492" s="53">
        <v>3.7</v>
      </c>
      <c r="G1492" s="53">
        <v>0</v>
      </c>
      <c r="H1492" s="51" t="str">
        <f>TEXT(tblLaborEntries[[#This Row],[Work date serial]]-WEEKDAY(tblLaborEntries[[#This Row],[Work date serial]],3),"yyyy-mm-dd")</f>
        <v>2024-03-18</v>
      </c>
      <c r="I1492" s="64">
        <f>DATEVALUE(tblLaborEntries[[#This Row],[Work date]])</f>
        <v>45370.0</v>
      </c>
    </row>
    <row r="1493" spans="1:9" ht="15" x14ac:dyDescent="0.25">
      <c r="A1493" s="53" t="inlineStr">
        <is>
          <t>LAB-001492</t>
        </is>
      </c>
      <c r="B1493" s="53" t="inlineStr">
        <is>
          <t>WP-00657</t>
        </is>
      </c>
      <c r="C1493" s="53" t="inlineStr">
        <is>
          <t>TECH-006</t>
        </is>
      </c>
      <c r="D1493" s="53" t="inlineStr">
        <is>
          <t>Powerplant</t>
        </is>
      </c>
      <c r="E1493" s="53" t="inlineStr">
        <is>
          <t>2025-06-25</t>
        </is>
      </c>
      <c r="F1493" s="53">
        <v>4.6</v>
      </c>
      <c r="G1493" s="53">
        <v>0</v>
      </c>
      <c r="H1493" s="51" t="str">
        <f>TEXT(tblLaborEntries[[#This Row],[Work date serial]]-WEEKDAY(tblLaborEntries[[#This Row],[Work date serial]],3),"yyyy-mm-dd")</f>
        <v>2025-06-23</v>
      </c>
      <c r="I1493" s="64">
        <f>DATEVALUE(tblLaborEntries[[#This Row],[Work date]])</f>
        <v>45833.0</v>
      </c>
    </row>
    <row r="1494" spans="1:9" ht="15" x14ac:dyDescent="0.25">
      <c r="A1494" s="53" t="inlineStr">
        <is>
          <t>LAB-001493</t>
        </is>
      </c>
      <c r="B1494" s="53" t="inlineStr">
        <is>
          <t>WP-00657</t>
        </is>
      </c>
      <c r="C1494" s="53" t="inlineStr">
        <is>
          <t>TECH-030</t>
        </is>
      </c>
      <c r="D1494" s="53" t="inlineStr">
        <is>
          <t>Powerplant</t>
        </is>
      </c>
      <c r="E1494" s="53" t="inlineStr">
        <is>
          <t>2025-06-25</t>
        </is>
      </c>
      <c r="F1494" s="53">
        <v>12</v>
      </c>
      <c r="G1494" s="53">
        <v>4</v>
      </c>
      <c r="H1494" s="51" t="str">
        <f>TEXT(tblLaborEntries[[#This Row],[Work date serial]]-WEEKDAY(tblLaborEntries[[#This Row],[Work date serial]],3),"yyyy-mm-dd")</f>
        <v>2025-06-23</v>
      </c>
      <c r="I1494" s="64">
        <f>DATEVALUE(tblLaborEntries[[#This Row],[Work date]])</f>
        <v>45833.0</v>
      </c>
    </row>
    <row r="1495" spans="1:9" ht="15" x14ac:dyDescent="0.25">
      <c r="A1495" s="53" t="inlineStr">
        <is>
          <t>LAB-001494</t>
        </is>
      </c>
      <c r="B1495" s="53" t="inlineStr">
        <is>
          <t>WP-00658</t>
        </is>
      </c>
      <c r="C1495" s="53" t="inlineStr">
        <is>
          <t>TECH-067</t>
        </is>
      </c>
      <c r="D1495" s="53" t="inlineStr">
        <is>
          <t>Airframe</t>
        </is>
      </c>
      <c r="E1495" s="53" t="inlineStr">
        <is>
          <t>2025-03-19</t>
        </is>
      </c>
      <c r="F1495" s="53">
        <v>2.3</v>
      </c>
      <c r="G1495" s="53">
        <v>0</v>
      </c>
      <c r="H1495" s="51" t="str">
        <f>TEXT(tblLaborEntries[[#This Row],[Work date serial]]-WEEKDAY(tblLaborEntries[[#This Row],[Work date serial]],3),"yyyy-mm-dd")</f>
        <v>2025-03-17</v>
      </c>
      <c r="I1495" s="64">
        <f>DATEVALUE(tblLaborEntries[[#This Row],[Work date]])</f>
        <v>45735.0</v>
      </c>
    </row>
    <row r="1496" spans="1:9" ht="15" x14ac:dyDescent="0.25">
      <c r="A1496" s="53" t="inlineStr">
        <is>
          <t>LAB-001495</t>
        </is>
      </c>
      <c r="B1496" s="53" t="inlineStr">
        <is>
          <t>WP-00658</t>
        </is>
      </c>
      <c r="C1496" s="53" t="inlineStr">
        <is>
          <t>TECH-067</t>
        </is>
      </c>
      <c r="D1496" s="53" t="inlineStr">
        <is>
          <t>Airframe</t>
        </is>
      </c>
      <c r="E1496" s="53" t="inlineStr">
        <is>
          <t>2025-03-20</t>
        </is>
      </c>
      <c r="F1496" s="53">
        <v>3.4</v>
      </c>
      <c r="G1496" s="53">
        <v>0</v>
      </c>
      <c r="H1496" s="51" t="str">
        <f>TEXT(tblLaborEntries[[#This Row],[Work date serial]]-WEEKDAY(tblLaborEntries[[#This Row],[Work date serial]],3),"yyyy-mm-dd")</f>
        <v>2025-03-17</v>
      </c>
      <c r="I1496" s="64">
        <f>DATEVALUE(tblLaborEntries[[#This Row],[Work date]])</f>
        <v>45736.0</v>
      </c>
    </row>
    <row r="1497" spans="1:9" ht="15" x14ac:dyDescent="0.25">
      <c r="A1497" s="53" t="inlineStr">
        <is>
          <t>LAB-001496</t>
        </is>
      </c>
      <c r="B1497" s="53" t="inlineStr">
        <is>
          <t>WP-00659</t>
        </is>
      </c>
      <c r="C1497" s="53" t="inlineStr">
        <is>
          <t>TECH-055</t>
        </is>
      </c>
      <c r="D1497" s="53" t="inlineStr">
        <is>
          <t>Airframe</t>
        </is>
      </c>
      <c r="E1497" s="53" t="inlineStr">
        <is>
          <t>2024-06-17</t>
        </is>
      </c>
      <c r="F1497" s="53">
        <v>3.5</v>
      </c>
      <c r="G1497" s="53">
        <v>0</v>
      </c>
      <c r="H1497" s="51" t="str">
        <f>TEXT(tblLaborEntries[[#This Row],[Work date serial]]-WEEKDAY(tblLaborEntries[[#This Row],[Work date serial]],3),"yyyy-mm-dd")</f>
        <v>2024-06-17</v>
      </c>
      <c r="I1497" s="64">
        <f>DATEVALUE(tblLaborEntries[[#This Row],[Work date]])</f>
        <v>45460.0</v>
      </c>
    </row>
    <row r="1498" spans="1:9" ht="15" x14ac:dyDescent="0.25">
      <c r="A1498" s="53" t="inlineStr">
        <is>
          <t>LAB-001497</t>
        </is>
      </c>
      <c r="B1498" s="53" t="inlineStr">
        <is>
          <t>WP-00659</t>
        </is>
      </c>
      <c r="C1498" s="53" t="inlineStr">
        <is>
          <t>TECH-037</t>
        </is>
      </c>
      <c r="D1498" s="53" t="inlineStr">
        <is>
          <t>Airframe</t>
        </is>
      </c>
      <c r="E1498" s="53" t="inlineStr">
        <is>
          <t>2024-06-18</t>
        </is>
      </c>
      <c r="F1498" s="53">
        <v>4.8</v>
      </c>
      <c r="G1498" s="53">
        <v>0</v>
      </c>
      <c r="H1498" s="51" t="str">
        <f>TEXT(tblLaborEntries[[#This Row],[Work date serial]]-WEEKDAY(tblLaborEntries[[#This Row],[Work date serial]],3),"yyyy-mm-dd")</f>
        <v>2024-06-17</v>
      </c>
      <c r="I1498" s="64">
        <f>DATEVALUE(tblLaborEntries[[#This Row],[Work date]])</f>
        <v>45461.0</v>
      </c>
    </row>
    <row r="1499" spans="1:9" ht="15" x14ac:dyDescent="0.25">
      <c r="A1499" s="53" t="inlineStr">
        <is>
          <t>LAB-001498</t>
        </is>
      </c>
      <c r="B1499" s="53" t="inlineStr">
        <is>
          <t>WP-00659</t>
        </is>
      </c>
      <c r="C1499" s="53" t="inlineStr">
        <is>
          <t>TECH-055</t>
        </is>
      </c>
      <c r="D1499" s="53" t="inlineStr">
        <is>
          <t>Airframe</t>
        </is>
      </c>
      <c r="E1499" s="53" t="inlineStr">
        <is>
          <t>2024-06-19</t>
        </is>
      </c>
      <c r="F1499" s="53">
        <v>3.7</v>
      </c>
      <c r="G1499" s="53">
        <v>0</v>
      </c>
      <c r="H1499" s="51" t="str">
        <f>TEXT(tblLaborEntries[[#This Row],[Work date serial]]-WEEKDAY(tblLaborEntries[[#This Row],[Work date serial]],3),"yyyy-mm-dd")</f>
        <v>2024-06-17</v>
      </c>
      <c r="I1499" s="64">
        <f>DATEVALUE(tblLaborEntries[[#This Row],[Work date]])</f>
        <v>45462.0</v>
      </c>
    </row>
    <row r="1500" spans="1:9" ht="15" x14ac:dyDescent="0.25">
      <c r="A1500" s="53" t="inlineStr">
        <is>
          <t>LAB-001499</t>
        </is>
      </c>
      <c r="B1500" s="53" t="inlineStr">
        <is>
          <t>WP-00660</t>
        </is>
      </c>
      <c r="C1500" s="53" t="inlineStr">
        <is>
          <t>TECH-062</t>
        </is>
      </c>
      <c r="D1500" s="53" t="inlineStr">
        <is>
          <t>Avionics</t>
        </is>
      </c>
      <c r="E1500" s="53" t="inlineStr">
        <is>
          <t>2024-08-01</t>
        </is>
      </c>
      <c r="F1500" s="53">
        <v>2</v>
      </c>
      <c r="G1500" s="53">
        <v>0</v>
      </c>
      <c r="H1500" s="51" t="str">
        <f>TEXT(tblLaborEntries[[#This Row],[Work date serial]]-WEEKDAY(tblLaborEntries[[#This Row],[Work date serial]],3),"yyyy-mm-dd")</f>
        <v>2024-07-29</v>
      </c>
      <c r="I1500" s="64">
        <f>DATEVALUE(tblLaborEntries[[#This Row],[Work date]])</f>
        <v>45505.0</v>
      </c>
    </row>
    <row r="1501" spans="1:9" ht="15" x14ac:dyDescent="0.25">
      <c r="A1501" s="53" t="inlineStr">
        <is>
          <t>LAB-001500</t>
        </is>
      </c>
      <c r="B1501" s="53" t="inlineStr">
        <is>
          <t>WP-00660</t>
        </is>
      </c>
      <c r="C1501" s="53" t="inlineStr">
        <is>
          <t>TECH-074</t>
        </is>
      </c>
      <c r="D1501" s="53" t="inlineStr">
        <is>
          <t>Avionics</t>
        </is>
      </c>
      <c r="E1501" s="53" t="inlineStr">
        <is>
          <t>2024-08-02</t>
        </is>
      </c>
      <c r="F1501" s="53">
        <v>2.7</v>
      </c>
      <c r="G1501" s="53">
        <v>0</v>
      </c>
      <c r="H1501" s="51" t="str">
        <f>TEXT(tblLaborEntries[[#This Row],[Work date serial]]-WEEKDAY(tblLaborEntries[[#This Row],[Work date serial]],3),"yyyy-mm-dd")</f>
        <v>2024-07-29</v>
      </c>
      <c r="I1501" s="64">
        <f>DATEVALUE(tblLaborEntries[[#This Row],[Work date]])</f>
        <v>45506.0</v>
      </c>
    </row>
    <row r="1502" spans="1:9" ht="15" x14ac:dyDescent="0.25">
      <c r="A1502" s="53" t="inlineStr">
        <is>
          <t>LAB-001501</t>
        </is>
      </c>
      <c r="B1502" s="53" t="inlineStr">
        <is>
          <t>WP-00660</t>
        </is>
      </c>
      <c r="C1502" s="53" t="inlineStr">
        <is>
          <t>TECH-020</t>
        </is>
      </c>
      <c r="D1502" s="53" t="inlineStr">
        <is>
          <t>Avionics</t>
        </is>
      </c>
      <c r="E1502" s="53" t="inlineStr">
        <is>
          <t>2024-08-03</t>
        </is>
      </c>
      <c r="F1502" s="53">
        <v>2.6</v>
      </c>
      <c r="G1502" s="53">
        <v>0</v>
      </c>
      <c r="H1502" s="51" t="str">
        <f>TEXT(tblLaborEntries[[#This Row],[Work date serial]]-WEEKDAY(tblLaborEntries[[#This Row],[Work date serial]],3),"yyyy-mm-dd")</f>
        <v>2024-07-29</v>
      </c>
      <c r="I1502" s="64">
        <f>DATEVALUE(tblLaborEntries[[#This Row],[Work date]])</f>
        <v>45507.0</v>
      </c>
    </row>
    <row r="1503" spans="1:9" ht="15" x14ac:dyDescent="0.25">
      <c r="A1503" s="53" t="inlineStr">
        <is>
          <t>LAB-001502</t>
        </is>
      </c>
      <c r="B1503" s="53" t="inlineStr">
        <is>
          <t>WP-00661</t>
        </is>
      </c>
      <c r="C1503" s="53" t="inlineStr">
        <is>
          <t>TECH-030</t>
        </is>
      </c>
      <c r="D1503" s="53" t="inlineStr">
        <is>
          <t>Powerplant</t>
        </is>
      </c>
      <c r="E1503" s="53" t="inlineStr">
        <is>
          <t>2025-08-29</t>
        </is>
      </c>
      <c r="F1503" s="53">
        <v>1.9</v>
      </c>
      <c r="G1503" s="53">
        <v>0</v>
      </c>
      <c r="H1503" s="51" t="str">
        <f>TEXT(tblLaborEntries[[#This Row],[Work date serial]]-WEEKDAY(tblLaborEntries[[#This Row],[Work date serial]],3),"yyyy-mm-dd")</f>
        <v>2025-08-25</v>
      </c>
      <c r="I1503" s="64">
        <f>DATEVALUE(tblLaborEntries[[#This Row],[Work date]])</f>
        <v>45898.0</v>
      </c>
    </row>
    <row r="1504" spans="1:9" ht="15" x14ac:dyDescent="0.25">
      <c r="A1504" s="53" t="inlineStr">
        <is>
          <t>LAB-001503</t>
        </is>
      </c>
      <c r="B1504" s="53" t="inlineStr">
        <is>
          <t>WP-00661</t>
        </is>
      </c>
      <c r="C1504" s="53" t="inlineStr">
        <is>
          <t>TECH-030</t>
        </is>
      </c>
      <c r="D1504" s="53" t="inlineStr">
        <is>
          <t>Powerplant</t>
        </is>
      </c>
      <c r="E1504" s="53" t="inlineStr">
        <is>
          <t>2025-08-30</t>
        </is>
      </c>
      <c r="F1504" s="53">
        <v>1.8</v>
      </c>
      <c r="G1504" s="53">
        <v>0</v>
      </c>
      <c r="H1504" s="51" t="str">
        <f>TEXT(tblLaborEntries[[#This Row],[Work date serial]]-WEEKDAY(tblLaborEntries[[#This Row],[Work date serial]],3),"yyyy-mm-dd")</f>
        <v>2025-08-25</v>
      </c>
      <c r="I1504" s="64">
        <f>DATEVALUE(tblLaborEntries[[#This Row],[Work date]])</f>
        <v>45899.0</v>
      </c>
    </row>
    <row r="1505" spans="1:9" ht="15" x14ac:dyDescent="0.25">
      <c r="A1505" s="53" t="inlineStr">
        <is>
          <t>LAB-001504</t>
        </is>
      </c>
      <c r="B1505" s="53" t="inlineStr">
        <is>
          <t>WP-00661</t>
        </is>
      </c>
      <c r="C1505" s="53" t="inlineStr">
        <is>
          <t>TECH-018</t>
        </is>
      </c>
      <c r="D1505" s="53" t="inlineStr">
        <is>
          <t>Powerplant</t>
        </is>
      </c>
      <c r="E1505" s="53" t="inlineStr">
        <is>
          <t>2025-08-31</t>
        </is>
      </c>
      <c r="F1505" s="53">
        <v>1.9</v>
      </c>
      <c r="G1505" s="53">
        <v>0</v>
      </c>
      <c r="H1505" s="51" t="str">
        <f>TEXT(tblLaborEntries[[#This Row],[Work date serial]]-WEEKDAY(tblLaborEntries[[#This Row],[Work date serial]],3),"yyyy-mm-dd")</f>
        <v>2025-08-25</v>
      </c>
      <c r="I1505" s="64">
        <f>DATEVALUE(tblLaborEntries[[#This Row],[Work date]])</f>
        <v>45900.0</v>
      </c>
    </row>
    <row r="1506" spans="1:9" ht="15" x14ac:dyDescent="0.25">
      <c r="A1506" s="53" t="inlineStr">
        <is>
          <t>LAB-001505</t>
        </is>
      </c>
      <c r="B1506" s="53" t="inlineStr">
        <is>
          <t>WP-00662</t>
        </is>
      </c>
      <c r="C1506" s="53" t="inlineStr">
        <is>
          <t>TECH-026</t>
        </is>
      </c>
      <c r="D1506" s="53" t="inlineStr">
        <is>
          <t>Avionics</t>
        </is>
      </c>
      <c r="E1506" s="53" t="inlineStr">
        <is>
          <t>2024-04-12</t>
        </is>
      </c>
      <c r="F1506" s="53">
        <v>2</v>
      </c>
      <c r="G1506" s="53">
        <v>0</v>
      </c>
      <c r="H1506" s="51" t="str">
        <f>TEXT(tblLaborEntries[[#This Row],[Work date serial]]-WEEKDAY(tblLaborEntries[[#This Row],[Work date serial]],3),"yyyy-mm-dd")</f>
        <v>2024-04-08</v>
      </c>
      <c r="I1506" s="64">
        <f>DATEVALUE(tblLaborEntries[[#This Row],[Work date]])</f>
        <v>45394.0</v>
      </c>
    </row>
    <row r="1507" spans="1:9" ht="15" x14ac:dyDescent="0.25">
      <c r="A1507" s="53" t="inlineStr">
        <is>
          <t>LAB-001506</t>
        </is>
      </c>
      <c r="B1507" s="53" t="inlineStr">
        <is>
          <t>WP-00662</t>
        </is>
      </c>
      <c r="C1507" s="53" t="inlineStr">
        <is>
          <t>TECH-068</t>
        </is>
      </c>
      <c r="D1507" s="53" t="inlineStr">
        <is>
          <t>Avionics</t>
        </is>
      </c>
      <c r="E1507" s="53" t="inlineStr">
        <is>
          <t>2024-04-13</t>
        </is>
      </c>
      <c r="F1507" s="53">
        <v>2.2</v>
      </c>
      <c r="G1507" s="53">
        <v>0</v>
      </c>
      <c r="H1507" s="51" t="str">
        <f>TEXT(tblLaborEntries[[#This Row],[Work date serial]]-WEEKDAY(tblLaborEntries[[#This Row],[Work date serial]],3),"yyyy-mm-dd")</f>
        <v>2024-04-08</v>
      </c>
      <c r="I1507" s="64">
        <f>DATEVALUE(tblLaborEntries[[#This Row],[Work date]])</f>
        <v>45395.0</v>
      </c>
    </row>
    <row r="1508" spans="1:9" ht="15" x14ac:dyDescent="0.25">
      <c r="A1508" s="53" t="inlineStr">
        <is>
          <t>LAB-001507</t>
        </is>
      </c>
      <c r="B1508" s="53" t="inlineStr">
        <is>
          <t>WP-00663</t>
        </is>
      </c>
      <c r="C1508" s="53" t="inlineStr">
        <is>
          <t>TECH-001</t>
        </is>
      </c>
      <c r="D1508" s="53" t="inlineStr">
        <is>
          <t>Airframe</t>
        </is>
      </c>
      <c r="E1508" s="53" t="inlineStr">
        <is>
          <t>2025-06-09</t>
        </is>
      </c>
      <c r="F1508" s="53">
        <v>2.4</v>
      </c>
      <c r="G1508" s="53">
        <v>0</v>
      </c>
      <c r="H1508" s="51" t="str">
        <f>TEXT(tblLaborEntries[[#This Row],[Work date serial]]-WEEKDAY(tblLaborEntries[[#This Row],[Work date serial]],3),"yyyy-mm-dd")</f>
        <v>2025-06-09</v>
      </c>
      <c r="I1508" s="64">
        <f>DATEVALUE(tblLaborEntries[[#This Row],[Work date]])</f>
        <v>45817.0</v>
      </c>
    </row>
    <row r="1509" spans="1:9" ht="15" x14ac:dyDescent="0.25">
      <c r="A1509" s="53" t="inlineStr">
        <is>
          <t>LAB-001508</t>
        </is>
      </c>
      <c r="B1509" s="53" t="inlineStr">
        <is>
          <t>WP-00663</t>
        </is>
      </c>
      <c r="C1509" s="53" t="inlineStr">
        <is>
          <t>TECH-007</t>
        </is>
      </c>
      <c r="D1509" s="53" t="inlineStr">
        <is>
          <t>Airframe</t>
        </is>
      </c>
      <c r="E1509" s="53" t="inlineStr">
        <is>
          <t>2025-06-09</t>
        </is>
      </c>
      <c r="F1509" s="53">
        <v>8.6</v>
      </c>
      <c r="G1509" s="53">
        <v>4</v>
      </c>
      <c r="H1509" s="51" t="str">
        <f>TEXT(tblLaborEntries[[#This Row],[Work date serial]]-WEEKDAY(tblLaborEntries[[#This Row],[Work date serial]],3),"yyyy-mm-dd")</f>
        <v>2025-06-09</v>
      </c>
      <c r="I1509" s="64">
        <f>DATEVALUE(tblLaborEntries[[#This Row],[Work date]])</f>
        <v>45817.0</v>
      </c>
    </row>
    <row r="1510" spans="1:9" ht="15" x14ac:dyDescent="0.25">
      <c r="A1510" s="53" t="inlineStr">
        <is>
          <t>LAB-001509</t>
        </is>
      </c>
      <c r="B1510" s="53" t="inlineStr">
        <is>
          <t>WP-00664</t>
        </is>
      </c>
      <c r="C1510" s="53" t="inlineStr">
        <is>
          <t>TECH-026</t>
        </is>
      </c>
      <c r="D1510" s="53" t="inlineStr">
        <is>
          <t>Avionics</t>
        </is>
      </c>
      <c r="E1510" s="53" t="inlineStr">
        <is>
          <t>2024-01-14</t>
        </is>
      </c>
      <c r="F1510" s="53">
        <v>11.2</v>
      </c>
      <c r="G1510" s="53">
        <v>3.2</v>
      </c>
      <c r="H1510" s="51" t="str">
        <f>TEXT(tblLaborEntries[[#This Row],[Work date serial]]-WEEKDAY(tblLaborEntries[[#This Row],[Work date serial]],3),"yyyy-mm-dd")</f>
        <v>2024-01-08</v>
      </c>
      <c r="I1510" s="64">
        <f>DATEVALUE(tblLaborEntries[[#This Row],[Work date]])</f>
        <v>45305.0</v>
      </c>
    </row>
    <row r="1511" spans="1:9" ht="15" x14ac:dyDescent="0.25">
      <c r="A1511" s="53" t="inlineStr">
        <is>
          <t>LAB-001510</t>
        </is>
      </c>
      <c r="B1511" s="53" t="inlineStr">
        <is>
          <t>WP-00665</t>
        </is>
      </c>
      <c r="C1511" s="53" t="inlineStr">
        <is>
          <t>TECH-013</t>
        </is>
      </c>
      <c r="D1511" s="53" t="inlineStr">
        <is>
          <t>Airframe</t>
        </is>
      </c>
      <c r="E1511" s="53" t="inlineStr">
        <is>
          <t>2026-02-21</t>
        </is>
      </c>
      <c r="F1511" s="53">
        <v>0.9</v>
      </c>
      <c r="G1511" s="53">
        <v>0</v>
      </c>
      <c r="H1511" s="51" t="str">
        <f>TEXT(tblLaborEntries[[#This Row],[Work date serial]]-WEEKDAY(tblLaborEntries[[#This Row],[Work date serial]],3),"yyyy-mm-dd")</f>
        <v>2026-02-16</v>
      </c>
      <c r="I1511" s="64">
        <f>DATEVALUE(tblLaborEntries[[#This Row],[Work date]])</f>
        <v>46074.0</v>
      </c>
    </row>
    <row r="1512" spans="1:9" ht="15" x14ac:dyDescent="0.25">
      <c r="A1512" s="53" t="inlineStr">
        <is>
          <t>LAB-001511</t>
        </is>
      </c>
      <c r="B1512" s="53" t="inlineStr">
        <is>
          <t>WP-00665</t>
        </is>
      </c>
      <c r="C1512" s="53" t="inlineStr">
        <is>
          <t>TECH-073</t>
        </is>
      </c>
      <c r="D1512" s="53" t="inlineStr">
        <is>
          <t>Airframe</t>
        </is>
      </c>
      <c r="E1512" s="53" t="inlineStr">
        <is>
          <t>2026-02-22</t>
        </is>
      </c>
      <c r="F1512" s="53">
        <v>1.3</v>
      </c>
      <c r="G1512" s="53">
        <v>0</v>
      </c>
      <c r="H1512" s="51" t="str">
        <f>TEXT(tblLaborEntries[[#This Row],[Work date serial]]-WEEKDAY(tblLaborEntries[[#This Row],[Work date serial]],3),"yyyy-mm-dd")</f>
        <v>2026-02-16</v>
      </c>
      <c r="I1512" s="64">
        <f>DATEVALUE(tblLaborEntries[[#This Row],[Work date]])</f>
        <v>46075.0</v>
      </c>
    </row>
    <row r="1513" spans="1:9" ht="15" x14ac:dyDescent="0.25">
      <c r="A1513" s="53" t="inlineStr">
        <is>
          <t>LAB-001512</t>
        </is>
      </c>
      <c r="B1513" s="53" t="inlineStr">
        <is>
          <t>WP-00666</t>
        </is>
      </c>
      <c r="C1513" s="53" t="inlineStr">
        <is>
          <t>TECH-074</t>
        </is>
      </c>
      <c r="D1513" s="53" t="inlineStr">
        <is>
          <t>Avionics</t>
        </is>
      </c>
      <c r="E1513" s="53" t="inlineStr">
        <is>
          <t>2024-12-30</t>
        </is>
      </c>
      <c r="F1513" s="53">
        <v>6.3</v>
      </c>
      <c r="G1513" s="53">
        <v>0</v>
      </c>
      <c r="H1513" s="51" t="str">
        <f>TEXT(tblLaborEntries[[#This Row],[Work date serial]]-WEEKDAY(tblLaborEntries[[#This Row],[Work date serial]],3),"yyyy-mm-dd")</f>
        <v>2024-12-30</v>
      </c>
      <c r="I1513" s="64">
        <f>DATEVALUE(tblLaborEntries[[#This Row],[Work date]])</f>
        <v>45656.0</v>
      </c>
    </row>
    <row r="1514" spans="1:9" ht="15" x14ac:dyDescent="0.25">
      <c r="A1514" s="53" t="inlineStr">
        <is>
          <t>LAB-001513</t>
        </is>
      </c>
      <c r="B1514" s="53" t="inlineStr">
        <is>
          <t>WP-00667</t>
        </is>
      </c>
      <c r="C1514" s="53" t="inlineStr">
        <is>
          <t>TECH-074</t>
        </is>
      </c>
      <c r="D1514" s="53" t="inlineStr">
        <is>
          <t>Avionics</t>
        </is>
      </c>
      <c r="E1514" s="53" t="inlineStr">
        <is>
          <t>2024-12-18</t>
        </is>
      </c>
      <c r="F1514" s="53">
        <v>3.1</v>
      </c>
      <c r="G1514" s="53">
        <v>0</v>
      </c>
      <c r="H1514" s="51" t="str">
        <f>TEXT(tblLaborEntries[[#This Row],[Work date serial]]-WEEKDAY(tblLaborEntries[[#This Row],[Work date serial]],3),"yyyy-mm-dd")</f>
        <v>2024-12-16</v>
      </c>
      <c r="I1514" s="64">
        <f>DATEVALUE(tblLaborEntries[[#This Row],[Work date]])</f>
        <v>45644.0</v>
      </c>
    </row>
    <row r="1515" spans="1:9" ht="15" x14ac:dyDescent="0.25">
      <c r="A1515" s="53" t="inlineStr">
        <is>
          <t>LAB-001514</t>
        </is>
      </c>
      <c r="B1515" s="53" t="inlineStr">
        <is>
          <t>WP-00668</t>
        </is>
      </c>
      <c r="C1515" s="53" t="inlineStr">
        <is>
          <t>TECH-020</t>
        </is>
      </c>
      <c r="D1515" s="53" t="inlineStr">
        <is>
          <t>Avionics</t>
        </is>
      </c>
      <c r="E1515" s="53" t="inlineStr">
        <is>
          <t>2025-12-12</t>
        </is>
      </c>
      <c r="F1515" s="53">
        <v>3.4</v>
      </c>
      <c r="G1515" s="53">
        <v>0</v>
      </c>
      <c r="H1515" s="51" t="str">
        <f>TEXT(tblLaborEntries[[#This Row],[Work date serial]]-WEEKDAY(tblLaborEntries[[#This Row],[Work date serial]],3),"yyyy-mm-dd")</f>
        <v>2025-12-08</v>
      </c>
      <c r="I1515" s="64">
        <f>DATEVALUE(tblLaborEntries[[#This Row],[Work date]])</f>
        <v>46003.0</v>
      </c>
    </row>
    <row r="1516" spans="1:9" ht="15" x14ac:dyDescent="0.25">
      <c r="A1516" s="53" t="inlineStr">
        <is>
          <t>LAB-001515</t>
        </is>
      </c>
      <c r="B1516" s="53" t="inlineStr">
        <is>
          <t>WP-00669</t>
        </is>
      </c>
      <c r="C1516" s="53" t="inlineStr">
        <is>
          <t>TECH-056</t>
        </is>
      </c>
      <c r="D1516" s="53" t="inlineStr">
        <is>
          <t>Avionics</t>
        </is>
      </c>
      <c r="E1516" s="53" t="inlineStr">
        <is>
          <t>2025-11-12</t>
        </is>
      </c>
      <c r="F1516" s="53">
        <v>1</v>
      </c>
      <c r="G1516" s="53">
        <v>0</v>
      </c>
      <c r="H1516" s="51" t="str">
        <f>TEXT(tblLaborEntries[[#This Row],[Work date serial]]-WEEKDAY(tblLaborEntries[[#This Row],[Work date serial]],3),"yyyy-mm-dd")</f>
        <v>2025-11-10</v>
      </c>
      <c r="I1516" s="64">
        <f>DATEVALUE(tblLaborEntries[[#This Row],[Work date]])</f>
        <v>45973.0</v>
      </c>
    </row>
    <row r="1517" spans="1:9" ht="15" x14ac:dyDescent="0.25">
      <c r="A1517" s="53" t="inlineStr">
        <is>
          <t>LAB-001516</t>
        </is>
      </c>
      <c r="B1517" s="53" t="inlineStr">
        <is>
          <t>WP-00669</t>
        </is>
      </c>
      <c r="C1517" s="53" t="inlineStr">
        <is>
          <t>TECH-038</t>
        </is>
      </c>
      <c r="D1517" s="53" t="inlineStr">
        <is>
          <t>Avionics</t>
        </is>
      </c>
      <c r="E1517" s="53" t="inlineStr">
        <is>
          <t>2025-11-13</t>
        </is>
      </c>
      <c r="F1517" s="53">
        <v>0.8</v>
      </c>
      <c r="G1517" s="53">
        <v>0</v>
      </c>
      <c r="H1517" s="51" t="str">
        <f>TEXT(tblLaborEntries[[#This Row],[Work date serial]]-WEEKDAY(tblLaborEntries[[#This Row],[Work date serial]],3),"yyyy-mm-dd")</f>
        <v>2025-11-10</v>
      </c>
      <c r="I1517" s="64">
        <f>DATEVALUE(tblLaborEntries[[#This Row],[Work date]])</f>
        <v>45974.0</v>
      </c>
    </row>
    <row r="1518" spans="1:9" ht="15" x14ac:dyDescent="0.25">
      <c r="A1518" s="53" t="inlineStr">
        <is>
          <t>LAB-001517</t>
        </is>
      </c>
      <c r="B1518" s="53" t="inlineStr">
        <is>
          <t>WP-00669</t>
        </is>
      </c>
      <c r="C1518" s="53" t="inlineStr">
        <is>
          <t>TECH-056</t>
        </is>
      </c>
      <c r="D1518" s="53" t="inlineStr">
        <is>
          <t>Avionics</t>
        </is>
      </c>
      <c r="E1518" s="53" t="inlineStr">
        <is>
          <t>2025-11-14</t>
        </is>
      </c>
      <c r="F1518" s="53">
        <v>1.1</v>
      </c>
      <c r="G1518" s="53">
        <v>0</v>
      </c>
      <c r="H1518" s="51" t="str">
        <f>TEXT(tblLaborEntries[[#This Row],[Work date serial]]-WEEKDAY(tblLaborEntries[[#This Row],[Work date serial]],3),"yyyy-mm-dd")</f>
        <v>2025-11-10</v>
      </c>
      <c r="I1518" s="64">
        <f>DATEVALUE(tblLaborEntries[[#This Row],[Work date]])</f>
        <v>45975.0</v>
      </c>
    </row>
    <row r="1519" spans="1:9" ht="15" x14ac:dyDescent="0.25">
      <c r="A1519" s="53" t="inlineStr">
        <is>
          <t>LAB-001518</t>
        </is>
      </c>
      <c r="B1519" s="53" t="inlineStr">
        <is>
          <t>WP-00670</t>
        </is>
      </c>
      <c r="C1519" s="53" t="inlineStr">
        <is>
          <t>TECH-042</t>
        </is>
      </c>
      <c r="D1519" s="53" t="inlineStr">
        <is>
          <t>Powerplant</t>
        </is>
      </c>
      <c r="E1519" s="53" t="inlineStr">
        <is>
          <t>2025-07-05</t>
        </is>
      </c>
      <c r="F1519" s="53">
        <v>4.9</v>
      </c>
      <c r="G1519" s="53">
        <v>0</v>
      </c>
      <c r="H1519" s="51" t="str">
        <f>TEXT(tblLaborEntries[[#This Row],[Work date serial]]-WEEKDAY(tblLaborEntries[[#This Row],[Work date serial]],3),"yyyy-mm-dd")</f>
        <v>2025-06-30</v>
      </c>
      <c r="I1519" s="64">
        <f>DATEVALUE(tblLaborEntries[[#This Row],[Work date]])</f>
        <v>45843.0</v>
      </c>
    </row>
    <row r="1520" spans="1:9" ht="15" x14ac:dyDescent="0.25">
      <c r="A1520" s="53" t="inlineStr">
        <is>
          <t>LAB-001519</t>
        </is>
      </c>
      <c r="B1520" s="53" t="inlineStr">
        <is>
          <t>WP-00670</t>
        </is>
      </c>
      <c r="C1520" s="53" t="inlineStr">
        <is>
          <t>TECH-024</t>
        </is>
      </c>
      <c r="D1520" s="53" t="inlineStr">
        <is>
          <t>Powerplant</t>
        </is>
      </c>
      <c r="E1520" s="53" t="inlineStr">
        <is>
          <t>2025-07-06</t>
        </is>
      </c>
      <c r="F1520" s="53">
        <v>3.7</v>
      </c>
      <c r="G1520" s="53">
        <v>0</v>
      </c>
      <c r="H1520" s="51" t="str">
        <f>TEXT(tblLaborEntries[[#This Row],[Work date serial]]-WEEKDAY(tblLaborEntries[[#This Row],[Work date serial]],3),"yyyy-mm-dd")</f>
        <v>2025-06-30</v>
      </c>
      <c r="I1520" s="64">
        <f>DATEVALUE(tblLaborEntries[[#This Row],[Work date]])</f>
        <v>45844.0</v>
      </c>
    </row>
    <row r="1521" spans="1:9" ht="15" x14ac:dyDescent="0.25">
      <c r="A1521" s="53" t="inlineStr">
        <is>
          <t>LAB-001520</t>
        </is>
      </c>
      <c r="B1521" s="53" t="inlineStr">
        <is>
          <t>WP-00671</t>
        </is>
      </c>
      <c r="C1521" s="53" t="inlineStr">
        <is>
          <t>TECH-032</t>
        </is>
      </c>
      <c r="D1521" s="53" t="inlineStr">
        <is>
          <t>Avionics</t>
        </is>
      </c>
      <c r="E1521" s="53" t="inlineStr">
        <is>
          <t>2025-11-02</t>
        </is>
      </c>
      <c r="F1521" s="53">
        <v>1.4</v>
      </c>
      <c r="G1521" s="53">
        <v>0</v>
      </c>
      <c r="H1521" s="51" t="str">
        <f>TEXT(tblLaborEntries[[#This Row],[Work date serial]]-WEEKDAY(tblLaborEntries[[#This Row],[Work date serial]],3),"yyyy-mm-dd")</f>
        <v>2025-10-27</v>
      </c>
      <c r="I1521" s="64">
        <f>DATEVALUE(tblLaborEntries[[#This Row],[Work date]])</f>
        <v>45963.0</v>
      </c>
    </row>
    <row r="1522" spans="1:9" ht="15" x14ac:dyDescent="0.25">
      <c r="A1522" s="53" t="inlineStr">
        <is>
          <t>LAB-001521</t>
        </is>
      </c>
      <c r="B1522" s="53" t="inlineStr">
        <is>
          <t>WP-00671</t>
        </is>
      </c>
      <c r="C1522" s="53" t="inlineStr">
        <is>
          <t>TECH-020</t>
        </is>
      </c>
      <c r="D1522" s="53" t="inlineStr">
        <is>
          <t>Avionics</t>
        </is>
      </c>
      <c r="E1522" s="53" t="inlineStr">
        <is>
          <t>2025-11-03</t>
        </is>
      </c>
      <c r="F1522" s="53">
        <v>1.2</v>
      </c>
      <c r="G1522" s="53">
        <v>0</v>
      </c>
      <c r="H1522" s="51" t="str">
        <f>TEXT(tblLaborEntries[[#This Row],[Work date serial]]-WEEKDAY(tblLaborEntries[[#This Row],[Work date serial]],3),"yyyy-mm-dd")</f>
        <v>2025-11-03</v>
      </c>
      <c r="I1522" s="64">
        <f>DATEVALUE(tblLaborEntries[[#This Row],[Work date]])</f>
        <v>45964.0</v>
      </c>
    </row>
    <row r="1523" spans="1:9" ht="15" x14ac:dyDescent="0.25">
      <c r="A1523" s="53" t="inlineStr">
        <is>
          <t>LAB-001522</t>
        </is>
      </c>
      <c r="B1523" s="53" t="inlineStr">
        <is>
          <t>WP-00671</t>
        </is>
      </c>
      <c r="C1523" s="53" t="inlineStr">
        <is>
          <t>TECH-008</t>
        </is>
      </c>
      <c r="D1523" s="53" t="inlineStr">
        <is>
          <t>Avionics</t>
        </is>
      </c>
      <c r="E1523" s="53" t="inlineStr">
        <is>
          <t>2025-11-04</t>
        </is>
      </c>
      <c r="F1523" s="53">
        <v>1.5</v>
      </c>
      <c r="G1523" s="53">
        <v>0</v>
      </c>
      <c r="H1523" s="51" t="str">
        <f>TEXT(tblLaborEntries[[#This Row],[Work date serial]]-WEEKDAY(tblLaborEntries[[#This Row],[Work date serial]],3),"yyyy-mm-dd")</f>
        <v>2025-11-03</v>
      </c>
      <c r="I1523" s="64">
        <f>DATEVALUE(tblLaborEntries[[#This Row],[Work date]])</f>
        <v>45965.0</v>
      </c>
    </row>
    <row r="1524" spans="1:9" ht="15" x14ac:dyDescent="0.25">
      <c r="A1524" s="53" t="inlineStr">
        <is>
          <t>LAB-001523</t>
        </is>
      </c>
      <c r="B1524" s="53" t="inlineStr">
        <is>
          <t>WP-00672</t>
        </is>
      </c>
      <c r="C1524" s="53" t="inlineStr">
        <is>
          <t>TECH-021</t>
        </is>
      </c>
      <c r="D1524" s="53" t="inlineStr">
        <is>
          <t>Hydraulics</t>
        </is>
      </c>
      <c r="E1524" s="53" t="inlineStr">
        <is>
          <t>2024-05-21</t>
        </is>
      </c>
      <c r="F1524" s="53">
        <v>5.9</v>
      </c>
      <c r="G1524" s="53">
        <v>0</v>
      </c>
      <c r="H1524" s="51" t="str">
        <f>TEXT(tblLaborEntries[[#This Row],[Work date serial]]-WEEKDAY(tblLaborEntries[[#This Row],[Work date serial]],3),"yyyy-mm-dd")</f>
        <v>2024-05-20</v>
      </c>
      <c r="I1524" s="64">
        <f>DATEVALUE(tblLaborEntries[[#This Row],[Work date]])</f>
        <v>45433.0</v>
      </c>
    </row>
    <row r="1525" spans="1:9" ht="15" x14ac:dyDescent="0.25">
      <c r="A1525" s="53" t="inlineStr">
        <is>
          <t>LAB-001524</t>
        </is>
      </c>
      <c r="B1525" s="53" t="inlineStr">
        <is>
          <t>WP-00672</t>
        </is>
      </c>
      <c r="C1525" s="53" t="inlineStr">
        <is>
          <t>TECH-045</t>
        </is>
      </c>
      <c r="D1525" s="53" t="inlineStr">
        <is>
          <t>Hydraulics</t>
        </is>
      </c>
      <c r="E1525" s="53" t="inlineStr">
        <is>
          <t>2024-05-22</t>
        </is>
      </c>
      <c r="F1525" s="53">
        <v>5.1</v>
      </c>
      <c r="G1525" s="53">
        <v>0</v>
      </c>
      <c r="H1525" s="51" t="str">
        <f>TEXT(tblLaborEntries[[#This Row],[Work date serial]]-WEEKDAY(tblLaborEntries[[#This Row],[Work date serial]],3),"yyyy-mm-dd")</f>
        <v>2024-05-20</v>
      </c>
      <c r="I1525" s="64">
        <f>DATEVALUE(tblLaborEntries[[#This Row],[Work date]])</f>
        <v>45434.0</v>
      </c>
    </row>
    <row r="1526" spans="1:9" ht="15" x14ac:dyDescent="0.25">
      <c r="A1526" s="53" t="inlineStr">
        <is>
          <t>LAB-001525</t>
        </is>
      </c>
      <c r="B1526" s="53" t="inlineStr">
        <is>
          <t>WP-00673</t>
        </is>
      </c>
      <c r="C1526" s="53" t="inlineStr">
        <is>
          <t>TECH-045</t>
        </is>
      </c>
      <c r="D1526" s="53" t="inlineStr">
        <is>
          <t>Hydraulics</t>
        </is>
      </c>
      <c r="E1526" s="53" t="inlineStr">
        <is>
          <t>2024-06-03</t>
        </is>
      </c>
      <c r="F1526" s="53">
        <v>3.8</v>
      </c>
      <c r="G1526" s="53">
        <v>0</v>
      </c>
      <c r="H1526" s="51" t="str">
        <f>TEXT(tblLaborEntries[[#This Row],[Work date serial]]-WEEKDAY(tblLaborEntries[[#This Row],[Work date serial]],3),"yyyy-mm-dd")</f>
        <v>2024-06-03</v>
      </c>
      <c r="I1526" s="64">
        <f>DATEVALUE(tblLaborEntries[[#This Row],[Work date]])</f>
        <v>45446.0</v>
      </c>
    </row>
    <row r="1527" spans="1:9" ht="15" x14ac:dyDescent="0.25">
      <c r="A1527" s="53" t="inlineStr">
        <is>
          <t>LAB-001526</t>
        </is>
      </c>
      <c r="B1527" s="53" t="inlineStr">
        <is>
          <t>WP-00673</t>
        </is>
      </c>
      <c r="C1527" s="53" t="inlineStr">
        <is>
          <t>TECH-039</t>
        </is>
      </c>
      <c r="D1527" s="53" t="inlineStr">
        <is>
          <t>Hydraulics</t>
        </is>
      </c>
      <c r="E1527" s="53" t="inlineStr">
        <is>
          <t>2024-06-04</t>
        </is>
      </c>
      <c r="F1527" s="53">
        <v>3.1</v>
      </c>
      <c r="G1527" s="53">
        <v>0</v>
      </c>
      <c r="H1527" s="51" t="str">
        <f>TEXT(tblLaborEntries[[#This Row],[Work date serial]]-WEEKDAY(tblLaborEntries[[#This Row],[Work date serial]],3),"yyyy-mm-dd")</f>
        <v>2024-06-03</v>
      </c>
      <c r="I1527" s="64">
        <f>DATEVALUE(tblLaborEntries[[#This Row],[Work date]])</f>
        <v>45447.0</v>
      </c>
    </row>
    <row r="1528" spans="1:9" ht="15" x14ac:dyDescent="0.25">
      <c r="A1528" s="53" t="inlineStr">
        <is>
          <t>LAB-001527</t>
        </is>
      </c>
      <c r="B1528" s="53" t="inlineStr">
        <is>
          <t>WP-00674</t>
        </is>
      </c>
      <c r="C1528" s="53" t="inlineStr">
        <is>
          <t>TECH-015</t>
        </is>
      </c>
      <c r="D1528" s="53" t="inlineStr">
        <is>
          <t>Hydraulics</t>
        </is>
      </c>
      <c r="E1528" s="53" t="inlineStr">
        <is>
          <t>2025-08-23</t>
        </is>
      </c>
      <c r="F1528" s="53">
        <v>7.3</v>
      </c>
      <c r="G1528" s="53">
        <v>0</v>
      </c>
      <c r="H1528" s="51" t="str">
        <f>TEXT(tblLaborEntries[[#This Row],[Work date serial]]-WEEKDAY(tblLaborEntries[[#This Row],[Work date serial]],3),"yyyy-mm-dd")</f>
        <v>2025-08-18</v>
      </c>
      <c r="I1528" s="64">
        <f>DATEVALUE(tblLaborEntries[[#This Row],[Work date]])</f>
        <v>45892.0</v>
      </c>
    </row>
    <row r="1529" spans="1:9" ht="15" x14ac:dyDescent="0.25">
      <c r="A1529" s="53" t="inlineStr">
        <is>
          <t>LAB-001528</t>
        </is>
      </c>
      <c r="B1529" s="53" t="inlineStr">
        <is>
          <t>WP-00675</t>
        </is>
      </c>
      <c r="C1529" s="53" t="inlineStr">
        <is>
          <t>TECH-049</t>
        </is>
      </c>
      <c r="D1529" s="53" t="inlineStr">
        <is>
          <t>Airframe</t>
        </is>
      </c>
      <c r="E1529" s="53" t="inlineStr">
        <is>
          <t>2025-12-26</t>
        </is>
      </c>
      <c r="F1529" s="53">
        <v>2.7</v>
      </c>
      <c r="G1529" s="53">
        <v>0</v>
      </c>
      <c r="H1529" s="51" t="str">
        <f>TEXT(tblLaborEntries[[#This Row],[Work date serial]]-WEEKDAY(tblLaborEntries[[#This Row],[Work date serial]],3),"yyyy-mm-dd")</f>
        <v>2025-12-22</v>
      </c>
      <c r="I1529" s="64">
        <f>DATEVALUE(tblLaborEntries[[#This Row],[Work date]])</f>
        <v>46017.0</v>
      </c>
    </row>
    <row r="1530" spans="1:9" ht="15" x14ac:dyDescent="0.25">
      <c r="A1530" s="53" t="inlineStr">
        <is>
          <t>LAB-001529</t>
        </is>
      </c>
      <c r="B1530" s="53" t="inlineStr">
        <is>
          <t>WP-00675</t>
        </is>
      </c>
      <c r="C1530" s="53" t="inlineStr">
        <is>
          <t>TECH-007</t>
        </is>
      </c>
      <c r="D1530" s="53" t="inlineStr">
        <is>
          <t>Airframe</t>
        </is>
      </c>
      <c r="E1530" s="53" t="inlineStr">
        <is>
          <t>2025-12-27</t>
        </is>
      </c>
      <c r="F1530" s="53">
        <v>2</v>
      </c>
      <c r="G1530" s="53">
        <v>0</v>
      </c>
      <c r="H1530" s="51" t="str">
        <f>TEXT(tblLaborEntries[[#This Row],[Work date serial]]-WEEKDAY(tblLaborEntries[[#This Row],[Work date serial]],3),"yyyy-mm-dd")</f>
        <v>2025-12-22</v>
      </c>
      <c r="I1530" s="64">
        <f>DATEVALUE(tblLaborEntries[[#This Row],[Work date]])</f>
        <v>46018.0</v>
      </c>
    </row>
    <row r="1531" spans="1:9" ht="15" x14ac:dyDescent="0.25">
      <c r="A1531" s="53" t="inlineStr">
        <is>
          <t>LAB-001530</t>
        </is>
      </c>
      <c r="B1531" s="53" t="inlineStr">
        <is>
          <t>WP-00675</t>
        </is>
      </c>
      <c r="C1531" s="53" t="inlineStr">
        <is>
          <t>TECH-073</t>
        </is>
      </c>
      <c r="D1531" s="53" t="inlineStr">
        <is>
          <t>Airframe</t>
        </is>
      </c>
      <c r="E1531" s="53" t="inlineStr">
        <is>
          <t>2025-12-28</t>
        </is>
      </c>
      <c r="F1531" s="53">
        <v>2.5</v>
      </c>
      <c r="G1531" s="53">
        <v>0</v>
      </c>
      <c r="H1531" s="51" t="str">
        <f>TEXT(tblLaborEntries[[#This Row],[Work date serial]]-WEEKDAY(tblLaborEntries[[#This Row],[Work date serial]],3),"yyyy-mm-dd")</f>
        <v>2025-12-22</v>
      </c>
      <c r="I1531" s="64">
        <f>DATEVALUE(tblLaborEntries[[#This Row],[Work date]])</f>
        <v>46019.0</v>
      </c>
    </row>
    <row r="1532" spans="1:9" ht="15" x14ac:dyDescent="0.25">
      <c r="A1532" s="53" t="inlineStr">
        <is>
          <t>LAB-001531</t>
        </is>
      </c>
      <c r="B1532" s="53" t="inlineStr">
        <is>
          <t>WP-00676</t>
        </is>
      </c>
      <c r="C1532" s="53" t="inlineStr">
        <is>
          <t>TECH-007</t>
        </is>
      </c>
      <c r="D1532" s="53" t="inlineStr">
        <is>
          <t>Airframe</t>
        </is>
      </c>
      <c r="E1532" s="53" t="inlineStr">
        <is>
          <t>2024-07-10</t>
        </is>
      </c>
      <c r="F1532" s="53">
        <v>5.4</v>
      </c>
      <c r="G1532" s="53">
        <v>0</v>
      </c>
      <c r="H1532" s="51" t="str">
        <f>TEXT(tblLaborEntries[[#This Row],[Work date serial]]-WEEKDAY(tblLaborEntries[[#This Row],[Work date serial]],3),"yyyy-mm-dd")</f>
        <v>2024-07-08</v>
      </c>
      <c r="I1532" s="64">
        <f>DATEVALUE(tblLaborEntries[[#This Row],[Work date]])</f>
        <v>45483.0</v>
      </c>
    </row>
    <row r="1533" spans="1:9" ht="15" x14ac:dyDescent="0.25">
      <c r="A1533" s="53" t="inlineStr">
        <is>
          <t>LAB-001532</t>
        </is>
      </c>
      <c r="B1533" s="53" t="inlineStr">
        <is>
          <t>WP-00677</t>
        </is>
      </c>
      <c r="C1533" s="53" t="inlineStr">
        <is>
          <t>TECH-005</t>
        </is>
      </c>
      <c r="D1533" s="53" t="inlineStr">
        <is>
          <t>Structures</t>
        </is>
      </c>
      <c r="E1533" s="53" t="inlineStr">
        <is>
          <t>2025-11-01</t>
        </is>
      </c>
      <c r="F1533" s="53">
        <v>12</v>
      </c>
      <c r="G1533" s="53">
        <v>4</v>
      </c>
      <c r="H1533" s="51" t="str">
        <f>TEXT(tblLaborEntries[[#This Row],[Work date serial]]-WEEKDAY(tblLaborEntries[[#This Row],[Work date serial]],3),"yyyy-mm-dd")</f>
        <v>2025-10-27</v>
      </c>
      <c r="I1533" s="64">
        <f>DATEVALUE(tblLaborEntries[[#This Row],[Work date]])</f>
        <v>45962.0</v>
      </c>
    </row>
    <row r="1534" spans="1:9" ht="15" x14ac:dyDescent="0.25">
      <c r="A1534" s="53" t="inlineStr">
        <is>
          <t>LAB-001533</t>
        </is>
      </c>
      <c r="B1534" s="53" t="inlineStr">
        <is>
          <t>WP-00677</t>
        </is>
      </c>
      <c r="C1534" s="53" t="inlineStr">
        <is>
          <t>TECH-011</t>
        </is>
      </c>
      <c r="D1534" s="53" t="inlineStr">
        <is>
          <t>Structures</t>
        </is>
      </c>
      <c r="E1534" s="53" t="inlineStr">
        <is>
          <t>2025-11-01</t>
        </is>
      </c>
      <c r="F1534" s="53">
        <v>5.3</v>
      </c>
      <c r="G1534" s="53">
        <v>0</v>
      </c>
      <c r="H1534" s="51" t="str">
        <f>TEXT(tblLaborEntries[[#This Row],[Work date serial]]-WEEKDAY(tblLaborEntries[[#This Row],[Work date serial]],3),"yyyy-mm-dd")</f>
        <v>2025-10-27</v>
      </c>
      <c r="I1534" s="64">
        <f>DATEVALUE(tblLaborEntries[[#This Row],[Work date]])</f>
        <v>45962.0</v>
      </c>
    </row>
    <row r="1535" spans="1:9" ht="15" x14ac:dyDescent="0.25">
      <c r="A1535" s="53" t="inlineStr">
        <is>
          <t>LAB-001534</t>
        </is>
      </c>
      <c r="B1535" s="53" t="inlineStr">
        <is>
          <t>WP-00677</t>
        </is>
      </c>
      <c r="C1535" s="53" t="inlineStr">
        <is>
          <t>TECH-041</t>
        </is>
      </c>
      <c r="D1535" s="53" t="inlineStr">
        <is>
          <t>Structures</t>
        </is>
      </c>
      <c r="E1535" s="53" t="inlineStr">
        <is>
          <t>2025-11-01</t>
        </is>
      </c>
      <c r="F1535" s="53">
        <v>12</v>
      </c>
      <c r="G1535" s="53">
        <v>4</v>
      </c>
      <c r="H1535" s="51" t="str">
        <f>TEXT(tblLaborEntries[[#This Row],[Work date serial]]-WEEKDAY(tblLaborEntries[[#This Row],[Work date serial]],3),"yyyy-mm-dd")</f>
        <v>2025-10-27</v>
      </c>
      <c r="I1535" s="64">
        <f>DATEVALUE(tblLaborEntries[[#This Row],[Work date]])</f>
        <v>45962.0</v>
      </c>
    </row>
    <row r="1536" spans="1:9" ht="15" x14ac:dyDescent="0.25">
      <c r="A1536" s="53" t="inlineStr">
        <is>
          <t>LAB-001535</t>
        </is>
      </c>
      <c r="B1536" s="53" t="inlineStr">
        <is>
          <t>WP-00678</t>
        </is>
      </c>
      <c r="C1536" s="53" t="inlineStr">
        <is>
          <t>TECH-067</t>
        </is>
      </c>
      <c r="D1536" s="53" t="inlineStr">
        <is>
          <t>Airframe</t>
        </is>
      </c>
      <c r="E1536" s="53" t="inlineStr">
        <is>
          <t>2024-02-27</t>
        </is>
      </c>
      <c r="F1536" s="53">
        <v>9.6</v>
      </c>
      <c r="G1536" s="53">
        <v>1.6</v>
      </c>
      <c r="H1536" s="51" t="str">
        <f>TEXT(tblLaborEntries[[#This Row],[Work date serial]]-WEEKDAY(tblLaborEntries[[#This Row],[Work date serial]],3),"yyyy-mm-dd")</f>
        <v>2024-02-26</v>
      </c>
      <c r="I1536" s="64">
        <f>DATEVALUE(tblLaborEntries[[#This Row],[Work date]])</f>
        <v>45349.0</v>
      </c>
    </row>
    <row r="1537" spans="1:9" ht="15" x14ac:dyDescent="0.25">
      <c r="A1537" s="53" t="inlineStr">
        <is>
          <t>LAB-001536</t>
        </is>
      </c>
      <c r="B1537" s="53" t="inlineStr">
        <is>
          <t>WP-00678</t>
        </is>
      </c>
      <c r="C1537" s="53" t="inlineStr">
        <is>
          <t>TECH-007</t>
        </is>
      </c>
      <c r="D1537" s="53" t="inlineStr">
        <is>
          <t>Airframe</t>
        </is>
      </c>
      <c r="E1537" s="53" t="inlineStr">
        <is>
          <t>2024-02-28</t>
        </is>
      </c>
      <c r="F1537" s="53">
        <v>7.8</v>
      </c>
      <c r="G1537" s="53">
        <v>0</v>
      </c>
      <c r="H1537" s="51" t="str">
        <f>TEXT(tblLaborEntries[[#This Row],[Work date serial]]-WEEKDAY(tblLaborEntries[[#This Row],[Work date serial]],3),"yyyy-mm-dd")</f>
        <v>2024-02-26</v>
      </c>
      <c r="I1537" s="64">
        <f>DATEVALUE(tblLaborEntries[[#This Row],[Work date]])</f>
        <v>45350.0</v>
      </c>
    </row>
    <row r="1538" spans="1:9" ht="15" x14ac:dyDescent="0.25">
      <c r="A1538" s="53" t="inlineStr">
        <is>
          <t>LAB-001537</t>
        </is>
      </c>
      <c r="B1538" s="53" t="inlineStr">
        <is>
          <t>WP-00678</t>
        </is>
      </c>
      <c r="C1538" s="53" t="inlineStr">
        <is>
          <t>TECH-049</t>
        </is>
      </c>
      <c r="D1538" s="53" t="inlineStr">
        <is>
          <t>Airframe</t>
        </is>
      </c>
      <c r="E1538" s="53" t="inlineStr">
        <is>
          <t>2024-02-29</t>
        </is>
      </c>
      <c r="F1538" s="53">
        <v>7.2</v>
      </c>
      <c r="G1538" s="53">
        <v>0</v>
      </c>
      <c r="H1538" s="51" t="str">
        <f>TEXT(tblLaborEntries[[#This Row],[Work date serial]]-WEEKDAY(tblLaborEntries[[#This Row],[Work date serial]],3),"yyyy-mm-dd")</f>
        <v>2024-02-26</v>
      </c>
      <c r="I1538" s="64">
        <f>DATEVALUE(tblLaborEntries[[#This Row],[Work date]])</f>
        <v>45351.0</v>
      </c>
    </row>
    <row r="1539" spans="1:9" ht="15" x14ac:dyDescent="0.25">
      <c r="A1539" s="53" t="inlineStr">
        <is>
          <t>LAB-001538</t>
        </is>
      </c>
      <c r="B1539" s="53" t="inlineStr">
        <is>
          <t>WP-00679</t>
        </is>
      </c>
      <c r="C1539" s="53" t="inlineStr">
        <is>
          <t>TECH-006</t>
        </is>
      </c>
      <c r="D1539" s="53" t="inlineStr">
        <is>
          <t>Powerplant</t>
        </is>
      </c>
      <c r="E1539" s="53" t="inlineStr">
        <is>
          <t>2025-10-04</t>
        </is>
      </c>
      <c r="F1539" s="53">
        <v>6.1</v>
      </c>
      <c r="G1539" s="53">
        <v>0</v>
      </c>
      <c r="H1539" s="51" t="str">
        <f>TEXT(tblLaborEntries[[#This Row],[Work date serial]]-WEEKDAY(tblLaborEntries[[#This Row],[Work date serial]],3),"yyyy-mm-dd")</f>
        <v>2025-09-29</v>
      </c>
      <c r="I1539" s="64">
        <f>DATEVALUE(tblLaborEntries[[#This Row],[Work date]])</f>
        <v>45934.0</v>
      </c>
    </row>
    <row r="1540" spans="1:9" ht="15" x14ac:dyDescent="0.25">
      <c r="A1540" s="53" t="inlineStr">
        <is>
          <t>LAB-001539</t>
        </is>
      </c>
      <c r="B1540" s="53" t="inlineStr">
        <is>
          <t>WP-00679</t>
        </is>
      </c>
      <c r="C1540" s="53" t="inlineStr">
        <is>
          <t>TECH-006</t>
        </is>
      </c>
      <c r="D1540" s="53" t="inlineStr">
        <is>
          <t>Powerplant</t>
        </is>
      </c>
      <c r="E1540" s="53" t="inlineStr">
        <is>
          <t>2025-10-05</t>
        </is>
      </c>
      <c r="F1540" s="53">
        <v>0.3</v>
      </c>
      <c r="G1540" s="53">
        <v>0</v>
      </c>
      <c r="H1540" s="51" t="str">
        <f>TEXT(tblLaborEntries[[#This Row],[Work date serial]]-WEEKDAY(tblLaborEntries[[#This Row],[Work date serial]],3),"yyyy-mm-dd")</f>
        <v>2025-09-29</v>
      </c>
      <c r="I1540" s="64">
        <f>DATEVALUE(tblLaborEntries[[#This Row],[Work date]])</f>
        <v>45935.0</v>
      </c>
    </row>
    <row r="1541" spans="1:9" ht="15" x14ac:dyDescent="0.25">
      <c r="A1541" s="53" t="inlineStr">
        <is>
          <t>LAB-001540</t>
        </is>
      </c>
      <c r="B1541" s="53" t="inlineStr">
        <is>
          <t>WP-00679</t>
        </is>
      </c>
      <c r="C1541" s="53" t="inlineStr">
        <is>
          <t>TECH-054</t>
        </is>
      </c>
      <c r="D1541" s="53" t="inlineStr">
        <is>
          <t>Powerplant</t>
        </is>
      </c>
      <c r="E1541" s="53" t="inlineStr">
        <is>
          <t>2025-10-05</t>
        </is>
      </c>
      <c r="F1541" s="53">
        <v>6.7</v>
      </c>
      <c r="G1541" s="53">
        <v>0</v>
      </c>
      <c r="H1541" s="51" t="str">
        <f>TEXT(tblLaborEntries[[#This Row],[Work date serial]]-WEEKDAY(tblLaborEntries[[#This Row],[Work date serial]],3),"yyyy-mm-dd")</f>
        <v>2025-09-29</v>
      </c>
      <c r="I1541" s="64">
        <f>DATEVALUE(tblLaborEntries[[#This Row],[Work date]])</f>
        <v>45935.0</v>
      </c>
    </row>
    <row r="1542" spans="1:9" ht="15" x14ac:dyDescent="0.25">
      <c r="A1542" s="53" t="inlineStr">
        <is>
          <t>LAB-001541</t>
        </is>
      </c>
      <c r="B1542" s="53" t="inlineStr">
        <is>
          <t>WP-00679</t>
        </is>
      </c>
      <c r="C1542" s="53" t="inlineStr">
        <is>
          <t>TECH-042</t>
        </is>
      </c>
      <c r="D1542" s="53" t="inlineStr">
        <is>
          <t>Powerplant</t>
        </is>
      </c>
      <c r="E1542" s="53" t="inlineStr">
        <is>
          <t>2025-10-06</t>
        </is>
      </c>
      <c r="F1542" s="53">
        <v>5.2</v>
      </c>
      <c r="G1542" s="53">
        <v>0</v>
      </c>
      <c r="H1542" s="51" t="str">
        <f>TEXT(tblLaborEntries[[#This Row],[Work date serial]]-WEEKDAY(tblLaborEntries[[#This Row],[Work date serial]],3),"yyyy-mm-dd")</f>
        <v>2025-10-06</v>
      </c>
      <c r="I1542" s="64">
        <f>DATEVALUE(tblLaborEntries[[#This Row],[Work date]])</f>
        <v>45936.0</v>
      </c>
    </row>
    <row r="1543" spans="1:9" ht="15" x14ac:dyDescent="0.25">
      <c r="A1543" s="53" t="inlineStr">
        <is>
          <t>LAB-001542</t>
        </is>
      </c>
      <c r="B1543" s="53" t="inlineStr">
        <is>
          <t>WP-00680</t>
        </is>
      </c>
      <c r="C1543" s="53" t="inlineStr">
        <is>
          <t>TECH-021</t>
        </is>
      </c>
      <c r="D1543" s="53" t="inlineStr">
        <is>
          <t>Hydraulics</t>
        </is>
      </c>
      <c r="E1543" s="53" t="inlineStr">
        <is>
          <t>2025-02-16</t>
        </is>
      </c>
      <c r="F1543" s="53">
        <v>9.1</v>
      </c>
      <c r="G1543" s="53">
        <v>1.1</v>
      </c>
      <c r="H1543" s="51" t="str">
        <f>TEXT(tblLaborEntries[[#This Row],[Work date serial]]-WEEKDAY(tblLaborEntries[[#This Row],[Work date serial]],3),"yyyy-mm-dd")</f>
        <v>2025-02-10</v>
      </c>
      <c r="I1543" s="64">
        <f>DATEVALUE(tblLaborEntries[[#This Row],[Work date]])</f>
        <v>45704.0</v>
      </c>
    </row>
    <row r="1544" spans="1:9" ht="15" x14ac:dyDescent="0.25">
      <c r="A1544" s="53" t="inlineStr">
        <is>
          <t>LAB-001543</t>
        </is>
      </c>
      <c r="B1544" s="53" t="inlineStr">
        <is>
          <t>WP-00680</t>
        </is>
      </c>
      <c r="C1544" s="53" t="inlineStr">
        <is>
          <t>TECH-015</t>
        </is>
      </c>
      <c r="D1544" s="53" t="inlineStr">
        <is>
          <t>Hydraulics</t>
        </is>
      </c>
      <c r="E1544" s="53" t="inlineStr">
        <is>
          <t>2025-02-17</t>
        </is>
      </c>
      <c r="F1544" s="53">
        <v>7.9</v>
      </c>
      <c r="G1544" s="53">
        <v>0</v>
      </c>
      <c r="H1544" s="51" t="str">
        <f>TEXT(tblLaborEntries[[#This Row],[Work date serial]]-WEEKDAY(tblLaborEntries[[#This Row],[Work date serial]],3),"yyyy-mm-dd")</f>
        <v>2025-02-17</v>
      </c>
      <c r="I1544" s="64">
        <f>DATEVALUE(tblLaborEntries[[#This Row],[Work date]])</f>
        <v>45705.0</v>
      </c>
    </row>
    <row r="1545" spans="1:9" ht="15" x14ac:dyDescent="0.25">
      <c r="A1545" s="53" t="inlineStr">
        <is>
          <t>LAB-001544</t>
        </is>
      </c>
      <c r="B1545" s="53" t="inlineStr">
        <is>
          <t>WP-00680</t>
        </is>
      </c>
      <c r="C1545" s="53" t="inlineStr">
        <is>
          <t>TECH-039</t>
        </is>
      </c>
      <c r="D1545" s="53" t="inlineStr">
        <is>
          <t>Hydraulics</t>
        </is>
      </c>
      <c r="E1545" s="53" t="inlineStr">
        <is>
          <t>2025-02-18</t>
        </is>
      </c>
      <c r="F1545" s="53">
        <v>10.5</v>
      </c>
      <c r="G1545" s="53">
        <v>2.5</v>
      </c>
      <c r="H1545" s="51" t="str">
        <f>TEXT(tblLaborEntries[[#This Row],[Work date serial]]-WEEKDAY(tblLaborEntries[[#This Row],[Work date serial]],3),"yyyy-mm-dd")</f>
        <v>2025-02-17</v>
      </c>
      <c r="I1545" s="64">
        <f>DATEVALUE(tblLaborEntries[[#This Row],[Work date]])</f>
        <v>45706.0</v>
      </c>
    </row>
    <row r="1546" spans="1:9" ht="15" x14ac:dyDescent="0.25">
      <c r="A1546" s="53" t="inlineStr">
        <is>
          <t>LAB-001545</t>
        </is>
      </c>
      <c r="B1546" s="53" t="inlineStr">
        <is>
          <t>WP-00681</t>
        </is>
      </c>
      <c r="C1546" s="53" t="inlineStr">
        <is>
          <t>TECH-008</t>
        </is>
      </c>
      <c r="D1546" s="53" t="inlineStr">
        <is>
          <t>Avionics</t>
        </is>
      </c>
      <c r="E1546" s="53" t="inlineStr">
        <is>
          <t>2024-09-15</t>
        </is>
      </c>
      <c r="F1546" s="53">
        <v>5.8</v>
      </c>
      <c r="G1546" s="53">
        <v>0</v>
      </c>
      <c r="H1546" s="51" t="str">
        <f>TEXT(tblLaborEntries[[#This Row],[Work date serial]]-WEEKDAY(tblLaborEntries[[#This Row],[Work date serial]],3),"yyyy-mm-dd")</f>
        <v>2024-09-09</v>
      </c>
      <c r="I1546" s="64">
        <f>DATEVALUE(tblLaborEntries[[#This Row],[Work date]])</f>
        <v>45550.0</v>
      </c>
    </row>
    <row r="1547" spans="1:9" ht="15" x14ac:dyDescent="0.25">
      <c r="A1547" s="53" t="inlineStr">
        <is>
          <t>LAB-001546</t>
        </is>
      </c>
      <c r="B1547" s="53" t="inlineStr">
        <is>
          <t>WP-00681</t>
        </is>
      </c>
      <c r="C1547" s="53" t="inlineStr">
        <is>
          <t>TECH-020</t>
        </is>
      </c>
      <c r="D1547" s="53" t="inlineStr">
        <is>
          <t>Avionics</t>
        </is>
      </c>
      <c r="E1547" s="53" t="inlineStr">
        <is>
          <t>2024-09-16</t>
        </is>
      </c>
      <c r="F1547" s="53">
        <v>7.1</v>
      </c>
      <c r="G1547" s="53">
        <v>0</v>
      </c>
      <c r="H1547" s="51" t="str">
        <f>TEXT(tblLaborEntries[[#This Row],[Work date serial]]-WEEKDAY(tblLaborEntries[[#This Row],[Work date serial]],3),"yyyy-mm-dd")</f>
        <v>2024-09-16</v>
      </c>
      <c r="I1547" s="64">
        <f>DATEVALUE(tblLaborEntries[[#This Row],[Work date]])</f>
        <v>45551.0</v>
      </c>
    </row>
    <row r="1548" spans="1:9" ht="15" x14ac:dyDescent="0.25">
      <c r="A1548" s="53" t="inlineStr">
        <is>
          <t>LAB-001547</t>
        </is>
      </c>
      <c r="B1548" s="53" t="inlineStr">
        <is>
          <t>WP-00682</t>
        </is>
      </c>
      <c r="C1548" s="53" t="inlineStr">
        <is>
          <t>TECH-008</t>
        </is>
      </c>
      <c r="D1548" s="53" t="inlineStr">
        <is>
          <t>Avionics</t>
        </is>
      </c>
      <c r="E1548" s="53" t="inlineStr">
        <is>
          <t>2024-01-23</t>
        </is>
      </c>
      <c r="F1548" s="53">
        <v>10.9</v>
      </c>
      <c r="G1548" s="53">
        <v>2.9</v>
      </c>
      <c r="H1548" s="51" t="str">
        <f>TEXT(tblLaborEntries[[#This Row],[Work date serial]]-WEEKDAY(tblLaborEntries[[#This Row],[Work date serial]],3),"yyyy-mm-dd")</f>
        <v>2024-01-22</v>
      </c>
      <c r="I1548" s="64">
        <f>DATEVALUE(tblLaborEntries[[#This Row],[Work date]])</f>
        <v>45314.0</v>
      </c>
    </row>
    <row r="1549" spans="1:9" ht="15" x14ac:dyDescent="0.25">
      <c r="A1549" s="53" t="inlineStr">
        <is>
          <t>LAB-001548</t>
        </is>
      </c>
      <c r="B1549" s="53" t="inlineStr">
        <is>
          <t>WP-00682</t>
        </is>
      </c>
      <c r="C1549" s="53" t="inlineStr">
        <is>
          <t>TECH-002</t>
        </is>
      </c>
      <c r="D1549" s="53" t="inlineStr">
        <is>
          <t>Avionics</t>
        </is>
      </c>
      <c r="E1549" s="53" t="inlineStr">
        <is>
          <t>2024-01-24</t>
        </is>
      </c>
      <c r="F1549" s="53">
        <v>12</v>
      </c>
      <c r="G1549" s="53">
        <v>4</v>
      </c>
      <c r="H1549" s="51" t="str">
        <f>TEXT(tblLaborEntries[[#This Row],[Work date serial]]-WEEKDAY(tblLaborEntries[[#This Row],[Work date serial]],3),"yyyy-mm-dd")</f>
        <v>2024-01-22</v>
      </c>
      <c r="I1549" s="64">
        <f>DATEVALUE(tblLaborEntries[[#This Row],[Work date]])</f>
        <v>45315.0</v>
      </c>
    </row>
    <row r="1550" spans="1:9" ht="15" x14ac:dyDescent="0.25">
      <c r="A1550" s="53" t="inlineStr">
        <is>
          <t>LAB-001549</t>
        </is>
      </c>
      <c r="B1550" s="53" t="inlineStr">
        <is>
          <t>WP-00682</t>
        </is>
      </c>
      <c r="C1550" s="53" t="inlineStr">
        <is>
          <t>TECH-008</t>
        </is>
      </c>
      <c r="D1550" s="53" t="inlineStr">
        <is>
          <t>Avionics</t>
        </is>
      </c>
      <c r="E1550" s="53" t="inlineStr">
        <is>
          <t>2024-01-24</t>
        </is>
      </c>
      <c r="F1550" s="53">
        <v>4.6</v>
      </c>
      <c r="G1550" s="53">
        <v>0</v>
      </c>
      <c r="H1550" s="51" t="str">
        <f>TEXT(tblLaborEntries[[#This Row],[Work date serial]]-WEEKDAY(tblLaborEntries[[#This Row],[Work date serial]],3),"yyyy-mm-dd")</f>
        <v>2024-01-22</v>
      </c>
      <c r="I1550" s="64">
        <f>DATEVALUE(tblLaborEntries[[#This Row],[Work date]])</f>
        <v>45315.0</v>
      </c>
    </row>
    <row r="1551" spans="1:9" ht="15" x14ac:dyDescent="0.25">
      <c r="A1551" s="53" t="inlineStr">
        <is>
          <t>LAB-001550</t>
        </is>
      </c>
      <c r="B1551" s="53" t="inlineStr">
        <is>
          <t>WP-00683</t>
        </is>
      </c>
      <c r="C1551" s="53" t="inlineStr">
        <is>
          <t>TECH-005</t>
        </is>
      </c>
      <c r="D1551" s="53" t="inlineStr">
        <is>
          <t>Structures</t>
        </is>
      </c>
      <c r="E1551" s="53" t="inlineStr">
        <is>
          <t>2025-03-09</t>
        </is>
      </c>
      <c r="F1551" s="53">
        <v>2.4</v>
      </c>
      <c r="G1551" s="53">
        <v>0</v>
      </c>
      <c r="H1551" s="51" t="str">
        <f>TEXT(tblLaborEntries[[#This Row],[Work date serial]]-WEEKDAY(tblLaborEntries[[#This Row],[Work date serial]],3),"yyyy-mm-dd")</f>
        <v>2025-03-03</v>
      </c>
      <c r="I1551" s="64">
        <f>DATEVALUE(tblLaborEntries[[#This Row],[Work date]])</f>
        <v>45725.0</v>
      </c>
    </row>
    <row r="1552" spans="1:9" ht="15" x14ac:dyDescent="0.25">
      <c r="A1552" s="53" t="inlineStr">
        <is>
          <t>LAB-001551</t>
        </is>
      </c>
      <c r="B1552" s="53" t="inlineStr">
        <is>
          <t>WP-00683</t>
        </is>
      </c>
      <c r="C1552" s="53" t="inlineStr">
        <is>
          <t>TECH-017</t>
        </is>
      </c>
      <c r="D1552" s="53" t="inlineStr">
        <is>
          <t>Structures</t>
        </is>
      </c>
      <c r="E1552" s="53" t="inlineStr">
        <is>
          <t>2025-03-09</t>
        </is>
      </c>
      <c r="F1552" s="53">
        <v>12</v>
      </c>
      <c r="G1552" s="53">
        <v>4</v>
      </c>
      <c r="H1552" s="51" t="str">
        <f>TEXT(tblLaborEntries[[#This Row],[Work date serial]]-WEEKDAY(tblLaborEntries[[#This Row],[Work date serial]],3),"yyyy-mm-dd")</f>
        <v>2025-03-03</v>
      </c>
      <c r="I1552" s="64">
        <f>DATEVALUE(tblLaborEntries[[#This Row],[Work date]])</f>
        <v>45725.0</v>
      </c>
    </row>
    <row r="1553" spans="1:9" ht="15" x14ac:dyDescent="0.25">
      <c r="A1553" s="53" t="inlineStr">
        <is>
          <t>LAB-001552</t>
        </is>
      </c>
      <c r="B1553" s="53" t="inlineStr">
        <is>
          <t>WP-00683</t>
        </is>
      </c>
      <c r="C1553" s="53" t="inlineStr">
        <is>
          <t>TECH-005</t>
        </is>
      </c>
      <c r="D1553" s="53" t="inlineStr">
        <is>
          <t>Structures</t>
        </is>
      </c>
      <c r="E1553" s="53" t="inlineStr">
        <is>
          <t>2025-03-10</t>
        </is>
      </c>
      <c r="F1553" s="53">
        <v>4.2</v>
      </c>
      <c r="G1553" s="53">
        <v>0</v>
      </c>
      <c r="H1553" s="51" t="str">
        <f>TEXT(tblLaborEntries[[#This Row],[Work date serial]]-WEEKDAY(tblLaborEntries[[#This Row],[Work date serial]],3),"yyyy-mm-dd")</f>
        <v>2025-03-10</v>
      </c>
      <c r="I1553" s="64">
        <f>DATEVALUE(tblLaborEntries[[#This Row],[Work date]])</f>
        <v>45726.0</v>
      </c>
    </row>
    <row r="1554" spans="1:9" ht="15" x14ac:dyDescent="0.25">
      <c r="A1554" s="53" t="inlineStr">
        <is>
          <t>LAB-001553</t>
        </is>
      </c>
      <c r="B1554" s="53" t="inlineStr">
        <is>
          <t>WP-00683</t>
        </is>
      </c>
      <c r="C1554" s="53" t="inlineStr">
        <is>
          <t>TECH-071</t>
        </is>
      </c>
      <c r="D1554" s="53" t="inlineStr">
        <is>
          <t>Structures</t>
        </is>
      </c>
      <c r="E1554" s="53" t="inlineStr">
        <is>
          <t>2025-03-10</t>
        </is>
      </c>
      <c r="F1554" s="53">
        <v>12</v>
      </c>
      <c r="G1554" s="53">
        <v>4</v>
      </c>
      <c r="H1554" s="51" t="str">
        <f>TEXT(tblLaborEntries[[#This Row],[Work date serial]]-WEEKDAY(tblLaborEntries[[#This Row],[Work date serial]],3),"yyyy-mm-dd")</f>
        <v>2025-03-10</v>
      </c>
      <c r="I1554" s="64">
        <f>DATEVALUE(tblLaborEntries[[#This Row],[Work date]])</f>
        <v>45726.0</v>
      </c>
    </row>
    <row r="1555" spans="1:9" ht="15" x14ac:dyDescent="0.25">
      <c r="A1555" s="53" t="inlineStr">
        <is>
          <t>LAB-001554</t>
        </is>
      </c>
      <c r="B1555" s="53" t="inlineStr">
        <is>
          <t>WP-00684</t>
        </is>
      </c>
      <c r="C1555" s="53" t="inlineStr">
        <is>
          <t>TECH-007</t>
        </is>
      </c>
      <c r="D1555" s="53" t="inlineStr">
        <is>
          <t>Airframe</t>
        </is>
      </c>
      <c r="E1555" s="53" t="inlineStr">
        <is>
          <t>2024-02-26</t>
        </is>
      </c>
      <c r="F1555" s="53">
        <v>12</v>
      </c>
      <c r="G1555" s="53">
        <v>4</v>
      </c>
      <c r="H1555" s="51" t="str">
        <f>TEXT(tblLaborEntries[[#This Row],[Work date serial]]-WEEKDAY(tblLaborEntries[[#This Row],[Work date serial]],3),"yyyy-mm-dd")</f>
        <v>2024-02-26</v>
      </c>
      <c r="I1555" s="64">
        <f>DATEVALUE(tblLaborEntries[[#This Row],[Work date]])</f>
        <v>45348.0</v>
      </c>
    </row>
    <row r="1556" spans="1:9" ht="15" x14ac:dyDescent="0.25">
      <c r="A1556" s="53" t="inlineStr">
        <is>
          <t>LAB-001555</t>
        </is>
      </c>
      <c r="B1556" s="53" t="inlineStr">
        <is>
          <t>WP-00684</t>
        </is>
      </c>
      <c r="C1556" s="53" t="inlineStr">
        <is>
          <t>TECH-013</t>
        </is>
      </c>
      <c r="D1556" s="53" t="inlineStr">
        <is>
          <t>Airframe</t>
        </is>
      </c>
      <c r="E1556" s="53" t="inlineStr">
        <is>
          <t>2024-02-26</t>
        </is>
      </c>
      <c r="F1556" s="53">
        <v>1.2</v>
      </c>
      <c r="G1556" s="53">
        <v>0</v>
      </c>
      <c r="H1556" s="51" t="str">
        <f>TEXT(tblLaborEntries[[#This Row],[Work date serial]]-WEEKDAY(tblLaborEntries[[#This Row],[Work date serial]],3),"yyyy-mm-dd")</f>
        <v>2024-02-26</v>
      </c>
      <c r="I1556" s="64">
        <f>DATEVALUE(tblLaborEntries[[#This Row],[Work date]])</f>
        <v>45348.0</v>
      </c>
    </row>
    <row r="1557" spans="1:9" ht="15" x14ac:dyDescent="0.25">
      <c r="A1557" s="53" t="inlineStr">
        <is>
          <t>LAB-001556</t>
        </is>
      </c>
      <c r="B1557" s="53" t="inlineStr">
        <is>
          <t>WP-00685</t>
        </is>
      </c>
      <c r="C1557" s="53" t="inlineStr">
        <is>
          <t>TECH-014</t>
        </is>
      </c>
      <c r="D1557" s="53" t="inlineStr">
        <is>
          <t>Avionics</t>
        </is>
      </c>
      <c r="E1557" s="53" t="inlineStr">
        <is>
          <t>2024-07-25</t>
        </is>
      </c>
      <c r="F1557" s="53">
        <v>7.6</v>
      </c>
      <c r="G1557" s="53">
        <v>0</v>
      </c>
      <c r="H1557" s="51" t="str">
        <f>TEXT(tblLaborEntries[[#This Row],[Work date serial]]-WEEKDAY(tblLaborEntries[[#This Row],[Work date serial]],3),"yyyy-mm-dd")</f>
        <v>2024-07-22</v>
      </c>
      <c r="I1557" s="64">
        <f>DATEVALUE(tblLaborEntries[[#This Row],[Work date]])</f>
        <v>45498.0</v>
      </c>
    </row>
    <row r="1558" spans="1:9" ht="15" x14ac:dyDescent="0.25">
      <c r="A1558" s="53" t="inlineStr">
        <is>
          <t>LAB-001557</t>
        </is>
      </c>
      <c r="B1558" s="53" t="inlineStr">
        <is>
          <t>WP-00686</t>
        </is>
      </c>
      <c r="C1558" s="53" t="inlineStr">
        <is>
          <t>TECH-007</t>
        </is>
      </c>
      <c r="D1558" s="53" t="inlineStr">
        <is>
          <t>Airframe</t>
        </is>
      </c>
      <c r="E1558" s="53" t="inlineStr">
        <is>
          <t>2025-12-25</t>
        </is>
      </c>
      <c r="F1558" s="53">
        <v>1.5</v>
      </c>
      <c r="G1558" s="53">
        <v>0</v>
      </c>
      <c r="H1558" s="51" t="str">
        <f>TEXT(tblLaborEntries[[#This Row],[Work date serial]]-WEEKDAY(tblLaborEntries[[#This Row],[Work date serial]],3),"yyyy-mm-dd")</f>
        <v>2025-12-22</v>
      </c>
      <c r="I1558" s="64">
        <f>DATEVALUE(tblLaborEntries[[#This Row],[Work date]])</f>
        <v>46016.0</v>
      </c>
    </row>
    <row r="1559" spans="1:9" ht="15" x14ac:dyDescent="0.25">
      <c r="A1559" s="53" t="inlineStr">
        <is>
          <t>LAB-001558</t>
        </is>
      </c>
      <c r="B1559" s="53" t="inlineStr">
        <is>
          <t>WP-00686</t>
        </is>
      </c>
      <c r="C1559" s="53" t="inlineStr">
        <is>
          <t>TECH-007</t>
        </is>
      </c>
      <c r="D1559" s="53" t="inlineStr">
        <is>
          <t>Airframe</t>
        </is>
      </c>
      <c r="E1559" s="53" t="inlineStr">
        <is>
          <t>2025-12-26</t>
        </is>
      </c>
      <c r="F1559" s="53">
        <v>1.1</v>
      </c>
      <c r="G1559" s="53">
        <v>0</v>
      </c>
      <c r="H1559" s="51" t="str">
        <f>TEXT(tblLaborEntries[[#This Row],[Work date serial]]-WEEKDAY(tblLaborEntries[[#This Row],[Work date serial]],3),"yyyy-mm-dd")</f>
        <v>2025-12-22</v>
      </c>
      <c r="I1559" s="64">
        <f>DATEVALUE(tblLaborEntries[[#This Row],[Work date]])</f>
        <v>46017.0</v>
      </c>
    </row>
    <row r="1560" spans="1:9" ht="15" x14ac:dyDescent="0.25">
      <c r="A1560" s="53" t="inlineStr">
        <is>
          <t>LAB-001559</t>
        </is>
      </c>
      <c r="B1560" s="53" t="inlineStr">
        <is>
          <t>WP-00687</t>
        </is>
      </c>
      <c r="C1560" s="53" t="inlineStr">
        <is>
          <t>TECH-044</t>
        </is>
      </c>
      <c r="D1560" s="53" t="inlineStr">
        <is>
          <t>Avionics</t>
        </is>
      </c>
      <c r="E1560" s="53" t="inlineStr">
        <is>
          <t>2025-03-30</t>
        </is>
      </c>
      <c r="F1560" s="53">
        <v>9.7</v>
      </c>
      <c r="G1560" s="53">
        <v>1.7</v>
      </c>
      <c r="H1560" s="51" t="str">
        <f>TEXT(tblLaborEntries[[#This Row],[Work date serial]]-WEEKDAY(tblLaborEntries[[#This Row],[Work date serial]],3),"yyyy-mm-dd")</f>
        <v>2025-03-24</v>
      </c>
      <c r="I1560" s="64">
        <f>DATEVALUE(tblLaborEntries[[#This Row],[Work date]])</f>
        <v>45746.0</v>
      </c>
    </row>
    <row r="1561" spans="1:9" ht="15" x14ac:dyDescent="0.25">
      <c r="A1561" s="53" t="inlineStr">
        <is>
          <t>LAB-001560</t>
        </is>
      </c>
      <c r="B1561" s="53" t="inlineStr">
        <is>
          <t>WP-00688</t>
        </is>
      </c>
      <c r="C1561" s="53" t="inlineStr">
        <is>
          <t>TECH-026</t>
        </is>
      </c>
      <c r="D1561" s="53" t="inlineStr">
        <is>
          <t>Avionics</t>
        </is>
      </c>
      <c r="E1561" s="53" t="inlineStr">
        <is>
          <t>2024-11-21</t>
        </is>
      </c>
      <c r="F1561" s="53">
        <v>3.4</v>
      </c>
      <c r="G1561" s="53">
        <v>0</v>
      </c>
      <c r="H1561" s="51" t="str">
        <f>TEXT(tblLaborEntries[[#This Row],[Work date serial]]-WEEKDAY(tblLaborEntries[[#This Row],[Work date serial]],3),"yyyy-mm-dd")</f>
        <v>2024-11-18</v>
      </c>
      <c r="I1561" s="64">
        <f>DATEVALUE(tblLaborEntries[[#This Row],[Work date]])</f>
        <v>45617.0</v>
      </c>
    </row>
    <row r="1562" spans="1:9" ht="15" x14ac:dyDescent="0.25">
      <c r="A1562" s="53" t="inlineStr">
        <is>
          <t>LAB-001561</t>
        </is>
      </c>
      <c r="B1562" s="53" t="inlineStr">
        <is>
          <t>WP-00688</t>
        </is>
      </c>
      <c r="C1562" s="53" t="inlineStr">
        <is>
          <t>TECH-026</t>
        </is>
      </c>
      <c r="D1562" s="53" t="inlineStr">
        <is>
          <t>Avionics</t>
        </is>
      </c>
      <c r="E1562" s="53" t="inlineStr">
        <is>
          <t>2024-11-22</t>
        </is>
      </c>
      <c r="F1562" s="53">
        <v>3.6</v>
      </c>
      <c r="G1562" s="53">
        <v>0</v>
      </c>
      <c r="H1562" s="51" t="str">
        <f>TEXT(tblLaborEntries[[#This Row],[Work date serial]]-WEEKDAY(tblLaborEntries[[#This Row],[Work date serial]],3),"yyyy-mm-dd")</f>
        <v>2024-11-18</v>
      </c>
      <c r="I1562" s="64">
        <f>DATEVALUE(tblLaborEntries[[#This Row],[Work date]])</f>
        <v>45618.0</v>
      </c>
    </row>
    <row r="1563" spans="1:9" ht="15" x14ac:dyDescent="0.25">
      <c r="A1563" s="53" t="inlineStr">
        <is>
          <t>LAB-001562</t>
        </is>
      </c>
      <c r="B1563" s="53" t="inlineStr">
        <is>
          <t>WP-00689</t>
        </is>
      </c>
      <c r="C1563" s="53" t="inlineStr">
        <is>
          <t>TECH-009</t>
        </is>
      </c>
      <c r="D1563" s="53" t="inlineStr">
        <is>
          <t>Hydraulics</t>
        </is>
      </c>
      <c r="E1563" s="53" t="inlineStr">
        <is>
          <t>2026-01-13</t>
        </is>
      </c>
      <c r="F1563" s="53">
        <v>8.1</v>
      </c>
      <c r="G1563" s="53">
        <v>0.1</v>
      </c>
      <c r="H1563" s="51" t="str">
        <f>TEXT(tblLaborEntries[[#This Row],[Work date serial]]-WEEKDAY(tblLaborEntries[[#This Row],[Work date serial]],3),"yyyy-mm-dd")</f>
        <v>2026-01-12</v>
      </c>
      <c r="I1563" s="64">
        <f>DATEVALUE(tblLaborEntries[[#This Row],[Work date]])</f>
        <v>46035.0</v>
      </c>
    </row>
    <row r="1564" spans="1:9" ht="15" x14ac:dyDescent="0.25">
      <c r="A1564" s="53" t="inlineStr">
        <is>
          <t>LAB-001563</t>
        </is>
      </c>
      <c r="B1564" s="53" t="inlineStr">
        <is>
          <t>WP-00690</t>
        </is>
      </c>
      <c r="C1564" s="53" t="inlineStr">
        <is>
          <t>TECH-032</t>
        </is>
      </c>
      <c r="D1564" s="53" t="inlineStr">
        <is>
          <t>Avionics</t>
        </is>
      </c>
      <c r="E1564" s="53" t="inlineStr">
        <is>
          <t>2024-08-15</t>
        </is>
      </c>
      <c r="F1564" s="53">
        <v>6.7</v>
      </c>
      <c r="G1564" s="53">
        <v>0</v>
      </c>
      <c r="H1564" s="51" t="str">
        <f>TEXT(tblLaborEntries[[#This Row],[Work date serial]]-WEEKDAY(tblLaborEntries[[#This Row],[Work date serial]],3),"yyyy-mm-dd")</f>
        <v>2024-08-12</v>
      </c>
      <c r="I1564" s="64">
        <f>DATEVALUE(tblLaborEntries[[#This Row],[Work date]])</f>
        <v>45519.0</v>
      </c>
    </row>
    <row r="1565" spans="1:9" ht="15" x14ac:dyDescent="0.25">
      <c r="A1565" s="53" t="inlineStr">
        <is>
          <t>LAB-001564</t>
        </is>
      </c>
      <c r="B1565" s="53" t="inlineStr">
        <is>
          <t>WP-00691</t>
        </is>
      </c>
      <c r="C1565" s="53" t="inlineStr">
        <is>
          <t>TECH-001</t>
        </is>
      </c>
      <c r="D1565" s="53" t="inlineStr">
        <is>
          <t>Airframe</t>
        </is>
      </c>
      <c r="E1565" s="53" t="inlineStr">
        <is>
          <t>2025-01-28</t>
        </is>
      </c>
      <c r="F1565" s="53">
        <v>1.8</v>
      </c>
      <c r="G1565" s="53">
        <v>0</v>
      </c>
      <c r="H1565" s="51" t="str">
        <f>TEXT(tblLaborEntries[[#This Row],[Work date serial]]-WEEKDAY(tblLaborEntries[[#This Row],[Work date serial]],3),"yyyy-mm-dd")</f>
        <v>2025-01-27</v>
      </c>
      <c r="I1565" s="64">
        <f>DATEVALUE(tblLaborEntries[[#This Row],[Work date]])</f>
        <v>45685.0</v>
      </c>
    </row>
    <row r="1566" spans="1:9" ht="15" x14ac:dyDescent="0.25">
      <c r="A1566" s="53" t="inlineStr">
        <is>
          <t>LAB-001565</t>
        </is>
      </c>
      <c r="B1566" s="53" t="inlineStr">
        <is>
          <t>WP-00691</t>
        </is>
      </c>
      <c r="C1566" s="53" t="inlineStr">
        <is>
          <t>TECH-055</t>
        </is>
      </c>
      <c r="D1566" s="53" t="inlineStr">
        <is>
          <t>Airframe</t>
        </is>
      </c>
      <c r="E1566" s="53" t="inlineStr">
        <is>
          <t>2025-01-29</t>
        </is>
      </c>
      <c r="F1566" s="53">
        <v>1.4</v>
      </c>
      <c r="G1566" s="53">
        <v>0</v>
      </c>
      <c r="H1566" s="51" t="str">
        <f>TEXT(tblLaborEntries[[#This Row],[Work date serial]]-WEEKDAY(tblLaborEntries[[#This Row],[Work date serial]],3),"yyyy-mm-dd")</f>
        <v>2025-01-27</v>
      </c>
      <c r="I1566" s="64">
        <f>DATEVALUE(tblLaborEntries[[#This Row],[Work date]])</f>
        <v>45686.0</v>
      </c>
    </row>
    <row r="1567" spans="1:9" ht="15" x14ac:dyDescent="0.25">
      <c r="A1567" s="53" t="inlineStr">
        <is>
          <t>LAB-001566</t>
        </is>
      </c>
      <c r="B1567" s="53" t="inlineStr">
        <is>
          <t>WP-00692</t>
        </is>
      </c>
      <c r="C1567" s="53" t="inlineStr">
        <is>
          <t>TECH-039</t>
        </is>
      </c>
      <c r="D1567" s="53" t="inlineStr">
        <is>
          <t>Hydraulics</t>
        </is>
      </c>
      <c r="E1567" s="53" t="inlineStr">
        <is>
          <t>2025-06-18</t>
        </is>
      </c>
      <c r="F1567" s="53">
        <v>6.7</v>
      </c>
      <c r="G1567" s="53">
        <v>0</v>
      </c>
      <c r="H1567" s="51" t="str">
        <f>TEXT(tblLaborEntries[[#This Row],[Work date serial]]-WEEKDAY(tblLaborEntries[[#This Row],[Work date serial]],3),"yyyy-mm-dd")</f>
        <v>2025-06-16</v>
      </c>
      <c r="I1567" s="64">
        <f>DATEVALUE(tblLaborEntries[[#This Row],[Work date]])</f>
        <v>45826.0</v>
      </c>
    </row>
    <row r="1568" spans="1:9" ht="15" x14ac:dyDescent="0.25">
      <c r="A1568" s="53" t="inlineStr">
        <is>
          <t>LAB-001567</t>
        </is>
      </c>
      <c r="B1568" s="53" t="inlineStr">
        <is>
          <t>WP-00692</t>
        </is>
      </c>
      <c r="C1568" s="53" t="inlineStr">
        <is>
          <t>TECH-027</t>
        </is>
      </c>
      <c r="D1568" s="53" t="inlineStr">
        <is>
          <t>Hydraulics</t>
        </is>
      </c>
      <c r="E1568" s="53" t="inlineStr">
        <is>
          <t>2025-06-19</t>
        </is>
      </c>
      <c r="F1568" s="53">
        <v>9.7</v>
      </c>
      <c r="G1568" s="53">
        <v>1.7</v>
      </c>
      <c r="H1568" s="51" t="str">
        <f>TEXT(tblLaborEntries[[#This Row],[Work date serial]]-WEEKDAY(tblLaborEntries[[#This Row],[Work date serial]],3),"yyyy-mm-dd")</f>
        <v>2025-06-16</v>
      </c>
      <c r="I1568" s="64">
        <f>DATEVALUE(tblLaborEntries[[#This Row],[Work date]])</f>
        <v>45827.0</v>
      </c>
    </row>
    <row r="1569" spans="1:9" ht="15" x14ac:dyDescent="0.25">
      <c r="A1569" s="53" t="inlineStr">
        <is>
          <t>LAB-001568</t>
        </is>
      </c>
      <c r="B1569" s="53" t="inlineStr">
        <is>
          <t>WP-00693</t>
        </is>
      </c>
      <c r="C1569" s="53" t="inlineStr">
        <is>
          <t>TECH-056</t>
        </is>
      </c>
      <c r="D1569" s="53" t="inlineStr">
        <is>
          <t>Avionics</t>
        </is>
      </c>
      <c r="E1569" s="53" t="inlineStr">
        <is>
          <t>2025-05-27</t>
        </is>
      </c>
      <c r="F1569" s="53">
        <v>5.3</v>
      </c>
      <c r="G1569" s="53">
        <v>0</v>
      </c>
      <c r="H1569" s="51" t="str">
        <f>TEXT(tblLaborEntries[[#This Row],[Work date serial]]-WEEKDAY(tblLaborEntries[[#This Row],[Work date serial]],3),"yyyy-mm-dd")</f>
        <v>2025-05-26</v>
      </c>
      <c r="I1569" s="64">
        <f>DATEVALUE(tblLaborEntries[[#This Row],[Work date]])</f>
        <v>45804.0</v>
      </c>
    </row>
    <row r="1570" spans="1:9" ht="15" x14ac:dyDescent="0.25">
      <c r="A1570" s="53" t="inlineStr">
        <is>
          <t>LAB-001569</t>
        </is>
      </c>
      <c r="B1570" s="53" t="inlineStr">
        <is>
          <t>WP-00693</t>
        </is>
      </c>
      <c r="C1570" s="53" t="inlineStr">
        <is>
          <t>TECH-056</t>
        </is>
      </c>
      <c r="D1570" s="53" t="inlineStr">
        <is>
          <t>Avionics</t>
        </is>
      </c>
      <c r="E1570" s="53" t="inlineStr">
        <is>
          <t>2025-05-28</t>
        </is>
      </c>
      <c r="F1570" s="53">
        <v>3.8</v>
      </c>
      <c r="G1570" s="53">
        <v>0</v>
      </c>
      <c r="H1570" s="51" t="str">
        <f>TEXT(tblLaborEntries[[#This Row],[Work date serial]]-WEEKDAY(tblLaborEntries[[#This Row],[Work date serial]],3),"yyyy-mm-dd")</f>
        <v>2025-05-26</v>
      </c>
      <c r="I1570" s="64">
        <f>DATEVALUE(tblLaborEntries[[#This Row],[Work date]])</f>
        <v>45805.0</v>
      </c>
    </row>
    <row r="1571" spans="1:9" ht="15" x14ac:dyDescent="0.25">
      <c r="A1571" s="53" t="inlineStr">
        <is>
          <t>LAB-001570</t>
        </is>
      </c>
      <c r="B1571" s="53" t="inlineStr">
        <is>
          <t>WP-00694</t>
        </is>
      </c>
      <c r="C1571" s="53" t="inlineStr">
        <is>
          <t>TECH-056</t>
        </is>
      </c>
      <c r="D1571" s="53" t="inlineStr">
        <is>
          <t>Avionics</t>
        </is>
      </c>
      <c r="E1571" s="53" t="inlineStr">
        <is>
          <t>2024-03-29</t>
        </is>
      </c>
      <c r="F1571" s="53">
        <v>8.6</v>
      </c>
      <c r="G1571" s="53">
        <v>0.6</v>
      </c>
      <c r="H1571" s="51" t="str">
        <f>TEXT(tblLaborEntries[[#This Row],[Work date serial]]-WEEKDAY(tblLaborEntries[[#This Row],[Work date serial]],3),"yyyy-mm-dd")</f>
        <v>2024-03-25</v>
      </c>
      <c r="I1571" s="64">
        <f>DATEVALUE(tblLaborEntries[[#This Row],[Work date]])</f>
        <v>45380.0</v>
      </c>
    </row>
    <row r="1572" spans="1:9" ht="15" x14ac:dyDescent="0.25">
      <c r="A1572" s="53" t="inlineStr">
        <is>
          <t>LAB-001571</t>
        </is>
      </c>
      <c r="B1572" s="53" t="inlineStr">
        <is>
          <t>WP-00694</t>
        </is>
      </c>
      <c r="C1572" s="53" t="inlineStr">
        <is>
          <t>TECH-062</t>
        </is>
      </c>
      <c r="D1572" s="53" t="inlineStr">
        <is>
          <t>Avionics</t>
        </is>
      </c>
      <c r="E1572" s="53" t="inlineStr">
        <is>
          <t>2024-03-30</t>
        </is>
      </c>
      <c r="F1572" s="53">
        <v>9.1</v>
      </c>
      <c r="G1572" s="53">
        <v>1.1</v>
      </c>
      <c r="H1572" s="51" t="str">
        <f>TEXT(tblLaborEntries[[#This Row],[Work date serial]]-WEEKDAY(tblLaborEntries[[#This Row],[Work date serial]],3),"yyyy-mm-dd")</f>
        <v>2024-03-25</v>
      </c>
      <c r="I1572" s="64">
        <f>DATEVALUE(tblLaborEntries[[#This Row],[Work date]])</f>
        <v>45381.0</v>
      </c>
    </row>
    <row r="1573" spans="1:9" ht="15" x14ac:dyDescent="0.25">
      <c r="A1573" s="53" t="inlineStr">
        <is>
          <t>LAB-001572</t>
        </is>
      </c>
      <c r="B1573" s="53" t="inlineStr">
        <is>
          <t>WP-00694</t>
        </is>
      </c>
      <c r="C1573" s="53" t="inlineStr">
        <is>
          <t>TECH-002</t>
        </is>
      </c>
      <c r="D1573" s="53" t="inlineStr">
        <is>
          <t>Avionics</t>
        </is>
      </c>
      <c r="E1573" s="53" t="inlineStr">
        <is>
          <t>2024-03-31</t>
        </is>
      </c>
      <c r="F1573" s="53">
        <v>0.8</v>
      </c>
      <c r="G1573" s="53">
        <v>0</v>
      </c>
      <c r="H1573" s="51" t="str">
        <f>TEXT(tblLaborEntries[[#This Row],[Work date serial]]-WEEKDAY(tblLaborEntries[[#This Row],[Work date serial]],3),"yyyy-mm-dd")</f>
        <v>2024-03-25</v>
      </c>
      <c r="I1573" s="64">
        <f>DATEVALUE(tblLaborEntries[[#This Row],[Work date]])</f>
        <v>45382.0</v>
      </c>
    </row>
    <row r="1574" spans="1:9" ht="15" x14ac:dyDescent="0.25">
      <c r="A1574" s="53" t="inlineStr">
        <is>
          <t>LAB-001573</t>
        </is>
      </c>
      <c r="B1574" s="53" t="inlineStr">
        <is>
          <t>WP-00694</t>
        </is>
      </c>
      <c r="C1574" s="53" t="inlineStr">
        <is>
          <t>TECH-074</t>
        </is>
      </c>
      <c r="D1574" s="53" t="inlineStr">
        <is>
          <t>Avionics</t>
        </is>
      </c>
      <c r="E1574" s="53" t="inlineStr">
        <is>
          <t>2024-03-31</t>
        </is>
      </c>
      <c r="F1574" s="53">
        <v>12</v>
      </c>
      <c r="G1574" s="53">
        <v>4</v>
      </c>
      <c r="H1574" s="51" t="str">
        <f>TEXT(tblLaborEntries[[#This Row],[Work date serial]]-WEEKDAY(tblLaborEntries[[#This Row],[Work date serial]],3),"yyyy-mm-dd")</f>
        <v>2024-03-25</v>
      </c>
      <c r="I1574" s="64">
        <f>DATEVALUE(tblLaborEntries[[#This Row],[Work date]])</f>
        <v>45382.0</v>
      </c>
    </row>
    <row r="1575" spans="1:9" ht="15" x14ac:dyDescent="0.25">
      <c r="A1575" s="53" t="inlineStr">
        <is>
          <t>LAB-001574</t>
        </is>
      </c>
      <c r="B1575" s="53" t="inlineStr">
        <is>
          <t>WP-00695</t>
        </is>
      </c>
      <c r="C1575" s="53" t="inlineStr">
        <is>
          <t>TECH-053</t>
        </is>
      </c>
      <c r="D1575" s="53" t="inlineStr">
        <is>
          <t>Structures</t>
        </is>
      </c>
      <c r="E1575" s="53" t="inlineStr">
        <is>
          <t>2025-11-21</t>
        </is>
      </c>
      <c r="F1575" s="53">
        <v>4.2</v>
      </c>
      <c r="G1575" s="53">
        <v>0</v>
      </c>
      <c r="H1575" s="51" t="str">
        <f>TEXT(tblLaborEntries[[#This Row],[Work date serial]]-WEEKDAY(tblLaborEntries[[#This Row],[Work date serial]],3),"yyyy-mm-dd")</f>
        <v>2025-11-17</v>
      </c>
      <c r="I1575" s="64">
        <f>DATEVALUE(tblLaborEntries[[#This Row],[Work date]])</f>
        <v>45982.0</v>
      </c>
    </row>
    <row r="1576" spans="1:9" ht="15" x14ac:dyDescent="0.25">
      <c r="A1576" s="53" t="inlineStr">
        <is>
          <t>LAB-001575</t>
        </is>
      </c>
      <c r="B1576" s="53" t="inlineStr">
        <is>
          <t>WP-00695</t>
        </is>
      </c>
      <c r="C1576" s="53" t="inlineStr">
        <is>
          <t>TECH-005</t>
        </is>
      </c>
      <c r="D1576" s="53" t="inlineStr">
        <is>
          <t>Structures</t>
        </is>
      </c>
      <c r="E1576" s="53" t="inlineStr">
        <is>
          <t>2025-11-22</t>
        </is>
      </c>
      <c r="F1576" s="53">
        <v>4.8</v>
      </c>
      <c r="G1576" s="53">
        <v>0</v>
      </c>
      <c r="H1576" s="51" t="str">
        <f>TEXT(tblLaborEntries[[#This Row],[Work date serial]]-WEEKDAY(tblLaborEntries[[#This Row],[Work date serial]],3),"yyyy-mm-dd")</f>
        <v>2025-11-17</v>
      </c>
      <c r="I1576" s="64">
        <f>DATEVALUE(tblLaborEntries[[#This Row],[Work date]])</f>
        <v>45983.0</v>
      </c>
    </row>
    <row r="1577" spans="1:9" ht="15" x14ac:dyDescent="0.25">
      <c r="A1577" s="53" t="inlineStr">
        <is>
          <t>LAB-001576</t>
        </is>
      </c>
      <c r="B1577" s="53" t="inlineStr">
        <is>
          <t>WP-00696</t>
        </is>
      </c>
      <c r="C1577" s="53" t="inlineStr">
        <is>
          <t>TECH-008</t>
        </is>
      </c>
      <c r="D1577" s="53" t="inlineStr">
        <is>
          <t>Avionics</t>
        </is>
      </c>
      <c r="E1577" s="53" t="inlineStr">
        <is>
          <t>2025-10-13</t>
        </is>
      </c>
      <c r="F1577" s="53">
        <v>4</v>
      </c>
      <c r="G1577" s="53">
        <v>0</v>
      </c>
      <c r="H1577" s="51" t="str">
        <f>TEXT(tblLaborEntries[[#This Row],[Work date serial]]-WEEKDAY(tblLaborEntries[[#This Row],[Work date serial]],3),"yyyy-mm-dd")</f>
        <v>2025-10-13</v>
      </c>
      <c r="I1577" s="64">
        <f>DATEVALUE(tblLaborEntries[[#This Row],[Work date]])</f>
        <v>45943.0</v>
      </c>
    </row>
    <row r="1578" spans="1:9" ht="15" x14ac:dyDescent="0.25">
      <c r="A1578" s="53" t="inlineStr">
        <is>
          <t>LAB-001577</t>
        </is>
      </c>
      <c r="B1578" s="53" t="inlineStr">
        <is>
          <t>WP-00696</t>
        </is>
      </c>
      <c r="C1578" s="53" t="inlineStr">
        <is>
          <t>TECH-062</t>
        </is>
      </c>
      <c r="D1578" s="53" t="inlineStr">
        <is>
          <t>Avionics</t>
        </is>
      </c>
      <c r="E1578" s="53" t="inlineStr">
        <is>
          <t>2025-10-14</t>
        </is>
      </c>
      <c r="F1578" s="53">
        <v>4.8</v>
      </c>
      <c r="G1578" s="53">
        <v>4</v>
      </c>
      <c r="H1578" s="51" t="str">
        <f>TEXT(tblLaborEntries[[#This Row],[Work date serial]]-WEEKDAY(tblLaborEntries[[#This Row],[Work date serial]],3),"yyyy-mm-dd")</f>
        <v>2025-10-13</v>
      </c>
      <c r="I1578" s="64">
        <f>DATEVALUE(tblLaborEntries[[#This Row],[Work date]])</f>
        <v>45944.0</v>
      </c>
    </row>
    <row r="1579" spans="1:9" ht="15" x14ac:dyDescent="0.25">
      <c r="A1579" s="53" t="inlineStr">
        <is>
          <t>LAB-001578</t>
        </is>
      </c>
      <c r="B1579" s="53" t="inlineStr">
        <is>
          <t>WP-00697</t>
        </is>
      </c>
      <c r="C1579" s="53" t="inlineStr">
        <is>
          <t>TECH-008</t>
        </is>
      </c>
      <c r="D1579" s="53" t="inlineStr">
        <is>
          <t>Avionics</t>
        </is>
      </c>
      <c r="E1579" s="53" t="inlineStr">
        <is>
          <t>2024-08-06</t>
        </is>
      </c>
      <c r="F1579" s="53">
        <v>3.8</v>
      </c>
      <c r="G1579" s="53">
        <v>0</v>
      </c>
      <c r="H1579" s="51" t="str">
        <f>TEXT(tblLaborEntries[[#This Row],[Work date serial]]-WEEKDAY(tblLaborEntries[[#This Row],[Work date serial]],3),"yyyy-mm-dd")</f>
        <v>2024-08-05</v>
      </c>
      <c r="I1579" s="64">
        <f>DATEVALUE(tblLaborEntries[[#This Row],[Work date]])</f>
        <v>45510.0</v>
      </c>
    </row>
    <row r="1580" spans="1:9" ht="15" x14ac:dyDescent="0.25">
      <c r="A1580" s="53" t="inlineStr">
        <is>
          <t>LAB-001579</t>
        </is>
      </c>
      <c r="B1580" s="53" t="inlineStr">
        <is>
          <t>WP-00697</t>
        </is>
      </c>
      <c r="C1580" s="53" t="inlineStr">
        <is>
          <t>TECH-002</t>
        </is>
      </c>
      <c r="D1580" s="53" t="inlineStr">
        <is>
          <t>Avionics</t>
        </is>
      </c>
      <c r="E1580" s="53" t="inlineStr">
        <is>
          <t>2024-08-07</t>
        </is>
      </c>
      <c r="F1580" s="53">
        <v>2.9</v>
      </c>
      <c r="G1580" s="53">
        <v>0</v>
      </c>
      <c r="H1580" s="51" t="str">
        <f>TEXT(tblLaborEntries[[#This Row],[Work date serial]]-WEEKDAY(tblLaborEntries[[#This Row],[Work date serial]],3),"yyyy-mm-dd")</f>
        <v>2024-08-05</v>
      </c>
      <c r="I1580" s="64">
        <f>DATEVALUE(tblLaborEntries[[#This Row],[Work date]])</f>
        <v>45511.0</v>
      </c>
    </row>
    <row r="1581" spans="1:9" ht="15" x14ac:dyDescent="0.25">
      <c r="A1581" s="53" t="inlineStr">
        <is>
          <t>LAB-001580</t>
        </is>
      </c>
      <c r="B1581" s="53" t="inlineStr">
        <is>
          <t>WP-00698</t>
        </is>
      </c>
      <c r="C1581" s="53" t="inlineStr">
        <is>
          <t>TECH-072</t>
        </is>
      </c>
      <c r="D1581" s="53" t="inlineStr">
        <is>
          <t>Powerplant</t>
        </is>
      </c>
      <c r="E1581" s="53" t="inlineStr">
        <is>
          <t>2025-09-26</t>
        </is>
      </c>
      <c r="F1581" s="53">
        <v>2.5</v>
      </c>
      <c r="G1581" s="53">
        <v>0</v>
      </c>
      <c r="H1581" s="51" t="str">
        <f>TEXT(tblLaborEntries[[#This Row],[Work date serial]]-WEEKDAY(tblLaborEntries[[#This Row],[Work date serial]],3),"yyyy-mm-dd")</f>
        <v>2025-09-22</v>
      </c>
      <c r="I1581" s="64">
        <f>DATEVALUE(tblLaborEntries[[#This Row],[Work date]])</f>
        <v>45926.0</v>
      </c>
    </row>
    <row r="1582" spans="1:9" ht="15" x14ac:dyDescent="0.25">
      <c r="A1582" s="53" t="inlineStr">
        <is>
          <t>LAB-001581</t>
        </is>
      </c>
      <c r="B1582" s="53" t="inlineStr">
        <is>
          <t>WP-00698</t>
        </is>
      </c>
      <c r="C1582" s="53" t="inlineStr">
        <is>
          <t>TECH-048</t>
        </is>
      </c>
      <c r="D1582" s="53" t="inlineStr">
        <is>
          <t>Powerplant</t>
        </is>
      </c>
      <c r="E1582" s="53" t="inlineStr">
        <is>
          <t>2025-09-27</t>
        </is>
      </c>
      <c r="F1582" s="53">
        <v>2.8</v>
      </c>
      <c r="G1582" s="53">
        <v>0</v>
      </c>
      <c r="H1582" s="51" t="str">
        <f>TEXT(tblLaborEntries[[#This Row],[Work date serial]]-WEEKDAY(tblLaborEntries[[#This Row],[Work date serial]],3),"yyyy-mm-dd")</f>
        <v>2025-09-22</v>
      </c>
      <c r="I1582" s="64">
        <f>DATEVALUE(tblLaborEntries[[#This Row],[Work date]])</f>
        <v>45927.0</v>
      </c>
    </row>
    <row r="1583" spans="1:9" ht="15" x14ac:dyDescent="0.25">
      <c r="A1583" s="53" t="inlineStr">
        <is>
          <t>LAB-001582</t>
        </is>
      </c>
      <c r="B1583" s="53" t="inlineStr">
        <is>
          <t>WP-00698</t>
        </is>
      </c>
      <c r="C1583" s="53" t="inlineStr">
        <is>
          <t>TECH-072</t>
        </is>
      </c>
      <c r="D1583" s="53" t="inlineStr">
        <is>
          <t>Powerplant</t>
        </is>
      </c>
      <c r="E1583" s="53" t="inlineStr">
        <is>
          <t>2025-09-28</t>
        </is>
      </c>
      <c r="F1583" s="53">
        <v>2.4</v>
      </c>
      <c r="G1583" s="53">
        <v>0</v>
      </c>
      <c r="H1583" s="51" t="str">
        <f>TEXT(tblLaborEntries[[#This Row],[Work date serial]]-WEEKDAY(tblLaborEntries[[#This Row],[Work date serial]],3),"yyyy-mm-dd")</f>
        <v>2025-09-22</v>
      </c>
      <c r="I1583" s="64">
        <f>DATEVALUE(tblLaborEntries[[#This Row],[Work date]])</f>
        <v>45928.0</v>
      </c>
    </row>
    <row r="1584" spans="1:9" ht="15" x14ac:dyDescent="0.25">
      <c r="A1584" s="53" t="inlineStr">
        <is>
          <t>LAB-001583</t>
        </is>
      </c>
      <c r="B1584" s="53" t="inlineStr">
        <is>
          <t>WP-00699</t>
        </is>
      </c>
      <c r="C1584" s="53" t="inlineStr">
        <is>
          <t>TECH-014</t>
        </is>
      </c>
      <c r="D1584" s="53" t="inlineStr">
        <is>
          <t>Avionics</t>
        </is>
      </c>
      <c r="E1584" s="53" t="inlineStr">
        <is>
          <t>2024-09-18</t>
        </is>
      </c>
      <c r="F1584" s="53">
        <v>1.6</v>
      </c>
      <c r="G1584" s="53">
        <v>1.6</v>
      </c>
      <c r="H1584" s="51" t="str">
        <f>TEXT(tblLaborEntries[[#This Row],[Work date serial]]-WEEKDAY(tblLaborEntries[[#This Row],[Work date serial]],3),"yyyy-mm-dd")</f>
        <v>2024-09-16</v>
      </c>
      <c r="I1584" s="64">
        <f>DATEVALUE(tblLaborEntries[[#This Row],[Work date]])</f>
        <v>45553.0</v>
      </c>
    </row>
    <row r="1585" spans="1:9" ht="15" x14ac:dyDescent="0.25">
      <c r="A1585" s="53" t="inlineStr">
        <is>
          <t>LAB-001584</t>
        </is>
      </c>
      <c r="B1585" s="53" t="inlineStr">
        <is>
          <t>WP-00699</t>
        </is>
      </c>
      <c r="C1585" s="53" t="inlineStr">
        <is>
          <t>TECH-044</t>
        </is>
      </c>
      <c r="D1585" s="53" t="inlineStr">
        <is>
          <t>Avionics</t>
        </is>
      </c>
      <c r="E1585" s="53" t="inlineStr">
        <is>
          <t>2024-09-19</t>
        </is>
      </c>
      <c r="F1585" s="53">
        <v>1.7</v>
      </c>
      <c r="G1585" s="53">
        <v>0</v>
      </c>
      <c r="H1585" s="51" t="str">
        <f>TEXT(tblLaborEntries[[#This Row],[Work date serial]]-WEEKDAY(tblLaborEntries[[#This Row],[Work date serial]],3),"yyyy-mm-dd")</f>
        <v>2024-09-16</v>
      </c>
      <c r="I1585" s="64">
        <f>DATEVALUE(tblLaborEntries[[#This Row],[Work date]])</f>
        <v>45554.0</v>
      </c>
    </row>
    <row r="1586" spans="1:9" ht="15" x14ac:dyDescent="0.25">
      <c r="A1586" s="53" t="inlineStr">
        <is>
          <t>LAB-001585</t>
        </is>
      </c>
      <c r="B1586" s="53" t="inlineStr">
        <is>
          <t>WP-00700</t>
        </is>
      </c>
      <c r="C1586" s="53" t="inlineStr">
        <is>
          <t>TECH-033</t>
        </is>
      </c>
      <c r="D1586" s="53" t="inlineStr">
        <is>
          <t>Hydraulics</t>
        </is>
      </c>
      <c r="E1586" s="53" t="inlineStr">
        <is>
          <t>2024-09-20</t>
        </is>
      </c>
      <c r="F1586" s="53">
        <v>2.5</v>
      </c>
      <c r="G1586" s="53">
        <v>0</v>
      </c>
      <c r="H1586" s="51" t="str">
        <f>TEXT(tblLaborEntries[[#This Row],[Work date serial]]-WEEKDAY(tblLaborEntries[[#This Row],[Work date serial]],3),"yyyy-mm-dd")</f>
        <v>2024-09-16</v>
      </c>
      <c r="I1586" s="64">
        <f>DATEVALUE(tblLaborEntries[[#This Row],[Work date]])</f>
        <v>45555.0</v>
      </c>
    </row>
    <row r="1587" spans="1:9" ht="15" x14ac:dyDescent="0.25">
      <c r="A1587" s="53" t="inlineStr">
        <is>
          <t>LAB-001586</t>
        </is>
      </c>
      <c r="B1587" s="53" t="inlineStr">
        <is>
          <t>WP-00700</t>
        </is>
      </c>
      <c r="C1587" s="53" t="inlineStr">
        <is>
          <t>TECH-069</t>
        </is>
      </c>
      <c r="D1587" s="53" t="inlineStr">
        <is>
          <t>Hydraulics</t>
        </is>
      </c>
      <c r="E1587" s="53" t="inlineStr">
        <is>
          <t>2024-09-21</t>
        </is>
      </c>
      <c r="F1587" s="53">
        <v>2.2</v>
      </c>
      <c r="G1587" s="53">
        <v>0</v>
      </c>
      <c r="H1587" s="51" t="str">
        <f>TEXT(tblLaborEntries[[#This Row],[Work date serial]]-WEEKDAY(tblLaborEntries[[#This Row],[Work date serial]],3),"yyyy-mm-dd")</f>
        <v>2024-09-16</v>
      </c>
      <c r="I1587" s="64">
        <f>DATEVALUE(tblLaborEntries[[#This Row],[Work date]])</f>
        <v>45556.0</v>
      </c>
    </row>
    <row r="1588" spans="1:9" ht="15" x14ac:dyDescent="0.25">
      <c r="A1588" s="53" t="inlineStr">
        <is>
          <t>LAB-001587</t>
        </is>
      </c>
      <c r="B1588" s="53" t="inlineStr">
        <is>
          <t>WP-00700</t>
        </is>
      </c>
      <c r="C1588" s="53" t="inlineStr">
        <is>
          <t>TECH-039</t>
        </is>
      </c>
      <c r="D1588" s="53" t="inlineStr">
        <is>
          <t>Hydraulics</t>
        </is>
      </c>
      <c r="E1588" s="53" t="inlineStr">
        <is>
          <t>2024-09-22</t>
        </is>
      </c>
      <c r="F1588" s="53">
        <v>1.7</v>
      </c>
      <c r="G1588" s="53">
        <v>0</v>
      </c>
      <c r="H1588" s="51" t="str">
        <f>TEXT(tblLaborEntries[[#This Row],[Work date serial]]-WEEKDAY(tblLaborEntries[[#This Row],[Work date serial]],3),"yyyy-mm-dd")</f>
        <v>2024-09-16</v>
      </c>
      <c r="I1588" s="64">
        <f>DATEVALUE(tblLaborEntries[[#This Row],[Work date]])</f>
        <v>45557.0</v>
      </c>
    </row>
    <row r="1589" spans="1:9" ht="15" x14ac:dyDescent="0.25">
      <c r="A1589" s="53" t="inlineStr">
        <is>
          <t>LAB-001588</t>
        </is>
      </c>
      <c r="B1589" s="53" t="inlineStr">
        <is>
          <t>WP-00701</t>
        </is>
      </c>
      <c r="C1589" s="53" t="inlineStr">
        <is>
          <t>TECH-062</t>
        </is>
      </c>
      <c r="D1589" s="53" t="inlineStr">
        <is>
          <t>Avionics</t>
        </is>
      </c>
      <c r="E1589" s="53" t="inlineStr">
        <is>
          <t>2025-01-08</t>
        </is>
      </c>
      <c r="F1589" s="53">
        <v>7.7</v>
      </c>
      <c r="G1589" s="53">
        <v>0</v>
      </c>
      <c r="H1589" s="51" t="str">
        <f>TEXT(tblLaborEntries[[#This Row],[Work date serial]]-WEEKDAY(tblLaborEntries[[#This Row],[Work date serial]],3),"yyyy-mm-dd")</f>
        <v>2025-01-06</v>
      </c>
      <c r="I1589" s="64">
        <f>DATEVALUE(tblLaborEntries[[#This Row],[Work date]])</f>
        <v>45665.0</v>
      </c>
    </row>
    <row r="1590" spans="1:9" ht="15" x14ac:dyDescent="0.25">
      <c r="A1590" s="53" t="inlineStr">
        <is>
          <t>LAB-001589</t>
        </is>
      </c>
      <c r="B1590" s="53" t="inlineStr">
        <is>
          <t>WP-00702</t>
        </is>
      </c>
      <c r="C1590" s="53" t="inlineStr">
        <is>
          <t>TECH-038</t>
        </is>
      </c>
      <c r="D1590" s="53" t="inlineStr">
        <is>
          <t>Avionics</t>
        </is>
      </c>
      <c r="E1590" s="53" t="inlineStr">
        <is>
          <t>2024-02-19</t>
        </is>
      </c>
      <c r="F1590" s="53">
        <v>3.8</v>
      </c>
      <c r="G1590" s="53">
        <v>0</v>
      </c>
      <c r="H1590" s="51" t="str">
        <f>TEXT(tblLaborEntries[[#This Row],[Work date serial]]-WEEKDAY(tblLaborEntries[[#This Row],[Work date serial]],3),"yyyy-mm-dd")</f>
        <v>2024-02-19</v>
      </c>
      <c r="I1590" s="64">
        <f>DATEVALUE(tblLaborEntries[[#This Row],[Work date]])</f>
        <v>45341.0</v>
      </c>
    </row>
    <row r="1591" spans="1:9" ht="15" x14ac:dyDescent="0.25">
      <c r="A1591" s="53" t="inlineStr">
        <is>
          <t>LAB-001590</t>
        </is>
      </c>
      <c r="B1591" s="53" t="inlineStr">
        <is>
          <t>WP-00702</t>
        </is>
      </c>
      <c r="C1591" s="53" t="inlineStr">
        <is>
          <t>TECH-008</t>
        </is>
      </c>
      <c r="D1591" s="53" t="inlineStr">
        <is>
          <t>Avionics</t>
        </is>
      </c>
      <c r="E1591" s="53" t="inlineStr">
        <is>
          <t>2024-02-20</t>
        </is>
      </c>
      <c r="F1591" s="53">
        <v>4.6</v>
      </c>
      <c r="G1591" s="53">
        <v>0</v>
      </c>
      <c r="H1591" s="51" t="str">
        <f>TEXT(tblLaborEntries[[#This Row],[Work date serial]]-WEEKDAY(tblLaborEntries[[#This Row],[Work date serial]],3),"yyyy-mm-dd")</f>
        <v>2024-02-19</v>
      </c>
      <c r="I1591" s="64">
        <f>DATEVALUE(tblLaborEntries[[#This Row],[Work date]])</f>
        <v>45342.0</v>
      </c>
    </row>
    <row r="1592" spans="1:9" ht="15" x14ac:dyDescent="0.25">
      <c r="A1592" s="53" t="inlineStr">
        <is>
          <t>LAB-001591</t>
        </is>
      </c>
      <c r="B1592" s="53" t="inlineStr">
        <is>
          <t>WP-00703</t>
        </is>
      </c>
      <c r="C1592" s="53" t="inlineStr">
        <is>
          <t>TECH-060</t>
        </is>
      </c>
      <c r="D1592" s="53" t="inlineStr">
        <is>
          <t>Powerplant</t>
        </is>
      </c>
      <c r="E1592" s="53" t="inlineStr">
        <is>
          <t>2025-07-05</t>
        </is>
      </c>
      <c r="F1592" s="53">
        <v>6.4</v>
      </c>
      <c r="G1592" s="53">
        <v>0</v>
      </c>
      <c r="H1592" s="51" t="str">
        <f>TEXT(tblLaborEntries[[#This Row],[Work date serial]]-WEEKDAY(tblLaborEntries[[#This Row],[Work date serial]],3),"yyyy-mm-dd")</f>
        <v>2025-06-30</v>
      </c>
      <c r="I1592" s="64">
        <f>DATEVALUE(tblLaborEntries[[#This Row],[Work date]])</f>
        <v>45843.0</v>
      </c>
    </row>
    <row r="1593" spans="1:9" ht="15" x14ac:dyDescent="0.25">
      <c r="A1593" s="53" t="inlineStr">
        <is>
          <t>LAB-001592</t>
        </is>
      </c>
      <c r="B1593" s="53" t="inlineStr">
        <is>
          <t>WP-00704</t>
        </is>
      </c>
      <c r="C1593" s="53" t="inlineStr">
        <is>
          <t>TECH-004</t>
        </is>
      </c>
      <c r="D1593" s="53" t="inlineStr">
        <is>
          <t>Electrical</t>
        </is>
      </c>
      <c r="E1593" s="53" t="inlineStr">
        <is>
          <t>2025-08-25</t>
        </is>
      </c>
      <c r="F1593" s="53">
        <v>6.9</v>
      </c>
      <c r="G1593" s="53">
        <v>0</v>
      </c>
      <c r="H1593" s="51" t="str">
        <f>TEXT(tblLaborEntries[[#This Row],[Work date serial]]-WEEKDAY(tblLaborEntries[[#This Row],[Work date serial]],3),"yyyy-mm-dd")</f>
        <v>2025-08-25</v>
      </c>
      <c r="I1593" s="64">
        <f>DATEVALUE(tblLaborEntries[[#This Row],[Work date]])</f>
        <v>45894.0</v>
      </c>
    </row>
    <row r="1594" spans="1:9" ht="15" x14ac:dyDescent="0.25">
      <c r="A1594" s="53" t="inlineStr">
        <is>
          <t>LAB-001593</t>
        </is>
      </c>
      <c r="B1594" s="53" t="inlineStr">
        <is>
          <t>WP-00704</t>
        </is>
      </c>
      <c r="C1594" s="53" t="inlineStr">
        <is>
          <t>TECH-022</t>
        </is>
      </c>
      <c r="D1594" s="53" t="inlineStr">
        <is>
          <t>Electrical</t>
        </is>
      </c>
      <c r="E1594" s="53" t="inlineStr">
        <is>
          <t>2025-08-25</t>
        </is>
      </c>
      <c r="F1594" s="53">
        <v>12</v>
      </c>
      <c r="G1594" s="53">
        <v>4</v>
      </c>
      <c r="H1594" s="51" t="str">
        <f>TEXT(tblLaborEntries[[#This Row],[Work date serial]]-WEEKDAY(tblLaborEntries[[#This Row],[Work date serial]],3),"yyyy-mm-dd")</f>
        <v>2025-08-25</v>
      </c>
      <c r="I1594" s="64">
        <f>DATEVALUE(tblLaborEntries[[#This Row],[Work date]])</f>
        <v>45894.0</v>
      </c>
    </row>
    <row r="1595" spans="1:9" ht="15" x14ac:dyDescent="0.25">
      <c r="A1595" s="53" t="inlineStr">
        <is>
          <t>LAB-001594</t>
        </is>
      </c>
      <c r="B1595" s="53" t="inlineStr">
        <is>
          <t>WP-00705</t>
        </is>
      </c>
      <c r="C1595" s="53" t="inlineStr">
        <is>
          <t>TECH-006</t>
        </is>
      </c>
      <c r="D1595" s="53" t="inlineStr">
        <is>
          <t>Powerplant</t>
        </is>
      </c>
      <c r="E1595" s="53" t="inlineStr">
        <is>
          <t>2025-10-10</t>
        </is>
      </c>
      <c r="F1595" s="53">
        <v>6.9</v>
      </c>
      <c r="G1595" s="53">
        <v>0</v>
      </c>
      <c r="H1595" s="51" t="str">
        <f>TEXT(tblLaborEntries[[#This Row],[Work date serial]]-WEEKDAY(tblLaborEntries[[#This Row],[Work date serial]],3),"yyyy-mm-dd")</f>
        <v>2025-10-06</v>
      </c>
      <c r="I1595" s="64">
        <f>DATEVALUE(tblLaborEntries[[#This Row],[Work date]])</f>
        <v>45940.0</v>
      </c>
    </row>
    <row r="1596" spans="1:9" ht="15" x14ac:dyDescent="0.25">
      <c r="A1596" s="53" t="inlineStr">
        <is>
          <t>LAB-001595</t>
        </is>
      </c>
      <c r="B1596" s="53" t="inlineStr">
        <is>
          <t>WP-00705</t>
        </is>
      </c>
      <c r="C1596" s="53" t="inlineStr">
        <is>
          <t>TECH-018</t>
        </is>
      </c>
      <c r="D1596" s="53" t="inlineStr">
        <is>
          <t>Powerplant</t>
        </is>
      </c>
      <c r="E1596" s="53" t="inlineStr">
        <is>
          <t>2025-10-10</t>
        </is>
      </c>
      <c r="F1596" s="53">
        <v>12</v>
      </c>
      <c r="G1596" s="53">
        <v>4</v>
      </c>
      <c r="H1596" s="51" t="str">
        <f>TEXT(tblLaborEntries[[#This Row],[Work date serial]]-WEEKDAY(tblLaborEntries[[#This Row],[Work date serial]],3),"yyyy-mm-dd")</f>
        <v>2025-10-06</v>
      </c>
      <c r="I1596" s="64">
        <f>DATEVALUE(tblLaborEntries[[#This Row],[Work date]])</f>
        <v>45940.0</v>
      </c>
    </row>
    <row r="1597" spans="1:9" ht="15" x14ac:dyDescent="0.25">
      <c r="A1597" s="53" t="inlineStr">
        <is>
          <t>LAB-001596</t>
        </is>
      </c>
      <c r="B1597" s="53" t="inlineStr">
        <is>
          <t>WP-00706</t>
        </is>
      </c>
      <c r="C1597" s="53" t="inlineStr">
        <is>
          <t>TECH-002</t>
        </is>
      </c>
      <c r="D1597" s="53" t="inlineStr">
        <is>
          <t>Avionics</t>
        </is>
      </c>
      <c r="E1597" s="53" t="inlineStr">
        <is>
          <t>2025-06-12</t>
        </is>
      </c>
      <c r="F1597" s="53">
        <v>12</v>
      </c>
      <c r="G1597" s="53">
        <v>4</v>
      </c>
      <c r="H1597" s="51" t="str">
        <f>TEXT(tblLaborEntries[[#This Row],[Work date serial]]-WEEKDAY(tblLaborEntries[[#This Row],[Work date serial]],3),"yyyy-mm-dd")</f>
        <v>2025-06-09</v>
      </c>
      <c r="I1597" s="64">
        <f>DATEVALUE(tblLaborEntries[[#This Row],[Work date]])</f>
        <v>45820.0</v>
      </c>
    </row>
    <row r="1598" spans="1:9" ht="15" x14ac:dyDescent="0.25">
      <c r="A1598" s="53" t="inlineStr">
        <is>
          <t>LAB-001597</t>
        </is>
      </c>
      <c r="B1598" s="53" t="inlineStr">
        <is>
          <t>WP-00706</t>
        </is>
      </c>
      <c r="C1598" s="53" t="inlineStr">
        <is>
          <t>TECH-008</t>
        </is>
      </c>
      <c r="D1598" s="53" t="inlineStr">
        <is>
          <t>Avionics</t>
        </is>
      </c>
      <c r="E1598" s="53" t="inlineStr">
        <is>
          <t>2025-06-12</t>
        </is>
      </c>
      <c r="F1598" s="53">
        <v>6.6</v>
      </c>
      <c r="G1598" s="53">
        <v>0</v>
      </c>
      <c r="H1598" s="51" t="str">
        <f>TEXT(tblLaborEntries[[#This Row],[Work date serial]]-WEEKDAY(tblLaborEntries[[#This Row],[Work date serial]],3),"yyyy-mm-dd")</f>
        <v>2025-06-09</v>
      </c>
      <c r="I1598" s="64">
        <f>DATEVALUE(tblLaborEntries[[#This Row],[Work date]])</f>
        <v>45820.0</v>
      </c>
    </row>
    <row r="1599" spans="1:9" ht="15" x14ac:dyDescent="0.25">
      <c r="A1599" s="53" t="inlineStr">
        <is>
          <t>LAB-001598</t>
        </is>
      </c>
      <c r="B1599" s="53" t="inlineStr">
        <is>
          <t>WP-00706</t>
        </is>
      </c>
      <c r="C1599" s="53" t="inlineStr">
        <is>
          <t>TECH-062</t>
        </is>
      </c>
      <c r="D1599" s="53" t="inlineStr">
        <is>
          <t>Avionics</t>
        </is>
      </c>
      <c r="E1599" s="53" t="inlineStr">
        <is>
          <t>2025-06-12</t>
        </is>
      </c>
      <c r="F1599" s="53">
        <v>12</v>
      </c>
      <c r="G1599" s="53">
        <v>4</v>
      </c>
      <c r="H1599" s="51" t="str">
        <f>TEXT(tblLaborEntries[[#This Row],[Work date serial]]-WEEKDAY(tblLaborEntries[[#This Row],[Work date serial]],3),"yyyy-mm-dd")</f>
        <v>2025-06-09</v>
      </c>
      <c r="I1599" s="64">
        <f>DATEVALUE(tblLaborEntries[[#This Row],[Work date]])</f>
        <v>45820.0</v>
      </c>
    </row>
    <row r="1600" spans="1:9" ht="15" x14ac:dyDescent="0.25">
      <c r="A1600" s="53" t="inlineStr">
        <is>
          <t>LAB-001599</t>
        </is>
      </c>
      <c r="B1600" s="53" t="inlineStr">
        <is>
          <t>WP-00707</t>
        </is>
      </c>
      <c r="C1600" s="53" t="inlineStr">
        <is>
          <t>TECH-031</t>
        </is>
      </c>
      <c r="D1600" s="53" t="inlineStr">
        <is>
          <t>Airframe</t>
        </is>
      </c>
      <c r="E1600" s="53" t="inlineStr">
        <is>
          <t>2025-04-14</t>
        </is>
      </c>
      <c r="F1600" s="53">
        <v>2.2</v>
      </c>
      <c r="G1600" s="53">
        <v>0</v>
      </c>
      <c r="H1600" s="51" t="str">
        <f>TEXT(tblLaborEntries[[#This Row],[Work date serial]]-WEEKDAY(tblLaborEntries[[#This Row],[Work date serial]],3),"yyyy-mm-dd")</f>
        <v>2025-04-14</v>
      </c>
      <c r="I1600" s="64">
        <f>DATEVALUE(tblLaborEntries[[#This Row],[Work date]])</f>
        <v>45761.0</v>
      </c>
    </row>
    <row r="1601" spans="1:9" ht="15" x14ac:dyDescent="0.25">
      <c r="A1601" s="53" t="inlineStr">
        <is>
          <t>LAB-001600</t>
        </is>
      </c>
      <c r="B1601" s="53" t="inlineStr">
        <is>
          <t>WP-00707</t>
        </is>
      </c>
      <c r="C1601" s="53" t="inlineStr">
        <is>
          <t>TECH-031</t>
        </is>
      </c>
      <c r="D1601" s="53" t="inlineStr">
        <is>
          <t>Airframe</t>
        </is>
      </c>
      <c r="E1601" s="53" t="inlineStr">
        <is>
          <t>2025-04-15</t>
        </is>
      </c>
      <c r="F1601" s="53">
        <v>3.2</v>
      </c>
      <c r="G1601" s="53">
        <v>0</v>
      </c>
      <c r="H1601" s="51" t="str">
        <f>TEXT(tblLaborEntries[[#This Row],[Work date serial]]-WEEKDAY(tblLaborEntries[[#This Row],[Work date serial]],3),"yyyy-mm-dd")</f>
        <v>2025-04-14</v>
      </c>
      <c r="I1601" s="64">
        <f>DATEVALUE(tblLaborEntries[[#This Row],[Work date]])</f>
        <v>45762.0</v>
      </c>
    </row>
    <row r="1602" spans="1:9" ht="15" x14ac:dyDescent="0.25">
      <c r="A1602" s="53" t="inlineStr">
        <is>
          <t>LAB-001601</t>
        </is>
      </c>
      <c r="B1602" s="53" t="inlineStr">
        <is>
          <t>WP-00708</t>
        </is>
      </c>
      <c r="C1602" s="53" t="inlineStr">
        <is>
          <t>TECH-048</t>
        </is>
      </c>
      <c r="D1602" s="53" t="inlineStr">
        <is>
          <t>Powerplant</t>
        </is>
      </c>
      <c r="E1602" s="53" t="inlineStr">
        <is>
          <t>2025-01-19</t>
        </is>
      </c>
      <c r="F1602" s="53">
        <v>5.7</v>
      </c>
      <c r="G1602" s="53">
        <v>0</v>
      </c>
      <c r="H1602" s="51" t="str">
        <f>TEXT(tblLaborEntries[[#This Row],[Work date serial]]-WEEKDAY(tblLaborEntries[[#This Row],[Work date serial]],3),"yyyy-mm-dd")</f>
        <v>2025-01-13</v>
      </c>
      <c r="I1602" s="64">
        <f>DATEVALUE(tblLaborEntries[[#This Row],[Work date]])</f>
        <v>45676.0</v>
      </c>
    </row>
    <row r="1603" spans="1:9" ht="15" x14ac:dyDescent="0.25">
      <c r="A1603" s="53" t="inlineStr">
        <is>
          <t>LAB-001602</t>
        </is>
      </c>
      <c r="B1603" s="53" t="inlineStr">
        <is>
          <t>WP-00708</t>
        </is>
      </c>
      <c r="C1603" s="53" t="inlineStr">
        <is>
          <t>TECH-042</t>
        </is>
      </c>
      <c r="D1603" s="53" t="inlineStr">
        <is>
          <t>Powerplant</t>
        </is>
      </c>
      <c r="E1603" s="53" t="inlineStr">
        <is>
          <t>2025-01-20</t>
        </is>
      </c>
      <c r="F1603" s="53">
        <v>4.5</v>
      </c>
      <c r="G1603" s="53">
        <v>0</v>
      </c>
      <c r="H1603" s="51" t="str">
        <f>TEXT(tblLaborEntries[[#This Row],[Work date serial]]-WEEKDAY(tblLaborEntries[[#This Row],[Work date serial]],3),"yyyy-mm-dd")</f>
        <v>2025-01-20</v>
      </c>
      <c r="I1603" s="64">
        <f>DATEVALUE(tblLaborEntries[[#This Row],[Work date]])</f>
        <v>45677.0</v>
      </c>
    </row>
    <row r="1604" spans="1:9" ht="15" x14ac:dyDescent="0.25">
      <c r="A1604" s="53" t="inlineStr">
        <is>
          <t>LAB-001603</t>
        </is>
      </c>
      <c r="B1604" s="53" t="inlineStr">
        <is>
          <t>WP-00708</t>
        </is>
      </c>
      <c r="C1604" s="53" t="inlineStr">
        <is>
          <t>TECH-006</t>
        </is>
      </c>
      <c r="D1604" s="53" t="inlineStr">
        <is>
          <t>Powerplant</t>
        </is>
      </c>
      <c r="E1604" s="53" t="inlineStr">
        <is>
          <t>2025-01-21</t>
        </is>
      </c>
      <c r="F1604" s="53">
        <v>6.4</v>
      </c>
      <c r="G1604" s="53">
        <v>0</v>
      </c>
      <c r="H1604" s="51" t="str">
        <f>TEXT(tblLaborEntries[[#This Row],[Work date serial]]-WEEKDAY(tblLaborEntries[[#This Row],[Work date serial]],3),"yyyy-mm-dd")</f>
        <v>2025-01-20</v>
      </c>
      <c r="I1604" s="64">
        <f>DATEVALUE(tblLaborEntries[[#This Row],[Work date]])</f>
        <v>45678.0</v>
      </c>
    </row>
    <row r="1605" spans="1:9" ht="15" x14ac:dyDescent="0.25">
      <c r="A1605" s="53" t="inlineStr">
        <is>
          <t>LAB-001604</t>
        </is>
      </c>
      <c r="B1605" s="53" t="inlineStr">
        <is>
          <t>WP-00709</t>
        </is>
      </c>
      <c r="C1605" s="53" t="inlineStr">
        <is>
          <t>TECH-056</t>
        </is>
      </c>
      <c r="D1605" s="53" t="inlineStr">
        <is>
          <t>Avionics</t>
        </is>
      </c>
      <c r="E1605" s="53" t="inlineStr">
        <is>
          <t>2025-01-03</t>
        </is>
      </c>
      <c r="F1605" s="53">
        <v>6.3</v>
      </c>
      <c r="G1605" s="53">
        <v>0</v>
      </c>
      <c r="H1605" s="51" t="str">
        <f>TEXT(tblLaborEntries[[#This Row],[Work date serial]]-WEEKDAY(tblLaborEntries[[#This Row],[Work date serial]],3),"yyyy-mm-dd")</f>
        <v>2024-12-30</v>
      </c>
      <c r="I1605" s="64">
        <f>DATEVALUE(tblLaborEntries[[#This Row],[Work date]])</f>
        <v>45660.0</v>
      </c>
    </row>
    <row r="1606" spans="1:9" ht="15" x14ac:dyDescent="0.25">
      <c r="A1606" s="53" t="inlineStr">
        <is>
          <t>LAB-001605</t>
        </is>
      </c>
      <c r="B1606" s="53" t="inlineStr">
        <is>
          <t>WP-00709</t>
        </is>
      </c>
      <c r="C1606" s="53" t="inlineStr">
        <is>
          <t>TECH-068</t>
        </is>
      </c>
      <c r="D1606" s="53" t="inlineStr">
        <is>
          <t>Avionics</t>
        </is>
      </c>
      <c r="E1606" s="53" t="inlineStr">
        <is>
          <t>2025-01-04</t>
        </is>
      </c>
      <c r="F1606" s="53">
        <v>6.9</v>
      </c>
      <c r="G1606" s="53">
        <v>0</v>
      </c>
      <c r="H1606" s="51" t="str">
        <f>TEXT(tblLaborEntries[[#This Row],[Work date serial]]-WEEKDAY(tblLaborEntries[[#This Row],[Work date serial]],3),"yyyy-mm-dd")</f>
        <v>2024-12-30</v>
      </c>
      <c r="I1606" s="64">
        <f>DATEVALUE(tblLaborEntries[[#This Row],[Work date]])</f>
        <v>45661.0</v>
      </c>
    </row>
    <row r="1607" spans="1:9" ht="15" x14ac:dyDescent="0.25">
      <c r="A1607" s="53" t="inlineStr">
        <is>
          <t>LAB-001606</t>
        </is>
      </c>
      <c r="B1607" s="53" t="inlineStr">
        <is>
          <t>WP-00710</t>
        </is>
      </c>
      <c r="C1607" s="53" t="inlineStr">
        <is>
          <t>TECH-001</t>
        </is>
      </c>
      <c r="D1607" s="53" t="inlineStr">
        <is>
          <t>Airframe</t>
        </is>
      </c>
      <c r="E1607" s="53" t="inlineStr">
        <is>
          <t>2024-10-09</t>
        </is>
      </c>
      <c r="F1607" s="53">
        <v>5.5</v>
      </c>
      <c r="G1607" s="53">
        <v>0</v>
      </c>
      <c r="H1607" s="51" t="str">
        <f>TEXT(tblLaborEntries[[#This Row],[Work date serial]]-WEEKDAY(tblLaborEntries[[#This Row],[Work date serial]],3),"yyyy-mm-dd")</f>
        <v>2024-10-07</v>
      </c>
      <c r="I1607" s="64">
        <f>DATEVALUE(tblLaborEntries[[#This Row],[Work date]])</f>
        <v>45574.0</v>
      </c>
    </row>
    <row r="1608" spans="1:9" ht="15" x14ac:dyDescent="0.25">
      <c r="A1608" s="53" t="inlineStr">
        <is>
          <t>LAB-001607</t>
        </is>
      </c>
      <c r="B1608" s="53" t="inlineStr">
        <is>
          <t>WP-00710</t>
        </is>
      </c>
      <c r="C1608" s="53" t="inlineStr">
        <is>
          <t>TECH-043</t>
        </is>
      </c>
      <c r="D1608" s="53" t="inlineStr">
        <is>
          <t>Airframe</t>
        </is>
      </c>
      <c r="E1608" s="53" t="inlineStr">
        <is>
          <t>2024-10-09</t>
        </is>
      </c>
      <c r="F1608" s="53">
        <v>12</v>
      </c>
      <c r="G1608" s="53">
        <v>4</v>
      </c>
      <c r="H1608" s="51" t="str">
        <f>TEXT(tblLaborEntries[[#This Row],[Work date serial]]-WEEKDAY(tblLaborEntries[[#This Row],[Work date serial]],3),"yyyy-mm-dd")</f>
        <v>2024-10-07</v>
      </c>
      <c r="I1608" s="64">
        <f>DATEVALUE(tblLaborEntries[[#This Row],[Work date]])</f>
        <v>45574.0</v>
      </c>
    </row>
    <row r="1609" spans="1:9" ht="15" x14ac:dyDescent="0.25">
      <c r="A1609" s="53" t="inlineStr">
        <is>
          <t>LAB-001608</t>
        </is>
      </c>
      <c r="B1609" s="53" t="inlineStr">
        <is>
          <t>WP-00711</t>
        </is>
      </c>
      <c r="C1609" s="53" t="inlineStr">
        <is>
          <t>TECH-042</t>
        </is>
      </c>
      <c r="D1609" s="53" t="inlineStr">
        <is>
          <t>Powerplant</t>
        </is>
      </c>
      <c r="E1609" s="53" t="inlineStr">
        <is>
          <t>2024-04-30</t>
        </is>
      </c>
      <c r="F1609" s="53">
        <v>8.1</v>
      </c>
      <c r="G1609" s="53">
        <v>0.1</v>
      </c>
      <c r="H1609" s="51" t="str">
        <f>TEXT(tblLaborEntries[[#This Row],[Work date serial]]-WEEKDAY(tblLaborEntries[[#This Row],[Work date serial]],3),"yyyy-mm-dd")</f>
        <v>2024-04-29</v>
      </c>
      <c r="I1609" s="64">
        <f>DATEVALUE(tblLaborEntries[[#This Row],[Work date]])</f>
        <v>45412.0</v>
      </c>
    </row>
    <row r="1610" spans="1:9" ht="15" x14ac:dyDescent="0.25">
      <c r="A1610" s="53" t="inlineStr">
        <is>
          <t>LAB-001609</t>
        </is>
      </c>
      <c r="B1610" s="53" t="inlineStr">
        <is>
          <t>WP-00711</t>
        </is>
      </c>
      <c r="C1610" s="53" t="inlineStr">
        <is>
          <t>TECH-066</t>
        </is>
      </c>
      <c r="D1610" s="53" t="inlineStr">
        <is>
          <t>Powerplant</t>
        </is>
      </c>
      <c r="E1610" s="53" t="inlineStr">
        <is>
          <t>2024-05-01</t>
        </is>
      </c>
      <c r="F1610" s="53">
        <v>8.4</v>
      </c>
      <c r="G1610" s="53">
        <v>0.4</v>
      </c>
      <c r="H1610" s="51" t="str">
        <f>TEXT(tblLaborEntries[[#This Row],[Work date serial]]-WEEKDAY(tblLaborEntries[[#This Row],[Work date serial]],3),"yyyy-mm-dd")</f>
        <v>2024-04-29</v>
      </c>
      <c r="I1610" s="64">
        <f>DATEVALUE(tblLaborEntries[[#This Row],[Work date]])</f>
        <v>45413.0</v>
      </c>
    </row>
    <row r="1611" spans="1:9" ht="15" x14ac:dyDescent="0.25">
      <c r="A1611" s="53" t="inlineStr">
        <is>
          <t>LAB-001610</t>
        </is>
      </c>
      <c r="B1611" s="53" t="inlineStr">
        <is>
          <t>WP-00712</t>
        </is>
      </c>
      <c r="C1611" s="53" t="inlineStr">
        <is>
          <t>TECH-008</t>
        </is>
      </c>
      <c r="D1611" s="53" t="inlineStr">
        <is>
          <t>Avionics</t>
        </is>
      </c>
      <c r="E1611" s="53" t="inlineStr">
        <is>
          <t>2025-12-02</t>
        </is>
      </c>
      <c r="F1611" s="53">
        <v>3</v>
      </c>
      <c r="G1611" s="53">
        <v>0</v>
      </c>
      <c r="H1611" s="51" t="str">
        <f>TEXT(tblLaborEntries[[#This Row],[Work date serial]]-WEEKDAY(tblLaborEntries[[#This Row],[Work date serial]],3),"yyyy-mm-dd")</f>
        <v>2025-12-01</v>
      </c>
      <c r="I1611" s="64">
        <f>DATEVALUE(tblLaborEntries[[#This Row],[Work date]])</f>
        <v>45993.0</v>
      </c>
    </row>
    <row r="1612" spans="1:9" ht="15" x14ac:dyDescent="0.25">
      <c r="A1612" s="53" t="inlineStr">
        <is>
          <t>LAB-001611</t>
        </is>
      </c>
      <c r="B1612" s="53" t="inlineStr">
        <is>
          <t>WP-00712</t>
        </is>
      </c>
      <c r="C1612" s="53" t="inlineStr">
        <is>
          <t>TECH-044</t>
        </is>
      </c>
      <c r="D1612" s="53" t="inlineStr">
        <is>
          <t>Avionics</t>
        </is>
      </c>
      <c r="E1612" s="53" t="inlineStr">
        <is>
          <t>2025-12-03</t>
        </is>
      </c>
      <c r="F1612" s="53">
        <v>2.5</v>
      </c>
      <c r="G1612" s="53">
        <v>0</v>
      </c>
      <c r="H1612" s="51" t="str">
        <f>TEXT(tblLaborEntries[[#This Row],[Work date serial]]-WEEKDAY(tblLaborEntries[[#This Row],[Work date serial]],3),"yyyy-mm-dd")</f>
        <v>2025-12-01</v>
      </c>
      <c r="I1612" s="64">
        <f>DATEVALUE(tblLaborEntries[[#This Row],[Work date]])</f>
        <v>45994.0</v>
      </c>
    </row>
    <row r="1613" spans="1:9" ht="15" x14ac:dyDescent="0.25">
      <c r="A1613" s="53" t="inlineStr">
        <is>
          <t>LAB-001612</t>
        </is>
      </c>
      <c r="B1613" s="53" t="inlineStr">
        <is>
          <t>WP-00713</t>
        </is>
      </c>
      <c r="C1613" s="53" t="inlineStr">
        <is>
          <t>TECH-068</t>
        </is>
      </c>
      <c r="D1613" s="53" t="inlineStr">
        <is>
          <t>Avionics</t>
        </is>
      </c>
      <c r="E1613" s="53" t="inlineStr">
        <is>
          <t>2025-03-16</t>
        </is>
      </c>
      <c r="F1613" s="53">
        <v>1.1</v>
      </c>
      <c r="G1613" s="53">
        <v>0</v>
      </c>
      <c r="H1613" s="51" t="str">
        <f>TEXT(tblLaborEntries[[#This Row],[Work date serial]]-WEEKDAY(tblLaborEntries[[#This Row],[Work date serial]],3),"yyyy-mm-dd")</f>
        <v>2025-03-10</v>
      </c>
      <c r="I1613" s="64">
        <f>DATEVALUE(tblLaborEntries[[#This Row],[Work date]])</f>
        <v>45732.0</v>
      </c>
    </row>
    <row r="1614" spans="1:9" ht="15" x14ac:dyDescent="0.25">
      <c r="A1614" s="53" t="inlineStr">
        <is>
          <t>LAB-001613</t>
        </is>
      </c>
      <c r="B1614" s="53" t="inlineStr">
        <is>
          <t>WP-00713</t>
        </is>
      </c>
      <c r="C1614" s="53" t="inlineStr">
        <is>
          <t>TECH-014</t>
        </is>
      </c>
      <c r="D1614" s="53" t="inlineStr">
        <is>
          <t>Avionics</t>
        </is>
      </c>
      <c r="E1614" s="53" t="inlineStr">
        <is>
          <t>2025-03-17</t>
        </is>
      </c>
      <c r="F1614" s="53">
        <v>1</v>
      </c>
      <c r="G1614" s="53">
        <v>0</v>
      </c>
      <c r="H1614" s="51" t="str">
        <f>TEXT(tblLaborEntries[[#This Row],[Work date serial]]-WEEKDAY(tblLaborEntries[[#This Row],[Work date serial]],3),"yyyy-mm-dd")</f>
        <v>2025-03-17</v>
      </c>
      <c r="I1614" s="64">
        <f>DATEVALUE(tblLaborEntries[[#This Row],[Work date]])</f>
        <v>45733.0</v>
      </c>
    </row>
    <row r="1615" spans="1:9" ht="15" x14ac:dyDescent="0.25">
      <c r="A1615" s="53" t="inlineStr">
        <is>
          <t>LAB-001614</t>
        </is>
      </c>
      <c r="B1615" s="53" t="inlineStr">
        <is>
          <t>WP-00713</t>
        </is>
      </c>
      <c r="C1615" s="53" t="inlineStr">
        <is>
          <t>TECH-038</t>
        </is>
      </c>
      <c r="D1615" s="53" t="inlineStr">
        <is>
          <t>Avionics</t>
        </is>
      </c>
      <c r="E1615" s="53" t="inlineStr">
        <is>
          <t>2025-03-18</t>
        </is>
      </c>
      <c r="F1615" s="53">
        <v>1.4</v>
      </c>
      <c r="G1615" s="53">
        <v>0</v>
      </c>
      <c r="H1615" s="51" t="str">
        <f>TEXT(tblLaborEntries[[#This Row],[Work date serial]]-WEEKDAY(tblLaborEntries[[#This Row],[Work date serial]],3),"yyyy-mm-dd")</f>
        <v>2025-03-17</v>
      </c>
      <c r="I1615" s="64">
        <f>DATEVALUE(tblLaborEntries[[#This Row],[Work date]])</f>
        <v>45734.0</v>
      </c>
    </row>
    <row r="1616" spans="1:9" ht="15" x14ac:dyDescent="0.25">
      <c r="A1616" s="53" t="inlineStr">
        <is>
          <t>LAB-001615</t>
        </is>
      </c>
      <c r="B1616" s="53" t="inlineStr">
        <is>
          <t>WP-00714</t>
        </is>
      </c>
      <c r="C1616" s="53" t="inlineStr">
        <is>
          <t>TECH-052</t>
        </is>
      </c>
      <c r="D1616" s="53" t="inlineStr">
        <is>
          <t>Electrical</t>
        </is>
      </c>
      <c r="E1616" s="53" t="inlineStr">
        <is>
          <t>2025-12-18</t>
        </is>
      </c>
      <c r="F1616" s="53">
        <v>6.8</v>
      </c>
      <c r="G1616" s="53">
        <v>0</v>
      </c>
      <c r="H1616" s="51" t="str">
        <f>TEXT(tblLaborEntries[[#This Row],[Work date serial]]-WEEKDAY(tblLaborEntries[[#This Row],[Work date serial]],3),"yyyy-mm-dd")</f>
        <v>2025-12-15</v>
      </c>
      <c r="I1616" s="64">
        <f>DATEVALUE(tblLaborEntries[[#This Row],[Work date]])</f>
        <v>46009.0</v>
      </c>
    </row>
    <row r="1617" spans="1:9" ht="15" x14ac:dyDescent="0.25">
      <c r="A1617" s="53" t="inlineStr">
        <is>
          <t>LAB-001616</t>
        </is>
      </c>
      <c r="B1617" s="53" t="inlineStr">
        <is>
          <t>WP-00714</t>
        </is>
      </c>
      <c r="C1617" s="53" t="inlineStr">
        <is>
          <t>TECH-010</t>
        </is>
      </c>
      <c r="D1617" s="53" t="inlineStr">
        <is>
          <t>Electrical</t>
        </is>
      </c>
      <c r="E1617" s="53" t="inlineStr">
        <is>
          <t>2025-12-19</t>
        </is>
      </c>
      <c r="F1617" s="53">
        <v>6.4</v>
      </c>
      <c r="G1617" s="53">
        <v>0</v>
      </c>
      <c r="H1617" s="51" t="str">
        <f>TEXT(tblLaborEntries[[#This Row],[Work date serial]]-WEEKDAY(tblLaborEntries[[#This Row],[Work date serial]],3),"yyyy-mm-dd")</f>
        <v>2025-12-15</v>
      </c>
      <c r="I1617" s="64">
        <f>DATEVALUE(tblLaborEntries[[#This Row],[Work date]])</f>
        <v>46010.0</v>
      </c>
    </row>
    <row r="1618" spans="1:9" ht="15" x14ac:dyDescent="0.25">
      <c r="A1618" s="53" t="inlineStr">
        <is>
          <t>LAB-001617</t>
        </is>
      </c>
      <c r="B1618" s="53" t="inlineStr">
        <is>
          <t>WP-00715</t>
        </is>
      </c>
      <c r="C1618" s="53" t="inlineStr">
        <is>
          <t>TECH-001</t>
        </is>
      </c>
      <c r="D1618" s="53" t="inlineStr">
        <is>
          <t>Airframe</t>
        </is>
      </c>
      <c r="E1618" s="53" t="inlineStr">
        <is>
          <t>2025-12-17</t>
        </is>
      </c>
      <c r="F1618" s="53">
        <v>1.9</v>
      </c>
      <c r="G1618" s="53">
        <v>0</v>
      </c>
      <c r="H1618" s="51" t="str">
        <f>TEXT(tblLaborEntries[[#This Row],[Work date serial]]-WEEKDAY(tblLaborEntries[[#This Row],[Work date serial]],3),"yyyy-mm-dd")</f>
        <v>2025-12-15</v>
      </c>
      <c r="I1618" s="64">
        <f>DATEVALUE(tblLaborEntries[[#This Row],[Work date]])</f>
        <v>46008.0</v>
      </c>
    </row>
    <row r="1619" spans="1:9" ht="15" x14ac:dyDescent="0.25">
      <c r="A1619" s="53" t="inlineStr">
        <is>
          <t>LAB-001618</t>
        </is>
      </c>
      <c r="B1619" s="53" t="inlineStr">
        <is>
          <t>WP-00716</t>
        </is>
      </c>
      <c r="C1619" s="53" t="inlineStr">
        <is>
          <t>TECH-002</t>
        </is>
      </c>
      <c r="D1619" s="53" t="inlineStr">
        <is>
          <t>Avionics</t>
        </is>
      </c>
      <c r="E1619" s="53" t="inlineStr">
        <is>
          <t>2025-02-03</t>
        </is>
      </c>
      <c r="F1619" s="53">
        <v>12</v>
      </c>
      <c r="G1619" s="53">
        <v>4</v>
      </c>
      <c r="H1619" s="51" t="str">
        <f>TEXT(tblLaborEntries[[#This Row],[Work date serial]]-WEEKDAY(tblLaborEntries[[#This Row],[Work date serial]],3),"yyyy-mm-dd")</f>
        <v>2025-02-03</v>
      </c>
      <c r="I1619" s="64">
        <f>DATEVALUE(tblLaborEntries[[#This Row],[Work date]])</f>
        <v>45691.0</v>
      </c>
    </row>
    <row r="1620" spans="1:9" ht="15" x14ac:dyDescent="0.25">
      <c r="A1620" s="53" t="inlineStr">
        <is>
          <t>LAB-001619</t>
        </is>
      </c>
      <c r="B1620" s="53" t="inlineStr">
        <is>
          <t>WP-00716</t>
        </is>
      </c>
      <c r="C1620" s="53" t="inlineStr">
        <is>
          <t>TECH-008</t>
        </is>
      </c>
      <c r="D1620" s="53" t="inlineStr">
        <is>
          <t>Avionics</t>
        </is>
      </c>
      <c r="E1620" s="53" t="inlineStr">
        <is>
          <t>2025-02-03</t>
        </is>
      </c>
      <c r="F1620" s="53">
        <v>6.4</v>
      </c>
      <c r="G1620" s="53">
        <v>0</v>
      </c>
      <c r="H1620" s="51" t="str">
        <f>TEXT(tblLaborEntries[[#This Row],[Work date serial]]-WEEKDAY(tblLaborEntries[[#This Row],[Work date serial]],3),"yyyy-mm-dd")</f>
        <v>2025-02-03</v>
      </c>
      <c r="I1620" s="64">
        <f>DATEVALUE(tblLaborEntries[[#This Row],[Work date]])</f>
        <v>45691.0</v>
      </c>
    </row>
    <row r="1621" spans="1:9" ht="15" x14ac:dyDescent="0.25">
      <c r="A1621" s="53" t="inlineStr">
        <is>
          <t>LAB-001620</t>
        </is>
      </c>
      <c r="B1621" s="53" t="inlineStr">
        <is>
          <t>WP-00716</t>
        </is>
      </c>
      <c r="C1621" s="53" t="inlineStr">
        <is>
          <t>TECH-038</t>
        </is>
      </c>
      <c r="D1621" s="53" t="inlineStr">
        <is>
          <t>Avionics</t>
        </is>
      </c>
      <c r="E1621" s="53" t="inlineStr">
        <is>
          <t>2025-02-03</t>
        </is>
      </c>
      <c r="F1621" s="53">
        <v>12</v>
      </c>
      <c r="G1621" s="53">
        <v>4</v>
      </c>
      <c r="H1621" s="51" t="str">
        <f>TEXT(tblLaborEntries[[#This Row],[Work date serial]]-WEEKDAY(tblLaborEntries[[#This Row],[Work date serial]],3),"yyyy-mm-dd")</f>
        <v>2025-02-03</v>
      </c>
      <c r="I1621" s="64">
        <f>DATEVALUE(tblLaborEntries[[#This Row],[Work date]])</f>
        <v>45691.0</v>
      </c>
    </row>
    <row r="1622" spans="1:9" ht="15" x14ac:dyDescent="0.25">
      <c r="A1622" s="53" t="inlineStr">
        <is>
          <t>LAB-001621</t>
        </is>
      </c>
      <c r="B1622" s="53" t="inlineStr">
        <is>
          <t>WP-00717</t>
        </is>
      </c>
      <c r="C1622" s="53" t="inlineStr">
        <is>
          <t>TECH-005</t>
        </is>
      </c>
      <c r="D1622" s="53" t="inlineStr">
        <is>
          <t>Structures</t>
        </is>
      </c>
      <c r="E1622" s="53" t="inlineStr">
        <is>
          <t>2025-11-28</t>
        </is>
      </c>
      <c r="F1622" s="53">
        <v>7.4</v>
      </c>
      <c r="G1622" s="53">
        <v>0</v>
      </c>
      <c r="H1622" s="51" t="str">
        <f>TEXT(tblLaborEntries[[#This Row],[Work date serial]]-WEEKDAY(tblLaborEntries[[#This Row],[Work date serial]],3),"yyyy-mm-dd")</f>
        <v>2025-11-24</v>
      </c>
      <c r="I1622" s="64">
        <f>DATEVALUE(tblLaborEntries[[#This Row],[Work date]])</f>
        <v>45989.0</v>
      </c>
    </row>
    <row r="1623" spans="1:9" ht="15" x14ac:dyDescent="0.25">
      <c r="A1623" s="53" t="inlineStr">
        <is>
          <t>LAB-001622</t>
        </is>
      </c>
      <c r="B1623" s="53" t="inlineStr">
        <is>
          <t>WP-00717</t>
        </is>
      </c>
      <c r="C1623" s="53" t="inlineStr">
        <is>
          <t>TECH-047</t>
        </is>
      </c>
      <c r="D1623" s="53" t="inlineStr">
        <is>
          <t>Structures</t>
        </is>
      </c>
      <c r="E1623" s="53" t="inlineStr">
        <is>
          <t>2025-11-28</t>
        </is>
      </c>
      <c r="F1623" s="53">
        <v>12</v>
      </c>
      <c r="G1623" s="53">
        <v>4</v>
      </c>
      <c r="H1623" s="51" t="str">
        <f>TEXT(tblLaborEntries[[#This Row],[Work date serial]]-WEEKDAY(tblLaborEntries[[#This Row],[Work date serial]],3),"yyyy-mm-dd")</f>
        <v>2025-11-24</v>
      </c>
      <c r="I1623" s="64">
        <f>DATEVALUE(tblLaborEntries[[#This Row],[Work date]])</f>
        <v>45989.0</v>
      </c>
    </row>
    <row r="1624" spans="1:9" ht="15" x14ac:dyDescent="0.25">
      <c r="A1624" s="53" t="inlineStr">
        <is>
          <t>LAB-001623</t>
        </is>
      </c>
      <c r="B1624" s="53" t="inlineStr">
        <is>
          <t>WP-00717</t>
        </is>
      </c>
      <c r="C1624" s="53" t="inlineStr">
        <is>
          <t>TECH-005</t>
        </is>
      </c>
      <c r="D1624" s="53" t="inlineStr">
        <is>
          <t>Structures</t>
        </is>
      </c>
      <c r="E1624" s="53" t="inlineStr">
        <is>
          <t>2025-11-29</t>
        </is>
      </c>
      <c r="F1624" s="53">
        <v>5.7</v>
      </c>
      <c r="G1624" s="53">
        <v>0</v>
      </c>
      <c r="H1624" s="51" t="str">
        <f>TEXT(tblLaborEntries[[#This Row],[Work date serial]]-WEEKDAY(tblLaborEntries[[#This Row],[Work date serial]],3),"yyyy-mm-dd")</f>
        <v>2025-11-24</v>
      </c>
      <c r="I1624" s="64">
        <f>DATEVALUE(tblLaborEntries[[#This Row],[Work date]])</f>
        <v>45990.0</v>
      </c>
    </row>
    <row r="1625" spans="1:9" ht="15" x14ac:dyDescent="0.25">
      <c r="A1625" s="53" t="inlineStr">
        <is>
          <t>LAB-001624</t>
        </is>
      </c>
      <c r="B1625" s="53" t="inlineStr">
        <is>
          <t>WP-00717</t>
        </is>
      </c>
      <c r="C1625" s="53" t="inlineStr">
        <is>
          <t>TECH-035</t>
        </is>
      </c>
      <c r="D1625" s="53" t="inlineStr">
        <is>
          <t>Structures</t>
        </is>
      </c>
      <c r="E1625" s="53" t="inlineStr">
        <is>
          <t>2025-11-29</t>
        </is>
      </c>
      <c r="F1625" s="53">
        <v>12</v>
      </c>
      <c r="G1625" s="53">
        <v>4</v>
      </c>
      <c r="H1625" s="51" t="str">
        <f>TEXT(tblLaborEntries[[#This Row],[Work date serial]]-WEEKDAY(tblLaborEntries[[#This Row],[Work date serial]],3),"yyyy-mm-dd")</f>
        <v>2025-11-24</v>
      </c>
      <c r="I1625" s="64">
        <f>DATEVALUE(tblLaborEntries[[#This Row],[Work date]])</f>
        <v>45990.0</v>
      </c>
    </row>
    <row r="1626" spans="1:9" ht="15" x14ac:dyDescent="0.25">
      <c r="A1626" s="53" t="inlineStr">
        <is>
          <t>LAB-001625</t>
        </is>
      </c>
      <c r="B1626" s="53" t="inlineStr">
        <is>
          <t>WP-00718</t>
        </is>
      </c>
      <c r="C1626" s="53" t="inlineStr">
        <is>
          <t>TECH-044</t>
        </is>
      </c>
      <c r="D1626" s="53" t="inlineStr">
        <is>
          <t>Avionics</t>
        </is>
      </c>
      <c r="E1626" s="53" t="inlineStr">
        <is>
          <t>2024-11-20</t>
        </is>
      </c>
      <c r="F1626" s="53">
        <v>4.6</v>
      </c>
      <c r="G1626" s="53">
        <v>0</v>
      </c>
      <c r="H1626" s="51" t="str">
        <f>TEXT(tblLaborEntries[[#This Row],[Work date serial]]-WEEKDAY(tblLaborEntries[[#This Row],[Work date serial]],3),"yyyy-mm-dd")</f>
        <v>2024-11-18</v>
      </c>
      <c r="I1626" s="64">
        <f>DATEVALUE(tblLaborEntries[[#This Row],[Work date]])</f>
        <v>45616.0</v>
      </c>
    </row>
    <row r="1627" spans="1:9" ht="15" x14ac:dyDescent="0.25">
      <c r="A1627" s="53" t="inlineStr">
        <is>
          <t>LAB-001626</t>
        </is>
      </c>
      <c r="B1627" s="53" t="inlineStr">
        <is>
          <t>WP-00718</t>
        </is>
      </c>
      <c r="C1627" s="53" t="inlineStr">
        <is>
          <t>TECH-044</t>
        </is>
      </c>
      <c r="D1627" s="53" t="inlineStr">
        <is>
          <t>Avionics</t>
        </is>
      </c>
      <c r="E1627" s="53" t="inlineStr">
        <is>
          <t>2024-11-21</t>
        </is>
      </c>
      <c r="F1627" s="53">
        <v>4.3</v>
      </c>
      <c r="G1627" s="53">
        <v>0</v>
      </c>
      <c r="H1627" s="51" t="str">
        <f>TEXT(tblLaborEntries[[#This Row],[Work date serial]]-WEEKDAY(tblLaborEntries[[#This Row],[Work date serial]],3),"yyyy-mm-dd")</f>
        <v>2024-11-18</v>
      </c>
      <c r="I1627" s="64">
        <f>DATEVALUE(tblLaborEntries[[#This Row],[Work date]])</f>
        <v>45617.0</v>
      </c>
    </row>
    <row r="1628" spans="1:9" ht="15" x14ac:dyDescent="0.25">
      <c r="A1628" s="53" t="inlineStr">
        <is>
          <t>LAB-001627</t>
        </is>
      </c>
      <c r="B1628" s="53" t="inlineStr">
        <is>
          <t>WP-00719</t>
        </is>
      </c>
      <c r="C1628" s="53" t="inlineStr">
        <is>
          <t>TECH-005</t>
        </is>
      </c>
      <c r="D1628" s="53" t="inlineStr">
        <is>
          <t>Structures</t>
        </is>
      </c>
      <c r="E1628" s="53" t="inlineStr">
        <is>
          <t>2026-01-05</t>
        </is>
      </c>
      <c r="F1628" s="53">
        <v>0.3</v>
      </c>
      <c r="G1628" s="53">
        <v>0</v>
      </c>
      <c r="H1628" s="51" t="str">
        <f>TEXT(tblLaborEntries[[#This Row],[Work date serial]]-WEEKDAY(tblLaborEntries[[#This Row],[Work date serial]],3),"yyyy-mm-dd")</f>
        <v>2026-01-05</v>
      </c>
      <c r="I1628" s="64">
        <f>DATEVALUE(tblLaborEntries[[#This Row],[Work date]])</f>
        <v>46027.0</v>
      </c>
    </row>
    <row r="1629" spans="1:9" ht="15" x14ac:dyDescent="0.25">
      <c r="A1629" s="53" t="inlineStr">
        <is>
          <t>LAB-001628</t>
        </is>
      </c>
      <c r="B1629" s="53" t="inlineStr">
        <is>
          <t>WP-00719</t>
        </is>
      </c>
      <c r="C1629" s="53" t="inlineStr">
        <is>
          <t>TECH-041</t>
        </is>
      </c>
      <c r="D1629" s="53" t="inlineStr">
        <is>
          <t>Structures</t>
        </is>
      </c>
      <c r="E1629" s="53" t="inlineStr">
        <is>
          <t>2026-01-05</t>
        </is>
      </c>
      <c r="F1629" s="53">
        <v>12</v>
      </c>
      <c r="G1629" s="53">
        <v>4</v>
      </c>
      <c r="H1629" s="51" t="str">
        <f>TEXT(tblLaborEntries[[#This Row],[Work date serial]]-WEEKDAY(tblLaborEntries[[#This Row],[Work date serial]],3),"yyyy-mm-dd")</f>
        <v>2026-01-05</v>
      </c>
      <c r="I1629" s="64">
        <f>DATEVALUE(tblLaborEntries[[#This Row],[Work date]])</f>
        <v>46027.0</v>
      </c>
    </row>
    <row r="1630" spans="1:9" ht="15" x14ac:dyDescent="0.25">
      <c r="A1630" s="53" t="inlineStr">
        <is>
          <t>LAB-001629</t>
        </is>
      </c>
      <c r="B1630" s="53" t="inlineStr">
        <is>
          <t>WP-00719</t>
        </is>
      </c>
      <c r="C1630" s="53" t="inlineStr">
        <is>
          <t>TECH-005</t>
        </is>
      </c>
      <c r="D1630" s="53" t="inlineStr">
        <is>
          <t>Structures</t>
        </is>
      </c>
      <c r="E1630" s="53" t="inlineStr">
        <is>
          <t>2026-01-06</t>
        </is>
      </c>
      <c r="F1630" s="53">
        <v>4.4</v>
      </c>
      <c r="G1630" s="53">
        <v>0</v>
      </c>
      <c r="H1630" s="51" t="str">
        <f>TEXT(tblLaborEntries[[#This Row],[Work date serial]]-WEEKDAY(tblLaborEntries[[#This Row],[Work date serial]],3),"yyyy-mm-dd")</f>
        <v>2026-01-05</v>
      </c>
      <c r="I1630" s="64">
        <f>DATEVALUE(tblLaborEntries[[#This Row],[Work date]])</f>
        <v>46028.0</v>
      </c>
    </row>
    <row r="1631" spans="1:9" ht="15" x14ac:dyDescent="0.25">
      <c r="A1631" s="53" t="inlineStr">
        <is>
          <t>LAB-001630</t>
        </is>
      </c>
      <c r="B1631" s="53" t="inlineStr">
        <is>
          <t>WP-00719</t>
        </is>
      </c>
      <c r="C1631" s="53" t="inlineStr">
        <is>
          <t>TECH-047</t>
        </is>
      </c>
      <c r="D1631" s="53" t="inlineStr">
        <is>
          <t>Structures</t>
        </is>
      </c>
      <c r="E1631" s="53" t="inlineStr">
        <is>
          <t>2026-01-06</t>
        </is>
      </c>
      <c r="F1631" s="53">
        <v>12</v>
      </c>
      <c r="G1631" s="53">
        <v>4</v>
      </c>
      <c r="H1631" s="51" t="str">
        <f>TEXT(tblLaborEntries[[#This Row],[Work date serial]]-WEEKDAY(tblLaborEntries[[#This Row],[Work date serial]],3),"yyyy-mm-dd")</f>
        <v>2026-01-05</v>
      </c>
      <c r="I1631" s="64">
        <f>DATEVALUE(tblLaborEntries[[#This Row],[Work date]])</f>
        <v>46028.0</v>
      </c>
    </row>
    <row r="1632" spans="1:9" ht="15" x14ac:dyDescent="0.25">
      <c r="A1632" s="53" t="inlineStr">
        <is>
          <t>LAB-001631</t>
        </is>
      </c>
      <c r="B1632" s="53" t="inlineStr">
        <is>
          <t>WP-00719</t>
        </is>
      </c>
      <c r="C1632" s="53" t="inlineStr">
        <is>
          <t>TECH-071</t>
        </is>
      </c>
      <c r="D1632" s="53" t="inlineStr">
        <is>
          <t>Structures</t>
        </is>
      </c>
      <c r="E1632" s="53" t="inlineStr">
        <is>
          <t>2026-01-07</t>
        </is>
      </c>
      <c r="F1632" s="53">
        <v>11.9</v>
      </c>
      <c r="G1632" s="53">
        <v>3.9</v>
      </c>
      <c r="H1632" s="51" t="str">
        <f>TEXT(tblLaborEntries[[#This Row],[Work date serial]]-WEEKDAY(tblLaborEntries[[#This Row],[Work date serial]],3),"yyyy-mm-dd")</f>
        <v>2026-01-05</v>
      </c>
      <c r="I1632" s="64">
        <f>DATEVALUE(tblLaborEntries[[#This Row],[Work date]])</f>
        <v>46029.0</v>
      </c>
    </row>
    <row r="1633" spans="1:9" ht="15" x14ac:dyDescent="0.25">
      <c r="A1633" s="53" t="inlineStr">
        <is>
          <t>LAB-001632</t>
        </is>
      </c>
      <c r="B1633" s="53" t="inlineStr">
        <is>
          <t>WP-00720</t>
        </is>
      </c>
      <c r="C1633" s="53" t="inlineStr">
        <is>
          <t>TECH-063</t>
        </is>
      </c>
      <c r="D1633" s="53" t="inlineStr">
        <is>
          <t>Hydraulics</t>
        </is>
      </c>
      <c r="E1633" s="53" t="inlineStr">
        <is>
          <t>2024-09-15</t>
        </is>
      </c>
      <c r="F1633" s="53">
        <v>4.3</v>
      </c>
      <c r="G1633" s="53">
        <v>0</v>
      </c>
      <c r="H1633" s="51" t="str">
        <f>TEXT(tblLaborEntries[[#This Row],[Work date serial]]-WEEKDAY(tblLaborEntries[[#This Row],[Work date serial]],3),"yyyy-mm-dd")</f>
        <v>2024-09-09</v>
      </c>
      <c r="I1633" s="64">
        <f>DATEVALUE(tblLaborEntries[[#This Row],[Work date]])</f>
        <v>45550.0</v>
      </c>
    </row>
    <row r="1634" spans="1:9" ht="15" x14ac:dyDescent="0.25">
      <c r="A1634" s="53" t="inlineStr">
        <is>
          <t>LAB-001633</t>
        </is>
      </c>
      <c r="B1634" s="53" t="inlineStr">
        <is>
          <t>WP-00720</t>
        </is>
      </c>
      <c r="C1634" s="53" t="inlineStr">
        <is>
          <t>TECH-069</t>
        </is>
      </c>
      <c r="D1634" s="53" t="inlineStr">
        <is>
          <t>Hydraulics</t>
        </is>
      </c>
      <c r="E1634" s="53" t="inlineStr">
        <is>
          <t>2024-09-16</t>
        </is>
      </c>
      <c r="F1634" s="53">
        <v>3.1</v>
      </c>
      <c r="G1634" s="53">
        <v>0</v>
      </c>
      <c r="H1634" s="51" t="str">
        <f>TEXT(tblLaborEntries[[#This Row],[Work date serial]]-WEEKDAY(tblLaborEntries[[#This Row],[Work date serial]],3),"yyyy-mm-dd")</f>
        <v>2024-09-16</v>
      </c>
      <c r="I1634" s="64">
        <f>DATEVALUE(tblLaborEntries[[#This Row],[Work date]])</f>
        <v>45551.0</v>
      </c>
    </row>
    <row r="1635" spans="1:9" ht="15" x14ac:dyDescent="0.25">
      <c r="A1635" s="53" t="inlineStr">
        <is>
          <t>LAB-001634</t>
        </is>
      </c>
      <c r="B1635" s="53" t="inlineStr">
        <is>
          <t>WP-00721</t>
        </is>
      </c>
      <c r="C1635" s="53" t="inlineStr">
        <is>
          <t>TECH-048</t>
        </is>
      </c>
      <c r="D1635" s="53" t="inlineStr">
        <is>
          <t>Powerplant</t>
        </is>
      </c>
      <c r="E1635" s="53" t="inlineStr">
        <is>
          <t>2025-04-23</t>
        </is>
      </c>
      <c r="F1635" s="53">
        <v>4.9</v>
      </c>
      <c r="G1635" s="53">
        <v>0</v>
      </c>
      <c r="H1635" s="51" t="str">
        <f>TEXT(tblLaborEntries[[#This Row],[Work date serial]]-WEEKDAY(tblLaborEntries[[#This Row],[Work date serial]],3),"yyyy-mm-dd")</f>
        <v>2025-04-21</v>
      </c>
      <c r="I1635" s="64">
        <f>DATEVALUE(tblLaborEntries[[#This Row],[Work date]])</f>
        <v>45770.0</v>
      </c>
    </row>
    <row r="1636" spans="1:9" ht="15" x14ac:dyDescent="0.25">
      <c r="A1636" s="53" t="inlineStr">
        <is>
          <t>LAB-001635</t>
        </is>
      </c>
      <c r="B1636" s="53" t="inlineStr">
        <is>
          <t>WP-00721</t>
        </is>
      </c>
      <c r="C1636" s="53" t="inlineStr">
        <is>
          <t>TECH-006</t>
        </is>
      </c>
      <c r="D1636" s="53" t="inlineStr">
        <is>
          <t>Powerplant</t>
        </is>
      </c>
      <c r="E1636" s="53" t="inlineStr">
        <is>
          <t>2025-04-24</t>
        </is>
      </c>
      <c r="F1636" s="53">
        <v>4.2</v>
      </c>
      <c r="G1636" s="53">
        <v>0</v>
      </c>
      <c r="H1636" s="51" t="str">
        <f>TEXT(tblLaborEntries[[#This Row],[Work date serial]]-WEEKDAY(tblLaborEntries[[#This Row],[Work date serial]],3),"yyyy-mm-dd")</f>
        <v>2025-04-21</v>
      </c>
      <c r="I1636" s="64">
        <f>DATEVALUE(tblLaborEntries[[#This Row],[Work date]])</f>
        <v>45771.0</v>
      </c>
    </row>
    <row r="1637" spans="1:9" ht="15" x14ac:dyDescent="0.25">
      <c r="A1637" s="53" t="inlineStr">
        <is>
          <t>LAB-001636</t>
        </is>
      </c>
      <c r="B1637" s="53" t="inlineStr">
        <is>
          <t>WP-00722</t>
        </is>
      </c>
      <c r="C1637" s="53" t="inlineStr">
        <is>
          <t>TECH-006</t>
        </is>
      </c>
      <c r="D1637" s="53" t="inlineStr">
        <is>
          <t>Powerplant</t>
        </is>
      </c>
      <c r="E1637" s="53" t="inlineStr">
        <is>
          <t>2025-01-23</t>
        </is>
      </c>
      <c r="F1637" s="53">
        <v>12</v>
      </c>
      <c r="G1637" s="53">
        <v>4</v>
      </c>
      <c r="H1637" s="51" t="str">
        <f>TEXT(tblLaborEntries[[#This Row],[Work date serial]]-WEEKDAY(tblLaborEntries[[#This Row],[Work date serial]],3),"yyyy-mm-dd")</f>
        <v>2025-01-20</v>
      </c>
      <c r="I1637" s="64">
        <f>DATEVALUE(tblLaborEntries[[#This Row],[Work date]])</f>
        <v>45680.0</v>
      </c>
    </row>
    <row r="1638" spans="1:9" ht="15" x14ac:dyDescent="0.25">
      <c r="A1638" s="53" t="inlineStr">
        <is>
          <t>LAB-001637</t>
        </is>
      </c>
      <c r="B1638" s="53" t="inlineStr">
        <is>
          <t>WP-00722</t>
        </is>
      </c>
      <c r="C1638" s="53" t="inlineStr">
        <is>
          <t>TECH-012</t>
        </is>
      </c>
      <c r="D1638" s="53" t="inlineStr">
        <is>
          <t>Powerplant</t>
        </is>
      </c>
      <c r="E1638" s="53" t="inlineStr">
        <is>
          <t>2025-01-23</t>
        </is>
      </c>
      <c r="F1638" s="53">
        <v>12</v>
      </c>
      <c r="G1638" s="53">
        <v>4</v>
      </c>
      <c r="H1638" s="51" t="str">
        <f>TEXT(tblLaborEntries[[#This Row],[Work date serial]]-WEEKDAY(tblLaborEntries[[#This Row],[Work date serial]],3),"yyyy-mm-dd")</f>
        <v>2025-01-20</v>
      </c>
      <c r="I1638" s="64">
        <f>DATEVALUE(tblLaborEntries[[#This Row],[Work date]])</f>
        <v>45680.0</v>
      </c>
    </row>
    <row r="1639" spans="1:9" ht="15" x14ac:dyDescent="0.25">
      <c r="A1639" s="53" t="inlineStr">
        <is>
          <t>LAB-001638</t>
        </is>
      </c>
      <c r="B1639" s="53" t="inlineStr">
        <is>
          <t>WP-00722</t>
        </is>
      </c>
      <c r="C1639" s="53" t="inlineStr">
        <is>
          <t>TECH-018</t>
        </is>
      </c>
      <c r="D1639" s="53" t="inlineStr">
        <is>
          <t>Powerplant</t>
        </is>
      </c>
      <c r="E1639" s="53" t="inlineStr">
        <is>
          <t>2025-01-23</t>
        </is>
      </c>
      <c r="F1639" s="53">
        <v>5.8</v>
      </c>
      <c r="G1639" s="53">
        <v>0</v>
      </c>
      <c r="H1639" s="51" t="str">
        <f>TEXT(tblLaborEntries[[#This Row],[Work date serial]]-WEEKDAY(tblLaborEntries[[#This Row],[Work date serial]],3),"yyyy-mm-dd")</f>
        <v>2025-01-20</v>
      </c>
      <c r="I1639" s="64">
        <f>DATEVALUE(tblLaborEntries[[#This Row],[Work date]])</f>
        <v>45680.0</v>
      </c>
    </row>
    <row r="1640" spans="1:9" ht="15" x14ac:dyDescent="0.25">
      <c r="A1640" s="53" t="inlineStr">
        <is>
          <t>LAB-001639</t>
        </is>
      </c>
      <c r="B1640" s="53" t="inlineStr">
        <is>
          <t>WP-00723</t>
        </is>
      </c>
      <c r="C1640" s="53" t="inlineStr">
        <is>
          <t>TECH-001</t>
        </is>
      </c>
      <c r="D1640" s="53" t="inlineStr">
        <is>
          <t>Airframe</t>
        </is>
      </c>
      <c r="E1640" s="53" t="inlineStr">
        <is>
          <t>2024-10-08</t>
        </is>
      </c>
      <c r="F1640" s="53">
        <v>10.9</v>
      </c>
      <c r="G1640" s="53">
        <v>2.9</v>
      </c>
      <c r="H1640" s="51" t="str">
        <f>TEXT(tblLaborEntries[[#This Row],[Work date serial]]-WEEKDAY(tblLaborEntries[[#This Row],[Work date serial]],3),"yyyy-mm-dd")</f>
        <v>2024-10-07</v>
      </c>
      <c r="I1640" s="64">
        <f>DATEVALUE(tblLaborEntries[[#This Row],[Work date]])</f>
        <v>45573.0</v>
      </c>
    </row>
    <row r="1641" spans="1:9" ht="15" x14ac:dyDescent="0.25">
      <c r="A1641" s="53" t="inlineStr">
        <is>
          <t>LAB-001640</t>
        </is>
      </c>
      <c r="B1641" s="53" t="inlineStr">
        <is>
          <t>WP-00724</t>
        </is>
      </c>
      <c r="C1641" s="53" t="inlineStr">
        <is>
          <t>TECH-056</t>
        </is>
      </c>
      <c r="D1641" s="53" t="inlineStr">
        <is>
          <t>Avionics</t>
        </is>
      </c>
      <c r="E1641" s="53" t="inlineStr">
        <is>
          <t>2024-02-09</t>
        </is>
      </c>
      <c r="F1641" s="53">
        <v>0.8</v>
      </c>
      <c r="G1641" s="53">
        <v>0</v>
      </c>
      <c r="H1641" s="51" t="str">
        <f>TEXT(tblLaborEntries[[#This Row],[Work date serial]]-WEEKDAY(tblLaborEntries[[#This Row],[Work date serial]],3),"yyyy-mm-dd")</f>
        <v>2024-02-05</v>
      </c>
      <c r="I1641" s="64">
        <f>DATEVALUE(tblLaborEntries[[#This Row],[Work date]])</f>
        <v>45331.0</v>
      </c>
    </row>
    <row r="1642" spans="1:9" ht="15" x14ac:dyDescent="0.25">
      <c r="A1642" s="53" t="inlineStr">
        <is>
          <t>LAB-001641</t>
        </is>
      </c>
      <c r="B1642" s="53" t="inlineStr">
        <is>
          <t>WP-00724</t>
        </is>
      </c>
      <c r="C1642" s="53" t="inlineStr">
        <is>
          <t>TECH-044</t>
        </is>
      </c>
      <c r="D1642" s="53" t="inlineStr">
        <is>
          <t>Avionics</t>
        </is>
      </c>
      <c r="E1642" s="53" t="inlineStr">
        <is>
          <t>2024-02-10</t>
        </is>
      </c>
      <c r="F1642" s="53">
        <v>0.9</v>
      </c>
      <c r="G1642" s="53">
        <v>0</v>
      </c>
      <c r="H1642" s="51" t="str">
        <f>TEXT(tblLaborEntries[[#This Row],[Work date serial]]-WEEKDAY(tblLaborEntries[[#This Row],[Work date serial]],3),"yyyy-mm-dd")</f>
        <v>2024-02-05</v>
      </c>
      <c r="I1642" s="64">
        <f>DATEVALUE(tblLaborEntries[[#This Row],[Work date]])</f>
        <v>45332.0</v>
      </c>
    </row>
    <row r="1643" spans="1:9" ht="15" x14ac:dyDescent="0.25">
      <c r="A1643" s="53" t="inlineStr">
        <is>
          <t>LAB-001642</t>
        </is>
      </c>
      <c r="B1643" s="53" t="inlineStr">
        <is>
          <t>WP-00724</t>
        </is>
      </c>
      <c r="C1643" s="53" t="inlineStr">
        <is>
          <t>TECH-062</t>
        </is>
      </c>
      <c r="D1643" s="53" t="inlineStr">
        <is>
          <t>Avionics</t>
        </is>
      </c>
      <c r="E1643" s="53" t="inlineStr">
        <is>
          <t>2024-02-11</t>
        </is>
      </c>
      <c r="F1643" s="53">
        <v>1</v>
      </c>
      <c r="G1643" s="53">
        <v>0</v>
      </c>
      <c r="H1643" s="51" t="str">
        <f>TEXT(tblLaborEntries[[#This Row],[Work date serial]]-WEEKDAY(tblLaborEntries[[#This Row],[Work date serial]],3),"yyyy-mm-dd")</f>
        <v>2024-02-05</v>
      </c>
      <c r="I1643" s="64">
        <f>DATEVALUE(tblLaborEntries[[#This Row],[Work date]])</f>
        <v>45333.0</v>
      </c>
    </row>
    <row r="1644" spans="1:9" ht="15" x14ac:dyDescent="0.25">
      <c r="A1644" s="53" t="inlineStr">
        <is>
          <t>LAB-001643</t>
        </is>
      </c>
      <c r="B1644" s="53" t="inlineStr">
        <is>
          <t>WP-00725</t>
        </is>
      </c>
      <c r="C1644" s="53" t="inlineStr">
        <is>
          <t>TECH-034</t>
        </is>
      </c>
      <c r="D1644" s="53" t="inlineStr">
        <is>
          <t>Electrical</t>
        </is>
      </c>
      <c r="E1644" s="53" t="inlineStr">
        <is>
          <t>2024-01-20</t>
        </is>
      </c>
      <c r="F1644" s="53">
        <v>3.6</v>
      </c>
      <c r="G1644" s="53">
        <v>0</v>
      </c>
      <c r="H1644" s="51" t="str">
        <f>TEXT(tblLaborEntries[[#This Row],[Work date serial]]-WEEKDAY(tblLaborEntries[[#This Row],[Work date serial]],3),"yyyy-mm-dd")</f>
        <v>2024-01-15</v>
      </c>
      <c r="I1644" s="64">
        <f>DATEVALUE(tblLaborEntries[[#This Row],[Work date]])</f>
        <v>45311.0</v>
      </c>
    </row>
    <row r="1645" spans="1:9" ht="15" x14ac:dyDescent="0.25">
      <c r="A1645" s="53" t="inlineStr">
        <is>
          <t>LAB-001644</t>
        </is>
      </c>
      <c r="B1645" s="53" t="inlineStr">
        <is>
          <t>WP-00725</t>
        </is>
      </c>
      <c r="C1645" s="53" t="inlineStr">
        <is>
          <t>TECH-016</t>
        </is>
      </c>
      <c r="D1645" s="53" t="inlineStr">
        <is>
          <t>Electrical</t>
        </is>
      </c>
      <c r="E1645" s="53" t="inlineStr">
        <is>
          <t>2024-01-21</t>
        </is>
      </c>
      <c r="F1645" s="53">
        <v>5.3</v>
      </c>
      <c r="G1645" s="53">
        <v>0</v>
      </c>
      <c r="H1645" s="51" t="str">
        <f>TEXT(tblLaborEntries[[#This Row],[Work date serial]]-WEEKDAY(tblLaborEntries[[#This Row],[Work date serial]],3),"yyyy-mm-dd")</f>
        <v>2024-01-15</v>
      </c>
      <c r="I1645" s="64">
        <f>DATEVALUE(tblLaborEntries[[#This Row],[Work date]])</f>
        <v>45312.0</v>
      </c>
    </row>
    <row r="1646" spans="1:9" ht="15" x14ac:dyDescent="0.25">
      <c r="A1646" s="53" t="inlineStr">
        <is>
          <t>LAB-001645</t>
        </is>
      </c>
      <c r="B1646" s="53" t="inlineStr">
        <is>
          <t>WP-00726</t>
        </is>
      </c>
      <c r="C1646" s="53" t="inlineStr">
        <is>
          <t>TECH-002</t>
        </is>
      </c>
      <c r="D1646" s="53" t="inlineStr">
        <is>
          <t>Avionics</t>
        </is>
      </c>
      <c r="E1646" s="53" t="inlineStr">
        <is>
          <t>2025-12-17</t>
        </is>
      </c>
      <c r="F1646" s="53">
        <v>5.8</v>
      </c>
      <c r="G1646" s="53">
        <v>0</v>
      </c>
      <c r="H1646" s="51" t="str">
        <f>TEXT(tblLaborEntries[[#This Row],[Work date serial]]-WEEKDAY(tblLaborEntries[[#This Row],[Work date serial]],3),"yyyy-mm-dd")</f>
        <v>2025-12-15</v>
      </c>
      <c r="I1646" s="64">
        <f>DATEVALUE(tblLaborEntries[[#This Row],[Work date]])</f>
        <v>46008.0</v>
      </c>
    </row>
    <row r="1647" spans="1:9" ht="15" x14ac:dyDescent="0.25">
      <c r="A1647" s="53" t="inlineStr">
        <is>
          <t>LAB-001646</t>
        </is>
      </c>
      <c r="B1647" s="53" t="inlineStr">
        <is>
          <t>WP-00727</t>
        </is>
      </c>
      <c r="C1647" s="53" t="inlineStr">
        <is>
          <t>TECH-049</t>
        </is>
      </c>
      <c r="D1647" s="53" t="inlineStr">
        <is>
          <t>Airframe</t>
        </is>
      </c>
      <c r="E1647" s="53" t="inlineStr">
        <is>
          <t>2025-11-03</t>
        </is>
      </c>
      <c r="F1647" s="53">
        <v>9.4</v>
      </c>
      <c r="G1647" s="53">
        <v>1.4</v>
      </c>
      <c r="H1647" s="51" t="str">
        <f>TEXT(tblLaborEntries[[#This Row],[Work date serial]]-WEEKDAY(tblLaborEntries[[#This Row],[Work date serial]],3),"yyyy-mm-dd")</f>
        <v>2025-11-03</v>
      </c>
      <c r="I1647" s="64">
        <f>DATEVALUE(tblLaborEntries[[#This Row],[Work date]])</f>
        <v>45964.0</v>
      </c>
    </row>
    <row r="1648" spans="1:9" ht="15" x14ac:dyDescent="0.25">
      <c r="A1648" s="53" t="inlineStr">
        <is>
          <t>LAB-001647</t>
        </is>
      </c>
      <c r="B1648" s="53" t="inlineStr">
        <is>
          <t>WP-00728</t>
        </is>
      </c>
      <c r="C1648" s="53" t="inlineStr">
        <is>
          <t>TECH-020</t>
        </is>
      </c>
      <c r="D1648" s="53" t="inlineStr">
        <is>
          <t>Avionics</t>
        </is>
      </c>
      <c r="E1648" s="53" t="inlineStr">
        <is>
          <t>2025-07-03</t>
        </is>
      </c>
      <c r="F1648" s="53">
        <v>2.5</v>
      </c>
      <c r="G1648" s="53">
        <v>0</v>
      </c>
      <c r="H1648" s="51" t="str">
        <f>TEXT(tblLaborEntries[[#This Row],[Work date serial]]-WEEKDAY(tblLaborEntries[[#This Row],[Work date serial]],3),"yyyy-mm-dd")</f>
        <v>2025-06-30</v>
      </c>
      <c r="I1648" s="64">
        <f>DATEVALUE(tblLaborEntries[[#This Row],[Work date]])</f>
        <v>45841.0</v>
      </c>
    </row>
    <row r="1649" spans="1:9" ht="15" x14ac:dyDescent="0.25">
      <c r="A1649" s="53" t="inlineStr">
        <is>
          <t>LAB-001648</t>
        </is>
      </c>
      <c r="B1649" s="53" t="inlineStr">
        <is>
          <t>WP-00728</t>
        </is>
      </c>
      <c r="C1649" s="53" t="inlineStr">
        <is>
          <t>TECH-002</t>
        </is>
      </c>
      <c r="D1649" s="53" t="inlineStr">
        <is>
          <t>Avionics</t>
        </is>
      </c>
      <c r="E1649" s="53" t="inlineStr">
        <is>
          <t>2025-07-04</t>
        </is>
      </c>
      <c r="F1649" s="53">
        <v>2.6</v>
      </c>
      <c r="G1649" s="53">
        <v>0</v>
      </c>
      <c r="H1649" s="51" t="str">
        <f>TEXT(tblLaborEntries[[#This Row],[Work date serial]]-WEEKDAY(tblLaborEntries[[#This Row],[Work date serial]],3),"yyyy-mm-dd")</f>
        <v>2025-06-30</v>
      </c>
      <c r="I1649" s="64">
        <f>DATEVALUE(tblLaborEntries[[#This Row],[Work date]])</f>
        <v>45842.0</v>
      </c>
    </row>
    <row r="1650" spans="1:9" ht="15" x14ac:dyDescent="0.25">
      <c r="A1650" s="53" t="inlineStr">
        <is>
          <t>LAB-001649</t>
        </is>
      </c>
      <c r="B1650" s="53" t="inlineStr">
        <is>
          <t>WP-00728</t>
        </is>
      </c>
      <c r="C1650" s="53" t="inlineStr">
        <is>
          <t>TECH-038</t>
        </is>
      </c>
      <c r="D1650" s="53" t="inlineStr">
        <is>
          <t>Avionics</t>
        </is>
      </c>
      <c r="E1650" s="53" t="inlineStr">
        <is>
          <t>2025-07-05</t>
        </is>
      </c>
      <c r="F1650" s="53">
        <v>1.9</v>
      </c>
      <c r="G1650" s="53">
        <v>0</v>
      </c>
      <c r="H1650" s="51" t="str">
        <f>TEXT(tblLaborEntries[[#This Row],[Work date serial]]-WEEKDAY(tblLaborEntries[[#This Row],[Work date serial]],3),"yyyy-mm-dd")</f>
        <v>2025-06-30</v>
      </c>
      <c r="I1650" s="64">
        <f>DATEVALUE(tblLaborEntries[[#This Row],[Work date]])</f>
        <v>45843.0</v>
      </c>
    </row>
    <row r="1651" spans="1:9" ht="15" x14ac:dyDescent="0.25">
      <c r="A1651" s="53" t="inlineStr">
        <is>
          <t>LAB-001650</t>
        </is>
      </c>
      <c r="B1651" s="53" t="inlineStr">
        <is>
          <t>WP-00729</t>
        </is>
      </c>
      <c r="C1651" s="53" t="inlineStr">
        <is>
          <t>TECH-002</t>
        </is>
      </c>
      <c r="D1651" s="53" t="inlineStr">
        <is>
          <t>Avionics</t>
        </is>
      </c>
      <c r="E1651" s="53" t="inlineStr">
        <is>
          <t>2025-08-10</t>
        </is>
      </c>
      <c r="F1651" s="53">
        <v>1.9</v>
      </c>
      <c r="G1651" s="53">
        <v>0</v>
      </c>
      <c r="H1651" s="51" t="str">
        <f>TEXT(tblLaborEntries[[#This Row],[Work date serial]]-WEEKDAY(tblLaborEntries[[#This Row],[Work date serial]],3),"yyyy-mm-dd")</f>
        <v>2025-08-04</v>
      </c>
      <c r="I1651" s="64">
        <f>DATEVALUE(tblLaborEntries[[#This Row],[Work date]])</f>
        <v>45879.0</v>
      </c>
    </row>
    <row r="1652" spans="1:9" ht="15" x14ac:dyDescent="0.25">
      <c r="A1652" s="53" t="inlineStr">
        <is>
          <t>LAB-001651</t>
        </is>
      </c>
      <c r="B1652" s="53" t="inlineStr">
        <is>
          <t>WP-00729</t>
        </is>
      </c>
      <c r="C1652" s="53" t="inlineStr">
        <is>
          <t>TECH-068</t>
        </is>
      </c>
      <c r="D1652" s="53" t="inlineStr">
        <is>
          <t>Avionics</t>
        </is>
      </c>
      <c r="E1652" s="53" t="inlineStr">
        <is>
          <t>2025-08-11</t>
        </is>
      </c>
      <c r="F1652" s="53">
        <v>2.8</v>
      </c>
      <c r="G1652" s="53">
        <v>0</v>
      </c>
      <c r="H1652" s="51" t="str">
        <f>TEXT(tblLaborEntries[[#This Row],[Work date serial]]-WEEKDAY(tblLaborEntries[[#This Row],[Work date serial]],3),"yyyy-mm-dd")</f>
        <v>2025-08-11</v>
      </c>
      <c r="I1652" s="64">
        <f>DATEVALUE(tblLaborEntries[[#This Row],[Work date]])</f>
        <v>45880.0</v>
      </c>
    </row>
    <row r="1653" spans="1:9" ht="15" x14ac:dyDescent="0.25">
      <c r="A1653" s="53" t="inlineStr">
        <is>
          <t>LAB-001652</t>
        </is>
      </c>
      <c r="B1653" s="53" t="inlineStr">
        <is>
          <t>WP-00730</t>
        </is>
      </c>
      <c r="C1653" s="53" t="inlineStr">
        <is>
          <t>TECH-008</t>
        </is>
      </c>
      <c r="D1653" s="53" t="inlineStr">
        <is>
          <t>Avionics</t>
        </is>
      </c>
      <c r="E1653" s="53" t="inlineStr">
        <is>
          <t>2025-09-16</t>
        </is>
      </c>
      <c r="F1653" s="53">
        <v>5.1</v>
      </c>
      <c r="G1653" s="53">
        <v>0</v>
      </c>
      <c r="H1653" s="51" t="str">
        <f>TEXT(tblLaborEntries[[#This Row],[Work date serial]]-WEEKDAY(tblLaborEntries[[#This Row],[Work date serial]],3),"yyyy-mm-dd")</f>
        <v>2025-09-15</v>
      </c>
      <c r="I1653" s="64">
        <f>DATEVALUE(tblLaborEntries[[#This Row],[Work date]])</f>
        <v>45916.0</v>
      </c>
    </row>
    <row r="1654" spans="1:9" ht="15" x14ac:dyDescent="0.25">
      <c r="A1654" s="53" t="inlineStr">
        <is>
          <t>LAB-001653</t>
        </is>
      </c>
      <c r="B1654" s="53" t="inlineStr">
        <is>
          <t>WP-00730</t>
        </is>
      </c>
      <c r="C1654" s="53" t="inlineStr">
        <is>
          <t>TECH-068</t>
        </is>
      </c>
      <c r="D1654" s="53" t="inlineStr">
        <is>
          <t>Avionics</t>
        </is>
      </c>
      <c r="E1654" s="53" t="inlineStr">
        <is>
          <t>2025-09-16</t>
        </is>
      </c>
      <c r="F1654" s="53">
        <v>7</v>
      </c>
      <c r="G1654" s="53">
        <v>0</v>
      </c>
      <c r="H1654" s="51" t="str">
        <f>TEXT(tblLaborEntries[[#This Row],[Work date serial]]-WEEKDAY(tblLaborEntries[[#This Row],[Work date serial]],3),"yyyy-mm-dd")</f>
        <v>2025-09-15</v>
      </c>
      <c r="I1654" s="64">
        <f>DATEVALUE(tblLaborEntries[[#This Row],[Work date]])</f>
        <v>45916.0</v>
      </c>
    </row>
    <row r="1655" spans="1:9" ht="15" x14ac:dyDescent="0.25">
      <c r="A1655" s="53" t="inlineStr">
        <is>
          <t>LAB-001654</t>
        </is>
      </c>
      <c r="B1655" s="53" t="inlineStr">
        <is>
          <t>WP-00731</t>
        </is>
      </c>
      <c r="C1655" s="53" t="inlineStr">
        <is>
          <t>TECH-027</t>
        </is>
      </c>
      <c r="D1655" s="53" t="inlineStr">
        <is>
          <t>Hydraulics</t>
        </is>
      </c>
      <c r="E1655" s="53" t="inlineStr">
        <is>
          <t>2024-10-14</t>
        </is>
      </c>
      <c r="F1655" s="53">
        <v>5.7</v>
      </c>
      <c r="G1655" s="53">
        <v>0</v>
      </c>
      <c r="H1655" s="51" t="str">
        <f>TEXT(tblLaborEntries[[#This Row],[Work date serial]]-WEEKDAY(tblLaborEntries[[#This Row],[Work date serial]],3),"yyyy-mm-dd")</f>
        <v>2024-10-14</v>
      </c>
      <c r="I1655" s="64">
        <f>DATEVALUE(tblLaborEntries[[#This Row],[Work date]])</f>
        <v>45579.0</v>
      </c>
    </row>
    <row r="1656" spans="1:9" ht="15" x14ac:dyDescent="0.25">
      <c r="A1656" s="53" t="inlineStr">
        <is>
          <t>LAB-001655</t>
        </is>
      </c>
      <c r="B1656" s="53" t="inlineStr">
        <is>
          <t>WP-00731</t>
        </is>
      </c>
      <c r="C1656" s="53" t="inlineStr">
        <is>
          <t>TECH-039</t>
        </is>
      </c>
      <c r="D1656" s="53" t="inlineStr">
        <is>
          <t>Hydraulics</t>
        </is>
      </c>
      <c r="E1656" s="53" t="inlineStr">
        <is>
          <t>2024-10-15</t>
        </is>
      </c>
      <c r="F1656" s="53">
        <v>8.7</v>
      </c>
      <c r="G1656" s="53">
        <v>0.7</v>
      </c>
      <c r="H1656" s="51" t="str">
        <f>TEXT(tblLaborEntries[[#This Row],[Work date serial]]-WEEKDAY(tblLaborEntries[[#This Row],[Work date serial]],3),"yyyy-mm-dd")</f>
        <v>2024-10-14</v>
      </c>
      <c r="I1656" s="64">
        <f>DATEVALUE(tblLaborEntries[[#This Row],[Work date]])</f>
        <v>45580.0</v>
      </c>
    </row>
    <row r="1657" spans="1:9" ht="15" x14ac:dyDescent="0.25">
      <c r="A1657" s="53" t="inlineStr">
        <is>
          <t>LAB-001656</t>
        </is>
      </c>
      <c r="B1657" s="53" t="inlineStr">
        <is>
          <t>WP-00732</t>
        </is>
      </c>
      <c r="C1657" s="53" t="inlineStr">
        <is>
          <t>TECH-009</t>
        </is>
      </c>
      <c r="D1657" s="53" t="inlineStr">
        <is>
          <t>Hydraulics</t>
        </is>
      </c>
      <c r="E1657" s="53" t="inlineStr">
        <is>
          <t>2024-02-19</t>
        </is>
      </c>
      <c r="F1657" s="53">
        <v>3.2</v>
      </c>
      <c r="G1657" s="53">
        <v>0</v>
      </c>
      <c r="H1657" s="51" t="str">
        <f>TEXT(tblLaborEntries[[#This Row],[Work date serial]]-WEEKDAY(tblLaborEntries[[#This Row],[Work date serial]],3),"yyyy-mm-dd")</f>
        <v>2024-02-19</v>
      </c>
      <c r="I1657" s="64">
        <f>DATEVALUE(tblLaborEntries[[#This Row],[Work date]])</f>
        <v>45341.0</v>
      </c>
    </row>
    <row r="1658" spans="1:9" ht="15" x14ac:dyDescent="0.25">
      <c r="A1658" s="53" t="inlineStr">
        <is>
          <t>LAB-001657</t>
        </is>
      </c>
      <c r="B1658" s="53" t="inlineStr">
        <is>
          <t>WP-00732</t>
        </is>
      </c>
      <c r="C1658" s="53" t="inlineStr">
        <is>
          <t>TECH-045</t>
        </is>
      </c>
      <c r="D1658" s="53" t="inlineStr">
        <is>
          <t>Hydraulics</t>
        </is>
      </c>
      <c r="E1658" s="53" t="inlineStr">
        <is>
          <t>2024-02-20</t>
        </is>
      </c>
      <c r="F1658" s="53">
        <v>2.9</v>
      </c>
      <c r="G1658" s="53">
        <v>0</v>
      </c>
      <c r="H1658" s="51" t="str">
        <f>TEXT(tblLaborEntries[[#This Row],[Work date serial]]-WEEKDAY(tblLaborEntries[[#This Row],[Work date serial]],3),"yyyy-mm-dd")</f>
        <v>2024-02-19</v>
      </c>
      <c r="I1658" s="64">
        <f>DATEVALUE(tblLaborEntries[[#This Row],[Work date]])</f>
        <v>45342.0</v>
      </c>
    </row>
    <row r="1659" spans="1:9" ht="15" x14ac:dyDescent="0.25">
      <c r="A1659" s="53" t="inlineStr">
        <is>
          <t>LAB-001658</t>
        </is>
      </c>
      <c r="B1659" s="53" t="inlineStr">
        <is>
          <t>WP-00732</t>
        </is>
      </c>
      <c r="C1659" s="53" t="inlineStr">
        <is>
          <t>TECH-075</t>
        </is>
      </c>
      <c r="D1659" s="53" t="inlineStr">
        <is>
          <t>Hydraulics</t>
        </is>
      </c>
      <c r="E1659" s="53" t="inlineStr">
        <is>
          <t>2024-02-21</t>
        </is>
      </c>
      <c r="F1659" s="53">
        <v>3.9</v>
      </c>
      <c r="G1659" s="53">
        <v>0</v>
      </c>
      <c r="H1659" s="51" t="str">
        <f>TEXT(tblLaborEntries[[#This Row],[Work date serial]]-WEEKDAY(tblLaborEntries[[#This Row],[Work date serial]],3),"yyyy-mm-dd")</f>
        <v>2024-02-19</v>
      </c>
      <c r="I1659" s="64">
        <f>DATEVALUE(tblLaborEntries[[#This Row],[Work date]])</f>
        <v>45343.0</v>
      </c>
    </row>
    <row r="1660" spans="1:9" ht="15" x14ac:dyDescent="0.25">
      <c r="A1660" s="53" t="inlineStr">
        <is>
          <t>LAB-001659</t>
        </is>
      </c>
      <c r="B1660" s="53" t="inlineStr">
        <is>
          <t>WP-00733</t>
        </is>
      </c>
      <c r="C1660" s="53" t="inlineStr">
        <is>
          <t>TECH-054</t>
        </is>
      </c>
      <c r="D1660" s="53" t="inlineStr">
        <is>
          <t>Powerplant</t>
        </is>
      </c>
      <c r="E1660" s="53" t="inlineStr">
        <is>
          <t>2025-03-20</t>
        </is>
      </c>
      <c r="F1660" s="53">
        <v>8.4</v>
      </c>
      <c r="G1660" s="53">
        <v>0.4</v>
      </c>
      <c r="H1660" s="51" t="str">
        <f>TEXT(tblLaborEntries[[#This Row],[Work date serial]]-WEEKDAY(tblLaborEntries[[#This Row],[Work date serial]],3),"yyyy-mm-dd")</f>
        <v>2025-03-17</v>
      </c>
      <c r="I1660" s="64">
        <f>DATEVALUE(tblLaborEntries[[#This Row],[Work date]])</f>
        <v>45736.0</v>
      </c>
    </row>
    <row r="1661" spans="1:9" ht="15" x14ac:dyDescent="0.25">
      <c r="A1661" s="53" t="inlineStr">
        <is>
          <t>LAB-001660</t>
        </is>
      </c>
      <c r="B1661" s="53" t="inlineStr">
        <is>
          <t>WP-00733</t>
        </is>
      </c>
      <c r="C1661" s="53" t="inlineStr">
        <is>
          <t>TECH-072</t>
        </is>
      </c>
      <c r="D1661" s="53" t="inlineStr">
        <is>
          <t>Powerplant</t>
        </is>
      </c>
      <c r="E1661" s="53" t="inlineStr">
        <is>
          <t>2025-03-21</t>
        </is>
      </c>
      <c r="F1661" s="53">
        <v>7.4</v>
      </c>
      <c r="G1661" s="53">
        <v>0</v>
      </c>
      <c r="H1661" s="51" t="str">
        <f>TEXT(tblLaborEntries[[#This Row],[Work date serial]]-WEEKDAY(tblLaborEntries[[#This Row],[Work date serial]],3),"yyyy-mm-dd")</f>
        <v>2025-03-17</v>
      </c>
      <c r="I1661" s="64">
        <f>DATEVALUE(tblLaborEntries[[#This Row],[Work date]])</f>
        <v>45737.0</v>
      </c>
    </row>
    <row r="1662" spans="1:9" ht="15" x14ac:dyDescent="0.25">
      <c r="A1662" s="53" t="inlineStr">
        <is>
          <t>LAB-001661</t>
        </is>
      </c>
      <c r="B1662" s="53" t="inlineStr">
        <is>
          <t>WP-00734</t>
        </is>
      </c>
      <c r="C1662" s="53" t="inlineStr">
        <is>
          <t>TECH-019</t>
        </is>
      </c>
      <c r="D1662" s="53" t="inlineStr">
        <is>
          <t>Airframe</t>
        </is>
      </c>
      <c r="E1662" s="53" t="inlineStr">
        <is>
          <t>2024-09-12</t>
        </is>
      </c>
      <c r="F1662" s="53">
        <v>4.6</v>
      </c>
      <c r="G1662" s="53">
        <v>0</v>
      </c>
      <c r="H1662" s="51" t="str">
        <f>TEXT(tblLaborEntries[[#This Row],[Work date serial]]-WEEKDAY(tblLaborEntries[[#This Row],[Work date serial]],3),"yyyy-mm-dd")</f>
        <v>2024-09-09</v>
      </c>
      <c r="I1662" s="64">
        <f>DATEVALUE(tblLaborEntries[[#This Row],[Work date]])</f>
        <v>45547.0</v>
      </c>
    </row>
    <row r="1663" spans="1:9" ht="15" x14ac:dyDescent="0.25">
      <c r="A1663" s="53" t="inlineStr">
        <is>
          <t>LAB-001662</t>
        </is>
      </c>
      <c r="B1663" s="53" t="inlineStr">
        <is>
          <t>WP-00735</t>
        </is>
      </c>
      <c r="C1663" s="53" t="inlineStr">
        <is>
          <t>TECH-071</t>
        </is>
      </c>
      <c r="D1663" s="53" t="inlineStr">
        <is>
          <t>Structures</t>
        </is>
      </c>
      <c r="E1663" s="53" t="inlineStr">
        <is>
          <t>2025-03-28</t>
        </is>
      </c>
      <c r="F1663" s="53">
        <v>9.1</v>
      </c>
      <c r="G1663" s="53">
        <v>1.1</v>
      </c>
      <c r="H1663" s="51" t="str">
        <f>TEXT(tblLaborEntries[[#This Row],[Work date serial]]-WEEKDAY(tblLaborEntries[[#This Row],[Work date serial]],3),"yyyy-mm-dd")</f>
        <v>2025-03-24</v>
      </c>
      <c r="I1663" s="64">
        <f>DATEVALUE(tblLaborEntries[[#This Row],[Work date]])</f>
        <v>45744.0</v>
      </c>
    </row>
    <row r="1664" spans="1:9" ht="15" x14ac:dyDescent="0.25">
      <c r="A1664" s="53" t="inlineStr">
        <is>
          <t>LAB-001663</t>
        </is>
      </c>
      <c r="B1664" s="53" t="inlineStr">
        <is>
          <t>WP-00735</t>
        </is>
      </c>
      <c r="C1664" s="53" t="inlineStr">
        <is>
          <t>TECH-011</t>
        </is>
      </c>
      <c r="D1664" s="53" t="inlineStr">
        <is>
          <t>Structures</t>
        </is>
      </c>
      <c r="E1664" s="53" t="inlineStr">
        <is>
          <t>2025-03-29</t>
        </is>
      </c>
      <c r="F1664" s="53">
        <v>8.4</v>
      </c>
      <c r="G1664" s="53">
        <v>0.4</v>
      </c>
      <c r="H1664" s="51" t="str">
        <f>TEXT(tblLaborEntries[[#This Row],[Work date serial]]-WEEKDAY(tblLaborEntries[[#This Row],[Work date serial]],3),"yyyy-mm-dd")</f>
        <v>2025-03-24</v>
      </c>
      <c r="I1664" s="64">
        <f>DATEVALUE(tblLaborEntries[[#This Row],[Work date]])</f>
        <v>45745.0</v>
      </c>
    </row>
    <row r="1665" spans="1:9" ht="15" x14ac:dyDescent="0.25">
      <c r="A1665" s="53" t="inlineStr">
        <is>
          <t>LAB-001664</t>
        </is>
      </c>
      <c r="B1665" s="53" t="inlineStr">
        <is>
          <t>WP-00735</t>
        </is>
      </c>
      <c r="C1665" s="53" t="inlineStr">
        <is>
          <t>TECH-041</t>
        </is>
      </c>
      <c r="D1665" s="53" t="inlineStr">
        <is>
          <t>Structures</t>
        </is>
      </c>
      <c r="E1665" s="53" t="inlineStr">
        <is>
          <t>2025-03-30</t>
        </is>
      </c>
      <c r="F1665" s="53">
        <v>6.5</v>
      </c>
      <c r="G1665" s="53">
        <v>0</v>
      </c>
      <c r="H1665" s="51" t="str">
        <f>TEXT(tblLaborEntries[[#This Row],[Work date serial]]-WEEKDAY(tblLaborEntries[[#This Row],[Work date serial]],3),"yyyy-mm-dd")</f>
        <v>2025-03-24</v>
      </c>
      <c r="I1665" s="64">
        <f>DATEVALUE(tblLaborEntries[[#This Row],[Work date]])</f>
        <v>45746.0</v>
      </c>
    </row>
    <row r="1666" spans="1:9" ht="15" x14ac:dyDescent="0.25">
      <c r="A1666" s="53" t="inlineStr">
        <is>
          <t>LAB-001665</t>
        </is>
      </c>
      <c r="B1666" s="53" t="inlineStr">
        <is>
          <t>WP-00736</t>
        </is>
      </c>
      <c r="C1666" s="53" t="inlineStr">
        <is>
          <t>TECH-008</t>
        </is>
      </c>
      <c r="D1666" s="53" t="inlineStr">
        <is>
          <t>Avionics</t>
        </is>
      </c>
      <c r="E1666" s="53" t="inlineStr">
        <is>
          <t>2025-08-16</t>
        </is>
      </c>
      <c r="F1666" s="53">
        <v>11.6</v>
      </c>
      <c r="G1666" s="53">
        <v>3.6</v>
      </c>
      <c r="H1666" s="51" t="str">
        <f>TEXT(tblLaborEntries[[#This Row],[Work date serial]]-WEEKDAY(tblLaborEntries[[#This Row],[Work date serial]],3),"yyyy-mm-dd")</f>
        <v>2025-08-11</v>
      </c>
      <c r="I1666" s="64">
        <f>DATEVALUE(tblLaborEntries[[#This Row],[Work date]])</f>
        <v>45885.0</v>
      </c>
    </row>
    <row r="1667" spans="1:9" ht="15" x14ac:dyDescent="0.25">
      <c r="A1667" s="53" t="inlineStr">
        <is>
          <t>LAB-001666</t>
        </is>
      </c>
      <c r="B1667" s="53" t="inlineStr">
        <is>
          <t>WP-00736</t>
        </is>
      </c>
      <c r="C1667" s="53" t="inlineStr">
        <is>
          <t>TECH-002</t>
        </is>
      </c>
      <c r="D1667" s="53" t="inlineStr">
        <is>
          <t>Avionics</t>
        </is>
      </c>
      <c r="E1667" s="53" t="inlineStr">
        <is>
          <t>2025-08-17</t>
        </is>
      </c>
      <c r="F1667" s="53">
        <v>3.1</v>
      </c>
      <c r="G1667" s="53">
        <v>0</v>
      </c>
      <c r="H1667" s="51" t="str">
        <f>TEXT(tblLaborEntries[[#This Row],[Work date serial]]-WEEKDAY(tblLaborEntries[[#This Row],[Work date serial]],3),"yyyy-mm-dd")</f>
        <v>2025-08-11</v>
      </c>
      <c r="I1667" s="64">
        <f>DATEVALUE(tblLaborEntries[[#This Row],[Work date]])</f>
        <v>45886.0</v>
      </c>
    </row>
    <row r="1668" spans="1:9" ht="15" x14ac:dyDescent="0.25">
      <c r="A1668" s="53" t="inlineStr">
        <is>
          <t>LAB-001667</t>
        </is>
      </c>
      <c r="B1668" s="53" t="inlineStr">
        <is>
          <t>WP-00736</t>
        </is>
      </c>
      <c r="C1668" s="53" t="inlineStr">
        <is>
          <t>TECH-008</t>
        </is>
      </c>
      <c r="D1668" s="53" t="inlineStr">
        <is>
          <t>Avionics</t>
        </is>
      </c>
      <c r="E1668" s="53" t="inlineStr">
        <is>
          <t>2025-08-17</t>
        </is>
      </c>
      <c r="F1668" s="53">
        <v>12</v>
      </c>
      <c r="G1668" s="53">
        <v>4</v>
      </c>
      <c r="H1668" s="51" t="str">
        <f>TEXT(tblLaborEntries[[#This Row],[Work date serial]]-WEEKDAY(tblLaborEntries[[#This Row],[Work date serial]],3),"yyyy-mm-dd")</f>
        <v>2025-08-11</v>
      </c>
      <c r="I1668" s="64">
        <f>DATEVALUE(tblLaborEntries[[#This Row],[Work date]])</f>
        <v>45886.0</v>
      </c>
    </row>
    <row r="1669" spans="1:9" ht="15" x14ac:dyDescent="0.25">
      <c r="A1669" s="53" t="inlineStr">
        <is>
          <t>LAB-001668</t>
        </is>
      </c>
      <c r="B1669" s="53" t="inlineStr">
        <is>
          <t>WP-00737</t>
        </is>
      </c>
      <c r="C1669" s="53" t="inlineStr">
        <is>
          <t>TECH-074</t>
        </is>
      </c>
      <c r="D1669" s="53" t="inlineStr">
        <is>
          <t>Avionics</t>
        </is>
      </c>
      <c r="E1669" s="53" t="inlineStr">
        <is>
          <t>2025-10-23</t>
        </is>
      </c>
      <c r="F1669" s="53">
        <v>2.7</v>
      </c>
      <c r="G1669" s="53">
        <v>0</v>
      </c>
      <c r="H1669" s="51" t="str">
        <f>TEXT(tblLaborEntries[[#This Row],[Work date serial]]-WEEKDAY(tblLaborEntries[[#This Row],[Work date serial]],3),"yyyy-mm-dd")</f>
        <v>2025-10-20</v>
      </c>
      <c r="I1669" s="64">
        <f>DATEVALUE(tblLaborEntries[[#This Row],[Work date]])</f>
        <v>45953.0</v>
      </c>
    </row>
    <row r="1670" spans="1:9" ht="15" x14ac:dyDescent="0.25">
      <c r="A1670" s="53" t="inlineStr">
        <is>
          <t>LAB-001669</t>
        </is>
      </c>
      <c r="B1670" s="53" t="inlineStr">
        <is>
          <t>WP-00737</t>
        </is>
      </c>
      <c r="C1670" s="53" t="inlineStr">
        <is>
          <t>TECH-002</t>
        </is>
      </c>
      <c r="D1670" s="53" t="inlineStr">
        <is>
          <t>Avionics</t>
        </is>
      </c>
      <c r="E1670" s="53" t="inlineStr">
        <is>
          <t>2025-10-24</t>
        </is>
      </c>
      <c r="F1670" s="53">
        <v>4.3</v>
      </c>
      <c r="G1670" s="53">
        <v>0</v>
      </c>
      <c r="H1670" s="51" t="str">
        <f>TEXT(tblLaborEntries[[#This Row],[Work date serial]]-WEEKDAY(tblLaborEntries[[#This Row],[Work date serial]],3),"yyyy-mm-dd")</f>
        <v>2025-10-20</v>
      </c>
      <c r="I1670" s="64">
        <f>DATEVALUE(tblLaborEntries[[#This Row],[Work date]])</f>
        <v>45954.0</v>
      </c>
    </row>
    <row r="1671" spans="1:9" ht="15" x14ac:dyDescent="0.25">
      <c r="A1671" s="53" t="inlineStr">
        <is>
          <t>LAB-001670</t>
        </is>
      </c>
      <c r="B1671" s="53" t="inlineStr">
        <is>
          <t>WP-00737</t>
        </is>
      </c>
      <c r="C1671" s="53" t="inlineStr">
        <is>
          <t>TECH-014</t>
        </is>
      </c>
      <c r="D1671" s="53" t="inlineStr">
        <is>
          <t>Avionics</t>
        </is>
      </c>
      <c r="E1671" s="53" t="inlineStr">
        <is>
          <t>2025-10-25</t>
        </is>
      </c>
      <c r="F1671" s="53">
        <v>3.1</v>
      </c>
      <c r="G1671" s="53">
        <v>0</v>
      </c>
      <c r="H1671" s="51" t="str">
        <f>TEXT(tblLaborEntries[[#This Row],[Work date serial]]-WEEKDAY(tblLaborEntries[[#This Row],[Work date serial]],3),"yyyy-mm-dd")</f>
        <v>2025-10-20</v>
      </c>
      <c r="I1671" s="64">
        <f>DATEVALUE(tblLaborEntries[[#This Row],[Work date]])</f>
        <v>45955.0</v>
      </c>
    </row>
    <row r="1672" spans="1:9" ht="15" x14ac:dyDescent="0.25">
      <c r="A1672" s="53" t="inlineStr">
        <is>
          <t>LAB-001671</t>
        </is>
      </c>
      <c r="B1672" s="53" t="inlineStr">
        <is>
          <t>WP-00738</t>
        </is>
      </c>
      <c r="C1672" s="53" t="inlineStr">
        <is>
          <t>TECH-007</t>
        </is>
      </c>
      <c r="D1672" s="53" t="inlineStr">
        <is>
          <t>Airframe</t>
        </is>
      </c>
      <c r="E1672" s="53" t="inlineStr">
        <is>
          <t>2025-11-29</t>
        </is>
      </c>
      <c r="F1672" s="53">
        <v>1.7</v>
      </c>
      <c r="G1672" s="53">
        <v>0</v>
      </c>
      <c r="H1672" s="51" t="str">
        <f>TEXT(tblLaborEntries[[#This Row],[Work date serial]]-WEEKDAY(tblLaborEntries[[#This Row],[Work date serial]],3),"yyyy-mm-dd")</f>
        <v>2025-11-24</v>
      </c>
      <c r="I1672" s="64">
        <f>DATEVALUE(tblLaborEntries[[#This Row],[Work date]])</f>
        <v>45990.0</v>
      </c>
    </row>
    <row r="1673" spans="1:9" ht="15" x14ac:dyDescent="0.25">
      <c r="A1673" s="53" t="inlineStr">
        <is>
          <t>LAB-001672</t>
        </is>
      </c>
      <c r="B1673" s="53" t="inlineStr">
        <is>
          <t>WP-00738</t>
        </is>
      </c>
      <c r="C1673" s="53" t="inlineStr">
        <is>
          <t>TECH-037</t>
        </is>
      </c>
      <c r="D1673" s="53" t="inlineStr">
        <is>
          <t>Airframe</t>
        </is>
      </c>
      <c r="E1673" s="53" t="inlineStr">
        <is>
          <t>2025-11-30</t>
        </is>
      </c>
      <c r="F1673" s="53">
        <v>1.8</v>
      </c>
      <c r="G1673" s="53">
        <v>0</v>
      </c>
      <c r="H1673" s="51" t="str">
        <f>TEXT(tblLaborEntries[[#This Row],[Work date serial]]-WEEKDAY(tblLaborEntries[[#This Row],[Work date serial]],3),"yyyy-mm-dd")</f>
        <v>2025-11-24</v>
      </c>
      <c r="I1673" s="64">
        <f>DATEVALUE(tblLaborEntries[[#This Row],[Work date]])</f>
        <v>45991.0</v>
      </c>
    </row>
    <row r="1674" spans="1:9" ht="15" x14ac:dyDescent="0.25">
      <c r="A1674" s="53" t="inlineStr">
        <is>
          <t>LAB-001673</t>
        </is>
      </c>
      <c r="B1674" s="53" t="inlineStr">
        <is>
          <t>WP-00738</t>
        </is>
      </c>
      <c r="C1674" s="53" t="inlineStr">
        <is>
          <t>TECH-037</t>
        </is>
      </c>
      <c r="D1674" s="53" t="inlineStr">
        <is>
          <t>Airframe</t>
        </is>
      </c>
      <c r="E1674" s="53" t="inlineStr">
        <is>
          <t>2025-12-01</t>
        </is>
      </c>
      <c r="F1674" s="53">
        <v>1.9</v>
      </c>
      <c r="G1674" s="53">
        <v>0</v>
      </c>
      <c r="H1674" s="51" t="str">
        <f>TEXT(tblLaborEntries[[#This Row],[Work date serial]]-WEEKDAY(tblLaborEntries[[#This Row],[Work date serial]],3),"yyyy-mm-dd")</f>
        <v>2025-12-01</v>
      </c>
      <c r="I1674" s="64">
        <f>DATEVALUE(tblLaborEntries[[#This Row],[Work date]])</f>
        <v>45992.0</v>
      </c>
    </row>
    <row r="1675" spans="1:9" ht="15" x14ac:dyDescent="0.25">
      <c r="A1675" s="53" t="inlineStr">
        <is>
          <t>LAB-001674</t>
        </is>
      </c>
      <c r="B1675" s="53" t="inlineStr">
        <is>
          <t>WP-00739</t>
        </is>
      </c>
      <c r="C1675" s="53" t="inlineStr">
        <is>
          <t>TECH-024</t>
        </is>
      </c>
      <c r="D1675" s="53" t="inlineStr">
        <is>
          <t>Powerplant</t>
        </is>
      </c>
      <c r="E1675" s="53" t="inlineStr">
        <is>
          <t>2024-05-01</t>
        </is>
      </c>
      <c r="F1675" s="53">
        <v>6.4</v>
      </c>
      <c r="G1675" s="53">
        <v>0</v>
      </c>
      <c r="H1675" s="51" t="str">
        <f>TEXT(tblLaborEntries[[#This Row],[Work date serial]]-WEEKDAY(tblLaborEntries[[#This Row],[Work date serial]],3),"yyyy-mm-dd")</f>
        <v>2024-04-29</v>
      </c>
      <c r="I1675" s="64">
        <f>DATEVALUE(tblLaborEntries[[#This Row],[Work date]])</f>
        <v>45413.0</v>
      </c>
    </row>
    <row r="1676" spans="1:9" ht="15" x14ac:dyDescent="0.25">
      <c r="A1676" s="53" t="inlineStr">
        <is>
          <t>LAB-001675</t>
        </is>
      </c>
      <c r="B1676" s="53" t="inlineStr">
        <is>
          <t>WP-00739</t>
        </is>
      </c>
      <c r="C1676" s="53" t="inlineStr">
        <is>
          <t>TECH-042</t>
        </is>
      </c>
      <c r="D1676" s="53" t="inlineStr">
        <is>
          <t>Powerplant</t>
        </is>
      </c>
      <c r="E1676" s="53" t="inlineStr">
        <is>
          <t>2024-05-02</t>
        </is>
      </c>
      <c r="F1676" s="53">
        <v>4.8</v>
      </c>
      <c r="G1676" s="53">
        <v>0</v>
      </c>
      <c r="H1676" s="51" t="str">
        <f>TEXT(tblLaborEntries[[#This Row],[Work date serial]]-WEEKDAY(tblLaborEntries[[#This Row],[Work date serial]],3),"yyyy-mm-dd")</f>
        <v>2024-04-29</v>
      </c>
      <c r="I1676" s="64">
        <f>DATEVALUE(tblLaborEntries[[#This Row],[Work date]])</f>
        <v>45414.0</v>
      </c>
    </row>
    <row r="1677" spans="1:9" ht="15" x14ac:dyDescent="0.25">
      <c r="A1677" s="53" t="inlineStr">
        <is>
          <t>LAB-001676</t>
        </is>
      </c>
      <c r="B1677" s="53" t="inlineStr">
        <is>
          <t>WP-00739</t>
        </is>
      </c>
      <c r="C1677" s="53" t="inlineStr">
        <is>
          <t>TECH-060</t>
        </is>
      </c>
      <c r="D1677" s="53" t="inlineStr">
        <is>
          <t>Powerplant</t>
        </is>
      </c>
      <c r="E1677" s="53" t="inlineStr">
        <is>
          <t>2024-05-03</t>
        </is>
      </c>
      <c r="F1677" s="53">
        <v>7.1</v>
      </c>
      <c r="G1677" s="53">
        <v>0</v>
      </c>
      <c r="H1677" s="51" t="str">
        <f>TEXT(tblLaborEntries[[#This Row],[Work date serial]]-WEEKDAY(tblLaborEntries[[#This Row],[Work date serial]],3),"yyyy-mm-dd")</f>
        <v>2024-04-29</v>
      </c>
      <c r="I1677" s="64">
        <f>DATEVALUE(tblLaborEntries[[#This Row],[Work date]])</f>
        <v>45415.0</v>
      </c>
    </row>
    <row r="1678" spans="1:9" ht="15" x14ac:dyDescent="0.25">
      <c r="A1678" s="53" t="inlineStr">
        <is>
          <t>LAB-001677</t>
        </is>
      </c>
      <c r="B1678" s="53" t="inlineStr">
        <is>
          <t>WP-00740</t>
        </is>
      </c>
      <c r="C1678" s="53" t="inlineStr">
        <is>
          <t>TECH-006</t>
        </is>
      </c>
      <c r="D1678" s="53" t="inlineStr">
        <is>
          <t>Powerplant</t>
        </is>
      </c>
      <c r="E1678" s="53" t="inlineStr">
        <is>
          <t>2024-12-10</t>
        </is>
      </c>
      <c r="F1678" s="53">
        <v>5.7</v>
      </c>
      <c r="G1678" s="53">
        <v>0</v>
      </c>
      <c r="H1678" s="51" t="str">
        <f>TEXT(tblLaborEntries[[#This Row],[Work date serial]]-WEEKDAY(tblLaborEntries[[#This Row],[Work date serial]],3),"yyyy-mm-dd")</f>
        <v>2024-12-09</v>
      </c>
      <c r="I1678" s="64">
        <f>DATEVALUE(tblLaborEntries[[#This Row],[Work date]])</f>
        <v>45636.0</v>
      </c>
    </row>
    <row r="1679" spans="1:9" ht="15" x14ac:dyDescent="0.25">
      <c r="A1679" s="53" t="inlineStr">
        <is>
          <t>LAB-001678</t>
        </is>
      </c>
      <c r="B1679" s="53" t="inlineStr">
        <is>
          <t>WP-00740</t>
        </is>
      </c>
      <c r="C1679" s="53" t="inlineStr">
        <is>
          <t>TECH-036</t>
        </is>
      </c>
      <c r="D1679" s="53" t="inlineStr">
        <is>
          <t>Powerplant</t>
        </is>
      </c>
      <c r="E1679" s="53" t="inlineStr">
        <is>
          <t>2024-12-10</t>
        </is>
      </c>
      <c r="F1679" s="53">
        <v>12</v>
      </c>
      <c r="G1679" s="53">
        <v>4</v>
      </c>
      <c r="H1679" s="51" t="str">
        <f>TEXT(tblLaborEntries[[#This Row],[Work date serial]]-WEEKDAY(tblLaborEntries[[#This Row],[Work date serial]],3),"yyyy-mm-dd")</f>
        <v>2024-12-09</v>
      </c>
      <c r="I1679" s="64">
        <f>DATEVALUE(tblLaborEntries[[#This Row],[Work date]])</f>
        <v>45636.0</v>
      </c>
    </row>
    <row r="1680" spans="1:9" ht="15" x14ac:dyDescent="0.25">
      <c r="A1680" s="53" t="inlineStr">
        <is>
          <t>LAB-001679</t>
        </is>
      </c>
      <c r="B1680" s="53" t="inlineStr">
        <is>
          <t>WP-00741</t>
        </is>
      </c>
      <c r="C1680" s="53" t="inlineStr">
        <is>
          <t>TECH-006</t>
        </is>
      </c>
      <c r="D1680" s="53" t="inlineStr">
        <is>
          <t>Powerplant</t>
        </is>
      </c>
      <c r="E1680" s="53" t="inlineStr">
        <is>
          <t>2024-11-18</t>
        </is>
      </c>
      <c r="F1680" s="53">
        <v>6.4</v>
      </c>
      <c r="G1680" s="53">
        <v>0</v>
      </c>
      <c r="H1680" s="51" t="str">
        <f>TEXT(tblLaborEntries[[#This Row],[Work date serial]]-WEEKDAY(tblLaborEntries[[#This Row],[Work date serial]],3),"yyyy-mm-dd")</f>
        <v>2024-11-18</v>
      </c>
      <c r="I1680" s="64">
        <f>DATEVALUE(tblLaborEntries[[#This Row],[Work date]])</f>
        <v>45614.0</v>
      </c>
    </row>
    <row r="1681" spans="1:9" ht="15" x14ac:dyDescent="0.25">
      <c r="A1681" s="53" t="inlineStr">
        <is>
          <t>LAB-001680</t>
        </is>
      </c>
      <c r="B1681" s="53" t="inlineStr">
        <is>
          <t>WP-00741</t>
        </is>
      </c>
      <c r="C1681" s="53" t="inlineStr">
        <is>
          <t>TECH-018</t>
        </is>
      </c>
      <c r="D1681" s="53" t="inlineStr">
        <is>
          <t>Powerplant</t>
        </is>
      </c>
      <c r="E1681" s="53" t="inlineStr">
        <is>
          <t>2024-11-18</t>
        </is>
      </c>
      <c r="F1681" s="53">
        <v>12</v>
      </c>
      <c r="G1681" s="53">
        <v>4</v>
      </c>
      <c r="H1681" s="51" t="str">
        <f>TEXT(tblLaborEntries[[#This Row],[Work date serial]]-WEEKDAY(tblLaborEntries[[#This Row],[Work date serial]],3),"yyyy-mm-dd")</f>
        <v>2024-11-18</v>
      </c>
      <c r="I1681" s="64">
        <f>DATEVALUE(tblLaborEntries[[#This Row],[Work date]])</f>
        <v>45614.0</v>
      </c>
    </row>
    <row r="1682" spans="1:9" ht="15" x14ac:dyDescent="0.25">
      <c r="A1682" s="53" t="inlineStr">
        <is>
          <t>LAB-001681</t>
        </is>
      </c>
      <c r="B1682" s="53" t="inlineStr">
        <is>
          <t>WP-00742</t>
        </is>
      </c>
      <c r="C1682" s="53" t="inlineStr">
        <is>
          <t>TECH-049</t>
        </is>
      </c>
      <c r="D1682" s="53" t="inlineStr">
        <is>
          <t>Airframe</t>
        </is>
      </c>
      <c r="E1682" s="53" t="inlineStr">
        <is>
          <t>2024-04-18</t>
        </is>
      </c>
      <c r="F1682" s="53">
        <v>1.2</v>
      </c>
      <c r="G1682" s="53">
        <v>0</v>
      </c>
      <c r="H1682" s="51" t="str">
        <f>TEXT(tblLaborEntries[[#This Row],[Work date serial]]-WEEKDAY(tblLaborEntries[[#This Row],[Work date serial]],3),"yyyy-mm-dd")</f>
        <v>2024-04-15</v>
      </c>
      <c r="I1682" s="64">
        <f>DATEVALUE(tblLaborEntries[[#This Row],[Work date]])</f>
        <v>45400.0</v>
      </c>
    </row>
    <row r="1683" spans="1:9" ht="15" x14ac:dyDescent="0.25">
      <c r="A1683" s="53" t="inlineStr">
        <is>
          <t>LAB-001682</t>
        </is>
      </c>
      <c r="B1683" s="53" t="inlineStr">
        <is>
          <t>WP-00742</t>
        </is>
      </c>
      <c r="C1683" s="53" t="inlineStr">
        <is>
          <t>TECH-019</t>
        </is>
      </c>
      <c r="D1683" s="53" t="inlineStr">
        <is>
          <t>Airframe</t>
        </is>
      </c>
      <c r="E1683" s="53" t="inlineStr">
        <is>
          <t>2024-04-19</t>
        </is>
      </c>
      <c r="F1683" s="53">
        <v>1.5</v>
      </c>
      <c r="G1683" s="53">
        <v>0</v>
      </c>
      <c r="H1683" s="51" t="str">
        <f>TEXT(tblLaborEntries[[#This Row],[Work date serial]]-WEEKDAY(tblLaborEntries[[#This Row],[Work date serial]],3),"yyyy-mm-dd")</f>
        <v>2024-04-15</v>
      </c>
      <c r="I1683" s="64">
        <f>DATEVALUE(tblLaborEntries[[#This Row],[Work date]])</f>
        <v>45401.0</v>
      </c>
    </row>
    <row r="1684" spans="1:9" ht="15" x14ac:dyDescent="0.25">
      <c r="A1684" s="53" t="inlineStr">
        <is>
          <t>LAB-001683</t>
        </is>
      </c>
      <c r="B1684" s="53" t="inlineStr">
        <is>
          <t>WP-00742</t>
        </is>
      </c>
      <c r="C1684" s="53" t="inlineStr">
        <is>
          <t>TECH-025</t>
        </is>
      </c>
      <c r="D1684" s="53" t="inlineStr">
        <is>
          <t>Airframe</t>
        </is>
      </c>
      <c r="E1684" s="53" t="inlineStr">
        <is>
          <t>2024-04-20</t>
        </is>
      </c>
      <c r="F1684" s="53">
        <v>1.3</v>
      </c>
      <c r="G1684" s="53">
        <v>0</v>
      </c>
      <c r="H1684" s="51" t="str">
        <f>TEXT(tblLaborEntries[[#This Row],[Work date serial]]-WEEKDAY(tblLaborEntries[[#This Row],[Work date serial]],3),"yyyy-mm-dd")</f>
        <v>2024-04-15</v>
      </c>
      <c r="I1684" s="64">
        <f>DATEVALUE(tblLaborEntries[[#This Row],[Work date]])</f>
        <v>45402.0</v>
      </c>
    </row>
    <row r="1685" spans="1:9" ht="15" x14ac:dyDescent="0.25">
      <c r="A1685" s="53" t="inlineStr">
        <is>
          <t>LAB-001684</t>
        </is>
      </c>
      <c r="B1685" s="53" t="inlineStr">
        <is>
          <t>WP-00743</t>
        </is>
      </c>
      <c r="C1685" s="53" t="inlineStr">
        <is>
          <t>TECH-057</t>
        </is>
      </c>
      <c r="D1685" s="53" t="inlineStr">
        <is>
          <t>Hydraulics</t>
        </is>
      </c>
      <c r="E1685" s="53" t="inlineStr">
        <is>
          <t>2025-11-16</t>
        </is>
      </c>
      <c r="F1685" s="53">
        <v>4.3</v>
      </c>
      <c r="G1685" s="53">
        <v>0</v>
      </c>
      <c r="H1685" s="51" t="str">
        <f>TEXT(tblLaborEntries[[#This Row],[Work date serial]]-WEEKDAY(tblLaborEntries[[#This Row],[Work date serial]],3),"yyyy-mm-dd")</f>
        <v>2025-11-10</v>
      </c>
      <c r="I1685" s="64">
        <f>DATEVALUE(tblLaborEntries[[#This Row],[Work date]])</f>
        <v>45977.0</v>
      </c>
    </row>
    <row r="1686" spans="1:9" ht="15" x14ac:dyDescent="0.25">
      <c r="A1686" s="53" t="inlineStr">
        <is>
          <t>LAB-001685</t>
        </is>
      </c>
      <c r="B1686" s="53" t="inlineStr">
        <is>
          <t>WP-00743</t>
        </is>
      </c>
      <c r="C1686" s="53" t="inlineStr">
        <is>
          <t>TECH-051</t>
        </is>
      </c>
      <c r="D1686" s="53" t="inlineStr">
        <is>
          <t>Hydraulics</t>
        </is>
      </c>
      <c r="E1686" s="53" t="inlineStr">
        <is>
          <t>2025-11-17</t>
        </is>
      </c>
      <c r="F1686" s="53">
        <v>3.7</v>
      </c>
      <c r="G1686" s="53">
        <v>0</v>
      </c>
      <c r="H1686" s="51" t="str">
        <f>TEXT(tblLaborEntries[[#This Row],[Work date serial]]-WEEKDAY(tblLaborEntries[[#This Row],[Work date serial]],3),"yyyy-mm-dd")</f>
        <v>2025-11-17</v>
      </c>
      <c r="I1686" s="64">
        <f>DATEVALUE(tblLaborEntries[[#This Row],[Work date]])</f>
        <v>45978.0</v>
      </c>
    </row>
    <row r="1687" spans="1:9" ht="15" x14ac:dyDescent="0.25">
      <c r="A1687" s="53" t="inlineStr">
        <is>
          <t>LAB-001686</t>
        </is>
      </c>
      <c r="B1687" s="53" t="inlineStr">
        <is>
          <t>WP-00743</t>
        </is>
      </c>
      <c r="C1687" s="53" t="inlineStr">
        <is>
          <t>TECH-063</t>
        </is>
      </c>
      <c r="D1687" s="53" t="inlineStr">
        <is>
          <t>Hydraulics</t>
        </is>
      </c>
      <c r="E1687" s="53" t="inlineStr">
        <is>
          <t>2025-11-18</t>
        </is>
      </c>
      <c r="F1687" s="53">
        <v>3.7</v>
      </c>
      <c r="G1687" s="53">
        <v>0</v>
      </c>
      <c r="H1687" s="51" t="str">
        <f>TEXT(tblLaborEntries[[#This Row],[Work date serial]]-WEEKDAY(tblLaborEntries[[#This Row],[Work date serial]],3),"yyyy-mm-dd")</f>
        <v>2025-11-17</v>
      </c>
      <c r="I1687" s="64">
        <f>DATEVALUE(tblLaborEntries[[#This Row],[Work date]])</f>
        <v>45979.0</v>
      </c>
    </row>
    <row r="1688" spans="1:9" ht="15" x14ac:dyDescent="0.25">
      <c r="A1688" s="53" t="inlineStr">
        <is>
          <t>LAB-001687</t>
        </is>
      </c>
      <c r="B1688" s="53" t="inlineStr">
        <is>
          <t>WP-00744</t>
        </is>
      </c>
      <c r="C1688" s="53" t="inlineStr">
        <is>
          <t>TECH-048</t>
        </is>
      </c>
      <c r="D1688" s="53" t="inlineStr">
        <is>
          <t>Powerplant</t>
        </is>
      </c>
      <c r="E1688" s="53" t="inlineStr">
        <is>
          <t>2024-05-21</t>
        </is>
      </c>
      <c r="F1688" s="53">
        <v>3.1</v>
      </c>
      <c r="G1688" s="53">
        <v>0</v>
      </c>
      <c r="H1688" s="51" t="str">
        <f>TEXT(tblLaborEntries[[#This Row],[Work date serial]]-WEEKDAY(tblLaborEntries[[#This Row],[Work date serial]],3),"yyyy-mm-dd")</f>
        <v>2024-05-20</v>
      </c>
      <c r="I1688" s="64">
        <f>DATEVALUE(tblLaborEntries[[#This Row],[Work date]])</f>
        <v>45433.0</v>
      </c>
    </row>
    <row r="1689" spans="1:9" ht="15" x14ac:dyDescent="0.25">
      <c r="A1689" s="53" t="inlineStr">
        <is>
          <t>LAB-001688</t>
        </is>
      </c>
      <c r="B1689" s="53" t="inlineStr">
        <is>
          <t>WP-00744</t>
        </is>
      </c>
      <c r="C1689" s="53" t="inlineStr">
        <is>
          <t>TECH-018</t>
        </is>
      </c>
      <c r="D1689" s="53" t="inlineStr">
        <is>
          <t>Powerplant</t>
        </is>
      </c>
      <c r="E1689" s="53" t="inlineStr">
        <is>
          <t>2024-05-22</t>
        </is>
      </c>
      <c r="F1689" s="53">
        <v>3.3</v>
      </c>
      <c r="G1689" s="53">
        <v>0</v>
      </c>
      <c r="H1689" s="51" t="str">
        <f>TEXT(tblLaborEntries[[#This Row],[Work date serial]]-WEEKDAY(tblLaborEntries[[#This Row],[Work date serial]],3),"yyyy-mm-dd")</f>
        <v>2024-05-20</v>
      </c>
      <c r="I1689" s="64">
        <f>DATEVALUE(tblLaborEntries[[#This Row],[Work date]])</f>
        <v>45434.0</v>
      </c>
    </row>
    <row r="1690" spans="1:9" ht="15" x14ac:dyDescent="0.25">
      <c r="A1690" s="53" t="inlineStr">
        <is>
          <t>LAB-001689</t>
        </is>
      </c>
      <c r="B1690" s="53" t="inlineStr">
        <is>
          <t>WP-00745</t>
        </is>
      </c>
      <c r="C1690" s="53" t="inlineStr">
        <is>
          <t>TECH-025</t>
        </is>
      </c>
      <c r="D1690" s="53" t="inlineStr">
        <is>
          <t>Airframe</t>
        </is>
      </c>
      <c r="E1690" s="53" t="inlineStr">
        <is>
          <t>2025-09-15</t>
        </is>
      </c>
      <c r="F1690" s="53">
        <v>4.5</v>
      </c>
      <c r="G1690" s="53">
        <v>0</v>
      </c>
      <c r="H1690" s="51" t="str">
        <f>TEXT(tblLaborEntries[[#This Row],[Work date serial]]-WEEKDAY(tblLaborEntries[[#This Row],[Work date serial]],3),"yyyy-mm-dd")</f>
        <v>2025-09-15</v>
      </c>
      <c r="I1690" s="64">
        <f>DATEVALUE(tblLaborEntries[[#This Row],[Work date]])</f>
        <v>45915.0</v>
      </c>
    </row>
    <row r="1691" spans="1:9" ht="15" x14ac:dyDescent="0.25">
      <c r="A1691" s="53" t="inlineStr">
        <is>
          <t>LAB-001690</t>
        </is>
      </c>
      <c r="B1691" s="53" t="inlineStr">
        <is>
          <t>WP-00746</t>
        </is>
      </c>
      <c r="C1691" s="53" t="inlineStr">
        <is>
          <t>TECH-001</t>
        </is>
      </c>
      <c r="D1691" s="53" t="inlineStr">
        <is>
          <t>Airframe</t>
        </is>
      </c>
      <c r="E1691" s="53" t="inlineStr">
        <is>
          <t>2025-04-04</t>
        </is>
      </c>
      <c r="F1691" s="53">
        <v>9.9</v>
      </c>
      <c r="G1691" s="53">
        <v>1.9</v>
      </c>
      <c r="H1691" s="51" t="str">
        <f>TEXT(tblLaborEntries[[#This Row],[Work date serial]]-WEEKDAY(tblLaborEntries[[#This Row],[Work date serial]],3),"yyyy-mm-dd")</f>
        <v>2025-03-31</v>
      </c>
      <c r="I1691" s="64">
        <f>DATEVALUE(tblLaborEntries[[#This Row],[Work date]])</f>
        <v>45751.0</v>
      </c>
    </row>
    <row r="1692" spans="1:9" ht="15" x14ac:dyDescent="0.25">
      <c r="A1692" s="53" t="inlineStr">
        <is>
          <t>LAB-001691</t>
        </is>
      </c>
      <c r="B1692" s="53" t="inlineStr">
        <is>
          <t>WP-00746</t>
        </is>
      </c>
      <c r="C1692" s="53" t="inlineStr">
        <is>
          <t>TECH-031</t>
        </is>
      </c>
      <c r="D1692" s="53" t="inlineStr">
        <is>
          <t>Airframe</t>
        </is>
      </c>
      <c r="E1692" s="53" t="inlineStr">
        <is>
          <t>2025-04-04</t>
        </is>
      </c>
      <c r="F1692" s="53">
        <v>12</v>
      </c>
      <c r="G1692" s="53">
        <v>4</v>
      </c>
      <c r="H1692" s="51" t="str">
        <f>TEXT(tblLaborEntries[[#This Row],[Work date serial]]-WEEKDAY(tblLaborEntries[[#This Row],[Work date serial]],3),"yyyy-mm-dd")</f>
        <v>2025-03-31</v>
      </c>
      <c r="I1692" s="64">
        <f>DATEVALUE(tblLaborEntries[[#This Row],[Work date]])</f>
        <v>45751.0</v>
      </c>
    </row>
    <row r="1693" spans="1:9" ht="15" x14ac:dyDescent="0.25">
      <c r="A1693" s="53" t="inlineStr">
        <is>
          <t>LAB-001692</t>
        </is>
      </c>
      <c r="B1693" s="53" t="inlineStr">
        <is>
          <t>WP-00747</t>
        </is>
      </c>
      <c r="C1693" s="53" t="inlineStr">
        <is>
          <t>TECH-030</t>
        </is>
      </c>
      <c r="D1693" s="53" t="inlineStr">
        <is>
          <t>Powerplant</t>
        </is>
      </c>
      <c r="E1693" s="53" t="inlineStr">
        <is>
          <t>2024-05-24</t>
        </is>
      </c>
      <c r="F1693" s="53">
        <v>2.6</v>
      </c>
      <c r="G1693" s="53">
        <v>0</v>
      </c>
      <c r="H1693" s="51" t="str">
        <f>TEXT(tblLaborEntries[[#This Row],[Work date serial]]-WEEKDAY(tblLaborEntries[[#This Row],[Work date serial]],3),"yyyy-mm-dd")</f>
        <v>2024-05-20</v>
      </c>
      <c r="I1693" s="64">
        <f>DATEVALUE(tblLaborEntries[[#This Row],[Work date]])</f>
        <v>45436.0</v>
      </c>
    </row>
    <row r="1694" spans="1:9" ht="15" x14ac:dyDescent="0.25">
      <c r="A1694" s="53" t="inlineStr">
        <is>
          <t>LAB-001693</t>
        </is>
      </c>
      <c r="B1694" s="53" t="inlineStr">
        <is>
          <t>WP-00747</t>
        </is>
      </c>
      <c r="C1694" s="53" t="inlineStr">
        <is>
          <t>TECH-048</t>
        </is>
      </c>
      <c r="D1694" s="53" t="inlineStr">
        <is>
          <t>Powerplant</t>
        </is>
      </c>
      <c r="E1694" s="53" t="inlineStr">
        <is>
          <t>2024-05-25</t>
        </is>
      </c>
      <c r="F1694" s="53">
        <v>3.4</v>
      </c>
      <c r="G1694" s="53">
        <v>0</v>
      </c>
      <c r="H1694" s="51" t="str">
        <f>TEXT(tblLaborEntries[[#This Row],[Work date serial]]-WEEKDAY(tblLaborEntries[[#This Row],[Work date serial]],3),"yyyy-mm-dd")</f>
        <v>2024-05-20</v>
      </c>
      <c r="I1694" s="64">
        <f>DATEVALUE(tblLaborEntries[[#This Row],[Work date]])</f>
        <v>45437.0</v>
      </c>
    </row>
    <row r="1695" spans="1:9" ht="15" x14ac:dyDescent="0.25">
      <c r="A1695" s="53" t="inlineStr">
        <is>
          <t>LAB-001694</t>
        </is>
      </c>
      <c r="B1695" s="53" t="inlineStr">
        <is>
          <t>WP-00748</t>
        </is>
      </c>
      <c r="C1695" s="53" t="inlineStr">
        <is>
          <t>TECH-002</t>
        </is>
      </c>
      <c r="D1695" s="53" t="inlineStr">
        <is>
          <t>Avionics</t>
        </is>
      </c>
      <c r="E1695" s="53" t="inlineStr">
        <is>
          <t>2025-03-21</t>
        </is>
      </c>
      <c r="F1695" s="53">
        <v>1.6</v>
      </c>
      <c r="G1695" s="53">
        <v>0</v>
      </c>
      <c r="H1695" s="51" t="str">
        <f>TEXT(tblLaborEntries[[#This Row],[Work date serial]]-WEEKDAY(tblLaborEntries[[#This Row],[Work date serial]],3),"yyyy-mm-dd")</f>
        <v>2025-03-17</v>
      </c>
      <c r="I1695" s="64">
        <f>DATEVALUE(tblLaborEntries[[#This Row],[Work date]])</f>
        <v>45737.0</v>
      </c>
    </row>
    <row r="1696" spans="1:9" ht="15" x14ac:dyDescent="0.25">
      <c r="A1696" s="53" t="inlineStr">
        <is>
          <t>LAB-001695</t>
        </is>
      </c>
      <c r="B1696" s="53" t="inlineStr">
        <is>
          <t>WP-00748</t>
        </is>
      </c>
      <c r="C1696" s="53" t="inlineStr">
        <is>
          <t>TECH-074</t>
        </is>
      </c>
      <c r="D1696" s="53" t="inlineStr">
        <is>
          <t>Avionics</t>
        </is>
      </c>
      <c r="E1696" s="53" t="inlineStr">
        <is>
          <t>2025-03-21</t>
        </is>
      </c>
      <c r="F1696" s="53">
        <v>12</v>
      </c>
      <c r="G1696" s="53">
        <v>4</v>
      </c>
      <c r="H1696" s="51" t="str">
        <f>TEXT(tblLaborEntries[[#This Row],[Work date serial]]-WEEKDAY(tblLaborEntries[[#This Row],[Work date serial]],3),"yyyy-mm-dd")</f>
        <v>2025-03-17</v>
      </c>
      <c r="I1696" s="64">
        <f>DATEVALUE(tblLaborEntries[[#This Row],[Work date]])</f>
        <v>45737.0</v>
      </c>
    </row>
    <row r="1697" spans="1:9" ht="15" x14ac:dyDescent="0.25">
      <c r="A1697" s="53" t="inlineStr">
        <is>
          <t>LAB-001696</t>
        </is>
      </c>
      <c r="B1697" s="53" t="inlineStr">
        <is>
          <t>WP-00748</t>
        </is>
      </c>
      <c r="C1697" s="53" t="inlineStr">
        <is>
          <t>TECH-002</t>
        </is>
      </c>
      <c r="D1697" s="53" t="inlineStr">
        <is>
          <t>Avionics</t>
        </is>
      </c>
      <c r="E1697" s="53" t="inlineStr">
        <is>
          <t>2025-03-22</t>
        </is>
      </c>
      <c r="F1697" s="53">
        <v>1.3</v>
      </c>
      <c r="G1697" s="53">
        <v>0</v>
      </c>
      <c r="H1697" s="51" t="str">
        <f>TEXT(tblLaborEntries[[#This Row],[Work date serial]]-WEEKDAY(tblLaborEntries[[#This Row],[Work date serial]],3),"yyyy-mm-dd")</f>
        <v>2025-03-17</v>
      </c>
      <c r="I1697" s="64">
        <f>DATEVALUE(tblLaborEntries[[#This Row],[Work date]])</f>
        <v>45738.0</v>
      </c>
    </row>
    <row r="1698" spans="1:9" ht="15" x14ac:dyDescent="0.25">
      <c r="A1698" s="53" t="inlineStr">
        <is>
          <t>LAB-001697</t>
        </is>
      </c>
      <c r="B1698" s="53" t="inlineStr">
        <is>
          <t>WP-00748</t>
        </is>
      </c>
      <c r="C1698" s="53" t="inlineStr">
        <is>
          <t>TECH-068</t>
        </is>
      </c>
      <c r="D1698" s="53" t="inlineStr">
        <is>
          <t>Avionics</t>
        </is>
      </c>
      <c r="E1698" s="53" t="inlineStr">
        <is>
          <t>2025-03-22</t>
        </is>
      </c>
      <c r="F1698" s="53">
        <v>12</v>
      </c>
      <c r="G1698" s="53">
        <v>4</v>
      </c>
      <c r="H1698" s="51" t="str">
        <f>TEXT(tblLaborEntries[[#This Row],[Work date serial]]-WEEKDAY(tblLaborEntries[[#This Row],[Work date serial]],3),"yyyy-mm-dd")</f>
        <v>2025-03-17</v>
      </c>
      <c r="I1698" s="64">
        <f>DATEVALUE(tblLaborEntries[[#This Row],[Work date]])</f>
        <v>45738.0</v>
      </c>
    </row>
    <row r="1699" spans="1:9" ht="15" x14ac:dyDescent="0.25">
      <c r="A1699" s="53" t="inlineStr">
        <is>
          <t>LAB-001698</t>
        </is>
      </c>
      <c r="B1699" s="53" t="inlineStr">
        <is>
          <t>WP-00749</t>
        </is>
      </c>
      <c r="C1699" s="53" t="inlineStr">
        <is>
          <t>TECH-051</t>
        </is>
      </c>
      <c r="D1699" s="53" t="inlineStr">
        <is>
          <t>Hydraulics</t>
        </is>
      </c>
      <c r="E1699" s="53" t="inlineStr">
        <is>
          <t>2025-11-24</t>
        </is>
      </c>
      <c r="F1699" s="53">
        <v>4.1</v>
      </c>
      <c r="G1699" s="53">
        <v>0</v>
      </c>
      <c r="H1699" s="51" t="str">
        <f>TEXT(tblLaborEntries[[#This Row],[Work date serial]]-WEEKDAY(tblLaborEntries[[#This Row],[Work date serial]],3),"yyyy-mm-dd")</f>
        <v>2025-11-24</v>
      </c>
      <c r="I1699" s="64">
        <f>DATEVALUE(tblLaborEntries[[#This Row],[Work date]])</f>
        <v>45985.0</v>
      </c>
    </row>
    <row r="1700" spans="1:9" ht="15" x14ac:dyDescent="0.25">
      <c r="A1700" s="53" t="inlineStr">
        <is>
          <t>LAB-001699</t>
        </is>
      </c>
      <c r="B1700" s="53" t="inlineStr">
        <is>
          <t>WP-00749</t>
        </is>
      </c>
      <c r="C1700" s="53" t="inlineStr">
        <is>
          <t>TECH-015</t>
        </is>
      </c>
      <c r="D1700" s="53" t="inlineStr">
        <is>
          <t>Hydraulics</t>
        </is>
      </c>
      <c r="E1700" s="53" t="inlineStr">
        <is>
          <t>2025-11-25</t>
        </is>
      </c>
      <c r="F1700" s="53">
        <v>4.5</v>
      </c>
      <c r="G1700" s="53">
        <v>0</v>
      </c>
      <c r="H1700" s="51" t="str">
        <f>TEXT(tblLaborEntries[[#This Row],[Work date serial]]-WEEKDAY(tblLaborEntries[[#This Row],[Work date serial]],3),"yyyy-mm-dd")</f>
        <v>2025-11-24</v>
      </c>
      <c r="I1700" s="64">
        <f>DATEVALUE(tblLaborEntries[[#This Row],[Work date]])</f>
        <v>45986.0</v>
      </c>
    </row>
    <row r="1701" spans="1:9" ht="15" x14ac:dyDescent="0.25">
      <c r="A1701" s="53" t="inlineStr">
        <is>
          <t>LAB-001700</t>
        </is>
      </c>
      <c r="B1701" s="53" t="inlineStr">
        <is>
          <t>WP-00749</t>
        </is>
      </c>
      <c r="C1701" s="53" t="inlineStr">
        <is>
          <t>TECH-069</t>
        </is>
      </c>
      <c r="D1701" s="53" t="inlineStr">
        <is>
          <t>Hydraulics</t>
        </is>
      </c>
      <c r="E1701" s="53" t="inlineStr">
        <is>
          <t>2025-11-26</t>
        </is>
      </c>
      <c r="F1701" s="53">
        <v>5.2</v>
      </c>
      <c r="G1701" s="53">
        <v>0</v>
      </c>
      <c r="H1701" s="51" t="str">
        <f>TEXT(tblLaborEntries[[#This Row],[Work date serial]]-WEEKDAY(tblLaborEntries[[#This Row],[Work date serial]],3),"yyyy-mm-dd")</f>
        <v>2025-11-24</v>
      </c>
      <c r="I1701" s="64">
        <f>DATEVALUE(tblLaborEntries[[#This Row],[Work date]])</f>
        <v>45987.0</v>
      </c>
    </row>
    <row r="1702" spans="1:9" ht="15" x14ac:dyDescent="0.25">
      <c r="A1702" s="53" t="inlineStr">
        <is>
          <t>LAB-001701</t>
        </is>
      </c>
      <c r="B1702" s="53" t="inlineStr">
        <is>
          <t>WP-00750</t>
        </is>
      </c>
      <c r="C1702" s="53" t="inlineStr">
        <is>
          <t>TECH-057</t>
        </is>
      </c>
      <c r="D1702" s="53" t="inlineStr">
        <is>
          <t>Hydraulics</t>
        </is>
      </c>
      <c r="E1702" s="53" t="inlineStr">
        <is>
          <t>2025-04-28</t>
        </is>
      </c>
      <c r="F1702" s="53">
        <v>5</v>
      </c>
      <c r="G1702" s="53">
        <v>0</v>
      </c>
      <c r="H1702" s="51" t="str">
        <f>TEXT(tblLaborEntries[[#This Row],[Work date serial]]-WEEKDAY(tblLaborEntries[[#This Row],[Work date serial]],3),"yyyy-mm-dd")</f>
        <v>2025-04-28</v>
      </c>
      <c r="I1702" s="64">
        <f>DATEVALUE(tblLaborEntries[[#This Row],[Work date]])</f>
        <v>45775.0</v>
      </c>
    </row>
    <row r="1703" spans="1:9" ht="15" x14ac:dyDescent="0.25">
      <c r="A1703" s="53" t="inlineStr">
        <is>
          <t>LAB-001702</t>
        </is>
      </c>
      <c r="B1703" s="53" t="inlineStr">
        <is>
          <t>WP-00750</t>
        </is>
      </c>
      <c r="C1703" s="53" t="inlineStr">
        <is>
          <t>TECH-027</t>
        </is>
      </c>
      <c r="D1703" s="53" t="inlineStr">
        <is>
          <t>Hydraulics</t>
        </is>
      </c>
      <c r="E1703" s="53" t="inlineStr">
        <is>
          <t>2025-04-29</t>
        </is>
      </c>
      <c r="F1703" s="53">
        <v>3.6</v>
      </c>
      <c r="G1703" s="53">
        <v>0</v>
      </c>
      <c r="H1703" s="51" t="str">
        <f>TEXT(tblLaborEntries[[#This Row],[Work date serial]]-WEEKDAY(tblLaborEntries[[#This Row],[Work date serial]],3),"yyyy-mm-dd")</f>
        <v>2025-04-28</v>
      </c>
      <c r="I1703" s="64">
        <f>DATEVALUE(tblLaborEntries[[#This Row],[Work date]])</f>
        <v>45776.0</v>
      </c>
    </row>
    <row r="1704" spans="1:9" ht="15" x14ac:dyDescent="0.25">
      <c r="A1704" s="53" t="inlineStr">
        <is>
          <t>LAB-001703</t>
        </is>
      </c>
      <c r="B1704" s="53" t="inlineStr">
        <is>
          <t>WP-00750</t>
        </is>
      </c>
      <c r="C1704" s="53" t="inlineStr">
        <is>
          <t>TECH-045</t>
        </is>
      </c>
      <c r="D1704" s="53" t="inlineStr">
        <is>
          <t>Hydraulics</t>
        </is>
      </c>
      <c r="E1704" s="53" t="inlineStr">
        <is>
          <t>2025-04-30</t>
        </is>
      </c>
      <c r="F1704" s="53">
        <v>5.1</v>
      </c>
      <c r="G1704" s="53">
        <v>0</v>
      </c>
      <c r="H1704" s="51" t="str">
        <f>TEXT(tblLaborEntries[[#This Row],[Work date serial]]-WEEKDAY(tblLaborEntries[[#This Row],[Work date serial]],3),"yyyy-mm-dd")</f>
        <v>2025-04-28</v>
      </c>
      <c r="I1704" s="64">
        <f>DATEVALUE(tblLaborEntries[[#This Row],[Work date]])</f>
        <v>45777.0</v>
      </c>
    </row>
    <row r="1705" spans="1:9" ht="15" x14ac:dyDescent="0.25">
      <c r="A1705" s="53" t="inlineStr">
        <is>
          <t>LAB-001704</t>
        </is>
      </c>
      <c r="B1705" s="53" t="inlineStr">
        <is>
          <t>WP-00751</t>
        </is>
      </c>
      <c r="C1705" s="53" t="inlineStr">
        <is>
          <t>TECH-006</t>
        </is>
      </c>
      <c r="D1705" s="53" t="inlineStr">
        <is>
          <t>Powerplant</t>
        </is>
      </c>
      <c r="E1705" s="53" t="inlineStr">
        <is>
          <t>2025-03-29</t>
        </is>
      </c>
      <c r="F1705" s="53">
        <v>1.1</v>
      </c>
      <c r="G1705" s="53">
        <v>0</v>
      </c>
      <c r="H1705" s="51" t="str">
        <f>TEXT(tblLaborEntries[[#This Row],[Work date serial]]-WEEKDAY(tblLaborEntries[[#This Row],[Work date serial]],3),"yyyy-mm-dd")</f>
        <v>2025-03-24</v>
      </c>
      <c r="I1705" s="64">
        <f>DATEVALUE(tblLaborEntries[[#This Row],[Work date]])</f>
        <v>45745.0</v>
      </c>
    </row>
    <row r="1706" spans="1:9" ht="15" x14ac:dyDescent="0.25">
      <c r="A1706" s="53" t="inlineStr">
        <is>
          <t>LAB-001705</t>
        </is>
      </c>
      <c r="B1706" s="53" t="inlineStr">
        <is>
          <t>WP-00751</t>
        </is>
      </c>
      <c r="C1706" s="53" t="inlineStr">
        <is>
          <t>TECH-018</t>
        </is>
      </c>
      <c r="D1706" s="53" t="inlineStr">
        <is>
          <t>Powerplant</t>
        </is>
      </c>
      <c r="E1706" s="53" t="inlineStr">
        <is>
          <t>2025-03-29</t>
        </is>
      </c>
      <c r="F1706" s="53">
        <v>12</v>
      </c>
      <c r="G1706" s="53">
        <v>4</v>
      </c>
      <c r="H1706" s="51" t="str">
        <f>TEXT(tblLaborEntries[[#This Row],[Work date serial]]-WEEKDAY(tblLaborEntries[[#This Row],[Work date serial]],3),"yyyy-mm-dd")</f>
        <v>2025-03-24</v>
      </c>
      <c r="I1706" s="64">
        <f>DATEVALUE(tblLaborEntries[[#This Row],[Work date]])</f>
        <v>45745.0</v>
      </c>
    </row>
    <row r="1707" spans="1:9" ht="15" x14ac:dyDescent="0.25">
      <c r="A1707" s="53" t="inlineStr">
        <is>
          <t>LAB-001706</t>
        </is>
      </c>
      <c r="B1707" s="53" t="inlineStr">
        <is>
          <t>WP-00751</t>
        </is>
      </c>
      <c r="C1707" s="53" t="inlineStr">
        <is>
          <t>TECH-006</t>
        </is>
      </c>
      <c r="D1707" s="53" t="inlineStr">
        <is>
          <t>Powerplant</t>
        </is>
      </c>
      <c r="E1707" s="53" t="inlineStr">
        <is>
          <t>2025-03-30</t>
        </is>
      </c>
      <c r="F1707" s="53">
        <v>9.7</v>
      </c>
      <c r="G1707" s="53">
        <v>1.7</v>
      </c>
      <c r="H1707" s="51" t="str">
        <f>TEXT(tblLaborEntries[[#This Row],[Work date serial]]-WEEKDAY(tblLaborEntries[[#This Row],[Work date serial]],3),"yyyy-mm-dd")</f>
        <v>2025-03-24</v>
      </c>
      <c r="I1707" s="64">
        <f>DATEVALUE(tblLaborEntries[[#This Row],[Work date]])</f>
        <v>45746.0</v>
      </c>
    </row>
    <row r="1708" spans="1:9" ht="15" x14ac:dyDescent="0.25">
      <c r="A1708" s="53" t="inlineStr">
        <is>
          <t>LAB-001707</t>
        </is>
      </c>
      <c r="B1708" s="53" t="inlineStr">
        <is>
          <t>WP-00752</t>
        </is>
      </c>
      <c r="C1708" s="53" t="inlineStr">
        <is>
          <t>TECH-048</t>
        </is>
      </c>
      <c r="D1708" s="53" t="inlineStr">
        <is>
          <t>Powerplant</t>
        </is>
      </c>
      <c r="E1708" s="53" t="inlineStr">
        <is>
          <t>2025-04-26</t>
        </is>
      </c>
      <c r="F1708" s="53">
        <v>9.6</v>
      </c>
      <c r="G1708" s="53">
        <v>1.6</v>
      </c>
      <c r="H1708" s="51" t="str">
        <f>TEXT(tblLaborEntries[[#This Row],[Work date serial]]-WEEKDAY(tblLaborEntries[[#This Row],[Work date serial]],3),"yyyy-mm-dd")</f>
        <v>2025-04-21</v>
      </c>
      <c r="I1708" s="64">
        <f>DATEVALUE(tblLaborEntries[[#This Row],[Work date]])</f>
        <v>45773.0</v>
      </c>
    </row>
    <row r="1709" spans="1:9" ht="15" x14ac:dyDescent="0.25">
      <c r="A1709" s="53" t="inlineStr">
        <is>
          <t>LAB-001708</t>
        </is>
      </c>
      <c r="B1709" s="53" t="inlineStr">
        <is>
          <t>WP-00752</t>
        </is>
      </c>
      <c r="C1709" s="53" t="inlineStr">
        <is>
          <t>TECH-054</t>
        </is>
      </c>
      <c r="D1709" s="53" t="inlineStr">
        <is>
          <t>Powerplant</t>
        </is>
      </c>
      <c r="E1709" s="53" t="inlineStr">
        <is>
          <t>2025-04-27</t>
        </is>
      </c>
      <c r="F1709" s="53">
        <v>9.4</v>
      </c>
      <c r="G1709" s="53">
        <v>1.4</v>
      </c>
      <c r="H1709" s="51" t="str">
        <f>TEXT(tblLaborEntries[[#This Row],[Work date serial]]-WEEKDAY(tblLaborEntries[[#This Row],[Work date serial]],3),"yyyy-mm-dd")</f>
        <v>2025-04-21</v>
      </c>
      <c r="I1709" s="64">
        <f>DATEVALUE(tblLaborEntries[[#This Row],[Work date]])</f>
        <v>45774.0</v>
      </c>
    </row>
    <row r="1710" spans="1:9" ht="15" x14ac:dyDescent="0.25">
      <c r="A1710" s="53" t="inlineStr">
        <is>
          <t>LAB-001709</t>
        </is>
      </c>
      <c r="B1710" s="53" t="inlineStr">
        <is>
          <t>WP-00753</t>
        </is>
      </c>
      <c r="C1710" s="53" t="inlineStr">
        <is>
          <t>TECH-046</t>
        </is>
      </c>
      <c r="D1710" s="53" t="inlineStr">
        <is>
          <t>Electrical</t>
        </is>
      </c>
      <c r="E1710" s="53" t="inlineStr">
        <is>
          <t>2025-02-20</t>
        </is>
      </c>
      <c r="F1710" s="53">
        <v>4.4</v>
      </c>
      <c r="G1710" s="53">
        <v>0</v>
      </c>
      <c r="H1710" s="51" t="str">
        <f>TEXT(tblLaborEntries[[#This Row],[Work date serial]]-WEEKDAY(tblLaborEntries[[#This Row],[Work date serial]],3),"yyyy-mm-dd")</f>
        <v>2025-02-17</v>
      </c>
      <c r="I1710" s="64">
        <f>DATEVALUE(tblLaborEntries[[#This Row],[Work date]])</f>
        <v>45708.0</v>
      </c>
    </row>
    <row r="1711" spans="1:9" ht="15" x14ac:dyDescent="0.25">
      <c r="A1711" s="53" t="inlineStr">
        <is>
          <t>LAB-001710</t>
        </is>
      </c>
      <c r="B1711" s="53" t="inlineStr">
        <is>
          <t>WP-00753</t>
        </is>
      </c>
      <c r="C1711" s="53" t="inlineStr">
        <is>
          <t>TECH-022</t>
        </is>
      </c>
      <c r="D1711" s="53" t="inlineStr">
        <is>
          <t>Electrical</t>
        </is>
      </c>
      <c r="E1711" s="53" t="inlineStr">
        <is>
          <t>2025-02-21</t>
        </is>
      </c>
      <c r="F1711" s="53">
        <v>3.4</v>
      </c>
      <c r="G1711" s="53">
        <v>0</v>
      </c>
      <c r="H1711" s="51" t="str">
        <f>TEXT(tblLaborEntries[[#This Row],[Work date serial]]-WEEKDAY(tblLaborEntries[[#This Row],[Work date serial]],3),"yyyy-mm-dd")</f>
        <v>2025-02-17</v>
      </c>
      <c r="I1711" s="64">
        <f>DATEVALUE(tblLaborEntries[[#This Row],[Work date]])</f>
        <v>45709.0</v>
      </c>
    </row>
    <row r="1712" spans="1:9" ht="15" x14ac:dyDescent="0.25">
      <c r="A1712" s="53" t="inlineStr">
        <is>
          <t>LAB-001711</t>
        </is>
      </c>
      <c r="B1712" s="53" t="inlineStr">
        <is>
          <t>WP-00754</t>
        </is>
      </c>
      <c r="C1712" s="53" t="inlineStr">
        <is>
          <t>TECH-007</t>
        </is>
      </c>
      <c r="D1712" s="53" t="inlineStr">
        <is>
          <t>Airframe</t>
        </is>
      </c>
      <c r="E1712" s="53" t="inlineStr">
        <is>
          <t>2026-01-01</t>
        </is>
      </c>
      <c r="F1712" s="53">
        <v>7.2</v>
      </c>
      <c r="G1712" s="53">
        <v>0</v>
      </c>
      <c r="H1712" s="51" t="str">
        <f>TEXT(tblLaborEntries[[#This Row],[Work date serial]]-WEEKDAY(tblLaborEntries[[#This Row],[Work date serial]],3),"yyyy-mm-dd")</f>
        <v>2025-12-29</v>
      </c>
      <c r="I1712" s="64">
        <f>DATEVALUE(tblLaborEntries[[#This Row],[Work date]])</f>
        <v>46023.0</v>
      </c>
    </row>
    <row r="1713" spans="1:9" ht="15" x14ac:dyDescent="0.25">
      <c r="A1713" s="53" t="inlineStr">
        <is>
          <t>LAB-001712</t>
        </is>
      </c>
      <c r="B1713" s="53" t="inlineStr">
        <is>
          <t>WP-00755</t>
        </is>
      </c>
      <c r="C1713" s="53" t="inlineStr">
        <is>
          <t>TECH-030</t>
        </is>
      </c>
      <c r="D1713" s="53" t="inlineStr">
        <is>
          <t>Powerplant</t>
        </is>
      </c>
      <c r="E1713" s="53" t="inlineStr">
        <is>
          <t>2025-03-25</t>
        </is>
      </c>
      <c r="F1713" s="53">
        <v>5.9</v>
      </c>
      <c r="G1713" s="53">
        <v>0</v>
      </c>
      <c r="H1713" s="51" t="str">
        <f>TEXT(tblLaborEntries[[#This Row],[Work date serial]]-WEEKDAY(tblLaborEntries[[#This Row],[Work date serial]],3),"yyyy-mm-dd")</f>
        <v>2025-03-24</v>
      </c>
      <c r="I1713" s="64">
        <f>DATEVALUE(tblLaborEntries[[#This Row],[Work date]])</f>
        <v>45741.0</v>
      </c>
    </row>
    <row r="1714" spans="1:9" ht="15" x14ac:dyDescent="0.25">
      <c r="A1714" s="53" t="inlineStr">
        <is>
          <t>LAB-001713</t>
        </is>
      </c>
      <c r="B1714" s="53" t="inlineStr">
        <is>
          <t>WP-00755</t>
        </is>
      </c>
      <c r="C1714" s="53" t="inlineStr">
        <is>
          <t>TECH-060</t>
        </is>
      </c>
      <c r="D1714" s="53" t="inlineStr">
        <is>
          <t>Powerplant</t>
        </is>
      </c>
      <c r="E1714" s="53" t="inlineStr">
        <is>
          <t>2025-03-26</t>
        </is>
      </c>
      <c r="F1714" s="53">
        <v>6.1</v>
      </c>
      <c r="G1714" s="53">
        <v>0</v>
      </c>
      <c r="H1714" s="51" t="str">
        <f>TEXT(tblLaborEntries[[#This Row],[Work date serial]]-WEEKDAY(tblLaborEntries[[#This Row],[Work date serial]],3),"yyyy-mm-dd")</f>
        <v>2025-03-24</v>
      </c>
      <c r="I1714" s="64">
        <f>DATEVALUE(tblLaborEntries[[#This Row],[Work date]])</f>
        <v>45742.0</v>
      </c>
    </row>
    <row r="1715" spans="1:9" ht="15" x14ac:dyDescent="0.25">
      <c r="A1715" s="53" t="inlineStr">
        <is>
          <t>LAB-001714</t>
        </is>
      </c>
      <c r="B1715" s="53" t="inlineStr">
        <is>
          <t>WP-00756</t>
        </is>
      </c>
      <c r="C1715" s="53" t="inlineStr">
        <is>
          <t>TECH-026</t>
        </is>
      </c>
      <c r="D1715" s="53" t="inlineStr">
        <is>
          <t>Avionics</t>
        </is>
      </c>
      <c r="E1715" s="53" t="inlineStr">
        <is>
          <t>2025-05-06</t>
        </is>
      </c>
      <c r="F1715" s="53">
        <v>2.5</v>
      </c>
      <c r="G1715" s="53">
        <v>0</v>
      </c>
      <c r="H1715" s="51" t="str">
        <f>TEXT(tblLaborEntries[[#This Row],[Work date serial]]-WEEKDAY(tblLaborEntries[[#This Row],[Work date serial]],3),"yyyy-mm-dd")</f>
        <v>2025-05-05</v>
      </c>
      <c r="I1715" s="64">
        <f>DATEVALUE(tblLaborEntries[[#This Row],[Work date]])</f>
        <v>45783.0</v>
      </c>
    </row>
    <row r="1716" spans="1:9" ht="15" x14ac:dyDescent="0.25">
      <c r="A1716" s="53" t="inlineStr">
        <is>
          <t>LAB-001715</t>
        </is>
      </c>
      <c r="B1716" s="53" t="inlineStr">
        <is>
          <t>WP-00756</t>
        </is>
      </c>
      <c r="C1716" s="53" t="inlineStr">
        <is>
          <t>TECH-050</t>
        </is>
      </c>
      <c r="D1716" s="53" t="inlineStr">
        <is>
          <t>Avionics</t>
        </is>
      </c>
      <c r="E1716" s="53" t="inlineStr">
        <is>
          <t>2025-05-07</t>
        </is>
      </c>
      <c r="F1716" s="53">
        <v>3.1</v>
      </c>
      <c r="G1716" s="53">
        <v>0</v>
      </c>
      <c r="H1716" s="51" t="str">
        <f>TEXT(tblLaborEntries[[#This Row],[Work date serial]]-WEEKDAY(tblLaborEntries[[#This Row],[Work date serial]],3),"yyyy-mm-dd")</f>
        <v>2025-05-05</v>
      </c>
      <c r="I1716" s="64">
        <f>DATEVALUE(tblLaborEntries[[#This Row],[Work date]])</f>
        <v>45784.0</v>
      </c>
    </row>
    <row r="1717" spans="1:9" ht="15" x14ac:dyDescent="0.25">
      <c r="A1717" s="53" t="inlineStr">
        <is>
          <t>LAB-001716</t>
        </is>
      </c>
      <c r="B1717" s="53" t="inlineStr">
        <is>
          <t>WP-00757</t>
        </is>
      </c>
      <c r="C1717" s="53" t="inlineStr">
        <is>
          <t>TECH-058</t>
        </is>
      </c>
      <c r="D1717" s="53" t="inlineStr">
        <is>
          <t>Electrical</t>
        </is>
      </c>
      <c r="E1717" s="53" t="inlineStr">
        <is>
          <t>2026-01-21</t>
        </is>
      </c>
      <c r="F1717" s="53">
        <v>1.9</v>
      </c>
      <c r="G1717" s="53">
        <v>0</v>
      </c>
      <c r="H1717" s="51" t="str">
        <f>TEXT(tblLaborEntries[[#This Row],[Work date serial]]-WEEKDAY(tblLaborEntries[[#This Row],[Work date serial]],3),"yyyy-mm-dd")</f>
        <v>2026-01-19</v>
      </c>
      <c r="I1717" s="64">
        <f>DATEVALUE(tblLaborEntries[[#This Row],[Work date]])</f>
        <v>46043.0</v>
      </c>
    </row>
    <row r="1718" spans="1:9" ht="15" x14ac:dyDescent="0.25">
      <c r="A1718" s="53" t="inlineStr">
        <is>
          <t>LAB-001717</t>
        </is>
      </c>
      <c r="B1718" s="53" t="inlineStr">
        <is>
          <t>WP-00757</t>
        </is>
      </c>
      <c r="C1718" s="53" t="inlineStr">
        <is>
          <t>TECH-022</t>
        </is>
      </c>
      <c r="D1718" s="53" t="inlineStr">
        <is>
          <t>Electrical</t>
        </is>
      </c>
      <c r="E1718" s="53" t="inlineStr">
        <is>
          <t>2026-01-22</t>
        </is>
      </c>
      <c r="F1718" s="53">
        <v>2</v>
      </c>
      <c r="G1718" s="53">
        <v>0</v>
      </c>
      <c r="H1718" s="51" t="str">
        <f>TEXT(tblLaborEntries[[#This Row],[Work date serial]]-WEEKDAY(tblLaborEntries[[#This Row],[Work date serial]],3),"yyyy-mm-dd")</f>
        <v>2026-01-19</v>
      </c>
      <c r="I1718" s="64">
        <f>DATEVALUE(tblLaborEntries[[#This Row],[Work date]])</f>
        <v>46044.0</v>
      </c>
    </row>
    <row r="1719" spans="1:9" ht="15" x14ac:dyDescent="0.25">
      <c r="A1719" s="53" t="inlineStr">
        <is>
          <t>LAB-001718</t>
        </is>
      </c>
      <c r="B1719" s="53" t="inlineStr">
        <is>
          <t>WP-00757</t>
        </is>
      </c>
      <c r="C1719" s="53" t="inlineStr">
        <is>
          <t>TECH-004</t>
        </is>
      </c>
      <c r="D1719" s="53" t="inlineStr">
        <is>
          <t>Electrical</t>
        </is>
      </c>
      <c r="E1719" s="53" t="inlineStr">
        <is>
          <t>2026-01-23</t>
        </is>
      </c>
      <c r="F1719" s="53">
        <v>1.9</v>
      </c>
      <c r="G1719" s="53">
        <v>0</v>
      </c>
      <c r="H1719" s="51" t="str">
        <f>TEXT(tblLaborEntries[[#This Row],[Work date serial]]-WEEKDAY(tblLaborEntries[[#This Row],[Work date serial]],3),"yyyy-mm-dd")</f>
        <v>2026-01-19</v>
      </c>
      <c r="I1719" s="64">
        <f>DATEVALUE(tblLaborEntries[[#This Row],[Work date]])</f>
        <v>46045.0</v>
      </c>
    </row>
    <row r="1720" spans="1:9" ht="15" x14ac:dyDescent="0.25">
      <c r="A1720" s="53" t="inlineStr">
        <is>
          <t>LAB-001719</t>
        </is>
      </c>
      <c r="B1720" s="53" t="inlineStr">
        <is>
          <t>WP-00758</t>
        </is>
      </c>
      <c r="C1720" s="53" t="inlineStr">
        <is>
          <t>TECH-064</t>
        </is>
      </c>
      <c r="D1720" s="53" t="inlineStr">
        <is>
          <t>Electrical</t>
        </is>
      </c>
      <c r="E1720" s="53" t="inlineStr">
        <is>
          <t>2024-03-26</t>
        </is>
      </c>
      <c r="F1720" s="53">
        <v>2.5</v>
      </c>
      <c r="G1720" s="53">
        <v>0</v>
      </c>
      <c r="H1720" s="51" t="str">
        <f>TEXT(tblLaborEntries[[#This Row],[Work date serial]]-WEEKDAY(tblLaborEntries[[#This Row],[Work date serial]],3),"yyyy-mm-dd")</f>
        <v>2024-03-25</v>
      </c>
      <c r="I1720" s="64">
        <f>DATEVALUE(tblLaborEntries[[#This Row],[Work date]])</f>
        <v>45377.0</v>
      </c>
    </row>
    <row r="1721" spans="1:9" ht="15" x14ac:dyDescent="0.25">
      <c r="A1721" s="53" t="inlineStr">
        <is>
          <t>LAB-001720</t>
        </is>
      </c>
      <c r="B1721" s="53" t="inlineStr">
        <is>
          <t>WP-00758</t>
        </is>
      </c>
      <c r="C1721" s="53" t="inlineStr">
        <is>
          <t>TECH-058</t>
        </is>
      </c>
      <c r="D1721" s="53" t="inlineStr">
        <is>
          <t>Electrical</t>
        </is>
      </c>
      <c r="E1721" s="53" t="inlineStr">
        <is>
          <t>2024-03-27</t>
        </is>
      </c>
      <c r="F1721" s="53">
        <v>2.7</v>
      </c>
      <c r="G1721" s="53">
        <v>0</v>
      </c>
      <c r="H1721" s="51" t="str">
        <f>TEXT(tblLaborEntries[[#This Row],[Work date serial]]-WEEKDAY(tblLaborEntries[[#This Row],[Work date serial]],3),"yyyy-mm-dd")</f>
        <v>2024-03-25</v>
      </c>
      <c r="I1721" s="64">
        <f>DATEVALUE(tblLaborEntries[[#This Row],[Work date]])</f>
        <v>45378.0</v>
      </c>
    </row>
    <row r="1722" spans="1:9" ht="15" x14ac:dyDescent="0.25">
      <c r="A1722" s="53" t="inlineStr">
        <is>
          <t>LAB-001721</t>
        </is>
      </c>
      <c r="B1722" s="53" t="inlineStr">
        <is>
          <t>WP-00758</t>
        </is>
      </c>
      <c r="C1722" s="53" t="inlineStr">
        <is>
          <t>TECH-040</t>
        </is>
      </c>
      <c r="D1722" s="53" t="inlineStr">
        <is>
          <t>Electrical</t>
        </is>
      </c>
      <c r="E1722" s="53" t="inlineStr">
        <is>
          <t>2024-03-28</t>
        </is>
      </c>
      <c r="F1722" s="53">
        <v>2.3</v>
      </c>
      <c r="G1722" s="53">
        <v>0</v>
      </c>
      <c r="H1722" s="51" t="str">
        <f>TEXT(tblLaborEntries[[#This Row],[Work date serial]]-WEEKDAY(tblLaborEntries[[#This Row],[Work date serial]],3),"yyyy-mm-dd")</f>
        <v>2024-03-25</v>
      </c>
      <c r="I1722" s="64">
        <f>DATEVALUE(tblLaborEntries[[#This Row],[Work date]])</f>
        <v>45379.0</v>
      </c>
    </row>
    <row r="1723" spans="1:9" ht="15" x14ac:dyDescent="0.25">
      <c r="A1723" s="53" t="inlineStr">
        <is>
          <t>LAB-001722</t>
        </is>
      </c>
      <c r="B1723" s="53" t="inlineStr">
        <is>
          <t>WP-00759</t>
        </is>
      </c>
      <c r="C1723" s="53" t="inlineStr">
        <is>
          <t>TECH-044</t>
        </is>
      </c>
      <c r="D1723" s="53" t="inlineStr">
        <is>
          <t>Avionics</t>
        </is>
      </c>
      <c r="E1723" s="53" t="inlineStr">
        <is>
          <t>2024-11-15</t>
        </is>
      </c>
      <c r="F1723" s="53">
        <v>2.3</v>
      </c>
      <c r="G1723" s="53">
        <v>0</v>
      </c>
      <c r="H1723" s="51" t="str">
        <f>TEXT(tblLaborEntries[[#This Row],[Work date serial]]-WEEKDAY(tblLaborEntries[[#This Row],[Work date serial]],3),"yyyy-mm-dd")</f>
        <v>2024-11-11</v>
      </c>
      <c r="I1723" s="64">
        <f>DATEVALUE(tblLaborEntries[[#This Row],[Work date]])</f>
        <v>45611.0</v>
      </c>
    </row>
    <row r="1724" spans="1:9" ht="15" x14ac:dyDescent="0.25">
      <c r="A1724" s="53" t="inlineStr">
        <is>
          <t>LAB-001723</t>
        </is>
      </c>
      <c r="B1724" s="53" t="inlineStr">
        <is>
          <t>WP-00759</t>
        </is>
      </c>
      <c r="C1724" s="53" t="inlineStr">
        <is>
          <t>TECH-074</t>
        </is>
      </c>
      <c r="D1724" s="53" t="inlineStr">
        <is>
          <t>Avionics</t>
        </is>
      </c>
      <c r="E1724" s="53" t="inlineStr">
        <is>
          <t>2024-11-16</t>
        </is>
      </c>
      <c r="F1724" s="53">
        <v>2.6</v>
      </c>
      <c r="G1724" s="53">
        <v>0</v>
      </c>
      <c r="H1724" s="51" t="str">
        <f>TEXT(tblLaborEntries[[#This Row],[Work date serial]]-WEEKDAY(tblLaborEntries[[#This Row],[Work date serial]],3),"yyyy-mm-dd")</f>
        <v>2024-11-11</v>
      </c>
      <c r="I1724" s="64">
        <f>DATEVALUE(tblLaborEntries[[#This Row],[Work date]])</f>
        <v>45612.0</v>
      </c>
    </row>
    <row r="1725" spans="1:9" ht="15" x14ac:dyDescent="0.25">
      <c r="A1725" s="53" t="inlineStr">
        <is>
          <t>LAB-001724</t>
        </is>
      </c>
      <c r="B1725" s="53" t="inlineStr">
        <is>
          <t>WP-00759</t>
        </is>
      </c>
      <c r="C1725" s="53" t="inlineStr">
        <is>
          <t>TECH-074</t>
        </is>
      </c>
      <c r="D1725" s="53" t="inlineStr">
        <is>
          <t>Avionics</t>
        </is>
      </c>
      <c r="E1725" s="53" t="inlineStr">
        <is>
          <t>2024-11-17</t>
        </is>
      </c>
      <c r="F1725" s="53">
        <v>3.4</v>
      </c>
      <c r="G1725" s="53">
        <v>0</v>
      </c>
      <c r="H1725" s="51" t="str">
        <f>TEXT(tblLaborEntries[[#This Row],[Work date serial]]-WEEKDAY(tblLaborEntries[[#This Row],[Work date serial]],3),"yyyy-mm-dd")</f>
        <v>2024-11-11</v>
      </c>
      <c r="I1725" s="64">
        <f>DATEVALUE(tblLaborEntries[[#This Row],[Work date]])</f>
        <v>45613.0</v>
      </c>
    </row>
    <row r="1726" spans="1:9" ht="15" x14ac:dyDescent="0.25">
      <c r="A1726" s="53" t="inlineStr">
        <is>
          <t>LAB-001725</t>
        </is>
      </c>
      <c r="B1726" s="53" t="inlineStr">
        <is>
          <t>WP-00760</t>
        </is>
      </c>
      <c r="C1726" s="53" t="inlineStr">
        <is>
          <t>TECH-008</t>
        </is>
      </c>
      <c r="D1726" s="53" t="inlineStr">
        <is>
          <t>Avionics</t>
        </is>
      </c>
      <c r="E1726" s="53" t="inlineStr">
        <is>
          <t>2025-08-12</t>
        </is>
      </c>
      <c r="F1726" s="53">
        <v>8.6</v>
      </c>
      <c r="G1726" s="53">
        <v>0.6</v>
      </c>
      <c r="H1726" s="51" t="str">
        <f>TEXT(tblLaborEntries[[#This Row],[Work date serial]]-WEEKDAY(tblLaborEntries[[#This Row],[Work date serial]],3),"yyyy-mm-dd")</f>
        <v>2025-08-11</v>
      </c>
      <c r="I1726" s="64">
        <f>DATEVALUE(tblLaborEntries[[#This Row],[Work date]])</f>
        <v>45881.0</v>
      </c>
    </row>
    <row r="1727" spans="1:9" ht="15" x14ac:dyDescent="0.25">
      <c r="A1727" s="53" t="inlineStr">
        <is>
          <t>LAB-001726</t>
        </is>
      </c>
      <c r="B1727" s="53" t="inlineStr">
        <is>
          <t>WP-00760</t>
        </is>
      </c>
      <c r="C1727" s="53" t="inlineStr">
        <is>
          <t>TECH-044</t>
        </is>
      </c>
      <c r="D1727" s="53" t="inlineStr">
        <is>
          <t>Avionics</t>
        </is>
      </c>
      <c r="E1727" s="53" t="inlineStr">
        <is>
          <t>2025-08-13</t>
        </is>
      </c>
      <c r="F1727" s="53">
        <v>11.1</v>
      </c>
      <c r="G1727" s="53">
        <v>3.1</v>
      </c>
      <c r="H1727" s="51" t="str">
        <f>TEXT(tblLaborEntries[[#This Row],[Work date serial]]-WEEKDAY(tblLaborEntries[[#This Row],[Work date serial]],3),"yyyy-mm-dd")</f>
        <v>2025-08-11</v>
      </c>
      <c r="I1727" s="64">
        <f>DATEVALUE(tblLaborEntries[[#This Row],[Work date]])</f>
        <v>45882.0</v>
      </c>
    </row>
    <row r="1728" spans="1:9" ht="15" x14ac:dyDescent="0.25">
      <c r="A1728" s="53" t="inlineStr">
        <is>
          <t>LAB-001727</t>
        </is>
      </c>
      <c r="B1728" s="53" t="inlineStr">
        <is>
          <t>WP-00761</t>
        </is>
      </c>
      <c r="C1728" s="53" t="inlineStr">
        <is>
          <t>TECH-033</t>
        </is>
      </c>
      <c r="D1728" s="53" t="inlineStr">
        <is>
          <t>Hydraulics</t>
        </is>
      </c>
      <c r="E1728" s="53" t="inlineStr">
        <is>
          <t>2025-11-18</t>
        </is>
      </c>
      <c r="F1728" s="53">
        <v>3.6</v>
      </c>
      <c r="G1728" s="53">
        <v>0</v>
      </c>
      <c r="H1728" s="51" t="str">
        <f>TEXT(tblLaborEntries[[#This Row],[Work date serial]]-WEEKDAY(tblLaborEntries[[#This Row],[Work date serial]],3),"yyyy-mm-dd")</f>
        <v>2025-11-17</v>
      </c>
      <c r="I1728" s="64">
        <f>DATEVALUE(tblLaborEntries[[#This Row],[Work date]])</f>
        <v>45979.0</v>
      </c>
    </row>
    <row r="1729" spans="1:9" ht="15" x14ac:dyDescent="0.25">
      <c r="A1729" s="53" t="inlineStr">
        <is>
          <t>LAB-001728</t>
        </is>
      </c>
      <c r="B1729" s="53" t="inlineStr">
        <is>
          <t>WP-00761</t>
        </is>
      </c>
      <c r="C1729" s="53" t="inlineStr">
        <is>
          <t>TECH-021</t>
        </is>
      </c>
      <c r="D1729" s="53" t="inlineStr">
        <is>
          <t>Hydraulics</t>
        </is>
      </c>
      <c r="E1729" s="53" t="inlineStr">
        <is>
          <t>2025-11-19</t>
        </is>
      </c>
      <c r="F1729" s="53">
        <v>3.5</v>
      </c>
      <c r="G1729" s="53">
        <v>0</v>
      </c>
      <c r="H1729" s="51" t="str">
        <f>TEXT(tblLaborEntries[[#This Row],[Work date serial]]-WEEKDAY(tblLaborEntries[[#This Row],[Work date serial]],3),"yyyy-mm-dd")</f>
        <v>2025-11-17</v>
      </c>
      <c r="I1729" s="64">
        <f>DATEVALUE(tblLaborEntries[[#This Row],[Work date]])</f>
        <v>45980.0</v>
      </c>
    </row>
    <row r="1730" spans="1:9" ht="15" x14ac:dyDescent="0.25">
      <c r="A1730" s="53" t="inlineStr">
        <is>
          <t>LAB-001729</t>
        </is>
      </c>
      <c r="B1730" s="53" t="inlineStr">
        <is>
          <t>WP-00761</t>
        </is>
      </c>
      <c r="C1730" s="53" t="inlineStr">
        <is>
          <t>TECH-027</t>
        </is>
      </c>
      <c r="D1730" s="53" t="inlineStr">
        <is>
          <t>Hydraulics</t>
        </is>
      </c>
      <c r="E1730" s="53" t="inlineStr">
        <is>
          <t>2025-11-20</t>
        </is>
      </c>
      <c r="F1730" s="53">
        <v>3.6</v>
      </c>
      <c r="G1730" s="53">
        <v>0</v>
      </c>
      <c r="H1730" s="51" t="str">
        <f>TEXT(tblLaborEntries[[#This Row],[Work date serial]]-WEEKDAY(tblLaborEntries[[#This Row],[Work date serial]],3),"yyyy-mm-dd")</f>
        <v>2025-11-17</v>
      </c>
      <c r="I1730" s="64">
        <f>DATEVALUE(tblLaborEntries[[#This Row],[Work date]])</f>
        <v>45981.0</v>
      </c>
    </row>
    <row r="1731" spans="1:9" ht="15" x14ac:dyDescent="0.25">
      <c r="A1731" s="53" t="inlineStr">
        <is>
          <t>LAB-001730</t>
        </is>
      </c>
      <c r="B1731" s="53" t="inlineStr">
        <is>
          <t>WP-00762</t>
        </is>
      </c>
      <c r="C1731" s="53" t="inlineStr">
        <is>
          <t>TECH-002</t>
        </is>
      </c>
      <c r="D1731" s="53" t="inlineStr">
        <is>
          <t>Avionics</t>
        </is>
      </c>
      <c r="E1731" s="53" t="inlineStr">
        <is>
          <t>2024-06-24</t>
        </is>
      </c>
      <c r="F1731" s="53">
        <v>5.1</v>
      </c>
      <c r="G1731" s="53">
        <v>0</v>
      </c>
      <c r="H1731" s="51" t="str">
        <f>TEXT(tblLaborEntries[[#This Row],[Work date serial]]-WEEKDAY(tblLaborEntries[[#This Row],[Work date serial]],3),"yyyy-mm-dd")</f>
        <v>2024-06-24</v>
      </c>
      <c r="I1731" s="64">
        <f>DATEVALUE(tblLaborEntries[[#This Row],[Work date]])</f>
        <v>45467.0</v>
      </c>
    </row>
    <row r="1732" spans="1:9" ht="15" x14ac:dyDescent="0.25">
      <c r="A1732" s="53" t="inlineStr">
        <is>
          <t>LAB-001731</t>
        </is>
      </c>
      <c r="B1732" s="53" t="inlineStr">
        <is>
          <t>WP-00762</t>
        </is>
      </c>
      <c r="C1732" s="53" t="inlineStr">
        <is>
          <t>TECH-038</t>
        </is>
      </c>
      <c r="D1732" s="53" t="inlineStr">
        <is>
          <t>Avionics</t>
        </is>
      </c>
      <c r="E1732" s="53" t="inlineStr">
        <is>
          <t>2024-06-24</t>
        </is>
      </c>
      <c r="F1732" s="53">
        <v>12</v>
      </c>
      <c r="G1732" s="53">
        <v>4</v>
      </c>
      <c r="H1732" s="51" t="str">
        <f>TEXT(tblLaborEntries[[#This Row],[Work date serial]]-WEEKDAY(tblLaborEntries[[#This Row],[Work date serial]],3),"yyyy-mm-dd")</f>
        <v>2024-06-24</v>
      </c>
      <c r="I1732" s="64">
        <f>DATEVALUE(tblLaborEntries[[#This Row],[Work date]])</f>
        <v>45467.0</v>
      </c>
    </row>
    <row r="1733" spans="1:9" ht="15" x14ac:dyDescent="0.25">
      <c r="A1733" s="53" t="inlineStr">
        <is>
          <t>LAB-001732</t>
        </is>
      </c>
      <c r="B1733" s="53" t="inlineStr">
        <is>
          <t>WP-00763</t>
        </is>
      </c>
      <c r="C1733" s="53" t="inlineStr">
        <is>
          <t>TECH-008</t>
        </is>
      </c>
      <c r="D1733" s="53" t="inlineStr">
        <is>
          <t>Avionics</t>
        </is>
      </c>
      <c r="E1733" s="53" t="inlineStr">
        <is>
          <t>2024-04-23</t>
        </is>
      </c>
      <c r="F1733" s="53">
        <v>1.9</v>
      </c>
      <c r="G1733" s="53">
        <v>0</v>
      </c>
      <c r="H1733" s="51" t="str">
        <f>TEXT(tblLaborEntries[[#This Row],[Work date serial]]-WEEKDAY(tblLaborEntries[[#This Row],[Work date serial]],3),"yyyy-mm-dd")</f>
        <v>2024-04-22</v>
      </c>
      <c r="I1733" s="64">
        <f>DATEVALUE(tblLaborEntries[[#This Row],[Work date]])</f>
        <v>45405.0</v>
      </c>
    </row>
    <row r="1734" spans="1:9" ht="15" x14ac:dyDescent="0.25">
      <c r="A1734" s="53" t="inlineStr">
        <is>
          <t>LAB-001733</t>
        </is>
      </c>
      <c r="B1734" s="53" t="inlineStr">
        <is>
          <t>WP-00763</t>
        </is>
      </c>
      <c r="C1734" s="53" t="inlineStr">
        <is>
          <t>TECH-044</t>
        </is>
      </c>
      <c r="D1734" s="53" t="inlineStr">
        <is>
          <t>Avionics</t>
        </is>
      </c>
      <c r="E1734" s="53" t="inlineStr">
        <is>
          <t>2024-04-24</t>
        </is>
      </c>
      <c r="F1734" s="53">
        <v>2.9</v>
      </c>
      <c r="G1734" s="53">
        <v>0</v>
      </c>
      <c r="H1734" s="51" t="str">
        <f>TEXT(tblLaborEntries[[#This Row],[Work date serial]]-WEEKDAY(tblLaborEntries[[#This Row],[Work date serial]],3),"yyyy-mm-dd")</f>
        <v>2024-04-22</v>
      </c>
      <c r="I1734" s="64">
        <f>DATEVALUE(tblLaborEntries[[#This Row],[Work date]])</f>
        <v>45406.0</v>
      </c>
    </row>
    <row r="1735" spans="1:9" ht="15" x14ac:dyDescent="0.25">
      <c r="A1735" s="53" t="inlineStr">
        <is>
          <t>LAB-001734</t>
        </is>
      </c>
      <c r="B1735" s="53" t="inlineStr">
        <is>
          <t>WP-00763</t>
        </is>
      </c>
      <c r="C1735" s="53" t="inlineStr">
        <is>
          <t>TECH-068</t>
        </is>
      </c>
      <c r="D1735" s="53" t="inlineStr">
        <is>
          <t>Avionics</t>
        </is>
      </c>
      <c r="E1735" s="53" t="inlineStr">
        <is>
          <t>2024-04-25</t>
        </is>
      </c>
      <c r="F1735" s="53">
        <v>2.1</v>
      </c>
      <c r="G1735" s="53">
        <v>0</v>
      </c>
      <c r="H1735" s="51" t="str">
        <f>TEXT(tblLaborEntries[[#This Row],[Work date serial]]-WEEKDAY(tblLaborEntries[[#This Row],[Work date serial]],3),"yyyy-mm-dd")</f>
        <v>2024-04-22</v>
      </c>
      <c r="I1735" s="64">
        <f>DATEVALUE(tblLaborEntries[[#This Row],[Work date]])</f>
        <v>45407.0</v>
      </c>
    </row>
    <row r="1736" spans="1:9" ht="15" x14ac:dyDescent="0.25">
      <c r="A1736" s="53" t="inlineStr">
        <is>
          <t>LAB-001735</t>
        </is>
      </c>
      <c r="B1736" s="53" t="inlineStr">
        <is>
          <t>WP-00764</t>
        </is>
      </c>
      <c r="C1736" s="53" t="inlineStr">
        <is>
          <t>TECH-006</t>
        </is>
      </c>
      <c r="D1736" s="53" t="inlineStr">
        <is>
          <t>Powerplant</t>
        </is>
      </c>
      <c r="E1736" s="53" t="inlineStr">
        <is>
          <t>2024-08-22</t>
        </is>
      </c>
      <c r="F1736" s="53">
        <v>2.8</v>
      </c>
      <c r="G1736" s="53">
        <v>0</v>
      </c>
      <c r="H1736" s="51" t="str">
        <f>TEXT(tblLaborEntries[[#This Row],[Work date serial]]-WEEKDAY(tblLaborEntries[[#This Row],[Work date serial]],3),"yyyy-mm-dd")</f>
        <v>2024-08-19</v>
      </c>
      <c r="I1736" s="64">
        <f>DATEVALUE(tblLaborEntries[[#This Row],[Work date]])</f>
        <v>45526.0</v>
      </c>
    </row>
    <row r="1737" spans="1:9" ht="15" x14ac:dyDescent="0.25">
      <c r="A1737" s="53" t="inlineStr">
        <is>
          <t>LAB-001736</t>
        </is>
      </c>
      <c r="B1737" s="53" t="inlineStr">
        <is>
          <t>WP-00764</t>
        </is>
      </c>
      <c r="C1737" s="53" t="inlineStr">
        <is>
          <t>TECH-060</t>
        </is>
      </c>
      <c r="D1737" s="53" t="inlineStr">
        <is>
          <t>Powerplant</t>
        </is>
      </c>
      <c r="E1737" s="53" t="inlineStr">
        <is>
          <t>2024-08-23</t>
        </is>
      </c>
      <c r="F1737" s="53">
        <v>3.6</v>
      </c>
      <c r="G1737" s="53">
        <v>0</v>
      </c>
      <c r="H1737" s="51" t="str">
        <f>TEXT(tblLaborEntries[[#This Row],[Work date serial]]-WEEKDAY(tblLaborEntries[[#This Row],[Work date serial]],3),"yyyy-mm-dd")</f>
        <v>2024-08-19</v>
      </c>
      <c r="I1737" s="64">
        <f>DATEVALUE(tblLaborEntries[[#This Row],[Work date]])</f>
        <v>45527.0</v>
      </c>
    </row>
    <row r="1738" spans="1:9" ht="15" x14ac:dyDescent="0.25">
      <c r="A1738" s="53" t="inlineStr">
        <is>
          <t>LAB-001737</t>
        </is>
      </c>
      <c r="B1738" s="53" t="inlineStr">
        <is>
          <t>WP-00764</t>
        </is>
      </c>
      <c r="C1738" s="53" t="inlineStr">
        <is>
          <t>TECH-006</t>
        </is>
      </c>
      <c r="D1738" s="53" t="inlineStr">
        <is>
          <t>Powerplant</t>
        </is>
      </c>
      <c r="E1738" s="53" t="inlineStr">
        <is>
          <t>2024-08-24</t>
        </is>
      </c>
      <c r="F1738" s="53">
        <v>2.7</v>
      </c>
      <c r="G1738" s="53">
        <v>0</v>
      </c>
      <c r="H1738" s="51" t="str">
        <f>TEXT(tblLaborEntries[[#This Row],[Work date serial]]-WEEKDAY(tblLaborEntries[[#This Row],[Work date serial]],3),"yyyy-mm-dd")</f>
        <v>2024-08-19</v>
      </c>
      <c r="I1738" s="64">
        <f>DATEVALUE(tblLaborEntries[[#This Row],[Work date]])</f>
        <v>45528.0</v>
      </c>
    </row>
    <row r="1739" spans="1:9" ht="15" x14ac:dyDescent="0.25">
      <c r="A1739" s="53" t="inlineStr">
        <is>
          <t>LAB-001738</t>
        </is>
      </c>
      <c r="B1739" s="53" t="inlineStr">
        <is>
          <t>WP-00765</t>
        </is>
      </c>
      <c r="C1739" s="53" t="inlineStr">
        <is>
          <t>TECH-007</t>
        </is>
      </c>
      <c r="D1739" s="53" t="inlineStr">
        <is>
          <t>Airframe</t>
        </is>
      </c>
      <c r="E1739" s="53" t="inlineStr">
        <is>
          <t>2024-08-08</t>
        </is>
      </c>
      <c r="F1739" s="53">
        <v>4.3</v>
      </c>
      <c r="G1739" s="53">
        <v>0</v>
      </c>
      <c r="H1739" s="51" t="str">
        <f>TEXT(tblLaborEntries[[#This Row],[Work date serial]]-WEEKDAY(tblLaborEntries[[#This Row],[Work date serial]],3),"yyyy-mm-dd")</f>
        <v>2024-08-05</v>
      </c>
      <c r="I1739" s="64">
        <f>DATEVALUE(tblLaborEntries[[#This Row],[Work date]])</f>
        <v>45512.0</v>
      </c>
    </row>
    <row r="1740" spans="1:9" ht="15" x14ac:dyDescent="0.25">
      <c r="A1740" s="53" t="inlineStr">
        <is>
          <t>LAB-001739</t>
        </is>
      </c>
      <c r="B1740" s="53" t="inlineStr">
        <is>
          <t>WP-00765</t>
        </is>
      </c>
      <c r="C1740" s="53" t="inlineStr">
        <is>
          <t>TECH-001</t>
        </is>
      </c>
      <c r="D1740" s="53" t="inlineStr">
        <is>
          <t>Airframe</t>
        </is>
      </c>
      <c r="E1740" s="53" t="inlineStr">
        <is>
          <t>2024-08-09</t>
        </is>
      </c>
      <c r="F1740" s="53">
        <v>6.4</v>
      </c>
      <c r="G1740" s="53">
        <v>0</v>
      </c>
      <c r="H1740" s="51" t="str">
        <f>TEXT(tblLaborEntries[[#This Row],[Work date serial]]-WEEKDAY(tblLaborEntries[[#This Row],[Work date serial]],3),"yyyy-mm-dd")</f>
        <v>2024-08-05</v>
      </c>
      <c r="I1740" s="64">
        <f>DATEVALUE(tblLaborEntries[[#This Row],[Work date]])</f>
        <v>45513.0</v>
      </c>
    </row>
    <row r="1741" spans="1:9" ht="15" x14ac:dyDescent="0.25">
      <c r="A1741" s="53" t="inlineStr">
        <is>
          <t>LAB-001740</t>
        </is>
      </c>
      <c r="B1741" s="53" t="inlineStr">
        <is>
          <t>WP-00766</t>
        </is>
      </c>
      <c r="C1741" s="53" t="inlineStr">
        <is>
          <t>TECH-001</t>
        </is>
      </c>
      <c r="D1741" s="53" t="inlineStr">
        <is>
          <t>Airframe</t>
        </is>
      </c>
      <c r="E1741" s="53" t="inlineStr">
        <is>
          <t>2025-05-19</t>
        </is>
      </c>
      <c r="F1741" s="53">
        <v>2.2</v>
      </c>
      <c r="G1741" s="53">
        <v>0</v>
      </c>
      <c r="H1741" s="51" t="str">
        <f>TEXT(tblLaborEntries[[#This Row],[Work date serial]]-WEEKDAY(tblLaborEntries[[#This Row],[Work date serial]],3),"yyyy-mm-dd")</f>
        <v>2025-05-19</v>
      </c>
      <c r="I1741" s="64">
        <f>DATEVALUE(tblLaborEntries[[#This Row],[Work date]])</f>
        <v>45796.0</v>
      </c>
    </row>
    <row r="1742" spans="1:9" ht="15" x14ac:dyDescent="0.25">
      <c r="A1742" s="53" t="inlineStr">
        <is>
          <t>LAB-001741</t>
        </is>
      </c>
      <c r="B1742" s="53" t="inlineStr">
        <is>
          <t>WP-00766</t>
        </is>
      </c>
      <c r="C1742" s="53" t="inlineStr">
        <is>
          <t>TECH-037</t>
        </is>
      </c>
      <c r="D1742" s="53" t="inlineStr">
        <is>
          <t>Airframe</t>
        </is>
      </c>
      <c r="E1742" s="53" t="inlineStr">
        <is>
          <t>2025-05-20</t>
        </is>
      </c>
      <c r="F1742" s="53">
        <v>3.2</v>
      </c>
      <c r="G1742" s="53">
        <v>0</v>
      </c>
      <c r="H1742" s="51" t="str">
        <f>TEXT(tblLaborEntries[[#This Row],[Work date serial]]-WEEKDAY(tblLaborEntries[[#This Row],[Work date serial]],3),"yyyy-mm-dd")</f>
        <v>2025-05-19</v>
      </c>
      <c r="I1742" s="64">
        <f>DATEVALUE(tblLaborEntries[[#This Row],[Work date]])</f>
        <v>45797.0</v>
      </c>
    </row>
    <row r="1743" spans="1:9" ht="15" x14ac:dyDescent="0.25">
      <c r="A1743" s="53" t="inlineStr">
        <is>
          <t>LAB-001742</t>
        </is>
      </c>
      <c r="B1743" s="53" t="inlineStr">
        <is>
          <t>WP-00767</t>
        </is>
      </c>
      <c r="C1743" s="53" t="inlineStr">
        <is>
          <t>TECH-024</t>
        </is>
      </c>
      <c r="D1743" s="53" t="inlineStr">
        <is>
          <t>Powerplant</t>
        </is>
      </c>
      <c r="E1743" s="53" t="inlineStr">
        <is>
          <t>2024-08-08</t>
        </is>
      </c>
      <c r="F1743" s="53">
        <v>7.2</v>
      </c>
      <c r="G1743" s="53">
        <v>0</v>
      </c>
      <c r="H1743" s="51" t="str">
        <f>TEXT(tblLaborEntries[[#This Row],[Work date serial]]-WEEKDAY(tblLaborEntries[[#This Row],[Work date serial]],3),"yyyy-mm-dd")</f>
        <v>2024-08-05</v>
      </c>
      <c r="I1743" s="64">
        <f>DATEVALUE(tblLaborEntries[[#This Row],[Work date]])</f>
        <v>45512.0</v>
      </c>
    </row>
    <row r="1744" spans="1:9" ht="15" x14ac:dyDescent="0.25">
      <c r="A1744" s="53" t="inlineStr">
        <is>
          <t>LAB-001743</t>
        </is>
      </c>
      <c r="B1744" s="53" t="inlineStr">
        <is>
          <t>WP-00768</t>
        </is>
      </c>
      <c r="C1744" s="53" t="inlineStr">
        <is>
          <t>TECH-043</t>
        </is>
      </c>
      <c r="D1744" s="53" t="inlineStr">
        <is>
          <t>Airframe</t>
        </is>
      </c>
      <c r="E1744" s="53" t="inlineStr">
        <is>
          <t>2025-09-01</t>
        </is>
      </c>
      <c r="F1744" s="53">
        <v>2.2</v>
      </c>
      <c r="G1744" s="53">
        <v>0</v>
      </c>
      <c r="H1744" s="51" t="str">
        <f>TEXT(tblLaborEntries[[#This Row],[Work date serial]]-WEEKDAY(tblLaborEntries[[#This Row],[Work date serial]],3),"yyyy-mm-dd")</f>
        <v>2025-09-01</v>
      </c>
      <c r="I1744" s="64">
        <f>DATEVALUE(tblLaborEntries[[#This Row],[Work date]])</f>
        <v>45901.0</v>
      </c>
    </row>
    <row r="1745" spans="1:9" ht="15" x14ac:dyDescent="0.25">
      <c r="A1745" s="53" t="inlineStr">
        <is>
          <t>LAB-001744</t>
        </is>
      </c>
      <c r="B1745" s="53" t="inlineStr">
        <is>
          <t>WP-00769</t>
        </is>
      </c>
      <c r="C1745" s="53" t="inlineStr">
        <is>
          <t>TECH-043</t>
        </is>
      </c>
      <c r="D1745" s="53" t="inlineStr">
        <is>
          <t>Airframe</t>
        </is>
      </c>
      <c r="E1745" s="53" t="inlineStr">
        <is>
          <t>2024-11-01</t>
        </is>
      </c>
      <c r="F1745" s="53">
        <v>3.9</v>
      </c>
      <c r="G1745" s="53">
        <v>0</v>
      </c>
      <c r="H1745" s="51" t="str">
        <f>TEXT(tblLaborEntries[[#This Row],[Work date serial]]-WEEKDAY(tblLaborEntries[[#This Row],[Work date serial]],3),"yyyy-mm-dd")</f>
        <v>2024-10-28</v>
      </c>
      <c r="I1745" s="64">
        <f>DATEVALUE(tblLaborEntries[[#This Row],[Work date]])</f>
        <v>45597.0</v>
      </c>
    </row>
    <row r="1746" spans="1:9" ht="15" x14ac:dyDescent="0.25">
      <c r="A1746" s="53" t="inlineStr">
        <is>
          <t>LAB-001745</t>
        </is>
      </c>
      <c r="B1746" s="53" t="inlineStr">
        <is>
          <t>WP-00770</t>
        </is>
      </c>
      <c r="C1746" s="53" t="inlineStr">
        <is>
          <t>TECH-061</t>
        </is>
      </c>
      <c r="D1746" s="53" t="inlineStr">
        <is>
          <t>Airframe</t>
        </is>
      </c>
      <c r="E1746" s="53" t="inlineStr">
        <is>
          <t>2025-10-14</t>
        </is>
      </c>
      <c r="F1746" s="53">
        <v>1.6</v>
      </c>
      <c r="G1746" s="53">
        <v>0</v>
      </c>
      <c r="H1746" s="51" t="str">
        <f>TEXT(tblLaborEntries[[#This Row],[Work date serial]]-WEEKDAY(tblLaborEntries[[#This Row],[Work date serial]],3),"yyyy-mm-dd")</f>
        <v>2025-10-13</v>
      </c>
      <c r="I1746" s="64">
        <f>DATEVALUE(tblLaborEntries[[#This Row],[Work date]])</f>
        <v>45944.0</v>
      </c>
    </row>
    <row r="1747" spans="1:9" ht="15" x14ac:dyDescent="0.25">
      <c r="A1747" s="53" t="inlineStr">
        <is>
          <t>LAB-001746</t>
        </is>
      </c>
      <c r="B1747" s="53" t="inlineStr">
        <is>
          <t>WP-00770</t>
        </is>
      </c>
      <c r="C1747" s="53" t="inlineStr">
        <is>
          <t>TECH-007</t>
        </is>
      </c>
      <c r="D1747" s="53" t="inlineStr">
        <is>
          <t>Airframe</t>
        </is>
      </c>
      <c r="E1747" s="53" t="inlineStr">
        <is>
          <t>2025-10-15</t>
        </is>
      </c>
      <c r="F1747" s="53">
        <v>2.1</v>
      </c>
      <c r="G1747" s="53">
        <v>0</v>
      </c>
      <c r="H1747" s="51" t="str">
        <f>TEXT(tblLaborEntries[[#This Row],[Work date serial]]-WEEKDAY(tblLaborEntries[[#This Row],[Work date serial]],3),"yyyy-mm-dd")</f>
        <v>2025-10-13</v>
      </c>
      <c r="I1747" s="64">
        <f>DATEVALUE(tblLaborEntries[[#This Row],[Work date]])</f>
        <v>45945.0</v>
      </c>
    </row>
    <row r="1748" spans="1:9" ht="15" x14ac:dyDescent="0.25">
      <c r="A1748" s="53" t="inlineStr">
        <is>
          <t>LAB-001747</t>
        </is>
      </c>
      <c r="B1748" s="53" t="inlineStr">
        <is>
          <t>WP-00771</t>
        </is>
      </c>
      <c r="C1748" s="53" t="inlineStr">
        <is>
          <t>TECH-055</t>
        </is>
      </c>
      <c r="D1748" s="53" t="inlineStr">
        <is>
          <t>Airframe</t>
        </is>
      </c>
      <c r="E1748" s="53" t="inlineStr">
        <is>
          <t>2025-02-02</t>
        </is>
      </c>
      <c r="F1748" s="53">
        <v>4.7</v>
      </c>
      <c r="G1748" s="53">
        <v>0</v>
      </c>
      <c r="H1748" s="51" t="str">
        <f>TEXT(tblLaborEntries[[#This Row],[Work date serial]]-WEEKDAY(tblLaborEntries[[#This Row],[Work date serial]],3),"yyyy-mm-dd")</f>
        <v>2025-01-27</v>
      </c>
      <c r="I1748" s="64">
        <f>DATEVALUE(tblLaborEntries[[#This Row],[Work date]])</f>
        <v>45690.0</v>
      </c>
    </row>
    <row r="1749" spans="1:9" ht="15" x14ac:dyDescent="0.25">
      <c r="A1749" s="53" t="inlineStr">
        <is>
          <t>LAB-001748</t>
        </is>
      </c>
      <c r="B1749" s="53" t="inlineStr">
        <is>
          <t>WP-00771</t>
        </is>
      </c>
      <c r="C1749" s="53" t="inlineStr">
        <is>
          <t>TECH-019</t>
        </is>
      </c>
      <c r="D1749" s="53" t="inlineStr">
        <is>
          <t>Airframe</t>
        </is>
      </c>
      <c r="E1749" s="53" t="inlineStr">
        <is>
          <t>2025-02-03</t>
        </is>
      </c>
      <c r="F1749" s="53">
        <v>6</v>
      </c>
      <c r="G1749" s="53">
        <v>0</v>
      </c>
      <c r="H1749" s="51" t="str">
        <f>TEXT(tblLaborEntries[[#This Row],[Work date serial]]-WEEKDAY(tblLaborEntries[[#This Row],[Work date serial]],3),"yyyy-mm-dd")</f>
        <v>2025-02-03</v>
      </c>
      <c r="I1749" s="64">
        <f>DATEVALUE(tblLaborEntries[[#This Row],[Work date]])</f>
        <v>45691.0</v>
      </c>
    </row>
    <row r="1750" spans="1:9" ht="15" x14ac:dyDescent="0.25">
      <c r="A1750" s="53" t="inlineStr">
        <is>
          <t>LAB-001749</t>
        </is>
      </c>
      <c r="B1750" s="53" t="inlineStr">
        <is>
          <t>WP-00772</t>
        </is>
      </c>
      <c r="C1750" s="53" t="inlineStr">
        <is>
          <t>TECH-037</t>
        </is>
      </c>
      <c r="D1750" s="53" t="inlineStr">
        <is>
          <t>Airframe</t>
        </is>
      </c>
      <c r="E1750" s="53" t="inlineStr">
        <is>
          <t>2025-03-23</t>
        </is>
      </c>
      <c r="F1750" s="53">
        <v>2.8</v>
      </c>
      <c r="G1750" s="53">
        <v>0</v>
      </c>
      <c r="H1750" s="51" t="str">
        <f>TEXT(tblLaborEntries[[#This Row],[Work date serial]]-WEEKDAY(tblLaborEntries[[#This Row],[Work date serial]],3),"yyyy-mm-dd")</f>
        <v>2025-03-17</v>
      </c>
      <c r="I1750" s="64">
        <f>DATEVALUE(tblLaborEntries[[#This Row],[Work date]])</f>
        <v>45739.0</v>
      </c>
    </row>
    <row r="1751" spans="1:9" ht="15" x14ac:dyDescent="0.25">
      <c r="A1751" s="53" t="inlineStr">
        <is>
          <t>LAB-001750</t>
        </is>
      </c>
      <c r="B1751" s="53" t="inlineStr">
        <is>
          <t>WP-00772</t>
        </is>
      </c>
      <c r="C1751" s="53" t="inlineStr">
        <is>
          <t>TECH-007</t>
        </is>
      </c>
      <c r="D1751" s="53" t="inlineStr">
        <is>
          <t>Airframe</t>
        </is>
      </c>
      <c r="E1751" s="53" t="inlineStr">
        <is>
          <t>2025-03-24</t>
        </is>
      </c>
      <c r="F1751" s="53">
        <v>3.6</v>
      </c>
      <c r="G1751" s="53">
        <v>0</v>
      </c>
      <c r="H1751" s="51" t="str">
        <f>TEXT(tblLaborEntries[[#This Row],[Work date serial]]-WEEKDAY(tblLaborEntries[[#This Row],[Work date serial]],3),"yyyy-mm-dd")</f>
        <v>2025-03-24</v>
      </c>
      <c r="I1751" s="64">
        <f>DATEVALUE(tblLaborEntries[[#This Row],[Work date]])</f>
        <v>45740.0</v>
      </c>
    </row>
    <row r="1752" spans="1:9" ht="15" x14ac:dyDescent="0.25">
      <c r="A1752" s="53" t="inlineStr">
        <is>
          <t>LAB-001751</t>
        </is>
      </c>
      <c r="B1752" s="53" t="inlineStr">
        <is>
          <t>WP-00773</t>
        </is>
      </c>
      <c r="C1752" s="53" t="inlineStr">
        <is>
          <t>TECH-032</t>
        </is>
      </c>
      <c r="D1752" s="53" t="inlineStr">
        <is>
          <t>Avionics</t>
        </is>
      </c>
      <c r="E1752" s="53" t="inlineStr">
        <is>
          <t>2024-06-25</t>
        </is>
      </c>
      <c r="F1752" s="53">
        <v>3.8</v>
      </c>
      <c r="G1752" s="53">
        <v>0</v>
      </c>
      <c r="H1752" s="51" t="str">
        <f>TEXT(tblLaborEntries[[#This Row],[Work date serial]]-WEEKDAY(tblLaborEntries[[#This Row],[Work date serial]],3),"yyyy-mm-dd")</f>
        <v>2024-06-24</v>
      </c>
      <c r="I1752" s="64">
        <f>DATEVALUE(tblLaborEntries[[#This Row],[Work date]])</f>
        <v>45468.0</v>
      </c>
    </row>
    <row r="1753" spans="1:9" ht="15" x14ac:dyDescent="0.25">
      <c r="A1753" s="53" t="inlineStr">
        <is>
          <t>LAB-001752</t>
        </is>
      </c>
      <c r="B1753" s="53" t="inlineStr">
        <is>
          <t>WP-00773</t>
        </is>
      </c>
      <c r="C1753" s="53" t="inlineStr">
        <is>
          <t>TECH-050</t>
        </is>
      </c>
      <c r="D1753" s="53" t="inlineStr">
        <is>
          <t>Avionics</t>
        </is>
      </c>
      <c r="E1753" s="53" t="inlineStr">
        <is>
          <t>2024-06-26</t>
        </is>
      </c>
      <c r="F1753" s="53">
        <v>4</v>
      </c>
      <c r="G1753" s="53">
        <v>0</v>
      </c>
      <c r="H1753" s="51" t="str">
        <f>TEXT(tblLaborEntries[[#This Row],[Work date serial]]-WEEKDAY(tblLaborEntries[[#This Row],[Work date serial]],3),"yyyy-mm-dd")</f>
        <v>2024-06-24</v>
      </c>
      <c r="I1753" s="64">
        <f>DATEVALUE(tblLaborEntries[[#This Row],[Work date]])</f>
        <v>45469.0</v>
      </c>
    </row>
    <row r="1754" spans="1:9" ht="15" x14ac:dyDescent="0.25">
      <c r="A1754" s="53" t="inlineStr">
        <is>
          <t>LAB-001753</t>
        </is>
      </c>
      <c r="B1754" s="53" t="inlineStr">
        <is>
          <t>WP-00774</t>
        </is>
      </c>
      <c r="C1754" s="53" t="inlineStr">
        <is>
          <t>TECH-052</t>
        </is>
      </c>
      <c r="D1754" s="53" t="inlineStr">
        <is>
          <t>Electrical</t>
        </is>
      </c>
      <c r="E1754" s="53" t="inlineStr">
        <is>
          <t>2024-08-04</t>
        </is>
      </c>
      <c r="F1754" s="53">
        <v>3.8</v>
      </c>
      <c r="G1754" s="53">
        <v>0</v>
      </c>
      <c r="H1754" s="51" t="str">
        <f>TEXT(tblLaborEntries[[#This Row],[Work date serial]]-WEEKDAY(tblLaborEntries[[#This Row],[Work date serial]],3),"yyyy-mm-dd")</f>
        <v>2024-07-29</v>
      </c>
      <c r="I1754" s="64">
        <f>DATEVALUE(tblLaborEntries[[#This Row],[Work date]])</f>
        <v>45508.0</v>
      </c>
    </row>
    <row r="1755" spans="1:9" ht="15" x14ac:dyDescent="0.25">
      <c r="A1755" s="53" t="inlineStr">
        <is>
          <t>LAB-001754</t>
        </is>
      </c>
      <c r="B1755" s="53" t="inlineStr">
        <is>
          <t>WP-00774</t>
        </is>
      </c>
      <c r="C1755" s="53" t="inlineStr">
        <is>
          <t>TECH-034</t>
        </is>
      </c>
      <c r="D1755" s="53" t="inlineStr">
        <is>
          <t>Electrical</t>
        </is>
      </c>
      <c r="E1755" s="53" t="inlineStr">
        <is>
          <t>2024-08-05</t>
        </is>
      </c>
      <c r="F1755" s="53">
        <v>3.4</v>
      </c>
      <c r="G1755" s="53">
        <v>0</v>
      </c>
      <c r="H1755" s="51" t="str">
        <f>TEXT(tblLaborEntries[[#This Row],[Work date serial]]-WEEKDAY(tblLaborEntries[[#This Row],[Work date serial]],3),"yyyy-mm-dd")</f>
        <v>2024-08-05</v>
      </c>
      <c r="I1755" s="64">
        <f>DATEVALUE(tblLaborEntries[[#This Row],[Work date]])</f>
        <v>45509.0</v>
      </c>
    </row>
    <row r="1756" spans="1:9" ht="15" x14ac:dyDescent="0.25">
      <c r="A1756" s="53" t="inlineStr">
        <is>
          <t>LAB-001755</t>
        </is>
      </c>
      <c r="B1756" s="53" t="inlineStr">
        <is>
          <t>WP-00774</t>
        </is>
      </c>
      <c r="C1756" s="53" t="inlineStr">
        <is>
          <t>TECH-004</t>
        </is>
      </c>
      <c r="D1756" s="53" t="inlineStr">
        <is>
          <t>Electrical</t>
        </is>
      </c>
      <c r="E1756" s="53" t="inlineStr">
        <is>
          <t>2024-08-06</t>
        </is>
      </c>
      <c r="F1756" s="53">
        <v>2.6</v>
      </c>
      <c r="G1756" s="53">
        <v>0</v>
      </c>
      <c r="H1756" s="51" t="str">
        <f>TEXT(tblLaborEntries[[#This Row],[Work date serial]]-WEEKDAY(tblLaborEntries[[#This Row],[Work date serial]],3),"yyyy-mm-dd")</f>
        <v>2024-08-05</v>
      </c>
      <c r="I1756" s="64">
        <f>DATEVALUE(tblLaborEntries[[#This Row],[Work date]])</f>
        <v>45510.0</v>
      </c>
    </row>
    <row r="1757" spans="1:9" ht="15" x14ac:dyDescent="0.25">
      <c r="A1757" s="53" t="inlineStr">
        <is>
          <t>LAB-001756</t>
        </is>
      </c>
      <c r="B1757" s="53" t="inlineStr">
        <is>
          <t>WP-00775</t>
        </is>
      </c>
      <c r="C1757" s="53" t="inlineStr">
        <is>
          <t>TECH-041</t>
        </is>
      </c>
      <c r="D1757" s="53" t="inlineStr">
        <is>
          <t>Structures</t>
        </is>
      </c>
      <c r="E1757" s="53" t="inlineStr">
        <is>
          <t>2024-12-14</t>
        </is>
      </c>
      <c r="F1757" s="53">
        <v>7.1</v>
      </c>
      <c r="G1757" s="53">
        <v>0</v>
      </c>
      <c r="H1757" s="51" t="str">
        <f>TEXT(tblLaborEntries[[#This Row],[Work date serial]]-WEEKDAY(tblLaborEntries[[#This Row],[Work date serial]],3),"yyyy-mm-dd")</f>
        <v>2024-12-09</v>
      </c>
      <c r="I1757" s="64">
        <f>DATEVALUE(tblLaborEntries[[#This Row],[Work date]])</f>
        <v>45640.0</v>
      </c>
    </row>
    <row r="1758" spans="1:9" ht="15" x14ac:dyDescent="0.25">
      <c r="A1758" s="53" t="inlineStr">
        <is>
          <t>LAB-001757</t>
        </is>
      </c>
      <c r="B1758" s="53" t="inlineStr">
        <is>
          <t>WP-00775</t>
        </is>
      </c>
      <c r="C1758" s="53" t="inlineStr">
        <is>
          <t>TECH-011</t>
        </is>
      </c>
      <c r="D1758" s="53" t="inlineStr">
        <is>
          <t>Structures</t>
        </is>
      </c>
      <c r="E1758" s="53" t="inlineStr">
        <is>
          <t>2024-12-15</t>
        </is>
      </c>
      <c r="F1758" s="53">
        <v>4.4</v>
      </c>
      <c r="G1758" s="53">
        <v>0</v>
      </c>
      <c r="H1758" s="51" t="str">
        <f>TEXT(tblLaborEntries[[#This Row],[Work date serial]]-WEEKDAY(tblLaborEntries[[#This Row],[Work date serial]],3),"yyyy-mm-dd")</f>
        <v>2024-12-09</v>
      </c>
      <c r="I1758" s="64">
        <f>DATEVALUE(tblLaborEntries[[#This Row],[Work date]])</f>
        <v>45641.0</v>
      </c>
    </row>
    <row r="1759" spans="1:9" ht="15" x14ac:dyDescent="0.25">
      <c r="A1759" s="53" t="inlineStr">
        <is>
          <t>LAB-001758</t>
        </is>
      </c>
      <c r="B1759" s="53" t="inlineStr">
        <is>
          <t>WP-00775</t>
        </is>
      </c>
      <c r="C1759" s="53" t="inlineStr">
        <is>
          <t>TECH-053</t>
        </is>
      </c>
      <c r="D1759" s="53" t="inlineStr">
        <is>
          <t>Structures</t>
        </is>
      </c>
      <c r="E1759" s="53" t="inlineStr">
        <is>
          <t>2024-12-16</t>
        </is>
      </c>
      <c r="F1759" s="53">
        <v>6.8</v>
      </c>
      <c r="G1759" s="53">
        <v>0</v>
      </c>
      <c r="H1759" s="51" t="str">
        <f>TEXT(tblLaborEntries[[#This Row],[Work date serial]]-WEEKDAY(tblLaborEntries[[#This Row],[Work date serial]],3),"yyyy-mm-dd")</f>
        <v>2024-12-16</v>
      </c>
      <c r="I1759" s="64">
        <f>DATEVALUE(tblLaborEntries[[#This Row],[Work date]])</f>
        <v>45642.0</v>
      </c>
    </row>
    <row r="1760" spans="1:9" ht="15" x14ac:dyDescent="0.25">
      <c r="A1760" s="53" t="inlineStr">
        <is>
          <t>LAB-001759</t>
        </is>
      </c>
      <c r="B1760" s="53" t="inlineStr">
        <is>
          <t>WP-00776</t>
        </is>
      </c>
      <c r="C1760" s="53" t="inlineStr">
        <is>
          <t>TECH-005</t>
        </is>
      </c>
      <c r="D1760" s="53" t="inlineStr">
        <is>
          <t>Structures</t>
        </is>
      </c>
      <c r="E1760" s="53" t="inlineStr">
        <is>
          <t>2024-03-08</t>
        </is>
      </c>
      <c r="F1760" s="53">
        <v>12</v>
      </c>
      <c r="G1760" s="53">
        <v>4</v>
      </c>
      <c r="H1760" s="51" t="str">
        <f>TEXT(tblLaborEntries[[#This Row],[Work date serial]]-WEEKDAY(tblLaborEntries[[#This Row],[Work date serial]],3),"yyyy-mm-dd")</f>
        <v>2024-03-04</v>
      </c>
      <c r="I1760" s="64">
        <f>DATEVALUE(tblLaborEntries[[#This Row],[Work date]])</f>
        <v>45359.0</v>
      </c>
    </row>
    <row r="1761" spans="1:9" ht="15" x14ac:dyDescent="0.25">
      <c r="A1761" s="53" t="inlineStr">
        <is>
          <t>LAB-001760</t>
        </is>
      </c>
      <c r="B1761" s="53" t="inlineStr">
        <is>
          <t>WP-00776</t>
        </is>
      </c>
      <c r="C1761" s="53" t="inlineStr">
        <is>
          <t>TECH-011</t>
        </is>
      </c>
      <c r="D1761" s="53" t="inlineStr">
        <is>
          <t>Structures</t>
        </is>
      </c>
      <c r="E1761" s="53" t="inlineStr">
        <is>
          <t>2024-03-08</t>
        </is>
      </c>
      <c r="F1761" s="53">
        <v>7.8</v>
      </c>
      <c r="G1761" s="53">
        <v>0</v>
      </c>
      <c r="H1761" s="51" t="str">
        <f>TEXT(tblLaborEntries[[#This Row],[Work date serial]]-WEEKDAY(tblLaborEntries[[#This Row],[Work date serial]],3),"yyyy-mm-dd")</f>
        <v>2024-03-04</v>
      </c>
      <c r="I1761" s="64">
        <f>DATEVALUE(tblLaborEntries[[#This Row],[Work date]])</f>
        <v>45359.0</v>
      </c>
    </row>
    <row r="1762" spans="1:9" ht="15" x14ac:dyDescent="0.25">
      <c r="A1762" s="53" t="inlineStr">
        <is>
          <t>LAB-001761</t>
        </is>
      </c>
      <c r="B1762" s="53" t="inlineStr">
        <is>
          <t>WP-00776</t>
        </is>
      </c>
      <c r="C1762" s="53" t="inlineStr">
        <is>
          <t>TECH-053</t>
        </is>
      </c>
      <c r="D1762" s="53" t="inlineStr">
        <is>
          <t>Structures</t>
        </is>
      </c>
      <c r="E1762" s="53" t="inlineStr">
        <is>
          <t>2024-03-08</t>
        </is>
      </c>
      <c r="F1762" s="53">
        <v>12</v>
      </c>
      <c r="G1762" s="53">
        <v>4</v>
      </c>
      <c r="H1762" s="51" t="str">
        <f>TEXT(tblLaborEntries[[#This Row],[Work date serial]]-WEEKDAY(tblLaborEntries[[#This Row],[Work date serial]],3),"yyyy-mm-dd")</f>
        <v>2024-03-04</v>
      </c>
      <c r="I1762" s="64">
        <f>DATEVALUE(tblLaborEntries[[#This Row],[Work date]])</f>
        <v>45359.0</v>
      </c>
    </row>
    <row r="1763" spans="1:9" ht="15" x14ac:dyDescent="0.25">
      <c r="A1763" s="53" t="inlineStr">
        <is>
          <t>LAB-001762</t>
        </is>
      </c>
      <c r="B1763" s="53" t="inlineStr">
        <is>
          <t>WP-00777</t>
        </is>
      </c>
      <c r="C1763" s="53" t="inlineStr">
        <is>
          <t>TECH-032</t>
        </is>
      </c>
      <c r="D1763" s="53" t="inlineStr">
        <is>
          <t>Avionics</t>
        </is>
      </c>
      <c r="E1763" s="53" t="inlineStr">
        <is>
          <t>2025-06-23</t>
        </is>
      </c>
      <c r="F1763" s="53">
        <v>10</v>
      </c>
      <c r="G1763" s="53">
        <v>2</v>
      </c>
      <c r="H1763" s="51" t="str">
        <f>TEXT(tblLaborEntries[[#This Row],[Work date serial]]-WEEKDAY(tblLaborEntries[[#This Row],[Work date serial]],3),"yyyy-mm-dd")</f>
        <v>2025-06-23</v>
      </c>
      <c r="I1763" s="64">
        <f>DATEVALUE(tblLaborEntries[[#This Row],[Work date]])</f>
        <v>45831.0</v>
      </c>
    </row>
    <row r="1764" spans="1:9" ht="15" x14ac:dyDescent="0.25">
      <c r="A1764" s="53" t="inlineStr">
        <is>
          <t>LAB-001763</t>
        </is>
      </c>
      <c r="B1764" s="53" t="inlineStr">
        <is>
          <t>WP-00778</t>
        </is>
      </c>
      <c r="C1764" s="53" t="inlineStr">
        <is>
          <t>TECH-012</t>
        </is>
      </c>
      <c r="D1764" s="53" t="inlineStr">
        <is>
          <t>Powerplant</t>
        </is>
      </c>
      <c r="E1764" s="53" t="inlineStr">
        <is>
          <t>2025-02-05</t>
        </is>
      </c>
      <c r="F1764" s="53">
        <v>2.2</v>
      </c>
      <c r="G1764" s="53">
        <v>0</v>
      </c>
      <c r="H1764" s="51" t="str">
        <f>TEXT(tblLaborEntries[[#This Row],[Work date serial]]-WEEKDAY(tblLaborEntries[[#This Row],[Work date serial]],3),"yyyy-mm-dd")</f>
        <v>2025-02-03</v>
      </c>
      <c r="I1764" s="64">
        <f>DATEVALUE(tblLaborEntries[[#This Row],[Work date]])</f>
        <v>45693.0</v>
      </c>
    </row>
    <row r="1765" spans="1:9" ht="15" x14ac:dyDescent="0.25">
      <c r="A1765" s="53" t="inlineStr">
        <is>
          <t>LAB-001764</t>
        </is>
      </c>
      <c r="B1765" s="53" t="inlineStr">
        <is>
          <t>WP-00778</t>
        </is>
      </c>
      <c r="C1765" s="53" t="inlineStr">
        <is>
          <t>TECH-036</t>
        </is>
      </c>
      <c r="D1765" s="53" t="inlineStr">
        <is>
          <t>Powerplant</t>
        </is>
      </c>
      <c r="E1765" s="53" t="inlineStr">
        <is>
          <t>2025-02-05</t>
        </is>
      </c>
      <c r="F1765" s="53">
        <v>12</v>
      </c>
      <c r="G1765" s="53">
        <v>4</v>
      </c>
      <c r="H1765" s="51" t="str">
        <f>TEXT(tblLaborEntries[[#This Row],[Work date serial]]-WEEKDAY(tblLaborEntries[[#This Row],[Work date serial]],3),"yyyy-mm-dd")</f>
        <v>2025-02-03</v>
      </c>
      <c r="I1765" s="64">
        <f>DATEVALUE(tblLaborEntries[[#This Row],[Work date]])</f>
        <v>45693.0</v>
      </c>
    </row>
    <row r="1766" spans="1:9" ht="15" x14ac:dyDescent="0.25">
      <c r="A1766" s="53" t="inlineStr">
        <is>
          <t>LAB-001765</t>
        </is>
      </c>
      <c r="B1766" s="53" t="inlineStr">
        <is>
          <t>WP-00779</t>
        </is>
      </c>
      <c r="C1766" s="53" t="inlineStr">
        <is>
          <t>TECH-005</t>
        </is>
      </c>
      <c r="D1766" s="53" t="inlineStr">
        <is>
          <t>Structures</t>
        </is>
      </c>
      <c r="E1766" s="53" t="inlineStr">
        <is>
          <t>2025-12-31</t>
        </is>
      </c>
      <c r="F1766" s="53">
        <v>6.1</v>
      </c>
      <c r="G1766" s="53">
        <v>0</v>
      </c>
      <c r="H1766" s="51" t="str">
        <f>TEXT(tblLaborEntries[[#This Row],[Work date serial]]-WEEKDAY(tblLaborEntries[[#This Row],[Work date serial]],3),"yyyy-mm-dd")</f>
        <v>2025-12-29</v>
      </c>
      <c r="I1766" s="64">
        <f>DATEVALUE(tblLaborEntries[[#This Row],[Work date]])</f>
        <v>46022.0</v>
      </c>
    </row>
    <row r="1767" spans="1:9" ht="15" x14ac:dyDescent="0.25">
      <c r="A1767" s="53" t="inlineStr">
        <is>
          <t>LAB-001766</t>
        </is>
      </c>
      <c r="B1767" s="53" t="inlineStr">
        <is>
          <t>WP-00779</t>
        </is>
      </c>
      <c r="C1767" s="53" t="inlineStr">
        <is>
          <t>TECH-053</t>
        </is>
      </c>
      <c r="D1767" s="53" t="inlineStr">
        <is>
          <t>Structures</t>
        </is>
      </c>
      <c r="E1767" s="53" t="inlineStr">
        <is>
          <t>2025-12-31</t>
        </is>
      </c>
      <c r="F1767" s="53">
        <v>12</v>
      </c>
      <c r="G1767" s="53">
        <v>4</v>
      </c>
      <c r="H1767" s="51" t="str">
        <f>TEXT(tblLaborEntries[[#This Row],[Work date serial]]-WEEKDAY(tblLaborEntries[[#This Row],[Work date serial]],3),"yyyy-mm-dd")</f>
        <v>2025-12-29</v>
      </c>
      <c r="I1767" s="64">
        <f>DATEVALUE(tblLaborEntries[[#This Row],[Work date]])</f>
        <v>46022.0</v>
      </c>
    </row>
    <row r="1768" spans="1:9" ht="15" x14ac:dyDescent="0.25">
      <c r="A1768" s="53" t="inlineStr">
        <is>
          <t>LAB-001767</t>
        </is>
      </c>
      <c r="B1768" s="53" t="inlineStr">
        <is>
          <t>WP-00779</t>
        </is>
      </c>
      <c r="C1768" s="53" t="inlineStr">
        <is>
          <t>TECH-005</t>
        </is>
      </c>
      <c r="D1768" s="53" t="inlineStr">
        <is>
          <t>Structures</t>
        </is>
      </c>
      <c r="E1768" s="53" t="inlineStr">
        <is>
          <t>2026-01-01</t>
        </is>
      </c>
      <c r="F1768" s="53">
        <v>12</v>
      </c>
      <c r="G1768" s="53">
        <v>4</v>
      </c>
      <c r="H1768" s="51" t="str">
        <f>TEXT(tblLaborEntries[[#This Row],[Work date serial]]-WEEKDAY(tblLaborEntries[[#This Row],[Work date serial]],3),"yyyy-mm-dd")</f>
        <v>2025-12-29</v>
      </c>
      <c r="I1768" s="64">
        <f>DATEVALUE(tblLaborEntries[[#This Row],[Work date]])</f>
        <v>46023.0</v>
      </c>
    </row>
    <row r="1769" spans="1:9" ht="15" x14ac:dyDescent="0.25">
      <c r="A1769" s="53" t="inlineStr">
        <is>
          <t>LAB-001768</t>
        </is>
      </c>
      <c r="B1769" s="53" t="inlineStr">
        <is>
          <t>WP-00779</t>
        </is>
      </c>
      <c r="C1769" s="53" t="inlineStr">
        <is>
          <t>TECH-011</t>
        </is>
      </c>
      <c r="D1769" s="53" t="inlineStr">
        <is>
          <t>Structures</t>
        </is>
      </c>
      <c r="E1769" s="53" t="inlineStr">
        <is>
          <t>2026-01-01</t>
        </is>
      </c>
      <c r="F1769" s="53">
        <v>1.4</v>
      </c>
      <c r="G1769" s="53">
        <v>0</v>
      </c>
      <c r="H1769" s="51" t="str">
        <f>TEXT(tblLaborEntries[[#This Row],[Work date serial]]-WEEKDAY(tblLaborEntries[[#This Row],[Work date serial]],3),"yyyy-mm-dd")</f>
        <v>2025-12-29</v>
      </c>
      <c r="I1769" s="64">
        <f>DATEVALUE(tblLaborEntries[[#This Row],[Work date]])</f>
        <v>46023.0</v>
      </c>
    </row>
    <row r="1770" spans="1:9" ht="15" x14ac:dyDescent="0.25">
      <c r="A1770" s="53" t="inlineStr">
        <is>
          <t>LAB-001769</t>
        </is>
      </c>
      <c r="B1770" s="53" t="inlineStr">
        <is>
          <t>WP-00779</t>
        </is>
      </c>
      <c r="C1770" s="53" t="inlineStr">
        <is>
          <t>TECH-017</t>
        </is>
      </c>
      <c r="D1770" s="53" t="inlineStr">
        <is>
          <t>Structures</t>
        </is>
      </c>
      <c r="E1770" s="53" t="inlineStr">
        <is>
          <t>2026-01-01</t>
        </is>
      </c>
      <c r="F1770" s="53">
        <v>12</v>
      </c>
      <c r="G1770" s="53">
        <v>4</v>
      </c>
      <c r="H1770" s="51" t="str">
        <f>TEXT(tblLaborEntries[[#This Row],[Work date serial]]-WEEKDAY(tblLaborEntries[[#This Row],[Work date serial]],3),"yyyy-mm-dd")</f>
        <v>2025-12-29</v>
      </c>
      <c r="I1770" s="64">
        <f>DATEVALUE(tblLaborEntries[[#This Row],[Work date]])</f>
        <v>46023.0</v>
      </c>
    </row>
    <row r="1771" spans="1:9" ht="15" x14ac:dyDescent="0.25">
      <c r="A1771" s="53" t="inlineStr">
        <is>
          <t>LAB-001770</t>
        </is>
      </c>
      <c r="B1771" s="53" t="inlineStr">
        <is>
          <t>WP-00780</t>
        </is>
      </c>
      <c r="C1771" s="53" t="inlineStr">
        <is>
          <t>TECH-061</t>
        </is>
      </c>
      <c r="D1771" s="53" t="inlineStr">
        <is>
          <t>Airframe</t>
        </is>
      </c>
      <c r="E1771" s="53" t="inlineStr">
        <is>
          <t>2024-03-05</t>
        </is>
      </c>
      <c r="F1771" s="53">
        <v>4.5</v>
      </c>
      <c r="G1771" s="53">
        <v>0</v>
      </c>
      <c r="H1771" s="51" t="str">
        <f>TEXT(tblLaborEntries[[#This Row],[Work date serial]]-WEEKDAY(tblLaborEntries[[#This Row],[Work date serial]],3),"yyyy-mm-dd")</f>
        <v>2024-03-04</v>
      </c>
      <c r="I1771" s="64">
        <f>DATEVALUE(tblLaborEntries[[#This Row],[Work date]])</f>
        <v>45356.0</v>
      </c>
    </row>
    <row r="1772" spans="1:9" ht="15" x14ac:dyDescent="0.25">
      <c r="A1772" s="53" t="inlineStr">
        <is>
          <t>LAB-001771</t>
        </is>
      </c>
      <c r="B1772" s="53" t="inlineStr">
        <is>
          <t>WP-00780</t>
        </is>
      </c>
      <c r="C1772" s="53" t="inlineStr">
        <is>
          <t>TECH-013</t>
        </is>
      </c>
      <c r="D1772" s="53" t="inlineStr">
        <is>
          <t>Airframe</t>
        </is>
      </c>
      <c r="E1772" s="53" t="inlineStr">
        <is>
          <t>2024-03-06</t>
        </is>
      </c>
      <c r="F1772" s="53">
        <v>4.4</v>
      </c>
      <c r="G1772" s="53">
        <v>0</v>
      </c>
      <c r="H1772" s="51" t="str">
        <f>TEXT(tblLaborEntries[[#This Row],[Work date serial]]-WEEKDAY(tblLaborEntries[[#This Row],[Work date serial]],3),"yyyy-mm-dd")</f>
        <v>2024-03-04</v>
      </c>
      <c r="I1772" s="64">
        <f>DATEVALUE(tblLaborEntries[[#This Row],[Work date]])</f>
        <v>45357.0</v>
      </c>
    </row>
    <row r="1773" spans="1:9" ht="15" x14ac:dyDescent="0.25">
      <c r="A1773" s="53" t="inlineStr">
        <is>
          <t>LAB-001772</t>
        </is>
      </c>
      <c r="B1773" s="53" t="inlineStr">
        <is>
          <t>WP-00780</t>
        </is>
      </c>
      <c r="C1773" s="53" t="inlineStr">
        <is>
          <t>TECH-073</t>
        </is>
      </c>
      <c r="D1773" s="53" t="inlineStr">
        <is>
          <t>Airframe</t>
        </is>
      </c>
      <c r="E1773" s="53" t="inlineStr">
        <is>
          <t>2024-03-07</t>
        </is>
      </c>
      <c r="F1773" s="53">
        <v>3.1</v>
      </c>
      <c r="G1773" s="53">
        <v>0</v>
      </c>
      <c r="H1773" s="51" t="str">
        <f>TEXT(tblLaborEntries[[#This Row],[Work date serial]]-WEEKDAY(tblLaborEntries[[#This Row],[Work date serial]],3),"yyyy-mm-dd")</f>
        <v>2024-03-04</v>
      </c>
      <c r="I1773" s="64">
        <f>DATEVALUE(tblLaborEntries[[#This Row],[Work date]])</f>
        <v>45358.0</v>
      </c>
    </row>
    <row r="1774" spans="1:9" ht="15" x14ac:dyDescent="0.25">
      <c r="A1774" s="53" t="inlineStr">
        <is>
          <t>LAB-001773</t>
        </is>
      </c>
      <c r="B1774" s="53" t="inlineStr">
        <is>
          <t>WP-00781</t>
        </is>
      </c>
      <c r="C1774" s="53" t="inlineStr">
        <is>
          <t>TECH-038</t>
        </is>
      </c>
      <c r="D1774" s="53" t="inlineStr">
        <is>
          <t>Avionics</t>
        </is>
      </c>
      <c r="E1774" s="53" t="inlineStr">
        <is>
          <t>2025-12-25</t>
        </is>
      </c>
      <c r="F1774" s="53">
        <v>4.9</v>
      </c>
      <c r="G1774" s="53">
        <v>0</v>
      </c>
      <c r="H1774" s="51" t="str">
        <f>TEXT(tblLaborEntries[[#This Row],[Work date serial]]-WEEKDAY(tblLaborEntries[[#This Row],[Work date serial]],3),"yyyy-mm-dd")</f>
        <v>2025-12-22</v>
      </c>
      <c r="I1774" s="64">
        <f>DATEVALUE(tblLaborEntries[[#This Row],[Work date]])</f>
        <v>46016.0</v>
      </c>
    </row>
    <row r="1775" spans="1:9" ht="15" x14ac:dyDescent="0.25">
      <c r="A1775" s="53" t="inlineStr">
        <is>
          <t>LAB-001774</t>
        </is>
      </c>
      <c r="B1775" s="53" t="inlineStr">
        <is>
          <t>WP-00782</t>
        </is>
      </c>
      <c r="C1775" s="53" t="inlineStr">
        <is>
          <t>TECH-026</t>
        </is>
      </c>
      <c r="D1775" s="53" t="inlineStr">
        <is>
          <t>Avionics</t>
        </is>
      </c>
      <c r="E1775" s="53" t="inlineStr">
        <is>
          <t>2025-04-19</t>
        </is>
      </c>
      <c r="F1775" s="53">
        <v>5.2</v>
      </c>
      <c r="G1775" s="53">
        <v>0</v>
      </c>
      <c r="H1775" s="51" t="str">
        <f>TEXT(tblLaborEntries[[#This Row],[Work date serial]]-WEEKDAY(tblLaborEntries[[#This Row],[Work date serial]],3),"yyyy-mm-dd")</f>
        <v>2025-04-14</v>
      </c>
      <c r="I1775" s="64">
        <f>DATEVALUE(tblLaborEntries[[#This Row],[Work date]])</f>
        <v>45766.0</v>
      </c>
    </row>
    <row r="1776" spans="1:9" ht="15" x14ac:dyDescent="0.25">
      <c r="A1776" s="53" t="inlineStr">
        <is>
          <t>LAB-001775</t>
        </is>
      </c>
      <c r="B1776" s="53" t="inlineStr">
        <is>
          <t>WP-00783</t>
        </is>
      </c>
      <c r="C1776" s="53" t="inlineStr">
        <is>
          <t>TECH-031</t>
        </is>
      </c>
      <c r="D1776" s="53" t="inlineStr">
        <is>
          <t>Airframe</t>
        </is>
      </c>
      <c r="E1776" s="53" t="inlineStr">
        <is>
          <t>2024-10-26</t>
        </is>
      </c>
      <c r="F1776" s="53">
        <v>0.8</v>
      </c>
      <c r="G1776" s="53">
        <v>0</v>
      </c>
      <c r="H1776" s="51" t="str">
        <f>TEXT(tblLaborEntries[[#This Row],[Work date serial]]-WEEKDAY(tblLaborEntries[[#This Row],[Work date serial]],3),"yyyy-mm-dd")</f>
        <v>2024-10-21</v>
      </c>
      <c r="I1776" s="64">
        <f>DATEVALUE(tblLaborEntries[[#This Row],[Work date]])</f>
        <v>45591.0</v>
      </c>
    </row>
    <row r="1777" spans="1:9" ht="15" x14ac:dyDescent="0.25">
      <c r="A1777" s="53" t="inlineStr">
        <is>
          <t>LAB-001776</t>
        </is>
      </c>
      <c r="B1777" s="53" t="inlineStr">
        <is>
          <t>WP-00783</t>
        </is>
      </c>
      <c r="C1777" s="53" t="inlineStr">
        <is>
          <t>TECH-025</t>
        </is>
      </c>
      <c r="D1777" s="53" t="inlineStr">
        <is>
          <t>Airframe</t>
        </is>
      </c>
      <c r="E1777" s="53" t="inlineStr">
        <is>
          <t>2024-10-27</t>
        </is>
      </c>
      <c r="F1777" s="53">
        <v>1.2</v>
      </c>
      <c r="G1777" s="53">
        <v>0</v>
      </c>
      <c r="H1777" s="51" t="str">
        <f>TEXT(tblLaborEntries[[#This Row],[Work date serial]]-WEEKDAY(tblLaborEntries[[#This Row],[Work date serial]],3),"yyyy-mm-dd")</f>
        <v>2024-10-21</v>
      </c>
      <c r="I1777" s="64">
        <f>DATEVALUE(tblLaborEntries[[#This Row],[Work date]])</f>
        <v>45592.0</v>
      </c>
    </row>
    <row r="1778" spans="1:9" ht="15" x14ac:dyDescent="0.25">
      <c r="A1778" s="53" t="inlineStr">
        <is>
          <t>LAB-001777</t>
        </is>
      </c>
      <c r="B1778" s="53" t="inlineStr">
        <is>
          <t>WP-00784</t>
        </is>
      </c>
      <c r="C1778" s="53" t="inlineStr">
        <is>
          <t>TECH-038</t>
        </is>
      </c>
      <c r="D1778" s="53" t="inlineStr">
        <is>
          <t>Avionics</t>
        </is>
      </c>
      <c r="E1778" s="53" t="inlineStr">
        <is>
          <t>2025-06-09</t>
        </is>
      </c>
      <c r="F1778" s="53">
        <v>2.2</v>
      </c>
      <c r="G1778" s="53">
        <v>0</v>
      </c>
      <c r="H1778" s="51" t="str">
        <f>TEXT(tblLaborEntries[[#This Row],[Work date serial]]-WEEKDAY(tblLaborEntries[[#This Row],[Work date serial]],3),"yyyy-mm-dd")</f>
        <v>2025-06-09</v>
      </c>
      <c r="I1778" s="64">
        <f>DATEVALUE(tblLaborEntries[[#This Row],[Work date]])</f>
        <v>45817.0</v>
      </c>
    </row>
    <row r="1779" spans="1:9" ht="15" x14ac:dyDescent="0.25">
      <c r="A1779" s="53" t="inlineStr">
        <is>
          <t>LAB-001778</t>
        </is>
      </c>
      <c r="B1779" s="53" t="inlineStr">
        <is>
          <t>WP-00784</t>
        </is>
      </c>
      <c r="C1779" s="53" t="inlineStr">
        <is>
          <t>TECH-074</t>
        </is>
      </c>
      <c r="D1779" s="53" t="inlineStr">
        <is>
          <t>Avionics</t>
        </is>
      </c>
      <c r="E1779" s="53" t="inlineStr">
        <is>
          <t>2025-06-10</t>
        </is>
      </c>
      <c r="F1779" s="53">
        <v>1.9</v>
      </c>
      <c r="G1779" s="53">
        <v>0</v>
      </c>
      <c r="H1779" s="51" t="str">
        <f>TEXT(tblLaborEntries[[#This Row],[Work date serial]]-WEEKDAY(tblLaborEntries[[#This Row],[Work date serial]],3),"yyyy-mm-dd")</f>
        <v>2025-06-09</v>
      </c>
      <c r="I1779" s="64">
        <f>DATEVALUE(tblLaborEntries[[#This Row],[Work date]])</f>
        <v>45818.0</v>
      </c>
    </row>
    <row r="1780" spans="1:9" ht="15" x14ac:dyDescent="0.25">
      <c r="A1780" s="53" t="inlineStr">
        <is>
          <t>LAB-001779</t>
        </is>
      </c>
      <c r="B1780" s="53" t="inlineStr">
        <is>
          <t>WP-00784</t>
        </is>
      </c>
      <c r="C1780" s="53" t="inlineStr">
        <is>
          <t>TECH-032</t>
        </is>
      </c>
      <c r="D1780" s="53" t="inlineStr">
        <is>
          <t>Avionics</t>
        </is>
      </c>
      <c r="E1780" s="53" t="inlineStr">
        <is>
          <t>2025-06-11</t>
        </is>
      </c>
      <c r="F1780" s="53">
        <v>1.8</v>
      </c>
      <c r="G1780" s="53">
        <v>0</v>
      </c>
      <c r="H1780" s="51" t="str">
        <f>TEXT(tblLaborEntries[[#This Row],[Work date serial]]-WEEKDAY(tblLaborEntries[[#This Row],[Work date serial]],3),"yyyy-mm-dd")</f>
        <v>2025-06-09</v>
      </c>
      <c r="I1780" s="64">
        <f>DATEVALUE(tblLaborEntries[[#This Row],[Work date]])</f>
        <v>45819.0</v>
      </c>
    </row>
    <row r="1781" spans="1:9" ht="15" x14ac:dyDescent="0.25">
      <c r="A1781" s="53" t="inlineStr">
        <is>
          <t>LAB-001780</t>
        </is>
      </c>
      <c r="B1781" s="53" t="inlineStr">
        <is>
          <t>WP-00785</t>
        </is>
      </c>
      <c r="C1781" s="53" t="inlineStr">
        <is>
          <t>TECH-002</t>
        </is>
      </c>
      <c r="D1781" s="53" t="inlineStr">
        <is>
          <t>Avionics</t>
        </is>
      </c>
      <c r="E1781" s="53" t="inlineStr">
        <is>
          <t>2024-03-14</t>
        </is>
      </c>
      <c r="F1781" s="53">
        <v>5</v>
      </c>
      <c r="G1781" s="53">
        <v>0</v>
      </c>
      <c r="H1781" s="51" t="str">
        <f>TEXT(tblLaborEntries[[#This Row],[Work date serial]]-WEEKDAY(tblLaborEntries[[#This Row],[Work date serial]],3),"yyyy-mm-dd")</f>
        <v>2024-03-11</v>
      </c>
      <c r="I1781" s="64">
        <f>DATEVALUE(tblLaborEntries[[#This Row],[Work date]])</f>
        <v>45365.0</v>
      </c>
    </row>
    <row r="1782" spans="1:9" ht="15" x14ac:dyDescent="0.25">
      <c r="A1782" s="53" t="inlineStr">
        <is>
          <t>LAB-001781</t>
        </is>
      </c>
      <c r="B1782" s="53" t="inlineStr">
        <is>
          <t>WP-00785</t>
        </is>
      </c>
      <c r="C1782" s="53" t="inlineStr">
        <is>
          <t>TECH-068</t>
        </is>
      </c>
      <c r="D1782" s="53" t="inlineStr">
        <is>
          <t>Avionics</t>
        </is>
      </c>
      <c r="E1782" s="53" t="inlineStr">
        <is>
          <t>2024-03-15</t>
        </is>
      </c>
      <c r="F1782" s="53">
        <v>7.1</v>
      </c>
      <c r="G1782" s="53">
        <v>0</v>
      </c>
      <c r="H1782" s="51" t="str">
        <f>TEXT(tblLaborEntries[[#This Row],[Work date serial]]-WEEKDAY(tblLaborEntries[[#This Row],[Work date serial]],3),"yyyy-mm-dd")</f>
        <v>2024-03-11</v>
      </c>
      <c r="I1782" s="64">
        <f>DATEVALUE(tblLaborEntries[[#This Row],[Work date]])</f>
        <v>45366.0</v>
      </c>
    </row>
    <row r="1783" spans="1:9" ht="15" x14ac:dyDescent="0.25">
      <c r="A1783" s="53" t="inlineStr">
        <is>
          <t>LAB-001782</t>
        </is>
      </c>
      <c r="B1783" s="53" t="inlineStr">
        <is>
          <t>WP-00786</t>
        </is>
      </c>
      <c r="C1783" s="53" t="inlineStr">
        <is>
          <t>TECH-014</t>
        </is>
      </c>
      <c r="D1783" s="53" t="inlineStr">
        <is>
          <t>Avionics</t>
        </is>
      </c>
      <c r="E1783" s="53" t="inlineStr">
        <is>
          <t>2025-06-08</t>
        </is>
      </c>
      <c r="F1783" s="53">
        <v>2.3</v>
      </c>
      <c r="G1783" s="53">
        <v>0</v>
      </c>
      <c r="H1783" s="51" t="str">
        <f>TEXT(tblLaborEntries[[#This Row],[Work date serial]]-WEEKDAY(tblLaborEntries[[#This Row],[Work date serial]],3),"yyyy-mm-dd")</f>
        <v>2025-06-02</v>
      </c>
      <c r="I1783" s="64">
        <f>DATEVALUE(tblLaborEntries[[#This Row],[Work date]])</f>
        <v>45816.0</v>
      </c>
    </row>
    <row r="1784" spans="1:9" ht="15" x14ac:dyDescent="0.25">
      <c r="A1784" s="53" t="inlineStr">
        <is>
          <t>LAB-001783</t>
        </is>
      </c>
      <c r="B1784" s="53" t="inlineStr">
        <is>
          <t>WP-00786</t>
        </is>
      </c>
      <c r="C1784" s="53" t="inlineStr">
        <is>
          <t>TECH-020</t>
        </is>
      </c>
      <c r="D1784" s="53" t="inlineStr">
        <is>
          <t>Avionics</t>
        </is>
      </c>
      <c r="E1784" s="53" t="inlineStr">
        <is>
          <t>2025-06-09</t>
        </is>
      </c>
      <c r="F1784" s="53">
        <v>2</v>
      </c>
      <c r="G1784" s="53">
        <v>0</v>
      </c>
      <c r="H1784" s="51" t="str">
        <f>TEXT(tblLaborEntries[[#This Row],[Work date serial]]-WEEKDAY(tblLaborEntries[[#This Row],[Work date serial]],3),"yyyy-mm-dd")</f>
        <v>2025-06-09</v>
      </c>
      <c r="I1784" s="64">
        <f>DATEVALUE(tblLaborEntries[[#This Row],[Work date]])</f>
        <v>45817.0</v>
      </c>
    </row>
    <row r="1785" spans="1:9" ht="15" x14ac:dyDescent="0.25">
      <c r="A1785" s="53" t="inlineStr">
        <is>
          <t>LAB-001784</t>
        </is>
      </c>
      <c r="B1785" s="53" t="inlineStr">
        <is>
          <t>WP-00786</t>
        </is>
      </c>
      <c r="C1785" s="53" t="inlineStr">
        <is>
          <t>TECH-026</t>
        </is>
      </c>
      <c r="D1785" s="53" t="inlineStr">
        <is>
          <t>Avionics</t>
        </is>
      </c>
      <c r="E1785" s="53" t="inlineStr">
        <is>
          <t>2025-06-10</t>
        </is>
      </c>
      <c r="F1785" s="53">
        <v>2.5</v>
      </c>
      <c r="G1785" s="53">
        <v>0</v>
      </c>
      <c r="H1785" s="51" t="str">
        <f>TEXT(tblLaborEntries[[#This Row],[Work date serial]]-WEEKDAY(tblLaborEntries[[#This Row],[Work date serial]],3),"yyyy-mm-dd")</f>
        <v>2025-06-09</v>
      </c>
      <c r="I1785" s="64">
        <f>DATEVALUE(tblLaborEntries[[#This Row],[Work date]])</f>
        <v>45818.0</v>
      </c>
    </row>
    <row r="1786" spans="1:9" ht="15" x14ac:dyDescent="0.25">
      <c r="A1786" s="53" t="inlineStr">
        <is>
          <t>LAB-001785</t>
        </is>
      </c>
      <c r="B1786" s="53" t="inlineStr">
        <is>
          <t>WP-00787</t>
        </is>
      </c>
      <c r="C1786" s="53" t="inlineStr">
        <is>
          <t>TECH-039</t>
        </is>
      </c>
      <c r="D1786" s="53" t="inlineStr">
        <is>
          <t>Hydraulics</t>
        </is>
      </c>
      <c r="E1786" s="53" t="inlineStr">
        <is>
          <t>2025-04-01</t>
        </is>
      </c>
      <c r="F1786" s="53">
        <v>7.2</v>
      </c>
      <c r="G1786" s="53">
        <v>0</v>
      </c>
      <c r="H1786" s="51" t="str">
        <f>TEXT(tblLaborEntries[[#This Row],[Work date serial]]-WEEKDAY(tblLaborEntries[[#This Row],[Work date serial]],3),"yyyy-mm-dd")</f>
        <v>2025-03-31</v>
      </c>
      <c r="I1786" s="64">
        <f>DATEVALUE(tblLaborEntries[[#This Row],[Work date]])</f>
        <v>45748.0</v>
      </c>
    </row>
    <row r="1787" spans="1:9" ht="15" x14ac:dyDescent="0.25">
      <c r="A1787" s="53" t="inlineStr">
        <is>
          <t>LAB-001786</t>
        </is>
      </c>
      <c r="B1787" s="53" t="inlineStr">
        <is>
          <t>WP-00787</t>
        </is>
      </c>
      <c r="C1787" s="53" t="inlineStr">
        <is>
          <t>TECH-057</t>
        </is>
      </c>
      <c r="D1787" s="53" t="inlineStr">
        <is>
          <t>Hydraulics</t>
        </is>
      </c>
      <c r="E1787" s="53" t="inlineStr">
        <is>
          <t>2025-04-02</t>
        </is>
      </c>
      <c r="F1787" s="53">
        <v>6.3</v>
      </c>
      <c r="G1787" s="53">
        <v>0</v>
      </c>
      <c r="H1787" s="51" t="str">
        <f>TEXT(tblLaborEntries[[#This Row],[Work date serial]]-WEEKDAY(tblLaborEntries[[#This Row],[Work date serial]],3),"yyyy-mm-dd")</f>
        <v>2025-03-31</v>
      </c>
      <c r="I1787" s="64">
        <f>DATEVALUE(tblLaborEntries[[#This Row],[Work date]])</f>
        <v>45749.0</v>
      </c>
    </row>
    <row r="1788" spans="1:9" ht="15" x14ac:dyDescent="0.25">
      <c r="A1788" s="53" t="inlineStr">
        <is>
          <t>LAB-001787</t>
        </is>
      </c>
      <c r="B1788" s="53" t="inlineStr">
        <is>
          <t>WP-00787</t>
        </is>
      </c>
      <c r="C1788" s="53" t="inlineStr">
        <is>
          <t>TECH-015</t>
        </is>
      </c>
      <c r="D1788" s="53" t="inlineStr">
        <is>
          <t>Hydraulics</t>
        </is>
      </c>
      <c r="E1788" s="53" t="inlineStr">
        <is>
          <t>2025-04-03</t>
        </is>
      </c>
      <c r="F1788" s="53">
        <v>8.1</v>
      </c>
      <c r="G1788" s="53">
        <v>0.1</v>
      </c>
      <c r="H1788" s="51" t="str">
        <f>TEXT(tblLaborEntries[[#This Row],[Work date serial]]-WEEKDAY(tblLaborEntries[[#This Row],[Work date serial]],3),"yyyy-mm-dd")</f>
        <v>2025-03-31</v>
      </c>
      <c r="I1788" s="64">
        <f>DATEVALUE(tblLaborEntries[[#This Row],[Work date]])</f>
        <v>45750.0</v>
      </c>
    </row>
    <row r="1789" spans="1:9" ht="15" x14ac:dyDescent="0.25">
      <c r="A1789" s="53" t="inlineStr">
        <is>
          <t>LAB-001788</t>
        </is>
      </c>
      <c r="B1789" s="53" t="inlineStr">
        <is>
          <t>WP-00788</t>
        </is>
      </c>
      <c r="C1789" s="53" t="inlineStr">
        <is>
          <t>TECH-061</t>
        </is>
      </c>
      <c r="D1789" s="53" t="inlineStr">
        <is>
          <t>Airframe</t>
        </is>
      </c>
      <c r="E1789" s="53" t="inlineStr">
        <is>
          <t>2024-07-09</t>
        </is>
      </c>
      <c r="F1789" s="53">
        <v>6.9</v>
      </c>
      <c r="G1789" s="53">
        <v>0</v>
      </c>
      <c r="H1789" s="51" t="str">
        <f>TEXT(tblLaborEntries[[#This Row],[Work date serial]]-WEEKDAY(tblLaborEntries[[#This Row],[Work date serial]],3),"yyyy-mm-dd")</f>
        <v>2024-07-08</v>
      </c>
      <c r="I1789" s="64">
        <f>DATEVALUE(tblLaborEntries[[#This Row],[Work date]])</f>
        <v>45482.0</v>
      </c>
    </row>
    <row r="1790" spans="1:9" ht="15" x14ac:dyDescent="0.25">
      <c r="A1790" s="53" t="inlineStr">
        <is>
          <t>LAB-001789</t>
        </is>
      </c>
      <c r="B1790" s="53" t="inlineStr">
        <is>
          <t>WP-00789</t>
        </is>
      </c>
      <c r="C1790" s="53" t="inlineStr">
        <is>
          <t>TECH-024</t>
        </is>
      </c>
      <c r="D1790" s="53" t="inlineStr">
        <is>
          <t>Powerplant</t>
        </is>
      </c>
      <c r="E1790" s="53" t="inlineStr">
        <is>
          <t>2024-01-19</t>
        </is>
      </c>
      <c r="F1790" s="53">
        <v>3.7</v>
      </c>
      <c r="G1790" s="53">
        <v>0</v>
      </c>
      <c r="H1790" s="51" t="str">
        <f>TEXT(tblLaborEntries[[#This Row],[Work date serial]]-WEEKDAY(tblLaborEntries[[#This Row],[Work date serial]],3),"yyyy-mm-dd")</f>
        <v>2024-01-15</v>
      </c>
      <c r="I1790" s="64">
        <f>DATEVALUE(tblLaborEntries[[#This Row],[Work date]])</f>
        <v>45310.0</v>
      </c>
    </row>
    <row r="1791" spans="1:9" ht="15" x14ac:dyDescent="0.25">
      <c r="A1791" s="53" t="inlineStr">
        <is>
          <t>LAB-001790</t>
        </is>
      </c>
      <c r="B1791" s="53" t="inlineStr">
        <is>
          <t>WP-00789</t>
        </is>
      </c>
      <c r="C1791" s="53" t="inlineStr">
        <is>
          <t>TECH-060</t>
        </is>
      </c>
      <c r="D1791" s="53" t="inlineStr">
        <is>
          <t>Powerplant</t>
        </is>
      </c>
      <c r="E1791" s="53" t="inlineStr">
        <is>
          <t>2024-01-20</t>
        </is>
      </c>
      <c r="F1791" s="53">
        <v>3.6</v>
      </c>
      <c r="G1791" s="53">
        <v>0</v>
      </c>
      <c r="H1791" s="51" t="str">
        <f>TEXT(tblLaborEntries[[#This Row],[Work date serial]]-WEEKDAY(tblLaborEntries[[#This Row],[Work date serial]],3),"yyyy-mm-dd")</f>
        <v>2024-01-15</v>
      </c>
      <c r="I1791" s="64">
        <f>DATEVALUE(tblLaborEntries[[#This Row],[Work date]])</f>
        <v>45311.0</v>
      </c>
    </row>
    <row r="1792" spans="1:9" ht="15" x14ac:dyDescent="0.25">
      <c r="A1792" s="53" t="inlineStr">
        <is>
          <t>LAB-001791</t>
        </is>
      </c>
      <c r="B1792" s="53" t="inlineStr">
        <is>
          <t>WP-00790</t>
        </is>
      </c>
      <c r="C1792" s="53" t="inlineStr">
        <is>
          <t>TECH-075</t>
        </is>
      </c>
      <c r="D1792" s="53" t="inlineStr">
        <is>
          <t>Hydraulics</t>
        </is>
      </c>
      <c r="E1792" s="53" t="inlineStr">
        <is>
          <t>2024-11-27</t>
        </is>
      </c>
      <c r="F1792" s="53">
        <v>8.8</v>
      </c>
      <c r="G1792" s="53">
        <v>0.8</v>
      </c>
      <c r="H1792" s="51" t="str">
        <f>TEXT(tblLaborEntries[[#This Row],[Work date serial]]-WEEKDAY(tblLaborEntries[[#This Row],[Work date serial]],3),"yyyy-mm-dd")</f>
        <v>2024-11-25</v>
      </c>
      <c r="I1792" s="64">
        <f>DATEVALUE(tblLaborEntries[[#This Row],[Work date]])</f>
        <v>45623.0</v>
      </c>
    </row>
    <row r="1793" spans="1:9" ht="15" x14ac:dyDescent="0.25">
      <c r="A1793" s="53" t="inlineStr">
        <is>
          <t>LAB-001792</t>
        </is>
      </c>
      <c r="B1793" s="53" t="inlineStr">
        <is>
          <t>WP-00790</t>
        </is>
      </c>
      <c r="C1793" s="53" t="inlineStr">
        <is>
          <t>TECH-033</t>
        </is>
      </c>
      <c r="D1793" s="53" t="inlineStr">
        <is>
          <t>Hydraulics</t>
        </is>
      </c>
      <c r="E1793" s="53" t="inlineStr">
        <is>
          <t>2024-11-28</t>
        </is>
      </c>
      <c r="F1793" s="53">
        <v>6.9</v>
      </c>
      <c r="G1793" s="53">
        <v>0</v>
      </c>
      <c r="H1793" s="51" t="str">
        <f>TEXT(tblLaborEntries[[#This Row],[Work date serial]]-WEEKDAY(tblLaborEntries[[#This Row],[Work date serial]],3),"yyyy-mm-dd")</f>
        <v>2024-11-25</v>
      </c>
      <c r="I1793" s="64">
        <f>DATEVALUE(tblLaborEntries[[#This Row],[Work date]])</f>
        <v>45624.0</v>
      </c>
    </row>
    <row r="1794" spans="1:9" ht="15" x14ac:dyDescent="0.25">
      <c r="A1794" s="53" t="inlineStr">
        <is>
          <t>LAB-001793</t>
        </is>
      </c>
      <c r="B1794" s="53" t="inlineStr">
        <is>
          <t>WP-00791</t>
        </is>
      </c>
      <c r="C1794" s="53" t="inlineStr">
        <is>
          <t>TECH-037</t>
        </is>
      </c>
      <c r="D1794" s="53" t="inlineStr">
        <is>
          <t>Airframe</t>
        </is>
      </c>
      <c r="E1794" s="53" t="inlineStr">
        <is>
          <t>2024-04-10</t>
        </is>
      </c>
      <c r="F1794" s="53">
        <v>5.6</v>
      </c>
      <c r="G1794" s="53">
        <v>0</v>
      </c>
      <c r="H1794" s="51" t="str">
        <f>TEXT(tblLaborEntries[[#This Row],[Work date serial]]-WEEKDAY(tblLaborEntries[[#This Row],[Work date serial]],3),"yyyy-mm-dd")</f>
        <v>2024-04-08</v>
      </c>
      <c r="I1794" s="64">
        <f>DATEVALUE(tblLaborEntries[[#This Row],[Work date]])</f>
        <v>45392.0</v>
      </c>
    </row>
    <row r="1795" spans="1:9" ht="15" x14ac:dyDescent="0.25">
      <c r="A1795" s="53" t="inlineStr">
        <is>
          <t>LAB-001794</t>
        </is>
      </c>
      <c r="B1795" s="53" t="inlineStr">
        <is>
          <t>WP-00792</t>
        </is>
      </c>
      <c r="C1795" s="53" t="inlineStr">
        <is>
          <t>TECH-063</t>
        </is>
      </c>
      <c r="D1795" s="53" t="inlineStr">
        <is>
          <t>Hydraulics</t>
        </is>
      </c>
      <c r="E1795" s="53" t="inlineStr">
        <is>
          <t>2025-03-20</t>
        </is>
      </c>
      <c r="F1795" s="53">
        <v>2.9</v>
      </c>
      <c r="G1795" s="53">
        <v>0</v>
      </c>
      <c r="H1795" s="51" t="str">
        <f>TEXT(tblLaborEntries[[#This Row],[Work date serial]]-WEEKDAY(tblLaborEntries[[#This Row],[Work date serial]],3),"yyyy-mm-dd")</f>
        <v>2025-03-17</v>
      </c>
      <c r="I1795" s="64">
        <f>DATEVALUE(tblLaborEntries[[#This Row],[Work date]])</f>
        <v>45736.0</v>
      </c>
    </row>
    <row r="1796" spans="1:9" ht="15" x14ac:dyDescent="0.25">
      <c r="A1796" s="53" t="inlineStr">
        <is>
          <t>LAB-001795</t>
        </is>
      </c>
      <c r="B1796" s="53" t="inlineStr">
        <is>
          <t>WP-00792</t>
        </is>
      </c>
      <c r="C1796" s="53" t="inlineStr">
        <is>
          <t>TECH-003</t>
        </is>
      </c>
      <c r="D1796" s="53" t="inlineStr">
        <is>
          <t>Hydraulics</t>
        </is>
      </c>
      <c r="E1796" s="53" t="inlineStr">
        <is>
          <t>2025-03-21</t>
        </is>
      </c>
      <c r="F1796" s="53">
        <v>3.2</v>
      </c>
      <c r="G1796" s="53">
        <v>0</v>
      </c>
      <c r="H1796" s="51" t="str">
        <f>TEXT(tblLaborEntries[[#This Row],[Work date serial]]-WEEKDAY(tblLaborEntries[[#This Row],[Work date serial]],3),"yyyy-mm-dd")</f>
        <v>2025-03-17</v>
      </c>
      <c r="I1796" s="64">
        <f>DATEVALUE(tblLaborEntries[[#This Row],[Work date]])</f>
        <v>45737.0</v>
      </c>
    </row>
    <row r="1797" spans="1:9" ht="15" x14ac:dyDescent="0.25">
      <c r="A1797" s="53" t="inlineStr">
        <is>
          <t>LAB-001796</t>
        </is>
      </c>
      <c r="B1797" s="53" t="inlineStr">
        <is>
          <t>WP-00792</t>
        </is>
      </c>
      <c r="C1797" s="53" t="inlineStr">
        <is>
          <t>TECH-075</t>
        </is>
      </c>
      <c r="D1797" s="53" t="inlineStr">
        <is>
          <t>Hydraulics</t>
        </is>
      </c>
      <c r="E1797" s="53" t="inlineStr">
        <is>
          <t>2025-03-22</t>
        </is>
      </c>
      <c r="F1797" s="53">
        <v>2.3</v>
      </c>
      <c r="G1797" s="53">
        <v>0</v>
      </c>
      <c r="H1797" s="51" t="str">
        <f>TEXT(tblLaborEntries[[#This Row],[Work date serial]]-WEEKDAY(tblLaborEntries[[#This Row],[Work date serial]],3),"yyyy-mm-dd")</f>
        <v>2025-03-17</v>
      </c>
      <c r="I1797" s="64">
        <f>DATEVALUE(tblLaborEntries[[#This Row],[Work date]])</f>
        <v>45738.0</v>
      </c>
    </row>
    <row r="1798" spans="1:9" ht="15" x14ac:dyDescent="0.25">
      <c r="A1798" s="53" t="inlineStr">
        <is>
          <t>LAB-001797</t>
        </is>
      </c>
      <c r="B1798" s="53" t="inlineStr">
        <is>
          <t>WP-00793</t>
        </is>
      </c>
      <c r="C1798" s="53" t="inlineStr">
        <is>
          <t>TECH-050</t>
        </is>
      </c>
      <c r="D1798" s="53" t="inlineStr">
        <is>
          <t>Avionics</t>
        </is>
      </c>
      <c r="E1798" s="53" t="inlineStr">
        <is>
          <t>2025-03-15</t>
        </is>
      </c>
      <c r="F1798" s="53">
        <v>7.1</v>
      </c>
      <c r="G1798" s="53">
        <v>0</v>
      </c>
      <c r="H1798" s="51" t="str">
        <f>TEXT(tblLaborEntries[[#This Row],[Work date serial]]-WEEKDAY(tblLaborEntries[[#This Row],[Work date serial]],3),"yyyy-mm-dd")</f>
        <v>2025-03-10</v>
      </c>
      <c r="I1798" s="64">
        <f>DATEVALUE(tblLaborEntries[[#This Row],[Work date]])</f>
        <v>45731.0</v>
      </c>
    </row>
    <row r="1799" spans="1:9" ht="15" x14ac:dyDescent="0.25">
      <c r="A1799" s="53" t="inlineStr">
        <is>
          <t>LAB-001798</t>
        </is>
      </c>
      <c r="B1799" s="53" t="inlineStr">
        <is>
          <t>WP-00793</t>
        </is>
      </c>
      <c r="C1799" s="53" t="inlineStr">
        <is>
          <t>TECH-062</t>
        </is>
      </c>
      <c r="D1799" s="53" t="inlineStr">
        <is>
          <t>Avionics</t>
        </is>
      </c>
      <c r="E1799" s="53" t="inlineStr">
        <is>
          <t>2025-03-16</t>
        </is>
      </c>
      <c r="F1799" s="53">
        <v>7.7</v>
      </c>
      <c r="G1799" s="53">
        <v>0</v>
      </c>
      <c r="H1799" s="51" t="str">
        <f>TEXT(tblLaborEntries[[#This Row],[Work date serial]]-WEEKDAY(tblLaborEntries[[#This Row],[Work date serial]],3),"yyyy-mm-dd")</f>
        <v>2025-03-10</v>
      </c>
      <c r="I1799" s="64">
        <f>DATEVALUE(tblLaborEntries[[#This Row],[Work date]])</f>
        <v>45732.0</v>
      </c>
    </row>
    <row r="1800" spans="1:9" ht="15" x14ac:dyDescent="0.25">
      <c r="A1800" s="53" t="inlineStr">
        <is>
          <t>LAB-001799</t>
        </is>
      </c>
      <c r="B1800" s="53" t="inlineStr">
        <is>
          <t>WP-00793</t>
        </is>
      </c>
      <c r="C1800" s="53" t="inlineStr">
        <is>
          <t>TECH-002</t>
        </is>
      </c>
      <c r="D1800" s="53" t="inlineStr">
        <is>
          <t>Avionics</t>
        </is>
      </c>
      <c r="E1800" s="53" t="inlineStr">
        <is>
          <t>2025-03-17</t>
        </is>
      </c>
      <c r="F1800" s="53">
        <v>5.5</v>
      </c>
      <c r="G1800" s="53">
        <v>0</v>
      </c>
      <c r="H1800" s="51" t="str">
        <f>TEXT(tblLaborEntries[[#This Row],[Work date serial]]-WEEKDAY(tblLaborEntries[[#This Row],[Work date serial]],3),"yyyy-mm-dd")</f>
        <v>2025-03-17</v>
      </c>
      <c r="I1800" s="64">
        <f>DATEVALUE(tblLaborEntries[[#This Row],[Work date]])</f>
        <v>45733.0</v>
      </c>
    </row>
    <row r="1801" spans="1:9" ht="15" x14ac:dyDescent="0.25">
      <c r="A1801" s="53" t="inlineStr">
        <is>
          <t>LAB-001800</t>
        </is>
      </c>
      <c r="B1801" s="53" t="inlineStr">
        <is>
          <t>WP-00794</t>
        </is>
      </c>
      <c r="C1801" s="53" t="inlineStr">
        <is>
          <t>TECH-002</t>
        </is>
      </c>
      <c r="D1801" s="53" t="inlineStr">
        <is>
          <t>Avionics</t>
        </is>
      </c>
      <c r="E1801" s="53" t="inlineStr">
        <is>
          <t>2025-12-14</t>
        </is>
      </c>
      <c r="F1801" s="53">
        <v>12</v>
      </c>
      <c r="G1801" s="53">
        <v>4</v>
      </c>
      <c r="H1801" s="51" t="str">
        <f>TEXT(tblLaborEntries[[#This Row],[Work date serial]]-WEEKDAY(tblLaborEntries[[#This Row],[Work date serial]],3),"yyyy-mm-dd")</f>
        <v>2025-12-08</v>
      </c>
      <c r="I1801" s="64">
        <f>DATEVALUE(tblLaborEntries[[#This Row],[Work date]])</f>
        <v>46005.0</v>
      </c>
    </row>
    <row r="1802" spans="1:9" ht="15" x14ac:dyDescent="0.25">
      <c r="A1802" s="53" t="inlineStr">
        <is>
          <t>LAB-001801</t>
        </is>
      </c>
      <c r="B1802" s="53" t="inlineStr">
        <is>
          <t>WP-00794</t>
        </is>
      </c>
      <c r="C1802" s="53" t="inlineStr">
        <is>
          <t>TECH-008</t>
        </is>
      </c>
      <c r="D1802" s="53" t="inlineStr">
        <is>
          <t>Avionics</t>
        </is>
      </c>
      <c r="E1802" s="53" t="inlineStr">
        <is>
          <t>2025-12-14</t>
        </is>
      </c>
      <c r="F1802" s="53">
        <v>5.5</v>
      </c>
      <c r="G1802" s="53">
        <v>0</v>
      </c>
      <c r="H1802" s="51" t="str">
        <f>TEXT(tblLaborEntries[[#This Row],[Work date serial]]-WEEKDAY(tblLaborEntries[[#This Row],[Work date serial]],3),"yyyy-mm-dd")</f>
        <v>2025-12-08</v>
      </c>
      <c r="I1802" s="64">
        <f>DATEVALUE(tblLaborEntries[[#This Row],[Work date]])</f>
        <v>46005.0</v>
      </c>
    </row>
    <row r="1803" spans="1:9" ht="15" x14ac:dyDescent="0.25">
      <c r="A1803" s="53" t="inlineStr">
        <is>
          <t>LAB-001802</t>
        </is>
      </c>
      <c r="B1803" s="53" t="inlineStr">
        <is>
          <t>WP-00795</t>
        </is>
      </c>
      <c r="C1803" s="53" t="inlineStr">
        <is>
          <t>TECH-005</t>
        </is>
      </c>
      <c r="D1803" s="53" t="inlineStr">
        <is>
          <t>Structures</t>
        </is>
      </c>
      <c r="E1803" s="53" t="inlineStr">
        <is>
          <t>2025-03-31</t>
        </is>
      </c>
      <c r="F1803" s="53">
        <v>3.2</v>
      </c>
      <c r="G1803" s="53">
        <v>0</v>
      </c>
      <c r="H1803" s="51" t="str">
        <f>TEXT(tblLaborEntries[[#This Row],[Work date serial]]-WEEKDAY(tblLaborEntries[[#This Row],[Work date serial]],3),"yyyy-mm-dd")</f>
        <v>2025-03-31</v>
      </c>
      <c r="I1803" s="64">
        <f>DATEVALUE(tblLaborEntries[[#This Row],[Work date]])</f>
        <v>45747.0</v>
      </c>
    </row>
    <row r="1804" spans="1:9" ht="15" x14ac:dyDescent="0.25">
      <c r="A1804" s="53" t="inlineStr">
        <is>
          <t>LAB-001803</t>
        </is>
      </c>
      <c r="B1804" s="53" t="inlineStr">
        <is>
          <t>WP-00795</t>
        </is>
      </c>
      <c r="C1804" s="53" t="inlineStr">
        <is>
          <t>TECH-029</t>
        </is>
      </c>
      <c r="D1804" s="53" t="inlineStr">
        <is>
          <t>Structures</t>
        </is>
      </c>
      <c r="E1804" s="53" t="inlineStr">
        <is>
          <t>2025-03-31</t>
        </is>
      </c>
      <c r="F1804" s="53">
        <v>12</v>
      </c>
      <c r="G1804" s="53">
        <v>4</v>
      </c>
      <c r="H1804" s="51" t="str">
        <f>TEXT(tblLaborEntries[[#This Row],[Work date serial]]-WEEKDAY(tblLaborEntries[[#This Row],[Work date serial]],3),"yyyy-mm-dd")</f>
        <v>2025-03-31</v>
      </c>
      <c r="I1804" s="64">
        <f>DATEVALUE(tblLaborEntries[[#This Row],[Work date]])</f>
        <v>45747.0</v>
      </c>
    </row>
    <row r="1805" spans="1:9" ht="15" x14ac:dyDescent="0.25">
      <c r="A1805" s="53" t="inlineStr">
        <is>
          <t>LAB-001804</t>
        </is>
      </c>
      <c r="B1805" s="53" t="inlineStr">
        <is>
          <t>WP-00795</t>
        </is>
      </c>
      <c r="C1805" s="53" t="inlineStr">
        <is>
          <t>TECH-005</t>
        </is>
      </c>
      <c r="D1805" s="53" t="inlineStr">
        <is>
          <t>Structures</t>
        </is>
      </c>
      <c r="E1805" s="53" t="inlineStr">
        <is>
          <t>2025-04-01</t>
        </is>
      </c>
      <c r="F1805" s="53">
        <v>12</v>
      </c>
      <c r="G1805" s="53">
        <v>4</v>
      </c>
      <c r="H1805" s="51" t="str">
        <f>TEXT(tblLaborEntries[[#This Row],[Work date serial]]-WEEKDAY(tblLaborEntries[[#This Row],[Work date serial]],3),"yyyy-mm-dd")</f>
        <v>2025-03-31</v>
      </c>
      <c r="I1805" s="64">
        <f>DATEVALUE(tblLaborEntries[[#This Row],[Work date]])</f>
        <v>45748.0</v>
      </c>
    </row>
    <row r="1806" spans="1:9" ht="15" x14ac:dyDescent="0.25">
      <c r="A1806" s="53" t="inlineStr">
        <is>
          <t>LAB-001805</t>
        </is>
      </c>
      <c r="B1806" s="53" t="inlineStr">
        <is>
          <t>WP-00795</t>
        </is>
      </c>
      <c r="C1806" s="53" t="inlineStr">
        <is>
          <t>TECH-011</t>
        </is>
      </c>
      <c r="D1806" s="53" t="inlineStr">
        <is>
          <t>Structures</t>
        </is>
      </c>
      <c r="E1806" s="53" t="inlineStr">
        <is>
          <t>2025-04-01</t>
        </is>
      </c>
      <c r="F1806" s="53">
        <v>12</v>
      </c>
      <c r="G1806" s="53">
        <v>4</v>
      </c>
      <c r="H1806" s="51" t="str">
        <f>TEXT(tblLaborEntries[[#This Row],[Work date serial]]-WEEKDAY(tblLaborEntries[[#This Row],[Work date serial]],3),"yyyy-mm-dd")</f>
        <v>2025-03-31</v>
      </c>
      <c r="I1806" s="64">
        <f>DATEVALUE(tblLaborEntries[[#This Row],[Work date]])</f>
        <v>45748.0</v>
      </c>
    </row>
    <row r="1807" spans="1:9" ht="15" x14ac:dyDescent="0.25">
      <c r="A1807" s="53" t="inlineStr">
        <is>
          <t>LAB-001806</t>
        </is>
      </c>
      <c r="B1807" s="53" t="inlineStr">
        <is>
          <t>WP-00795</t>
        </is>
      </c>
      <c r="C1807" s="53" t="inlineStr">
        <is>
          <t>TECH-029</t>
        </is>
      </c>
      <c r="D1807" s="53" t="inlineStr">
        <is>
          <t>Structures</t>
        </is>
      </c>
      <c r="E1807" s="53" t="inlineStr">
        <is>
          <t>2025-04-01</t>
        </is>
      </c>
      <c r="F1807" s="53">
        <v>12</v>
      </c>
      <c r="G1807" s="53">
        <v>4</v>
      </c>
      <c r="H1807" s="51" t="str">
        <f>TEXT(tblLaborEntries[[#This Row],[Work date serial]]-WEEKDAY(tblLaborEntries[[#This Row],[Work date serial]],3),"yyyy-mm-dd")</f>
        <v>2025-03-31</v>
      </c>
      <c r="I1807" s="64">
        <f>DATEVALUE(tblLaborEntries[[#This Row],[Work date]])</f>
        <v>45748.0</v>
      </c>
    </row>
    <row r="1808" spans="1:9" ht="15" x14ac:dyDescent="0.25">
      <c r="A1808" s="53" t="inlineStr">
        <is>
          <t>LAB-001807</t>
        </is>
      </c>
      <c r="B1808" s="53" t="inlineStr">
        <is>
          <t>WP-00796</t>
        </is>
      </c>
      <c r="C1808" s="53" t="inlineStr">
        <is>
          <t>TECH-015</t>
        </is>
      </c>
      <c r="D1808" s="53" t="inlineStr">
        <is>
          <t>Hydraulics</t>
        </is>
      </c>
      <c r="E1808" s="53" t="inlineStr">
        <is>
          <t>2024-04-14</t>
        </is>
      </c>
      <c r="F1808" s="53">
        <v>7</v>
      </c>
      <c r="G1808" s="53">
        <v>0</v>
      </c>
      <c r="H1808" s="51" t="str">
        <f>TEXT(tblLaborEntries[[#This Row],[Work date serial]]-WEEKDAY(tblLaborEntries[[#This Row],[Work date serial]],3),"yyyy-mm-dd")</f>
        <v>2024-04-08</v>
      </c>
      <c r="I1808" s="64">
        <f>DATEVALUE(tblLaborEntries[[#This Row],[Work date]])</f>
        <v>45396.0</v>
      </c>
    </row>
    <row r="1809" spans="1:9" ht="15" x14ac:dyDescent="0.25">
      <c r="A1809" s="53" t="inlineStr">
        <is>
          <t>LAB-001808</t>
        </is>
      </c>
      <c r="B1809" s="53" t="inlineStr">
        <is>
          <t>WP-00796</t>
        </is>
      </c>
      <c r="C1809" s="53" t="inlineStr">
        <is>
          <t>TECH-069</t>
        </is>
      </c>
      <c r="D1809" s="53" t="inlineStr">
        <is>
          <t>Hydraulics</t>
        </is>
      </c>
      <c r="E1809" s="53" t="inlineStr">
        <is>
          <t>2024-04-15</t>
        </is>
      </c>
      <c r="F1809" s="53">
        <v>6.7</v>
      </c>
      <c r="G1809" s="53">
        <v>0</v>
      </c>
      <c r="H1809" s="51" t="str">
        <f>TEXT(tblLaborEntries[[#This Row],[Work date serial]]-WEEKDAY(tblLaborEntries[[#This Row],[Work date serial]],3),"yyyy-mm-dd")</f>
        <v>2024-04-15</v>
      </c>
      <c r="I1809" s="64">
        <f>DATEVALUE(tblLaborEntries[[#This Row],[Work date]])</f>
        <v>45397.0</v>
      </c>
    </row>
    <row r="1810" spans="1:9" ht="15" x14ac:dyDescent="0.25">
      <c r="A1810" s="53" t="inlineStr">
        <is>
          <t>LAB-001809</t>
        </is>
      </c>
      <c r="B1810" s="53" t="inlineStr">
        <is>
          <t>WP-00796</t>
        </is>
      </c>
      <c r="C1810" s="53" t="inlineStr">
        <is>
          <t>TECH-003</t>
        </is>
      </c>
      <c r="D1810" s="53" t="inlineStr">
        <is>
          <t>Hydraulics</t>
        </is>
      </c>
      <c r="E1810" s="53" t="inlineStr">
        <is>
          <t>2024-04-16</t>
        </is>
      </c>
      <c r="F1810" s="53">
        <v>7.6</v>
      </c>
      <c r="G1810" s="53">
        <v>0</v>
      </c>
      <c r="H1810" s="51" t="str">
        <f>TEXT(tblLaborEntries[[#This Row],[Work date serial]]-WEEKDAY(tblLaborEntries[[#This Row],[Work date serial]],3),"yyyy-mm-dd")</f>
        <v>2024-04-15</v>
      </c>
      <c r="I1810" s="64">
        <f>DATEVALUE(tblLaborEntries[[#This Row],[Work date]])</f>
        <v>45398.0</v>
      </c>
    </row>
    <row r="1811" spans="1:9" ht="15" x14ac:dyDescent="0.25">
      <c r="A1811" s="53" t="inlineStr">
        <is>
          <t>LAB-001810</t>
        </is>
      </c>
      <c r="B1811" s="53" t="inlineStr">
        <is>
          <t>WP-00797</t>
        </is>
      </c>
      <c r="C1811" s="53" t="inlineStr">
        <is>
          <t>TECH-066</t>
        </is>
      </c>
      <c r="D1811" s="53" t="inlineStr">
        <is>
          <t>Powerplant</t>
        </is>
      </c>
      <c r="E1811" s="53" t="inlineStr">
        <is>
          <t>2024-07-18</t>
        </is>
      </c>
      <c r="F1811" s="53">
        <v>5.8</v>
      </c>
      <c r="G1811" s="53">
        <v>0</v>
      </c>
      <c r="H1811" s="51" t="str">
        <f>TEXT(tblLaborEntries[[#This Row],[Work date serial]]-WEEKDAY(tblLaborEntries[[#This Row],[Work date serial]],3),"yyyy-mm-dd")</f>
        <v>2024-07-15</v>
      </c>
      <c r="I1811" s="64">
        <f>DATEVALUE(tblLaborEntries[[#This Row],[Work date]])</f>
        <v>45491.0</v>
      </c>
    </row>
    <row r="1812" spans="1:9" ht="15" x14ac:dyDescent="0.25">
      <c r="A1812" s="53" t="inlineStr">
        <is>
          <t>LAB-001811</t>
        </is>
      </c>
      <c r="B1812" s="53" t="inlineStr">
        <is>
          <t>WP-00797</t>
        </is>
      </c>
      <c r="C1812" s="53" t="inlineStr">
        <is>
          <t>TECH-018</t>
        </is>
      </c>
      <c r="D1812" s="53" t="inlineStr">
        <is>
          <t>Powerplant</t>
        </is>
      </c>
      <c r="E1812" s="53" t="inlineStr">
        <is>
          <t>2024-07-19</t>
        </is>
      </c>
      <c r="F1812" s="53">
        <v>5.6</v>
      </c>
      <c r="G1812" s="53">
        <v>0</v>
      </c>
      <c r="H1812" s="51" t="str">
        <f>TEXT(tblLaborEntries[[#This Row],[Work date serial]]-WEEKDAY(tblLaborEntries[[#This Row],[Work date serial]],3),"yyyy-mm-dd")</f>
        <v>2024-07-15</v>
      </c>
      <c r="I1812" s="64">
        <f>DATEVALUE(tblLaborEntries[[#This Row],[Work date]])</f>
        <v>45492.0</v>
      </c>
    </row>
    <row r="1813" spans="1:9" ht="15" x14ac:dyDescent="0.25">
      <c r="A1813" s="53" t="inlineStr">
        <is>
          <t>LAB-001812</t>
        </is>
      </c>
      <c r="B1813" s="53" t="inlineStr">
        <is>
          <t>WP-00798</t>
        </is>
      </c>
      <c r="C1813" s="53" t="inlineStr">
        <is>
          <t>TECH-031</t>
        </is>
      </c>
      <c r="D1813" s="53" t="inlineStr">
        <is>
          <t>Airframe</t>
        </is>
      </c>
      <c r="E1813" s="53" t="inlineStr">
        <is>
          <t>2024-09-20</t>
        </is>
      </c>
      <c r="F1813" s="53">
        <v>1.6</v>
      </c>
      <c r="G1813" s="53">
        <v>0</v>
      </c>
      <c r="H1813" s="51" t="str">
        <f>TEXT(tblLaborEntries[[#This Row],[Work date serial]]-WEEKDAY(tblLaborEntries[[#This Row],[Work date serial]],3),"yyyy-mm-dd")</f>
        <v>2024-09-16</v>
      </c>
      <c r="I1813" s="64">
        <f>DATEVALUE(tblLaborEntries[[#This Row],[Work date]])</f>
        <v>45555.0</v>
      </c>
    </row>
    <row r="1814" spans="1:9" ht="15" x14ac:dyDescent="0.25">
      <c r="A1814" s="53" t="inlineStr">
        <is>
          <t>LAB-001813</t>
        </is>
      </c>
      <c r="B1814" s="53" t="inlineStr">
        <is>
          <t>WP-00798</t>
        </is>
      </c>
      <c r="C1814" s="53" t="inlineStr">
        <is>
          <t>TECH-049</t>
        </is>
      </c>
      <c r="D1814" s="53" t="inlineStr">
        <is>
          <t>Airframe</t>
        </is>
      </c>
      <c r="E1814" s="53" t="inlineStr">
        <is>
          <t>2024-09-21</t>
        </is>
      </c>
      <c r="F1814" s="53">
        <v>1.3</v>
      </c>
      <c r="G1814" s="53">
        <v>0</v>
      </c>
      <c r="H1814" s="51" t="str">
        <f>TEXT(tblLaborEntries[[#This Row],[Work date serial]]-WEEKDAY(tblLaborEntries[[#This Row],[Work date serial]],3),"yyyy-mm-dd")</f>
        <v>2024-09-16</v>
      </c>
      <c r="I1814" s="64">
        <f>DATEVALUE(tblLaborEntries[[#This Row],[Work date]])</f>
        <v>45556.0</v>
      </c>
    </row>
    <row r="1815" spans="1:9" ht="15" x14ac:dyDescent="0.25">
      <c r="A1815" s="53" t="inlineStr">
        <is>
          <t>LAB-001814</t>
        </is>
      </c>
      <c r="B1815" s="53" t="inlineStr">
        <is>
          <t>WP-00799</t>
        </is>
      </c>
      <c r="C1815" s="53" t="inlineStr">
        <is>
          <t>TECH-056</t>
        </is>
      </c>
      <c r="D1815" s="53" t="inlineStr">
        <is>
          <t>Avionics</t>
        </is>
      </c>
      <c r="E1815" s="53" t="inlineStr">
        <is>
          <t>2024-12-05</t>
        </is>
      </c>
      <c r="F1815" s="53">
        <v>1.6</v>
      </c>
      <c r="G1815" s="53">
        <v>0</v>
      </c>
      <c r="H1815" s="51" t="str">
        <f>TEXT(tblLaborEntries[[#This Row],[Work date serial]]-WEEKDAY(tblLaborEntries[[#This Row],[Work date serial]],3),"yyyy-mm-dd")</f>
        <v>2024-12-02</v>
      </c>
      <c r="I1815" s="64">
        <f>DATEVALUE(tblLaborEntries[[#This Row],[Work date]])</f>
        <v>45631.0</v>
      </c>
    </row>
    <row r="1816" spans="1:9" ht="15" x14ac:dyDescent="0.25">
      <c r="A1816" s="53" t="inlineStr">
        <is>
          <t>LAB-001815</t>
        </is>
      </c>
      <c r="B1816" s="53" t="inlineStr">
        <is>
          <t>WP-00799</t>
        </is>
      </c>
      <c r="C1816" s="53" t="inlineStr">
        <is>
          <t>TECH-014</t>
        </is>
      </c>
      <c r="D1816" s="53" t="inlineStr">
        <is>
          <t>Avionics</t>
        </is>
      </c>
      <c r="E1816" s="53" t="inlineStr">
        <is>
          <t>2024-12-06</t>
        </is>
      </c>
      <c r="F1816" s="53">
        <v>1.8</v>
      </c>
      <c r="G1816" s="53">
        <v>0</v>
      </c>
      <c r="H1816" s="51" t="str">
        <f>TEXT(tblLaborEntries[[#This Row],[Work date serial]]-WEEKDAY(tblLaborEntries[[#This Row],[Work date serial]],3),"yyyy-mm-dd")</f>
        <v>2024-12-02</v>
      </c>
      <c r="I1816" s="64">
        <f>DATEVALUE(tblLaborEntries[[#This Row],[Work date]])</f>
        <v>45632.0</v>
      </c>
    </row>
    <row r="1817" spans="1:9" ht="15" x14ac:dyDescent="0.25">
      <c r="A1817" s="53" t="inlineStr">
        <is>
          <t>LAB-001816</t>
        </is>
      </c>
      <c r="B1817" s="53" t="inlineStr">
        <is>
          <t>WP-00799</t>
        </is>
      </c>
      <c r="C1817" s="53" t="inlineStr">
        <is>
          <t>TECH-050</t>
        </is>
      </c>
      <c r="D1817" s="53" t="inlineStr">
        <is>
          <t>Avionics</t>
        </is>
      </c>
      <c r="E1817" s="53" t="inlineStr">
        <is>
          <t>2024-12-07</t>
        </is>
      </c>
      <c r="F1817" s="53">
        <v>2</v>
      </c>
      <c r="G1817" s="53">
        <v>0</v>
      </c>
      <c r="H1817" s="51" t="str">
        <f>TEXT(tblLaborEntries[[#This Row],[Work date serial]]-WEEKDAY(tblLaborEntries[[#This Row],[Work date serial]],3),"yyyy-mm-dd")</f>
        <v>2024-12-02</v>
      </c>
      <c r="I1817" s="64">
        <f>DATEVALUE(tblLaborEntries[[#This Row],[Work date]])</f>
        <v>45633.0</v>
      </c>
    </row>
    <row r="1818" spans="1:9" ht="15" x14ac:dyDescent="0.25">
      <c r="A1818" s="53" t="inlineStr">
        <is>
          <t>LAB-001817</t>
        </is>
      </c>
      <c r="B1818" s="53" t="inlineStr">
        <is>
          <t>WP-00800</t>
        </is>
      </c>
      <c r="C1818" s="53" t="inlineStr">
        <is>
          <t>TECH-036</t>
        </is>
      </c>
      <c r="D1818" s="53" t="inlineStr">
        <is>
          <t>Powerplant</t>
        </is>
      </c>
      <c r="E1818" s="53" t="inlineStr">
        <is>
          <t>2025-08-19</t>
        </is>
      </c>
      <c r="F1818" s="53">
        <v>4.3</v>
      </c>
      <c r="G1818" s="53">
        <v>0</v>
      </c>
      <c r="H1818" s="51" t="str">
        <f>TEXT(tblLaborEntries[[#This Row],[Work date serial]]-WEEKDAY(tblLaborEntries[[#This Row],[Work date serial]],3),"yyyy-mm-dd")</f>
        <v>2025-08-18</v>
      </c>
      <c r="I1818" s="64">
        <f>DATEVALUE(tblLaborEntries[[#This Row],[Work date]])</f>
        <v>45888.0</v>
      </c>
    </row>
    <row r="1819" spans="1:9" ht="15" x14ac:dyDescent="0.25">
      <c r="A1819" s="53" t="inlineStr">
        <is>
          <t>LAB-001818</t>
        </is>
      </c>
      <c r="B1819" s="53" t="inlineStr">
        <is>
          <t>WP-00800</t>
        </is>
      </c>
      <c r="C1819" s="53" t="inlineStr">
        <is>
          <t>TECH-042</t>
        </is>
      </c>
      <c r="D1819" s="53" t="inlineStr">
        <is>
          <t>Powerplant</t>
        </is>
      </c>
      <c r="E1819" s="53" t="inlineStr">
        <is>
          <t>2025-08-20</t>
        </is>
      </c>
      <c r="F1819" s="53">
        <v>5.1</v>
      </c>
      <c r="G1819" s="53">
        <v>4</v>
      </c>
      <c r="H1819" s="51" t="str">
        <f>TEXT(tblLaborEntries[[#This Row],[Work date serial]]-WEEKDAY(tblLaborEntries[[#This Row],[Work date serial]],3),"yyyy-mm-dd")</f>
        <v>2025-08-18</v>
      </c>
      <c r="I1819" s="64">
        <f>DATEVALUE(tblLaborEntries[[#This Row],[Work date]])</f>
        <v>45889.0</v>
      </c>
    </row>
    <row r="1820" spans="1:9" ht="15" x14ac:dyDescent="0.25">
      <c r="A1820" s="53" t="inlineStr">
        <is>
          <t>LAB-001819</t>
        </is>
      </c>
      <c r="B1820" s="53" t="inlineStr">
        <is>
          <t>WP-00800</t>
        </is>
      </c>
      <c r="C1820" s="53" t="inlineStr">
        <is>
          <t>TECH-066</t>
        </is>
      </c>
      <c r="D1820" s="53" t="inlineStr">
        <is>
          <t>Powerplant</t>
        </is>
      </c>
      <c r="E1820" s="53" t="inlineStr">
        <is>
          <t>2025-08-21</t>
        </is>
      </c>
      <c r="F1820" s="53">
        <v>3.5</v>
      </c>
      <c r="G1820" s="53">
        <v>0</v>
      </c>
      <c r="H1820" s="51" t="str">
        <f>TEXT(tblLaborEntries[[#This Row],[Work date serial]]-WEEKDAY(tblLaborEntries[[#This Row],[Work date serial]],3),"yyyy-mm-dd")</f>
        <v>2025-08-18</v>
      </c>
      <c r="I1820" s="64">
        <f>DATEVALUE(tblLaborEntries[[#This Row],[Work date]])</f>
        <v>45890.0</v>
      </c>
    </row>
    <row r="1821" spans="1:9" ht="15" x14ac:dyDescent="0.25">
      <c r="A1821" s="53" t="inlineStr">
        <is>
          <t>LAB-001820</t>
        </is>
      </c>
      <c r="B1821" s="53" t="inlineStr">
        <is>
          <t>WP-00801</t>
        </is>
      </c>
      <c r="C1821" s="53" t="inlineStr">
        <is>
          <t>TECH-002</t>
        </is>
      </c>
      <c r="D1821" s="53" t="inlineStr">
        <is>
          <t>Avionics</t>
        </is>
      </c>
      <c r="E1821" s="53" t="inlineStr">
        <is>
          <t>2024-12-22</t>
        </is>
      </c>
      <c r="F1821" s="53">
        <v>7.7</v>
      </c>
      <c r="G1821" s="53">
        <v>0</v>
      </c>
      <c r="H1821" s="51" t="str">
        <f>TEXT(tblLaborEntries[[#This Row],[Work date serial]]-WEEKDAY(tblLaborEntries[[#This Row],[Work date serial]],3),"yyyy-mm-dd")</f>
        <v>2024-12-16</v>
      </c>
      <c r="I1821" s="64">
        <f>DATEVALUE(tblLaborEntries[[#This Row],[Work date]])</f>
        <v>45648.0</v>
      </c>
    </row>
    <row r="1822" spans="1:9" ht="15" x14ac:dyDescent="0.25">
      <c r="A1822" s="53" t="inlineStr">
        <is>
          <t>LAB-001821</t>
        </is>
      </c>
      <c r="B1822" s="53" t="inlineStr">
        <is>
          <t>WP-00801</t>
        </is>
      </c>
      <c r="C1822" s="53" t="inlineStr">
        <is>
          <t>TECH-044</t>
        </is>
      </c>
      <c r="D1822" s="53" t="inlineStr">
        <is>
          <t>Avionics</t>
        </is>
      </c>
      <c r="E1822" s="53" t="inlineStr">
        <is>
          <t>2024-12-22</t>
        </is>
      </c>
      <c r="F1822" s="53">
        <v>12</v>
      </c>
      <c r="G1822" s="53">
        <v>4</v>
      </c>
      <c r="H1822" s="51" t="str">
        <f>TEXT(tblLaborEntries[[#This Row],[Work date serial]]-WEEKDAY(tblLaborEntries[[#This Row],[Work date serial]],3),"yyyy-mm-dd")</f>
        <v>2024-12-16</v>
      </c>
      <c r="I1822" s="64">
        <f>DATEVALUE(tblLaborEntries[[#This Row],[Work date]])</f>
        <v>45648.0</v>
      </c>
    </row>
    <row r="1823" spans="1:9" ht="15" x14ac:dyDescent="0.25">
      <c r="A1823" s="53" t="inlineStr">
        <is>
          <t>LAB-001822</t>
        </is>
      </c>
      <c r="B1823" s="53" t="inlineStr">
        <is>
          <t>WP-00802</t>
        </is>
      </c>
      <c r="C1823" s="53" t="inlineStr">
        <is>
          <t>TECH-002</t>
        </is>
      </c>
      <c r="D1823" s="53" t="inlineStr">
        <is>
          <t>Avionics</t>
        </is>
      </c>
      <c r="E1823" s="53" t="inlineStr">
        <is>
          <t>2024-09-07</t>
        </is>
      </c>
      <c r="F1823" s="53">
        <v>9.7</v>
      </c>
      <c r="G1823" s="53">
        <v>1.7</v>
      </c>
      <c r="H1823" s="51" t="str">
        <f>TEXT(tblLaborEntries[[#This Row],[Work date serial]]-WEEKDAY(tblLaborEntries[[#This Row],[Work date serial]],3),"yyyy-mm-dd")</f>
        <v>2024-09-02</v>
      </c>
      <c r="I1823" s="64">
        <f>DATEVALUE(tblLaborEntries[[#This Row],[Work date]])</f>
        <v>45542.0</v>
      </c>
    </row>
    <row r="1824" spans="1:9" ht="15" x14ac:dyDescent="0.25">
      <c r="A1824" s="53" t="inlineStr">
        <is>
          <t>LAB-001823</t>
        </is>
      </c>
      <c r="B1824" s="53" t="inlineStr">
        <is>
          <t>WP-00802</t>
        </is>
      </c>
      <c r="C1824" s="53" t="inlineStr">
        <is>
          <t>TECH-050</t>
        </is>
      </c>
      <c r="D1824" s="53" t="inlineStr">
        <is>
          <t>Avionics</t>
        </is>
      </c>
      <c r="E1824" s="53" t="inlineStr">
        <is>
          <t>2024-09-07</t>
        </is>
      </c>
      <c r="F1824" s="53">
        <v>12</v>
      </c>
      <c r="G1824" s="53">
        <v>4</v>
      </c>
      <c r="H1824" s="51" t="str">
        <f>TEXT(tblLaborEntries[[#This Row],[Work date serial]]-WEEKDAY(tblLaborEntries[[#This Row],[Work date serial]],3),"yyyy-mm-dd")</f>
        <v>2024-09-02</v>
      </c>
      <c r="I1824" s="64">
        <f>DATEVALUE(tblLaborEntries[[#This Row],[Work date]])</f>
        <v>45542.0</v>
      </c>
    </row>
    <row r="1825" spans="1:9" ht="15" x14ac:dyDescent="0.25">
      <c r="A1825" s="53" t="inlineStr">
        <is>
          <t>LAB-001824</t>
        </is>
      </c>
      <c r="B1825" s="53" t="inlineStr">
        <is>
          <t>WP-00803</t>
        </is>
      </c>
      <c r="C1825" s="53" t="inlineStr">
        <is>
          <t>TECH-008</t>
        </is>
      </c>
      <c r="D1825" s="53" t="inlineStr">
        <is>
          <t>Avionics</t>
        </is>
      </c>
      <c r="E1825" s="53" t="inlineStr">
        <is>
          <t>2024-04-03</t>
        </is>
      </c>
      <c r="F1825" s="53">
        <v>6.2</v>
      </c>
      <c r="G1825" s="53">
        <v>0</v>
      </c>
      <c r="H1825" s="51" t="str">
        <f>TEXT(tblLaborEntries[[#This Row],[Work date serial]]-WEEKDAY(tblLaborEntries[[#This Row],[Work date serial]],3),"yyyy-mm-dd")</f>
        <v>2024-04-01</v>
      </c>
      <c r="I1825" s="64">
        <f>DATEVALUE(tblLaborEntries[[#This Row],[Work date]])</f>
        <v>45385.0</v>
      </c>
    </row>
    <row r="1826" spans="1:9" ht="15" x14ac:dyDescent="0.25">
      <c r="A1826" s="53" t="inlineStr">
        <is>
          <t>LAB-001825</t>
        </is>
      </c>
      <c r="B1826" s="53" t="inlineStr">
        <is>
          <t>WP-00804</t>
        </is>
      </c>
      <c r="C1826" s="53" t="inlineStr">
        <is>
          <t>TECH-073</t>
        </is>
      </c>
      <c r="D1826" s="53" t="inlineStr">
        <is>
          <t>Airframe</t>
        </is>
      </c>
      <c r="E1826" s="53" t="inlineStr">
        <is>
          <t>2025-07-06</t>
        </is>
      </c>
      <c r="F1826" s="53">
        <v>1</v>
      </c>
      <c r="G1826" s="53">
        <v>0</v>
      </c>
      <c r="H1826" s="51" t="str">
        <f>TEXT(tblLaborEntries[[#This Row],[Work date serial]]-WEEKDAY(tblLaborEntries[[#This Row],[Work date serial]],3),"yyyy-mm-dd")</f>
        <v>2025-06-30</v>
      </c>
      <c r="I1826" s="64">
        <f>DATEVALUE(tblLaborEntries[[#This Row],[Work date]])</f>
        <v>45844.0</v>
      </c>
    </row>
    <row r="1827" spans="1:9" ht="15" x14ac:dyDescent="0.25">
      <c r="A1827" s="53" t="inlineStr">
        <is>
          <t>LAB-001826</t>
        </is>
      </c>
      <c r="B1827" s="53" t="inlineStr">
        <is>
          <t>WP-00804</t>
        </is>
      </c>
      <c r="C1827" s="53" t="inlineStr">
        <is>
          <t>TECH-013</t>
        </is>
      </c>
      <c r="D1827" s="53" t="inlineStr">
        <is>
          <t>Airframe</t>
        </is>
      </c>
      <c r="E1827" s="53" t="inlineStr">
        <is>
          <t>2025-07-07</t>
        </is>
      </c>
      <c r="F1827" s="53">
        <v>0.8</v>
      </c>
      <c r="G1827" s="53">
        <v>0</v>
      </c>
      <c r="H1827" s="51" t="str">
        <f>TEXT(tblLaborEntries[[#This Row],[Work date serial]]-WEEKDAY(tblLaborEntries[[#This Row],[Work date serial]],3),"yyyy-mm-dd")</f>
        <v>2025-07-07</v>
      </c>
      <c r="I1827" s="64">
        <f>DATEVALUE(tblLaborEntries[[#This Row],[Work date]])</f>
        <v>45845.0</v>
      </c>
    </row>
    <row r="1828" spans="1:9" ht="15" x14ac:dyDescent="0.25">
      <c r="A1828" s="53" t="inlineStr">
        <is>
          <t>LAB-001827</t>
        </is>
      </c>
      <c r="B1828" s="53" t="inlineStr">
        <is>
          <t>WP-00804</t>
        </is>
      </c>
      <c r="C1828" s="53" t="inlineStr">
        <is>
          <t>TECH-043</t>
        </is>
      </c>
      <c r="D1828" s="53" t="inlineStr">
        <is>
          <t>Airframe</t>
        </is>
      </c>
      <c r="E1828" s="53" t="inlineStr">
        <is>
          <t>2025-07-08</t>
        </is>
      </c>
      <c r="F1828" s="53">
        <v>0.8</v>
      </c>
      <c r="G1828" s="53">
        <v>0</v>
      </c>
      <c r="H1828" s="51" t="str">
        <f>TEXT(tblLaborEntries[[#This Row],[Work date serial]]-WEEKDAY(tblLaborEntries[[#This Row],[Work date serial]],3),"yyyy-mm-dd")</f>
        <v>2025-07-07</v>
      </c>
      <c r="I1828" s="64">
        <f>DATEVALUE(tblLaborEntries[[#This Row],[Work date]])</f>
        <v>45846.0</v>
      </c>
    </row>
    <row r="1829" spans="1:9" ht="15" x14ac:dyDescent="0.25">
      <c r="A1829" s="53" t="inlineStr">
        <is>
          <t>LAB-001828</t>
        </is>
      </c>
      <c r="B1829" s="53" t="inlineStr">
        <is>
          <t>WP-00805</t>
        </is>
      </c>
      <c r="C1829" s="53" t="inlineStr">
        <is>
          <t>TECH-008</t>
        </is>
      </c>
      <c r="D1829" s="53" t="inlineStr">
        <is>
          <t>Avionics</t>
        </is>
      </c>
      <c r="E1829" s="53" t="inlineStr">
        <is>
          <t>2025-01-21</t>
        </is>
      </c>
      <c r="F1829" s="53">
        <v>1.9</v>
      </c>
      <c r="G1829" s="53">
        <v>0</v>
      </c>
      <c r="H1829" s="51" t="str">
        <f>TEXT(tblLaborEntries[[#This Row],[Work date serial]]-WEEKDAY(tblLaborEntries[[#This Row],[Work date serial]],3),"yyyy-mm-dd")</f>
        <v>2025-01-20</v>
      </c>
      <c r="I1829" s="64">
        <f>DATEVALUE(tblLaborEntries[[#This Row],[Work date]])</f>
        <v>45678.0</v>
      </c>
    </row>
    <row r="1830" spans="1:9" ht="15" x14ac:dyDescent="0.25">
      <c r="A1830" s="53" t="inlineStr">
        <is>
          <t>LAB-001829</t>
        </is>
      </c>
      <c r="B1830" s="53" t="inlineStr">
        <is>
          <t>WP-00805</t>
        </is>
      </c>
      <c r="C1830" s="53" t="inlineStr">
        <is>
          <t>TECH-050</t>
        </is>
      </c>
      <c r="D1830" s="53" t="inlineStr">
        <is>
          <t>Avionics</t>
        </is>
      </c>
      <c r="E1830" s="53" t="inlineStr">
        <is>
          <t>2025-01-22</t>
        </is>
      </c>
      <c r="F1830" s="53">
        <v>1.9</v>
      </c>
      <c r="G1830" s="53">
        <v>0</v>
      </c>
      <c r="H1830" s="51" t="str">
        <f>TEXT(tblLaborEntries[[#This Row],[Work date serial]]-WEEKDAY(tblLaborEntries[[#This Row],[Work date serial]],3),"yyyy-mm-dd")</f>
        <v>2025-01-20</v>
      </c>
      <c r="I1830" s="64">
        <f>DATEVALUE(tblLaborEntries[[#This Row],[Work date]])</f>
        <v>45679.0</v>
      </c>
    </row>
    <row r="1831" spans="1:9" ht="15" x14ac:dyDescent="0.25">
      <c r="A1831" s="53" t="inlineStr">
        <is>
          <t>LAB-001830</t>
        </is>
      </c>
      <c r="B1831" s="53" t="inlineStr">
        <is>
          <t>WP-00805</t>
        </is>
      </c>
      <c r="C1831" s="53" t="inlineStr">
        <is>
          <t>TECH-068</t>
        </is>
      </c>
      <c r="D1831" s="53" t="inlineStr">
        <is>
          <t>Avionics</t>
        </is>
      </c>
      <c r="E1831" s="53" t="inlineStr">
        <is>
          <t>2025-01-23</t>
        </is>
      </c>
      <c r="F1831" s="53">
        <v>1.7</v>
      </c>
      <c r="G1831" s="53">
        <v>0</v>
      </c>
      <c r="H1831" s="51" t="str">
        <f>TEXT(tblLaborEntries[[#This Row],[Work date serial]]-WEEKDAY(tblLaborEntries[[#This Row],[Work date serial]],3),"yyyy-mm-dd")</f>
        <v>2025-01-20</v>
      </c>
      <c r="I1831" s="64">
        <f>DATEVALUE(tblLaborEntries[[#This Row],[Work date]])</f>
        <v>45680.0</v>
      </c>
    </row>
    <row r="1832" spans="1:9" ht="15" x14ac:dyDescent="0.25">
      <c r="A1832" s="53" t="inlineStr">
        <is>
          <t>LAB-001831</t>
        </is>
      </c>
      <c r="B1832" s="53" t="inlineStr">
        <is>
          <t>WP-00806</t>
        </is>
      </c>
      <c r="C1832" s="53" t="inlineStr">
        <is>
          <t>TECH-001</t>
        </is>
      </c>
      <c r="D1832" s="53" t="inlineStr">
        <is>
          <t>Airframe</t>
        </is>
      </c>
      <c r="E1832" s="53" t="inlineStr">
        <is>
          <t>2024-03-06</t>
        </is>
      </c>
      <c r="F1832" s="53">
        <v>2.4</v>
      </c>
      <c r="G1832" s="53">
        <v>0</v>
      </c>
      <c r="H1832" s="51" t="str">
        <f>TEXT(tblLaborEntries[[#This Row],[Work date serial]]-WEEKDAY(tblLaborEntries[[#This Row],[Work date serial]],3),"yyyy-mm-dd")</f>
        <v>2024-03-04</v>
      </c>
      <c r="I1832" s="64">
        <f>DATEVALUE(tblLaborEntries[[#This Row],[Work date]])</f>
        <v>45357.0</v>
      </c>
    </row>
    <row r="1833" spans="1:9" ht="15" x14ac:dyDescent="0.25">
      <c r="A1833" s="53" t="inlineStr">
        <is>
          <t>LAB-001832</t>
        </is>
      </c>
      <c r="B1833" s="53" t="inlineStr">
        <is>
          <t>WP-00807</t>
        </is>
      </c>
      <c r="C1833" s="53" t="inlineStr">
        <is>
          <t>TECH-061</t>
        </is>
      </c>
      <c r="D1833" s="53" t="inlineStr">
        <is>
          <t>Airframe</t>
        </is>
      </c>
      <c r="E1833" s="53" t="inlineStr">
        <is>
          <t>2025-12-30</t>
        </is>
      </c>
      <c r="F1833" s="53">
        <v>4.2</v>
      </c>
      <c r="G1833" s="53">
        <v>0</v>
      </c>
      <c r="H1833" s="51" t="str">
        <f>TEXT(tblLaborEntries[[#This Row],[Work date serial]]-WEEKDAY(tblLaborEntries[[#This Row],[Work date serial]],3),"yyyy-mm-dd")</f>
        <v>2025-12-29</v>
      </c>
      <c r="I1833" s="64">
        <f>DATEVALUE(tblLaborEntries[[#This Row],[Work date]])</f>
        <v>46021.0</v>
      </c>
    </row>
    <row r="1834" spans="1:9" ht="15" x14ac:dyDescent="0.25">
      <c r="A1834" s="53" t="inlineStr">
        <is>
          <t>LAB-001833</t>
        </is>
      </c>
      <c r="B1834" s="53" t="inlineStr">
        <is>
          <t>WP-00808</t>
        </is>
      </c>
      <c r="C1834" s="53" t="inlineStr">
        <is>
          <t>TECH-004</t>
        </is>
      </c>
      <c r="D1834" s="53" t="inlineStr">
        <is>
          <t>Electrical</t>
        </is>
      </c>
      <c r="E1834" s="53" t="inlineStr">
        <is>
          <t>2024-09-25</t>
        </is>
      </c>
      <c r="F1834" s="53">
        <v>12</v>
      </c>
      <c r="G1834" s="53">
        <v>4</v>
      </c>
      <c r="H1834" s="51" t="str">
        <f>TEXT(tblLaborEntries[[#This Row],[Work date serial]]-WEEKDAY(tblLaborEntries[[#This Row],[Work date serial]],3),"yyyy-mm-dd")</f>
        <v>2024-09-23</v>
      </c>
      <c r="I1834" s="64">
        <f>DATEVALUE(tblLaborEntries[[#This Row],[Work date]])</f>
        <v>45560.0</v>
      </c>
    </row>
    <row r="1835" spans="1:9" ht="15" x14ac:dyDescent="0.25">
      <c r="A1835" s="53" t="inlineStr">
        <is>
          <t>LAB-001834</t>
        </is>
      </c>
      <c r="B1835" s="53" t="inlineStr">
        <is>
          <t>WP-00808</t>
        </is>
      </c>
      <c r="C1835" s="53" t="inlineStr">
        <is>
          <t>TECH-010</t>
        </is>
      </c>
      <c r="D1835" s="53" t="inlineStr">
        <is>
          <t>Electrical</t>
        </is>
      </c>
      <c r="E1835" s="53" t="inlineStr">
        <is>
          <t>2024-09-25</t>
        </is>
      </c>
      <c r="F1835" s="53">
        <v>4.4</v>
      </c>
      <c r="G1835" s="53">
        <v>0</v>
      </c>
      <c r="H1835" s="51" t="str">
        <f>TEXT(tblLaborEntries[[#This Row],[Work date serial]]-WEEKDAY(tblLaborEntries[[#This Row],[Work date serial]],3),"yyyy-mm-dd")</f>
        <v>2024-09-23</v>
      </c>
      <c r="I1835" s="64">
        <f>DATEVALUE(tblLaborEntries[[#This Row],[Work date]])</f>
        <v>45560.0</v>
      </c>
    </row>
    <row r="1836" spans="1:9" ht="15" x14ac:dyDescent="0.25">
      <c r="A1836" s="53" t="inlineStr">
        <is>
          <t>LAB-001835</t>
        </is>
      </c>
      <c r="B1836" s="53" t="inlineStr">
        <is>
          <t>WP-00808</t>
        </is>
      </c>
      <c r="C1836" s="53" t="inlineStr">
        <is>
          <t>TECH-058</t>
        </is>
      </c>
      <c r="D1836" s="53" t="inlineStr">
        <is>
          <t>Electrical</t>
        </is>
      </c>
      <c r="E1836" s="53" t="inlineStr">
        <is>
          <t>2024-09-25</t>
        </is>
      </c>
      <c r="F1836" s="53">
        <v>12</v>
      </c>
      <c r="G1836" s="53">
        <v>4</v>
      </c>
      <c r="H1836" s="51" t="str">
        <f>TEXT(tblLaborEntries[[#This Row],[Work date serial]]-WEEKDAY(tblLaborEntries[[#This Row],[Work date serial]],3),"yyyy-mm-dd")</f>
        <v>2024-09-23</v>
      </c>
      <c r="I1836" s="64">
        <f>DATEVALUE(tblLaborEntries[[#This Row],[Work date]])</f>
        <v>45560.0</v>
      </c>
    </row>
    <row r="1837" spans="1:9" ht="15" x14ac:dyDescent="0.25">
      <c r="A1837" s="53" t="inlineStr">
        <is>
          <t>LAB-001836</t>
        </is>
      </c>
      <c r="B1837" s="53" t="inlineStr">
        <is>
          <t>WP-00809</t>
        </is>
      </c>
      <c r="C1837" s="53" t="inlineStr">
        <is>
          <t>TECH-068</t>
        </is>
      </c>
      <c r="D1837" s="53" t="inlineStr">
        <is>
          <t>Avionics</t>
        </is>
      </c>
      <c r="E1837" s="53" t="inlineStr">
        <is>
          <t>2024-08-28</t>
        </is>
      </c>
      <c r="F1837" s="53">
        <v>2.4</v>
      </c>
      <c r="G1837" s="53">
        <v>0</v>
      </c>
      <c r="H1837" s="51" t="str">
        <f>TEXT(tblLaborEntries[[#This Row],[Work date serial]]-WEEKDAY(tblLaborEntries[[#This Row],[Work date serial]],3),"yyyy-mm-dd")</f>
        <v>2024-08-26</v>
      </c>
      <c r="I1837" s="64">
        <f>DATEVALUE(tblLaborEntries[[#This Row],[Work date]])</f>
        <v>45532.0</v>
      </c>
    </row>
    <row r="1838" spans="1:9" ht="15" x14ac:dyDescent="0.25">
      <c r="A1838" s="53" t="inlineStr">
        <is>
          <t>LAB-001837</t>
        </is>
      </c>
      <c r="B1838" s="53" t="inlineStr">
        <is>
          <t>WP-00809</t>
        </is>
      </c>
      <c r="C1838" s="53" t="inlineStr">
        <is>
          <t>TECH-062</t>
        </is>
      </c>
      <c r="D1838" s="53" t="inlineStr">
        <is>
          <t>Avionics</t>
        </is>
      </c>
      <c r="E1838" s="53" t="inlineStr">
        <is>
          <t>2024-08-29</t>
        </is>
      </c>
      <c r="F1838" s="53">
        <v>3</v>
      </c>
      <c r="G1838" s="53">
        <v>0</v>
      </c>
      <c r="H1838" s="51" t="str">
        <f>TEXT(tblLaborEntries[[#This Row],[Work date serial]]-WEEKDAY(tblLaborEntries[[#This Row],[Work date serial]],3),"yyyy-mm-dd")</f>
        <v>2024-08-26</v>
      </c>
      <c r="I1838" s="64">
        <f>DATEVALUE(tblLaborEntries[[#This Row],[Work date]])</f>
        <v>45533.0</v>
      </c>
    </row>
    <row r="1839" spans="1:9" ht="15" x14ac:dyDescent="0.25">
      <c r="A1839" s="53" t="inlineStr">
        <is>
          <t>LAB-001838</t>
        </is>
      </c>
      <c r="B1839" s="53" t="inlineStr">
        <is>
          <t>WP-00809</t>
        </is>
      </c>
      <c r="C1839" s="53" t="inlineStr">
        <is>
          <t>TECH-056</t>
        </is>
      </c>
      <c r="D1839" s="53" t="inlineStr">
        <is>
          <t>Avionics</t>
        </is>
      </c>
      <c r="E1839" s="53" t="inlineStr">
        <is>
          <t>2024-08-30</t>
        </is>
      </c>
      <c r="F1839" s="53">
        <v>2.7</v>
      </c>
      <c r="G1839" s="53">
        <v>0</v>
      </c>
      <c r="H1839" s="51" t="str">
        <f>TEXT(tblLaborEntries[[#This Row],[Work date serial]]-WEEKDAY(tblLaborEntries[[#This Row],[Work date serial]],3),"yyyy-mm-dd")</f>
        <v>2024-08-26</v>
      </c>
      <c r="I1839" s="64">
        <f>DATEVALUE(tblLaborEntries[[#This Row],[Work date]])</f>
        <v>45534.0</v>
      </c>
    </row>
    <row r="1840" spans="1:9" ht="15" x14ac:dyDescent="0.25">
      <c r="A1840" s="53" t="inlineStr">
        <is>
          <t>LAB-001839</t>
        </is>
      </c>
      <c r="B1840" s="53" t="inlineStr">
        <is>
          <t>WP-00810</t>
        </is>
      </c>
      <c r="C1840" s="53" t="inlineStr">
        <is>
          <t>TECH-073</t>
        </is>
      </c>
      <c r="D1840" s="53" t="inlineStr">
        <is>
          <t>Airframe</t>
        </is>
      </c>
      <c r="E1840" s="53" t="inlineStr">
        <is>
          <t>2025-08-24</t>
        </is>
      </c>
      <c r="F1840" s="53">
        <v>1.7</v>
      </c>
      <c r="G1840" s="53">
        <v>0</v>
      </c>
      <c r="H1840" s="51" t="str">
        <f>TEXT(tblLaborEntries[[#This Row],[Work date serial]]-WEEKDAY(tblLaborEntries[[#This Row],[Work date serial]],3),"yyyy-mm-dd")</f>
        <v>2025-08-18</v>
      </c>
      <c r="I1840" s="64">
        <f>DATEVALUE(tblLaborEntries[[#This Row],[Work date]])</f>
        <v>45893.0</v>
      </c>
    </row>
    <row r="1841" spans="1:9" ht="15" x14ac:dyDescent="0.25">
      <c r="A1841" s="53" t="inlineStr">
        <is>
          <t>LAB-001840</t>
        </is>
      </c>
      <c r="B1841" s="53" t="inlineStr">
        <is>
          <t>WP-00810</t>
        </is>
      </c>
      <c r="C1841" s="53" t="inlineStr">
        <is>
          <t>TECH-031</t>
        </is>
      </c>
      <c r="D1841" s="53" t="inlineStr">
        <is>
          <t>Airframe</t>
        </is>
      </c>
      <c r="E1841" s="53" t="inlineStr">
        <is>
          <t>2025-08-25</t>
        </is>
      </c>
      <c r="F1841" s="53">
        <v>1.8</v>
      </c>
      <c r="G1841" s="53">
        <v>0</v>
      </c>
      <c r="H1841" s="51" t="str">
        <f>TEXT(tblLaborEntries[[#This Row],[Work date serial]]-WEEKDAY(tblLaborEntries[[#This Row],[Work date serial]],3),"yyyy-mm-dd")</f>
        <v>2025-08-25</v>
      </c>
      <c r="I1841" s="64">
        <f>DATEVALUE(tblLaborEntries[[#This Row],[Work date]])</f>
        <v>45894.0</v>
      </c>
    </row>
    <row r="1842" spans="1:9" ht="15" x14ac:dyDescent="0.25">
      <c r="A1842" s="53" t="inlineStr">
        <is>
          <t>LAB-001841</t>
        </is>
      </c>
      <c r="B1842" s="53" t="inlineStr">
        <is>
          <t>WP-00811</t>
        </is>
      </c>
      <c r="C1842" s="53" t="inlineStr">
        <is>
          <t>TECH-065</t>
        </is>
      </c>
      <c r="D1842" s="53" t="inlineStr">
        <is>
          <t>Structures</t>
        </is>
      </c>
      <c r="E1842" s="53" t="inlineStr">
        <is>
          <t>2024-11-24</t>
        </is>
      </c>
      <c r="F1842" s="53">
        <v>4.1</v>
      </c>
      <c r="G1842" s="53">
        <v>0</v>
      </c>
      <c r="H1842" s="51" t="str">
        <f>TEXT(tblLaborEntries[[#This Row],[Work date serial]]-WEEKDAY(tblLaborEntries[[#This Row],[Work date serial]],3),"yyyy-mm-dd")</f>
        <v>2024-11-18</v>
      </c>
      <c r="I1842" s="64">
        <f>DATEVALUE(tblLaborEntries[[#This Row],[Work date]])</f>
        <v>45620.0</v>
      </c>
    </row>
    <row r="1843" spans="1:9" ht="15" x14ac:dyDescent="0.25">
      <c r="A1843" s="53" t="inlineStr">
        <is>
          <t>LAB-001842</t>
        </is>
      </c>
      <c r="B1843" s="53" t="inlineStr">
        <is>
          <t>WP-00811</t>
        </is>
      </c>
      <c r="C1843" s="53" t="inlineStr">
        <is>
          <t>TECH-065</t>
        </is>
      </c>
      <c r="D1843" s="53" t="inlineStr">
        <is>
          <t>Structures</t>
        </is>
      </c>
      <c r="E1843" s="53" t="inlineStr">
        <is>
          <t>2024-11-25</t>
        </is>
      </c>
      <c r="F1843" s="53">
        <v>4.9</v>
      </c>
      <c r="G1843" s="53">
        <v>0</v>
      </c>
      <c r="H1843" s="51" t="str">
        <f>TEXT(tblLaborEntries[[#This Row],[Work date serial]]-WEEKDAY(tblLaborEntries[[#This Row],[Work date serial]],3),"yyyy-mm-dd")</f>
        <v>2024-11-25</v>
      </c>
      <c r="I1843" s="64">
        <f>DATEVALUE(tblLaborEntries[[#This Row],[Work date]])</f>
        <v>45621.0</v>
      </c>
    </row>
    <row r="1844" spans="1:9" ht="15" x14ac:dyDescent="0.25">
      <c r="A1844" s="53" t="inlineStr">
        <is>
          <t>LAB-001843</t>
        </is>
      </c>
      <c r="B1844" s="53" t="inlineStr">
        <is>
          <t>WP-00811</t>
        </is>
      </c>
      <c r="C1844" s="53" t="inlineStr">
        <is>
          <t>TECH-011</t>
        </is>
      </c>
      <c r="D1844" s="53" t="inlineStr">
        <is>
          <t>Structures</t>
        </is>
      </c>
      <c r="E1844" s="53" t="inlineStr">
        <is>
          <t>2024-11-26</t>
        </is>
      </c>
      <c r="F1844" s="53">
        <v>5.1</v>
      </c>
      <c r="G1844" s="53">
        <v>0</v>
      </c>
      <c r="H1844" s="51" t="str">
        <f>TEXT(tblLaborEntries[[#This Row],[Work date serial]]-WEEKDAY(tblLaborEntries[[#This Row],[Work date serial]],3),"yyyy-mm-dd")</f>
        <v>2024-11-25</v>
      </c>
      <c r="I1844" s="64">
        <f>DATEVALUE(tblLaborEntries[[#This Row],[Work date]])</f>
        <v>45622.0</v>
      </c>
    </row>
    <row r="1845" spans="1:9" ht="15" x14ac:dyDescent="0.25">
      <c r="A1845" s="53" t="inlineStr">
        <is>
          <t>LAB-001844</t>
        </is>
      </c>
      <c r="B1845" s="53" t="inlineStr">
        <is>
          <t>WP-00812</t>
        </is>
      </c>
      <c r="C1845" s="53" t="inlineStr">
        <is>
          <t>TECH-001</t>
        </is>
      </c>
      <c r="D1845" s="53" t="inlineStr">
        <is>
          <t>Airframe</t>
        </is>
      </c>
      <c r="E1845" s="53" t="inlineStr">
        <is>
          <t>2025-10-02</t>
        </is>
      </c>
      <c r="F1845" s="53">
        <v>1.3</v>
      </c>
      <c r="G1845" s="53">
        <v>0</v>
      </c>
      <c r="H1845" s="51" t="str">
        <f>TEXT(tblLaborEntries[[#This Row],[Work date serial]]-WEEKDAY(tblLaborEntries[[#This Row],[Work date serial]],3),"yyyy-mm-dd")</f>
        <v>2025-09-29</v>
      </c>
      <c r="I1845" s="64">
        <f>DATEVALUE(tblLaborEntries[[#This Row],[Work date]])</f>
        <v>45932.0</v>
      </c>
    </row>
    <row r="1846" spans="1:9" ht="15" x14ac:dyDescent="0.25">
      <c r="A1846" s="53" t="inlineStr">
        <is>
          <t>LAB-001845</t>
        </is>
      </c>
      <c r="B1846" s="53" t="inlineStr">
        <is>
          <t>WP-00812</t>
        </is>
      </c>
      <c r="C1846" s="53" t="inlineStr">
        <is>
          <t>TECH-073</t>
        </is>
      </c>
      <c r="D1846" s="53" t="inlineStr">
        <is>
          <t>Airframe</t>
        </is>
      </c>
      <c r="E1846" s="53" t="inlineStr">
        <is>
          <t>2025-10-02</t>
        </is>
      </c>
      <c r="F1846" s="53">
        <v>12</v>
      </c>
      <c r="G1846" s="53">
        <v>4</v>
      </c>
      <c r="H1846" s="51" t="str">
        <f>TEXT(tblLaborEntries[[#This Row],[Work date serial]]-WEEKDAY(tblLaborEntries[[#This Row],[Work date serial]],3),"yyyy-mm-dd")</f>
        <v>2025-09-29</v>
      </c>
      <c r="I1846" s="64">
        <f>DATEVALUE(tblLaborEntries[[#This Row],[Work date]])</f>
        <v>45932.0</v>
      </c>
    </row>
    <row r="1847" spans="1:9" ht="15" x14ac:dyDescent="0.25">
      <c r="A1847" s="53" t="inlineStr">
        <is>
          <t>LAB-001846</t>
        </is>
      </c>
      <c r="B1847" s="53" t="inlineStr">
        <is>
          <t>WP-00813</t>
        </is>
      </c>
      <c r="C1847" s="53" t="inlineStr">
        <is>
          <t>TECH-019</t>
        </is>
      </c>
      <c r="D1847" s="53" t="inlineStr">
        <is>
          <t>Airframe</t>
        </is>
      </c>
      <c r="E1847" s="53" t="inlineStr">
        <is>
          <t>2025-09-27</t>
        </is>
      </c>
      <c r="F1847" s="53">
        <v>4.4</v>
      </c>
      <c r="G1847" s="53">
        <v>0</v>
      </c>
      <c r="H1847" s="51" t="str">
        <f>TEXT(tblLaborEntries[[#This Row],[Work date serial]]-WEEKDAY(tblLaborEntries[[#This Row],[Work date serial]],3),"yyyy-mm-dd")</f>
        <v>2025-09-22</v>
      </c>
      <c r="I1847" s="64">
        <f>DATEVALUE(tblLaborEntries[[#This Row],[Work date]])</f>
        <v>45927.0</v>
      </c>
    </row>
    <row r="1848" spans="1:9" ht="15" x14ac:dyDescent="0.25">
      <c r="A1848" s="53" t="inlineStr">
        <is>
          <t>LAB-001847</t>
        </is>
      </c>
      <c r="B1848" s="53" t="inlineStr">
        <is>
          <t>WP-00813</t>
        </is>
      </c>
      <c r="C1848" s="53" t="inlineStr">
        <is>
          <t>TECH-049</t>
        </is>
      </c>
      <c r="D1848" s="53" t="inlineStr">
        <is>
          <t>Airframe</t>
        </is>
      </c>
      <c r="E1848" s="53" t="inlineStr">
        <is>
          <t>2025-09-28</t>
        </is>
      </c>
      <c r="F1848" s="53">
        <v>4.4</v>
      </c>
      <c r="G1848" s="53">
        <v>0</v>
      </c>
      <c r="H1848" s="51" t="str">
        <f>TEXT(tblLaborEntries[[#This Row],[Work date serial]]-WEEKDAY(tblLaborEntries[[#This Row],[Work date serial]],3),"yyyy-mm-dd")</f>
        <v>2025-09-22</v>
      </c>
      <c r="I1848" s="64">
        <f>DATEVALUE(tblLaborEntries[[#This Row],[Work date]])</f>
        <v>45928.0</v>
      </c>
    </row>
    <row r="1849" spans="1:9" ht="15" x14ac:dyDescent="0.25">
      <c r="A1849" s="53" t="inlineStr">
        <is>
          <t>LAB-001848</t>
        </is>
      </c>
      <c r="B1849" s="53" t="inlineStr">
        <is>
          <t>WP-00814</t>
        </is>
      </c>
      <c r="C1849" s="53" t="inlineStr">
        <is>
          <t>TECH-008</t>
        </is>
      </c>
      <c r="D1849" s="53" t="inlineStr">
        <is>
          <t>Avionics</t>
        </is>
      </c>
      <c r="E1849" s="53" t="inlineStr">
        <is>
          <t>2024-04-16</t>
        </is>
      </c>
      <c r="F1849" s="53">
        <v>11.8</v>
      </c>
      <c r="G1849" s="53">
        <v>3.8</v>
      </c>
      <c r="H1849" s="51" t="str">
        <f>TEXT(tblLaborEntries[[#This Row],[Work date serial]]-WEEKDAY(tblLaborEntries[[#This Row],[Work date serial]],3),"yyyy-mm-dd")</f>
        <v>2024-04-15</v>
      </c>
      <c r="I1849" s="64">
        <f>DATEVALUE(tblLaborEntries[[#This Row],[Work date]])</f>
        <v>45398.0</v>
      </c>
    </row>
    <row r="1850" spans="1:9" ht="15" x14ac:dyDescent="0.25">
      <c r="A1850" s="53" t="inlineStr">
        <is>
          <t>LAB-001849</t>
        </is>
      </c>
      <c r="B1850" s="53" t="inlineStr">
        <is>
          <t>WP-00815</t>
        </is>
      </c>
      <c r="C1850" s="53" t="inlineStr">
        <is>
          <t>TECH-036</t>
        </is>
      </c>
      <c r="D1850" s="53" t="inlineStr">
        <is>
          <t>Powerplant</t>
        </is>
      </c>
      <c r="E1850" s="53" t="inlineStr">
        <is>
          <t>2024-12-06</t>
        </is>
      </c>
      <c r="F1850" s="53">
        <v>5.9</v>
      </c>
      <c r="G1850" s="53">
        <v>0</v>
      </c>
      <c r="H1850" s="51" t="str">
        <f>TEXT(tblLaborEntries[[#This Row],[Work date serial]]-WEEKDAY(tblLaborEntries[[#This Row],[Work date serial]],3),"yyyy-mm-dd")</f>
        <v>2024-12-02</v>
      </c>
      <c r="I1850" s="64">
        <f>DATEVALUE(tblLaborEntries[[#This Row],[Work date]])</f>
        <v>45632.0</v>
      </c>
    </row>
    <row r="1851" spans="1:9" ht="15" x14ac:dyDescent="0.25">
      <c r="A1851" s="53" t="inlineStr">
        <is>
          <t>LAB-001850</t>
        </is>
      </c>
      <c r="B1851" s="53" t="inlineStr">
        <is>
          <t>WP-00815</t>
        </is>
      </c>
      <c r="C1851" s="53" t="inlineStr">
        <is>
          <t>TECH-072</t>
        </is>
      </c>
      <c r="D1851" s="53" t="inlineStr">
        <is>
          <t>Powerplant</t>
        </is>
      </c>
      <c r="E1851" s="53" t="inlineStr">
        <is>
          <t>2024-12-07</t>
        </is>
      </c>
      <c r="F1851" s="53">
        <v>7.9</v>
      </c>
      <c r="G1851" s="53">
        <v>0</v>
      </c>
      <c r="H1851" s="51" t="str">
        <f>TEXT(tblLaborEntries[[#This Row],[Work date serial]]-WEEKDAY(tblLaborEntries[[#This Row],[Work date serial]],3),"yyyy-mm-dd")</f>
        <v>2024-12-02</v>
      </c>
      <c r="I1851" s="64">
        <f>DATEVALUE(tblLaborEntries[[#This Row],[Work date]])</f>
        <v>45633.0</v>
      </c>
    </row>
    <row r="1852" spans="1:9" ht="15" x14ac:dyDescent="0.25">
      <c r="A1852" s="53" t="inlineStr">
        <is>
          <t>LAB-001851</t>
        </is>
      </c>
      <c r="B1852" s="53" t="inlineStr">
        <is>
          <t>WP-00816</t>
        </is>
      </c>
      <c r="C1852" s="53" t="inlineStr">
        <is>
          <t>TECH-062</t>
        </is>
      </c>
      <c r="D1852" s="53" t="inlineStr">
        <is>
          <t>Avionics</t>
        </is>
      </c>
      <c r="E1852" s="53" t="inlineStr">
        <is>
          <t>2024-08-27</t>
        </is>
      </c>
      <c r="F1852" s="53">
        <v>2.1</v>
      </c>
      <c r="G1852" s="53">
        <v>0</v>
      </c>
      <c r="H1852" s="51" t="str">
        <f>TEXT(tblLaborEntries[[#This Row],[Work date serial]]-WEEKDAY(tblLaborEntries[[#This Row],[Work date serial]],3),"yyyy-mm-dd")</f>
        <v>2024-08-26</v>
      </c>
      <c r="I1852" s="64">
        <f>DATEVALUE(tblLaborEntries[[#This Row],[Work date]])</f>
        <v>45531.0</v>
      </c>
    </row>
    <row r="1853" spans="1:9" ht="15" x14ac:dyDescent="0.25">
      <c r="A1853" s="53" t="inlineStr">
        <is>
          <t>LAB-001852</t>
        </is>
      </c>
      <c r="B1853" s="53" t="inlineStr">
        <is>
          <t>WP-00816</t>
        </is>
      </c>
      <c r="C1853" s="53" t="inlineStr">
        <is>
          <t>TECH-050</t>
        </is>
      </c>
      <c r="D1853" s="53" t="inlineStr">
        <is>
          <t>Avionics</t>
        </is>
      </c>
      <c r="E1853" s="53" t="inlineStr">
        <is>
          <t>2024-08-28</t>
        </is>
      </c>
      <c r="F1853" s="53">
        <v>2.3</v>
      </c>
      <c r="G1853" s="53">
        <v>0</v>
      </c>
      <c r="H1853" s="51" t="str">
        <f>TEXT(tblLaborEntries[[#This Row],[Work date serial]]-WEEKDAY(tblLaborEntries[[#This Row],[Work date serial]],3),"yyyy-mm-dd")</f>
        <v>2024-08-26</v>
      </c>
      <c r="I1853" s="64">
        <f>DATEVALUE(tblLaborEntries[[#This Row],[Work date]])</f>
        <v>45532.0</v>
      </c>
    </row>
    <row r="1854" spans="1:9" ht="15" x14ac:dyDescent="0.25">
      <c r="A1854" s="53" t="inlineStr">
        <is>
          <t>LAB-001853</t>
        </is>
      </c>
      <c r="B1854" s="53" t="inlineStr">
        <is>
          <t>WP-00816</t>
        </is>
      </c>
      <c r="C1854" s="53" t="inlineStr">
        <is>
          <t>TECH-020</t>
        </is>
      </c>
      <c r="D1854" s="53" t="inlineStr">
        <is>
          <t>Avionics</t>
        </is>
      </c>
      <c r="E1854" s="53" t="inlineStr">
        <is>
          <t>2024-08-29</t>
        </is>
      </c>
      <c r="F1854" s="53">
        <v>2.2</v>
      </c>
      <c r="G1854" s="53">
        <v>0</v>
      </c>
      <c r="H1854" s="51" t="str">
        <f>TEXT(tblLaborEntries[[#This Row],[Work date serial]]-WEEKDAY(tblLaborEntries[[#This Row],[Work date serial]],3),"yyyy-mm-dd")</f>
        <v>2024-08-26</v>
      </c>
      <c r="I1854" s="64">
        <f>DATEVALUE(tblLaborEntries[[#This Row],[Work date]])</f>
        <v>45533.0</v>
      </c>
    </row>
    <row r="1855" spans="1:9" ht="15" x14ac:dyDescent="0.25">
      <c r="A1855" s="53" t="inlineStr">
        <is>
          <t>LAB-001854</t>
        </is>
      </c>
      <c r="B1855" s="53" t="inlineStr">
        <is>
          <t>WP-00817</t>
        </is>
      </c>
      <c r="C1855" s="53" t="inlineStr">
        <is>
          <t>TECH-062</t>
        </is>
      </c>
      <c r="D1855" s="53" t="inlineStr">
        <is>
          <t>Avionics</t>
        </is>
      </c>
      <c r="E1855" s="53" t="inlineStr">
        <is>
          <t>2025-09-23</t>
        </is>
      </c>
      <c r="F1855" s="53">
        <v>4.7</v>
      </c>
      <c r="G1855" s="53">
        <v>0</v>
      </c>
      <c r="H1855" s="51" t="str">
        <f>TEXT(tblLaborEntries[[#This Row],[Work date serial]]-WEEKDAY(tblLaborEntries[[#This Row],[Work date serial]],3),"yyyy-mm-dd")</f>
        <v>2025-09-22</v>
      </c>
      <c r="I1855" s="64">
        <f>DATEVALUE(tblLaborEntries[[#This Row],[Work date]])</f>
        <v>45923.0</v>
      </c>
    </row>
    <row r="1856" spans="1:9" ht="15" x14ac:dyDescent="0.25">
      <c r="A1856" s="53" t="inlineStr">
        <is>
          <t>LAB-001855</t>
        </is>
      </c>
      <c r="B1856" s="53" t="inlineStr">
        <is>
          <t>WP-00817</t>
        </is>
      </c>
      <c r="C1856" s="53" t="inlineStr">
        <is>
          <t>TECH-014</t>
        </is>
      </c>
      <c r="D1856" s="53" t="inlineStr">
        <is>
          <t>Avionics</t>
        </is>
      </c>
      <c r="E1856" s="53" t="inlineStr">
        <is>
          <t>2025-09-24</t>
        </is>
      </c>
      <c r="F1856" s="53">
        <v>5.9</v>
      </c>
      <c r="G1856" s="53">
        <v>0</v>
      </c>
      <c r="H1856" s="51" t="str">
        <f>TEXT(tblLaborEntries[[#This Row],[Work date serial]]-WEEKDAY(tblLaborEntries[[#This Row],[Work date serial]],3),"yyyy-mm-dd")</f>
        <v>2025-09-22</v>
      </c>
      <c r="I1856" s="64">
        <f>DATEVALUE(tblLaborEntries[[#This Row],[Work date]])</f>
        <v>45924.0</v>
      </c>
    </row>
    <row r="1857" spans="1:9" ht="15" x14ac:dyDescent="0.25">
      <c r="A1857" s="53" t="inlineStr">
        <is>
          <t>LAB-001856</t>
        </is>
      </c>
      <c r="B1857" s="53" t="inlineStr">
        <is>
          <t>WP-00818</t>
        </is>
      </c>
      <c r="C1857" s="53" t="inlineStr">
        <is>
          <t>TECH-005</t>
        </is>
      </c>
      <c r="D1857" s="53" t="inlineStr">
        <is>
          <t>Structures</t>
        </is>
      </c>
      <c r="E1857" s="53" t="inlineStr">
        <is>
          <t>2025-05-17</t>
        </is>
      </c>
      <c r="F1857" s="53">
        <v>1.5</v>
      </c>
      <c r="G1857" s="53">
        <v>0</v>
      </c>
      <c r="H1857" s="51" t="str">
        <f>TEXT(tblLaborEntries[[#This Row],[Work date serial]]-WEEKDAY(tblLaborEntries[[#This Row],[Work date serial]],3),"yyyy-mm-dd")</f>
        <v>2025-05-12</v>
      </c>
      <c r="I1857" s="64">
        <f>DATEVALUE(tblLaborEntries[[#This Row],[Work date]])</f>
        <v>45794.0</v>
      </c>
    </row>
    <row r="1858" spans="1:9" ht="15" x14ac:dyDescent="0.25">
      <c r="A1858" s="53" t="inlineStr">
        <is>
          <t>LAB-001857</t>
        </is>
      </c>
      <c r="B1858" s="53" t="inlineStr">
        <is>
          <t>WP-00818</t>
        </is>
      </c>
      <c r="C1858" s="53" t="inlineStr">
        <is>
          <t>TECH-071</t>
        </is>
      </c>
      <c r="D1858" s="53" t="inlineStr">
        <is>
          <t>Structures</t>
        </is>
      </c>
      <c r="E1858" s="53" t="inlineStr">
        <is>
          <t>2025-05-17</t>
        </is>
      </c>
      <c r="F1858" s="53">
        <v>12</v>
      </c>
      <c r="G1858" s="53">
        <v>4</v>
      </c>
      <c r="H1858" s="51" t="str">
        <f>TEXT(tblLaborEntries[[#This Row],[Work date serial]]-WEEKDAY(tblLaborEntries[[#This Row],[Work date serial]],3),"yyyy-mm-dd")</f>
        <v>2025-05-12</v>
      </c>
      <c r="I1858" s="64">
        <f>DATEVALUE(tblLaborEntries[[#This Row],[Work date]])</f>
        <v>45794.0</v>
      </c>
    </row>
    <row r="1859" spans="1:9" ht="15" x14ac:dyDescent="0.25">
      <c r="A1859" s="53" t="inlineStr">
        <is>
          <t>LAB-001858</t>
        </is>
      </c>
      <c r="B1859" s="53" t="inlineStr">
        <is>
          <t>WP-00818</t>
        </is>
      </c>
      <c r="C1859" s="53" t="inlineStr">
        <is>
          <t>TECH-005</t>
        </is>
      </c>
      <c r="D1859" s="53" t="inlineStr">
        <is>
          <t>Structures</t>
        </is>
      </c>
      <c r="E1859" s="53" t="inlineStr">
        <is>
          <t>2025-05-18</t>
        </is>
      </c>
      <c r="F1859" s="53">
        <v>1.6</v>
      </c>
      <c r="G1859" s="53">
        <v>0</v>
      </c>
      <c r="H1859" s="51" t="str">
        <f>TEXT(tblLaborEntries[[#This Row],[Work date serial]]-WEEKDAY(tblLaborEntries[[#This Row],[Work date serial]],3),"yyyy-mm-dd")</f>
        <v>2025-05-12</v>
      </c>
      <c r="I1859" s="64">
        <f>DATEVALUE(tblLaborEntries[[#This Row],[Work date]])</f>
        <v>45795.0</v>
      </c>
    </row>
    <row r="1860" spans="1:9" ht="15" x14ac:dyDescent="0.25">
      <c r="A1860" s="53" t="inlineStr">
        <is>
          <t>LAB-001859</t>
        </is>
      </c>
      <c r="B1860" s="53" t="inlineStr">
        <is>
          <t>WP-00818</t>
        </is>
      </c>
      <c r="C1860" s="53" t="inlineStr">
        <is>
          <t>TECH-017</t>
        </is>
      </c>
      <c r="D1860" s="53" t="inlineStr">
        <is>
          <t>Structures</t>
        </is>
      </c>
      <c r="E1860" s="53" t="inlineStr">
        <is>
          <t>2025-05-18</t>
        </is>
      </c>
      <c r="F1860" s="53">
        <v>12</v>
      </c>
      <c r="G1860" s="53">
        <v>4</v>
      </c>
      <c r="H1860" s="51" t="str">
        <f>TEXT(tblLaborEntries[[#This Row],[Work date serial]]-WEEKDAY(tblLaborEntries[[#This Row],[Work date serial]],3),"yyyy-mm-dd")</f>
        <v>2025-05-12</v>
      </c>
      <c r="I1860" s="64">
        <f>DATEVALUE(tblLaborEntries[[#This Row],[Work date]])</f>
        <v>45795.0</v>
      </c>
    </row>
    <row r="1861" spans="1:9" ht="15" x14ac:dyDescent="0.25">
      <c r="A1861" s="53" t="inlineStr">
        <is>
          <t>LAB-001860</t>
        </is>
      </c>
      <c r="B1861" s="53" t="inlineStr">
        <is>
          <t>WP-00818</t>
        </is>
      </c>
      <c r="C1861" s="53" t="inlineStr">
        <is>
          <t>TECH-005</t>
        </is>
      </c>
      <c r="D1861" s="53" t="inlineStr">
        <is>
          <t>Structures</t>
        </is>
      </c>
      <c r="E1861" s="53" t="inlineStr">
        <is>
          <t>2025-05-19</t>
        </is>
      </c>
      <c r="F1861" s="53">
        <v>1.1</v>
      </c>
      <c r="G1861" s="53">
        <v>0</v>
      </c>
      <c r="H1861" s="51" t="str">
        <f>TEXT(tblLaborEntries[[#This Row],[Work date serial]]-WEEKDAY(tblLaborEntries[[#This Row],[Work date serial]],3),"yyyy-mm-dd")</f>
        <v>2025-05-19</v>
      </c>
      <c r="I1861" s="64">
        <f>DATEVALUE(tblLaborEntries[[#This Row],[Work date]])</f>
        <v>45796.0</v>
      </c>
    </row>
    <row r="1862" spans="1:9" ht="15" x14ac:dyDescent="0.25">
      <c r="A1862" s="53" t="inlineStr">
        <is>
          <t>LAB-001861</t>
        </is>
      </c>
      <c r="B1862" s="53" t="inlineStr">
        <is>
          <t>WP-00818</t>
        </is>
      </c>
      <c r="C1862" s="53" t="inlineStr">
        <is>
          <t>TECH-029</t>
        </is>
      </c>
      <c r="D1862" s="53" t="inlineStr">
        <is>
          <t>Structures</t>
        </is>
      </c>
      <c r="E1862" s="53" t="inlineStr">
        <is>
          <t>2025-05-19</t>
        </is>
      </c>
      <c r="F1862" s="53">
        <v>12</v>
      </c>
      <c r="G1862" s="53">
        <v>4</v>
      </c>
      <c r="H1862" s="51" t="str">
        <f>TEXT(tblLaborEntries[[#This Row],[Work date serial]]-WEEKDAY(tblLaborEntries[[#This Row],[Work date serial]],3),"yyyy-mm-dd")</f>
        <v>2025-05-19</v>
      </c>
      <c r="I1862" s="64">
        <f>DATEVALUE(tblLaborEntries[[#This Row],[Work date]])</f>
        <v>45796.0</v>
      </c>
    </row>
    <row r="1863" spans="1:9" ht="15" x14ac:dyDescent="0.25">
      <c r="A1863" s="53" t="inlineStr">
        <is>
          <t>LAB-001862</t>
        </is>
      </c>
      <c r="B1863" s="53" t="inlineStr">
        <is>
          <t>WP-00819</t>
        </is>
      </c>
      <c r="C1863" s="53" t="inlineStr">
        <is>
          <t>TECH-016</t>
        </is>
      </c>
      <c r="D1863" s="53" t="inlineStr">
        <is>
          <t>Electrical</t>
        </is>
      </c>
      <c r="E1863" s="53" t="inlineStr">
        <is>
          <t>2024-03-29</t>
        </is>
      </c>
      <c r="F1863" s="53">
        <v>6.8</v>
      </c>
      <c r="G1863" s="53">
        <v>0</v>
      </c>
      <c r="H1863" s="51" t="str">
        <f>TEXT(tblLaborEntries[[#This Row],[Work date serial]]-WEEKDAY(tblLaborEntries[[#This Row],[Work date serial]],3),"yyyy-mm-dd")</f>
        <v>2024-03-25</v>
      </c>
      <c r="I1863" s="64">
        <f>DATEVALUE(tblLaborEntries[[#This Row],[Work date]])</f>
        <v>45380.0</v>
      </c>
    </row>
    <row r="1864" spans="1:9" ht="15" x14ac:dyDescent="0.25">
      <c r="A1864" s="53" t="inlineStr">
        <is>
          <t>LAB-001863</t>
        </is>
      </c>
      <c r="B1864" s="53" t="inlineStr">
        <is>
          <t>WP-00819</t>
        </is>
      </c>
      <c r="C1864" s="53" t="inlineStr">
        <is>
          <t>TECH-052</t>
        </is>
      </c>
      <c r="D1864" s="53" t="inlineStr">
        <is>
          <t>Electrical</t>
        </is>
      </c>
      <c r="E1864" s="53" t="inlineStr">
        <is>
          <t>2024-03-30</t>
        </is>
      </c>
      <c r="F1864" s="53">
        <v>6.7</v>
      </c>
      <c r="G1864" s="53">
        <v>0</v>
      </c>
      <c r="H1864" s="51" t="str">
        <f>TEXT(tblLaborEntries[[#This Row],[Work date serial]]-WEEKDAY(tblLaborEntries[[#This Row],[Work date serial]],3),"yyyy-mm-dd")</f>
        <v>2024-03-25</v>
      </c>
      <c r="I1864" s="64">
        <f>DATEVALUE(tblLaborEntries[[#This Row],[Work date]])</f>
        <v>45381.0</v>
      </c>
    </row>
    <row r="1865" spans="1:9" ht="15" x14ac:dyDescent="0.25">
      <c r="A1865" s="53" t="inlineStr">
        <is>
          <t>LAB-001864</t>
        </is>
      </c>
      <c r="B1865" s="53" t="inlineStr">
        <is>
          <t>WP-00820</t>
        </is>
      </c>
      <c r="C1865" s="53" t="inlineStr">
        <is>
          <t>TECH-073</t>
        </is>
      </c>
      <c r="D1865" s="53" t="inlineStr">
        <is>
          <t>Airframe</t>
        </is>
      </c>
      <c r="E1865" s="53" t="inlineStr">
        <is>
          <t>2024-12-28</t>
        </is>
      </c>
      <c r="F1865" s="53">
        <v>2.2</v>
      </c>
      <c r="G1865" s="53">
        <v>0</v>
      </c>
      <c r="H1865" s="51" t="str">
        <f>TEXT(tblLaborEntries[[#This Row],[Work date serial]]-WEEKDAY(tblLaborEntries[[#This Row],[Work date serial]],3),"yyyy-mm-dd")</f>
        <v>2024-12-23</v>
      </c>
      <c r="I1865" s="64">
        <f>DATEVALUE(tblLaborEntries[[#This Row],[Work date]])</f>
        <v>45654.0</v>
      </c>
    </row>
    <row r="1866" spans="1:9" ht="15" x14ac:dyDescent="0.25">
      <c r="A1866" s="53" t="inlineStr">
        <is>
          <t>LAB-001865</t>
        </is>
      </c>
      <c r="B1866" s="53" t="inlineStr">
        <is>
          <t>WP-00820</t>
        </is>
      </c>
      <c r="C1866" s="53" t="inlineStr">
        <is>
          <t>TECH-007</t>
        </is>
      </c>
      <c r="D1866" s="53" t="inlineStr">
        <is>
          <t>Airframe</t>
        </is>
      </c>
      <c r="E1866" s="53" t="inlineStr">
        <is>
          <t>2024-12-29</t>
        </is>
      </c>
      <c r="F1866" s="53">
        <v>2.1</v>
      </c>
      <c r="G1866" s="53">
        <v>0</v>
      </c>
      <c r="H1866" s="51" t="str">
        <f>TEXT(tblLaborEntries[[#This Row],[Work date serial]]-WEEKDAY(tblLaborEntries[[#This Row],[Work date serial]],3),"yyyy-mm-dd")</f>
        <v>2024-12-23</v>
      </c>
      <c r="I1866" s="64">
        <f>DATEVALUE(tblLaborEntries[[#This Row],[Work date]])</f>
        <v>45655.0</v>
      </c>
    </row>
    <row r="1867" spans="1:9" ht="15" x14ac:dyDescent="0.25">
      <c r="A1867" s="53" t="inlineStr">
        <is>
          <t>LAB-001866</t>
        </is>
      </c>
      <c r="B1867" s="53" t="inlineStr">
        <is>
          <t>WP-00820</t>
        </is>
      </c>
      <c r="C1867" s="53" t="inlineStr">
        <is>
          <t>TECH-073</t>
        </is>
      </c>
      <c r="D1867" s="53" t="inlineStr">
        <is>
          <t>Airframe</t>
        </is>
      </c>
      <c r="E1867" s="53" t="inlineStr">
        <is>
          <t>2024-12-30</t>
        </is>
      </c>
      <c r="F1867" s="53">
        <v>2.3</v>
      </c>
      <c r="G1867" s="53">
        <v>0</v>
      </c>
      <c r="H1867" s="51" t="str">
        <f>TEXT(tblLaborEntries[[#This Row],[Work date serial]]-WEEKDAY(tblLaborEntries[[#This Row],[Work date serial]],3),"yyyy-mm-dd")</f>
        <v>2024-12-30</v>
      </c>
      <c r="I1867" s="64">
        <f>DATEVALUE(tblLaborEntries[[#This Row],[Work date]])</f>
        <v>45656.0</v>
      </c>
    </row>
    <row r="1868" spans="1:9" ht="15" x14ac:dyDescent="0.25">
      <c r="A1868" s="53" t="inlineStr">
        <is>
          <t>LAB-001867</t>
        </is>
      </c>
      <c r="B1868" s="53" t="inlineStr">
        <is>
          <t>WP-00821</t>
        </is>
      </c>
      <c r="C1868" s="53" t="inlineStr">
        <is>
          <t>TECH-012</t>
        </is>
      </c>
      <c r="D1868" s="53" t="inlineStr">
        <is>
          <t>Powerplant</t>
        </is>
      </c>
      <c r="E1868" s="53" t="inlineStr">
        <is>
          <t>2025-10-27</t>
        </is>
      </c>
      <c r="F1868" s="53">
        <v>11</v>
      </c>
      <c r="G1868" s="53">
        <v>3</v>
      </c>
      <c r="H1868" s="51" t="str">
        <f>TEXT(tblLaborEntries[[#This Row],[Work date serial]]-WEEKDAY(tblLaborEntries[[#This Row],[Work date serial]],3),"yyyy-mm-dd")</f>
        <v>2025-10-27</v>
      </c>
      <c r="I1868" s="64">
        <f>DATEVALUE(tblLaborEntries[[#This Row],[Work date]])</f>
        <v>45957.0</v>
      </c>
    </row>
    <row r="1869" spans="1:9" ht="15" x14ac:dyDescent="0.25">
      <c r="A1869" s="53" t="inlineStr">
        <is>
          <t>LAB-001868</t>
        </is>
      </c>
      <c r="B1869" s="53" t="inlineStr">
        <is>
          <t>WP-00822</t>
        </is>
      </c>
      <c r="C1869" s="53" t="inlineStr">
        <is>
          <t>TECH-053</t>
        </is>
      </c>
      <c r="D1869" s="53" t="inlineStr">
        <is>
          <t>Structures</t>
        </is>
      </c>
      <c r="E1869" s="53" t="inlineStr">
        <is>
          <t>2024-09-04</t>
        </is>
      </c>
      <c r="F1869" s="53">
        <v>8.1</v>
      </c>
      <c r="G1869" s="53">
        <v>0.1</v>
      </c>
      <c r="H1869" s="51" t="str">
        <f>TEXT(tblLaborEntries[[#This Row],[Work date serial]]-WEEKDAY(tblLaborEntries[[#This Row],[Work date serial]],3),"yyyy-mm-dd")</f>
        <v>2024-09-02</v>
      </c>
      <c r="I1869" s="64">
        <f>DATEVALUE(tblLaborEntries[[#This Row],[Work date]])</f>
        <v>45539.0</v>
      </c>
    </row>
    <row r="1870" spans="1:9" ht="15" x14ac:dyDescent="0.25">
      <c r="A1870" s="53" t="inlineStr">
        <is>
          <t>LAB-001869</t>
        </is>
      </c>
      <c r="B1870" s="53" t="inlineStr">
        <is>
          <t>WP-00822</t>
        </is>
      </c>
      <c r="C1870" s="53" t="inlineStr">
        <is>
          <t>TECH-041</t>
        </is>
      </c>
      <c r="D1870" s="53" t="inlineStr">
        <is>
          <t>Structures</t>
        </is>
      </c>
      <c r="E1870" s="53" t="inlineStr">
        <is>
          <t>2024-09-05</t>
        </is>
      </c>
      <c r="F1870" s="53">
        <v>6.1</v>
      </c>
      <c r="G1870" s="53">
        <v>0</v>
      </c>
      <c r="H1870" s="51" t="str">
        <f>TEXT(tblLaborEntries[[#This Row],[Work date serial]]-WEEKDAY(tblLaborEntries[[#This Row],[Work date serial]],3),"yyyy-mm-dd")</f>
        <v>2024-09-02</v>
      </c>
      <c r="I1870" s="64">
        <f>DATEVALUE(tblLaborEntries[[#This Row],[Work date]])</f>
        <v>45540.0</v>
      </c>
    </row>
    <row r="1871" spans="1:9" ht="15" x14ac:dyDescent="0.25">
      <c r="A1871" s="53" t="inlineStr">
        <is>
          <t>LAB-001870</t>
        </is>
      </c>
      <c r="B1871" s="53" t="inlineStr">
        <is>
          <t>WP-00823</t>
        </is>
      </c>
      <c r="C1871" s="53" t="inlineStr">
        <is>
          <t>TECH-001</t>
        </is>
      </c>
      <c r="D1871" s="53" t="inlineStr">
        <is>
          <t>Airframe</t>
        </is>
      </c>
      <c r="E1871" s="53" t="inlineStr">
        <is>
          <t>2024-08-31</t>
        </is>
      </c>
      <c r="F1871" s="53">
        <v>1.9</v>
      </c>
      <c r="G1871" s="53">
        <v>0</v>
      </c>
      <c r="H1871" s="51" t="str">
        <f>TEXT(tblLaborEntries[[#This Row],[Work date serial]]-WEEKDAY(tblLaborEntries[[#This Row],[Work date serial]],3),"yyyy-mm-dd")</f>
        <v>2024-08-26</v>
      </c>
      <c r="I1871" s="64">
        <f>DATEVALUE(tblLaborEntries[[#This Row],[Work date]])</f>
        <v>45535.0</v>
      </c>
    </row>
    <row r="1872" spans="1:9" ht="15" x14ac:dyDescent="0.25">
      <c r="A1872" s="53" t="inlineStr">
        <is>
          <t>LAB-001871</t>
        </is>
      </c>
      <c r="B1872" s="53" t="inlineStr">
        <is>
          <t>WP-00823</t>
        </is>
      </c>
      <c r="C1872" s="53" t="inlineStr">
        <is>
          <t>TECH-025</t>
        </is>
      </c>
      <c r="D1872" s="53" t="inlineStr">
        <is>
          <t>Airframe</t>
        </is>
      </c>
      <c r="E1872" s="53" t="inlineStr">
        <is>
          <t>2024-09-01</t>
        </is>
      </c>
      <c r="F1872" s="53">
        <v>1.7</v>
      </c>
      <c r="G1872" s="53">
        <v>0</v>
      </c>
      <c r="H1872" s="51" t="str">
        <f>TEXT(tblLaborEntries[[#This Row],[Work date serial]]-WEEKDAY(tblLaborEntries[[#This Row],[Work date serial]],3),"yyyy-mm-dd")</f>
        <v>2024-08-26</v>
      </c>
      <c r="I1872" s="64">
        <f>DATEVALUE(tblLaborEntries[[#This Row],[Work date]])</f>
        <v>45536.0</v>
      </c>
    </row>
    <row r="1873" spans="1:9" ht="15" x14ac:dyDescent="0.25">
      <c r="A1873" s="53" t="inlineStr">
        <is>
          <t>LAB-001872</t>
        </is>
      </c>
      <c r="B1873" s="53" t="inlineStr">
        <is>
          <t>WP-00823</t>
        </is>
      </c>
      <c r="C1873" s="53" t="inlineStr">
        <is>
          <t>TECH-073</t>
        </is>
      </c>
      <c r="D1873" s="53" t="inlineStr">
        <is>
          <t>Airframe</t>
        </is>
      </c>
      <c r="E1873" s="53" t="inlineStr">
        <is>
          <t>2024-09-02</t>
        </is>
      </c>
      <c r="F1873" s="53">
        <v>2.4</v>
      </c>
      <c r="G1873" s="53">
        <v>0</v>
      </c>
      <c r="H1873" s="51" t="str">
        <f>TEXT(tblLaborEntries[[#This Row],[Work date serial]]-WEEKDAY(tblLaborEntries[[#This Row],[Work date serial]],3),"yyyy-mm-dd")</f>
        <v>2024-09-02</v>
      </c>
      <c r="I1873" s="64">
        <f>DATEVALUE(tblLaborEntries[[#This Row],[Work date]])</f>
        <v>45537.0</v>
      </c>
    </row>
    <row r="1874" spans="1:9" ht="15" x14ac:dyDescent="0.25">
      <c r="A1874" s="53" t="inlineStr">
        <is>
          <t>LAB-001873</t>
        </is>
      </c>
      <c r="B1874" s="53" t="inlineStr">
        <is>
          <t>WP-00824</t>
        </is>
      </c>
      <c r="C1874" s="53" t="inlineStr">
        <is>
          <t>TECH-001</t>
        </is>
      </c>
      <c r="D1874" s="53" t="inlineStr">
        <is>
          <t>Airframe</t>
        </is>
      </c>
      <c r="E1874" s="53" t="inlineStr">
        <is>
          <t>2024-04-23</t>
        </is>
      </c>
      <c r="F1874" s="53">
        <v>3.5</v>
      </c>
      <c r="G1874" s="53">
        <v>0.9</v>
      </c>
      <c r="H1874" s="51" t="str">
        <f>TEXT(tblLaborEntries[[#This Row],[Work date serial]]-WEEKDAY(tblLaborEntries[[#This Row],[Work date serial]],3),"yyyy-mm-dd")</f>
        <v>2024-04-22</v>
      </c>
      <c r="I1874" s="64">
        <f>DATEVALUE(tblLaborEntries[[#This Row],[Work date]])</f>
        <v>45405.0</v>
      </c>
    </row>
    <row r="1875" spans="1:9" ht="15" x14ac:dyDescent="0.25">
      <c r="A1875" s="53" t="inlineStr">
        <is>
          <t>LAB-001874</t>
        </is>
      </c>
      <c r="B1875" s="53" t="inlineStr">
        <is>
          <t>WP-00824</t>
        </is>
      </c>
      <c r="C1875" s="53" t="inlineStr">
        <is>
          <t>TECH-013</t>
        </is>
      </c>
      <c r="D1875" s="53" t="inlineStr">
        <is>
          <t>Airframe</t>
        </is>
      </c>
      <c r="E1875" s="53" t="inlineStr">
        <is>
          <t>2024-04-24</t>
        </is>
      </c>
      <c r="F1875" s="53">
        <v>2.7</v>
      </c>
      <c r="G1875" s="53">
        <v>0</v>
      </c>
      <c r="H1875" s="51" t="str">
        <f>TEXT(tblLaborEntries[[#This Row],[Work date serial]]-WEEKDAY(tblLaborEntries[[#This Row],[Work date serial]],3),"yyyy-mm-dd")</f>
        <v>2024-04-22</v>
      </c>
      <c r="I1875" s="64">
        <f>DATEVALUE(tblLaborEntries[[#This Row],[Work date]])</f>
        <v>45406.0</v>
      </c>
    </row>
    <row r="1876" spans="1:9" ht="15" x14ac:dyDescent="0.25">
      <c r="A1876" s="53" t="inlineStr">
        <is>
          <t>LAB-001875</t>
        </is>
      </c>
      <c r="B1876" s="53" t="inlineStr">
        <is>
          <t>WP-00825</t>
        </is>
      </c>
      <c r="C1876" s="53" t="inlineStr">
        <is>
          <t>TECH-038</t>
        </is>
      </c>
      <c r="D1876" s="53" t="inlineStr">
        <is>
          <t>Avionics</t>
        </is>
      </c>
      <c r="E1876" s="53" t="inlineStr">
        <is>
          <t>2025-10-04</t>
        </is>
      </c>
      <c r="F1876" s="53">
        <v>3.2</v>
      </c>
      <c r="G1876" s="53">
        <v>0</v>
      </c>
      <c r="H1876" s="51" t="str">
        <f>TEXT(tblLaborEntries[[#This Row],[Work date serial]]-WEEKDAY(tblLaborEntries[[#This Row],[Work date serial]],3),"yyyy-mm-dd")</f>
        <v>2025-09-29</v>
      </c>
      <c r="I1876" s="64">
        <f>DATEVALUE(tblLaborEntries[[#This Row],[Work date]])</f>
        <v>45934.0</v>
      </c>
    </row>
    <row r="1877" spans="1:9" ht="15" x14ac:dyDescent="0.25">
      <c r="A1877" s="53" t="inlineStr">
        <is>
          <t>LAB-001876</t>
        </is>
      </c>
      <c r="B1877" s="53" t="inlineStr">
        <is>
          <t>WP-00826</t>
        </is>
      </c>
      <c r="C1877" s="53" t="inlineStr">
        <is>
          <t>TECH-043</t>
        </is>
      </c>
      <c r="D1877" s="53" t="inlineStr">
        <is>
          <t>Airframe</t>
        </is>
      </c>
      <c r="E1877" s="53" t="inlineStr">
        <is>
          <t>2024-12-14</t>
        </is>
      </c>
      <c r="F1877" s="53">
        <v>6.3</v>
      </c>
      <c r="G1877" s="53">
        <v>0</v>
      </c>
      <c r="H1877" s="51" t="str">
        <f>TEXT(tblLaborEntries[[#This Row],[Work date serial]]-WEEKDAY(tblLaborEntries[[#This Row],[Work date serial]],3),"yyyy-mm-dd")</f>
        <v>2024-12-09</v>
      </c>
      <c r="I1877" s="64">
        <f>DATEVALUE(tblLaborEntries[[#This Row],[Work date]])</f>
        <v>45640.0</v>
      </c>
    </row>
    <row r="1878" spans="1:9" ht="15" x14ac:dyDescent="0.25">
      <c r="A1878" s="53" t="inlineStr">
        <is>
          <t>LAB-001877</t>
        </is>
      </c>
      <c r="B1878" s="53" t="inlineStr">
        <is>
          <t>WP-00826</t>
        </is>
      </c>
      <c r="C1878" s="53" t="inlineStr">
        <is>
          <t>TECH-043</t>
        </is>
      </c>
      <c r="D1878" s="53" t="inlineStr">
        <is>
          <t>Airframe</t>
        </is>
      </c>
      <c r="E1878" s="53" t="inlineStr">
        <is>
          <t>2024-12-15</t>
        </is>
      </c>
      <c r="F1878" s="53">
        <v>8.6</v>
      </c>
      <c r="G1878" s="53">
        <v>0.6</v>
      </c>
      <c r="H1878" s="51" t="str">
        <f>TEXT(tblLaborEntries[[#This Row],[Work date serial]]-WEEKDAY(tblLaborEntries[[#This Row],[Work date serial]],3),"yyyy-mm-dd")</f>
        <v>2024-12-09</v>
      </c>
      <c r="I1878" s="64">
        <f>DATEVALUE(tblLaborEntries[[#This Row],[Work date]])</f>
        <v>45641.0</v>
      </c>
    </row>
    <row r="1879" spans="1:9" ht="15" x14ac:dyDescent="0.25">
      <c r="A1879" s="53" t="inlineStr">
        <is>
          <t>LAB-001878</t>
        </is>
      </c>
      <c r="B1879" s="53" t="inlineStr">
        <is>
          <t>WP-00827</t>
        </is>
      </c>
      <c r="C1879" s="53" t="inlineStr">
        <is>
          <t>TECH-026</t>
        </is>
      </c>
      <c r="D1879" s="53" t="inlineStr">
        <is>
          <t>Avionics</t>
        </is>
      </c>
      <c r="E1879" s="53" t="inlineStr">
        <is>
          <t>2025-09-13</t>
        </is>
      </c>
      <c r="F1879" s="53">
        <v>8.1</v>
      </c>
      <c r="G1879" s="53">
        <v>0.1</v>
      </c>
      <c r="H1879" s="51" t="str">
        <f>TEXT(tblLaborEntries[[#This Row],[Work date serial]]-WEEKDAY(tblLaborEntries[[#This Row],[Work date serial]],3),"yyyy-mm-dd")</f>
        <v>2025-09-08</v>
      </c>
      <c r="I1879" s="64">
        <f>DATEVALUE(tblLaborEntries[[#This Row],[Work date]])</f>
        <v>45913.0</v>
      </c>
    </row>
    <row r="1880" spans="1:9" ht="15" x14ac:dyDescent="0.25">
      <c r="A1880" s="53" t="inlineStr">
        <is>
          <t>LAB-001879</t>
        </is>
      </c>
      <c r="B1880" s="53" t="inlineStr">
        <is>
          <t>WP-00827</t>
        </is>
      </c>
      <c r="C1880" s="53" t="inlineStr">
        <is>
          <t>TECH-074</t>
        </is>
      </c>
      <c r="D1880" s="53" t="inlineStr">
        <is>
          <t>Avionics</t>
        </is>
      </c>
      <c r="E1880" s="53" t="inlineStr">
        <is>
          <t>2025-09-14</t>
        </is>
      </c>
      <c r="F1880" s="53">
        <v>7.1</v>
      </c>
      <c r="G1880" s="53">
        <v>0</v>
      </c>
      <c r="H1880" s="51" t="str">
        <f>TEXT(tblLaborEntries[[#This Row],[Work date serial]]-WEEKDAY(tblLaborEntries[[#This Row],[Work date serial]],3),"yyyy-mm-dd")</f>
        <v>2025-09-08</v>
      </c>
      <c r="I1880" s="64">
        <f>DATEVALUE(tblLaborEntries[[#This Row],[Work date]])</f>
        <v>45914.0</v>
      </c>
    </row>
    <row r="1881" spans="1:9" ht="15" x14ac:dyDescent="0.25">
      <c r="A1881" s="53" t="inlineStr">
        <is>
          <t>LAB-001880</t>
        </is>
      </c>
      <c r="B1881" s="53" t="inlineStr">
        <is>
          <t>WP-00828</t>
        </is>
      </c>
      <c r="C1881" s="53" t="inlineStr">
        <is>
          <t>TECH-006</t>
        </is>
      </c>
      <c r="D1881" s="53" t="inlineStr">
        <is>
          <t>Powerplant</t>
        </is>
      </c>
      <c r="E1881" s="53" t="inlineStr">
        <is>
          <t>2024-03-19</t>
        </is>
      </c>
      <c r="F1881" s="53">
        <v>6</v>
      </c>
      <c r="G1881" s="53">
        <v>0</v>
      </c>
      <c r="H1881" s="51" t="str">
        <f>TEXT(tblLaborEntries[[#This Row],[Work date serial]]-WEEKDAY(tblLaborEntries[[#This Row],[Work date serial]],3),"yyyy-mm-dd")</f>
        <v>2024-03-18</v>
      </c>
      <c r="I1881" s="64">
        <f>DATEVALUE(tblLaborEntries[[#This Row],[Work date]])</f>
        <v>45370.0</v>
      </c>
    </row>
    <row r="1882" spans="1:9" ht="15" x14ac:dyDescent="0.25">
      <c r="A1882" s="53" t="inlineStr">
        <is>
          <t>LAB-001881</t>
        </is>
      </c>
      <c r="B1882" s="53" t="inlineStr">
        <is>
          <t>WP-00828</t>
        </is>
      </c>
      <c r="C1882" s="53" t="inlineStr">
        <is>
          <t>TECH-030</t>
        </is>
      </c>
      <c r="D1882" s="53" t="inlineStr">
        <is>
          <t>Powerplant</t>
        </is>
      </c>
      <c r="E1882" s="53" t="inlineStr">
        <is>
          <t>2024-03-19</t>
        </is>
      </c>
      <c r="F1882" s="53">
        <v>12</v>
      </c>
      <c r="G1882" s="53">
        <v>4</v>
      </c>
      <c r="H1882" s="51" t="str">
        <f>TEXT(tblLaborEntries[[#This Row],[Work date serial]]-WEEKDAY(tblLaborEntries[[#This Row],[Work date serial]],3),"yyyy-mm-dd")</f>
        <v>2024-03-18</v>
      </c>
      <c r="I1882" s="64">
        <f>DATEVALUE(tblLaborEntries[[#This Row],[Work date]])</f>
        <v>45370.0</v>
      </c>
    </row>
    <row r="1883" spans="1:9" ht="15" x14ac:dyDescent="0.25">
      <c r="A1883" s="53" t="inlineStr">
        <is>
          <t>LAB-001882</t>
        </is>
      </c>
      <c r="B1883" s="53" t="inlineStr">
        <is>
          <t>WP-00829</t>
        </is>
      </c>
      <c r="C1883" s="53" t="inlineStr">
        <is>
          <t>TECH-074</t>
        </is>
      </c>
      <c r="D1883" s="53" t="inlineStr">
        <is>
          <t>Avionics</t>
        </is>
      </c>
      <c r="E1883" s="53" t="inlineStr">
        <is>
          <t>2024-07-13</t>
        </is>
      </c>
      <c r="F1883" s="53">
        <v>5.1</v>
      </c>
      <c r="G1883" s="53">
        <v>0</v>
      </c>
      <c r="H1883" s="51" t="str">
        <f>TEXT(tblLaborEntries[[#This Row],[Work date serial]]-WEEKDAY(tblLaborEntries[[#This Row],[Work date serial]],3),"yyyy-mm-dd")</f>
        <v>2024-07-08</v>
      </c>
      <c r="I1883" s="64">
        <f>DATEVALUE(tblLaborEntries[[#This Row],[Work date]])</f>
        <v>45486.0</v>
      </c>
    </row>
    <row r="1884" spans="1:9" ht="15" x14ac:dyDescent="0.25">
      <c r="A1884" s="53" t="inlineStr">
        <is>
          <t>LAB-001883</t>
        </is>
      </c>
      <c r="B1884" s="53" t="inlineStr">
        <is>
          <t>WP-00829</t>
        </is>
      </c>
      <c r="C1884" s="53" t="inlineStr">
        <is>
          <t>TECH-020</t>
        </is>
      </c>
      <c r="D1884" s="53" t="inlineStr">
        <is>
          <t>Avionics</t>
        </is>
      </c>
      <c r="E1884" s="53" t="inlineStr">
        <is>
          <t>2024-07-14</t>
        </is>
      </c>
      <c r="F1884" s="53">
        <v>6.9</v>
      </c>
      <c r="G1884" s="53">
        <v>0</v>
      </c>
      <c r="H1884" s="51" t="str">
        <f>TEXT(tblLaborEntries[[#This Row],[Work date serial]]-WEEKDAY(tblLaborEntries[[#This Row],[Work date serial]],3),"yyyy-mm-dd")</f>
        <v>2024-07-08</v>
      </c>
      <c r="I1884" s="64">
        <f>DATEVALUE(tblLaborEntries[[#This Row],[Work date]])</f>
        <v>45487.0</v>
      </c>
    </row>
    <row r="1885" spans="1:9" ht="15" x14ac:dyDescent="0.25">
      <c r="A1885" s="53" t="inlineStr">
        <is>
          <t>LAB-001884</t>
        </is>
      </c>
      <c r="B1885" s="53" t="inlineStr">
        <is>
          <t>WP-00830</t>
        </is>
      </c>
      <c r="C1885" s="53" t="inlineStr">
        <is>
          <t>TECH-038</t>
        </is>
      </c>
      <c r="D1885" s="53" t="inlineStr">
        <is>
          <t>Avionics</t>
        </is>
      </c>
      <c r="E1885" s="53" t="inlineStr">
        <is>
          <t>2025-11-10</t>
        </is>
      </c>
      <c r="F1885" s="53">
        <v>4.3</v>
      </c>
      <c r="G1885" s="53">
        <v>0</v>
      </c>
      <c r="H1885" s="51" t="str">
        <f>TEXT(tblLaborEntries[[#This Row],[Work date serial]]-WEEKDAY(tblLaborEntries[[#This Row],[Work date serial]],3),"yyyy-mm-dd")</f>
        <v>2025-11-10</v>
      </c>
      <c r="I1885" s="64">
        <f>DATEVALUE(tblLaborEntries[[#This Row],[Work date]])</f>
        <v>45971.0</v>
      </c>
    </row>
    <row r="1886" spans="1:9" ht="15" x14ac:dyDescent="0.25">
      <c r="A1886" s="53" t="inlineStr">
        <is>
          <t>LAB-001885</t>
        </is>
      </c>
      <c r="B1886" s="53" t="inlineStr">
        <is>
          <t>WP-00830</t>
        </is>
      </c>
      <c r="C1886" s="53" t="inlineStr">
        <is>
          <t>TECH-020</t>
        </is>
      </c>
      <c r="D1886" s="53" t="inlineStr">
        <is>
          <t>Avionics</t>
        </is>
      </c>
      <c r="E1886" s="53" t="inlineStr">
        <is>
          <t>2025-11-11</t>
        </is>
      </c>
      <c r="F1886" s="53">
        <v>3.3</v>
      </c>
      <c r="G1886" s="53">
        <v>0</v>
      </c>
      <c r="H1886" s="51" t="str">
        <f>TEXT(tblLaborEntries[[#This Row],[Work date serial]]-WEEKDAY(tblLaborEntries[[#This Row],[Work date serial]],3),"yyyy-mm-dd")</f>
        <v>2025-11-10</v>
      </c>
      <c r="I1886" s="64">
        <f>DATEVALUE(tblLaborEntries[[#This Row],[Work date]])</f>
        <v>45972.0</v>
      </c>
    </row>
    <row r="1887" spans="1:9" ht="15" x14ac:dyDescent="0.25">
      <c r="A1887" s="53" t="inlineStr">
        <is>
          <t>LAB-001886</t>
        </is>
      </c>
      <c r="B1887" s="53" t="inlineStr">
        <is>
          <t>WP-00831</t>
        </is>
      </c>
      <c r="C1887" s="53" t="inlineStr">
        <is>
          <t>TECH-075</t>
        </is>
      </c>
      <c r="D1887" s="53" t="inlineStr">
        <is>
          <t>Hydraulics</t>
        </is>
      </c>
      <c r="E1887" s="53" t="inlineStr">
        <is>
          <t>2025-05-22</t>
        </is>
      </c>
      <c r="F1887" s="53">
        <v>1.6</v>
      </c>
      <c r="G1887" s="53">
        <v>0</v>
      </c>
      <c r="H1887" s="51" t="str">
        <f>TEXT(tblLaborEntries[[#This Row],[Work date serial]]-WEEKDAY(tblLaborEntries[[#This Row],[Work date serial]],3),"yyyy-mm-dd")</f>
        <v>2025-05-19</v>
      </c>
      <c r="I1887" s="64">
        <f>DATEVALUE(tblLaborEntries[[#This Row],[Work date]])</f>
        <v>45799.0</v>
      </c>
    </row>
    <row r="1888" spans="1:9" ht="15" x14ac:dyDescent="0.25">
      <c r="A1888" s="53" t="inlineStr">
        <is>
          <t>LAB-001887</t>
        </is>
      </c>
      <c r="B1888" s="53" t="inlineStr">
        <is>
          <t>WP-00831</t>
        </is>
      </c>
      <c r="C1888" s="53" t="inlineStr">
        <is>
          <t>TECH-057</t>
        </is>
      </c>
      <c r="D1888" s="53" t="inlineStr">
        <is>
          <t>Hydraulics</t>
        </is>
      </c>
      <c r="E1888" s="53" t="inlineStr">
        <is>
          <t>2025-05-23</t>
        </is>
      </c>
      <c r="F1888" s="53">
        <v>1.8</v>
      </c>
      <c r="G1888" s="53">
        <v>0</v>
      </c>
      <c r="H1888" s="51" t="str">
        <f>TEXT(tblLaborEntries[[#This Row],[Work date serial]]-WEEKDAY(tblLaborEntries[[#This Row],[Work date serial]],3),"yyyy-mm-dd")</f>
        <v>2025-05-19</v>
      </c>
      <c r="I1888" s="64">
        <f>DATEVALUE(tblLaborEntries[[#This Row],[Work date]])</f>
        <v>45800.0</v>
      </c>
    </row>
    <row r="1889" spans="1:9" ht="15" x14ac:dyDescent="0.25">
      <c r="A1889" s="53" t="inlineStr">
        <is>
          <t>LAB-001888</t>
        </is>
      </c>
      <c r="B1889" s="53" t="inlineStr">
        <is>
          <t>WP-00831</t>
        </is>
      </c>
      <c r="C1889" s="53" t="inlineStr">
        <is>
          <t>TECH-075</t>
        </is>
      </c>
      <c r="D1889" s="53" t="inlineStr">
        <is>
          <t>Hydraulics</t>
        </is>
      </c>
      <c r="E1889" s="53" t="inlineStr">
        <is>
          <t>2025-05-24</t>
        </is>
      </c>
      <c r="F1889" s="53">
        <v>2.8</v>
      </c>
      <c r="G1889" s="53">
        <v>0</v>
      </c>
      <c r="H1889" s="51" t="str">
        <f>TEXT(tblLaborEntries[[#This Row],[Work date serial]]-WEEKDAY(tblLaborEntries[[#This Row],[Work date serial]],3),"yyyy-mm-dd")</f>
        <v>2025-05-19</v>
      </c>
      <c r="I1889" s="64">
        <f>DATEVALUE(tblLaborEntries[[#This Row],[Work date]])</f>
        <v>45801.0</v>
      </c>
    </row>
    <row r="1890" spans="1:9" ht="15" x14ac:dyDescent="0.25">
      <c r="A1890" s="53" t="inlineStr">
        <is>
          <t>LAB-001889</t>
        </is>
      </c>
      <c r="B1890" s="53" t="inlineStr">
        <is>
          <t>WP-00832</t>
        </is>
      </c>
      <c r="C1890" s="53" t="inlineStr">
        <is>
          <t>TECH-043</t>
        </is>
      </c>
      <c r="D1890" s="53" t="inlineStr">
        <is>
          <t>Airframe</t>
        </is>
      </c>
      <c r="E1890" s="53" t="inlineStr">
        <is>
          <t>2024-11-08</t>
        </is>
      </c>
      <c r="F1890" s="53">
        <v>3.3</v>
      </c>
      <c r="G1890" s="53">
        <v>0</v>
      </c>
      <c r="H1890" s="51" t="str">
        <f>TEXT(tblLaborEntries[[#This Row],[Work date serial]]-WEEKDAY(tblLaborEntries[[#This Row],[Work date serial]],3),"yyyy-mm-dd")</f>
        <v>2024-11-04</v>
      </c>
      <c r="I1890" s="64">
        <f>DATEVALUE(tblLaborEntries[[#This Row],[Work date]])</f>
        <v>45604.0</v>
      </c>
    </row>
    <row r="1891" spans="1:9" ht="15" x14ac:dyDescent="0.25">
      <c r="A1891" s="53" t="inlineStr">
        <is>
          <t>LAB-001890</t>
        </is>
      </c>
      <c r="B1891" s="53" t="inlineStr">
        <is>
          <t>WP-00832</t>
        </is>
      </c>
      <c r="C1891" s="53" t="inlineStr">
        <is>
          <t>TECH-061</t>
        </is>
      </c>
      <c r="D1891" s="53" t="inlineStr">
        <is>
          <t>Airframe</t>
        </is>
      </c>
      <c r="E1891" s="53" t="inlineStr">
        <is>
          <t>2024-11-09</t>
        </is>
      </c>
      <c r="F1891" s="53">
        <v>4</v>
      </c>
      <c r="G1891" s="53">
        <v>0</v>
      </c>
      <c r="H1891" s="51" t="str">
        <f>TEXT(tblLaborEntries[[#This Row],[Work date serial]]-WEEKDAY(tblLaborEntries[[#This Row],[Work date serial]],3),"yyyy-mm-dd")</f>
        <v>2024-11-04</v>
      </c>
      <c r="I1891" s="64">
        <f>DATEVALUE(tblLaborEntries[[#This Row],[Work date]])</f>
        <v>45605.0</v>
      </c>
    </row>
    <row r="1892" spans="1:9" ht="15" x14ac:dyDescent="0.25">
      <c r="A1892" s="53" t="inlineStr">
        <is>
          <t>LAB-001891</t>
        </is>
      </c>
      <c r="B1892" s="53" t="inlineStr">
        <is>
          <t>WP-00833</t>
        </is>
      </c>
      <c r="C1892" s="53" t="inlineStr">
        <is>
          <t>TECH-049</t>
        </is>
      </c>
      <c r="D1892" s="53" t="inlineStr">
        <is>
          <t>Airframe</t>
        </is>
      </c>
      <c r="E1892" s="53" t="inlineStr">
        <is>
          <t>2025-12-26</t>
        </is>
      </c>
      <c r="F1892" s="53">
        <v>3</v>
      </c>
      <c r="G1892" s="53">
        <v>0</v>
      </c>
      <c r="H1892" s="51" t="str">
        <f>TEXT(tblLaborEntries[[#This Row],[Work date serial]]-WEEKDAY(tblLaborEntries[[#This Row],[Work date serial]],3),"yyyy-mm-dd")</f>
        <v>2025-12-22</v>
      </c>
      <c r="I1892" s="64">
        <f>DATEVALUE(tblLaborEntries[[#This Row],[Work date]])</f>
        <v>46017.0</v>
      </c>
    </row>
    <row r="1893" spans="1:9" ht="15" x14ac:dyDescent="0.25">
      <c r="A1893" s="53" t="inlineStr">
        <is>
          <t>LAB-001892</t>
        </is>
      </c>
      <c r="B1893" s="53" t="inlineStr">
        <is>
          <t>WP-00834</t>
        </is>
      </c>
      <c r="C1893" s="53" t="inlineStr">
        <is>
          <t>TECH-036</t>
        </is>
      </c>
      <c r="D1893" s="53" t="inlineStr">
        <is>
          <t>Powerplant</t>
        </is>
      </c>
      <c r="E1893" s="53" t="inlineStr">
        <is>
          <t>2024-02-16</t>
        </is>
      </c>
      <c r="F1893" s="53">
        <v>7.9</v>
      </c>
      <c r="G1893" s="53">
        <v>0</v>
      </c>
      <c r="H1893" s="51" t="str">
        <f>TEXT(tblLaborEntries[[#This Row],[Work date serial]]-WEEKDAY(tblLaborEntries[[#This Row],[Work date serial]],3),"yyyy-mm-dd")</f>
        <v>2024-02-12</v>
      </c>
      <c r="I1893" s="64">
        <f>DATEVALUE(tblLaborEntries[[#This Row],[Work date]])</f>
        <v>45338.0</v>
      </c>
    </row>
    <row r="1894" spans="1:9" ht="15" x14ac:dyDescent="0.25">
      <c r="A1894" s="53" t="inlineStr">
        <is>
          <t>LAB-001893</t>
        </is>
      </c>
      <c r="B1894" s="53" t="inlineStr">
        <is>
          <t>WP-00835</t>
        </is>
      </c>
      <c r="C1894" s="53" t="inlineStr">
        <is>
          <t>TECH-054</t>
        </is>
      </c>
      <c r="D1894" s="53" t="inlineStr">
        <is>
          <t>Powerplant</t>
        </is>
      </c>
      <c r="E1894" s="53" t="inlineStr">
        <is>
          <t>2024-07-20</t>
        </is>
      </c>
      <c r="F1894" s="53">
        <v>3.6</v>
      </c>
      <c r="G1894" s="53">
        <v>0</v>
      </c>
      <c r="H1894" s="51" t="str">
        <f>TEXT(tblLaborEntries[[#This Row],[Work date serial]]-WEEKDAY(tblLaborEntries[[#This Row],[Work date serial]],3),"yyyy-mm-dd")</f>
        <v>2024-07-15</v>
      </c>
      <c r="I1894" s="64">
        <f>DATEVALUE(tblLaborEntries[[#This Row],[Work date]])</f>
        <v>45493.0</v>
      </c>
    </row>
    <row r="1895" spans="1:9" ht="15" x14ac:dyDescent="0.25">
      <c r="A1895" s="53" t="inlineStr">
        <is>
          <t>LAB-001894</t>
        </is>
      </c>
      <c r="B1895" s="53" t="inlineStr">
        <is>
          <t>WP-00835</t>
        </is>
      </c>
      <c r="C1895" s="53" t="inlineStr">
        <is>
          <t>TECH-012</t>
        </is>
      </c>
      <c r="D1895" s="53" t="inlineStr">
        <is>
          <t>Powerplant</t>
        </is>
      </c>
      <c r="E1895" s="53" t="inlineStr">
        <is>
          <t>2024-07-21</t>
        </is>
      </c>
      <c r="F1895" s="53">
        <v>3.7</v>
      </c>
      <c r="G1895" s="53">
        <v>0</v>
      </c>
      <c r="H1895" s="51" t="str">
        <f>TEXT(tblLaborEntries[[#This Row],[Work date serial]]-WEEKDAY(tblLaborEntries[[#This Row],[Work date serial]],3),"yyyy-mm-dd")</f>
        <v>2024-07-15</v>
      </c>
      <c r="I1895" s="64">
        <f>DATEVALUE(tblLaborEntries[[#This Row],[Work date]])</f>
        <v>45494.0</v>
      </c>
    </row>
    <row r="1896" spans="1:9" ht="15" x14ac:dyDescent="0.25">
      <c r="A1896" s="53" t="inlineStr">
        <is>
          <t>LAB-001895</t>
        </is>
      </c>
      <c r="B1896" s="53" t="inlineStr">
        <is>
          <t>WP-00835</t>
        </is>
      </c>
      <c r="C1896" s="53" t="inlineStr">
        <is>
          <t>TECH-066</t>
        </is>
      </c>
      <c r="D1896" s="53" t="inlineStr">
        <is>
          <t>Powerplant</t>
        </is>
      </c>
      <c r="E1896" s="53" t="inlineStr">
        <is>
          <t>2024-07-22</t>
        </is>
      </c>
      <c r="F1896" s="53">
        <v>3.3</v>
      </c>
      <c r="G1896" s="53">
        <v>0</v>
      </c>
      <c r="H1896" s="51" t="str">
        <f>TEXT(tblLaborEntries[[#This Row],[Work date serial]]-WEEKDAY(tblLaborEntries[[#This Row],[Work date serial]],3),"yyyy-mm-dd")</f>
        <v>2024-07-22</v>
      </c>
      <c r="I1896" s="64">
        <f>DATEVALUE(tblLaborEntries[[#This Row],[Work date]])</f>
        <v>45495.0</v>
      </c>
    </row>
    <row r="1897" spans="1:9" ht="15" x14ac:dyDescent="0.25">
      <c r="A1897" s="53" t="inlineStr">
        <is>
          <t>LAB-001896</t>
        </is>
      </c>
      <c r="B1897" s="53" t="inlineStr">
        <is>
          <t>WP-00836</t>
        </is>
      </c>
      <c r="C1897" s="53" t="inlineStr">
        <is>
          <t>TECH-049</t>
        </is>
      </c>
      <c r="D1897" s="53" t="inlineStr">
        <is>
          <t>Airframe</t>
        </is>
      </c>
      <c r="E1897" s="53" t="inlineStr">
        <is>
          <t>2024-04-27</t>
        </is>
      </c>
      <c r="F1897" s="53">
        <v>1.3</v>
      </c>
      <c r="G1897" s="53">
        <v>0</v>
      </c>
      <c r="H1897" s="51" t="str">
        <f>TEXT(tblLaborEntries[[#This Row],[Work date serial]]-WEEKDAY(tblLaborEntries[[#This Row],[Work date serial]],3),"yyyy-mm-dd")</f>
        <v>2024-04-22</v>
      </c>
      <c r="I1897" s="64">
        <f>DATEVALUE(tblLaborEntries[[#This Row],[Work date]])</f>
        <v>45409.0</v>
      </c>
    </row>
    <row r="1898" spans="1:9" ht="15" x14ac:dyDescent="0.25">
      <c r="A1898" s="53" t="inlineStr">
        <is>
          <t>LAB-001897</t>
        </is>
      </c>
      <c r="B1898" s="53" t="inlineStr">
        <is>
          <t>WP-00836</t>
        </is>
      </c>
      <c r="C1898" s="53" t="inlineStr">
        <is>
          <t>TECH-013</t>
        </is>
      </c>
      <c r="D1898" s="53" t="inlineStr">
        <is>
          <t>Airframe</t>
        </is>
      </c>
      <c r="E1898" s="53" t="inlineStr">
        <is>
          <t>2024-04-28</t>
        </is>
      </c>
      <c r="F1898" s="53">
        <v>1.8</v>
      </c>
      <c r="G1898" s="53">
        <v>0</v>
      </c>
      <c r="H1898" s="51" t="str">
        <f>TEXT(tblLaborEntries[[#This Row],[Work date serial]]-WEEKDAY(tblLaborEntries[[#This Row],[Work date serial]],3),"yyyy-mm-dd")</f>
        <v>2024-04-22</v>
      </c>
      <c r="I1898" s="64">
        <f>DATEVALUE(tblLaborEntries[[#This Row],[Work date]])</f>
        <v>45410.0</v>
      </c>
    </row>
    <row r="1899" spans="1:9" ht="15" x14ac:dyDescent="0.25">
      <c r="A1899" s="53" t="inlineStr">
        <is>
          <t>LAB-001898</t>
        </is>
      </c>
      <c r="B1899" s="53" t="inlineStr">
        <is>
          <t>WP-00836</t>
        </is>
      </c>
      <c r="C1899" s="53" t="inlineStr">
        <is>
          <t>TECH-061</t>
        </is>
      </c>
      <c r="D1899" s="53" t="inlineStr">
        <is>
          <t>Airframe</t>
        </is>
      </c>
      <c r="E1899" s="53" t="inlineStr">
        <is>
          <t>2024-04-29</t>
        </is>
      </c>
      <c r="F1899" s="53">
        <v>1.9</v>
      </c>
      <c r="G1899" s="53">
        <v>0</v>
      </c>
      <c r="H1899" s="51" t="str">
        <f>TEXT(tblLaborEntries[[#This Row],[Work date serial]]-WEEKDAY(tblLaborEntries[[#This Row],[Work date serial]],3),"yyyy-mm-dd")</f>
        <v>2024-04-29</v>
      </c>
      <c r="I1899" s="64">
        <f>DATEVALUE(tblLaborEntries[[#This Row],[Work date]])</f>
        <v>45411.0</v>
      </c>
    </row>
    <row r="1900" spans="1:9" ht="15" x14ac:dyDescent="0.25">
      <c r="A1900" s="53" t="inlineStr">
        <is>
          <t>LAB-001899</t>
        </is>
      </c>
      <c r="B1900" s="53" t="inlineStr">
        <is>
          <t>WP-00837</t>
        </is>
      </c>
      <c r="C1900" s="53" t="inlineStr">
        <is>
          <t>TECH-013</t>
        </is>
      </c>
      <c r="D1900" s="53" t="inlineStr">
        <is>
          <t>Airframe</t>
        </is>
      </c>
      <c r="E1900" s="53" t="inlineStr">
        <is>
          <t>2025-05-21</t>
        </is>
      </c>
      <c r="F1900" s="53">
        <v>5.2</v>
      </c>
      <c r="G1900" s="53">
        <v>0</v>
      </c>
      <c r="H1900" s="51" t="str">
        <f>TEXT(tblLaborEntries[[#This Row],[Work date serial]]-WEEKDAY(tblLaborEntries[[#This Row],[Work date serial]],3),"yyyy-mm-dd")</f>
        <v>2025-05-19</v>
      </c>
      <c r="I1900" s="64">
        <f>DATEVALUE(tblLaborEntries[[#This Row],[Work date]])</f>
        <v>45798.0</v>
      </c>
    </row>
    <row r="1901" spans="1:9" ht="15" x14ac:dyDescent="0.25">
      <c r="A1901" s="53" t="inlineStr">
        <is>
          <t>LAB-001900</t>
        </is>
      </c>
      <c r="B1901" s="53" t="inlineStr">
        <is>
          <t>WP-00837</t>
        </is>
      </c>
      <c r="C1901" s="53" t="inlineStr">
        <is>
          <t>TECH-025</t>
        </is>
      </c>
      <c r="D1901" s="53" t="inlineStr">
        <is>
          <t>Airframe</t>
        </is>
      </c>
      <c r="E1901" s="53" t="inlineStr">
        <is>
          <t>2025-05-22</t>
        </is>
      </c>
      <c r="F1901" s="53">
        <v>5.7</v>
      </c>
      <c r="G1901" s="53">
        <v>0</v>
      </c>
      <c r="H1901" s="51" t="str">
        <f>TEXT(tblLaborEntries[[#This Row],[Work date serial]]-WEEKDAY(tblLaborEntries[[#This Row],[Work date serial]],3),"yyyy-mm-dd")</f>
        <v>2025-05-19</v>
      </c>
      <c r="I1901" s="64">
        <f>DATEVALUE(tblLaborEntries[[#This Row],[Work date]])</f>
        <v>45799.0</v>
      </c>
    </row>
    <row r="1902" spans="1:9" ht="15" x14ac:dyDescent="0.25">
      <c r="A1902" s="53" t="inlineStr">
        <is>
          <t>LAB-001901</t>
        </is>
      </c>
      <c r="B1902" s="53" t="inlineStr">
        <is>
          <t>WP-00838</t>
        </is>
      </c>
      <c r="C1902" s="53" t="inlineStr">
        <is>
          <t>TECH-031</t>
        </is>
      </c>
      <c r="D1902" s="53" t="inlineStr">
        <is>
          <t>Airframe</t>
        </is>
      </c>
      <c r="E1902" s="53" t="inlineStr">
        <is>
          <t>2024-11-28</t>
        </is>
      </c>
      <c r="F1902" s="53">
        <v>3.3</v>
      </c>
      <c r="G1902" s="53">
        <v>0</v>
      </c>
      <c r="H1902" s="51" t="str">
        <f>TEXT(tblLaborEntries[[#This Row],[Work date serial]]-WEEKDAY(tblLaborEntries[[#This Row],[Work date serial]],3),"yyyy-mm-dd")</f>
        <v>2024-11-25</v>
      </c>
      <c r="I1902" s="64">
        <f>DATEVALUE(tblLaborEntries[[#This Row],[Work date]])</f>
        <v>45624.0</v>
      </c>
    </row>
    <row r="1903" spans="1:9" ht="15" x14ac:dyDescent="0.25">
      <c r="A1903" s="53" t="inlineStr">
        <is>
          <t>LAB-001902</t>
        </is>
      </c>
      <c r="B1903" s="53" t="inlineStr">
        <is>
          <t>WP-00838</t>
        </is>
      </c>
      <c r="C1903" s="53" t="inlineStr">
        <is>
          <t>TECH-067</t>
        </is>
      </c>
      <c r="D1903" s="53" t="inlineStr">
        <is>
          <t>Airframe</t>
        </is>
      </c>
      <c r="E1903" s="53" t="inlineStr">
        <is>
          <t>2024-11-29</t>
        </is>
      </c>
      <c r="F1903" s="53">
        <v>2.6</v>
      </c>
      <c r="G1903" s="53">
        <v>0</v>
      </c>
      <c r="H1903" s="51" t="str">
        <f>TEXT(tblLaborEntries[[#This Row],[Work date serial]]-WEEKDAY(tblLaborEntries[[#This Row],[Work date serial]],3),"yyyy-mm-dd")</f>
        <v>2024-11-25</v>
      </c>
      <c r="I1903" s="64">
        <f>DATEVALUE(tblLaborEntries[[#This Row],[Work date]])</f>
        <v>45625.0</v>
      </c>
    </row>
    <row r="1904" spans="1:9" ht="15" x14ac:dyDescent="0.25">
      <c r="A1904" s="53" t="inlineStr">
        <is>
          <t>LAB-001903</t>
        </is>
      </c>
      <c r="B1904" s="53" t="inlineStr">
        <is>
          <t>WP-00839</t>
        </is>
      </c>
      <c r="C1904" s="53" t="inlineStr">
        <is>
          <t>TECH-037</t>
        </is>
      </c>
      <c r="D1904" s="53" t="inlineStr">
        <is>
          <t>Airframe</t>
        </is>
      </c>
      <c r="E1904" s="53" t="inlineStr">
        <is>
          <t>2025-01-06</t>
        </is>
      </c>
      <c r="F1904" s="53">
        <v>5.9</v>
      </c>
      <c r="G1904" s="53">
        <v>0</v>
      </c>
      <c r="H1904" s="51" t="str">
        <f>TEXT(tblLaborEntries[[#This Row],[Work date serial]]-WEEKDAY(tblLaborEntries[[#This Row],[Work date serial]],3),"yyyy-mm-dd")</f>
        <v>2025-01-06</v>
      </c>
      <c r="I1904" s="64">
        <f>DATEVALUE(tblLaborEntries[[#This Row],[Work date]])</f>
        <v>45663.0</v>
      </c>
    </row>
    <row r="1905" spans="1:9" ht="15" x14ac:dyDescent="0.25">
      <c r="A1905" s="53" t="inlineStr">
        <is>
          <t>LAB-001904</t>
        </is>
      </c>
      <c r="B1905" s="53" t="inlineStr">
        <is>
          <t>WP-00840</t>
        </is>
      </c>
      <c r="C1905" s="53" t="inlineStr">
        <is>
          <t>TECH-075</t>
        </is>
      </c>
      <c r="D1905" s="53" t="inlineStr">
        <is>
          <t>Hydraulics</t>
        </is>
      </c>
      <c r="E1905" s="53" t="inlineStr">
        <is>
          <t>2025-11-11</t>
        </is>
      </c>
      <c r="F1905" s="53">
        <v>5.4</v>
      </c>
      <c r="G1905" s="53">
        <v>0</v>
      </c>
      <c r="H1905" s="51" t="str">
        <f>TEXT(tblLaborEntries[[#This Row],[Work date serial]]-WEEKDAY(tblLaborEntries[[#This Row],[Work date serial]],3),"yyyy-mm-dd")</f>
        <v>2025-11-10</v>
      </c>
      <c r="I1905" s="64">
        <f>DATEVALUE(tblLaborEntries[[#This Row],[Work date]])</f>
        <v>45972.0</v>
      </c>
    </row>
    <row r="1906" spans="1:9" ht="15" x14ac:dyDescent="0.25">
      <c r="A1906" s="53" t="inlineStr">
        <is>
          <t>LAB-001905</t>
        </is>
      </c>
      <c r="B1906" s="53" t="inlineStr">
        <is>
          <t>WP-00840</t>
        </is>
      </c>
      <c r="C1906" s="53" t="inlineStr">
        <is>
          <t>TECH-057</t>
        </is>
      </c>
      <c r="D1906" s="53" t="inlineStr">
        <is>
          <t>Hydraulics</t>
        </is>
      </c>
      <c r="E1906" s="53" t="inlineStr">
        <is>
          <t>2025-11-12</t>
        </is>
      </c>
      <c r="F1906" s="53">
        <v>4.7</v>
      </c>
      <c r="G1906" s="53">
        <v>0</v>
      </c>
      <c r="H1906" s="51" t="str">
        <f>TEXT(tblLaborEntries[[#This Row],[Work date serial]]-WEEKDAY(tblLaborEntries[[#This Row],[Work date serial]],3),"yyyy-mm-dd")</f>
        <v>2025-11-10</v>
      </c>
      <c r="I1906" s="64">
        <f>DATEVALUE(tblLaborEntries[[#This Row],[Work date]])</f>
        <v>45973.0</v>
      </c>
    </row>
    <row r="1907" spans="1:9" ht="15" x14ac:dyDescent="0.25">
      <c r="A1907" s="53" t="inlineStr">
        <is>
          <t>LAB-001906</t>
        </is>
      </c>
      <c r="B1907" s="53" t="inlineStr">
        <is>
          <t>WP-00840</t>
        </is>
      </c>
      <c r="C1907" s="53" t="inlineStr">
        <is>
          <t>TECH-045</t>
        </is>
      </c>
      <c r="D1907" s="53" t="inlineStr">
        <is>
          <t>Hydraulics</t>
        </is>
      </c>
      <c r="E1907" s="53" t="inlineStr">
        <is>
          <t>2025-11-13</t>
        </is>
      </c>
      <c r="F1907" s="53">
        <v>4</v>
      </c>
      <c r="G1907" s="53">
        <v>0</v>
      </c>
      <c r="H1907" s="51" t="str">
        <f>TEXT(tblLaborEntries[[#This Row],[Work date serial]]-WEEKDAY(tblLaborEntries[[#This Row],[Work date serial]],3),"yyyy-mm-dd")</f>
        <v>2025-11-10</v>
      </c>
      <c r="I1907" s="64">
        <f>DATEVALUE(tblLaborEntries[[#This Row],[Work date]])</f>
        <v>45974.0</v>
      </c>
    </row>
    <row r="1908" spans="1:9" ht="15" x14ac:dyDescent="0.25">
      <c r="A1908" s="53" t="inlineStr">
        <is>
          <t>LAB-001907</t>
        </is>
      </c>
      <c r="B1908" s="53" t="inlineStr">
        <is>
          <t>WP-00841</t>
        </is>
      </c>
      <c r="C1908" s="53" t="inlineStr">
        <is>
          <t>TECH-005</t>
        </is>
      </c>
      <c r="D1908" s="53" t="inlineStr">
        <is>
          <t>Structures</t>
        </is>
      </c>
      <c r="E1908" s="53" t="inlineStr">
        <is>
          <t>2025-08-05</t>
        </is>
      </c>
      <c r="F1908" s="53">
        <v>12</v>
      </c>
      <c r="G1908" s="53">
        <v>4</v>
      </c>
      <c r="H1908" s="51" t="str">
        <f>TEXT(tblLaborEntries[[#This Row],[Work date serial]]-WEEKDAY(tblLaborEntries[[#This Row],[Work date serial]],3),"yyyy-mm-dd")</f>
        <v>2025-08-04</v>
      </c>
      <c r="I1908" s="64">
        <f>DATEVALUE(tblLaborEntries[[#This Row],[Work date]])</f>
        <v>45874.0</v>
      </c>
    </row>
    <row r="1909" spans="1:9" ht="15" x14ac:dyDescent="0.25">
      <c r="A1909" s="53" t="inlineStr">
        <is>
          <t>LAB-001908</t>
        </is>
      </c>
      <c r="B1909" s="53" t="inlineStr">
        <is>
          <t>WP-00841</t>
        </is>
      </c>
      <c r="C1909" s="53" t="inlineStr">
        <is>
          <t>TECH-011</t>
        </is>
      </c>
      <c r="D1909" s="53" t="inlineStr">
        <is>
          <t>Structures</t>
        </is>
      </c>
      <c r="E1909" s="53" t="inlineStr">
        <is>
          <t>2025-08-05</t>
        </is>
      </c>
      <c r="F1909" s="53">
        <v>2.6</v>
      </c>
      <c r="G1909" s="53">
        <v>0</v>
      </c>
      <c r="H1909" s="51" t="str">
        <f>TEXT(tblLaborEntries[[#This Row],[Work date serial]]-WEEKDAY(tblLaborEntries[[#This Row],[Work date serial]],3),"yyyy-mm-dd")</f>
        <v>2025-08-04</v>
      </c>
      <c r="I1909" s="64">
        <f>DATEVALUE(tblLaborEntries[[#This Row],[Work date]])</f>
        <v>45874.0</v>
      </c>
    </row>
    <row r="1910" spans="1:9" ht="15" x14ac:dyDescent="0.25">
      <c r="A1910" s="53" t="inlineStr">
        <is>
          <t>LAB-001909</t>
        </is>
      </c>
      <c r="B1910" s="53" t="inlineStr">
        <is>
          <t>WP-00841</t>
        </is>
      </c>
      <c r="C1910" s="53" t="inlineStr">
        <is>
          <t>TECH-053</t>
        </is>
      </c>
      <c r="D1910" s="53" t="inlineStr">
        <is>
          <t>Structures</t>
        </is>
      </c>
      <c r="E1910" s="53" t="inlineStr">
        <is>
          <t>2025-08-05</t>
        </is>
      </c>
      <c r="F1910" s="53">
        <v>12</v>
      </c>
      <c r="G1910" s="53">
        <v>4</v>
      </c>
      <c r="H1910" s="51" t="str">
        <f>TEXT(tblLaborEntries[[#This Row],[Work date serial]]-WEEKDAY(tblLaborEntries[[#This Row],[Work date serial]],3),"yyyy-mm-dd")</f>
        <v>2025-08-04</v>
      </c>
      <c r="I1910" s="64">
        <f>DATEVALUE(tblLaborEntries[[#This Row],[Work date]])</f>
        <v>45874.0</v>
      </c>
    </row>
    <row r="1911" spans="1:9" ht="15" x14ac:dyDescent="0.25">
      <c r="A1911" s="53" t="inlineStr">
        <is>
          <t>LAB-001910</t>
        </is>
      </c>
      <c r="B1911" s="53" t="inlineStr">
        <is>
          <t>WP-00842</t>
        </is>
      </c>
      <c r="C1911" s="53" t="inlineStr">
        <is>
          <t>TECH-002</t>
        </is>
      </c>
      <c r="D1911" s="53" t="inlineStr">
        <is>
          <t>Avionics</t>
        </is>
      </c>
      <c r="E1911" s="53" t="inlineStr">
        <is>
          <t>2024-04-11</t>
        </is>
      </c>
      <c r="F1911" s="53">
        <v>12</v>
      </c>
      <c r="G1911" s="53">
        <v>4</v>
      </c>
      <c r="H1911" s="51" t="str">
        <f>TEXT(tblLaborEntries[[#This Row],[Work date serial]]-WEEKDAY(tblLaborEntries[[#This Row],[Work date serial]],3),"yyyy-mm-dd")</f>
        <v>2024-04-08</v>
      </c>
      <c r="I1911" s="64">
        <f>DATEVALUE(tblLaborEntries[[#This Row],[Work date]])</f>
        <v>45393.0</v>
      </c>
    </row>
    <row r="1912" spans="1:9" ht="15" x14ac:dyDescent="0.25">
      <c r="A1912" s="53" t="inlineStr">
        <is>
          <t>LAB-001911</t>
        </is>
      </c>
      <c r="B1912" s="53" t="inlineStr">
        <is>
          <t>WP-00842</t>
        </is>
      </c>
      <c r="C1912" s="53" t="inlineStr">
        <is>
          <t>TECH-008</t>
        </is>
      </c>
      <c r="D1912" s="53" t="inlineStr">
        <is>
          <t>Avionics</t>
        </is>
      </c>
      <c r="E1912" s="53" t="inlineStr">
        <is>
          <t>2024-04-11</t>
        </is>
      </c>
      <c r="F1912" s="53">
        <v>5.2</v>
      </c>
      <c r="G1912" s="53">
        <v>0</v>
      </c>
      <c r="H1912" s="51" t="str">
        <f>TEXT(tblLaborEntries[[#This Row],[Work date serial]]-WEEKDAY(tblLaborEntries[[#This Row],[Work date serial]],3),"yyyy-mm-dd")</f>
        <v>2024-04-08</v>
      </c>
      <c r="I1912" s="64">
        <f>DATEVALUE(tblLaborEntries[[#This Row],[Work date]])</f>
        <v>45393.0</v>
      </c>
    </row>
    <row r="1913" spans="1:9" ht="15" x14ac:dyDescent="0.25">
      <c r="A1913" s="53" t="inlineStr">
        <is>
          <t>LAB-001912</t>
        </is>
      </c>
      <c r="B1913" s="53" t="inlineStr">
        <is>
          <t>WP-00842</t>
        </is>
      </c>
      <c r="C1913" s="53" t="inlineStr">
        <is>
          <t>TECH-032</t>
        </is>
      </c>
      <c r="D1913" s="53" t="inlineStr">
        <is>
          <t>Avionics</t>
        </is>
      </c>
      <c r="E1913" s="53" t="inlineStr">
        <is>
          <t>2024-04-11</t>
        </is>
      </c>
      <c r="F1913" s="53">
        <v>12</v>
      </c>
      <c r="G1913" s="53">
        <v>4</v>
      </c>
      <c r="H1913" s="51" t="str">
        <f>TEXT(tblLaborEntries[[#This Row],[Work date serial]]-WEEKDAY(tblLaborEntries[[#This Row],[Work date serial]],3),"yyyy-mm-dd")</f>
        <v>2024-04-08</v>
      </c>
      <c r="I1913" s="64">
        <f>DATEVALUE(tblLaborEntries[[#This Row],[Work date]])</f>
        <v>45393.0</v>
      </c>
    </row>
    <row r="1914" spans="1:9" ht="15" x14ac:dyDescent="0.25">
      <c r="A1914" s="53" t="inlineStr">
        <is>
          <t>LAB-001913</t>
        </is>
      </c>
      <c r="B1914" s="53" t="inlineStr">
        <is>
          <t>WP-00843</t>
        </is>
      </c>
      <c r="C1914" s="53" t="inlineStr">
        <is>
          <t>TECH-019</t>
        </is>
      </c>
      <c r="D1914" s="53" t="inlineStr">
        <is>
          <t>Airframe</t>
        </is>
      </c>
      <c r="E1914" s="53" t="inlineStr">
        <is>
          <t>2025-12-16</t>
        </is>
      </c>
      <c r="F1914" s="53">
        <v>2.2</v>
      </c>
      <c r="G1914" s="53">
        <v>0</v>
      </c>
      <c r="H1914" s="51" t="str">
        <f>TEXT(tblLaborEntries[[#This Row],[Work date serial]]-WEEKDAY(tblLaborEntries[[#This Row],[Work date serial]],3),"yyyy-mm-dd")</f>
        <v>2025-12-15</v>
      </c>
      <c r="I1914" s="64">
        <f>DATEVALUE(tblLaborEntries[[#This Row],[Work date]])</f>
        <v>46007.0</v>
      </c>
    </row>
    <row r="1915" spans="1:9" ht="15" x14ac:dyDescent="0.25">
      <c r="A1915" s="53" t="inlineStr">
        <is>
          <t>LAB-001914</t>
        </is>
      </c>
      <c r="B1915" s="53" t="inlineStr">
        <is>
          <t>WP-00844</t>
        </is>
      </c>
      <c r="C1915" s="53" t="inlineStr">
        <is>
          <t>TECH-012</t>
        </is>
      </c>
      <c r="D1915" s="53" t="inlineStr">
        <is>
          <t>Powerplant</t>
        </is>
      </c>
      <c r="E1915" s="53" t="inlineStr">
        <is>
          <t>2024-06-09</t>
        </is>
      </c>
      <c r="F1915" s="53">
        <v>0.7</v>
      </c>
      <c r="G1915" s="53">
        <v>0</v>
      </c>
      <c r="H1915" s="51" t="str">
        <f>TEXT(tblLaborEntries[[#This Row],[Work date serial]]-WEEKDAY(tblLaborEntries[[#This Row],[Work date serial]],3),"yyyy-mm-dd")</f>
        <v>2024-06-03</v>
      </c>
      <c r="I1915" s="64">
        <f>DATEVALUE(tblLaborEntries[[#This Row],[Work date]])</f>
        <v>45452.0</v>
      </c>
    </row>
    <row r="1916" spans="1:9" ht="15" x14ac:dyDescent="0.25">
      <c r="A1916" s="53" t="inlineStr">
        <is>
          <t>LAB-001915</t>
        </is>
      </c>
      <c r="B1916" s="53" t="inlineStr">
        <is>
          <t>WP-00844</t>
        </is>
      </c>
      <c r="C1916" s="53" t="inlineStr">
        <is>
          <t>TECH-048</t>
        </is>
      </c>
      <c r="D1916" s="53" t="inlineStr">
        <is>
          <t>Powerplant</t>
        </is>
      </c>
      <c r="E1916" s="53" t="inlineStr">
        <is>
          <t>2024-06-09</t>
        </is>
      </c>
      <c r="F1916" s="53">
        <v>7.5</v>
      </c>
      <c r="G1916" s="53">
        <v>4</v>
      </c>
      <c r="H1916" s="51" t="str">
        <f>TEXT(tblLaborEntries[[#This Row],[Work date serial]]-WEEKDAY(tblLaborEntries[[#This Row],[Work date serial]],3),"yyyy-mm-dd")</f>
        <v>2024-06-03</v>
      </c>
      <c r="I1916" s="64">
        <f>DATEVALUE(tblLaborEntries[[#This Row],[Work date]])</f>
        <v>45452.0</v>
      </c>
    </row>
    <row r="1917" spans="1:9" ht="15" x14ac:dyDescent="0.25">
      <c r="A1917" s="53" t="inlineStr">
        <is>
          <t>LAB-001916</t>
        </is>
      </c>
      <c r="B1917" s="53" t="inlineStr">
        <is>
          <t>WP-00844</t>
        </is>
      </c>
      <c r="C1917" s="53" t="inlineStr">
        <is>
          <t>TECH-066</t>
        </is>
      </c>
      <c r="D1917" s="53" t="inlineStr">
        <is>
          <t>Powerplant</t>
        </is>
      </c>
      <c r="E1917" s="53" t="inlineStr">
        <is>
          <t>2024-06-10</t>
        </is>
      </c>
      <c r="F1917" s="53">
        <v>7.4</v>
      </c>
      <c r="G1917" s="53">
        <v>0</v>
      </c>
      <c r="H1917" s="51" t="str">
        <f>TEXT(tblLaborEntries[[#This Row],[Work date serial]]-WEEKDAY(tblLaborEntries[[#This Row],[Work date serial]],3),"yyyy-mm-dd")</f>
        <v>2024-06-10</v>
      </c>
      <c r="I1917" s="64">
        <f>DATEVALUE(tblLaborEntries[[#This Row],[Work date]])</f>
        <v>45453.0</v>
      </c>
    </row>
    <row r="1918" spans="1:9" ht="15" x14ac:dyDescent="0.25">
      <c r="A1918" s="53" t="inlineStr">
        <is>
          <t>LAB-001917</t>
        </is>
      </c>
      <c r="B1918" s="53" t="inlineStr">
        <is>
          <t>WP-00845</t>
        </is>
      </c>
      <c r="C1918" s="53" t="inlineStr">
        <is>
          <t>TECH-006</t>
        </is>
      </c>
      <c r="D1918" s="53" t="inlineStr">
        <is>
          <t>Powerplant</t>
        </is>
      </c>
      <c r="E1918" s="53" t="inlineStr">
        <is>
          <t>2024-10-14</t>
        </is>
      </c>
      <c r="F1918" s="53">
        <v>12</v>
      </c>
      <c r="G1918" s="53">
        <v>4</v>
      </c>
      <c r="H1918" s="51" t="str">
        <f>TEXT(tblLaborEntries[[#This Row],[Work date serial]]-WEEKDAY(tblLaborEntries[[#This Row],[Work date serial]],3),"yyyy-mm-dd")</f>
        <v>2024-10-14</v>
      </c>
      <c r="I1918" s="64">
        <f>DATEVALUE(tblLaborEntries[[#This Row],[Work date]])</f>
        <v>45579.0</v>
      </c>
    </row>
    <row r="1919" spans="1:9" ht="15" x14ac:dyDescent="0.25">
      <c r="A1919" s="53" t="inlineStr">
        <is>
          <t>LAB-001918</t>
        </is>
      </c>
      <c r="B1919" s="53" t="inlineStr">
        <is>
          <t>WP-00845</t>
        </is>
      </c>
      <c r="C1919" s="53" t="inlineStr">
        <is>
          <t>TECH-012</t>
        </is>
      </c>
      <c r="D1919" s="53" t="inlineStr">
        <is>
          <t>Powerplant</t>
        </is>
      </c>
      <c r="E1919" s="53" t="inlineStr">
        <is>
          <t>2024-10-14</t>
        </is>
      </c>
      <c r="F1919" s="53">
        <v>0.2</v>
      </c>
      <c r="G1919" s="53">
        <v>0</v>
      </c>
      <c r="H1919" s="51" t="str">
        <f>TEXT(tblLaborEntries[[#This Row],[Work date serial]]-WEEKDAY(tblLaborEntries[[#This Row],[Work date serial]],3),"yyyy-mm-dd")</f>
        <v>2024-10-14</v>
      </c>
      <c r="I1919" s="64">
        <f>DATEVALUE(tblLaborEntries[[#This Row],[Work date]])</f>
        <v>45579.0</v>
      </c>
    </row>
    <row r="1920" spans="1:9" ht="15" x14ac:dyDescent="0.25">
      <c r="A1920" s="53" t="inlineStr">
        <is>
          <t>LAB-001919</t>
        </is>
      </c>
      <c r="B1920" s="53" t="inlineStr">
        <is>
          <t>WP-00845</t>
        </is>
      </c>
      <c r="C1920" s="53" t="inlineStr">
        <is>
          <t>TECH-018</t>
        </is>
      </c>
      <c r="D1920" s="53" t="inlineStr">
        <is>
          <t>Powerplant</t>
        </is>
      </c>
      <c r="E1920" s="53" t="inlineStr">
        <is>
          <t>2024-10-14</t>
        </is>
      </c>
      <c r="F1920" s="53">
        <v>12</v>
      </c>
      <c r="G1920" s="53">
        <v>4</v>
      </c>
      <c r="H1920" s="51" t="str">
        <f>TEXT(tblLaborEntries[[#This Row],[Work date serial]]-WEEKDAY(tblLaborEntries[[#This Row],[Work date serial]],3),"yyyy-mm-dd")</f>
        <v>2024-10-14</v>
      </c>
      <c r="I1920" s="64">
        <f>DATEVALUE(tblLaborEntries[[#This Row],[Work date]])</f>
        <v>45579.0</v>
      </c>
    </row>
    <row r="1921" spans="1:9" ht="15" x14ac:dyDescent="0.25">
      <c r="A1921" s="53" t="inlineStr">
        <is>
          <t>LAB-001920</t>
        </is>
      </c>
      <c r="B1921" s="53" t="inlineStr">
        <is>
          <t>WP-00846</t>
        </is>
      </c>
      <c r="C1921" s="53" t="inlineStr">
        <is>
          <t>TECH-043</t>
        </is>
      </c>
      <c r="D1921" s="53" t="inlineStr">
        <is>
          <t>Airframe</t>
        </is>
      </c>
      <c r="E1921" s="53" t="inlineStr">
        <is>
          <t>2024-07-20</t>
        </is>
      </c>
      <c r="F1921" s="53">
        <v>7.5</v>
      </c>
      <c r="G1921" s="53">
        <v>0</v>
      </c>
      <c r="H1921" s="51" t="str">
        <f>TEXT(tblLaborEntries[[#This Row],[Work date serial]]-WEEKDAY(tblLaborEntries[[#This Row],[Work date serial]],3),"yyyy-mm-dd")</f>
        <v>2024-07-15</v>
      </c>
      <c r="I1921" s="64">
        <f>DATEVALUE(tblLaborEntries[[#This Row],[Work date]])</f>
        <v>45493.0</v>
      </c>
    </row>
    <row r="1922" spans="1:9" ht="15" x14ac:dyDescent="0.25">
      <c r="A1922" s="53" t="inlineStr">
        <is>
          <t>LAB-001921</t>
        </is>
      </c>
      <c r="B1922" s="53" t="inlineStr">
        <is>
          <t>WP-00847</t>
        </is>
      </c>
      <c r="C1922" s="53" t="inlineStr">
        <is>
          <t>TECH-011</t>
        </is>
      </c>
      <c r="D1922" s="53" t="inlineStr">
        <is>
          <t>Structures</t>
        </is>
      </c>
      <c r="E1922" s="53" t="inlineStr">
        <is>
          <t>2024-10-03</t>
        </is>
      </c>
      <c r="F1922" s="53">
        <v>0.8</v>
      </c>
      <c r="G1922" s="53">
        <v>0</v>
      </c>
      <c r="H1922" s="51" t="str">
        <f>TEXT(tblLaborEntries[[#This Row],[Work date serial]]-WEEKDAY(tblLaborEntries[[#This Row],[Work date serial]],3),"yyyy-mm-dd")</f>
        <v>2024-09-30</v>
      </c>
      <c r="I1922" s="64">
        <f>DATEVALUE(tblLaborEntries[[#This Row],[Work date]])</f>
        <v>45568.0</v>
      </c>
    </row>
    <row r="1923" spans="1:9" ht="15" x14ac:dyDescent="0.25">
      <c r="A1923" s="53" t="inlineStr">
        <is>
          <t>LAB-001922</t>
        </is>
      </c>
      <c r="B1923" s="53" t="inlineStr">
        <is>
          <t>WP-00847</t>
        </is>
      </c>
      <c r="C1923" s="53" t="inlineStr">
        <is>
          <t>TECH-023</t>
        </is>
      </c>
      <c r="D1923" s="53" t="inlineStr">
        <is>
          <t>Structures</t>
        </is>
      </c>
      <c r="E1923" s="53" t="inlineStr">
        <is>
          <t>2024-10-03</t>
        </is>
      </c>
      <c r="F1923" s="53">
        <v>12</v>
      </c>
      <c r="G1923" s="53">
        <v>4</v>
      </c>
      <c r="H1923" s="51" t="str">
        <f>TEXT(tblLaborEntries[[#This Row],[Work date serial]]-WEEKDAY(tblLaborEntries[[#This Row],[Work date serial]],3),"yyyy-mm-dd")</f>
        <v>2024-09-30</v>
      </c>
      <c r="I1923" s="64">
        <f>DATEVALUE(tblLaborEntries[[#This Row],[Work date]])</f>
        <v>45568.0</v>
      </c>
    </row>
    <row r="1924" spans="1:9" ht="15" x14ac:dyDescent="0.25">
      <c r="A1924" s="53" t="inlineStr">
        <is>
          <t>LAB-001923</t>
        </is>
      </c>
      <c r="B1924" s="53" t="inlineStr">
        <is>
          <t>WP-00847</t>
        </is>
      </c>
      <c r="C1924" s="53" t="inlineStr">
        <is>
          <t>TECH-005</t>
        </is>
      </c>
      <c r="D1924" s="53" t="inlineStr">
        <is>
          <t>Structures</t>
        </is>
      </c>
      <c r="E1924" s="53" t="inlineStr">
        <is>
          <t>2024-10-04</t>
        </is>
      </c>
      <c r="F1924" s="53">
        <v>6.4</v>
      </c>
      <c r="G1924" s="53">
        <v>0</v>
      </c>
      <c r="H1924" s="51" t="str">
        <f>TEXT(tblLaborEntries[[#This Row],[Work date serial]]-WEEKDAY(tblLaborEntries[[#This Row],[Work date serial]],3),"yyyy-mm-dd")</f>
        <v>2024-09-30</v>
      </c>
      <c r="I1924" s="64">
        <f>DATEVALUE(tblLaborEntries[[#This Row],[Work date]])</f>
        <v>45569.0</v>
      </c>
    </row>
    <row r="1925" spans="1:9" ht="15" x14ac:dyDescent="0.25">
      <c r="A1925" s="53" t="inlineStr">
        <is>
          <t>LAB-001924</t>
        </is>
      </c>
      <c r="B1925" s="53" t="inlineStr">
        <is>
          <t>WP-00847</t>
        </is>
      </c>
      <c r="C1925" s="53" t="inlineStr">
        <is>
          <t>TECH-023</t>
        </is>
      </c>
      <c r="D1925" s="53" t="inlineStr">
        <is>
          <t>Structures</t>
        </is>
      </c>
      <c r="E1925" s="53" t="inlineStr">
        <is>
          <t>2024-10-04</t>
        </is>
      </c>
      <c r="F1925" s="53">
        <v>12</v>
      </c>
      <c r="G1925" s="53">
        <v>4</v>
      </c>
      <c r="H1925" s="51" t="str">
        <f>TEXT(tblLaborEntries[[#This Row],[Work date serial]]-WEEKDAY(tblLaborEntries[[#This Row],[Work date serial]],3),"yyyy-mm-dd")</f>
        <v>2024-09-30</v>
      </c>
      <c r="I1925" s="64">
        <f>DATEVALUE(tblLaborEntries[[#This Row],[Work date]])</f>
        <v>45569.0</v>
      </c>
    </row>
    <row r="1926" spans="1:9" ht="15" x14ac:dyDescent="0.25">
      <c r="A1926" s="53" t="inlineStr">
        <is>
          <t>LAB-001925</t>
        </is>
      </c>
      <c r="B1926" s="53" t="inlineStr">
        <is>
          <t>WP-00848</t>
        </is>
      </c>
      <c r="C1926" s="53" t="inlineStr">
        <is>
          <t>TECH-025</t>
        </is>
      </c>
      <c r="D1926" s="53" t="inlineStr">
        <is>
          <t>Airframe</t>
        </is>
      </c>
      <c r="E1926" s="53" t="inlineStr">
        <is>
          <t>2024-09-16</t>
        </is>
      </c>
      <c r="F1926" s="53">
        <v>1.1</v>
      </c>
      <c r="G1926" s="53">
        <v>0</v>
      </c>
      <c r="H1926" s="51" t="str">
        <f>TEXT(tblLaborEntries[[#This Row],[Work date serial]]-WEEKDAY(tblLaborEntries[[#This Row],[Work date serial]],3),"yyyy-mm-dd")</f>
        <v>2024-09-16</v>
      </c>
      <c r="I1926" s="64">
        <f>DATEVALUE(tblLaborEntries[[#This Row],[Work date]])</f>
        <v>45551.0</v>
      </c>
    </row>
    <row r="1927" spans="1:9" ht="15" x14ac:dyDescent="0.25">
      <c r="A1927" s="53" t="inlineStr">
        <is>
          <t>LAB-001926</t>
        </is>
      </c>
      <c r="B1927" s="53" t="inlineStr">
        <is>
          <t>WP-00848</t>
        </is>
      </c>
      <c r="C1927" s="53" t="inlineStr">
        <is>
          <t>TECH-025</t>
        </is>
      </c>
      <c r="D1927" s="53" t="inlineStr">
        <is>
          <t>Airframe</t>
        </is>
      </c>
      <c r="E1927" s="53" t="inlineStr">
        <is>
          <t>2024-09-17</t>
        </is>
      </c>
      <c r="F1927" s="53">
        <v>0.8</v>
      </c>
      <c r="G1927" s="53">
        <v>0</v>
      </c>
      <c r="H1927" s="51" t="str">
        <f>TEXT(tblLaborEntries[[#This Row],[Work date serial]]-WEEKDAY(tblLaborEntries[[#This Row],[Work date serial]],3),"yyyy-mm-dd")</f>
        <v>2024-09-16</v>
      </c>
      <c r="I1927" s="64">
        <f>DATEVALUE(tblLaborEntries[[#This Row],[Work date]])</f>
        <v>45552.0</v>
      </c>
    </row>
    <row r="1928" spans="1:9" ht="15" x14ac:dyDescent="0.25">
      <c r="A1928" s="53" t="inlineStr">
        <is>
          <t>LAB-001927</t>
        </is>
      </c>
      <c r="B1928" s="53" t="inlineStr">
        <is>
          <t>WP-00849</t>
        </is>
      </c>
      <c r="C1928" s="53" t="inlineStr">
        <is>
          <t>TECH-061</t>
        </is>
      </c>
      <c r="D1928" s="53" t="inlineStr">
        <is>
          <t>Airframe</t>
        </is>
      </c>
      <c r="E1928" s="53" t="inlineStr">
        <is>
          <t>2024-09-03</t>
        </is>
      </c>
      <c r="F1928" s="53">
        <v>6</v>
      </c>
      <c r="G1928" s="53">
        <v>0</v>
      </c>
      <c r="H1928" s="51" t="str">
        <f>TEXT(tblLaborEntries[[#This Row],[Work date serial]]-WEEKDAY(tblLaborEntries[[#This Row],[Work date serial]],3),"yyyy-mm-dd")</f>
        <v>2024-09-02</v>
      </c>
      <c r="I1928" s="64">
        <f>DATEVALUE(tblLaborEntries[[#This Row],[Work date]])</f>
        <v>45538.0</v>
      </c>
    </row>
    <row r="1929" spans="1:9" ht="15" x14ac:dyDescent="0.25">
      <c r="A1929" s="53" t="inlineStr">
        <is>
          <t>LAB-001928</t>
        </is>
      </c>
      <c r="B1929" s="53" t="inlineStr">
        <is>
          <t>WP-00850</t>
        </is>
      </c>
      <c r="C1929" s="53" t="inlineStr">
        <is>
          <t>TECH-042</t>
        </is>
      </c>
      <c r="D1929" s="53" t="inlineStr">
        <is>
          <t>Powerplant</t>
        </is>
      </c>
      <c r="E1929" s="53" t="inlineStr">
        <is>
          <t>2025-01-08</t>
        </is>
      </c>
      <c r="F1929" s="53">
        <v>2.2</v>
      </c>
      <c r="G1929" s="53">
        <v>0</v>
      </c>
      <c r="H1929" s="51" t="str">
        <f>TEXT(tblLaborEntries[[#This Row],[Work date serial]]-WEEKDAY(tblLaborEntries[[#This Row],[Work date serial]],3),"yyyy-mm-dd")</f>
        <v>2025-01-06</v>
      </c>
      <c r="I1929" s="64">
        <f>DATEVALUE(tblLaborEntries[[#This Row],[Work date]])</f>
        <v>45665.0</v>
      </c>
    </row>
    <row r="1930" spans="1:9" ht="15" x14ac:dyDescent="0.25">
      <c r="A1930" s="53" t="inlineStr">
        <is>
          <t>LAB-001929</t>
        </is>
      </c>
      <c r="B1930" s="53" t="inlineStr">
        <is>
          <t>WP-00850</t>
        </is>
      </c>
      <c r="C1930" s="53" t="inlineStr">
        <is>
          <t>TECH-018</t>
        </is>
      </c>
      <c r="D1930" s="53" t="inlineStr">
        <is>
          <t>Powerplant</t>
        </is>
      </c>
      <c r="E1930" s="53" t="inlineStr">
        <is>
          <t>2025-01-09</t>
        </is>
      </c>
      <c r="F1930" s="53">
        <v>1.5</v>
      </c>
      <c r="G1930" s="53">
        <v>0</v>
      </c>
      <c r="H1930" s="51" t="str">
        <f>TEXT(tblLaborEntries[[#This Row],[Work date serial]]-WEEKDAY(tblLaborEntries[[#This Row],[Work date serial]],3),"yyyy-mm-dd")</f>
        <v>2025-01-06</v>
      </c>
      <c r="I1930" s="64">
        <f>DATEVALUE(tblLaborEntries[[#This Row],[Work date]])</f>
        <v>45666.0</v>
      </c>
    </row>
    <row r="1931" spans="1:9" ht="15" x14ac:dyDescent="0.25">
      <c r="A1931" s="53" t="inlineStr">
        <is>
          <t>LAB-001930</t>
        </is>
      </c>
      <c r="B1931" s="53" t="inlineStr">
        <is>
          <t>WP-00850</t>
        </is>
      </c>
      <c r="C1931" s="53" t="inlineStr">
        <is>
          <t>TECH-060</t>
        </is>
      </c>
      <c r="D1931" s="53" t="inlineStr">
        <is>
          <t>Powerplant</t>
        </is>
      </c>
      <c r="E1931" s="53" t="inlineStr">
        <is>
          <t>2025-01-10</t>
        </is>
      </c>
      <c r="F1931" s="53">
        <v>2.1</v>
      </c>
      <c r="G1931" s="53">
        <v>0</v>
      </c>
      <c r="H1931" s="51" t="str">
        <f>TEXT(tblLaborEntries[[#This Row],[Work date serial]]-WEEKDAY(tblLaborEntries[[#This Row],[Work date serial]],3),"yyyy-mm-dd")</f>
        <v>2025-01-06</v>
      </c>
      <c r="I1931" s="64">
        <f>DATEVALUE(tblLaborEntries[[#This Row],[Work date]])</f>
        <v>45667.0</v>
      </c>
    </row>
    <row r="1932" spans="1:9" ht="15" x14ac:dyDescent="0.25">
      <c r="A1932" s="53" t="inlineStr">
        <is>
          <t>LAB-001931</t>
        </is>
      </c>
      <c r="B1932" s="53" t="inlineStr">
        <is>
          <t>WP-00851</t>
        </is>
      </c>
      <c r="C1932" s="53" t="inlineStr">
        <is>
          <t>TECH-002</t>
        </is>
      </c>
      <c r="D1932" s="53" t="inlineStr">
        <is>
          <t>Avionics</t>
        </is>
      </c>
      <c r="E1932" s="53" t="inlineStr">
        <is>
          <t>2025-02-15</t>
        </is>
      </c>
      <c r="F1932" s="53">
        <v>5.9</v>
      </c>
      <c r="G1932" s="53">
        <v>0</v>
      </c>
      <c r="H1932" s="51" t="str">
        <f>TEXT(tblLaborEntries[[#This Row],[Work date serial]]-WEEKDAY(tblLaborEntries[[#This Row],[Work date serial]],3),"yyyy-mm-dd")</f>
        <v>2025-02-10</v>
      </c>
      <c r="I1932" s="64">
        <f>DATEVALUE(tblLaborEntries[[#This Row],[Work date]])</f>
        <v>45703.0</v>
      </c>
    </row>
    <row r="1933" spans="1:9" ht="15" x14ac:dyDescent="0.25">
      <c r="A1933" s="53" t="inlineStr">
        <is>
          <t>LAB-001932</t>
        </is>
      </c>
      <c r="B1933" s="53" t="inlineStr">
        <is>
          <t>WP-00851</t>
        </is>
      </c>
      <c r="C1933" s="53" t="inlineStr">
        <is>
          <t>TECH-074</t>
        </is>
      </c>
      <c r="D1933" s="53" t="inlineStr">
        <is>
          <t>Avionics</t>
        </is>
      </c>
      <c r="E1933" s="53" t="inlineStr">
        <is>
          <t>2025-02-16</t>
        </is>
      </c>
      <c r="F1933" s="53">
        <v>7.1</v>
      </c>
      <c r="G1933" s="53">
        <v>0</v>
      </c>
      <c r="H1933" s="51" t="str">
        <f>TEXT(tblLaborEntries[[#This Row],[Work date serial]]-WEEKDAY(tblLaborEntries[[#This Row],[Work date serial]],3),"yyyy-mm-dd")</f>
        <v>2025-02-10</v>
      </c>
      <c r="I1933" s="64">
        <f>DATEVALUE(tblLaborEntries[[#This Row],[Work date]])</f>
        <v>45704.0</v>
      </c>
    </row>
    <row r="1934" spans="1:9" ht="15" x14ac:dyDescent="0.25">
      <c r="A1934" s="53" t="inlineStr">
        <is>
          <t>LAB-001933</t>
        </is>
      </c>
      <c r="B1934" s="53" t="inlineStr">
        <is>
          <t>WP-00851</t>
        </is>
      </c>
      <c r="C1934" s="53" t="inlineStr">
        <is>
          <t>TECH-062</t>
        </is>
      </c>
      <c r="D1934" s="53" t="inlineStr">
        <is>
          <t>Avionics</t>
        </is>
      </c>
      <c r="E1934" s="53" t="inlineStr">
        <is>
          <t>2025-02-17</t>
        </is>
      </c>
      <c r="F1934" s="53">
        <v>7</v>
      </c>
      <c r="G1934" s="53">
        <v>0</v>
      </c>
      <c r="H1934" s="51" t="str">
        <f>TEXT(tblLaborEntries[[#This Row],[Work date serial]]-WEEKDAY(tblLaborEntries[[#This Row],[Work date serial]],3),"yyyy-mm-dd")</f>
        <v>2025-02-17</v>
      </c>
      <c r="I1934" s="64">
        <f>DATEVALUE(tblLaborEntries[[#This Row],[Work date]])</f>
        <v>45705.0</v>
      </c>
    </row>
    <row r="1935" spans="1:9" ht="15" x14ac:dyDescent="0.25">
      <c r="A1935" s="53" t="inlineStr">
        <is>
          <t>LAB-001934</t>
        </is>
      </c>
      <c r="B1935" s="53" t="inlineStr">
        <is>
          <t>WP-00852</t>
        </is>
      </c>
      <c r="C1935" s="53" t="inlineStr">
        <is>
          <t>TECH-026</t>
        </is>
      </c>
      <c r="D1935" s="53" t="inlineStr">
        <is>
          <t>Avionics</t>
        </is>
      </c>
      <c r="E1935" s="53" t="inlineStr">
        <is>
          <t>2025-07-15</t>
        </is>
      </c>
      <c r="F1935" s="53">
        <v>7.7</v>
      </c>
      <c r="G1935" s="53">
        <v>0</v>
      </c>
      <c r="H1935" s="51" t="str">
        <f>TEXT(tblLaborEntries[[#This Row],[Work date serial]]-WEEKDAY(tblLaborEntries[[#This Row],[Work date serial]],3),"yyyy-mm-dd")</f>
        <v>2025-07-14</v>
      </c>
      <c r="I1935" s="64">
        <f>DATEVALUE(tblLaborEntries[[#This Row],[Work date]])</f>
        <v>45853.0</v>
      </c>
    </row>
    <row r="1936" spans="1:9" ht="15" x14ac:dyDescent="0.25">
      <c r="A1936" s="53" t="inlineStr">
        <is>
          <t>LAB-001935</t>
        </is>
      </c>
      <c r="B1936" s="53" t="inlineStr">
        <is>
          <t>WP-00853</t>
        </is>
      </c>
      <c r="C1936" s="53" t="inlineStr">
        <is>
          <t>TECH-032</t>
        </is>
      </c>
      <c r="D1936" s="53" t="inlineStr">
        <is>
          <t>Avionics</t>
        </is>
      </c>
      <c r="E1936" s="53" t="inlineStr">
        <is>
          <t>2024-10-11</t>
        </is>
      </c>
      <c r="F1936" s="53">
        <v>4.7</v>
      </c>
      <c r="G1936" s="53">
        <v>0</v>
      </c>
      <c r="H1936" s="51" t="str">
        <f>TEXT(tblLaborEntries[[#This Row],[Work date serial]]-WEEKDAY(tblLaborEntries[[#This Row],[Work date serial]],3),"yyyy-mm-dd")</f>
        <v>2024-10-07</v>
      </c>
      <c r="I1936" s="64">
        <f>DATEVALUE(tblLaborEntries[[#This Row],[Work date]])</f>
        <v>45576.0</v>
      </c>
    </row>
    <row r="1937" spans="1:9" ht="15" x14ac:dyDescent="0.25">
      <c r="A1937" s="53" t="inlineStr">
        <is>
          <t>LAB-001936</t>
        </is>
      </c>
      <c r="B1937" s="53" t="inlineStr">
        <is>
          <t>WP-00854</t>
        </is>
      </c>
      <c r="C1937" s="53" t="inlineStr">
        <is>
          <t>TECH-006</t>
        </is>
      </c>
      <c r="D1937" s="53" t="inlineStr">
        <is>
          <t>Powerplant</t>
        </is>
      </c>
      <c r="E1937" s="53" t="inlineStr">
        <is>
          <t>2024-11-14</t>
        </is>
      </c>
      <c r="F1937" s="53">
        <v>5.3</v>
      </c>
      <c r="G1937" s="53">
        <v>0</v>
      </c>
      <c r="H1937" s="51" t="str">
        <f>TEXT(tblLaborEntries[[#This Row],[Work date serial]]-WEEKDAY(tblLaborEntries[[#This Row],[Work date serial]],3),"yyyy-mm-dd")</f>
        <v>2024-11-11</v>
      </c>
      <c r="I1937" s="64">
        <f>DATEVALUE(tblLaborEntries[[#This Row],[Work date]])</f>
        <v>45610.0</v>
      </c>
    </row>
    <row r="1938" spans="1:9" ht="15" x14ac:dyDescent="0.25">
      <c r="A1938" s="53" t="inlineStr">
        <is>
          <t>LAB-001937</t>
        </is>
      </c>
      <c r="B1938" s="53" t="inlineStr">
        <is>
          <t>WP-00854</t>
        </is>
      </c>
      <c r="C1938" s="53" t="inlineStr">
        <is>
          <t>TECH-030</t>
        </is>
      </c>
      <c r="D1938" s="53" t="inlineStr">
        <is>
          <t>Powerplant</t>
        </is>
      </c>
      <c r="E1938" s="53" t="inlineStr">
        <is>
          <t>2024-11-15</t>
        </is>
      </c>
      <c r="F1938" s="53">
        <v>6.7</v>
      </c>
      <c r="G1938" s="53">
        <v>0</v>
      </c>
      <c r="H1938" s="51" t="str">
        <f>TEXT(tblLaborEntries[[#This Row],[Work date serial]]-WEEKDAY(tblLaborEntries[[#This Row],[Work date serial]],3),"yyyy-mm-dd")</f>
        <v>2024-11-11</v>
      </c>
      <c r="I1938" s="64">
        <f>DATEVALUE(tblLaborEntries[[#This Row],[Work date]])</f>
        <v>45611.0</v>
      </c>
    </row>
    <row r="1939" spans="1:9" ht="15" x14ac:dyDescent="0.25">
      <c r="A1939" s="53" t="inlineStr">
        <is>
          <t>LAB-001938</t>
        </is>
      </c>
      <c r="B1939" s="53" t="inlineStr">
        <is>
          <t>WP-00854</t>
        </is>
      </c>
      <c r="C1939" s="53" t="inlineStr">
        <is>
          <t>TECH-030</t>
        </is>
      </c>
      <c r="D1939" s="53" t="inlineStr">
        <is>
          <t>Powerplant</t>
        </is>
      </c>
      <c r="E1939" s="53" t="inlineStr">
        <is>
          <t>2024-11-16</t>
        </is>
      </c>
      <c r="F1939" s="53">
        <v>7.3</v>
      </c>
      <c r="G1939" s="53">
        <v>0</v>
      </c>
      <c r="H1939" s="51" t="str">
        <f>TEXT(tblLaborEntries[[#This Row],[Work date serial]]-WEEKDAY(tblLaborEntries[[#This Row],[Work date serial]],3),"yyyy-mm-dd")</f>
        <v>2024-11-11</v>
      </c>
      <c r="I1939" s="64">
        <f>DATEVALUE(tblLaborEntries[[#This Row],[Work date]])</f>
        <v>45612.0</v>
      </c>
    </row>
    <row r="1940" spans="1:9" ht="15" x14ac:dyDescent="0.25">
      <c r="A1940" s="53" t="inlineStr">
        <is>
          <t>LAB-001939</t>
        </is>
      </c>
      <c r="B1940" s="53" t="inlineStr">
        <is>
          <t>WP-00855</t>
        </is>
      </c>
      <c r="C1940" s="53" t="inlineStr">
        <is>
          <t>TECH-073</t>
        </is>
      </c>
      <c r="D1940" s="53" t="inlineStr">
        <is>
          <t>Airframe</t>
        </is>
      </c>
      <c r="E1940" s="53" t="inlineStr">
        <is>
          <t>2025-04-16</t>
        </is>
      </c>
      <c r="F1940" s="53">
        <v>8.6</v>
      </c>
      <c r="G1940" s="53">
        <v>0.6</v>
      </c>
      <c r="H1940" s="51" t="str">
        <f>TEXT(tblLaborEntries[[#This Row],[Work date serial]]-WEEKDAY(tblLaborEntries[[#This Row],[Work date serial]],3),"yyyy-mm-dd")</f>
        <v>2025-04-14</v>
      </c>
      <c r="I1940" s="64">
        <f>DATEVALUE(tblLaborEntries[[#This Row],[Work date]])</f>
        <v>45763.0</v>
      </c>
    </row>
    <row r="1941" spans="1:9" ht="15" x14ac:dyDescent="0.25">
      <c r="A1941" s="53" t="inlineStr">
        <is>
          <t>LAB-001940</t>
        </is>
      </c>
      <c r="B1941" s="53" t="inlineStr">
        <is>
          <t>WP-00856</t>
        </is>
      </c>
      <c r="C1941" s="53" t="inlineStr">
        <is>
          <t>TECH-002</t>
        </is>
      </c>
      <c r="D1941" s="53" t="inlineStr">
        <is>
          <t>Avionics</t>
        </is>
      </c>
      <c r="E1941" s="53" t="inlineStr">
        <is>
          <t>2024-10-11</t>
        </is>
      </c>
      <c r="F1941" s="53">
        <v>3.4</v>
      </c>
      <c r="G1941" s="53">
        <v>0</v>
      </c>
      <c r="H1941" s="51" t="str">
        <f>TEXT(tblLaborEntries[[#This Row],[Work date serial]]-WEEKDAY(tblLaborEntries[[#This Row],[Work date serial]],3),"yyyy-mm-dd")</f>
        <v>2024-10-07</v>
      </c>
      <c r="I1941" s="64">
        <f>DATEVALUE(tblLaborEntries[[#This Row],[Work date]])</f>
        <v>45576.0</v>
      </c>
    </row>
    <row r="1942" spans="1:9" ht="15" x14ac:dyDescent="0.25">
      <c r="A1942" s="53" t="inlineStr">
        <is>
          <t>LAB-001941</t>
        </is>
      </c>
      <c r="B1942" s="53" t="inlineStr">
        <is>
          <t>WP-00856</t>
        </is>
      </c>
      <c r="C1942" s="53" t="inlineStr">
        <is>
          <t>TECH-050</t>
        </is>
      </c>
      <c r="D1942" s="53" t="inlineStr">
        <is>
          <t>Avionics</t>
        </is>
      </c>
      <c r="E1942" s="53" t="inlineStr">
        <is>
          <t>2024-10-12</t>
        </is>
      </c>
      <c r="F1942" s="53">
        <v>2.9</v>
      </c>
      <c r="G1942" s="53">
        <v>0</v>
      </c>
      <c r="H1942" s="51" t="str">
        <f>TEXT(tblLaborEntries[[#This Row],[Work date serial]]-WEEKDAY(tblLaborEntries[[#This Row],[Work date serial]],3),"yyyy-mm-dd")</f>
        <v>2024-10-07</v>
      </c>
      <c r="I1942" s="64">
        <f>DATEVALUE(tblLaborEntries[[#This Row],[Work date]])</f>
        <v>45577.0</v>
      </c>
    </row>
    <row r="1943" spans="1:9" ht="15" x14ac:dyDescent="0.25">
      <c r="A1943" s="53" t="inlineStr">
        <is>
          <t>LAB-001942</t>
        </is>
      </c>
      <c r="B1943" s="53" t="inlineStr">
        <is>
          <t>WP-00856</t>
        </is>
      </c>
      <c r="C1943" s="53" t="inlineStr">
        <is>
          <t>TECH-014</t>
        </is>
      </c>
      <c r="D1943" s="53" t="inlineStr">
        <is>
          <t>Avionics</t>
        </is>
      </c>
      <c r="E1943" s="53" t="inlineStr">
        <is>
          <t>2024-10-13</t>
        </is>
      </c>
      <c r="F1943" s="53">
        <v>4.3</v>
      </c>
      <c r="G1943" s="53">
        <v>0</v>
      </c>
      <c r="H1943" s="51" t="str">
        <f>TEXT(tblLaborEntries[[#This Row],[Work date serial]]-WEEKDAY(tblLaborEntries[[#This Row],[Work date serial]],3),"yyyy-mm-dd")</f>
        <v>2024-10-07</v>
      </c>
      <c r="I1943" s="64">
        <f>DATEVALUE(tblLaborEntries[[#This Row],[Work date]])</f>
        <v>45578.0</v>
      </c>
    </row>
    <row r="1944" spans="1:9" ht="15" x14ac:dyDescent="0.25">
      <c r="A1944" s="53" t="inlineStr">
        <is>
          <t>LAB-001943</t>
        </is>
      </c>
      <c r="B1944" s="53" t="inlineStr">
        <is>
          <t>WP-00857</t>
        </is>
      </c>
      <c r="C1944" s="53" t="inlineStr">
        <is>
          <t>TECH-003</t>
        </is>
      </c>
      <c r="D1944" s="53" t="inlineStr">
        <is>
          <t>Hydraulics</t>
        </is>
      </c>
      <c r="E1944" s="53" t="inlineStr">
        <is>
          <t>2025-06-26</t>
        </is>
      </c>
      <c r="F1944" s="53">
        <v>3.3</v>
      </c>
      <c r="G1944" s="53">
        <v>0</v>
      </c>
      <c r="H1944" s="51" t="str">
        <f>TEXT(tblLaborEntries[[#This Row],[Work date serial]]-WEEKDAY(tblLaborEntries[[#This Row],[Work date serial]],3),"yyyy-mm-dd")</f>
        <v>2025-06-23</v>
      </c>
      <c r="I1944" s="64">
        <f>DATEVALUE(tblLaborEntries[[#This Row],[Work date]])</f>
        <v>45834.0</v>
      </c>
    </row>
    <row r="1945" spans="1:9" ht="15" x14ac:dyDescent="0.25">
      <c r="A1945" s="53" t="inlineStr">
        <is>
          <t>LAB-001944</t>
        </is>
      </c>
      <c r="B1945" s="53" t="inlineStr">
        <is>
          <t>WP-00857</t>
        </is>
      </c>
      <c r="C1945" s="53" t="inlineStr">
        <is>
          <t>TECH-075</t>
        </is>
      </c>
      <c r="D1945" s="53" t="inlineStr">
        <is>
          <t>Hydraulics</t>
        </is>
      </c>
      <c r="E1945" s="53" t="inlineStr">
        <is>
          <t>2025-06-26</t>
        </is>
      </c>
      <c r="F1945" s="53">
        <v>4.9</v>
      </c>
      <c r="G1945" s="53">
        <v>4</v>
      </c>
      <c r="H1945" s="51" t="str">
        <f>TEXT(tblLaborEntries[[#This Row],[Work date serial]]-WEEKDAY(tblLaborEntries[[#This Row],[Work date serial]],3),"yyyy-mm-dd")</f>
        <v>2025-06-23</v>
      </c>
      <c r="I1945" s="64">
        <f>DATEVALUE(tblLaborEntries[[#This Row],[Work date]])</f>
        <v>45834.0</v>
      </c>
    </row>
    <row r="1946" spans="1:9" ht="15" x14ac:dyDescent="0.25">
      <c r="A1946" s="53" t="inlineStr">
        <is>
          <t>LAB-001945</t>
        </is>
      </c>
      <c r="B1946" s="53" t="inlineStr">
        <is>
          <t>WP-00858</t>
        </is>
      </c>
      <c r="C1946" s="53" t="inlineStr">
        <is>
          <t>TECH-042</t>
        </is>
      </c>
      <c r="D1946" s="53" t="inlineStr">
        <is>
          <t>Powerplant</t>
        </is>
      </c>
      <c r="E1946" s="53" t="inlineStr">
        <is>
          <t>2025-09-19</t>
        </is>
      </c>
      <c r="F1946" s="53">
        <v>3.9</v>
      </c>
      <c r="G1946" s="53">
        <v>0</v>
      </c>
      <c r="H1946" s="51" t="str">
        <f>TEXT(tblLaborEntries[[#This Row],[Work date serial]]-WEEKDAY(tblLaborEntries[[#This Row],[Work date serial]],3),"yyyy-mm-dd")</f>
        <v>2025-09-15</v>
      </c>
      <c r="I1946" s="64">
        <f>DATEVALUE(tblLaborEntries[[#This Row],[Work date]])</f>
        <v>45919.0</v>
      </c>
    </row>
    <row r="1947" spans="1:9" ht="15" x14ac:dyDescent="0.25">
      <c r="A1947" s="53" t="inlineStr">
        <is>
          <t>LAB-001946</t>
        </is>
      </c>
      <c r="B1947" s="53" t="inlineStr">
        <is>
          <t>WP-00858</t>
        </is>
      </c>
      <c r="C1947" s="53" t="inlineStr">
        <is>
          <t>TECH-018</t>
        </is>
      </c>
      <c r="D1947" s="53" t="inlineStr">
        <is>
          <t>Powerplant</t>
        </is>
      </c>
      <c r="E1947" s="53" t="inlineStr">
        <is>
          <t>2025-09-20</t>
        </is>
      </c>
      <c r="F1947" s="53">
        <v>4.4</v>
      </c>
      <c r="G1947" s="53">
        <v>0</v>
      </c>
      <c r="H1947" s="51" t="str">
        <f>TEXT(tblLaborEntries[[#This Row],[Work date serial]]-WEEKDAY(tblLaborEntries[[#This Row],[Work date serial]],3),"yyyy-mm-dd")</f>
        <v>2025-09-15</v>
      </c>
      <c r="I1947" s="64">
        <f>DATEVALUE(tblLaborEntries[[#This Row],[Work date]])</f>
        <v>45920.0</v>
      </c>
    </row>
    <row r="1948" spans="1:9" ht="15" x14ac:dyDescent="0.25">
      <c r="A1948" s="53" t="inlineStr">
        <is>
          <t>LAB-001947</t>
        </is>
      </c>
      <c r="B1948" s="53" t="inlineStr">
        <is>
          <t>WP-00859</t>
        </is>
      </c>
      <c r="C1948" s="53" t="inlineStr">
        <is>
          <t>TECH-056</t>
        </is>
      </c>
      <c r="D1948" s="53" t="inlineStr">
        <is>
          <t>Avionics</t>
        </is>
      </c>
      <c r="E1948" s="53" t="inlineStr">
        <is>
          <t>2025-11-02</t>
        </is>
      </c>
      <c r="F1948" s="53">
        <v>2.9</v>
      </c>
      <c r="G1948" s="53">
        <v>0</v>
      </c>
      <c r="H1948" s="51" t="str">
        <f>TEXT(tblLaborEntries[[#This Row],[Work date serial]]-WEEKDAY(tblLaborEntries[[#This Row],[Work date serial]],3),"yyyy-mm-dd")</f>
        <v>2025-10-27</v>
      </c>
      <c r="I1948" s="64">
        <f>DATEVALUE(tblLaborEntries[[#This Row],[Work date]])</f>
        <v>45963.0</v>
      </c>
    </row>
    <row r="1949" spans="1:9" ht="15" x14ac:dyDescent="0.25">
      <c r="A1949" s="53" t="inlineStr">
        <is>
          <t>LAB-001948</t>
        </is>
      </c>
      <c r="B1949" s="53" t="inlineStr">
        <is>
          <t>WP-00859</t>
        </is>
      </c>
      <c r="C1949" s="53" t="inlineStr">
        <is>
          <t>TECH-002</t>
        </is>
      </c>
      <c r="D1949" s="53" t="inlineStr">
        <is>
          <t>Avionics</t>
        </is>
      </c>
      <c r="E1949" s="53" t="inlineStr">
        <is>
          <t>2025-11-03</t>
        </is>
      </c>
      <c r="F1949" s="53">
        <v>2.1</v>
      </c>
      <c r="G1949" s="53">
        <v>0</v>
      </c>
      <c r="H1949" s="51" t="str">
        <f>TEXT(tblLaborEntries[[#This Row],[Work date serial]]-WEEKDAY(tblLaborEntries[[#This Row],[Work date serial]],3),"yyyy-mm-dd")</f>
        <v>2025-11-03</v>
      </c>
      <c r="I1949" s="64">
        <f>DATEVALUE(tblLaborEntries[[#This Row],[Work date]])</f>
        <v>45964.0</v>
      </c>
    </row>
    <row r="1950" spans="1:9" ht="15" x14ac:dyDescent="0.25">
      <c r="A1950" s="53" t="inlineStr">
        <is>
          <t>LAB-001949</t>
        </is>
      </c>
      <c r="B1950" s="53" t="inlineStr">
        <is>
          <t>WP-00859</t>
        </is>
      </c>
      <c r="C1950" s="53" t="inlineStr">
        <is>
          <t>TECH-074</t>
        </is>
      </c>
      <c r="D1950" s="53" t="inlineStr">
        <is>
          <t>Avionics</t>
        </is>
      </c>
      <c r="E1950" s="53" t="inlineStr">
        <is>
          <t>2025-11-04</t>
        </is>
      </c>
      <c r="F1950" s="53">
        <v>2.7</v>
      </c>
      <c r="G1950" s="53">
        <v>0</v>
      </c>
      <c r="H1950" s="51" t="str">
        <f>TEXT(tblLaborEntries[[#This Row],[Work date serial]]-WEEKDAY(tblLaborEntries[[#This Row],[Work date serial]],3),"yyyy-mm-dd")</f>
        <v>2025-11-03</v>
      </c>
      <c r="I1950" s="64">
        <f>DATEVALUE(tblLaborEntries[[#This Row],[Work date]])</f>
        <v>45965.0</v>
      </c>
    </row>
    <row r="1951" spans="1:9" ht="15" x14ac:dyDescent="0.25">
      <c r="A1951" s="53" t="inlineStr">
        <is>
          <t>LAB-001950</t>
        </is>
      </c>
      <c r="B1951" s="53" t="inlineStr">
        <is>
          <t>WP-00860</t>
        </is>
      </c>
      <c r="C1951" s="53" t="inlineStr">
        <is>
          <t>TECH-049</t>
        </is>
      </c>
      <c r="D1951" s="53" t="inlineStr">
        <is>
          <t>Airframe</t>
        </is>
      </c>
      <c r="E1951" s="53" t="inlineStr">
        <is>
          <t>2025-04-01</t>
        </is>
      </c>
      <c r="F1951" s="53">
        <v>3.1</v>
      </c>
      <c r="G1951" s="53">
        <v>0</v>
      </c>
      <c r="H1951" s="51" t="str">
        <f>TEXT(tblLaborEntries[[#This Row],[Work date serial]]-WEEKDAY(tblLaborEntries[[#This Row],[Work date serial]],3),"yyyy-mm-dd")</f>
        <v>2025-03-31</v>
      </c>
      <c r="I1951" s="64">
        <f>DATEVALUE(tblLaborEntries[[#This Row],[Work date]])</f>
        <v>45748.0</v>
      </c>
    </row>
    <row r="1952" spans="1:9" ht="15" x14ac:dyDescent="0.25">
      <c r="A1952" s="53" t="inlineStr">
        <is>
          <t>LAB-001951</t>
        </is>
      </c>
      <c r="B1952" s="53" t="inlineStr">
        <is>
          <t>WP-00860</t>
        </is>
      </c>
      <c r="C1952" s="53" t="inlineStr">
        <is>
          <t>TECH-061</t>
        </is>
      </c>
      <c r="D1952" s="53" t="inlineStr">
        <is>
          <t>Airframe</t>
        </is>
      </c>
      <c r="E1952" s="53" t="inlineStr">
        <is>
          <t>2025-04-02</t>
        </is>
      </c>
      <c r="F1952" s="53">
        <v>2.6</v>
      </c>
      <c r="G1952" s="53">
        <v>0</v>
      </c>
      <c r="H1952" s="51" t="str">
        <f>TEXT(tblLaborEntries[[#This Row],[Work date serial]]-WEEKDAY(tblLaborEntries[[#This Row],[Work date serial]],3),"yyyy-mm-dd")</f>
        <v>2025-03-31</v>
      </c>
      <c r="I1952" s="64">
        <f>DATEVALUE(tblLaborEntries[[#This Row],[Work date]])</f>
        <v>45749.0</v>
      </c>
    </row>
    <row r="1953" spans="1:9" ht="15" x14ac:dyDescent="0.25">
      <c r="A1953" s="53" t="inlineStr">
        <is>
          <t>LAB-001952</t>
        </is>
      </c>
      <c r="B1953" s="53" t="inlineStr">
        <is>
          <t>WP-00860</t>
        </is>
      </c>
      <c r="C1953" s="53" t="inlineStr">
        <is>
          <t>TECH-037</t>
        </is>
      </c>
      <c r="D1953" s="53" t="inlineStr">
        <is>
          <t>Airframe</t>
        </is>
      </c>
      <c r="E1953" s="53" t="inlineStr">
        <is>
          <t>2025-04-03</t>
        </is>
      </c>
      <c r="F1953" s="53">
        <v>2.5</v>
      </c>
      <c r="G1953" s="53">
        <v>0</v>
      </c>
      <c r="H1953" s="51" t="str">
        <f>TEXT(tblLaborEntries[[#This Row],[Work date serial]]-WEEKDAY(tblLaborEntries[[#This Row],[Work date serial]],3),"yyyy-mm-dd")</f>
        <v>2025-03-31</v>
      </c>
      <c r="I1953" s="64">
        <f>DATEVALUE(tblLaborEntries[[#This Row],[Work date]])</f>
        <v>45750.0</v>
      </c>
    </row>
    <row r="1954" spans="1:9" ht="15" x14ac:dyDescent="0.25">
      <c r="A1954" s="53" t="inlineStr">
        <is>
          <t>LAB-001953</t>
        </is>
      </c>
      <c r="B1954" s="53" t="inlineStr">
        <is>
          <t>WP-00861</t>
        </is>
      </c>
      <c r="C1954" s="53" t="inlineStr">
        <is>
          <t>TECH-049</t>
        </is>
      </c>
      <c r="D1954" s="53" t="inlineStr">
        <is>
          <t>Airframe</t>
        </is>
      </c>
      <c r="E1954" s="53" t="inlineStr">
        <is>
          <t>2025-08-19</t>
        </is>
      </c>
      <c r="F1954" s="53">
        <v>2.7</v>
      </c>
      <c r="G1954" s="53">
        <v>0</v>
      </c>
      <c r="H1954" s="51" t="str">
        <f>TEXT(tblLaborEntries[[#This Row],[Work date serial]]-WEEKDAY(tblLaborEntries[[#This Row],[Work date serial]],3),"yyyy-mm-dd")</f>
        <v>2025-08-18</v>
      </c>
      <c r="I1954" s="64">
        <f>DATEVALUE(tblLaborEntries[[#This Row],[Work date]])</f>
        <v>45888.0</v>
      </c>
    </row>
    <row r="1955" spans="1:9" ht="15" x14ac:dyDescent="0.25">
      <c r="A1955" s="53" t="inlineStr">
        <is>
          <t>LAB-001954</t>
        </is>
      </c>
      <c r="B1955" s="53" t="inlineStr">
        <is>
          <t>WP-00861</t>
        </is>
      </c>
      <c r="C1955" s="53" t="inlineStr">
        <is>
          <t>TECH-001</t>
        </is>
      </c>
      <c r="D1955" s="53" t="inlineStr">
        <is>
          <t>Airframe</t>
        </is>
      </c>
      <c r="E1955" s="53" t="inlineStr">
        <is>
          <t>2025-08-20</t>
        </is>
      </c>
      <c r="F1955" s="53">
        <v>2</v>
      </c>
      <c r="G1955" s="53">
        <v>0</v>
      </c>
      <c r="H1955" s="51" t="str">
        <f>TEXT(tblLaborEntries[[#This Row],[Work date serial]]-WEEKDAY(tblLaborEntries[[#This Row],[Work date serial]],3),"yyyy-mm-dd")</f>
        <v>2025-08-18</v>
      </c>
      <c r="I1955" s="64">
        <f>DATEVALUE(tblLaborEntries[[#This Row],[Work date]])</f>
        <v>45889.0</v>
      </c>
    </row>
    <row r="1956" spans="1:9" ht="15" x14ac:dyDescent="0.25">
      <c r="A1956" s="53" t="inlineStr">
        <is>
          <t>LAB-001955</t>
        </is>
      </c>
      <c r="B1956" s="53" t="inlineStr">
        <is>
          <t>WP-00862</t>
        </is>
      </c>
      <c r="C1956" s="53" t="inlineStr">
        <is>
          <t>TECH-042</t>
        </is>
      </c>
      <c r="D1956" s="53" t="inlineStr">
        <is>
          <t>Powerplant</t>
        </is>
      </c>
      <c r="E1956" s="53" t="inlineStr">
        <is>
          <t>2024-03-14</t>
        </is>
      </c>
      <c r="F1956" s="53">
        <v>4.9</v>
      </c>
      <c r="G1956" s="53">
        <v>0</v>
      </c>
      <c r="H1956" s="51" t="str">
        <f>TEXT(tblLaborEntries[[#This Row],[Work date serial]]-WEEKDAY(tblLaborEntries[[#This Row],[Work date serial]],3),"yyyy-mm-dd")</f>
        <v>2024-03-11</v>
      </c>
      <c r="I1956" s="64">
        <f>DATEVALUE(tblLaborEntries[[#This Row],[Work date]])</f>
        <v>45365.0</v>
      </c>
    </row>
    <row r="1957" spans="1:9" ht="15" x14ac:dyDescent="0.25">
      <c r="A1957" s="53" t="inlineStr">
        <is>
          <t>LAB-001956</t>
        </is>
      </c>
      <c r="B1957" s="53" t="inlineStr">
        <is>
          <t>WP-00862</t>
        </is>
      </c>
      <c r="C1957" s="53" t="inlineStr">
        <is>
          <t>TECH-060</t>
        </is>
      </c>
      <c r="D1957" s="53" t="inlineStr">
        <is>
          <t>Powerplant</t>
        </is>
      </c>
      <c r="E1957" s="53" t="inlineStr">
        <is>
          <t>2024-03-15</t>
        </is>
      </c>
      <c r="F1957" s="53">
        <v>3.7</v>
      </c>
      <c r="G1957" s="53">
        <v>0</v>
      </c>
      <c r="H1957" s="51" t="str">
        <f>TEXT(tblLaborEntries[[#This Row],[Work date serial]]-WEEKDAY(tblLaborEntries[[#This Row],[Work date serial]],3),"yyyy-mm-dd")</f>
        <v>2024-03-11</v>
      </c>
      <c r="I1957" s="64">
        <f>DATEVALUE(tblLaborEntries[[#This Row],[Work date]])</f>
        <v>45366.0</v>
      </c>
    </row>
    <row r="1958" spans="1:9" ht="15" x14ac:dyDescent="0.25">
      <c r="A1958" s="53" t="inlineStr">
        <is>
          <t>LAB-001957</t>
        </is>
      </c>
      <c r="B1958" s="53" t="inlineStr">
        <is>
          <t>WP-00862</t>
        </is>
      </c>
      <c r="C1958" s="53" t="inlineStr">
        <is>
          <t>TECH-012</t>
        </is>
      </c>
      <c r="D1958" s="53" t="inlineStr">
        <is>
          <t>Powerplant</t>
        </is>
      </c>
      <c r="E1958" s="53" t="inlineStr">
        <is>
          <t>2024-03-16</t>
        </is>
      </c>
      <c r="F1958" s="53">
        <v>3.9</v>
      </c>
      <c r="G1958" s="53">
        <v>0</v>
      </c>
      <c r="H1958" s="51" t="str">
        <f>TEXT(tblLaborEntries[[#This Row],[Work date serial]]-WEEKDAY(tblLaborEntries[[#This Row],[Work date serial]],3),"yyyy-mm-dd")</f>
        <v>2024-03-11</v>
      </c>
      <c r="I1958" s="64">
        <f>DATEVALUE(tblLaborEntries[[#This Row],[Work date]])</f>
        <v>45367.0</v>
      </c>
    </row>
    <row r="1959" spans="1:9" ht="15" x14ac:dyDescent="0.25">
      <c r="A1959" s="53" t="inlineStr">
        <is>
          <t>LAB-001958</t>
        </is>
      </c>
      <c r="B1959" s="53" t="inlineStr">
        <is>
          <t>WP-00863</t>
        </is>
      </c>
      <c r="C1959" s="53" t="inlineStr">
        <is>
          <t>TECH-004</t>
        </is>
      </c>
      <c r="D1959" s="53" t="inlineStr">
        <is>
          <t>Electrical</t>
        </is>
      </c>
      <c r="E1959" s="53" t="inlineStr">
        <is>
          <t>2025-11-24</t>
        </is>
      </c>
      <c r="F1959" s="53">
        <v>8.7</v>
      </c>
      <c r="G1959" s="53">
        <v>0.7</v>
      </c>
      <c r="H1959" s="51" t="str">
        <f>TEXT(tblLaborEntries[[#This Row],[Work date serial]]-WEEKDAY(tblLaborEntries[[#This Row],[Work date serial]],3),"yyyy-mm-dd")</f>
        <v>2025-11-24</v>
      </c>
      <c r="I1959" s="64">
        <f>DATEVALUE(tblLaborEntries[[#This Row],[Work date]])</f>
        <v>45985.0</v>
      </c>
    </row>
    <row r="1960" spans="1:9" ht="15" x14ac:dyDescent="0.25">
      <c r="A1960" s="53" t="inlineStr">
        <is>
          <t>LAB-001959</t>
        </is>
      </c>
      <c r="B1960" s="53" t="inlineStr">
        <is>
          <t>WP-00863</t>
        </is>
      </c>
      <c r="C1960" s="53" t="inlineStr">
        <is>
          <t>TECH-022</t>
        </is>
      </c>
      <c r="D1960" s="53" t="inlineStr">
        <is>
          <t>Electrical</t>
        </is>
      </c>
      <c r="E1960" s="53" t="inlineStr">
        <is>
          <t>2025-11-25</t>
        </is>
      </c>
      <c r="F1960" s="53">
        <v>5.8</v>
      </c>
      <c r="G1960" s="53">
        <v>0</v>
      </c>
      <c r="H1960" s="51" t="str">
        <f>TEXT(tblLaborEntries[[#This Row],[Work date serial]]-WEEKDAY(tblLaborEntries[[#This Row],[Work date serial]],3),"yyyy-mm-dd")</f>
        <v>2025-11-24</v>
      </c>
      <c r="I1960" s="64">
        <f>DATEVALUE(tblLaborEntries[[#This Row],[Work date]])</f>
        <v>45986.0</v>
      </c>
    </row>
    <row r="1961" spans="1:9" ht="15" x14ac:dyDescent="0.25">
      <c r="A1961" s="53" t="inlineStr">
        <is>
          <t>LAB-001960</t>
        </is>
      </c>
      <c r="B1961" s="53" t="inlineStr">
        <is>
          <t>WP-00863</t>
        </is>
      </c>
      <c r="C1961" s="53" t="inlineStr">
        <is>
          <t>TECH-004</t>
        </is>
      </c>
      <c r="D1961" s="53" t="inlineStr">
        <is>
          <t>Electrical</t>
        </is>
      </c>
      <c r="E1961" s="53" t="inlineStr">
        <is>
          <t>2025-11-26</t>
        </is>
      </c>
      <c r="F1961" s="53">
        <v>8</v>
      </c>
      <c r="G1961" s="53">
        <v>0</v>
      </c>
      <c r="H1961" s="51" t="str">
        <f>TEXT(tblLaborEntries[[#This Row],[Work date serial]]-WEEKDAY(tblLaborEntries[[#This Row],[Work date serial]],3),"yyyy-mm-dd")</f>
        <v>2025-11-24</v>
      </c>
      <c r="I1961" s="64">
        <f>DATEVALUE(tblLaborEntries[[#This Row],[Work date]])</f>
        <v>45987.0</v>
      </c>
    </row>
    <row r="1962" spans="1:9" ht="15" x14ac:dyDescent="0.25">
      <c r="A1962" s="53" t="inlineStr">
        <is>
          <t>LAB-001961</t>
        </is>
      </c>
      <c r="B1962" s="53" t="inlineStr">
        <is>
          <t>WP-00864</t>
        </is>
      </c>
      <c r="C1962" s="53" t="inlineStr">
        <is>
          <t>TECH-038</t>
        </is>
      </c>
      <c r="D1962" s="53" t="inlineStr">
        <is>
          <t>Avionics</t>
        </is>
      </c>
      <c r="E1962" s="53" t="inlineStr">
        <is>
          <t>2024-08-14</t>
        </is>
      </c>
      <c r="F1962" s="53">
        <v>2.9</v>
      </c>
      <c r="G1962" s="53">
        <v>0</v>
      </c>
      <c r="H1962" s="51" t="str">
        <f>TEXT(tblLaborEntries[[#This Row],[Work date serial]]-WEEKDAY(tblLaborEntries[[#This Row],[Work date serial]],3),"yyyy-mm-dd")</f>
        <v>2024-08-12</v>
      </c>
      <c r="I1962" s="64">
        <f>DATEVALUE(tblLaborEntries[[#This Row],[Work date]])</f>
        <v>45518.0</v>
      </c>
    </row>
    <row r="1963" spans="1:9" ht="15" x14ac:dyDescent="0.25">
      <c r="A1963" s="53" t="inlineStr">
        <is>
          <t>LAB-001962</t>
        </is>
      </c>
      <c r="B1963" s="53" t="inlineStr">
        <is>
          <t>WP-00864</t>
        </is>
      </c>
      <c r="C1963" s="53" t="inlineStr">
        <is>
          <t>TECH-038</t>
        </is>
      </c>
      <c r="D1963" s="53" t="inlineStr">
        <is>
          <t>Avionics</t>
        </is>
      </c>
      <c r="E1963" s="53" t="inlineStr">
        <is>
          <t>2024-08-15</t>
        </is>
      </c>
      <c r="F1963" s="53">
        <v>2.7</v>
      </c>
      <c r="G1963" s="53">
        <v>0</v>
      </c>
      <c r="H1963" s="51" t="str">
        <f>TEXT(tblLaborEntries[[#This Row],[Work date serial]]-WEEKDAY(tblLaborEntries[[#This Row],[Work date serial]],3),"yyyy-mm-dd")</f>
        <v>2024-08-12</v>
      </c>
      <c r="I1963" s="64">
        <f>DATEVALUE(tblLaborEntries[[#This Row],[Work date]])</f>
        <v>45519.0</v>
      </c>
    </row>
    <row r="1964" spans="1:9" ht="15" x14ac:dyDescent="0.25">
      <c r="A1964" s="53" t="inlineStr">
        <is>
          <t>LAB-001963</t>
        </is>
      </c>
      <c r="B1964" s="53" t="inlineStr">
        <is>
          <t>WP-00864</t>
        </is>
      </c>
      <c r="C1964" s="53" t="inlineStr">
        <is>
          <t>TECH-056</t>
        </is>
      </c>
      <c r="D1964" s="53" t="inlineStr">
        <is>
          <t>Avionics</t>
        </is>
      </c>
      <c r="E1964" s="53" t="inlineStr">
        <is>
          <t>2024-08-16</t>
        </is>
      </c>
      <c r="F1964" s="53">
        <v>2.3</v>
      </c>
      <c r="G1964" s="53">
        <v>0</v>
      </c>
      <c r="H1964" s="51" t="str">
        <f>TEXT(tblLaborEntries[[#This Row],[Work date serial]]-WEEKDAY(tblLaborEntries[[#This Row],[Work date serial]],3),"yyyy-mm-dd")</f>
        <v>2024-08-12</v>
      </c>
      <c r="I1964" s="64">
        <f>DATEVALUE(tblLaborEntries[[#This Row],[Work date]])</f>
        <v>45520.0</v>
      </c>
    </row>
    <row r="1965" spans="1:9" ht="15" x14ac:dyDescent="0.25">
      <c r="A1965" s="53" t="inlineStr">
        <is>
          <t>LAB-001964</t>
        </is>
      </c>
      <c r="B1965" s="53" t="inlineStr">
        <is>
          <t>WP-00865</t>
        </is>
      </c>
      <c r="C1965" s="53" t="inlineStr">
        <is>
          <t>TECH-006</t>
        </is>
      </c>
      <c r="D1965" s="53" t="inlineStr">
        <is>
          <t>Powerplant</t>
        </is>
      </c>
      <c r="E1965" s="53" t="inlineStr">
        <is>
          <t>2025-05-22</t>
        </is>
      </c>
      <c r="F1965" s="53">
        <v>10</v>
      </c>
      <c r="G1965" s="53">
        <v>2</v>
      </c>
      <c r="H1965" s="51" t="str">
        <f>TEXT(tblLaborEntries[[#This Row],[Work date serial]]-WEEKDAY(tblLaborEntries[[#This Row],[Work date serial]],3),"yyyy-mm-dd")</f>
        <v>2025-05-19</v>
      </c>
      <c r="I1965" s="64">
        <f>DATEVALUE(tblLaborEntries[[#This Row],[Work date]])</f>
        <v>45799.0</v>
      </c>
    </row>
    <row r="1966" spans="1:9" ht="15" x14ac:dyDescent="0.25">
      <c r="A1966" s="53" t="inlineStr">
        <is>
          <t>LAB-001965</t>
        </is>
      </c>
      <c r="B1966" s="53" t="inlineStr">
        <is>
          <t>WP-00865</t>
        </is>
      </c>
      <c r="C1966" s="53" t="inlineStr">
        <is>
          <t>TECH-012</t>
        </is>
      </c>
      <c r="D1966" s="53" t="inlineStr">
        <is>
          <t>Powerplant</t>
        </is>
      </c>
      <c r="E1966" s="53" t="inlineStr">
        <is>
          <t>2025-05-22</t>
        </is>
      </c>
      <c r="F1966" s="53">
        <v>12</v>
      </c>
      <c r="G1966" s="53">
        <v>4</v>
      </c>
      <c r="H1966" s="51" t="str">
        <f>TEXT(tblLaborEntries[[#This Row],[Work date serial]]-WEEKDAY(tblLaborEntries[[#This Row],[Work date serial]],3),"yyyy-mm-dd")</f>
        <v>2025-05-19</v>
      </c>
      <c r="I1966" s="64">
        <f>DATEVALUE(tblLaborEntries[[#This Row],[Work date]])</f>
        <v>45799.0</v>
      </c>
    </row>
    <row r="1967" spans="1:9" ht="15" x14ac:dyDescent="0.25">
      <c r="A1967" s="53" t="inlineStr">
        <is>
          <t>LAB-001966</t>
        </is>
      </c>
      <c r="B1967" s="53" t="inlineStr">
        <is>
          <t>WP-00866</t>
        </is>
      </c>
      <c r="C1967" s="53" t="inlineStr">
        <is>
          <t>TECH-015</t>
        </is>
      </c>
      <c r="D1967" s="53" t="inlineStr">
        <is>
          <t>Hydraulics</t>
        </is>
      </c>
      <c r="E1967" s="53" t="inlineStr">
        <is>
          <t>2024-11-26</t>
        </is>
      </c>
      <c r="F1967" s="53">
        <v>9.1</v>
      </c>
      <c r="G1967" s="53">
        <v>1.1</v>
      </c>
      <c r="H1967" s="51" t="str">
        <f>TEXT(tblLaborEntries[[#This Row],[Work date serial]]-WEEKDAY(tblLaborEntries[[#This Row],[Work date serial]],3),"yyyy-mm-dd")</f>
        <v>2024-11-25</v>
      </c>
      <c r="I1967" s="64">
        <f>DATEVALUE(tblLaborEntries[[#This Row],[Work date]])</f>
        <v>45622.0</v>
      </c>
    </row>
    <row r="1968" spans="1:9" ht="15" x14ac:dyDescent="0.25">
      <c r="A1968" s="53" t="inlineStr">
        <is>
          <t>LAB-001967</t>
        </is>
      </c>
      <c r="B1968" s="53" t="inlineStr">
        <is>
          <t>WP-00866</t>
        </is>
      </c>
      <c r="C1968" s="53" t="inlineStr">
        <is>
          <t>TECH-027</t>
        </is>
      </c>
      <c r="D1968" s="53" t="inlineStr">
        <is>
          <t>Hydraulics</t>
        </is>
      </c>
      <c r="E1968" s="53" t="inlineStr">
        <is>
          <t>2024-11-27</t>
        </is>
      </c>
      <c r="F1968" s="53">
        <v>8.9</v>
      </c>
      <c r="G1968" s="53">
        <v>0.9</v>
      </c>
      <c r="H1968" s="51" t="str">
        <f>TEXT(tblLaborEntries[[#This Row],[Work date serial]]-WEEKDAY(tblLaborEntries[[#This Row],[Work date serial]],3),"yyyy-mm-dd")</f>
        <v>2024-11-25</v>
      </c>
      <c r="I1968" s="64">
        <f>DATEVALUE(tblLaborEntries[[#This Row],[Work date]])</f>
        <v>45623.0</v>
      </c>
    </row>
    <row r="1969" spans="1:9" ht="15" x14ac:dyDescent="0.25">
      <c r="A1969" s="53" t="inlineStr">
        <is>
          <t>LAB-001968</t>
        </is>
      </c>
      <c r="B1969" s="53" t="inlineStr">
        <is>
          <t>WP-00867</t>
        </is>
      </c>
      <c r="C1969" s="53" t="inlineStr">
        <is>
          <t>TECH-038</t>
        </is>
      </c>
      <c r="D1969" s="53" t="inlineStr">
        <is>
          <t>Avionics</t>
        </is>
      </c>
      <c r="E1969" s="53" t="inlineStr">
        <is>
          <t>2025-12-29</t>
        </is>
      </c>
      <c r="F1969" s="53">
        <v>5</v>
      </c>
      <c r="G1969" s="53">
        <v>0</v>
      </c>
      <c r="H1969" s="51" t="str">
        <f>TEXT(tblLaborEntries[[#This Row],[Work date serial]]-WEEKDAY(tblLaborEntries[[#This Row],[Work date serial]],3),"yyyy-mm-dd")</f>
        <v>2025-12-29</v>
      </c>
      <c r="I1969" s="64">
        <f>DATEVALUE(tblLaborEntries[[#This Row],[Work date]])</f>
        <v>46020.0</v>
      </c>
    </row>
    <row r="1970" spans="1:9" ht="15" x14ac:dyDescent="0.25">
      <c r="A1970" s="53" t="inlineStr">
        <is>
          <t>LAB-001969</t>
        </is>
      </c>
      <c r="B1970" s="53" t="inlineStr">
        <is>
          <t>WP-00867</t>
        </is>
      </c>
      <c r="C1970" s="53" t="inlineStr">
        <is>
          <t>TECH-038</t>
        </is>
      </c>
      <c r="D1970" s="53" t="inlineStr">
        <is>
          <t>Avionics</t>
        </is>
      </c>
      <c r="E1970" s="53" t="inlineStr">
        <is>
          <t>2025-12-30</t>
        </is>
      </c>
      <c r="F1970" s="53">
        <v>6.6</v>
      </c>
      <c r="G1970" s="53">
        <v>0</v>
      </c>
      <c r="H1970" s="51" t="str">
        <f>TEXT(tblLaborEntries[[#This Row],[Work date serial]]-WEEKDAY(tblLaborEntries[[#This Row],[Work date serial]],3),"yyyy-mm-dd")</f>
        <v>2025-12-29</v>
      </c>
      <c r="I1970" s="64">
        <f>DATEVALUE(tblLaborEntries[[#This Row],[Work date]])</f>
        <v>46021.0</v>
      </c>
    </row>
    <row r="1971" spans="1:9" ht="15" x14ac:dyDescent="0.25">
      <c r="A1971" s="53" t="inlineStr">
        <is>
          <t>LAB-001970</t>
        </is>
      </c>
      <c r="B1971" s="53" t="inlineStr">
        <is>
          <t>WP-00868</t>
        </is>
      </c>
      <c r="C1971" s="53" t="inlineStr">
        <is>
          <t>TECH-046</t>
        </is>
      </c>
      <c r="D1971" s="53" t="inlineStr">
        <is>
          <t>Electrical</t>
        </is>
      </c>
      <c r="E1971" s="53" t="inlineStr">
        <is>
          <t>2024-12-19</t>
        </is>
      </c>
      <c r="F1971" s="53">
        <v>2.3</v>
      </c>
      <c r="G1971" s="53">
        <v>0</v>
      </c>
      <c r="H1971" s="51" t="str">
        <f>TEXT(tblLaborEntries[[#This Row],[Work date serial]]-WEEKDAY(tblLaborEntries[[#This Row],[Work date serial]],3),"yyyy-mm-dd")</f>
        <v>2024-12-16</v>
      </c>
      <c r="I1971" s="64">
        <f>DATEVALUE(tblLaborEntries[[#This Row],[Work date]])</f>
        <v>45645.0</v>
      </c>
    </row>
    <row r="1972" spans="1:9" ht="15" x14ac:dyDescent="0.25">
      <c r="A1972" s="53" t="inlineStr">
        <is>
          <t>LAB-001971</t>
        </is>
      </c>
      <c r="B1972" s="53" t="inlineStr">
        <is>
          <t>WP-00868</t>
        </is>
      </c>
      <c r="C1972" s="53" t="inlineStr">
        <is>
          <t>TECH-004</t>
        </is>
      </c>
      <c r="D1972" s="53" t="inlineStr">
        <is>
          <t>Electrical</t>
        </is>
      </c>
      <c r="E1972" s="53" t="inlineStr">
        <is>
          <t>2024-12-20</t>
        </is>
      </c>
      <c r="F1972" s="53">
        <v>2.3</v>
      </c>
      <c r="G1972" s="53">
        <v>0</v>
      </c>
      <c r="H1972" s="51" t="str">
        <f>TEXT(tblLaborEntries[[#This Row],[Work date serial]]-WEEKDAY(tblLaborEntries[[#This Row],[Work date serial]],3),"yyyy-mm-dd")</f>
        <v>2024-12-16</v>
      </c>
      <c r="I1972" s="64">
        <f>DATEVALUE(tblLaborEntries[[#This Row],[Work date]])</f>
        <v>45646.0</v>
      </c>
    </row>
    <row r="1973" spans="1:9" ht="15" x14ac:dyDescent="0.25">
      <c r="A1973" s="53" t="inlineStr">
        <is>
          <t>LAB-001972</t>
        </is>
      </c>
      <c r="B1973" s="53" t="inlineStr">
        <is>
          <t>WP-00868</t>
        </is>
      </c>
      <c r="C1973" s="53" t="inlineStr">
        <is>
          <t>TECH-028</t>
        </is>
      </c>
      <c r="D1973" s="53" t="inlineStr">
        <is>
          <t>Electrical</t>
        </is>
      </c>
      <c r="E1973" s="53" t="inlineStr">
        <is>
          <t>2024-12-21</t>
        </is>
      </c>
      <c r="F1973" s="53">
        <v>2.7</v>
      </c>
      <c r="G1973" s="53">
        <v>0</v>
      </c>
      <c r="H1973" s="51" t="str">
        <f>TEXT(tblLaborEntries[[#This Row],[Work date serial]]-WEEKDAY(tblLaborEntries[[#This Row],[Work date serial]],3),"yyyy-mm-dd")</f>
        <v>2024-12-16</v>
      </c>
      <c r="I1973" s="64">
        <f>DATEVALUE(tblLaborEntries[[#This Row],[Work date]])</f>
        <v>45647.0</v>
      </c>
    </row>
    <row r="1974" spans="1:9" ht="15" x14ac:dyDescent="0.25">
      <c r="A1974" s="53" t="inlineStr">
        <is>
          <t>LAB-001973</t>
        </is>
      </c>
      <c r="B1974" s="53" t="inlineStr">
        <is>
          <t>WP-00869</t>
        </is>
      </c>
      <c r="C1974" s="53" t="inlineStr">
        <is>
          <t>TECH-006</t>
        </is>
      </c>
      <c r="D1974" s="53" t="inlineStr">
        <is>
          <t>Powerplant</t>
        </is>
      </c>
      <c r="E1974" s="53" t="inlineStr">
        <is>
          <t>2024-10-17</t>
        </is>
      </c>
      <c r="F1974" s="53">
        <v>1.1</v>
      </c>
      <c r="G1974" s="53">
        <v>0</v>
      </c>
      <c r="H1974" s="51" t="str">
        <f>TEXT(tblLaborEntries[[#This Row],[Work date serial]]-WEEKDAY(tblLaborEntries[[#This Row],[Work date serial]],3),"yyyy-mm-dd")</f>
        <v>2024-10-14</v>
      </c>
      <c r="I1974" s="64">
        <f>DATEVALUE(tblLaborEntries[[#This Row],[Work date]])</f>
        <v>45582.0</v>
      </c>
    </row>
    <row r="1975" spans="1:9" ht="15" x14ac:dyDescent="0.25">
      <c r="A1975" s="53" t="inlineStr">
        <is>
          <t>LAB-001974</t>
        </is>
      </c>
      <c r="B1975" s="53" t="inlineStr">
        <is>
          <t>WP-00869</t>
        </is>
      </c>
      <c r="C1975" s="53" t="inlineStr">
        <is>
          <t>TECH-018</t>
        </is>
      </c>
      <c r="D1975" s="53" t="inlineStr">
        <is>
          <t>Powerplant</t>
        </is>
      </c>
      <c r="E1975" s="53" t="inlineStr">
        <is>
          <t>2024-10-17</t>
        </is>
      </c>
      <c r="F1975" s="53">
        <v>12</v>
      </c>
      <c r="G1975" s="53">
        <v>4</v>
      </c>
      <c r="H1975" s="51" t="str">
        <f>TEXT(tblLaborEntries[[#This Row],[Work date serial]]-WEEKDAY(tblLaborEntries[[#This Row],[Work date serial]],3),"yyyy-mm-dd")</f>
        <v>2024-10-14</v>
      </c>
      <c r="I1975" s="64">
        <f>DATEVALUE(tblLaborEntries[[#This Row],[Work date]])</f>
        <v>45582.0</v>
      </c>
    </row>
    <row r="1976" spans="1:9" ht="15" x14ac:dyDescent="0.25">
      <c r="A1976" s="53" t="inlineStr">
        <is>
          <t>LAB-001975</t>
        </is>
      </c>
      <c r="B1976" s="53" t="inlineStr">
        <is>
          <t>WP-00870</t>
        </is>
      </c>
      <c r="C1976" s="53" t="inlineStr">
        <is>
          <t>TECH-067</t>
        </is>
      </c>
      <c r="D1976" s="53" t="inlineStr">
        <is>
          <t>Airframe</t>
        </is>
      </c>
      <c r="E1976" s="53" t="inlineStr">
        <is>
          <t>2025-03-15</t>
        </is>
      </c>
      <c r="F1976" s="53">
        <v>11.4</v>
      </c>
      <c r="G1976" s="53">
        <v>3.4</v>
      </c>
      <c r="H1976" s="51" t="str">
        <f>TEXT(tblLaborEntries[[#This Row],[Work date serial]]-WEEKDAY(tblLaborEntries[[#This Row],[Work date serial]],3),"yyyy-mm-dd")</f>
        <v>2025-03-10</v>
      </c>
      <c r="I1976" s="64">
        <f>DATEVALUE(tblLaborEntries[[#This Row],[Work date]])</f>
        <v>45731.0</v>
      </c>
    </row>
    <row r="1977" spans="1:9" ht="15" x14ac:dyDescent="0.25">
      <c r="A1977" s="53" t="inlineStr">
        <is>
          <t>LAB-001976</t>
        </is>
      </c>
      <c r="B1977" s="53" t="inlineStr">
        <is>
          <t>WP-00871</t>
        </is>
      </c>
      <c r="C1977" s="53" t="inlineStr">
        <is>
          <t>TECH-006</t>
        </is>
      </c>
      <c r="D1977" s="53" t="inlineStr">
        <is>
          <t>Powerplant</t>
        </is>
      </c>
      <c r="E1977" s="53" t="inlineStr">
        <is>
          <t>2025-02-14</t>
        </is>
      </c>
      <c r="F1977" s="53">
        <v>2.2</v>
      </c>
      <c r="G1977" s="53">
        <v>0</v>
      </c>
      <c r="H1977" s="51" t="str">
        <f>TEXT(tblLaborEntries[[#This Row],[Work date serial]]-WEEKDAY(tblLaborEntries[[#This Row],[Work date serial]],3),"yyyy-mm-dd")</f>
        <v>2025-02-10</v>
      </c>
      <c r="I1977" s="64">
        <f>DATEVALUE(tblLaborEntries[[#This Row],[Work date]])</f>
        <v>45702.0</v>
      </c>
    </row>
    <row r="1978" spans="1:9" ht="15" x14ac:dyDescent="0.25">
      <c r="A1978" s="53" t="inlineStr">
        <is>
          <t>LAB-001977</t>
        </is>
      </c>
      <c r="B1978" s="53" t="inlineStr">
        <is>
          <t>WP-00871</t>
        </is>
      </c>
      <c r="C1978" s="53" t="inlineStr">
        <is>
          <t>TECH-072</t>
        </is>
      </c>
      <c r="D1978" s="53" t="inlineStr">
        <is>
          <t>Powerplant</t>
        </is>
      </c>
      <c r="E1978" s="53" t="inlineStr">
        <is>
          <t>2025-02-14</t>
        </is>
      </c>
      <c r="F1978" s="53">
        <v>12</v>
      </c>
      <c r="G1978" s="53">
        <v>4</v>
      </c>
      <c r="H1978" s="51" t="str">
        <f>TEXT(tblLaborEntries[[#This Row],[Work date serial]]-WEEKDAY(tblLaborEntries[[#This Row],[Work date serial]],3),"yyyy-mm-dd")</f>
        <v>2025-02-10</v>
      </c>
      <c r="I1978" s="64">
        <f>DATEVALUE(tblLaborEntries[[#This Row],[Work date]])</f>
        <v>45702.0</v>
      </c>
    </row>
    <row r="1979" spans="1:9" ht="15" x14ac:dyDescent="0.25">
      <c r="A1979" s="53" t="inlineStr">
        <is>
          <t>LAB-001978</t>
        </is>
      </c>
      <c r="B1979" s="53" t="inlineStr">
        <is>
          <t>WP-00872</t>
        </is>
      </c>
      <c r="C1979" s="53" t="inlineStr">
        <is>
          <t>TECH-004</t>
        </is>
      </c>
      <c r="D1979" s="53" t="inlineStr">
        <is>
          <t>Electrical</t>
        </is>
      </c>
      <c r="E1979" s="53" t="inlineStr">
        <is>
          <t>2024-05-11</t>
        </is>
      </c>
      <c r="F1979" s="53">
        <v>9.5</v>
      </c>
      <c r="G1979" s="53">
        <v>1.5</v>
      </c>
      <c r="H1979" s="51" t="str">
        <f>TEXT(tblLaborEntries[[#This Row],[Work date serial]]-WEEKDAY(tblLaborEntries[[#This Row],[Work date serial]],3),"yyyy-mm-dd")</f>
        <v>2024-05-06</v>
      </c>
      <c r="I1979" s="64">
        <f>DATEVALUE(tblLaborEntries[[#This Row],[Work date]])</f>
        <v>45423.0</v>
      </c>
    </row>
    <row r="1980" spans="1:9" ht="15" x14ac:dyDescent="0.25">
      <c r="A1980" s="53" t="inlineStr">
        <is>
          <t>LAB-001979</t>
        </is>
      </c>
      <c r="B1980" s="53" t="inlineStr">
        <is>
          <t>WP-00872</t>
        </is>
      </c>
      <c r="C1980" s="53" t="inlineStr">
        <is>
          <t>TECH-010</t>
        </is>
      </c>
      <c r="D1980" s="53" t="inlineStr">
        <is>
          <t>Electrical</t>
        </is>
      </c>
      <c r="E1980" s="53" t="inlineStr">
        <is>
          <t>2024-05-11</t>
        </is>
      </c>
      <c r="F1980" s="53">
        <v>12</v>
      </c>
      <c r="G1980" s="53">
        <v>4</v>
      </c>
      <c r="H1980" s="51" t="str">
        <f>TEXT(tblLaborEntries[[#This Row],[Work date serial]]-WEEKDAY(tblLaborEntries[[#This Row],[Work date serial]],3),"yyyy-mm-dd")</f>
        <v>2024-05-06</v>
      </c>
      <c r="I1980" s="64">
        <f>DATEVALUE(tblLaborEntries[[#This Row],[Work date]])</f>
        <v>45423.0</v>
      </c>
    </row>
    <row r="1981" spans="1:9" ht="15" x14ac:dyDescent="0.25">
      <c r="A1981" s="53" t="inlineStr">
        <is>
          <t>LAB-001980</t>
        </is>
      </c>
      <c r="B1981" s="53" t="inlineStr">
        <is>
          <t>WP-00873</t>
        </is>
      </c>
      <c r="C1981" s="53" t="inlineStr">
        <is>
          <t>TECH-062</t>
        </is>
      </c>
      <c r="D1981" s="53" t="inlineStr">
        <is>
          <t>Avionics</t>
        </is>
      </c>
      <c r="E1981" s="53" t="inlineStr">
        <is>
          <t>2025-06-10</t>
        </is>
      </c>
      <c r="F1981" s="53">
        <v>2.9</v>
      </c>
      <c r="G1981" s="53">
        <v>0</v>
      </c>
      <c r="H1981" s="51" t="str">
        <f>TEXT(tblLaborEntries[[#This Row],[Work date serial]]-WEEKDAY(tblLaborEntries[[#This Row],[Work date serial]],3),"yyyy-mm-dd")</f>
        <v>2025-06-09</v>
      </c>
      <c r="I1981" s="64">
        <f>DATEVALUE(tblLaborEntries[[#This Row],[Work date]])</f>
        <v>45818.0</v>
      </c>
    </row>
    <row r="1982" spans="1:9" ht="15" x14ac:dyDescent="0.25">
      <c r="A1982" s="53" t="inlineStr">
        <is>
          <t>LAB-001981</t>
        </is>
      </c>
      <c r="B1982" s="53" t="inlineStr">
        <is>
          <t>WP-00873</t>
        </is>
      </c>
      <c r="C1982" s="53" t="inlineStr">
        <is>
          <t>TECH-002</t>
        </is>
      </c>
      <c r="D1982" s="53" t="inlineStr">
        <is>
          <t>Avionics</t>
        </is>
      </c>
      <c r="E1982" s="53" t="inlineStr">
        <is>
          <t>2025-06-11</t>
        </is>
      </c>
      <c r="F1982" s="53">
        <v>3.4</v>
      </c>
      <c r="G1982" s="53">
        <v>0</v>
      </c>
      <c r="H1982" s="51" t="str">
        <f>TEXT(tblLaborEntries[[#This Row],[Work date serial]]-WEEKDAY(tblLaborEntries[[#This Row],[Work date serial]],3),"yyyy-mm-dd")</f>
        <v>2025-06-09</v>
      </c>
      <c r="I1982" s="64">
        <f>DATEVALUE(tblLaborEntries[[#This Row],[Work date]])</f>
        <v>45819.0</v>
      </c>
    </row>
    <row r="1983" spans="1:9" ht="15" x14ac:dyDescent="0.25">
      <c r="A1983" s="53" t="inlineStr">
        <is>
          <t>LAB-001982</t>
        </is>
      </c>
      <c r="B1983" s="53" t="inlineStr">
        <is>
          <t>WP-00873</t>
        </is>
      </c>
      <c r="C1983" s="53" t="inlineStr">
        <is>
          <t>TECH-032</t>
        </is>
      </c>
      <c r="D1983" s="53" t="inlineStr">
        <is>
          <t>Avionics</t>
        </is>
      </c>
      <c r="E1983" s="53" t="inlineStr">
        <is>
          <t>2025-06-12</t>
        </is>
      </c>
      <c r="F1983" s="53">
        <v>3.9</v>
      </c>
      <c r="G1983" s="53">
        <v>0</v>
      </c>
      <c r="H1983" s="51" t="str">
        <f>TEXT(tblLaborEntries[[#This Row],[Work date serial]]-WEEKDAY(tblLaborEntries[[#This Row],[Work date serial]],3),"yyyy-mm-dd")</f>
        <v>2025-06-09</v>
      </c>
      <c r="I1983" s="64">
        <f>DATEVALUE(tblLaborEntries[[#This Row],[Work date]])</f>
        <v>45820.0</v>
      </c>
    </row>
    <row r="1984" spans="1:9" ht="15" x14ac:dyDescent="0.25">
      <c r="A1984" s="53" t="inlineStr">
        <is>
          <t>LAB-001983</t>
        </is>
      </c>
      <c r="B1984" s="53" t="inlineStr">
        <is>
          <t>WP-00874</t>
        </is>
      </c>
      <c r="C1984" s="53" t="inlineStr">
        <is>
          <t>TECH-014</t>
        </is>
      </c>
      <c r="D1984" s="53" t="inlineStr">
        <is>
          <t>Avionics</t>
        </is>
      </c>
      <c r="E1984" s="53" t="inlineStr">
        <is>
          <t>2024-05-16</t>
        </is>
      </c>
      <c r="F1984" s="53">
        <v>1.6</v>
      </c>
      <c r="G1984" s="53">
        <v>0</v>
      </c>
      <c r="H1984" s="51" t="str">
        <f>TEXT(tblLaborEntries[[#This Row],[Work date serial]]-WEEKDAY(tblLaborEntries[[#This Row],[Work date serial]],3),"yyyy-mm-dd")</f>
        <v>2024-05-13</v>
      </c>
      <c r="I1984" s="64">
        <f>DATEVALUE(tblLaborEntries[[#This Row],[Work date]])</f>
        <v>45428.0</v>
      </c>
    </row>
    <row r="1985" spans="1:9" ht="15" x14ac:dyDescent="0.25">
      <c r="A1985" s="53" t="inlineStr">
        <is>
          <t>LAB-001984</t>
        </is>
      </c>
      <c r="B1985" s="53" t="inlineStr">
        <is>
          <t>WP-00874</t>
        </is>
      </c>
      <c r="C1985" s="53" t="inlineStr">
        <is>
          <t>TECH-056</t>
        </is>
      </c>
      <c r="D1985" s="53" t="inlineStr">
        <is>
          <t>Avionics</t>
        </is>
      </c>
      <c r="E1985" s="53" t="inlineStr">
        <is>
          <t>2024-05-17</t>
        </is>
      </c>
      <c r="F1985" s="53">
        <v>1.6</v>
      </c>
      <c r="G1985" s="53">
        <v>0</v>
      </c>
      <c r="H1985" s="51" t="str">
        <f>TEXT(tblLaborEntries[[#This Row],[Work date serial]]-WEEKDAY(tblLaborEntries[[#This Row],[Work date serial]],3),"yyyy-mm-dd")</f>
        <v>2024-05-13</v>
      </c>
      <c r="I1985" s="64">
        <f>DATEVALUE(tblLaborEntries[[#This Row],[Work date]])</f>
        <v>45429.0</v>
      </c>
    </row>
    <row r="1986" spans="1:9" ht="15" x14ac:dyDescent="0.25">
      <c r="A1986" s="53" t="inlineStr">
        <is>
          <t>LAB-001985</t>
        </is>
      </c>
      <c r="B1986" s="53" t="inlineStr">
        <is>
          <t>WP-00874</t>
        </is>
      </c>
      <c r="C1986" s="53" t="inlineStr">
        <is>
          <t>TECH-044</t>
        </is>
      </c>
      <c r="D1986" s="53" t="inlineStr">
        <is>
          <t>Avionics</t>
        </is>
      </c>
      <c r="E1986" s="53" t="inlineStr">
        <is>
          <t>2024-05-18</t>
        </is>
      </c>
      <c r="F1986" s="53">
        <v>1.3</v>
      </c>
      <c r="G1986" s="53">
        <v>0</v>
      </c>
      <c r="H1986" s="51" t="str">
        <f>TEXT(tblLaborEntries[[#This Row],[Work date serial]]-WEEKDAY(tblLaborEntries[[#This Row],[Work date serial]],3),"yyyy-mm-dd")</f>
        <v>2024-05-13</v>
      </c>
      <c r="I1986" s="64">
        <f>DATEVALUE(tblLaborEntries[[#This Row],[Work date]])</f>
        <v>45430.0</v>
      </c>
    </row>
    <row r="1987" spans="1:9" ht="15" x14ac:dyDescent="0.25">
      <c r="A1987" s="53" t="inlineStr">
        <is>
          <t>LAB-001986</t>
        </is>
      </c>
      <c r="B1987" s="53" t="inlineStr">
        <is>
          <t>WP-00875</t>
        </is>
      </c>
      <c r="C1987" s="53" t="inlineStr">
        <is>
          <t>TECH-034</t>
        </is>
      </c>
      <c r="D1987" s="53" t="inlineStr">
        <is>
          <t>Electrical</t>
        </is>
      </c>
      <c r="E1987" s="53" t="inlineStr">
        <is>
          <t>2024-11-11</t>
        </is>
      </c>
      <c r="F1987" s="53">
        <v>10</v>
      </c>
      <c r="G1987" s="53">
        <v>2</v>
      </c>
      <c r="H1987" s="51" t="str">
        <f>TEXT(tblLaborEntries[[#This Row],[Work date serial]]-WEEKDAY(tblLaborEntries[[#This Row],[Work date serial]],3),"yyyy-mm-dd")</f>
        <v>2024-11-11</v>
      </c>
      <c r="I1987" s="64">
        <f>DATEVALUE(tblLaborEntries[[#This Row],[Work date]])</f>
        <v>45607.0</v>
      </c>
    </row>
    <row r="1988" spans="1:9" ht="15" x14ac:dyDescent="0.25">
      <c r="A1988" s="53" t="inlineStr">
        <is>
          <t>LAB-001987</t>
        </is>
      </c>
      <c r="B1988" s="53" t="inlineStr">
        <is>
          <t>WP-00875</t>
        </is>
      </c>
      <c r="C1988" s="53" t="inlineStr">
        <is>
          <t>TECH-034</t>
        </is>
      </c>
      <c r="D1988" s="53" t="inlineStr">
        <is>
          <t>Electrical</t>
        </is>
      </c>
      <c r="E1988" s="53" t="inlineStr">
        <is>
          <t>2024-11-12</t>
        </is>
      </c>
      <c r="F1988" s="53">
        <v>10.5</v>
      </c>
      <c r="G1988" s="53">
        <v>2.5</v>
      </c>
      <c r="H1988" s="51" t="str">
        <f>TEXT(tblLaborEntries[[#This Row],[Work date serial]]-WEEKDAY(tblLaborEntries[[#This Row],[Work date serial]],3),"yyyy-mm-dd")</f>
        <v>2024-11-11</v>
      </c>
      <c r="I1988" s="64">
        <f>DATEVALUE(tblLaborEntries[[#This Row],[Work date]])</f>
        <v>45608.0</v>
      </c>
    </row>
    <row r="1989" spans="1:9" ht="15" x14ac:dyDescent="0.25">
      <c r="A1989" s="53" t="inlineStr">
        <is>
          <t>LAB-001988</t>
        </is>
      </c>
      <c r="B1989" s="53" t="inlineStr">
        <is>
          <t>WP-00876</t>
        </is>
      </c>
      <c r="C1989" s="53" t="inlineStr">
        <is>
          <t>TECH-001</t>
        </is>
      </c>
      <c r="D1989" s="53" t="inlineStr">
        <is>
          <t>Airframe</t>
        </is>
      </c>
      <c r="E1989" s="53" t="inlineStr">
        <is>
          <t>2025-05-14</t>
        </is>
      </c>
      <c r="F1989" s="53">
        <v>4.3</v>
      </c>
      <c r="G1989" s="53">
        <v>0</v>
      </c>
      <c r="H1989" s="51" t="str">
        <f>TEXT(tblLaborEntries[[#This Row],[Work date serial]]-WEEKDAY(tblLaborEntries[[#This Row],[Work date serial]],3),"yyyy-mm-dd")</f>
        <v>2025-05-12</v>
      </c>
      <c r="I1989" s="64">
        <f>DATEVALUE(tblLaborEntries[[#This Row],[Work date]])</f>
        <v>45791.0</v>
      </c>
    </row>
    <row r="1990" spans="1:9" ht="15" x14ac:dyDescent="0.25">
      <c r="A1990" s="53" t="inlineStr">
        <is>
          <t>LAB-001989</t>
        </is>
      </c>
      <c r="B1990" s="53" t="inlineStr">
        <is>
          <t>WP-00876</t>
        </is>
      </c>
      <c r="C1990" s="53" t="inlineStr">
        <is>
          <t>TECH-037</t>
        </is>
      </c>
      <c r="D1990" s="53" t="inlineStr">
        <is>
          <t>Airframe</t>
        </is>
      </c>
      <c r="E1990" s="53" t="inlineStr">
        <is>
          <t>2025-05-15</t>
        </is>
      </c>
      <c r="F1990" s="53">
        <v>4.7</v>
      </c>
      <c r="G1990" s="53">
        <v>0</v>
      </c>
      <c r="H1990" s="51" t="str">
        <f>TEXT(tblLaborEntries[[#This Row],[Work date serial]]-WEEKDAY(tblLaborEntries[[#This Row],[Work date serial]],3),"yyyy-mm-dd")</f>
        <v>2025-05-12</v>
      </c>
      <c r="I1990" s="64">
        <f>DATEVALUE(tblLaborEntries[[#This Row],[Work date]])</f>
        <v>45792.0</v>
      </c>
    </row>
    <row r="1991" spans="1:9" ht="15" x14ac:dyDescent="0.25">
      <c r="A1991" s="53" t="inlineStr">
        <is>
          <t>LAB-001990</t>
        </is>
      </c>
      <c r="B1991" s="53" t="inlineStr">
        <is>
          <t>WP-00877</t>
        </is>
      </c>
      <c r="C1991" s="53" t="inlineStr">
        <is>
          <t>TECH-008</t>
        </is>
      </c>
      <c r="D1991" s="53" t="inlineStr">
        <is>
          <t>Avionics</t>
        </is>
      </c>
      <c r="E1991" s="53" t="inlineStr">
        <is>
          <t>2024-08-03</t>
        </is>
      </c>
      <c r="F1991" s="53">
        <v>9.3</v>
      </c>
      <c r="G1991" s="53">
        <v>1.3</v>
      </c>
      <c r="H1991" s="51" t="str">
        <f>TEXT(tblLaborEntries[[#This Row],[Work date serial]]-WEEKDAY(tblLaborEntries[[#This Row],[Work date serial]],3),"yyyy-mm-dd")</f>
        <v>2024-07-29</v>
      </c>
      <c r="I1991" s="64">
        <f>DATEVALUE(tblLaborEntries[[#This Row],[Work date]])</f>
        <v>45507.0</v>
      </c>
    </row>
    <row r="1992" spans="1:9" ht="15" x14ac:dyDescent="0.25">
      <c r="A1992" s="53" t="inlineStr">
        <is>
          <t>LAB-001991</t>
        </is>
      </c>
      <c r="B1992" s="53" t="inlineStr">
        <is>
          <t>WP-00877</t>
        </is>
      </c>
      <c r="C1992" s="53" t="inlineStr">
        <is>
          <t>TECH-020</t>
        </is>
      </c>
      <c r="D1992" s="53" t="inlineStr">
        <is>
          <t>Avionics</t>
        </is>
      </c>
      <c r="E1992" s="53" t="inlineStr">
        <is>
          <t>2024-08-03</t>
        </is>
      </c>
      <c r="F1992" s="53">
        <v>9.4</v>
      </c>
      <c r="G1992" s="53">
        <v>4</v>
      </c>
      <c r="H1992" s="51" t="str">
        <f>TEXT(tblLaborEntries[[#This Row],[Work date serial]]-WEEKDAY(tblLaborEntries[[#This Row],[Work date serial]],3),"yyyy-mm-dd")</f>
        <v>2024-07-29</v>
      </c>
      <c r="I1992" s="64">
        <f>DATEVALUE(tblLaborEntries[[#This Row],[Work date]])</f>
        <v>45507.0</v>
      </c>
    </row>
    <row r="1993" spans="1:9" ht="15" x14ac:dyDescent="0.25">
      <c r="A1993" s="53" t="inlineStr">
        <is>
          <t>LAB-001992</t>
        </is>
      </c>
      <c r="B1993" s="53" t="inlineStr">
        <is>
          <t>WP-00878</t>
        </is>
      </c>
      <c r="C1993" s="53" t="inlineStr">
        <is>
          <t>TECH-006</t>
        </is>
      </c>
      <c r="D1993" s="53" t="inlineStr">
        <is>
          <t>Powerplant</t>
        </is>
      </c>
      <c r="E1993" s="53" t="inlineStr">
        <is>
          <t>2024-05-03</t>
        </is>
      </c>
      <c r="F1993" s="53">
        <v>12</v>
      </c>
      <c r="G1993" s="53">
        <v>4</v>
      </c>
      <c r="H1993" s="51" t="str">
        <f>TEXT(tblLaborEntries[[#This Row],[Work date serial]]-WEEKDAY(tblLaborEntries[[#This Row],[Work date serial]],3),"yyyy-mm-dd")</f>
        <v>2024-04-29</v>
      </c>
      <c r="I1993" s="64">
        <f>DATEVALUE(tblLaborEntries[[#This Row],[Work date]])</f>
        <v>45415.0</v>
      </c>
    </row>
    <row r="1994" spans="1:9" ht="15" x14ac:dyDescent="0.25">
      <c r="A1994" s="53" t="inlineStr">
        <is>
          <t>LAB-001993</t>
        </is>
      </c>
      <c r="B1994" s="53" t="inlineStr">
        <is>
          <t>WP-00878</t>
        </is>
      </c>
      <c r="C1994" s="53" t="inlineStr">
        <is>
          <t>TECH-012</t>
        </is>
      </c>
      <c r="D1994" s="53" t="inlineStr">
        <is>
          <t>Powerplant</t>
        </is>
      </c>
      <c r="E1994" s="53" t="inlineStr">
        <is>
          <t>2024-05-03</t>
        </is>
      </c>
      <c r="F1994" s="53">
        <v>5.7</v>
      </c>
      <c r="G1994" s="53">
        <v>0</v>
      </c>
      <c r="H1994" s="51" t="str">
        <f>TEXT(tblLaborEntries[[#This Row],[Work date serial]]-WEEKDAY(tblLaborEntries[[#This Row],[Work date serial]],3),"yyyy-mm-dd")</f>
        <v>2024-04-29</v>
      </c>
      <c r="I1994" s="64">
        <f>DATEVALUE(tblLaborEntries[[#This Row],[Work date]])</f>
        <v>45415.0</v>
      </c>
    </row>
    <row r="1995" spans="1:9" ht="15" x14ac:dyDescent="0.25">
      <c r="A1995" s="53" t="inlineStr">
        <is>
          <t>LAB-001994</t>
        </is>
      </c>
      <c r="B1995" s="53" t="inlineStr">
        <is>
          <t>WP-00878</t>
        </is>
      </c>
      <c r="C1995" s="53" t="inlineStr">
        <is>
          <t>TECH-042</t>
        </is>
      </c>
      <c r="D1995" s="53" t="inlineStr">
        <is>
          <t>Powerplant</t>
        </is>
      </c>
      <c r="E1995" s="53" t="inlineStr">
        <is>
          <t>2024-05-03</t>
        </is>
      </c>
      <c r="F1995" s="53">
        <v>12</v>
      </c>
      <c r="G1995" s="53">
        <v>4</v>
      </c>
      <c r="H1995" s="51" t="str">
        <f>TEXT(tblLaborEntries[[#This Row],[Work date serial]]-WEEKDAY(tblLaborEntries[[#This Row],[Work date serial]],3),"yyyy-mm-dd")</f>
        <v>2024-04-29</v>
      </c>
      <c r="I1995" s="64">
        <f>DATEVALUE(tblLaborEntries[[#This Row],[Work date]])</f>
        <v>45415.0</v>
      </c>
    </row>
    <row r="1996" spans="1:9" ht="15" x14ac:dyDescent="0.25">
      <c r="A1996" s="53" t="inlineStr">
        <is>
          <t>LAB-001995</t>
        </is>
      </c>
      <c r="B1996" s="53" t="inlineStr">
        <is>
          <t>WP-00879</t>
        </is>
      </c>
      <c r="C1996" s="53" t="inlineStr">
        <is>
          <t>TECH-054</t>
        </is>
      </c>
      <c r="D1996" s="53" t="inlineStr">
        <is>
          <t>Powerplant</t>
        </is>
      </c>
      <c r="E1996" s="53" t="inlineStr">
        <is>
          <t>2024-04-13</t>
        </is>
      </c>
      <c r="F1996" s="53">
        <v>10.4</v>
      </c>
      <c r="G1996" s="53">
        <v>2.4</v>
      </c>
      <c r="H1996" s="51" t="str">
        <f>TEXT(tblLaborEntries[[#This Row],[Work date serial]]-WEEKDAY(tblLaborEntries[[#This Row],[Work date serial]],3),"yyyy-mm-dd")</f>
        <v>2024-04-08</v>
      </c>
      <c r="I1996" s="64">
        <f>DATEVALUE(tblLaborEntries[[#This Row],[Work date]])</f>
        <v>45395.0</v>
      </c>
    </row>
    <row r="1997" spans="1:9" ht="15" x14ac:dyDescent="0.25">
      <c r="A1997" s="53" t="inlineStr">
        <is>
          <t>LAB-001996</t>
        </is>
      </c>
      <c r="B1997" s="53" t="inlineStr">
        <is>
          <t>WP-00880</t>
        </is>
      </c>
      <c r="C1997" s="53" t="inlineStr">
        <is>
          <t>TECH-041</t>
        </is>
      </c>
      <c r="D1997" s="53" t="inlineStr">
        <is>
          <t>Structures</t>
        </is>
      </c>
      <c r="E1997" s="53" t="inlineStr">
        <is>
          <t>2025-02-26</t>
        </is>
      </c>
      <c r="F1997" s="53">
        <v>7.5</v>
      </c>
      <c r="G1997" s="53">
        <v>0</v>
      </c>
      <c r="H1997" s="51" t="str">
        <f>TEXT(tblLaborEntries[[#This Row],[Work date serial]]-WEEKDAY(tblLaborEntries[[#This Row],[Work date serial]],3),"yyyy-mm-dd")</f>
        <v>2025-02-24</v>
      </c>
      <c r="I1997" s="64">
        <f>DATEVALUE(tblLaborEntries[[#This Row],[Work date]])</f>
        <v>45714.0</v>
      </c>
    </row>
    <row r="1998" spans="1:9" ht="15" x14ac:dyDescent="0.25">
      <c r="A1998" s="53" t="inlineStr">
        <is>
          <t>LAB-001997</t>
        </is>
      </c>
      <c r="B1998" s="53" t="inlineStr">
        <is>
          <t>WP-00880</t>
        </is>
      </c>
      <c r="C1998" s="53" t="inlineStr">
        <is>
          <t>TECH-053</t>
        </is>
      </c>
      <c r="D1998" s="53" t="inlineStr">
        <is>
          <t>Structures</t>
        </is>
      </c>
      <c r="E1998" s="53" t="inlineStr">
        <is>
          <t>2025-02-27</t>
        </is>
      </c>
      <c r="F1998" s="53">
        <v>10.8</v>
      </c>
      <c r="G1998" s="53">
        <v>2.8</v>
      </c>
      <c r="H1998" s="51" t="str">
        <f>TEXT(tblLaborEntries[[#This Row],[Work date serial]]-WEEKDAY(tblLaborEntries[[#This Row],[Work date serial]],3),"yyyy-mm-dd")</f>
        <v>2025-02-24</v>
      </c>
      <c r="I1998" s="64">
        <f>DATEVALUE(tblLaborEntries[[#This Row],[Work date]])</f>
        <v>45715.0</v>
      </c>
    </row>
    <row r="1999" spans="1:9" ht="15" x14ac:dyDescent="0.25">
      <c r="A1999" s="53" t="inlineStr">
        <is>
          <t>LAB-001998</t>
        </is>
      </c>
      <c r="B1999" s="53" t="inlineStr">
        <is>
          <t>WP-00881</t>
        </is>
      </c>
      <c r="C1999" s="53" t="inlineStr">
        <is>
          <t>TECH-034</t>
        </is>
      </c>
      <c r="D1999" s="53" t="inlineStr">
        <is>
          <t>Electrical</t>
        </is>
      </c>
      <c r="E1999" s="53" t="inlineStr">
        <is>
          <t>2024-08-15</t>
        </is>
      </c>
      <c r="F1999" s="53">
        <v>2.8</v>
      </c>
      <c r="G1999" s="53">
        <v>0</v>
      </c>
      <c r="H1999" s="51" t="str">
        <f>TEXT(tblLaborEntries[[#This Row],[Work date serial]]-WEEKDAY(tblLaborEntries[[#This Row],[Work date serial]],3),"yyyy-mm-dd")</f>
        <v>2024-08-12</v>
      </c>
      <c r="I1999" s="64">
        <f>DATEVALUE(tblLaborEntries[[#This Row],[Work date]])</f>
        <v>45519.0</v>
      </c>
    </row>
    <row r="2000" spans="1:9" ht="15" x14ac:dyDescent="0.25">
      <c r="A2000" s="53" t="inlineStr">
        <is>
          <t>LAB-001999</t>
        </is>
      </c>
      <c r="B2000" s="53" t="inlineStr">
        <is>
          <t>WP-00881</t>
        </is>
      </c>
      <c r="C2000" s="53" t="inlineStr">
        <is>
          <t>TECH-010</t>
        </is>
      </c>
      <c r="D2000" s="53" t="inlineStr">
        <is>
          <t>Electrical</t>
        </is>
      </c>
      <c r="E2000" s="53" t="inlineStr">
        <is>
          <t>2024-08-16</t>
        </is>
      </c>
      <c r="F2000" s="53">
        <v>1.8</v>
      </c>
      <c r="G2000" s="53">
        <v>0</v>
      </c>
      <c r="H2000" s="51" t="str">
        <f>TEXT(tblLaborEntries[[#This Row],[Work date serial]]-WEEKDAY(tblLaborEntries[[#This Row],[Work date serial]],3),"yyyy-mm-dd")</f>
        <v>2024-08-12</v>
      </c>
      <c r="I2000" s="64">
        <f>DATEVALUE(tblLaborEntries[[#This Row],[Work date]])</f>
        <v>45520.0</v>
      </c>
    </row>
    <row r="2001" spans="1:9" ht="15" x14ac:dyDescent="0.25">
      <c r="A2001" s="53" t="inlineStr">
        <is>
          <t>LAB-002000</t>
        </is>
      </c>
      <c r="B2001" s="53" t="inlineStr">
        <is>
          <t>WP-00881</t>
        </is>
      </c>
      <c r="C2001" s="53" t="inlineStr">
        <is>
          <t>TECH-058</t>
        </is>
      </c>
      <c r="D2001" s="53" t="inlineStr">
        <is>
          <t>Electrical</t>
        </is>
      </c>
      <c r="E2001" s="53" t="inlineStr">
        <is>
          <t>2024-08-17</t>
        </is>
      </c>
      <c r="F2001" s="53">
        <v>2.5</v>
      </c>
      <c r="G2001" s="53">
        <v>0</v>
      </c>
      <c r="H2001" s="51" t="str">
        <f>TEXT(tblLaborEntries[[#This Row],[Work date serial]]-WEEKDAY(tblLaborEntries[[#This Row],[Work date serial]],3),"yyyy-mm-dd")</f>
        <v>2024-08-12</v>
      </c>
      <c r="I2001" s="64">
        <f>DATEVALUE(tblLaborEntries[[#This Row],[Work date]])</f>
        <v>45521.0</v>
      </c>
    </row>
    <row r="2002" spans="1:9" ht="15" x14ac:dyDescent="0.25">
      <c r="A2002" s="53" t="inlineStr">
        <is>
          <t>LAB-002001</t>
        </is>
      </c>
      <c r="B2002" s="53" t="inlineStr">
        <is>
          <t>WP-00882</t>
        </is>
      </c>
      <c r="C2002" s="53" t="inlineStr">
        <is>
          <t>TECH-008</t>
        </is>
      </c>
      <c r="D2002" s="53" t="inlineStr">
        <is>
          <t>Avionics</t>
        </is>
      </c>
      <c r="E2002" s="53" t="inlineStr">
        <is>
          <t>2024-06-18</t>
        </is>
      </c>
      <c r="F2002" s="53">
        <v>0.5</v>
      </c>
      <c r="G2002" s="53">
        <v>0</v>
      </c>
      <c r="H2002" s="51" t="str">
        <f>TEXT(tblLaborEntries[[#This Row],[Work date serial]]-WEEKDAY(tblLaborEntries[[#This Row],[Work date serial]],3),"yyyy-mm-dd")</f>
        <v>2024-06-17</v>
      </c>
      <c r="I2002" s="64">
        <f>DATEVALUE(tblLaborEntries[[#This Row],[Work date]])</f>
        <v>45461.0</v>
      </c>
    </row>
    <row r="2003" spans="1:9" ht="15" x14ac:dyDescent="0.25">
      <c r="A2003" s="53" t="inlineStr">
        <is>
          <t>LAB-002002</t>
        </is>
      </c>
      <c r="B2003" s="53" t="inlineStr">
        <is>
          <t>WP-00882</t>
        </is>
      </c>
      <c r="C2003" s="53" t="inlineStr">
        <is>
          <t>TECH-014</t>
        </is>
      </c>
      <c r="D2003" s="53" t="inlineStr">
        <is>
          <t>Avionics</t>
        </is>
      </c>
      <c r="E2003" s="53" t="inlineStr">
        <is>
          <t>2024-06-18</t>
        </is>
      </c>
      <c r="F2003" s="53">
        <v>10.4</v>
      </c>
      <c r="G2003" s="53">
        <v>2.4</v>
      </c>
      <c r="H2003" s="51" t="str">
        <f>TEXT(tblLaborEntries[[#This Row],[Work date serial]]-WEEKDAY(tblLaborEntries[[#This Row],[Work date serial]],3),"yyyy-mm-dd")</f>
        <v>2024-06-17</v>
      </c>
      <c r="I2003" s="64">
        <f>DATEVALUE(tblLaborEntries[[#This Row],[Work date]])</f>
        <v>45461.0</v>
      </c>
    </row>
    <row r="2004" spans="1:9" ht="15" x14ac:dyDescent="0.25">
      <c r="A2004" s="53" t="inlineStr">
        <is>
          <t>LAB-002003</t>
        </is>
      </c>
      <c r="B2004" s="53" t="inlineStr">
        <is>
          <t>WP-00883</t>
        </is>
      </c>
      <c r="C2004" s="53" t="inlineStr">
        <is>
          <t>TECH-019</t>
        </is>
      </c>
      <c r="D2004" s="53" t="inlineStr">
        <is>
          <t>Airframe</t>
        </is>
      </c>
      <c r="E2004" s="53" t="inlineStr">
        <is>
          <t>2026-01-01</t>
        </is>
      </c>
      <c r="F2004" s="53">
        <v>0.6</v>
      </c>
      <c r="G2004" s="53">
        <v>0</v>
      </c>
      <c r="H2004" s="51" t="str">
        <f>TEXT(tblLaborEntries[[#This Row],[Work date serial]]-WEEKDAY(tblLaborEntries[[#This Row],[Work date serial]],3),"yyyy-mm-dd")</f>
        <v>2025-12-29</v>
      </c>
      <c r="I2004" s="64">
        <f>DATEVALUE(tblLaborEntries[[#This Row],[Work date]])</f>
        <v>46023.0</v>
      </c>
    </row>
    <row r="2005" spans="1:9" ht="15" x14ac:dyDescent="0.25">
      <c r="A2005" s="53" t="inlineStr">
        <is>
          <t>LAB-002004</t>
        </is>
      </c>
      <c r="B2005" s="53" t="inlineStr">
        <is>
          <t>WP-00883</t>
        </is>
      </c>
      <c r="C2005" s="53" t="inlineStr">
        <is>
          <t>TECH-061</t>
        </is>
      </c>
      <c r="D2005" s="53" t="inlineStr">
        <is>
          <t>Airframe</t>
        </is>
      </c>
      <c r="E2005" s="53" t="inlineStr">
        <is>
          <t>2026-01-02</t>
        </is>
      </c>
      <c r="F2005" s="53">
        <v>0.9</v>
      </c>
      <c r="G2005" s="53">
        <v>0</v>
      </c>
      <c r="H2005" s="51" t="str">
        <f>TEXT(tblLaborEntries[[#This Row],[Work date serial]]-WEEKDAY(tblLaborEntries[[#This Row],[Work date serial]],3),"yyyy-mm-dd")</f>
        <v>2025-12-29</v>
      </c>
      <c r="I2005" s="64">
        <f>DATEVALUE(tblLaborEntries[[#This Row],[Work date]])</f>
        <v>46024.0</v>
      </c>
    </row>
    <row r="2006" spans="1:9" ht="15" x14ac:dyDescent="0.25">
      <c r="A2006" s="53" t="inlineStr">
        <is>
          <t>LAB-002005</t>
        </is>
      </c>
      <c r="B2006" s="53" t="inlineStr">
        <is>
          <t>WP-00883</t>
        </is>
      </c>
      <c r="C2006" s="53" t="inlineStr">
        <is>
          <t>TECH-043</t>
        </is>
      </c>
      <c r="D2006" s="53" t="inlineStr">
        <is>
          <t>Airframe</t>
        </is>
      </c>
      <c r="E2006" s="53" t="inlineStr">
        <is>
          <t>2026-01-03</t>
        </is>
      </c>
      <c r="F2006" s="53">
        <v>0.7</v>
      </c>
      <c r="G2006" s="53">
        <v>0</v>
      </c>
      <c r="H2006" s="51" t="str">
        <f>TEXT(tblLaborEntries[[#This Row],[Work date serial]]-WEEKDAY(tblLaborEntries[[#This Row],[Work date serial]],3),"yyyy-mm-dd")</f>
        <v>2025-12-29</v>
      </c>
      <c r="I2006" s="64">
        <f>DATEVALUE(tblLaborEntries[[#This Row],[Work date]])</f>
        <v>46025.0</v>
      </c>
    </row>
    <row r="2007" spans="1:9" ht="15" x14ac:dyDescent="0.25">
      <c r="A2007" s="53" t="inlineStr">
        <is>
          <t>LAB-002006</t>
        </is>
      </c>
      <c r="B2007" s="53" t="inlineStr">
        <is>
          <t>WP-00884</t>
        </is>
      </c>
      <c r="C2007" s="53" t="inlineStr">
        <is>
          <t>TECH-055</t>
        </is>
      </c>
      <c r="D2007" s="53" t="inlineStr">
        <is>
          <t>Airframe</t>
        </is>
      </c>
      <c r="E2007" s="53" t="inlineStr">
        <is>
          <t>2025-07-27</t>
        </is>
      </c>
      <c r="F2007" s="53">
        <v>4.1</v>
      </c>
      <c r="G2007" s="53">
        <v>0</v>
      </c>
      <c r="H2007" s="51" t="str">
        <f>TEXT(tblLaborEntries[[#This Row],[Work date serial]]-WEEKDAY(tblLaborEntries[[#This Row],[Work date serial]],3),"yyyy-mm-dd")</f>
        <v>2025-07-21</v>
      </c>
      <c r="I2007" s="64">
        <f>DATEVALUE(tblLaborEntries[[#This Row],[Work date]])</f>
        <v>45865.0</v>
      </c>
    </row>
    <row r="2008" spans="1:9" ht="15" x14ac:dyDescent="0.25">
      <c r="A2008" s="53" t="inlineStr">
        <is>
          <t>LAB-002007</t>
        </is>
      </c>
      <c r="B2008" s="53" t="inlineStr">
        <is>
          <t>WP-00884</t>
        </is>
      </c>
      <c r="C2008" s="53" t="inlineStr">
        <is>
          <t>TECH-073</t>
        </is>
      </c>
      <c r="D2008" s="53" t="inlineStr">
        <is>
          <t>Airframe</t>
        </is>
      </c>
      <c r="E2008" s="53" t="inlineStr">
        <is>
          <t>2025-07-28</t>
        </is>
      </c>
      <c r="F2008" s="53">
        <v>6.4</v>
      </c>
      <c r="G2008" s="53">
        <v>0</v>
      </c>
      <c r="H2008" s="51" t="str">
        <f>TEXT(tblLaborEntries[[#This Row],[Work date serial]]-WEEKDAY(tblLaborEntries[[#This Row],[Work date serial]],3),"yyyy-mm-dd")</f>
        <v>2025-07-28</v>
      </c>
      <c r="I2008" s="64">
        <f>DATEVALUE(tblLaborEntries[[#This Row],[Work date]])</f>
        <v>45866.0</v>
      </c>
    </row>
    <row r="2009" spans="1:9" ht="15" x14ac:dyDescent="0.25">
      <c r="A2009" s="53" t="inlineStr">
        <is>
          <t>LAB-002008</t>
        </is>
      </c>
      <c r="B2009" s="53" t="inlineStr">
        <is>
          <t>WP-00885</t>
        </is>
      </c>
      <c r="C2009" s="53" t="inlineStr">
        <is>
          <t>TECH-044</t>
        </is>
      </c>
      <c r="D2009" s="53" t="inlineStr">
        <is>
          <t>Avionics</t>
        </is>
      </c>
      <c r="E2009" s="53" t="inlineStr">
        <is>
          <t>2025-09-25</t>
        </is>
      </c>
      <c r="F2009" s="53">
        <v>10</v>
      </c>
      <c r="G2009" s="53">
        <v>2</v>
      </c>
      <c r="H2009" s="51" t="str">
        <f>TEXT(tblLaborEntries[[#This Row],[Work date serial]]-WEEKDAY(tblLaborEntries[[#This Row],[Work date serial]],3),"yyyy-mm-dd")</f>
        <v>2025-09-22</v>
      </c>
      <c r="I2009" s="64">
        <f>DATEVALUE(tblLaborEntries[[#This Row],[Work date]])</f>
        <v>45925.0</v>
      </c>
    </row>
    <row r="2010" spans="1:9" ht="15" x14ac:dyDescent="0.25">
      <c r="A2010" s="53" t="inlineStr">
        <is>
          <t>LAB-002009</t>
        </is>
      </c>
      <c r="B2010" s="53" t="inlineStr">
        <is>
          <t>WP-00886</t>
        </is>
      </c>
      <c r="C2010" s="53" t="inlineStr">
        <is>
          <t>TECH-056</t>
        </is>
      </c>
      <c r="D2010" s="53" t="inlineStr">
        <is>
          <t>Avionics</t>
        </is>
      </c>
      <c r="E2010" s="53" t="inlineStr">
        <is>
          <t>2025-10-02</t>
        </is>
      </c>
      <c r="F2010" s="53">
        <v>2</v>
      </c>
      <c r="G2010" s="53">
        <v>0</v>
      </c>
      <c r="H2010" s="51" t="str">
        <f>TEXT(tblLaborEntries[[#This Row],[Work date serial]]-WEEKDAY(tblLaborEntries[[#This Row],[Work date serial]],3),"yyyy-mm-dd")</f>
        <v>2025-09-29</v>
      </c>
      <c r="I2010" s="64">
        <f>DATEVALUE(tblLaborEntries[[#This Row],[Work date]])</f>
        <v>45932.0</v>
      </c>
    </row>
    <row r="2011" spans="1:9" ht="15" x14ac:dyDescent="0.25">
      <c r="A2011" s="53" t="inlineStr">
        <is>
          <t>LAB-002010</t>
        </is>
      </c>
      <c r="B2011" s="53" t="inlineStr">
        <is>
          <t>WP-00886</t>
        </is>
      </c>
      <c r="C2011" s="53" t="inlineStr">
        <is>
          <t>TECH-074</t>
        </is>
      </c>
      <c r="D2011" s="53" t="inlineStr">
        <is>
          <t>Avionics</t>
        </is>
      </c>
      <c r="E2011" s="53" t="inlineStr">
        <is>
          <t>2025-10-03</t>
        </is>
      </c>
      <c r="F2011" s="53">
        <v>1.4</v>
      </c>
      <c r="G2011" s="53">
        <v>0</v>
      </c>
      <c r="H2011" s="51" t="str">
        <f>TEXT(tblLaborEntries[[#This Row],[Work date serial]]-WEEKDAY(tblLaborEntries[[#This Row],[Work date serial]],3),"yyyy-mm-dd")</f>
        <v>2025-09-29</v>
      </c>
      <c r="I2011" s="64">
        <f>DATEVALUE(tblLaborEntries[[#This Row],[Work date]])</f>
        <v>45933.0</v>
      </c>
    </row>
    <row r="2012" spans="1:9" ht="15" x14ac:dyDescent="0.25">
      <c r="A2012" s="53" t="inlineStr">
        <is>
          <t>LAB-002011</t>
        </is>
      </c>
      <c r="B2012" s="53" t="inlineStr">
        <is>
          <t>WP-00886</t>
        </is>
      </c>
      <c r="C2012" s="53" t="inlineStr">
        <is>
          <t>TECH-032</t>
        </is>
      </c>
      <c r="D2012" s="53" t="inlineStr">
        <is>
          <t>Avionics</t>
        </is>
      </c>
      <c r="E2012" s="53" t="inlineStr">
        <is>
          <t>2025-10-04</t>
        </is>
      </c>
      <c r="F2012" s="53">
        <v>1.8</v>
      </c>
      <c r="G2012" s="53">
        <v>0</v>
      </c>
      <c r="H2012" s="51" t="str">
        <f>TEXT(tblLaborEntries[[#This Row],[Work date serial]]-WEEKDAY(tblLaborEntries[[#This Row],[Work date serial]],3),"yyyy-mm-dd")</f>
        <v>2025-09-29</v>
      </c>
      <c r="I2012" s="64">
        <f>DATEVALUE(tblLaborEntries[[#This Row],[Work date]])</f>
        <v>45934.0</v>
      </c>
    </row>
    <row r="2013" spans="1:9" ht="15" x14ac:dyDescent="0.25">
      <c r="A2013" s="53" t="inlineStr">
        <is>
          <t>LAB-002012</t>
        </is>
      </c>
      <c r="B2013" s="53" t="inlineStr">
        <is>
          <t>WP-00887</t>
        </is>
      </c>
      <c r="C2013" s="53" t="inlineStr">
        <is>
          <t>TECH-002</t>
        </is>
      </c>
      <c r="D2013" s="53" t="inlineStr">
        <is>
          <t>Avionics</t>
        </is>
      </c>
      <c r="E2013" s="53" t="inlineStr">
        <is>
          <t>2024-11-22</t>
        </is>
      </c>
      <c r="F2013" s="53">
        <v>7.1</v>
      </c>
      <c r="G2013" s="53">
        <v>0</v>
      </c>
      <c r="H2013" s="51" t="str">
        <f>TEXT(tblLaborEntries[[#This Row],[Work date serial]]-WEEKDAY(tblLaborEntries[[#This Row],[Work date serial]],3),"yyyy-mm-dd")</f>
        <v>2024-11-18</v>
      </c>
      <c r="I2013" s="64">
        <f>DATEVALUE(tblLaborEntries[[#This Row],[Work date]])</f>
        <v>45618.0</v>
      </c>
    </row>
    <row r="2014" spans="1:9" ht="15" x14ac:dyDescent="0.25">
      <c r="A2014" s="53" t="inlineStr">
        <is>
          <t>LAB-002013</t>
        </is>
      </c>
      <c r="B2014" s="53" t="inlineStr">
        <is>
          <t>WP-00887</t>
        </is>
      </c>
      <c r="C2014" s="53" t="inlineStr">
        <is>
          <t>TECH-050</t>
        </is>
      </c>
      <c r="D2014" s="53" t="inlineStr">
        <is>
          <t>Avionics</t>
        </is>
      </c>
      <c r="E2014" s="53" t="inlineStr">
        <is>
          <t>2024-11-22</t>
        </is>
      </c>
      <c r="F2014" s="53">
        <v>7.1</v>
      </c>
      <c r="G2014" s="53">
        <v>4</v>
      </c>
      <c r="H2014" s="51" t="str">
        <f>TEXT(tblLaborEntries[[#This Row],[Work date serial]]-WEEKDAY(tblLaborEntries[[#This Row],[Work date serial]],3),"yyyy-mm-dd")</f>
        <v>2024-11-18</v>
      </c>
      <c r="I2014" s="64">
        <f>DATEVALUE(tblLaborEntries[[#This Row],[Work date]])</f>
        <v>45618.0</v>
      </c>
    </row>
    <row r="2015" spans="1:9" ht="15" x14ac:dyDescent="0.25">
      <c r="A2015" s="53" t="inlineStr">
        <is>
          <t>LAB-002014</t>
        </is>
      </c>
      <c r="B2015" s="53" t="inlineStr">
        <is>
          <t>WP-00888</t>
        </is>
      </c>
      <c r="C2015" s="53" t="inlineStr">
        <is>
          <t>TECH-001</t>
        </is>
      </c>
      <c r="D2015" s="53" t="inlineStr">
        <is>
          <t>Airframe</t>
        </is>
      </c>
      <c r="E2015" s="53" t="inlineStr">
        <is>
          <t>2025-09-07</t>
        </is>
      </c>
      <c r="F2015" s="53">
        <v>0.3</v>
      </c>
      <c r="G2015" s="53">
        <v>0</v>
      </c>
      <c r="H2015" s="51" t="str">
        <f>TEXT(tblLaborEntries[[#This Row],[Work date serial]]-WEEKDAY(tblLaborEntries[[#This Row],[Work date serial]],3),"yyyy-mm-dd")</f>
        <v>2025-09-01</v>
      </c>
      <c r="I2015" s="64">
        <f>DATEVALUE(tblLaborEntries[[#This Row],[Work date]])</f>
        <v>45907.0</v>
      </c>
    </row>
    <row r="2016" spans="1:9" ht="15" x14ac:dyDescent="0.25">
      <c r="A2016" s="53" t="inlineStr">
        <is>
          <t>LAB-002015</t>
        </is>
      </c>
      <c r="B2016" s="53" t="inlineStr">
        <is>
          <t>WP-00888</t>
        </is>
      </c>
      <c r="C2016" s="53" t="inlineStr">
        <is>
          <t>TECH-067</t>
        </is>
      </c>
      <c r="D2016" s="53" t="inlineStr">
        <is>
          <t>Airframe</t>
        </is>
      </c>
      <c r="E2016" s="53" t="inlineStr">
        <is>
          <t>2025-09-07</t>
        </is>
      </c>
      <c r="F2016" s="53">
        <v>12</v>
      </c>
      <c r="G2016" s="53">
        <v>4</v>
      </c>
      <c r="H2016" s="51" t="str">
        <f>TEXT(tblLaborEntries[[#This Row],[Work date serial]]-WEEKDAY(tblLaborEntries[[#This Row],[Work date serial]],3),"yyyy-mm-dd")</f>
        <v>2025-09-01</v>
      </c>
      <c r="I2016" s="64">
        <f>DATEVALUE(tblLaborEntries[[#This Row],[Work date]])</f>
        <v>45907.0</v>
      </c>
    </row>
    <row r="2017" spans="1:9" ht="15" x14ac:dyDescent="0.25">
      <c r="A2017" s="53" t="inlineStr">
        <is>
          <t>LAB-002016</t>
        </is>
      </c>
      <c r="B2017" s="53" t="inlineStr">
        <is>
          <t>WP-00889</t>
        </is>
      </c>
      <c r="C2017" s="53" t="inlineStr">
        <is>
          <t>TECH-003</t>
        </is>
      </c>
      <c r="D2017" s="53" t="inlineStr">
        <is>
          <t>Hydraulics</t>
        </is>
      </c>
      <c r="E2017" s="53" t="inlineStr">
        <is>
          <t>2024-10-23</t>
        </is>
      </c>
      <c r="F2017" s="53">
        <v>1.6</v>
      </c>
      <c r="G2017" s="53">
        <v>0</v>
      </c>
      <c r="H2017" s="51" t="str">
        <f>TEXT(tblLaborEntries[[#This Row],[Work date serial]]-WEEKDAY(tblLaborEntries[[#This Row],[Work date serial]],3),"yyyy-mm-dd")</f>
        <v>2024-10-21</v>
      </c>
      <c r="I2017" s="64">
        <f>DATEVALUE(tblLaborEntries[[#This Row],[Work date]])</f>
        <v>45588.0</v>
      </c>
    </row>
    <row r="2018" spans="1:9" ht="15" x14ac:dyDescent="0.25">
      <c r="A2018" s="53" t="inlineStr">
        <is>
          <t>LAB-002017</t>
        </is>
      </c>
      <c r="B2018" s="53" t="inlineStr">
        <is>
          <t>WP-00889</t>
        </is>
      </c>
      <c r="C2018" s="53" t="inlineStr">
        <is>
          <t>TECH-033</t>
        </is>
      </c>
      <c r="D2018" s="53" t="inlineStr">
        <is>
          <t>Hydraulics</t>
        </is>
      </c>
      <c r="E2018" s="53" t="inlineStr">
        <is>
          <t>2024-10-23</t>
        </is>
      </c>
      <c r="F2018" s="53">
        <v>7.2</v>
      </c>
      <c r="G2018" s="53">
        <v>4</v>
      </c>
      <c r="H2018" s="51" t="str">
        <f>TEXT(tblLaborEntries[[#This Row],[Work date serial]]-WEEKDAY(tblLaborEntries[[#This Row],[Work date serial]],3),"yyyy-mm-dd")</f>
        <v>2024-10-21</v>
      </c>
      <c r="I2018" s="64">
        <f>DATEVALUE(tblLaborEntries[[#This Row],[Work date]])</f>
        <v>45588.0</v>
      </c>
    </row>
    <row r="2019" spans="1:9" ht="15" x14ac:dyDescent="0.25">
      <c r="A2019" s="53" t="inlineStr">
        <is>
          <t>LAB-002018</t>
        </is>
      </c>
      <c r="B2019" s="53" t="inlineStr">
        <is>
          <t>WP-00889</t>
        </is>
      </c>
      <c r="C2019" s="53" t="inlineStr">
        <is>
          <t>TECH-063</t>
        </is>
      </c>
      <c r="D2019" s="53" t="inlineStr">
        <is>
          <t>Hydraulics</t>
        </is>
      </c>
      <c r="E2019" s="53" t="inlineStr">
        <is>
          <t>2024-10-24</t>
        </is>
      </c>
      <c r="F2019" s="53">
        <v>8.7</v>
      </c>
      <c r="G2019" s="53">
        <v>0.7</v>
      </c>
      <c r="H2019" s="51" t="str">
        <f>TEXT(tblLaborEntries[[#This Row],[Work date serial]]-WEEKDAY(tblLaborEntries[[#This Row],[Work date serial]],3),"yyyy-mm-dd")</f>
        <v>2024-10-21</v>
      </c>
      <c r="I2019" s="64">
        <f>DATEVALUE(tblLaborEntries[[#This Row],[Work date]])</f>
        <v>45589.0</v>
      </c>
    </row>
    <row r="2020" spans="1:9" ht="15" x14ac:dyDescent="0.25">
      <c r="A2020" s="53" t="inlineStr">
        <is>
          <t>LAB-002019</t>
        </is>
      </c>
      <c r="B2020" s="53" t="inlineStr">
        <is>
          <t>WP-00890</t>
        </is>
      </c>
      <c r="C2020" s="53" t="inlineStr">
        <is>
          <t>TECH-018</t>
        </is>
      </c>
      <c r="D2020" s="53" t="inlineStr">
        <is>
          <t>Powerplant</t>
        </is>
      </c>
      <c r="E2020" s="53" t="inlineStr">
        <is>
          <t>2025-02-15</t>
        </is>
      </c>
      <c r="F2020" s="53">
        <v>7.3</v>
      </c>
      <c r="G2020" s="53">
        <v>0</v>
      </c>
      <c r="H2020" s="51" t="str">
        <f>TEXT(tblLaborEntries[[#This Row],[Work date serial]]-WEEKDAY(tblLaborEntries[[#This Row],[Work date serial]],3),"yyyy-mm-dd")</f>
        <v>2025-02-10</v>
      </c>
      <c r="I2020" s="64">
        <f>DATEVALUE(tblLaborEntries[[#This Row],[Work date]])</f>
        <v>45703.0</v>
      </c>
    </row>
    <row r="2021" spans="1:9" ht="15" x14ac:dyDescent="0.25">
      <c r="A2021" s="53" t="inlineStr">
        <is>
          <t>LAB-002020</t>
        </is>
      </c>
      <c r="B2021" s="53" t="inlineStr">
        <is>
          <t>WP-00890</t>
        </is>
      </c>
      <c r="C2021" s="53" t="inlineStr">
        <is>
          <t>TECH-042</t>
        </is>
      </c>
      <c r="D2021" s="53" t="inlineStr">
        <is>
          <t>Powerplant</t>
        </is>
      </c>
      <c r="E2021" s="53" t="inlineStr">
        <is>
          <t>2025-02-16</t>
        </is>
      </c>
      <c r="F2021" s="53">
        <v>5.4</v>
      </c>
      <c r="G2021" s="53">
        <v>0</v>
      </c>
      <c r="H2021" s="51" t="str">
        <f>TEXT(tblLaborEntries[[#This Row],[Work date serial]]-WEEKDAY(tblLaborEntries[[#This Row],[Work date serial]],3),"yyyy-mm-dd")</f>
        <v>2025-02-10</v>
      </c>
      <c r="I2021" s="64">
        <f>DATEVALUE(tblLaborEntries[[#This Row],[Work date]])</f>
        <v>45704.0</v>
      </c>
    </row>
    <row r="2022" spans="1:9" ht="15" x14ac:dyDescent="0.25">
      <c r="A2022" s="53" t="inlineStr">
        <is>
          <t>LAB-002021</t>
        </is>
      </c>
      <c r="B2022" s="53" t="inlineStr">
        <is>
          <t>WP-00891</t>
        </is>
      </c>
      <c r="C2022" s="53" t="inlineStr">
        <is>
          <t>TECH-044</t>
        </is>
      </c>
      <c r="D2022" s="53" t="inlineStr">
        <is>
          <t>Avionics</t>
        </is>
      </c>
      <c r="E2022" s="53" t="inlineStr">
        <is>
          <t>2025-03-16</t>
        </is>
      </c>
      <c r="F2022" s="53">
        <v>5.8</v>
      </c>
      <c r="G2022" s="53">
        <v>0</v>
      </c>
      <c r="H2022" s="51" t="str">
        <f>TEXT(tblLaborEntries[[#This Row],[Work date serial]]-WEEKDAY(tblLaborEntries[[#This Row],[Work date serial]],3),"yyyy-mm-dd")</f>
        <v>2025-03-10</v>
      </c>
      <c r="I2022" s="64">
        <f>DATEVALUE(tblLaborEntries[[#This Row],[Work date]])</f>
        <v>45732.0</v>
      </c>
    </row>
    <row r="2023" spans="1:9" ht="15" x14ac:dyDescent="0.25">
      <c r="A2023" s="53" t="inlineStr">
        <is>
          <t>LAB-002022</t>
        </is>
      </c>
      <c r="B2023" s="53" t="inlineStr">
        <is>
          <t>WP-00891</t>
        </is>
      </c>
      <c r="C2023" s="53" t="inlineStr">
        <is>
          <t>TECH-008</t>
        </is>
      </c>
      <c r="D2023" s="53" t="inlineStr">
        <is>
          <t>Avionics</t>
        </is>
      </c>
      <c r="E2023" s="53" t="inlineStr">
        <is>
          <t>2025-03-17</t>
        </is>
      </c>
      <c r="F2023" s="53">
        <v>4.8</v>
      </c>
      <c r="G2023" s="53">
        <v>0</v>
      </c>
      <c r="H2023" s="51" t="str">
        <f>TEXT(tblLaborEntries[[#This Row],[Work date serial]]-WEEKDAY(tblLaborEntries[[#This Row],[Work date serial]],3),"yyyy-mm-dd")</f>
        <v>2025-03-17</v>
      </c>
      <c r="I2023" s="64">
        <f>DATEVALUE(tblLaborEntries[[#This Row],[Work date]])</f>
        <v>45733.0</v>
      </c>
    </row>
    <row r="2024" spans="1:9" ht="15" x14ac:dyDescent="0.25">
      <c r="A2024" s="53" t="inlineStr">
        <is>
          <t>LAB-002023</t>
        </is>
      </c>
      <c r="B2024" s="53" t="inlineStr">
        <is>
          <t>WP-00891</t>
        </is>
      </c>
      <c r="C2024" s="53" t="inlineStr">
        <is>
          <t>TECH-074</t>
        </is>
      </c>
      <c r="D2024" s="53" t="inlineStr">
        <is>
          <t>Avionics</t>
        </is>
      </c>
      <c r="E2024" s="53" t="inlineStr">
        <is>
          <t>2025-03-18</t>
        </is>
      </c>
      <c r="F2024" s="53">
        <v>4.6</v>
      </c>
      <c r="G2024" s="53">
        <v>0</v>
      </c>
      <c r="H2024" s="51" t="str">
        <f>TEXT(tblLaborEntries[[#This Row],[Work date serial]]-WEEKDAY(tblLaborEntries[[#This Row],[Work date serial]],3),"yyyy-mm-dd")</f>
        <v>2025-03-17</v>
      </c>
      <c r="I2024" s="64">
        <f>DATEVALUE(tblLaborEntries[[#This Row],[Work date]])</f>
        <v>45734.0</v>
      </c>
    </row>
    <row r="2025" spans="1:9" ht="15" x14ac:dyDescent="0.25">
      <c r="A2025" s="53" t="inlineStr">
        <is>
          <t>LAB-002024</t>
        </is>
      </c>
      <c r="B2025" s="53" t="inlineStr">
        <is>
          <t>WP-00892</t>
        </is>
      </c>
      <c r="C2025" s="53" t="inlineStr">
        <is>
          <t>TECH-044</t>
        </is>
      </c>
      <c r="D2025" s="53" t="inlineStr">
        <is>
          <t>Avionics</t>
        </is>
      </c>
      <c r="E2025" s="53" t="inlineStr">
        <is>
          <t>2024-07-29</t>
        </is>
      </c>
      <c r="F2025" s="53">
        <v>5</v>
      </c>
      <c r="G2025" s="53">
        <v>0</v>
      </c>
      <c r="H2025" s="51" t="str">
        <f>TEXT(tblLaborEntries[[#This Row],[Work date serial]]-WEEKDAY(tblLaborEntries[[#This Row],[Work date serial]],3),"yyyy-mm-dd")</f>
        <v>2024-07-29</v>
      </c>
      <c r="I2025" s="64">
        <f>DATEVALUE(tblLaborEntries[[#This Row],[Work date]])</f>
        <v>45502.0</v>
      </c>
    </row>
    <row r="2026" spans="1:9" ht="15" x14ac:dyDescent="0.25">
      <c r="A2026" s="53" t="inlineStr">
        <is>
          <t>LAB-002025</t>
        </is>
      </c>
      <c r="B2026" s="53" t="inlineStr">
        <is>
          <t>WP-00892</t>
        </is>
      </c>
      <c r="C2026" s="53" t="inlineStr">
        <is>
          <t>TECH-002</t>
        </is>
      </c>
      <c r="D2026" s="53" t="inlineStr">
        <is>
          <t>Avionics</t>
        </is>
      </c>
      <c r="E2026" s="53" t="inlineStr">
        <is>
          <t>2024-07-30</t>
        </is>
      </c>
      <c r="F2026" s="53">
        <v>4.7</v>
      </c>
      <c r="G2026" s="53">
        <v>0</v>
      </c>
      <c r="H2026" s="51" t="str">
        <f>TEXT(tblLaborEntries[[#This Row],[Work date serial]]-WEEKDAY(tblLaborEntries[[#This Row],[Work date serial]],3),"yyyy-mm-dd")</f>
        <v>2024-07-29</v>
      </c>
      <c r="I2026" s="64">
        <f>DATEVALUE(tblLaborEntries[[#This Row],[Work date]])</f>
        <v>45503.0</v>
      </c>
    </row>
    <row r="2027" spans="1:9" ht="15" x14ac:dyDescent="0.25">
      <c r="A2027" s="53" t="inlineStr">
        <is>
          <t>LAB-002026</t>
        </is>
      </c>
      <c r="B2027" s="53" t="inlineStr">
        <is>
          <t>WP-00893</t>
        </is>
      </c>
      <c r="C2027" s="53" t="inlineStr">
        <is>
          <t>TECH-069</t>
        </is>
      </c>
      <c r="D2027" s="53" t="inlineStr">
        <is>
          <t>Hydraulics</t>
        </is>
      </c>
      <c r="E2027" s="53" t="inlineStr">
        <is>
          <t>2025-06-17</t>
        </is>
      </c>
      <c r="F2027" s="53">
        <v>3.8</v>
      </c>
      <c r="G2027" s="53">
        <v>0</v>
      </c>
      <c r="H2027" s="51" t="str">
        <f>TEXT(tblLaborEntries[[#This Row],[Work date serial]]-WEEKDAY(tblLaborEntries[[#This Row],[Work date serial]],3),"yyyy-mm-dd")</f>
        <v>2025-06-16</v>
      </c>
      <c r="I2027" s="64">
        <f>DATEVALUE(tblLaborEntries[[#This Row],[Work date]])</f>
        <v>45825.0</v>
      </c>
    </row>
    <row r="2028" spans="1:9" ht="15" x14ac:dyDescent="0.25">
      <c r="A2028" s="53" t="inlineStr">
        <is>
          <t>LAB-002027</t>
        </is>
      </c>
      <c r="B2028" s="53" t="inlineStr">
        <is>
          <t>WP-00893</t>
        </is>
      </c>
      <c r="C2028" s="53" t="inlineStr">
        <is>
          <t>TECH-033</t>
        </is>
      </c>
      <c r="D2028" s="53" t="inlineStr">
        <is>
          <t>Hydraulics</t>
        </is>
      </c>
      <c r="E2028" s="53" t="inlineStr">
        <is>
          <t>2025-06-18</t>
        </is>
      </c>
      <c r="F2028" s="53">
        <v>5.4</v>
      </c>
      <c r="G2028" s="53">
        <v>0</v>
      </c>
      <c r="H2028" s="51" t="str">
        <f>TEXT(tblLaborEntries[[#This Row],[Work date serial]]-WEEKDAY(tblLaborEntries[[#This Row],[Work date serial]],3),"yyyy-mm-dd")</f>
        <v>2025-06-16</v>
      </c>
      <c r="I2028" s="64">
        <f>DATEVALUE(tblLaborEntries[[#This Row],[Work date]])</f>
        <v>45826.0</v>
      </c>
    </row>
    <row r="2029" spans="1:9" ht="15" x14ac:dyDescent="0.25">
      <c r="A2029" s="53" t="inlineStr">
        <is>
          <t>LAB-002028</t>
        </is>
      </c>
      <c r="B2029" s="53" t="inlineStr">
        <is>
          <t>WP-00894</t>
        </is>
      </c>
      <c r="C2029" s="53" t="inlineStr">
        <is>
          <t>TECH-019</t>
        </is>
      </c>
      <c r="D2029" s="53" t="inlineStr">
        <is>
          <t>Airframe</t>
        </is>
      </c>
      <c r="E2029" s="53" t="inlineStr">
        <is>
          <t>2024-02-15</t>
        </is>
      </c>
      <c r="F2029" s="53">
        <v>5.2</v>
      </c>
      <c r="G2029" s="53">
        <v>0</v>
      </c>
      <c r="H2029" s="51" t="str">
        <f>TEXT(tblLaborEntries[[#This Row],[Work date serial]]-WEEKDAY(tblLaborEntries[[#This Row],[Work date serial]],3),"yyyy-mm-dd")</f>
        <v>2024-02-12</v>
      </c>
      <c r="I2029" s="64">
        <f>DATEVALUE(tblLaborEntries[[#This Row],[Work date]])</f>
        <v>45337.0</v>
      </c>
    </row>
    <row r="2030" spans="1:9" ht="15" x14ac:dyDescent="0.25">
      <c r="A2030" s="53" t="inlineStr">
        <is>
          <t>LAB-002029</t>
        </is>
      </c>
      <c r="B2030" s="53" t="inlineStr">
        <is>
          <t>WP-00894</t>
        </is>
      </c>
      <c r="C2030" s="53" t="inlineStr">
        <is>
          <t>TECH-043</t>
        </is>
      </c>
      <c r="D2030" s="53" t="inlineStr">
        <is>
          <t>Airframe</t>
        </is>
      </c>
      <c r="E2030" s="53" t="inlineStr">
        <is>
          <t>2024-02-16</t>
        </is>
      </c>
      <c r="F2030" s="53">
        <v>3.4</v>
      </c>
      <c r="G2030" s="53">
        <v>0</v>
      </c>
      <c r="H2030" s="51" t="str">
        <f>TEXT(tblLaborEntries[[#This Row],[Work date serial]]-WEEKDAY(tblLaborEntries[[#This Row],[Work date serial]],3),"yyyy-mm-dd")</f>
        <v>2024-02-12</v>
      </c>
      <c r="I2030" s="64">
        <f>DATEVALUE(tblLaborEntries[[#This Row],[Work date]])</f>
        <v>45338.0</v>
      </c>
    </row>
    <row r="2031" spans="1:9" ht="15" x14ac:dyDescent="0.25">
      <c r="A2031" s="53" t="inlineStr">
        <is>
          <t>LAB-002030</t>
        </is>
      </c>
      <c r="B2031" s="53" t="inlineStr">
        <is>
          <t>WP-00894</t>
        </is>
      </c>
      <c r="C2031" s="53" t="inlineStr">
        <is>
          <t>TECH-067</t>
        </is>
      </c>
      <c r="D2031" s="53" t="inlineStr">
        <is>
          <t>Airframe</t>
        </is>
      </c>
      <c r="E2031" s="53" t="inlineStr">
        <is>
          <t>2024-02-17</t>
        </is>
      </c>
      <c r="F2031" s="53">
        <v>5</v>
      </c>
      <c r="G2031" s="53">
        <v>0</v>
      </c>
      <c r="H2031" s="51" t="str">
        <f>TEXT(tblLaborEntries[[#This Row],[Work date serial]]-WEEKDAY(tblLaborEntries[[#This Row],[Work date serial]],3),"yyyy-mm-dd")</f>
        <v>2024-02-12</v>
      </c>
      <c r="I2031" s="64">
        <f>DATEVALUE(tblLaborEntries[[#This Row],[Work date]])</f>
        <v>45339.0</v>
      </c>
    </row>
    <row r="2032" spans="1:9" ht="15" x14ac:dyDescent="0.25">
      <c r="A2032" s="53" t="inlineStr">
        <is>
          <t>LAB-002031</t>
        </is>
      </c>
      <c r="B2032" s="53" t="inlineStr">
        <is>
          <t>WP-00895</t>
        </is>
      </c>
      <c r="C2032" s="53" t="inlineStr">
        <is>
          <t>TECH-074</t>
        </is>
      </c>
      <c r="D2032" s="53" t="inlineStr">
        <is>
          <t>Avionics</t>
        </is>
      </c>
      <c r="E2032" s="53" t="inlineStr">
        <is>
          <t>2025-08-11</t>
        </is>
      </c>
      <c r="F2032" s="53">
        <v>6.3</v>
      </c>
      <c r="G2032" s="53">
        <v>0</v>
      </c>
      <c r="H2032" s="51" t="str">
        <f>TEXT(tblLaborEntries[[#This Row],[Work date serial]]-WEEKDAY(tblLaborEntries[[#This Row],[Work date serial]],3),"yyyy-mm-dd")</f>
        <v>2025-08-11</v>
      </c>
      <c r="I2032" s="64">
        <f>DATEVALUE(tblLaborEntries[[#This Row],[Work date]])</f>
        <v>45880.0</v>
      </c>
    </row>
    <row r="2033" spans="1:9" ht="15" x14ac:dyDescent="0.25">
      <c r="A2033" s="53" t="inlineStr">
        <is>
          <t>LAB-002032</t>
        </is>
      </c>
      <c r="B2033" s="53" t="inlineStr">
        <is>
          <t>WP-00895</t>
        </is>
      </c>
      <c r="C2033" s="53" t="inlineStr">
        <is>
          <t>TECH-050</t>
        </is>
      </c>
      <c r="D2033" s="53" t="inlineStr">
        <is>
          <t>Avionics</t>
        </is>
      </c>
      <c r="E2033" s="53" t="inlineStr">
        <is>
          <t>2025-08-12</t>
        </is>
      </c>
      <c r="F2033" s="53">
        <v>7.4</v>
      </c>
      <c r="G2033" s="53">
        <v>0</v>
      </c>
      <c r="H2033" s="51" t="str">
        <f>TEXT(tblLaborEntries[[#This Row],[Work date serial]]-WEEKDAY(tblLaborEntries[[#This Row],[Work date serial]],3),"yyyy-mm-dd")</f>
        <v>2025-08-11</v>
      </c>
      <c r="I2033" s="64">
        <f>DATEVALUE(tblLaborEntries[[#This Row],[Work date]])</f>
        <v>45881.0</v>
      </c>
    </row>
    <row r="2034" spans="1:9" ht="15" x14ac:dyDescent="0.25">
      <c r="A2034" s="53" t="inlineStr">
        <is>
          <t>LAB-002033</t>
        </is>
      </c>
      <c r="B2034" s="53" t="inlineStr">
        <is>
          <t>WP-00895</t>
        </is>
      </c>
      <c r="C2034" s="53" t="inlineStr">
        <is>
          <t>TECH-008</t>
        </is>
      </c>
      <c r="D2034" s="53" t="inlineStr">
        <is>
          <t>Avionics</t>
        </is>
      </c>
      <c r="E2034" s="53" t="inlineStr">
        <is>
          <t>2025-08-13</t>
        </is>
      </c>
      <c r="F2034" s="53">
        <v>9.1</v>
      </c>
      <c r="G2034" s="53">
        <v>1.1</v>
      </c>
      <c r="H2034" s="51" t="str">
        <f>TEXT(tblLaborEntries[[#This Row],[Work date serial]]-WEEKDAY(tblLaborEntries[[#This Row],[Work date serial]],3),"yyyy-mm-dd")</f>
        <v>2025-08-11</v>
      </c>
      <c r="I2034" s="64">
        <f>DATEVALUE(tblLaborEntries[[#This Row],[Work date]])</f>
        <v>45882.0</v>
      </c>
    </row>
    <row r="2035" spans="1:9" ht="15" x14ac:dyDescent="0.25">
      <c r="A2035" s="53" t="inlineStr">
        <is>
          <t>LAB-002034</t>
        </is>
      </c>
      <c r="B2035" s="53" t="inlineStr">
        <is>
          <t>WP-00896</t>
        </is>
      </c>
      <c r="C2035" s="53" t="inlineStr">
        <is>
          <t>TECH-070</t>
        </is>
      </c>
      <c r="D2035" s="53" t="inlineStr">
        <is>
          <t>Electrical</t>
        </is>
      </c>
      <c r="E2035" s="53" t="inlineStr">
        <is>
          <t>2025-08-27</t>
        </is>
      </c>
      <c r="F2035" s="53">
        <v>7.1</v>
      </c>
      <c r="G2035" s="53">
        <v>0</v>
      </c>
      <c r="H2035" s="51" t="str">
        <f>TEXT(tblLaborEntries[[#This Row],[Work date serial]]-WEEKDAY(tblLaborEntries[[#This Row],[Work date serial]],3),"yyyy-mm-dd")</f>
        <v>2025-08-25</v>
      </c>
      <c r="I2035" s="64">
        <f>DATEVALUE(tblLaborEntries[[#This Row],[Work date]])</f>
        <v>45896.0</v>
      </c>
    </row>
    <row r="2036" spans="1:9" ht="15" x14ac:dyDescent="0.25">
      <c r="A2036" s="53" t="inlineStr">
        <is>
          <t>LAB-002035</t>
        </is>
      </c>
      <c r="B2036" s="53" t="inlineStr">
        <is>
          <t>WP-00896</t>
        </is>
      </c>
      <c r="C2036" s="53" t="inlineStr">
        <is>
          <t>TECH-058</t>
        </is>
      </c>
      <c r="D2036" s="53" t="inlineStr">
        <is>
          <t>Electrical</t>
        </is>
      </c>
      <c r="E2036" s="53" t="inlineStr">
        <is>
          <t>2025-08-28</t>
        </is>
      </c>
      <c r="F2036" s="53">
        <v>6.4</v>
      </c>
      <c r="G2036" s="53">
        <v>0</v>
      </c>
      <c r="H2036" s="51" t="str">
        <f>TEXT(tblLaborEntries[[#This Row],[Work date serial]]-WEEKDAY(tblLaborEntries[[#This Row],[Work date serial]],3),"yyyy-mm-dd")</f>
        <v>2025-08-25</v>
      </c>
      <c r="I2036" s="64">
        <f>DATEVALUE(tblLaborEntries[[#This Row],[Work date]])</f>
        <v>45897.0</v>
      </c>
    </row>
    <row r="2037" spans="1:9" ht="15" x14ac:dyDescent="0.25">
      <c r="A2037" s="53" t="inlineStr">
        <is>
          <t>LAB-002036</t>
        </is>
      </c>
      <c r="B2037" s="53" t="inlineStr">
        <is>
          <t>WP-00896</t>
        </is>
      </c>
      <c r="C2037" s="53" t="inlineStr">
        <is>
          <t>TECH-016</t>
        </is>
      </c>
      <c r="D2037" s="53" t="inlineStr">
        <is>
          <t>Electrical</t>
        </is>
      </c>
      <c r="E2037" s="53" t="inlineStr">
        <is>
          <t>2025-08-29</t>
        </is>
      </c>
      <c r="F2037" s="53">
        <v>8.3</v>
      </c>
      <c r="G2037" s="53">
        <v>0.3</v>
      </c>
      <c r="H2037" s="51" t="str">
        <f>TEXT(tblLaborEntries[[#This Row],[Work date serial]]-WEEKDAY(tblLaborEntries[[#This Row],[Work date serial]],3),"yyyy-mm-dd")</f>
        <v>2025-08-25</v>
      </c>
      <c r="I2037" s="64">
        <f>DATEVALUE(tblLaborEntries[[#This Row],[Work date]])</f>
        <v>45898.0</v>
      </c>
    </row>
    <row r="2038" spans="1:9" ht="15" x14ac:dyDescent="0.25">
      <c r="A2038" s="53" t="inlineStr">
        <is>
          <t>LAB-002037</t>
        </is>
      </c>
      <c r="B2038" s="53" t="inlineStr">
        <is>
          <t>WP-00897</t>
        </is>
      </c>
      <c r="C2038" s="53" t="inlineStr">
        <is>
          <t>TECH-017</t>
        </is>
      </c>
      <c r="D2038" s="53" t="inlineStr">
        <is>
          <t>Structures</t>
        </is>
      </c>
      <c r="E2038" s="53" t="inlineStr">
        <is>
          <t>2025-12-07</t>
        </is>
      </c>
      <c r="F2038" s="53">
        <v>10.4</v>
      </c>
      <c r="G2038" s="53">
        <v>2.4</v>
      </c>
      <c r="H2038" s="51" t="str">
        <f>TEXT(tblLaborEntries[[#This Row],[Work date serial]]-WEEKDAY(tblLaborEntries[[#This Row],[Work date serial]],3),"yyyy-mm-dd")</f>
        <v>2025-12-01</v>
      </c>
      <c r="I2038" s="64">
        <f>DATEVALUE(tblLaborEntries[[#This Row],[Work date]])</f>
        <v>45998.0</v>
      </c>
    </row>
    <row r="2039" spans="1:9" ht="15" x14ac:dyDescent="0.25">
      <c r="A2039" s="53" t="inlineStr">
        <is>
          <t>LAB-002038</t>
        </is>
      </c>
      <c r="B2039" s="53" t="inlineStr">
        <is>
          <t>WP-00897</t>
        </is>
      </c>
      <c r="C2039" s="53" t="inlineStr">
        <is>
          <t>TECH-005</t>
        </is>
      </c>
      <c r="D2039" s="53" t="inlineStr">
        <is>
          <t>Structures</t>
        </is>
      </c>
      <c r="E2039" s="53" t="inlineStr">
        <is>
          <t>2025-12-08</t>
        </is>
      </c>
      <c r="F2039" s="53">
        <v>0.5</v>
      </c>
      <c r="G2039" s="53">
        <v>0</v>
      </c>
      <c r="H2039" s="51" t="str">
        <f>TEXT(tblLaborEntries[[#This Row],[Work date serial]]-WEEKDAY(tblLaborEntries[[#This Row],[Work date serial]],3),"yyyy-mm-dd")</f>
        <v>2025-12-08</v>
      </c>
      <c r="I2039" s="64">
        <f>DATEVALUE(tblLaborEntries[[#This Row],[Work date]])</f>
        <v>45999.0</v>
      </c>
    </row>
    <row r="2040" spans="1:9" ht="15" x14ac:dyDescent="0.25">
      <c r="A2040" s="53" t="inlineStr">
        <is>
          <t>LAB-002039</t>
        </is>
      </c>
      <c r="B2040" s="53" t="inlineStr">
        <is>
          <t>WP-00897</t>
        </is>
      </c>
      <c r="C2040" s="53" t="inlineStr">
        <is>
          <t>TECH-035</t>
        </is>
      </c>
      <c r="D2040" s="53" t="inlineStr">
        <is>
          <t>Structures</t>
        </is>
      </c>
      <c r="E2040" s="53" t="inlineStr">
        <is>
          <t>2025-12-08</t>
        </is>
      </c>
      <c r="F2040" s="53">
        <v>12</v>
      </c>
      <c r="G2040" s="53">
        <v>4</v>
      </c>
      <c r="H2040" s="51" t="str">
        <f>TEXT(tblLaborEntries[[#This Row],[Work date serial]]-WEEKDAY(tblLaborEntries[[#This Row],[Work date serial]],3),"yyyy-mm-dd")</f>
        <v>2025-12-08</v>
      </c>
      <c r="I2040" s="64">
        <f>DATEVALUE(tblLaborEntries[[#This Row],[Work date]])</f>
        <v>45999.0</v>
      </c>
    </row>
    <row r="2041" spans="1:9" ht="15" x14ac:dyDescent="0.25">
      <c r="A2041" s="53" t="inlineStr">
        <is>
          <t>LAB-002040</t>
        </is>
      </c>
      <c r="B2041" s="53" t="inlineStr">
        <is>
          <t>WP-00898</t>
        </is>
      </c>
      <c r="C2041" s="53" t="inlineStr">
        <is>
          <t>TECH-035</t>
        </is>
      </c>
      <c r="D2041" s="53" t="inlineStr">
        <is>
          <t>Structures</t>
        </is>
      </c>
      <c r="E2041" s="53" t="inlineStr">
        <is>
          <t>2025-12-28</t>
        </is>
      </c>
      <c r="F2041" s="53">
        <v>8.3</v>
      </c>
      <c r="G2041" s="53">
        <v>0.3</v>
      </c>
      <c r="H2041" s="51" t="str">
        <f>TEXT(tblLaborEntries[[#This Row],[Work date serial]]-WEEKDAY(tblLaborEntries[[#This Row],[Work date serial]],3),"yyyy-mm-dd")</f>
        <v>2025-12-22</v>
      </c>
      <c r="I2041" s="64">
        <f>DATEVALUE(tblLaborEntries[[#This Row],[Work date]])</f>
        <v>46019.0</v>
      </c>
    </row>
    <row r="2042" spans="1:9" ht="15" x14ac:dyDescent="0.25">
      <c r="A2042" s="53" t="inlineStr">
        <is>
          <t>LAB-002041</t>
        </is>
      </c>
      <c r="B2042" s="53" t="inlineStr">
        <is>
          <t>WP-00898</t>
        </is>
      </c>
      <c r="C2042" s="53" t="inlineStr">
        <is>
          <t>TECH-011</t>
        </is>
      </c>
      <c r="D2042" s="53" t="inlineStr">
        <is>
          <t>Structures</t>
        </is>
      </c>
      <c r="E2042" s="53" t="inlineStr">
        <is>
          <t>2025-12-29</t>
        </is>
      </c>
      <c r="F2042" s="53">
        <v>10.1</v>
      </c>
      <c r="G2042" s="53">
        <v>2.1</v>
      </c>
      <c r="H2042" s="51" t="str">
        <f>TEXT(tblLaborEntries[[#This Row],[Work date serial]]-WEEKDAY(tblLaborEntries[[#This Row],[Work date serial]],3),"yyyy-mm-dd")</f>
        <v>2025-12-29</v>
      </c>
      <c r="I2042" s="64">
        <f>DATEVALUE(tblLaborEntries[[#This Row],[Work date]])</f>
        <v>46020.0</v>
      </c>
    </row>
    <row r="2043" spans="1:9" ht="15" x14ac:dyDescent="0.25">
      <c r="A2043" s="53" t="inlineStr">
        <is>
          <t>LAB-002042</t>
        </is>
      </c>
      <c r="B2043" s="53" t="inlineStr">
        <is>
          <t>WP-00898</t>
        </is>
      </c>
      <c r="C2043" s="53" t="inlineStr">
        <is>
          <t>TECH-035</t>
        </is>
      </c>
      <c r="D2043" s="53" t="inlineStr">
        <is>
          <t>Structures</t>
        </is>
      </c>
      <c r="E2043" s="53" t="inlineStr">
        <is>
          <t>2025-12-30</t>
        </is>
      </c>
      <c r="F2043" s="53">
        <v>10.4</v>
      </c>
      <c r="G2043" s="53">
        <v>2.4</v>
      </c>
      <c r="H2043" s="51" t="str">
        <f>TEXT(tblLaborEntries[[#This Row],[Work date serial]]-WEEKDAY(tblLaborEntries[[#This Row],[Work date serial]],3),"yyyy-mm-dd")</f>
        <v>2025-12-29</v>
      </c>
      <c r="I2043" s="64">
        <f>DATEVALUE(tblLaborEntries[[#This Row],[Work date]])</f>
        <v>46021.0</v>
      </c>
    </row>
    <row r="2044" spans="1:9" ht="15" x14ac:dyDescent="0.25">
      <c r="A2044" s="53" t="inlineStr">
        <is>
          <t>LAB-002043</t>
        </is>
      </c>
      <c r="B2044" s="53" t="inlineStr">
        <is>
          <t>WP-00899</t>
        </is>
      </c>
      <c r="C2044" s="53" t="inlineStr">
        <is>
          <t>TECH-068</t>
        </is>
      </c>
      <c r="D2044" s="53" t="inlineStr">
        <is>
          <t>Avionics</t>
        </is>
      </c>
      <c r="E2044" s="53" t="inlineStr">
        <is>
          <t>2025-11-18</t>
        </is>
      </c>
      <c r="F2044" s="53">
        <v>3.3</v>
      </c>
      <c r="G2044" s="53">
        <v>0</v>
      </c>
      <c r="H2044" s="51" t="str">
        <f>TEXT(tblLaborEntries[[#This Row],[Work date serial]]-WEEKDAY(tblLaborEntries[[#This Row],[Work date serial]],3),"yyyy-mm-dd")</f>
        <v>2025-11-17</v>
      </c>
      <c r="I2044" s="64">
        <f>DATEVALUE(tblLaborEntries[[#This Row],[Work date]])</f>
        <v>45979.0</v>
      </c>
    </row>
    <row r="2045" spans="1:9" ht="15" x14ac:dyDescent="0.25">
      <c r="A2045" s="53" t="inlineStr">
        <is>
          <t>LAB-002044</t>
        </is>
      </c>
      <c r="B2045" s="53" t="inlineStr">
        <is>
          <t>WP-00899</t>
        </is>
      </c>
      <c r="C2045" s="53" t="inlineStr">
        <is>
          <t>TECH-032</t>
        </is>
      </c>
      <c r="D2045" s="53" t="inlineStr">
        <is>
          <t>Avionics</t>
        </is>
      </c>
      <c r="E2045" s="53" t="inlineStr">
        <is>
          <t>2025-11-19</t>
        </is>
      </c>
      <c r="F2045" s="53">
        <v>2.4</v>
      </c>
      <c r="G2045" s="53">
        <v>0</v>
      </c>
      <c r="H2045" s="51" t="str">
        <f>TEXT(tblLaborEntries[[#This Row],[Work date serial]]-WEEKDAY(tblLaborEntries[[#This Row],[Work date serial]],3),"yyyy-mm-dd")</f>
        <v>2025-11-17</v>
      </c>
      <c r="I2045" s="64">
        <f>DATEVALUE(tblLaborEntries[[#This Row],[Work date]])</f>
        <v>45980.0</v>
      </c>
    </row>
    <row r="2046" spans="1:9" ht="15" x14ac:dyDescent="0.25">
      <c r="A2046" s="53" t="inlineStr">
        <is>
          <t>LAB-002045</t>
        </is>
      </c>
      <c r="B2046" s="53" t="inlineStr">
        <is>
          <t>WP-00899</t>
        </is>
      </c>
      <c r="C2046" s="53" t="inlineStr">
        <is>
          <t>TECH-050</t>
        </is>
      </c>
      <c r="D2046" s="53" t="inlineStr">
        <is>
          <t>Avionics</t>
        </is>
      </c>
      <c r="E2046" s="53" t="inlineStr">
        <is>
          <t>2025-11-20</t>
        </is>
      </c>
      <c r="F2046" s="53">
        <v>2.7</v>
      </c>
      <c r="G2046" s="53">
        <v>0</v>
      </c>
      <c r="H2046" s="51" t="str">
        <f>TEXT(tblLaborEntries[[#This Row],[Work date serial]]-WEEKDAY(tblLaborEntries[[#This Row],[Work date serial]],3),"yyyy-mm-dd")</f>
        <v>2025-11-17</v>
      </c>
      <c r="I2046" s="64">
        <f>DATEVALUE(tblLaborEntries[[#This Row],[Work date]])</f>
        <v>45981.0</v>
      </c>
    </row>
    <row r="2047" spans="1:9" ht="15" x14ac:dyDescent="0.25">
      <c r="A2047" s="53" t="inlineStr">
        <is>
          <t>LAB-002046</t>
        </is>
      </c>
      <c r="B2047" s="53" t="inlineStr">
        <is>
          <t>WP-00900</t>
        </is>
      </c>
      <c r="C2047" s="53" t="inlineStr">
        <is>
          <t>TECH-061</t>
        </is>
      </c>
      <c r="D2047" s="53" t="inlineStr">
        <is>
          <t>Airframe</t>
        </is>
      </c>
      <c r="E2047" s="53" t="inlineStr">
        <is>
          <t>2024-11-08</t>
        </is>
      </c>
      <c r="F2047" s="53">
        <v>6.2</v>
      </c>
      <c r="G2047" s="53">
        <v>0</v>
      </c>
      <c r="H2047" s="51" t="str">
        <f>TEXT(tblLaborEntries[[#This Row],[Work date serial]]-WEEKDAY(tblLaborEntries[[#This Row],[Work date serial]],3),"yyyy-mm-dd")</f>
        <v>2024-11-04</v>
      </c>
      <c r="I2047" s="64">
        <f>DATEVALUE(tblLaborEntries[[#This Row],[Work date]])</f>
        <v>45604.0</v>
      </c>
    </row>
    <row r="2048" spans="1:9" ht="15" x14ac:dyDescent="0.25">
      <c r="A2048" s="53" t="inlineStr">
        <is>
          <t>LAB-002047</t>
        </is>
      </c>
      <c r="B2048" s="53" t="inlineStr">
        <is>
          <t>WP-00900</t>
        </is>
      </c>
      <c r="C2048" s="53" t="inlineStr">
        <is>
          <t>TECH-037</t>
        </is>
      </c>
      <c r="D2048" s="53" t="inlineStr">
        <is>
          <t>Airframe</t>
        </is>
      </c>
      <c r="E2048" s="53" t="inlineStr">
        <is>
          <t>2024-11-09</t>
        </is>
      </c>
      <c r="F2048" s="53">
        <v>6.5</v>
      </c>
      <c r="G2048" s="53">
        <v>0</v>
      </c>
      <c r="H2048" s="51" t="str">
        <f>TEXT(tblLaborEntries[[#This Row],[Work date serial]]-WEEKDAY(tblLaborEntries[[#This Row],[Work date serial]],3),"yyyy-mm-dd")</f>
        <v>2024-11-04</v>
      </c>
      <c r="I2048" s="64">
        <f>DATEVALUE(tblLaborEntries[[#This Row],[Work date]])</f>
        <v>45605.0</v>
      </c>
    </row>
    <row r="2049" spans="1:9" ht="15" x14ac:dyDescent="0.25">
      <c r="A2049" s="53" t="inlineStr">
        <is>
          <t>LAB-002048</t>
        </is>
      </c>
      <c r="B2049" s="53" t="inlineStr">
        <is>
          <t>WP-00901</t>
        </is>
      </c>
      <c r="C2049" s="53" t="inlineStr">
        <is>
          <t>TECH-052</t>
        </is>
      </c>
      <c r="D2049" s="53" t="inlineStr">
        <is>
          <t>Electrical</t>
        </is>
      </c>
      <c r="E2049" s="53" t="inlineStr">
        <is>
          <t>2025-09-28</t>
        </is>
      </c>
      <c r="F2049" s="53">
        <v>3.1</v>
      </c>
      <c r="G2049" s="53">
        <v>0</v>
      </c>
      <c r="H2049" s="51" t="str">
        <f>TEXT(tblLaborEntries[[#This Row],[Work date serial]]-WEEKDAY(tblLaborEntries[[#This Row],[Work date serial]],3),"yyyy-mm-dd")</f>
        <v>2025-09-22</v>
      </c>
      <c r="I2049" s="64">
        <f>DATEVALUE(tblLaborEntries[[#This Row],[Work date]])</f>
        <v>45928.0</v>
      </c>
    </row>
    <row r="2050" spans="1:9" ht="15" x14ac:dyDescent="0.25">
      <c r="A2050" s="53" t="inlineStr">
        <is>
          <t>LAB-002049</t>
        </is>
      </c>
      <c r="B2050" s="53" t="inlineStr">
        <is>
          <t>WP-00901</t>
        </is>
      </c>
      <c r="C2050" s="53" t="inlineStr">
        <is>
          <t>TECH-010</t>
        </is>
      </c>
      <c r="D2050" s="53" t="inlineStr">
        <is>
          <t>Electrical</t>
        </is>
      </c>
      <c r="E2050" s="53" t="inlineStr">
        <is>
          <t>2025-09-29</t>
        </is>
      </c>
      <c r="F2050" s="53">
        <v>2.7</v>
      </c>
      <c r="G2050" s="53">
        <v>0</v>
      </c>
      <c r="H2050" s="51" t="str">
        <f>TEXT(tblLaborEntries[[#This Row],[Work date serial]]-WEEKDAY(tblLaborEntries[[#This Row],[Work date serial]],3),"yyyy-mm-dd")</f>
        <v>2025-09-29</v>
      </c>
      <c r="I2050" s="64">
        <f>DATEVALUE(tblLaborEntries[[#This Row],[Work date]])</f>
        <v>45929.0</v>
      </c>
    </row>
    <row r="2051" spans="1:9" ht="15" x14ac:dyDescent="0.25">
      <c r="A2051" s="53" t="inlineStr">
        <is>
          <t>LAB-002050</t>
        </is>
      </c>
      <c r="B2051" s="53" t="inlineStr">
        <is>
          <t>WP-00901</t>
        </is>
      </c>
      <c r="C2051" s="53" t="inlineStr">
        <is>
          <t>TECH-034</t>
        </is>
      </c>
      <c r="D2051" s="53" t="inlineStr">
        <is>
          <t>Electrical</t>
        </is>
      </c>
      <c r="E2051" s="53" t="inlineStr">
        <is>
          <t>2025-09-30</t>
        </is>
      </c>
      <c r="F2051" s="53">
        <v>4</v>
      </c>
      <c r="G2051" s="53">
        <v>0</v>
      </c>
      <c r="H2051" s="51" t="str">
        <f>TEXT(tblLaborEntries[[#This Row],[Work date serial]]-WEEKDAY(tblLaborEntries[[#This Row],[Work date serial]],3),"yyyy-mm-dd")</f>
        <v>2025-09-29</v>
      </c>
      <c r="I2051" s="64">
        <f>DATEVALUE(tblLaborEntries[[#This Row],[Work date]])</f>
        <v>45930.0</v>
      </c>
    </row>
    <row r="2052" spans="1:9" ht="15" x14ac:dyDescent="0.25">
      <c r="A2052" s="53" t="inlineStr">
        <is>
          <t>LAB-002051</t>
        </is>
      </c>
      <c r="B2052" s="53" t="inlineStr">
        <is>
          <t>WP-00902</t>
        </is>
      </c>
      <c r="C2052" s="53" t="inlineStr">
        <is>
          <t>TECH-044</t>
        </is>
      </c>
      <c r="D2052" s="53" t="inlineStr">
        <is>
          <t>Avionics</t>
        </is>
      </c>
      <c r="E2052" s="53" t="inlineStr">
        <is>
          <t>2025-10-19</t>
        </is>
      </c>
      <c r="F2052" s="53">
        <v>1.1</v>
      </c>
      <c r="G2052" s="53">
        <v>0</v>
      </c>
      <c r="H2052" s="51" t="str">
        <f>TEXT(tblLaborEntries[[#This Row],[Work date serial]]-WEEKDAY(tblLaborEntries[[#This Row],[Work date serial]],3),"yyyy-mm-dd")</f>
        <v>2025-10-13</v>
      </c>
      <c r="I2052" s="64">
        <f>DATEVALUE(tblLaborEntries[[#This Row],[Work date]])</f>
        <v>45949.0</v>
      </c>
    </row>
    <row r="2053" spans="1:9" ht="15" x14ac:dyDescent="0.25">
      <c r="A2053" s="53" t="inlineStr">
        <is>
          <t>LAB-002052</t>
        </is>
      </c>
      <c r="B2053" s="53" t="inlineStr">
        <is>
          <t>WP-00902</t>
        </is>
      </c>
      <c r="C2053" s="53" t="inlineStr">
        <is>
          <t>TECH-050</t>
        </is>
      </c>
      <c r="D2053" s="53" t="inlineStr">
        <is>
          <t>Avionics</t>
        </is>
      </c>
      <c r="E2053" s="53" t="inlineStr">
        <is>
          <t>2025-10-20</t>
        </is>
      </c>
      <c r="F2053" s="53">
        <v>1</v>
      </c>
      <c r="G2053" s="53">
        <v>0</v>
      </c>
      <c r="H2053" s="51" t="str">
        <f>TEXT(tblLaborEntries[[#This Row],[Work date serial]]-WEEKDAY(tblLaborEntries[[#This Row],[Work date serial]],3),"yyyy-mm-dd")</f>
        <v>2025-10-20</v>
      </c>
      <c r="I2053" s="64">
        <f>DATEVALUE(tblLaborEntries[[#This Row],[Work date]])</f>
        <v>45950.0</v>
      </c>
    </row>
    <row r="2054" spans="1:9" ht="15" x14ac:dyDescent="0.25">
      <c r="A2054" s="53" t="inlineStr">
        <is>
          <t>LAB-002053</t>
        </is>
      </c>
      <c r="B2054" s="53" t="inlineStr">
        <is>
          <t>WP-00902</t>
        </is>
      </c>
      <c r="C2054" s="53" t="inlineStr">
        <is>
          <t>TECH-014</t>
        </is>
      </c>
      <c r="D2054" s="53" t="inlineStr">
        <is>
          <t>Avionics</t>
        </is>
      </c>
      <c r="E2054" s="53" t="inlineStr">
        <is>
          <t>2025-10-21</t>
        </is>
      </c>
      <c r="F2054" s="53">
        <v>1.2</v>
      </c>
      <c r="G2054" s="53">
        <v>0</v>
      </c>
      <c r="H2054" s="51" t="str">
        <f>TEXT(tblLaborEntries[[#This Row],[Work date serial]]-WEEKDAY(tblLaborEntries[[#This Row],[Work date serial]],3),"yyyy-mm-dd")</f>
        <v>2025-10-20</v>
      </c>
      <c r="I2054" s="64">
        <f>DATEVALUE(tblLaborEntries[[#This Row],[Work date]])</f>
        <v>45951.0</v>
      </c>
    </row>
    <row r="2055" spans="1:9" ht="15" x14ac:dyDescent="0.25">
      <c r="A2055" s="53" t="inlineStr">
        <is>
          <t>LAB-002054</t>
        </is>
      </c>
      <c r="B2055" s="53" t="inlineStr">
        <is>
          <t>WP-00903</t>
        </is>
      </c>
      <c r="C2055" s="53" t="inlineStr">
        <is>
          <t>TECH-002</t>
        </is>
      </c>
      <c r="D2055" s="53" t="inlineStr">
        <is>
          <t>Avionics</t>
        </is>
      </c>
      <c r="E2055" s="53" t="inlineStr">
        <is>
          <t>2024-12-24</t>
        </is>
      </c>
      <c r="F2055" s="53">
        <v>12</v>
      </c>
      <c r="G2055" s="53">
        <v>4</v>
      </c>
      <c r="H2055" s="51" t="str">
        <f>TEXT(tblLaborEntries[[#This Row],[Work date serial]]-WEEKDAY(tblLaborEntries[[#This Row],[Work date serial]],3),"yyyy-mm-dd")</f>
        <v>2024-12-23</v>
      </c>
      <c r="I2055" s="64">
        <f>DATEVALUE(tblLaborEntries[[#This Row],[Work date]])</f>
        <v>45650.0</v>
      </c>
    </row>
    <row r="2056" spans="1:9" ht="15" x14ac:dyDescent="0.25">
      <c r="A2056" s="53" t="inlineStr">
        <is>
          <t>LAB-002055</t>
        </is>
      </c>
      <c r="B2056" s="53" t="inlineStr">
        <is>
          <t>WP-00903</t>
        </is>
      </c>
      <c r="C2056" s="53" t="inlineStr">
        <is>
          <t>TECH-008</t>
        </is>
      </c>
      <c r="D2056" s="53" t="inlineStr">
        <is>
          <t>Avionics</t>
        </is>
      </c>
      <c r="E2056" s="53" t="inlineStr">
        <is>
          <t>2024-12-24</t>
        </is>
      </c>
      <c r="F2056" s="53">
        <v>4.4</v>
      </c>
      <c r="G2056" s="53">
        <v>0</v>
      </c>
      <c r="H2056" s="51" t="str">
        <f>TEXT(tblLaborEntries[[#This Row],[Work date serial]]-WEEKDAY(tblLaborEntries[[#This Row],[Work date serial]],3),"yyyy-mm-dd")</f>
        <v>2024-12-23</v>
      </c>
      <c r="I2056" s="64">
        <f>DATEVALUE(tblLaborEntries[[#This Row],[Work date]])</f>
        <v>45650.0</v>
      </c>
    </row>
    <row r="2057" spans="1:9" ht="15" x14ac:dyDescent="0.25">
      <c r="A2057" s="53" t="inlineStr">
        <is>
          <t>LAB-002056</t>
        </is>
      </c>
      <c r="B2057" s="53" t="inlineStr">
        <is>
          <t>WP-00903</t>
        </is>
      </c>
      <c r="C2057" s="53" t="inlineStr">
        <is>
          <t>TECH-050</t>
        </is>
      </c>
      <c r="D2057" s="53" t="inlineStr">
        <is>
          <t>Avionics</t>
        </is>
      </c>
      <c r="E2057" s="53" t="inlineStr">
        <is>
          <t>2024-12-24</t>
        </is>
      </c>
      <c r="F2057" s="53">
        <v>12</v>
      </c>
      <c r="G2057" s="53">
        <v>4</v>
      </c>
      <c r="H2057" s="51" t="str">
        <f>TEXT(tblLaborEntries[[#This Row],[Work date serial]]-WEEKDAY(tblLaborEntries[[#This Row],[Work date serial]],3),"yyyy-mm-dd")</f>
        <v>2024-12-23</v>
      </c>
      <c r="I2057" s="64">
        <f>DATEVALUE(tblLaborEntries[[#This Row],[Work date]])</f>
        <v>45650.0</v>
      </c>
    </row>
    <row r="2058" spans="1:9" ht="15" x14ac:dyDescent="0.25">
      <c r="A2058" s="53" t="inlineStr">
        <is>
          <t>LAB-002057</t>
        </is>
      </c>
      <c r="B2058" s="53" t="inlineStr">
        <is>
          <t>WP-00904</t>
        </is>
      </c>
      <c r="C2058" s="53" t="inlineStr">
        <is>
          <t>TECH-005</t>
        </is>
      </c>
      <c r="D2058" s="53" t="inlineStr">
        <is>
          <t>Structures</t>
        </is>
      </c>
      <c r="E2058" s="53" t="inlineStr">
        <is>
          <t>2025-01-23</t>
        </is>
      </c>
      <c r="F2058" s="53">
        <v>10.9</v>
      </c>
      <c r="G2058" s="53">
        <v>2.9</v>
      </c>
      <c r="H2058" s="51" t="str">
        <f>TEXT(tblLaborEntries[[#This Row],[Work date serial]]-WEEKDAY(tblLaborEntries[[#This Row],[Work date serial]],3),"yyyy-mm-dd")</f>
        <v>2025-01-20</v>
      </c>
      <c r="I2058" s="64">
        <f>DATEVALUE(tblLaborEntries[[#This Row],[Work date]])</f>
        <v>45680.0</v>
      </c>
    </row>
    <row r="2059" spans="1:9" ht="15" x14ac:dyDescent="0.25">
      <c r="A2059" s="53" t="inlineStr">
        <is>
          <t>LAB-002058</t>
        </is>
      </c>
      <c r="B2059" s="53" t="inlineStr">
        <is>
          <t>WP-00904</t>
        </is>
      </c>
      <c r="C2059" s="53" t="inlineStr">
        <is>
          <t>TECH-059</t>
        </is>
      </c>
      <c r="D2059" s="53" t="inlineStr">
        <is>
          <t>Structures</t>
        </is>
      </c>
      <c r="E2059" s="53" t="inlineStr">
        <is>
          <t>2025-01-23</t>
        </is>
      </c>
      <c r="F2059" s="53">
        <v>12</v>
      </c>
      <c r="G2059" s="53">
        <v>4</v>
      </c>
      <c r="H2059" s="51" t="str">
        <f>TEXT(tblLaborEntries[[#This Row],[Work date serial]]-WEEKDAY(tblLaborEntries[[#This Row],[Work date serial]],3),"yyyy-mm-dd")</f>
        <v>2025-01-20</v>
      </c>
      <c r="I2059" s="64">
        <f>DATEVALUE(tblLaborEntries[[#This Row],[Work date]])</f>
        <v>45680.0</v>
      </c>
    </row>
    <row r="2060" spans="1:9" ht="15" x14ac:dyDescent="0.25">
      <c r="A2060" s="53" t="inlineStr">
        <is>
          <t>LAB-002059</t>
        </is>
      </c>
      <c r="B2060" s="53" t="inlineStr">
        <is>
          <t>WP-00905</t>
        </is>
      </c>
      <c r="C2060" s="53" t="inlineStr">
        <is>
          <t>TECH-061</t>
        </is>
      </c>
      <c r="D2060" s="53" t="inlineStr">
        <is>
          <t>Airframe</t>
        </is>
      </c>
      <c r="E2060" s="53" t="inlineStr">
        <is>
          <t>2025-05-26</t>
        </is>
      </c>
      <c r="F2060" s="53">
        <v>2.8</v>
      </c>
      <c r="G2060" s="53">
        <v>0</v>
      </c>
      <c r="H2060" s="51" t="str">
        <f>TEXT(tblLaborEntries[[#This Row],[Work date serial]]-WEEKDAY(tblLaborEntries[[#This Row],[Work date serial]],3),"yyyy-mm-dd")</f>
        <v>2025-05-26</v>
      </c>
      <c r="I2060" s="64">
        <f>DATEVALUE(tblLaborEntries[[#This Row],[Work date]])</f>
        <v>45803.0</v>
      </c>
    </row>
    <row r="2061" spans="1:9" ht="15" x14ac:dyDescent="0.25">
      <c r="A2061" s="53" t="inlineStr">
        <is>
          <t>LAB-002060</t>
        </is>
      </c>
      <c r="B2061" s="53" t="inlineStr">
        <is>
          <t>WP-00905</t>
        </is>
      </c>
      <c r="C2061" s="53" t="inlineStr">
        <is>
          <t>TECH-037</t>
        </is>
      </c>
      <c r="D2061" s="53" t="inlineStr">
        <is>
          <t>Airframe</t>
        </is>
      </c>
      <c r="E2061" s="53" t="inlineStr">
        <is>
          <t>2025-05-27</t>
        </is>
      </c>
      <c r="F2061" s="53">
        <v>3.8</v>
      </c>
      <c r="G2061" s="53">
        <v>0</v>
      </c>
      <c r="H2061" s="51" t="str">
        <f>TEXT(tblLaborEntries[[#This Row],[Work date serial]]-WEEKDAY(tblLaborEntries[[#This Row],[Work date serial]],3),"yyyy-mm-dd")</f>
        <v>2025-05-26</v>
      </c>
      <c r="I2061" s="64">
        <f>DATEVALUE(tblLaborEntries[[#This Row],[Work date]])</f>
        <v>45804.0</v>
      </c>
    </row>
    <row r="2062" spans="1:9" ht="15" x14ac:dyDescent="0.25">
      <c r="A2062" s="53" t="inlineStr">
        <is>
          <t>LAB-002061</t>
        </is>
      </c>
      <c r="B2062" s="53" t="inlineStr">
        <is>
          <t>WP-00906</t>
        </is>
      </c>
      <c r="C2062" s="53" t="inlineStr">
        <is>
          <t>TECH-007</t>
        </is>
      </c>
      <c r="D2062" s="53" t="inlineStr">
        <is>
          <t>Airframe</t>
        </is>
      </c>
      <c r="E2062" s="53" t="inlineStr">
        <is>
          <t>2025-05-19</t>
        </is>
      </c>
      <c r="F2062" s="53">
        <v>4.2</v>
      </c>
      <c r="G2062" s="53">
        <v>0</v>
      </c>
      <c r="H2062" s="51" t="str">
        <f>TEXT(tblLaborEntries[[#This Row],[Work date serial]]-WEEKDAY(tblLaborEntries[[#This Row],[Work date serial]],3),"yyyy-mm-dd")</f>
        <v>2025-05-19</v>
      </c>
      <c r="I2062" s="64">
        <f>DATEVALUE(tblLaborEntries[[#This Row],[Work date]])</f>
        <v>45796.0</v>
      </c>
    </row>
    <row r="2063" spans="1:9" ht="15" x14ac:dyDescent="0.25">
      <c r="A2063" s="53" t="inlineStr">
        <is>
          <t>LAB-002062</t>
        </is>
      </c>
      <c r="B2063" s="53" t="inlineStr">
        <is>
          <t>WP-00906</t>
        </is>
      </c>
      <c r="C2063" s="53" t="inlineStr">
        <is>
          <t>TECH-061</t>
        </is>
      </c>
      <c r="D2063" s="53" t="inlineStr">
        <is>
          <t>Airframe</t>
        </is>
      </c>
      <c r="E2063" s="53" t="inlineStr">
        <is>
          <t>2025-05-19</t>
        </is>
      </c>
      <c r="F2063" s="53">
        <v>12</v>
      </c>
      <c r="G2063" s="53">
        <v>4</v>
      </c>
      <c r="H2063" s="51" t="str">
        <f>TEXT(tblLaborEntries[[#This Row],[Work date serial]]-WEEKDAY(tblLaborEntries[[#This Row],[Work date serial]],3),"yyyy-mm-dd")</f>
        <v>2025-05-19</v>
      </c>
      <c r="I2063" s="64">
        <f>DATEVALUE(tblLaborEntries[[#This Row],[Work date]])</f>
        <v>45796.0</v>
      </c>
    </row>
    <row r="2064" spans="1:9" ht="15" x14ac:dyDescent="0.25">
      <c r="A2064" s="53" t="inlineStr">
        <is>
          <t>LAB-002063</t>
        </is>
      </c>
      <c r="B2064" s="53" t="inlineStr">
        <is>
          <t>WP-00907</t>
        </is>
      </c>
      <c r="C2064" s="53" t="inlineStr">
        <is>
          <t>TECH-008</t>
        </is>
      </c>
      <c r="D2064" s="53" t="inlineStr">
        <is>
          <t>Avionics</t>
        </is>
      </c>
      <c r="E2064" s="53" t="inlineStr">
        <is>
          <t>2025-08-19</t>
        </is>
      </c>
      <c r="F2064" s="53">
        <v>7.8</v>
      </c>
      <c r="G2064" s="53">
        <v>0</v>
      </c>
      <c r="H2064" s="51" t="str">
        <f>TEXT(tblLaborEntries[[#This Row],[Work date serial]]-WEEKDAY(tblLaborEntries[[#This Row],[Work date serial]],3),"yyyy-mm-dd")</f>
        <v>2025-08-18</v>
      </c>
      <c r="I2064" s="64">
        <f>DATEVALUE(tblLaborEntries[[#This Row],[Work date]])</f>
        <v>45888.0</v>
      </c>
    </row>
    <row r="2065" spans="1:9" ht="15" x14ac:dyDescent="0.25">
      <c r="A2065" s="53" t="inlineStr">
        <is>
          <t>LAB-002064</t>
        </is>
      </c>
      <c r="B2065" s="53" t="inlineStr">
        <is>
          <t>WP-00908</t>
        </is>
      </c>
      <c r="C2065" s="53" t="inlineStr">
        <is>
          <t>TECH-001</t>
        </is>
      </c>
      <c r="D2065" s="53" t="inlineStr">
        <is>
          <t>Airframe</t>
        </is>
      </c>
      <c r="E2065" s="53" t="inlineStr">
        <is>
          <t>2025-01-27</t>
        </is>
      </c>
      <c r="F2065" s="53">
        <v>3.4</v>
      </c>
      <c r="G2065" s="53">
        <v>0</v>
      </c>
      <c r="H2065" s="51" t="str">
        <f>TEXT(tblLaborEntries[[#This Row],[Work date serial]]-WEEKDAY(tblLaborEntries[[#This Row],[Work date serial]],3),"yyyy-mm-dd")</f>
        <v>2025-01-27</v>
      </c>
      <c r="I2065" s="64">
        <f>DATEVALUE(tblLaborEntries[[#This Row],[Work date]])</f>
        <v>45684.0</v>
      </c>
    </row>
    <row r="2066" spans="1:9" ht="15" x14ac:dyDescent="0.25">
      <c r="A2066" s="53" t="inlineStr">
        <is>
          <t>LAB-002065</t>
        </is>
      </c>
      <c r="B2066" s="53" t="inlineStr">
        <is>
          <t>WP-00908</t>
        </is>
      </c>
      <c r="C2066" s="53" t="inlineStr">
        <is>
          <t>TECH-013</t>
        </is>
      </c>
      <c r="D2066" s="53" t="inlineStr">
        <is>
          <t>Airframe</t>
        </is>
      </c>
      <c r="E2066" s="53" t="inlineStr">
        <is>
          <t>2025-01-27</t>
        </is>
      </c>
      <c r="F2066" s="53">
        <v>12</v>
      </c>
      <c r="G2066" s="53">
        <v>4</v>
      </c>
      <c r="H2066" s="51" t="str">
        <f>TEXT(tblLaborEntries[[#This Row],[Work date serial]]-WEEKDAY(tblLaborEntries[[#This Row],[Work date serial]],3),"yyyy-mm-dd")</f>
        <v>2025-01-27</v>
      </c>
      <c r="I2066" s="64">
        <f>DATEVALUE(tblLaborEntries[[#This Row],[Work date]])</f>
        <v>45684.0</v>
      </c>
    </row>
    <row r="2067" spans="1:9" ht="15" x14ac:dyDescent="0.25">
      <c r="A2067" s="53" t="inlineStr">
        <is>
          <t>LAB-002066</t>
        </is>
      </c>
      <c r="B2067" s="53" t="inlineStr">
        <is>
          <t>WP-00909</t>
        </is>
      </c>
      <c r="C2067" s="53" t="inlineStr">
        <is>
          <t>TECH-072</t>
        </is>
      </c>
      <c r="D2067" s="53" t="inlineStr">
        <is>
          <t>Powerplant</t>
        </is>
      </c>
      <c r="E2067" s="53" t="inlineStr">
        <is>
          <t>2025-08-26</t>
        </is>
      </c>
      <c r="F2067" s="53">
        <v>6.6</v>
      </c>
      <c r="G2067" s="53">
        <v>0</v>
      </c>
      <c r="H2067" s="51" t="str">
        <f>TEXT(tblLaborEntries[[#This Row],[Work date serial]]-WEEKDAY(tblLaborEntries[[#This Row],[Work date serial]],3),"yyyy-mm-dd")</f>
        <v>2025-08-25</v>
      </c>
      <c r="I2067" s="64">
        <f>DATEVALUE(tblLaborEntries[[#This Row],[Work date]])</f>
        <v>45895.0</v>
      </c>
    </row>
    <row r="2068" spans="1:9" ht="15" x14ac:dyDescent="0.25">
      <c r="A2068" s="53" t="inlineStr">
        <is>
          <t>LAB-002067</t>
        </is>
      </c>
      <c r="B2068" s="53" t="inlineStr">
        <is>
          <t>WP-00910</t>
        </is>
      </c>
      <c r="C2068" s="53" t="inlineStr">
        <is>
          <t>TECH-020</t>
        </is>
      </c>
      <c r="D2068" s="53" t="inlineStr">
        <is>
          <t>Avionics</t>
        </is>
      </c>
      <c r="E2068" s="53" t="inlineStr">
        <is>
          <t>2024-03-11</t>
        </is>
      </c>
      <c r="F2068" s="53">
        <v>5.9</v>
      </c>
      <c r="G2068" s="53">
        <v>0</v>
      </c>
      <c r="H2068" s="51" t="str">
        <f>TEXT(tblLaborEntries[[#This Row],[Work date serial]]-WEEKDAY(tblLaborEntries[[#This Row],[Work date serial]],3),"yyyy-mm-dd")</f>
        <v>2024-03-11</v>
      </c>
      <c r="I2068" s="64">
        <f>DATEVALUE(tblLaborEntries[[#This Row],[Work date]])</f>
        <v>45362.0</v>
      </c>
    </row>
    <row r="2069" spans="1:9" ht="15" x14ac:dyDescent="0.25">
      <c r="A2069" s="53" t="inlineStr">
        <is>
          <t>LAB-002068</t>
        </is>
      </c>
      <c r="B2069" s="53" t="inlineStr">
        <is>
          <t>WP-00911</t>
        </is>
      </c>
      <c r="C2069" s="53" t="inlineStr">
        <is>
          <t>TECH-026</t>
        </is>
      </c>
      <c r="D2069" s="53" t="inlineStr">
        <is>
          <t>Avionics</t>
        </is>
      </c>
      <c r="E2069" s="53" t="inlineStr">
        <is>
          <t>2025-05-29</t>
        </is>
      </c>
      <c r="F2069" s="53">
        <v>4.1</v>
      </c>
      <c r="G2069" s="53">
        <v>0</v>
      </c>
      <c r="H2069" s="51" t="str">
        <f>TEXT(tblLaborEntries[[#This Row],[Work date serial]]-WEEKDAY(tblLaborEntries[[#This Row],[Work date serial]],3),"yyyy-mm-dd")</f>
        <v>2025-05-26</v>
      </c>
      <c r="I2069" s="64">
        <f>DATEVALUE(tblLaborEntries[[#This Row],[Work date]])</f>
        <v>45806.0</v>
      </c>
    </row>
    <row r="2070" spans="1:9" ht="15" x14ac:dyDescent="0.25">
      <c r="A2070" s="53" t="inlineStr">
        <is>
          <t>LAB-002069</t>
        </is>
      </c>
      <c r="B2070" s="53" t="inlineStr">
        <is>
          <t>WP-00911</t>
        </is>
      </c>
      <c r="C2070" s="53" t="inlineStr">
        <is>
          <t>TECH-044</t>
        </is>
      </c>
      <c r="D2070" s="53" t="inlineStr">
        <is>
          <t>Avionics</t>
        </is>
      </c>
      <c r="E2070" s="53" t="inlineStr">
        <is>
          <t>2025-05-30</t>
        </is>
      </c>
      <c r="F2070" s="53">
        <v>5.3</v>
      </c>
      <c r="G2070" s="53">
        <v>0</v>
      </c>
      <c r="H2070" s="51" t="str">
        <f>TEXT(tblLaborEntries[[#This Row],[Work date serial]]-WEEKDAY(tblLaborEntries[[#This Row],[Work date serial]],3),"yyyy-mm-dd")</f>
        <v>2025-05-26</v>
      </c>
      <c r="I2070" s="64">
        <f>DATEVALUE(tblLaborEntries[[#This Row],[Work date]])</f>
        <v>45807.0</v>
      </c>
    </row>
    <row r="2071" spans="1:9" ht="15" x14ac:dyDescent="0.25">
      <c r="A2071" s="53" t="inlineStr">
        <is>
          <t>LAB-002070</t>
        </is>
      </c>
      <c r="B2071" s="53" t="inlineStr">
        <is>
          <t>WP-00912</t>
        </is>
      </c>
      <c r="C2071" s="53" t="inlineStr">
        <is>
          <t>TECH-001</t>
        </is>
      </c>
      <c r="D2071" s="53" t="inlineStr">
        <is>
          <t>Airframe</t>
        </is>
      </c>
      <c r="E2071" s="53" t="inlineStr">
        <is>
          <t>2025-07-25</t>
        </is>
      </c>
      <c r="F2071" s="53">
        <v>4</v>
      </c>
      <c r="G2071" s="53">
        <v>0</v>
      </c>
      <c r="H2071" s="51" t="str">
        <f>TEXT(tblLaborEntries[[#This Row],[Work date serial]]-WEEKDAY(tblLaborEntries[[#This Row],[Work date serial]],3),"yyyy-mm-dd")</f>
        <v>2025-07-21</v>
      </c>
      <c r="I2071" s="64">
        <f>DATEVALUE(tblLaborEntries[[#This Row],[Work date]])</f>
        <v>45863.0</v>
      </c>
    </row>
    <row r="2072" spans="1:9" ht="15" x14ac:dyDescent="0.25">
      <c r="A2072" s="53" t="inlineStr">
        <is>
          <t>LAB-002071</t>
        </is>
      </c>
      <c r="B2072" s="53" t="inlineStr">
        <is>
          <t>WP-00912</t>
        </is>
      </c>
      <c r="C2072" s="53" t="inlineStr">
        <is>
          <t>TECH-043</t>
        </is>
      </c>
      <c r="D2072" s="53" t="inlineStr">
        <is>
          <t>Airframe</t>
        </is>
      </c>
      <c r="E2072" s="53" t="inlineStr">
        <is>
          <t>2025-07-26</t>
        </is>
      </c>
      <c r="F2072" s="53">
        <v>3.4</v>
      </c>
      <c r="G2072" s="53">
        <v>0</v>
      </c>
      <c r="H2072" s="51" t="str">
        <f>TEXT(tblLaborEntries[[#This Row],[Work date serial]]-WEEKDAY(tblLaborEntries[[#This Row],[Work date serial]],3),"yyyy-mm-dd")</f>
        <v>2025-07-21</v>
      </c>
      <c r="I2072" s="64">
        <f>DATEVALUE(tblLaborEntries[[#This Row],[Work date]])</f>
        <v>45864.0</v>
      </c>
    </row>
    <row r="2073" spans="1:9" ht="15" x14ac:dyDescent="0.25">
      <c r="A2073" s="53" t="inlineStr">
        <is>
          <t>LAB-002072</t>
        </is>
      </c>
      <c r="B2073" s="53" t="inlineStr">
        <is>
          <t>WP-00912</t>
        </is>
      </c>
      <c r="C2073" s="53" t="inlineStr">
        <is>
          <t>TECH-067</t>
        </is>
      </c>
      <c r="D2073" s="53" t="inlineStr">
        <is>
          <t>Airframe</t>
        </is>
      </c>
      <c r="E2073" s="53" t="inlineStr">
        <is>
          <t>2025-07-27</t>
        </is>
      </c>
      <c r="F2073" s="53">
        <v>3.9</v>
      </c>
      <c r="G2073" s="53">
        <v>0</v>
      </c>
      <c r="H2073" s="51" t="str">
        <f>TEXT(tblLaborEntries[[#This Row],[Work date serial]]-WEEKDAY(tblLaborEntries[[#This Row],[Work date serial]],3),"yyyy-mm-dd")</f>
        <v>2025-07-21</v>
      </c>
      <c r="I2073" s="64">
        <f>DATEVALUE(tblLaborEntries[[#This Row],[Work date]])</f>
        <v>45865.0</v>
      </c>
    </row>
    <row r="2074" spans="1:9" ht="15" x14ac:dyDescent="0.25">
      <c r="A2074" s="53" t="inlineStr">
        <is>
          <t>LAB-002073</t>
        </is>
      </c>
      <c r="B2074" s="53" t="inlineStr">
        <is>
          <t>WP-00913</t>
        </is>
      </c>
      <c r="C2074" s="53" t="inlineStr">
        <is>
          <t>TECH-055</t>
        </is>
      </c>
      <c r="D2074" s="53" t="inlineStr">
        <is>
          <t>Airframe</t>
        </is>
      </c>
      <c r="E2074" s="53" t="inlineStr">
        <is>
          <t>2025-09-19</t>
        </is>
      </c>
      <c r="F2074" s="53">
        <v>1.5</v>
      </c>
      <c r="G2074" s="53">
        <v>0</v>
      </c>
      <c r="H2074" s="51" t="str">
        <f>TEXT(tblLaborEntries[[#This Row],[Work date serial]]-WEEKDAY(tblLaborEntries[[#This Row],[Work date serial]],3),"yyyy-mm-dd")</f>
        <v>2025-09-15</v>
      </c>
      <c r="I2074" s="64">
        <f>DATEVALUE(tblLaborEntries[[#This Row],[Work date]])</f>
        <v>45919.0</v>
      </c>
    </row>
    <row r="2075" spans="1:9" ht="15" x14ac:dyDescent="0.25">
      <c r="A2075" s="53" t="inlineStr">
        <is>
          <t>LAB-002074</t>
        </is>
      </c>
      <c r="B2075" s="53" t="inlineStr">
        <is>
          <t>WP-00913</t>
        </is>
      </c>
      <c r="C2075" s="53" t="inlineStr">
        <is>
          <t>TECH-013</t>
        </is>
      </c>
      <c r="D2075" s="53" t="inlineStr">
        <is>
          <t>Airframe</t>
        </is>
      </c>
      <c r="E2075" s="53" t="inlineStr">
        <is>
          <t>2025-09-20</t>
        </is>
      </c>
      <c r="F2075" s="53">
        <v>1.4</v>
      </c>
      <c r="G2075" s="53">
        <v>0</v>
      </c>
      <c r="H2075" s="51" t="str">
        <f>TEXT(tblLaborEntries[[#This Row],[Work date serial]]-WEEKDAY(tblLaborEntries[[#This Row],[Work date serial]],3),"yyyy-mm-dd")</f>
        <v>2025-09-15</v>
      </c>
      <c r="I2075" s="64">
        <f>DATEVALUE(tblLaborEntries[[#This Row],[Work date]])</f>
        <v>45920.0</v>
      </c>
    </row>
    <row r="2076" spans="1:9" ht="15" x14ac:dyDescent="0.25">
      <c r="A2076" s="53" t="inlineStr">
        <is>
          <t>LAB-002075</t>
        </is>
      </c>
      <c r="B2076" s="53" t="inlineStr">
        <is>
          <t>WP-00913</t>
        </is>
      </c>
      <c r="C2076" s="53" t="inlineStr">
        <is>
          <t>TECH-001</t>
        </is>
      </c>
      <c r="D2076" s="53" t="inlineStr">
        <is>
          <t>Airframe</t>
        </is>
      </c>
      <c r="E2076" s="53" t="inlineStr">
        <is>
          <t>2025-09-21</t>
        </is>
      </c>
      <c r="F2076" s="53">
        <v>1.1</v>
      </c>
      <c r="G2076" s="53">
        <v>0</v>
      </c>
      <c r="H2076" s="51" t="str">
        <f>TEXT(tblLaborEntries[[#This Row],[Work date serial]]-WEEKDAY(tblLaborEntries[[#This Row],[Work date serial]],3),"yyyy-mm-dd")</f>
        <v>2025-09-15</v>
      </c>
      <c r="I2076" s="64">
        <f>DATEVALUE(tblLaborEntries[[#This Row],[Work date]])</f>
        <v>45921.0</v>
      </c>
    </row>
    <row r="2077" spans="1:9" ht="15" x14ac:dyDescent="0.25">
      <c r="A2077" s="53" t="inlineStr">
        <is>
          <t>LAB-002076</t>
        </is>
      </c>
      <c r="B2077" s="53" t="inlineStr">
        <is>
          <t>WP-00914</t>
        </is>
      </c>
      <c r="C2077" s="53" t="inlineStr">
        <is>
          <t>TECH-062</t>
        </is>
      </c>
      <c r="D2077" s="53" t="inlineStr">
        <is>
          <t>Avionics</t>
        </is>
      </c>
      <c r="E2077" s="53" t="inlineStr">
        <is>
          <t>2025-10-17</t>
        </is>
      </c>
      <c r="F2077" s="53">
        <v>3.1</v>
      </c>
      <c r="G2077" s="53">
        <v>0</v>
      </c>
      <c r="H2077" s="51" t="str">
        <f>TEXT(tblLaborEntries[[#This Row],[Work date serial]]-WEEKDAY(tblLaborEntries[[#This Row],[Work date serial]],3),"yyyy-mm-dd")</f>
        <v>2025-10-13</v>
      </c>
      <c r="I2077" s="64">
        <f>DATEVALUE(tblLaborEntries[[#This Row],[Work date]])</f>
        <v>45947.0</v>
      </c>
    </row>
    <row r="2078" spans="1:9" ht="15" x14ac:dyDescent="0.25">
      <c r="A2078" s="53" t="inlineStr">
        <is>
          <t>LAB-002077</t>
        </is>
      </c>
      <c r="B2078" s="53" t="inlineStr">
        <is>
          <t>WP-00914</t>
        </is>
      </c>
      <c r="C2078" s="53" t="inlineStr">
        <is>
          <t>TECH-026</t>
        </is>
      </c>
      <c r="D2078" s="53" t="inlineStr">
        <is>
          <t>Avionics</t>
        </is>
      </c>
      <c r="E2078" s="53" t="inlineStr">
        <is>
          <t>2025-10-18</t>
        </is>
      </c>
      <c r="F2078" s="53">
        <v>2.4</v>
      </c>
      <c r="G2078" s="53">
        <v>0</v>
      </c>
      <c r="H2078" s="51" t="str">
        <f>TEXT(tblLaborEntries[[#This Row],[Work date serial]]-WEEKDAY(tblLaborEntries[[#This Row],[Work date serial]],3),"yyyy-mm-dd")</f>
        <v>2025-10-13</v>
      </c>
      <c r="I2078" s="64">
        <f>DATEVALUE(tblLaborEntries[[#This Row],[Work date]])</f>
        <v>45948.0</v>
      </c>
    </row>
    <row r="2079" spans="1:9" ht="15" x14ac:dyDescent="0.25">
      <c r="A2079" s="53" t="inlineStr">
        <is>
          <t>LAB-002078</t>
        </is>
      </c>
      <c r="B2079" s="53" t="inlineStr">
        <is>
          <t>WP-00914</t>
        </is>
      </c>
      <c r="C2079" s="53" t="inlineStr">
        <is>
          <t>TECH-008</t>
        </is>
      </c>
      <c r="D2079" s="53" t="inlineStr">
        <is>
          <t>Avionics</t>
        </is>
      </c>
      <c r="E2079" s="53" t="inlineStr">
        <is>
          <t>2025-10-19</t>
        </is>
      </c>
      <c r="F2079" s="53">
        <v>2.6</v>
      </c>
      <c r="G2079" s="53">
        <v>0</v>
      </c>
      <c r="H2079" s="51" t="str">
        <f>TEXT(tblLaborEntries[[#This Row],[Work date serial]]-WEEKDAY(tblLaborEntries[[#This Row],[Work date serial]],3),"yyyy-mm-dd")</f>
        <v>2025-10-13</v>
      </c>
      <c r="I2079" s="64">
        <f>DATEVALUE(tblLaborEntries[[#This Row],[Work date]])</f>
        <v>45949.0</v>
      </c>
    </row>
    <row r="2080" spans="1:9" ht="15" x14ac:dyDescent="0.25">
      <c r="A2080" s="53" t="inlineStr">
        <is>
          <t>LAB-002079</t>
        </is>
      </c>
      <c r="B2080" s="53" t="inlineStr">
        <is>
          <t>WP-00915</t>
        </is>
      </c>
      <c r="C2080" s="53" t="inlineStr">
        <is>
          <t>TECH-009</t>
        </is>
      </c>
      <c r="D2080" s="53" t="inlineStr">
        <is>
          <t>Hydraulics</t>
        </is>
      </c>
      <c r="E2080" s="53" t="inlineStr">
        <is>
          <t>2024-12-16</t>
        </is>
      </c>
      <c r="F2080" s="53">
        <v>4.1</v>
      </c>
      <c r="G2080" s="53">
        <v>0</v>
      </c>
      <c r="H2080" s="51" t="str">
        <f>TEXT(tblLaborEntries[[#This Row],[Work date serial]]-WEEKDAY(tblLaborEntries[[#This Row],[Work date serial]],3),"yyyy-mm-dd")</f>
        <v>2024-12-16</v>
      </c>
      <c r="I2080" s="64">
        <f>DATEVALUE(tblLaborEntries[[#This Row],[Work date]])</f>
        <v>45642.0</v>
      </c>
    </row>
    <row r="2081" spans="1:9" ht="15" x14ac:dyDescent="0.25">
      <c r="A2081" s="53" t="inlineStr">
        <is>
          <t>LAB-002080</t>
        </is>
      </c>
      <c r="B2081" s="53" t="inlineStr">
        <is>
          <t>WP-00915</t>
        </is>
      </c>
      <c r="C2081" s="53" t="inlineStr">
        <is>
          <t>TECH-033</t>
        </is>
      </c>
      <c r="D2081" s="53" t="inlineStr">
        <is>
          <t>Hydraulics</t>
        </is>
      </c>
      <c r="E2081" s="53" t="inlineStr">
        <is>
          <t>2024-12-17</t>
        </is>
      </c>
      <c r="F2081" s="53">
        <v>5.2</v>
      </c>
      <c r="G2081" s="53">
        <v>0</v>
      </c>
      <c r="H2081" s="51" t="str">
        <f>TEXT(tblLaborEntries[[#This Row],[Work date serial]]-WEEKDAY(tblLaborEntries[[#This Row],[Work date serial]],3),"yyyy-mm-dd")</f>
        <v>2024-12-16</v>
      </c>
      <c r="I2081" s="64">
        <f>DATEVALUE(tblLaborEntries[[#This Row],[Work date]])</f>
        <v>45643.0</v>
      </c>
    </row>
    <row r="2082" spans="1:9" ht="15" x14ac:dyDescent="0.25">
      <c r="A2082" s="53" t="inlineStr">
        <is>
          <t>LAB-002081</t>
        </is>
      </c>
      <c r="B2082" s="53" t="inlineStr">
        <is>
          <t>WP-00915</t>
        </is>
      </c>
      <c r="C2082" s="53" t="inlineStr">
        <is>
          <t>TECH-003</t>
        </is>
      </c>
      <c r="D2082" s="53" t="inlineStr">
        <is>
          <t>Hydraulics</t>
        </is>
      </c>
      <c r="E2082" s="53" t="inlineStr">
        <is>
          <t>2024-12-18</t>
        </is>
      </c>
      <c r="F2082" s="53">
        <v>4.7</v>
      </c>
      <c r="G2082" s="53">
        <v>0</v>
      </c>
      <c r="H2082" s="51" t="str">
        <f>TEXT(tblLaborEntries[[#This Row],[Work date serial]]-WEEKDAY(tblLaborEntries[[#This Row],[Work date serial]],3),"yyyy-mm-dd")</f>
        <v>2024-12-16</v>
      </c>
      <c r="I2082" s="64">
        <f>DATEVALUE(tblLaborEntries[[#This Row],[Work date]])</f>
        <v>45644.0</v>
      </c>
    </row>
    <row r="2083" spans="1:9" ht="15" x14ac:dyDescent="0.25">
      <c r="A2083" s="53" t="inlineStr">
        <is>
          <t>LAB-002082</t>
        </is>
      </c>
      <c r="B2083" s="53" t="inlineStr">
        <is>
          <t>WP-00916</t>
        </is>
      </c>
      <c r="C2083" s="53" t="inlineStr">
        <is>
          <t>TECH-006</t>
        </is>
      </c>
      <c r="D2083" s="53" t="inlineStr">
        <is>
          <t>Powerplant</t>
        </is>
      </c>
      <c r="E2083" s="53" t="inlineStr">
        <is>
          <t>2025-03-20</t>
        </is>
      </c>
      <c r="F2083" s="53">
        <v>3.6</v>
      </c>
      <c r="G2083" s="53">
        <v>0</v>
      </c>
      <c r="H2083" s="51" t="str">
        <f>TEXT(tblLaborEntries[[#This Row],[Work date serial]]-WEEKDAY(tblLaborEntries[[#This Row],[Work date serial]],3),"yyyy-mm-dd")</f>
        <v>2025-03-17</v>
      </c>
      <c r="I2083" s="64">
        <f>DATEVALUE(tblLaborEntries[[#This Row],[Work date]])</f>
        <v>45736.0</v>
      </c>
    </row>
    <row r="2084" spans="1:9" ht="15" x14ac:dyDescent="0.25">
      <c r="A2084" s="53" t="inlineStr">
        <is>
          <t>LAB-002083</t>
        </is>
      </c>
      <c r="B2084" s="53" t="inlineStr">
        <is>
          <t>WP-00916</t>
        </is>
      </c>
      <c r="C2084" s="53" t="inlineStr">
        <is>
          <t>TECH-066</t>
        </is>
      </c>
      <c r="D2084" s="53" t="inlineStr">
        <is>
          <t>Powerplant</t>
        </is>
      </c>
      <c r="E2084" s="53" t="inlineStr">
        <is>
          <t>2025-03-21</t>
        </is>
      </c>
      <c r="F2084" s="53">
        <v>3.4</v>
      </c>
      <c r="G2084" s="53">
        <v>0</v>
      </c>
      <c r="H2084" s="51" t="str">
        <f>TEXT(tblLaborEntries[[#This Row],[Work date serial]]-WEEKDAY(tblLaborEntries[[#This Row],[Work date serial]],3),"yyyy-mm-dd")</f>
        <v>2025-03-17</v>
      </c>
      <c r="I2084" s="64">
        <f>DATEVALUE(tblLaborEntries[[#This Row],[Work date]])</f>
        <v>45737.0</v>
      </c>
    </row>
    <row r="2085" spans="1:9" ht="15" x14ac:dyDescent="0.25">
      <c r="A2085" s="53" t="inlineStr">
        <is>
          <t>LAB-002084</t>
        </is>
      </c>
      <c r="B2085" s="53" t="inlineStr">
        <is>
          <t>WP-00916</t>
        </is>
      </c>
      <c r="C2085" s="53" t="inlineStr">
        <is>
          <t>TECH-048</t>
        </is>
      </c>
      <c r="D2085" s="53" t="inlineStr">
        <is>
          <t>Powerplant</t>
        </is>
      </c>
      <c r="E2085" s="53" t="inlineStr">
        <is>
          <t>2025-03-22</t>
        </is>
      </c>
      <c r="F2085" s="53">
        <v>4.5</v>
      </c>
      <c r="G2085" s="53">
        <v>0</v>
      </c>
      <c r="H2085" s="51" t="str">
        <f>TEXT(tblLaborEntries[[#This Row],[Work date serial]]-WEEKDAY(tblLaborEntries[[#This Row],[Work date serial]],3),"yyyy-mm-dd")</f>
        <v>2025-03-17</v>
      </c>
      <c r="I2085" s="64">
        <f>DATEVALUE(tblLaborEntries[[#This Row],[Work date]])</f>
        <v>45738.0</v>
      </c>
    </row>
    <row r="2086" spans="1:9" ht="15" x14ac:dyDescent="0.25">
      <c r="A2086" s="53" t="inlineStr">
        <is>
          <t>LAB-002085</t>
        </is>
      </c>
      <c r="B2086" s="53" t="inlineStr">
        <is>
          <t>WP-00917</t>
        </is>
      </c>
      <c r="C2086" s="53" t="inlineStr">
        <is>
          <t>TECH-031</t>
        </is>
      </c>
      <c r="D2086" s="53" t="inlineStr">
        <is>
          <t>Airframe</t>
        </is>
      </c>
      <c r="E2086" s="53" t="inlineStr">
        <is>
          <t>2024-08-18</t>
        </is>
      </c>
      <c r="F2086" s="53">
        <v>4.9</v>
      </c>
      <c r="G2086" s="53">
        <v>0</v>
      </c>
      <c r="H2086" s="51" t="str">
        <f>TEXT(tblLaborEntries[[#This Row],[Work date serial]]-WEEKDAY(tblLaborEntries[[#This Row],[Work date serial]],3),"yyyy-mm-dd")</f>
        <v>2024-08-12</v>
      </c>
      <c r="I2086" s="64">
        <f>DATEVALUE(tblLaborEntries[[#This Row],[Work date]])</f>
        <v>45522.0</v>
      </c>
    </row>
    <row r="2087" spans="1:9" ht="15" x14ac:dyDescent="0.25">
      <c r="A2087" s="53" t="inlineStr">
        <is>
          <t>LAB-002086</t>
        </is>
      </c>
      <c r="B2087" s="53" t="inlineStr">
        <is>
          <t>WP-00918</t>
        </is>
      </c>
      <c r="C2087" s="53" t="inlineStr">
        <is>
          <t>TECH-019</t>
        </is>
      </c>
      <c r="D2087" s="53" t="inlineStr">
        <is>
          <t>Airframe</t>
        </is>
      </c>
      <c r="E2087" s="53" t="inlineStr">
        <is>
          <t>2025-09-25</t>
        </is>
      </c>
      <c r="F2087" s="53">
        <v>2.4</v>
      </c>
      <c r="G2087" s="53">
        <v>0</v>
      </c>
      <c r="H2087" s="51" t="str">
        <f>TEXT(tblLaborEntries[[#This Row],[Work date serial]]-WEEKDAY(tblLaborEntries[[#This Row],[Work date serial]],3),"yyyy-mm-dd")</f>
        <v>2025-09-22</v>
      </c>
      <c r="I2087" s="64">
        <f>DATEVALUE(tblLaborEntries[[#This Row],[Work date]])</f>
        <v>45925.0</v>
      </c>
    </row>
    <row r="2088" spans="1:9" ht="15" x14ac:dyDescent="0.25">
      <c r="A2088" s="53" t="inlineStr">
        <is>
          <t>LAB-002087</t>
        </is>
      </c>
      <c r="B2088" s="53" t="inlineStr">
        <is>
          <t>WP-00919</t>
        </is>
      </c>
      <c r="C2088" s="53" t="inlineStr">
        <is>
          <t>TECH-002</t>
        </is>
      </c>
      <c r="D2088" s="53" t="inlineStr">
        <is>
          <t>Avionics</t>
        </is>
      </c>
      <c r="E2088" s="53" t="inlineStr">
        <is>
          <t>2024-07-31</t>
        </is>
      </c>
      <c r="F2088" s="53">
        <v>10.6</v>
      </c>
      <c r="G2088" s="53">
        <v>2.6</v>
      </c>
      <c r="H2088" s="51" t="str">
        <f>TEXT(tblLaborEntries[[#This Row],[Work date serial]]-WEEKDAY(tblLaborEntries[[#This Row],[Work date serial]],3),"yyyy-mm-dd")</f>
        <v>2024-07-29</v>
      </c>
      <c r="I2088" s="64">
        <f>DATEVALUE(tblLaborEntries[[#This Row],[Work date]])</f>
        <v>45504.0</v>
      </c>
    </row>
    <row r="2089" spans="1:9" ht="15" x14ac:dyDescent="0.25">
      <c r="A2089" s="53" t="inlineStr">
        <is>
          <t>LAB-002088</t>
        </is>
      </c>
      <c r="B2089" s="53" t="inlineStr">
        <is>
          <t>WP-00919</t>
        </is>
      </c>
      <c r="C2089" s="53" t="inlineStr">
        <is>
          <t>TECH-068</t>
        </is>
      </c>
      <c r="D2089" s="53" t="inlineStr">
        <is>
          <t>Avionics</t>
        </is>
      </c>
      <c r="E2089" s="53" t="inlineStr">
        <is>
          <t>2024-07-31</t>
        </is>
      </c>
      <c r="F2089" s="53">
        <v>6.5</v>
      </c>
      <c r="G2089" s="53">
        <v>4</v>
      </c>
      <c r="H2089" s="51" t="str">
        <f>TEXT(tblLaborEntries[[#This Row],[Work date serial]]-WEEKDAY(tblLaborEntries[[#This Row],[Work date serial]],3),"yyyy-mm-dd")</f>
        <v>2024-07-29</v>
      </c>
      <c r="I2089" s="64">
        <f>DATEVALUE(tblLaborEntries[[#This Row],[Work date]])</f>
        <v>45504.0</v>
      </c>
    </row>
    <row r="2090" spans="1:9" ht="15" x14ac:dyDescent="0.25">
      <c r="A2090" s="53" t="inlineStr">
        <is>
          <t>LAB-002089</t>
        </is>
      </c>
      <c r="B2090" s="53" t="inlineStr">
        <is>
          <t>WP-00920</t>
        </is>
      </c>
      <c r="C2090" s="53" t="inlineStr">
        <is>
          <t>TECH-028</t>
        </is>
      </c>
      <c r="D2090" s="53" t="inlineStr">
        <is>
          <t>Electrical</t>
        </is>
      </c>
      <c r="E2090" s="53" t="inlineStr">
        <is>
          <t>2025-08-23</t>
        </is>
      </c>
      <c r="F2090" s="53">
        <v>6.8</v>
      </c>
      <c r="G2090" s="53">
        <v>0</v>
      </c>
      <c r="H2090" s="51" t="str">
        <f>TEXT(tblLaborEntries[[#This Row],[Work date serial]]-WEEKDAY(tblLaborEntries[[#This Row],[Work date serial]],3),"yyyy-mm-dd")</f>
        <v>2025-08-18</v>
      </c>
      <c r="I2090" s="64">
        <f>DATEVALUE(tblLaborEntries[[#This Row],[Work date]])</f>
        <v>45892.0</v>
      </c>
    </row>
    <row r="2091" spans="1:9" ht="15" x14ac:dyDescent="0.25">
      <c r="A2091" s="53" t="inlineStr">
        <is>
          <t>LAB-002090</t>
        </is>
      </c>
      <c r="B2091" s="53" t="inlineStr">
        <is>
          <t>WP-00921</t>
        </is>
      </c>
      <c r="C2091" s="53" t="inlineStr">
        <is>
          <t>TECH-023</t>
        </is>
      </c>
      <c r="D2091" s="53" t="inlineStr">
        <is>
          <t>Structures</t>
        </is>
      </c>
      <c r="E2091" s="53" t="inlineStr">
        <is>
          <t>2024-02-18</t>
        </is>
      </c>
      <c r="F2091" s="53">
        <v>11.1</v>
      </c>
      <c r="G2091" s="53">
        <v>3.1</v>
      </c>
      <c r="H2091" s="51" t="str">
        <f>TEXT(tblLaborEntries[[#This Row],[Work date serial]]-WEEKDAY(tblLaborEntries[[#This Row],[Work date serial]],3),"yyyy-mm-dd")</f>
        <v>2024-02-12</v>
      </c>
      <c r="I2091" s="64">
        <f>DATEVALUE(tblLaborEntries[[#This Row],[Work date]])</f>
        <v>45340.0</v>
      </c>
    </row>
    <row r="2092" spans="1:9" ht="15" x14ac:dyDescent="0.25">
      <c r="A2092" s="53" t="inlineStr">
        <is>
          <t>LAB-002091</t>
        </is>
      </c>
      <c r="B2092" s="53" t="inlineStr">
        <is>
          <t>WP-00921</t>
        </is>
      </c>
      <c r="C2092" s="53" t="inlineStr">
        <is>
          <t>TECH-047</t>
        </is>
      </c>
      <c r="D2092" s="53" t="inlineStr">
        <is>
          <t>Structures</t>
        </is>
      </c>
      <c r="E2092" s="53" t="inlineStr">
        <is>
          <t>2024-02-19</t>
        </is>
      </c>
      <c r="F2092" s="53">
        <v>10.8</v>
      </c>
      <c r="G2092" s="53">
        <v>2.8</v>
      </c>
      <c r="H2092" s="51" t="str">
        <f>TEXT(tblLaborEntries[[#This Row],[Work date serial]]-WEEKDAY(tblLaborEntries[[#This Row],[Work date serial]],3),"yyyy-mm-dd")</f>
        <v>2024-02-19</v>
      </c>
      <c r="I2092" s="64">
        <f>DATEVALUE(tblLaborEntries[[#This Row],[Work date]])</f>
        <v>45341.0</v>
      </c>
    </row>
    <row r="2093" spans="1:9" ht="15" x14ac:dyDescent="0.25">
      <c r="A2093" s="53" t="inlineStr">
        <is>
          <t>LAB-002092</t>
        </is>
      </c>
      <c r="B2093" s="53" t="inlineStr">
        <is>
          <t>WP-00921</t>
        </is>
      </c>
      <c r="C2093" s="53" t="inlineStr">
        <is>
          <t>TECH-035</t>
        </is>
      </c>
      <c r="D2093" s="53" t="inlineStr">
        <is>
          <t>Structures</t>
        </is>
      </c>
      <c r="E2093" s="53" t="inlineStr">
        <is>
          <t>2024-02-20</t>
        </is>
      </c>
      <c r="F2093" s="53">
        <v>10.2</v>
      </c>
      <c r="G2093" s="53">
        <v>2.2</v>
      </c>
      <c r="H2093" s="51" t="str">
        <f>TEXT(tblLaborEntries[[#This Row],[Work date serial]]-WEEKDAY(tblLaborEntries[[#This Row],[Work date serial]],3),"yyyy-mm-dd")</f>
        <v>2024-02-19</v>
      </c>
      <c r="I2093" s="64">
        <f>DATEVALUE(tblLaborEntries[[#This Row],[Work date]])</f>
        <v>45342.0</v>
      </c>
    </row>
    <row r="2094" spans="1:9" ht="15" x14ac:dyDescent="0.25">
      <c r="A2094" s="53" t="inlineStr">
        <is>
          <t>LAB-002093</t>
        </is>
      </c>
      <c r="B2094" s="53" t="inlineStr">
        <is>
          <t>WP-00922</t>
        </is>
      </c>
      <c r="C2094" s="53" t="inlineStr">
        <is>
          <t>TECH-040</t>
        </is>
      </c>
      <c r="D2094" s="53" t="inlineStr">
        <is>
          <t>Electrical</t>
        </is>
      </c>
      <c r="E2094" s="53" t="inlineStr">
        <is>
          <t>2024-10-30</t>
        </is>
      </c>
      <c r="F2094" s="53">
        <v>5</v>
      </c>
      <c r="G2094" s="53">
        <v>0</v>
      </c>
      <c r="H2094" s="51" t="str">
        <f>TEXT(tblLaborEntries[[#This Row],[Work date serial]]-WEEKDAY(tblLaborEntries[[#This Row],[Work date serial]],3),"yyyy-mm-dd")</f>
        <v>2024-10-28</v>
      </c>
      <c r="I2094" s="64">
        <f>DATEVALUE(tblLaborEntries[[#This Row],[Work date]])</f>
        <v>45595.0</v>
      </c>
    </row>
    <row r="2095" spans="1:9" ht="15" x14ac:dyDescent="0.25">
      <c r="A2095" s="53" t="inlineStr">
        <is>
          <t>LAB-002094</t>
        </is>
      </c>
      <c r="B2095" s="53" t="inlineStr">
        <is>
          <t>WP-00922</t>
        </is>
      </c>
      <c r="C2095" s="53" t="inlineStr">
        <is>
          <t>TECH-010</t>
        </is>
      </c>
      <c r="D2095" s="53" t="inlineStr">
        <is>
          <t>Electrical</t>
        </is>
      </c>
      <c r="E2095" s="53" t="inlineStr">
        <is>
          <t>2024-10-31</t>
        </is>
      </c>
      <c r="F2095" s="53">
        <v>5.6</v>
      </c>
      <c r="G2095" s="53">
        <v>0</v>
      </c>
      <c r="H2095" s="51" t="str">
        <f>TEXT(tblLaborEntries[[#This Row],[Work date serial]]-WEEKDAY(tblLaborEntries[[#This Row],[Work date serial]],3),"yyyy-mm-dd")</f>
        <v>2024-10-28</v>
      </c>
      <c r="I2095" s="64">
        <f>DATEVALUE(tblLaborEntries[[#This Row],[Work date]])</f>
        <v>45596.0</v>
      </c>
    </row>
    <row r="2096" spans="1:9" ht="15" x14ac:dyDescent="0.25">
      <c r="A2096" s="53" t="inlineStr">
        <is>
          <t>LAB-002095</t>
        </is>
      </c>
      <c r="B2096" s="53" t="inlineStr">
        <is>
          <t>WP-00923</t>
        </is>
      </c>
      <c r="C2096" s="53" t="inlineStr">
        <is>
          <t>TECH-018</t>
        </is>
      </c>
      <c r="D2096" s="53" t="inlineStr">
        <is>
          <t>Powerplant</t>
        </is>
      </c>
      <c r="E2096" s="53" t="inlineStr">
        <is>
          <t>2025-11-05</t>
        </is>
      </c>
      <c r="F2096" s="53">
        <v>7.6</v>
      </c>
      <c r="G2096" s="53">
        <v>0</v>
      </c>
      <c r="H2096" s="51" t="str">
        <f>TEXT(tblLaborEntries[[#This Row],[Work date serial]]-WEEKDAY(tblLaborEntries[[#This Row],[Work date serial]],3),"yyyy-mm-dd")</f>
        <v>2025-11-03</v>
      </c>
      <c r="I2096" s="64">
        <f>DATEVALUE(tblLaborEntries[[#This Row],[Work date]])</f>
        <v>45966.0</v>
      </c>
    </row>
    <row r="2097" spans="1:9" ht="15" x14ac:dyDescent="0.25">
      <c r="A2097" s="53" t="inlineStr">
        <is>
          <t>LAB-002096</t>
        </is>
      </c>
      <c r="B2097" s="53" t="inlineStr">
        <is>
          <t>WP-00924</t>
        </is>
      </c>
      <c r="C2097" s="53" t="inlineStr">
        <is>
          <t>TECH-054</t>
        </is>
      </c>
      <c r="D2097" s="53" t="inlineStr">
        <is>
          <t>Powerplant</t>
        </is>
      </c>
      <c r="E2097" s="53" t="inlineStr">
        <is>
          <t>2025-10-12</t>
        </is>
      </c>
      <c r="F2097" s="53">
        <v>5.4</v>
      </c>
      <c r="G2097" s="53">
        <v>0</v>
      </c>
      <c r="H2097" s="51" t="str">
        <f>TEXT(tblLaborEntries[[#This Row],[Work date serial]]-WEEKDAY(tblLaborEntries[[#This Row],[Work date serial]],3),"yyyy-mm-dd")</f>
        <v>2025-10-06</v>
      </c>
      <c r="I2097" s="64">
        <f>DATEVALUE(tblLaborEntries[[#This Row],[Work date]])</f>
        <v>45942.0</v>
      </c>
    </row>
    <row r="2098" spans="1:9" ht="15" x14ac:dyDescent="0.25">
      <c r="A2098" s="53" t="inlineStr">
        <is>
          <t>LAB-002097</t>
        </is>
      </c>
      <c r="B2098" s="53" t="inlineStr">
        <is>
          <t>WP-00924</t>
        </is>
      </c>
      <c r="C2098" s="53" t="inlineStr">
        <is>
          <t>TECH-066</t>
        </is>
      </c>
      <c r="D2098" s="53" t="inlineStr">
        <is>
          <t>Powerplant</t>
        </is>
      </c>
      <c r="E2098" s="53" t="inlineStr">
        <is>
          <t>2025-10-13</t>
        </is>
      </c>
      <c r="F2098" s="53">
        <v>6</v>
      </c>
      <c r="G2098" s="53">
        <v>0</v>
      </c>
      <c r="H2098" s="51" t="str">
        <f>TEXT(tblLaborEntries[[#This Row],[Work date serial]]-WEEKDAY(tblLaborEntries[[#This Row],[Work date serial]],3),"yyyy-mm-dd")</f>
        <v>2025-10-13</v>
      </c>
      <c r="I2098" s="64">
        <f>DATEVALUE(tblLaborEntries[[#This Row],[Work date]])</f>
        <v>45943.0</v>
      </c>
    </row>
    <row r="2099" spans="1:9" ht="15" x14ac:dyDescent="0.25">
      <c r="A2099" s="53" t="inlineStr">
        <is>
          <t>LAB-002098</t>
        </is>
      </c>
      <c r="B2099" s="53" t="inlineStr">
        <is>
          <t>WP-00925</t>
        </is>
      </c>
      <c r="C2099" s="53" t="inlineStr">
        <is>
          <t>TECH-001</t>
        </is>
      </c>
      <c r="D2099" s="53" t="inlineStr">
        <is>
          <t>Airframe</t>
        </is>
      </c>
      <c r="E2099" s="53" t="inlineStr">
        <is>
          <t>2025-02-15</t>
        </is>
      </c>
      <c r="F2099" s="53">
        <v>0.4</v>
      </c>
      <c r="G2099" s="53">
        <v>0</v>
      </c>
      <c r="H2099" s="51" t="str">
        <f>TEXT(tblLaborEntries[[#This Row],[Work date serial]]-WEEKDAY(tblLaborEntries[[#This Row],[Work date serial]],3),"yyyy-mm-dd")</f>
        <v>2025-02-10</v>
      </c>
      <c r="I2099" s="64">
        <f>DATEVALUE(tblLaborEntries[[#This Row],[Work date]])</f>
        <v>45703.0</v>
      </c>
    </row>
    <row r="2100" spans="1:9" ht="15" x14ac:dyDescent="0.25">
      <c r="A2100" s="53" t="inlineStr">
        <is>
          <t>LAB-002099</t>
        </is>
      </c>
      <c r="B2100" s="53" t="inlineStr">
        <is>
          <t>WP-00925</t>
        </is>
      </c>
      <c r="C2100" s="53" t="inlineStr">
        <is>
          <t>TECH-025</t>
        </is>
      </c>
      <c r="D2100" s="53" t="inlineStr">
        <is>
          <t>Airframe</t>
        </is>
      </c>
      <c r="E2100" s="53" t="inlineStr">
        <is>
          <t>2025-02-15</t>
        </is>
      </c>
      <c r="F2100" s="53">
        <v>12</v>
      </c>
      <c r="G2100" s="53">
        <v>4</v>
      </c>
      <c r="H2100" s="51" t="str">
        <f>TEXT(tblLaborEntries[[#This Row],[Work date serial]]-WEEKDAY(tblLaborEntries[[#This Row],[Work date serial]],3),"yyyy-mm-dd")</f>
        <v>2025-02-10</v>
      </c>
      <c r="I2100" s="64">
        <f>DATEVALUE(tblLaborEntries[[#This Row],[Work date]])</f>
        <v>45703.0</v>
      </c>
    </row>
    <row r="2101" spans="1:9" ht="15" x14ac:dyDescent="0.25">
      <c r="A2101" s="53" t="inlineStr">
        <is>
          <t>LAB-002100</t>
        </is>
      </c>
      <c r="B2101" s="53" t="inlineStr">
        <is>
          <t>WP-00926</t>
        </is>
      </c>
      <c r="C2101" s="53" t="inlineStr">
        <is>
          <t>TECH-002</t>
        </is>
      </c>
      <c r="D2101" s="53" t="inlineStr">
        <is>
          <t>Avionics</t>
        </is>
      </c>
      <c r="E2101" s="53" t="inlineStr">
        <is>
          <t>2024-07-04</t>
        </is>
      </c>
      <c r="F2101" s="53">
        <v>2.2</v>
      </c>
      <c r="G2101" s="53">
        <v>0</v>
      </c>
      <c r="H2101" s="51" t="str">
        <f>TEXT(tblLaborEntries[[#This Row],[Work date serial]]-WEEKDAY(tblLaborEntries[[#This Row],[Work date serial]],3),"yyyy-mm-dd")</f>
        <v>2024-07-01</v>
      </c>
      <c r="I2101" s="64">
        <f>DATEVALUE(tblLaborEntries[[#This Row],[Work date]])</f>
        <v>45477.0</v>
      </c>
    </row>
    <row r="2102" spans="1:9" ht="15" x14ac:dyDescent="0.25">
      <c r="A2102" s="53" t="inlineStr">
        <is>
          <t>LAB-002101</t>
        </is>
      </c>
      <c r="B2102" s="53" t="inlineStr">
        <is>
          <t>WP-00926</t>
        </is>
      </c>
      <c r="C2102" s="53" t="inlineStr">
        <is>
          <t>TECH-014</t>
        </is>
      </c>
      <c r="D2102" s="53" t="inlineStr">
        <is>
          <t>Avionics</t>
        </is>
      </c>
      <c r="E2102" s="53" t="inlineStr">
        <is>
          <t>2024-07-05</t>
        </is>
      </c>
      <c r="F2102" s="53">
        <v>3</v>
      </c>
      <c r="G2102" s="53">
        <v>0</v>
      </c>
      <c r="H2102" s="51" t="str">
        <f>TEXT(tblLaborEntries[[#This Row],[Work date serial]]-WEEKDAY(tblLaborEntries[[#This Row],[Work date serial]],3),"yyyy-mm-dd")</f>
        <v>2024-07-01</v>
      </c>
      <c r="I2102" s="64">
        <f>DATEVALUE(tblLaborEntries[[#This Row],[Work date]])</f>
        <v>45478.0</v>
      </c>
    </row>
    <row r="2103" spans="1:9" ht="15" x14ac:dyDescent="0.25">
      <c r="A2103" s="53" t="inlineStr">
        <is>
          <t>LAB-002102</t>
        </is>
      </c>
      <c r="B2103" s="53" t="inlineStr">
        <is>
          <t>WP-00926</t>
        </is>
      </c>
      <c r="C2103" s="53" t="inlineStr">
        <is>
          <t>TECH-068</t>
        </is>
      </c>
      <c r="D2103" s="53" t="inlineStr">
        <is>
          <t>Avionics</t>
        </is>
      </c>
      <c r="E2103" s="53" t="inlineStr">
        <is>
          <t>2024-07-06</t>
        </is>
      </c>
      <c r="F2103" s="53">
        <v>3.1</v>
      </c>
      <c r="G2103" s="53">
        <v>0</v>
      </c>
      <c r="H2103" s="51" t="str">
        <f>TEXT(tblLaborEntries[[#This Row],[Work date serial]]-WEEKDAY(tblLaborEntries[[#This Row],[Work date serial]],3),"yyyy-mm-dd")</f>
        <v>2024-07-01</v>
      </c>
      <c r="I2103" s="64">
        <f>DATEVALUE(tblLaborEntries[[#This Row],[Work date]])</f>
        <v>45479.0</v>
      </c>
    </row>
    <row r="2104" spans="1:9" ht="15" x14ac:dyDescent="0.25">
      <c r="A2104" s="53" t="inlineStr">
        <is>
          <t>LAB-002103</t>
        </is>
      </c>
      <c r="B2104" s="53" t="inlineStr">
        <is>
          <t>WP-00927</t>
        </is>
      </c>
      <c r="C2104" s="53" t="inlineStr">
        <is>
          <t>TECH-012</t>
        </is>
      </c>
      <c r="D2104" s="53" t="inlineStr">
        <is>
          <t>Powerplant</t>
        </is>
      </c>
      <c r="E2104" s="53" t="inlineStr">
        <is>
          <t>2024-03-15</t>
        </is>
      </c>
      <c r="F2104" s="53">
        <v>4.1</v>
      </c>
      <c r="G2104" s="53">
        <v>0</v>
      </c>
      <c r="H2104" s="51" t="str">
        <f>TEXT(tblLaborEntries[[#This Row],[Work date serial]]-WEEKDAY(tblLaborEntries[[#This Row],[Work date serial]],3),"yyyy-mm-dd")</f>
        <v>2024-03-11</v>
      </c>
      <c r="I2104" s="64">
        <f>DATEVALUE(tblLaborEntries[[#This Row],[Work date]])</f>
        <v>45366.0</v>
      </c>
    </row>
    <row r="2105" spans="1:9" ht="15" x14ac:dyDescent="0.25">
      <c r="A2105" s="53" t="inlineStr">
        <is>
          <t>LAB-002104</t>
        </is>
      </c>
      <c r="B2105" s="53" t="inlineStr">
        <is>
          <t>WP-00927</t>
        </is>
      </c>
      <c r="C2105" s="53" t="inlineStr">
        <is>
          <t>TECH-024</t>
        </is>
      </c>
      <c r="D2105" s="53" t="inlineStr">
        <is>
          <t>Powerplant</t>
        </is>
      </c>
      <c r="E2105" s="53" t="inlineStr">
        <is>
          <t>2024-03-15</t>
        </is>
      </c>
      <c r="F2105" s="53">
        <v>12</v>
      </c>
      <c r="G2105" s="53">
        <v>4</v>
      </c>
      <c r="H2105" s="51" t="str">
        <f>TEXT(tblLaborEntries[[#This Row],[Work date serial]]-WEEKDAY(tblLaborEntries[[#This Row],[Work date serial]],3),"yyyy-mm-dd")</f>
        <v>2024-03-11</v>
      </c>
      <c r="I2105" s="64">
        <f>DATEVALUE(tblLaborEntries[[#This Row],[Work date]])</f>
        <v>45366.0</v>
      </c>
    </row>
    <row r="2106" spans="1:9" ht="15" x14ac:dyDescent="0.25">
      <c r="A2106" s="53" t="inlineStr">
        <is>
          <t>LAB-002105</t>
        </is>
      </c>
      <c r="B2106" s="53" t="inlineStr">
        <is>
          <t>WP-00928</t>
        </is>
      </c>
      <c r="C2106" s="53" t="inlineStr">
        <is>
          <t>TECH-022</t>
        </is>
      </c>
      <c r="D2106" s="53" t="inlineStr">
        <is>
          <t>Electrical</t>
        </is>
      </c>
      <c r="E2106" s="53" t="inlineStr">
        <is>
          <t>2024-04-16</t>
        </is>
      </c>
      <c r="F2106" s="53">
        <v>9.4</v>
      </c>
      <c r="G2106" s="53">
        <v>1.4</v>
      </c>
      <c r="H2106" s="51" t="str">
        <f>TEXT(tblLaborEntries[[#This Row],[Work date serial]]-WEEKDAY(tblLaborEntries[[#This Row],[Work date serial]],3),"yyyy-mm-dd")</f>
        <v>2024-04-15</v>
      </c>
      <c r="I2106" s="64">
        <f>DATEVALUE(tblLaborEntries[[#This Row],[Work date]])</f>
        <v>45398.0</v>
      </c>
    </row>
    <row r="2107" spans="1:9" ht="15" x14ac:dyDescent="0.25">
      <c r="A2107" s="53" t="inlineStr">
        <is>
          <t>LAB-002106</t>
        </is>
      </c>
      <c r="B2107" s="53" t="inlineStr">
        <is>
          <t>WP-00928</t>
        </is>
      </c>
      <c r="C2107" s="53" t="inlineStr">
        <is>
          <t>TECH-070</t>
        </is>
      </c>
      <c r="D2107" s="53" t="inlineStr">
        <is>
          <t>Electrical</t>
        </is>
      </c>
      <c r="E2107" s="53" t="inlineStr">
        <is>
          <t>2024-04-17</t>
        </is>
      </c>
      <c r="F2107" s="53">
        <v>11</v>
      </c>
      <c r="G2107" s="53">
        <v>3</v>
      </c>
      <c r="H2107" s="51" t="str">
        <f>TEXT(tblLaborEntries[[#This Row],[Work date serial]]-WEEKDAY(tblLaborEntries[[#This Row],[Work date serial]],3),"yyyy-mm-dd")</f>
        <v>2024-04-15</v>
      </c>
      <c r="I2107" s="64">
        <f>DATEVALUE(tblLaborEntries[[#This Row],[Work date]])</f>
        <v>45399.0</v>
      </c>
    </row>
    <row r="2108" spans="1:9" ht="15" x14ac:dyDescent="0.25">
      <c r="A2108" s="53" t="inlineStr">
        <is>
          <t>LAB-002107</t>
        </is>
      </c>
      <c r="B2108" s="53" t="inlineStr">
        <is>
          <t>WP-00929</t>
        </is>
      </c>
      <c r="C2108" s="53" t="inlineStr">
        <is>
          <t>TECH-007</t>
        </is>
      </c>
      <c r="D2108" s="53" t="inlineStr">
        <is>
          <t>Airframe</t>
        </is>
      </c>
      <c r="E2108" s="53" t="inlineStr">
        <is>
          <t>2025-02-23</t>
        </is>
      </c>
      <c r="F2108" s="53">
        <v>7.3</v>
      </c>
      <c r="G2108" s="53">
        <v>0</v>
      </c>
      <c r="H2108" s="51" t="str">
        <f>TEXT(tblLaborEntries[[#This Row],[Work date serial]]-WEEKDAY(tblLaborEntries[[#This Row],[Work date serial]],3),"yyyy-mm-dd")</f>
        <v>2025-02-17</v>
      </c>
      <c r="I2108" s="64">
        <f>DATEVALUE(tblLaborEntries[[#This Row],[Work date]])</f>
        <v>45711.0</v>
      </c>
    </row>
    <row r="2109" spans="1:9" ht="15" x14ac:dyDescent="0.25">
      <c r="A2109" s="53" t="inlineStr">
        <is>
          <t>LAB-002108</t>
        </is>
      </c>
      <c r="B2109" s="53" t="inlineStr">
        <is>
          <t>WP-00930</t>
        </is>
      </c>
      <c r="C2109" s="53" t="inlineStr">
        <is>
          <t>TECH-011</t>
        </is>
      </c>
      <c r="D2109" s="53" t="inlineStr">
        <is>
          <t>Structures</t>
        </is>
      </c>
      <c r="E2109" s="53" t="inlineStr">
        <is>
          <t>2025-09-11</t>
        </is>
      </c>
      <c r="F2109" s="53">
        <v>4.9</v>
      </c>
      <c r="G2109" s="53">
        <v>0</v>
      </c>
      <c r="H2109" s="51" t="str">
        <f>TEXT(tblLaborEntries[[#This Row],[Work date serial]]-WEEKDAY(tblLaborEntries[[#This Row],[Work date serial]],3),"yyyy-mm-dd")</f>
        <v>2025-09-08</v>
      </c>
      <c r="I2109" s="64">
        <f>DATEVALUE(tblLaborEntries[[#This Row],[Work date]])</f>
        <v>45911.0</v>
      </c>
    </row>
    <row r="2110" spans="1:9" ht="15" x14ac:dyDescent="0.25">
      <c r="A2110" s="53" t="inlineStr">
        <is>
          <t>LAB-002109</t>
        </is>
      </c>
      <c r="B2110" s="53" t="inlineStr">
        <is>
          <t>WP-00930</t>
        </is>
      </c>
      <c r="C2110" s="53" t="inlineStr">
        <is>
          <t>TECH-047</t>
        </is>
      </c>
      <c r="D2110" s="53" t="inlineStr">
        <is>
          <t>Structures</t>
        </is>
      </c>
      <c r="E2110" s="53" t="inlineStr">
        <is>
          <t>2025-09-11</t>
        </is>
      </c>
      <c r="F2110" s="53">
        <v>12</v>
      </c>
      <c r="G2110" s="53">
        <v>4</v>
      </c>
      <c r="H2110" s="51" t="str">
        <f>TEXT(tblLaborEntries[[#This Row],[Work date serial]]-WEEKDAY(tblLaborEntries[[#This Row],[Work date serial]],3),"yyyy-mm-dd")</f>
        <v>2025-09-08</v>
      </c>
      <c r="I2110" s="64">
        <f>DATEVALUE(tblLaborEntries[[#This Row],[Work date]])</f>
        <v>45911.0</v>
      </c>
    </row>
    <row r="2111" spans="1:9" ht="15" x14ac:dyDescent="0.25">
      <c r="A2111" s="53" t="inlineStr">
        <is>
          <t>LAB-002110</t>
        </is>
      </c>
      <c r="B2111" s="53" t="inlineStr">
        <is>
          <t>WP-00931</t>
        </is>
      </c>
      <c r="C2111" s="53" t="inlineStr">
        <is>
          <t>TECH-020</t>
        </is>
      </c>
      <c r="D2111" s="53" t="inlineStr">
        <is>
          <t>Avionics</t>
        </is>
      </c>
      <c r="E2111" s="53" t="inlineStr">
        <is>
          <t>2024-04-04</t>
        </is>
      </c>
      <c r="F2111" s="53">
        <v>3.7</v>
      </c>
      <c r="G2111" s="53">
        <v>0</v>
      </c>
      <c r="H2111" s="51" t="str">
        <f>TEXT(tblLaborEntries[[#This Row],[Work date serial]]-WEEKDAY(tblLaborEntries[[#This Row],[Work date serial]],3),"yyyy-mm-dd")</f>
        <v>2024-04-01</v>
      </c>
      <c r="I2111" s="64">
        <f>DATEVALUE(tblLaborEntries[[#This Row],[Work date]])</f>
        <v>45386.0</v>
      </c>
    </row>
    <row r="2112" spans="1:9" ht="15" x14ac:dyDescent="0.25">
      <c r="A2112" s="53" t="inlineStr">
        <is>
          <t>LAB-002111</t>
        </is>
      </c>
      <c r="B2112" s="53" t="inlineStr">
        <is>
          <t>WP-00931</t>
        </is>
      </c>
      <c r="C2112" s="53" t="inlineStr">
        <is>
          <t>TECH-038</t>
        </is>
      </c>
      <c r="D2112" s="53" t="inlineStr">
        <is>
          <t>Avionics</t>
        </is>
      </c>
      <c r="E2112" s="53" t="inlineStr">
        <is>
          <t>2024-04-05</t>
        </is>
      </c>
      <c r="F2112" s="53">
        <v>4.8</v>
      </c>
      <c r="G2112" s="53">
        <v>0</v>
      </c>
      <c r="H2112" s="51" t="str">
        <f>TEXT(tblLaborEntries[[#This Row],[Work date serial]]-WEEKDAY(tblLaborEntries[[#This Row],[Work date serial]],3),"yyyy-mm-dd")</f>
        <v>2024-04-01</v>
      </c>
      <c r="I2112" s="64">
        <f>DATEVALUE(tblLaborEntries[[#This Row],[Work date]])</f>
        <v>45387.0</v>
      </c>
    </row>
    <row r="2113" spans="1:9" ht="15" x14ac:dyDescent="0.25">
      <c r="A2113" s="53" t="inlineStr">
        <is>
          <t>LAB-002112</t>
        </is>
      </c>
      <c r="B2113" s="53" t="inlineStr">
        <is>
          <t>WP-00932</t>
        </is>
      </c>
      <c r="C2113" s="53" t="inlineStr">
        <is>
          <t>TECH-053</t>
        </is>
      </c>
      <c r="D2113" s="53" t="inlineStr">
        <is>
          <t>Structures</t>
        </is>
      </c>
      <c r="E2113" s="53" t="inlineStr">
        <is>
          <t>2024-04-04</t>
        </is>
      </c>
      <c r="F2113" s="53">
        <v>10.1</v>
      </c>
      <c r="G2113" s="53">
        <v>2.1</v>
      </c>
      <c r="H2113" s="51" t="str">
        <f>TEXT(tblLaborEntries[[#This Row],[Work date serial]]-WEEKDAY(tblLaborEntries[[#This Row],[Work date serial]],3),"yyyy-mm-dd")</f>
        <v>2024-04-01</v>
      </c>
      <c r="I2113" s="64">
        <f>DATEVALUE(tblLaborEntries[[#This Row],[Work date]])</f>
        <v>45386.0</v>
      </c>
    </row>
    <row r="2114" spans="1:9" ht="15" x14ac:dyDescent="0.25">
      <c r="A2114" s="53" t="inlineStr">
        <is>
          <t>LAB-002113</t>
        </is>
      </c>
      <c r="B2114" s="53" t="inlineStr">
        <is>
          <t>WP-00932</t>
        </is>
      </c>
      <c r="C2114" s="53" t="inlineStr">
        <is>
          <t>TECH-005</t>
        </is>
      </c>
      <c r="D2114" s="53" t="inlineStr">
        <is>
          <t>Structures</t>
        </is>
      </c>
      <c r="E2114" s="53" t="inlineStr">
        <is>
          <t>2024-04-05</t>
        </is>
      </c>
      <c r="F2114" s="53">
        <v>1.5</v>
      </c>
      <c r="G2114" s="53">
        <v>0</v>
      </c>
      <c r="H2114" s="51" t="str">
        <f>TEXT(tblLaborEntries[[#This Row],[Work date serial]]-WEEKDAY(tblLaborEntries[[#This Row],[Work date serial]],3),"yyyy-mm-dd")</f>
        <v>2024-04-01</v>
      </c>
      <c r="I2114" s="64">
        <f>DATEVALUE(tblLaborEntries[[#This Row],[Work date]])</f>
        <v>45387.0</v>
      </c>
    </row>
    <row r="2115" spans="1:9" ht="15" x14ac:dyDescent="0.25">
      <c r="A2115" s="53" t="inlineStr">
        <is>
          <t>LAB-002114</t>
        </is>
      </c>
      <c r="B2115" s="53" t="inlineStr">
        <is>
          <t>WP-00932</t>
        </is>
      </c>
      <c r="C2115" s="53" t="inlineStr">
        <is>
          <t>TECH-071</t>
        </is>
      </c>
      <c r="D2115" s="53" t="inlineStr">
        <is>
          <t>Structures</t>
        </is>
      </c>
      <c r="E2115" s="53" t="inlineStr">
        <is>
          <t>2024-04-05</t>
        </is>
      </c>
      <c r="F2115" s="53">
        <v>12</v>
      </c>
      <c r="G2115" s="53">
        <v>4</v>
      </c>
      <c r="H2115" s="51" t="str">
        <f>TEXT(tblLaborEntries[[#This Row],[Work date serial]]-WEEKDAY(tblLaborEntries[[#This Row],[Work date serial]],3),"yyyy-mm-dd")</f>
        <v>2024-04-01</v>
      </c>
      <c r="I2115" s="64">
        <f>DATEVALUE(tblLaborEntries[[#This Row],[Work date]])</f>
        <v>45387.0</v>
      </c>
    </row>
    <row r="2116" spans="1:9" ht="15" x14ac:dyDescent="0.25">
      <c r="A2116" s="53" t="inlineStr">
        <is>
          <t>LAB-002115</t>
        </is>
      </c>
      <c r="B2116" s="53" t="inlineStr">
        <is>
          <t>WP-00933</t>
        </is>
      </c>
      <c r="C2116" s="53" t="inlineStr">
        <is>
          <t>TECH-002</t>
        </is>
      </c>
      <c r="D2116" s="53" t="inlineStr">
        <is>
          <t>Avionics</t>
        </is>
      </c>
      <c r="E2116" s="53" t="inlineStr">
        <is>
          <t>2025-12-27</t>
        </is>
      </c>
      <c r="F2116" s="53">
        <v>6.7</v>
      </c>
      <c r="G2116" s="53">
        <v>0</v>
      </c>
      <c r="H2116" s="51" t="str">
        <f>TEXT(tblLaborEntries[[#This Row],[Work date serial]]-WEEKDAY(tblLaborEntries[[#This Row],[Work date serial]],3),"yyyy-mm-dd")</f>
        <v>2025-12-22</v>
      </c>
      <c r="I2116" s="64">
        <f>DATEVALUE(tblLaborEntries[[#This Row],[Work date]])</f>
        <v>46018.0</v>
      </c>
    </row>
    <row r="2117" spans="1:9" ht="15" x14ac:dyDescent="0.25">
      <c r="A2117" s="53" t="inlineStr">
        <is>
          <t>LAB-002116</t>
        </is>
      </c>
      <c r="B2117" s="53" t="inlineStr">
        <is>
          <t>WP-00934</t>
        </is>
      </c>
      <c r="C2117" s="53" t="inlineStr">
        <is>
          <t>TECH-002</t>
        </is>
      </c>
      <c r="D2117" s="53" t="inlineStr">
        <is>
          <t>Avionics</t>
        </is>
      </c>
      <c r="E2117" s="53" t="inlineStr">
        <is>
          <t>2025-08-11</t>
        </is>
      </c>
      <c r="F2117" s="53">
        <v>12</v>
      </c>
      <c r="G2117" s="53">
        <v>4</v>
      </c>
      <c r="H2117" s="51" t="str">
        <f>TEXT(tblLaborEntries[[#This Row],[Work date serial]]-WEEKDAY(tblLaborEntries[[#This Row],[Work date serial]],3),"yyyy-mm-dd")</f>
        <v>2025-08-11</v>
      </c>
      <c r="I2117" s="64">
        <f>DATEVALUE(tblLaborEntries[[#This Row],[Work date]])</f>
        <v>45880.0</v>
      </c>
    </row>
    <row r="2118" spans="1:9" ht="15" x14ac:dyDescent="0.25">
      <c r="A2118" s="53" t="inlineStr">
        <is>
          <t>LAB-002117</t>
        </is>
      </c>
      <c r="B2118" s="53" t="inlineStr">
        <is>
          <t>WP-00934</t>
        </is>
      </c>
      <c r="C2118" s="53" t="inlineStr">
        <is>
          <t>TECH-008</t>
        </is>
      </c>
      <c r="D2118" s="53" t="inlineStr">
        <is>
          <t>Avionics</t>
        </is>
      </c>
      <c r="E2118" s="53" t="inlineStr">
        <is>
          <t>2025-08-11</t>
        </is>
      </c>
      <c r="F2118" s="53">
        <v>2.2</v>
      </c>
      <c r="G2118" s="53">
        <v>0</v>
      </c>
      <c r="H2118" s="51" t="str">
        <f>TEXT(tblLaborEntries[[#This Row],[Work date serial]]-WEEKDAY(tblLaborEntries[[#This Row],[Work date serial]],3),"yyyy-mm-dd")</f>
        <v>2025-08-11</v>
      </c>
      <c r="I2118" s="64">
        <f>DATEVALUE(tblLaborEntries[[#This Row],[Work date]])</f>
        <v>45880.0</v>
      </c>
    </row>
    <row r="2119" spans="1:9" ht="15" x14ac:dyDescent="0.25">
      <c r="A2119" s="53" t="inlineStr">
        <is>
          <t>LAB-002118</t>
        </is>
      </c>
      <c r="B2119" s="53" t="inlineStr">
        <is>
          <t>WP-00934</t>
        </is>
      </c>
      <c r="C2119" s="53" t="inlineStr">
        <is>
          <t>TECH-044</t>
        </is>
      </c>
      <c r="D2119" s="53" t="inlineStr">
        <is>
          <t>Avionics</t>
        </is>
      </c>
      <c r="E2119" s="53" t="inlineStr">
        <is>
          <t>2025-08-11</t>
        </is>
      </c>
      <c r="F2119" s="53">
        <v>12</v>
      </c>
      <c r="G2119" s="53">
        <v>4</v>
      </c>
      <c r="H2119" s="51" t="str">
        <f>TEXT(tblLaborEntries[[#This Row],[Work date serial]]-WEEKDAY(tblLaborEntries[[#This Row],[Work date serial]],3),"yyyy-mm-dd")</f>
        <v>2025-08-11</v>
      </c>
      <c r="I2119" s="64">
        <f>DATEVALUE(tblLaborEntries[[#This Row],[Work date]])</f>
        <v>45880.0</v>
      </c>
    </row>
    <row r="2120" spans="1:9" ht="15" x14ac:dyDescent="0.25">
      <c r="A2120" s="53" t="inlineStr">
        <is>
          <t>LAB-002119</t>
        </is>
      </c>
      <c r="B2120" s="53" t="inlineStr">
        <is>
          <t>WP-00935</t>
        </is>
      </c>
      <c r="C2120" s="53" t="inlineStr">
        <is>
          <t>TECH-007</t>
        </is>
      </c>
      <c r="D2120" s="53" t="inlineStr">
        <is>
          <t>Airframe</t>
        </is>
      </c>
      <c r="E2120" s="53" t="inlineStr">
        <is>
          <t>2024-03-01</t>
        </is>
      </c>
      <c r="F2120" s="53">
        <v>10.3</v>
      </c>
      <c r="G2120" s="53">
        <v>2.3</v>
      </c>
      <c r="H2120" s="51" t="str">
        <f>TEXT(tblLaborEntries[[#This Row],[Work date serial]]-WEEKDAY(tblLaborEntries[[#This Row],[Work date serial]],3),"yyyy-mm-dd")</f>
        <v>2024-02-26</v>
      </c>
      <c r="I2120" s="64">
        <f>DATEVALUE(tblLaborEntries[[#This Row],[Work date]])</f>
        <v>45352.0</v>
      </c>
    </row>
    <row r="2121" spans="1:9" ht="15" x14ac:dyDescent="0.25">
      <c r="A2121" s="53" t="inlineStr">
        <is>
          <t>LAB-002120</t>
        </is>
      </c>
      <c r="B2121" s="53" t="inlineStr">
        <is>
          <t>WP-00936</t>
        </is>
      </c>
      <c r="C2121" s="53" t="inlineStr">
        <is>
          <t>TECH-036</t>
        </is>
      </c>
      <c r="D2121" s="53" t="inlineStr">
        <is>
          <t>Powerplant</t>
        </is>
      </c>
      <c r="E2121" s="53" t="inlineStr">
        <is>
          <t>2025-10-26</t>
        </is>
      </c>
      <c r="F2121" s="53">
        <v>7</v>
      </c>
      <c r="G2121" s="53">
        <v>0</v>
      </c>
      <c r="H2121" s="51" t="str">
        <f>TEXT(tblLaborEntries[[#This Row],[Work date serial]]-WEEKDAY(tblLaborEntries[[#This Row],[Work date serial]],3),"yyyy-mm-dd")</f>
        <v>2025-10-20</v>
      </c>
      <c r="I2121" s="64">
        <f>DATEVALUE(tblLaborEntries[[#This Row],[Work date]])</f>
        <v>45956.0</v>
      </c>
    </row>
    <row r="2122" spans="1:9" ht="15" x14ac:dyDescent="0.25">
      <c r="A2122" s="53" t="inlineStr">
        <is>
          <t>LAB-002121</t>
        </is>
      </c>
      <c r="B2122" s="53" t="inlineStr">
        <is>
          <t>WP-00936</t>
        </is>
      </c>
      <c r="C2122" s="53" t="inlineStr">
        <is>
          <t>TECH-042</t>
        </is>
      </c>
      <c r="D2122" s="53" t="inlineStr">
        <is>
          <t>Powerplant</t>
        </is>
      </c>
      <c r="E2122" s="53" t="inlineStr">
        <is>
          <t>2025-10-27</t>
        </is>
      </c>
      <c r="F2122" s="53">
        <v>5.2</v>
      </c>
      <c r="G2122" s="53">
        <v>0</v>
      </c>
      <c r="H2122" s="51" t="str">
        <f>TEXT(tblLaborEntries[[#This Row],[Work date serial]]-WEEKDAY(tblLaborEntries[[#This Row],[Work date serial]],3),"yyyy-mm-dd")</f>
        <v>2025-10-27</v>
      </c>
      <c r="I2122" s="64">
        <f>DATEVALUE(tblLaborEntries[[#This Row],[Work date]])</f>
        <v>45957.0</v>
      </c>
    </row>
    <row r="2123" spans="1:9" ht="15" x14ac:dyDescent="0.25">
      <c r="A2123" s="53" t="inlineStr">
        <is>
          <t>LAB-002122</t>
        </is>
      </c>
      <c r="B2123" s="53" t="inlineStr">
        <is>
          <t>WP-00937</t>
        </is>
      </c>
      <c r="C2123" s="53" t="inlineStr">
        <is>
          <t>TECH-069</t>
        </is>
      </c>
      <c r="D2123" s="53" t="inlineStr">
        <is>
          <t>Hydraulics</t>
        </is>
      </c>
      <c r="E2123" s="53" t="inlineStr">
        <is>
          <t>2025-08-08</t>
        </is>
      </c>
      <c r="F2123" s="53">
        <v>2.8</v>
      </c>
      <c r="G2123" s="53">
        <v>0</v>
      </c>
      <c r="H2123" s="51" t="str">
        <f>TEXT(tblLaborEntries[[#This Row],[Work date serial]]-WEEKDAY(tblLaborEntries[[#This Row],[Work date serial]],3),"yyyy-mm-dd")</f>
        <v>2025-08-04</v>
      </c>
      <c r="I2123" s="64">
        <f>DATEVALUE(tblLaborEntries[[#This Row],[Work date]])</f>
        <v>45877.0</v>
      </c>
    </row>
    <row r="2124" spans="1:9" ht="15" x14ac:dyDescent="0.25">
      <c r="A2124" s="53" t="inlineStr">
        <is>
          <t>LAB-002123</t>
        </is>
      </c>
      <c r="B2124" s="53" t="inlineStr">
        <is>
          <t>WP-00937</t>
        </is>
      </c>
      <c r="C2124" s="53" t="inlineStr">
        <is>
          <t>TECH-021</t>
        </is>
      </c>
      <c r="D2124" s="53" t="inlineStr">
        <is>
          <t>Hydraulics</t>
        </is>
      </c>
      <c r="E2124" s="53" t="inlineStr">
        <is>
          <t>2025-08-09</t>
        </is>
      </c>
      <c r="F2124" s="53">
        <v>4</v>
      </c>
      <c r="G2124" s="53">
        <v>0</v>
      </c>
      <c r="H2124" s="51" t="str">
        <f>TEXT(tblLaborEntries[[#This Row],[Work date serial]]-WEEKDAY(tblLaborEntries[[#This Row],[Work date serial]],3),"yyyy-mm-dd")</f>
        <v>2025-08-04</v>
      </c>
      <c r="I2124" s="64">
        <f>DATEVALUE(tblLaborEntries[[#This Row],[Work date]])</f>
        <v>45878.0</v>
      </c>
    </row>
    <row r="2125" spans="1:9" ht="15" x14ac:dyDescent="0.25">
      <c r="A2125" s="53" t="inlineStr">
        <is>
          <t>LAB-002124</t>
        </is>
      </c>
      <c r="B2125" s="53" t="inlineStr">
        <is>
          <t>WP-00938</t>
        </is>
      </c>
      <c r="C2125" s="53" t="inlineStr">
        <is>
          <t>TECH-016</t>
        </is>
      </c>
      <c r="D2125" s="53" t="inlineStr">
        <is>
          <t>Electrical</t>
        </is>
      </c>
      <c r="E2125" s="53" t="inlineStr">
        <is>
          <t>2024-02-05</t>
        </is>
      </c>
      <c r="F2125" s="53">
        <v>8.7</v>
      </c>
      <c r="G2125" s="53">
        <v>0.7</v>
      </c>
      <c r="H2125" s="51" t="str">
        <f>TEXT(tblLaborEntries[[#This Row],[Work date serial]]-WEEKDAY(tblLaborEntries[[#This Row],[Work date serial]],3),"yyyy-mm-dd")</f>
        <v>2024-02-05</v>
      </c>
      <c r="I2125" s="64">
        <f>DATEVALUE(tblLaborEntries[[#This Row],[Work date]])</f>
        <v>45327.0</v>
      </c>
    </row>
    <row r="2126" spans="1:9" ht="15" x14ac:dyDescent="0.25">
      <c r="A2126" s="53" t="inlineStr">
        <is>
          <t>LAB-002125</t>
        </is>
      </c>
      <c r="B2126" s="53" t="inlineStr">
        <is>
          <t>WP-00938</t>
        </is>
      </c>
      <c r="C2126" s="53" t="inlineStr">
        <is>
          <t>TECH-034</t>
        </is>
      </c>
      <c r="D2126" s="53" t="inlineStr">
        <is>
          <t>Electrical</t>
        </is>
      </c>
      <c r="E2126" s="53" t="inlineStr">
        <is>
          <t>2024-02-06</t>
        </is>
      </c>
      <c r="F2126" s="53">
        <v>6.3</v>
      </c>
      <c r="G2126" s="53">
        <v>0</v>
      </c>
      <c r="H2126" s="51" t="str">
        <f>TEXT(tblLaborEntries[[#This Row],[Work date serial]]-WEEKDAY(tblLaborEntries[[#This Row],[Work date serial]],3),"yyyy-mm-dd")</f>
        <v>2024-02-05</v>
      </c>
      <c r="I2126" s="64">
        <f>DATEVALUE(tblLaborEntries[[#This Row],[Work date]])</f>
        <v>45328.0</v>
      </c>
    </row>
    <row r="2127" spans="1:9" ht="15" x14ac:dyDescent="0.25">
      <c r="A2127" s="53" t="inlineStr">
        <is>
          <t>LAB-002126</t>
        </is>
      </c>
      <c r="B2127" s="53" t="inlineStr">
        <is>
          <t>WP-00938</t>
        </is>
      </c>
      <c r="C2127" s="53" t="inlineStr">
        <is>
          <t>TECH-028</t>
        </is>
      </c>
      <c r="D2127" s="53" t="inlineStr">
        <is>
          <t>Electrical</t>
        </is>
      </c>
      <c r="E2127" s="53" t="inlineStr">
        <is>
          <t>2024-02-07</t>
        </is>
      </c>
      <c r="F2127" s="53">
        <v>8.3</v>
      </c>
      <c r="G2127" s="53">
        <v>0.3</v>
      </c>
      <c r="H2127" s="51" t="str">
        <f>TEXT(tblLaborEntries[[#This Row],[Work date serial]]-WEEKDAY(tblLaborEntries[[#This Row],[Work date serial]],3),"yyyy-mm-dd")</f>
        <v>2024-02-05</v>
      </c>
      <c r="I2127" s="64">
        <f>DATEVALUE(tblLaborEntries[[#This Row],[Work date]])</f>
        <v>45329.0</v>
      </c>
    </row>
    <row r="2128" spans="1:9" ht="15" x14ac:dyDescent="0.25">
      <c r="A2128" s="53" t="inlineStr">
        <is>
          <t>LAB-002127</t>
        </is>
      </c>
      <c r="B2128" s="53" t="inlineStr">
        <is>
          <t>WP-00939</t>
        </is>
      </c>
      <c r="C2128" s="53" t="inlineStr">
        <is>
          <t>TECH-042</t>
        </is>
      </c>
      <c r="D2128" s="53" t="inlineStr">
        <is>
          <t>Powerplant</t>
        </is>
      </c>
      <c r="E2128" s="53" t="inlineStr">
        <is>
          <t>2025-07-27</t>
        </is>
      </c>
      <c r="F2128" s="53">
        <v>4.2</v>
      </c>
      <c r="G2128" s="53">
        <v>0</v>
      </c>
      <c r="H2128" s="51" t="str">
        <f>TEXT(tblLaborEntries[[#This Row],[Work date serial]]-WEEKDAY(tblLaborEntries[[#This Row],[Work date serial]],3),"yyyy-mm-dd")</f>
        <v>2025-07-21</v>
      </c>
      <c r="I2128" s="64">
        <f>DATEVALUE(tblLaborEntries[[#This Row],[Work date]])</f>
        <v>45865.0</v>
      </c>
    </row>
    <row r="2129" spans="1:9" ht="15" x14ac:dyDescent="0.25">
      <c r="A2129" s="53" t="inlineStr">
        <is>
          <t>LAB-002128</t>
        </is>
      </c>
      <c r="B2129" s="53" t="inlineStr">
        <is>
          <t>WP-00939</t>
        </is>
      </c>
      <c r="C2129" s="53" t="inlineStr">
        <is>
          <t>TECH-054</t>
        </is>
      </c>
      <c r="D2129" s="53" t="inlineStr">
        <is>
          <t>Powerplant</t>
        </is>
      </c>
      <c r="E2129" s="53" t="inlineStr">
        <is>
          <t>2025-07-28</t>
        </is>
      </c>
      <c r="F2129" s="53">
        <v>3.9</v>
      </c>
      <c r="G2129" s="53">
        <v>0</v>
      </c>
      <c r="H2129" s="51" t="str">
        <f>TEXT(tblLaborEntries[[#This Row],[Work date serial]]-WEEKDAY(tblLaborEntries[[#This Row],[Work date serial]],3),"yyyy-mm-dd")</f>
        <v>2025-07-28</v>
      </c>
      <c r="I2129" s="64">
        <f>DATEVALUE(tblLaborEntries[[#This Row],[Work date]])</f>
        <v>45866.0</v>
      </c>
    </row>
    <row r="2130" spans="1:9" ht="15" x14ac:dyDescent="0.25">
      <c r="A2130" s="53" t="inlineStr">
        <is>
          <t>LAB-002129</t>
        </is>
      </c>
      <c r="B2130" s="53" t="inlineStr">
        <is>
          <t>WP-00939</t>
        </is>
      </c>
      <c r="C2130" s="53" t="inlineStr">
        <is>
          <t>TECH-054</t>
        </is>
      </c>
      <c r="D2130" s="53" t="inlineStr">
        <is>
          <t>Powerplant</t>
        </is>
      </c>
      <c r="E2130" s="53" t="inlineStr">
        <is>
          <t>2025-07-29</t>
        </is>
      </c>
      <c r="F2130" s="53">
        <v>3.1</v>
      </c>
      <c r="G2130" s="53">
        <v>0</v>
      </c>
      <c r="H2130" s="51" t="str">
        <f>TEXT(tblLaborEntries[[#This Row],[Work date serial]]-WEEKDAY(tblLaborEntries[[#This Row],[Work date serial]],3),"yyyy-mm-dd")</f>
        <v>2025-07-28</v>
      </c>
      <c r="I2130" s="64">
        <f>DATEVALUE(tblLaborEntries[[#This Row],[Work date]])</f>
        <v>45867.0</v>
      </c>
    </row>
    <row r="2131" spans="1:9" ht="15" x14ac:dyDescent="0.25">
      <c r="A2131" s="53" t="inlineStr">
        <is>
          <t>LAB-002130</t>
        </is>
      </c>
      <c r="B2131" s="53" t="inlineStr">
        <is>
          <t>WP-00940</t>
        </is>
      </c>
      <c r="C2131" s="53" t="inlineStr">
        <is>
          <t>TECH-019</t>
        </is>
      </c>
      <c r="D2131" s="53" t="inlineStr">
        <is>
          <t>Airframe</t>
        </is>
      </c>
      <c r="E2131" s="53" t="inlineStr">
        <is>
          <t>2024-06-09</t>
        </is>
      </c>
      <c r="F2131" s="53">
        <v>2.8</v>
      </c>
      <c r="G2131" s="53">
        <v>0</v>
      </c>
      <c r="H2131" s="51" t="str">
        <f>TEXT(tblLaborEntries[[#This Row],[Work date serial]]-WEEKDAY(tblLaborEntries[[#This Row],[Work date serial]],3),"yyyy-mm-dd")</f>
        <v>2024-06-03</v>
      </c>
      <c r="I2131" s="64">
        <f>DATEVALUE(tblLaborEntries[[#This Row],[Work date]])</f>
        <v>45452.0</v>
      </c>
    </row>
    <row r="2132" spans="1:9" ht="15" x14ac:dyDescent="0.25">
      <c r="A2132" s="53" t="inlineStr">
        <is>
          <t>LAB-002131</t>
        </is>
      </c>
      <c r="B2132" s="53" t="inlineStr">
        <is>
          <t>WP-00940</t>
        </is>
      </c>
      <c r="C2132" s="53" t="inlineStr">
        <is>
          <t>TECH-019</t>
        </is>
      </c>
      <c r="D2132" s="53" t="inlineStr">
        <is>
          <t>Airframe</t>
        </is>
      </c>
      <c r="E2132" s="53" t="inlineStr">
        <is>
          <t>2024-06-10</t>
        </is>
      </c>
      <c r="F2132" s="53">
        <v>3.6</v>
      </c>
      <c r="G2132" s="53">
        <v>0</v>
      </c>
      <c r="H2132" s="51" t="str">
        <f>TEXT(tblLaborEntries[[#This Row],[Work date serial]]-WEEKDAY(tblLaborEntries[[#This Row],[Work date serial]],3),"yyyy-mm-dd")</f>
        <v>2024-06-10</v>
      </c>
      <c r="I2132" s="64">
        <f>DATEVALUE(tblLaborEntries[[#This Row],[Work date]])</f>
        <v>45453.0</v>
      </c>
    </row>
    <row r="2133" spans="1:9" ht="15" x14ac:dyDescent="0.25">
      <c r="A2133" s="53" t="inlineStr">
        <is>
          <t>LAB-002132</t>
        </is>
      </c>
      <c r="B2133" s="53" t="inlineStr">
        <is>
          <t>WP-00940</t>
        </is>
      </c>
      <c r="C2133" s="53" t="inlineStr">
        <is>
          <t>TECH-031</t>
        </is>
      </c>
      <c r="D2133" s="53" t="inlineStr">
        <is>
          <t>Airframe</t>
        </is>
      </c>
      <c r="E2133" s="53" t="inlineStr">
        <is>
          <t>2024-06-11</t>
        </is>
      </c>
      <c r="F2133" s="53">
        <v>2.6</v>
      </c>
      <c r="G2133" s="53">
        <v>0</v>
      </c>
      <c r="H2133" s="51" t="str">
        <f>TEXT(tblLaborEntries[[#This Row],[Work date serial]]-WEEKDAY(tblLaborEntries[[#This Row],[Work date serial]],3),"yyyy-mm-dd")</f>
        <v>2024-06-10</v>
      </c>
      <c r="I2133" s="64">
        <f>DATEVALUE(tblLaborEntries[[#This Row],[Work date]])</f>
        <v>45454.0</v>
      </c>
    </row>
    <row r="2134" spans="1:9" ht="15" x14ac:dyDescent="0.25">
      <c r="A2134" s="53" t="inlineStr">
        <is>
          <t>LAB-002133</t>
        </is>
      </c>
      <c r="B2134" s="53" t="inlineStr">
        <is>
          <t>WP-00941</t>
        </is>
      </c>
      <c r="C2134" s="53" t="inlineStr">
        <is>
          <t>TECH-019</t>
        </is>
      </c>
      <c r="D2134" s="53" t="inlineStr">
        <is>
          <t>Airframe</t>
        </is>
      </c>
      <c r="E2134" s="53" t="inlineStr">
        <is>
          <t>2025-07-28</t>
        </is>
      </c>
      <c r="F2134" s="53">
        <v>2.5</v>
      </c>
      <c r="G2134" s="53">
        <v>0</v>
      </c>
      <c r="H2134" s="51" t="str">
        <f>TEXT(tblLaborEntries[[#This Row],[Work date serial]]-WEEKDAY(tblLaborEntries[[#This Row],[Work date serial]],3),"yyyy-mm-dd")</f>
        <v>2025-07-28</v>
      </c>
      <c r="I2134" s="64">
        <f>DATEVALUE(tblLaborEntries[[#This Row],[Work date]])</f>
        <v>45866.0</v>
      </c>
    </row>
    <row r="2135" spans="1:9" ht="15" x14ac:dyDescent="0.25">
      <c r="A2135" s="53" t="inlineStr">
        <is>
          <t>LAB-002134</t>
        </is>
      </c>
      <c r="B2135" s="53" t="inlineStr">
        <is>
          <t>WP-00942</t>
        </is>
      </c>
      <c r="C2135" s="53" t="inlineStr">
        <is>
          <t>TECH-064</t>
        </is>
      </c>
      <c r="D2135" s="53" t="inlineStr">
        <is>
          <t>Electrical</t>
        </is>
      </c>
      <c r="E2135" s="53" t="inlineStr">
        <is>
          <t>2025-05-16</t>
        </is>
      </c>
      <c r="F2135" s="53">
        <v>1.9</v>
      </c>
      <c r="G2135" s="53">
        <v>0</v>
      </c>
      <c r="H2135" s="51" t="str">
        <f>TEXT(tblLaborEntries[[#This Row],[Work date serial]]-WEEKDAY(tblLaborEntries[[#This Row],[Work date serial]],3),"yyyy-mm-dd")</f>
        <v>2025-05-12</v>
      </c>
      <c r="I2135" s="64">
        <f>DATEVALUE(tblLaborEntries[[#This Row],[Work date]])</f>
        <v>45793.0</v>
      </c>
    </row>
    <row r="2136" spans="1:9" ht="15" x14ac:dyDescent="0.25">
      <c r="A2136" s="53" t="inlineStr">
        <is>
          <t>LAB-002135</t>
        </is>
      </c>
      <c r="B2136" s="53" t="inlineStr">
        <is>
          <t>WP-00942</t>
        </is>
      </c>
      <c r="C2136" s="53" t="inlineStr">
        <is>
          <t>TECH-064</t>
        </is>
      </c>
      <c r="D2136" s="53" t="inlineStr">
        <is>
          <t>Electrical</t>
        </is>
      </c>
      <c r="E2136" s="53" t="inlineStr">
        <is>
          <t>2025-05-17</t>
        </is>
      </c>
      <c r="F2136" s="53">
        <v>2.9</v>
      </c>
      <c r="G2136" s="53">
        <v>0</v>
      </c>
      <c r="H2136" s="51" t="str">
        <f>TEXT(tblLaborEntries[[#This Row],[Work date serial]]-WEEKDAY(tblLaborEntries[[#This Row],[Work date serial]],3),"yyyy-mm-dd")</f>
        <v>2025-05-12</v>
      </c>
      <c r="I2136" s="64">
        <f>DATEVALUE(tblLaborEntries[[#This Row],[Work date]])</f>
        <v>45794.0</v>
      </c>
    </row>
    <row r="2137" spans="1:9" ht="15" x14ac:dyDescent="0.25">
      <c r="A2137" s="53" t="inlineStr">
        <is>
          <t>LAB-002136</t>
        </is>
      </c>
      <c r="B2137" s="53" t="inlineStr">
        <is>
          <t>WP-00942</t>
        </is>
      </c>
      <c r="C2137" s="53" t="inlineStr">
        <is>
          <t>TECH-046</t>
        </is>
      </c>
      <c r="D2137" s="53" t="inlineStr">
        <is>
          <t>Electrical</t>
        </is>
      </c>
      <c r="E2137" s="53" t="inlineStr">
        <is>
          <t>2025-05-18</t>
        </is>
      </c>
      <c r="F2137" s="53">
        <v>2</v>
      </c>
      <c r="G2137" s="53">
        <v>0</v>
      </c>
      <c r="H2137" s="51" t="str">
        <f>TEXT(tblLaborEntries[[#This Row],[Work date serial]]-WEEKDAY(tblLaborEntries[[#This Row],[Work date serial]],3),"yyyy-mm-dd")</f>
        <v>2025-05-12</v>
      </c>
      <c r="I2137" s="64">
        <f>DATEVALUE(tblLaborEntries[[#This Row],[Work date]])</f>
        <v>45795.0</v>
      </c>
    </row>
    <row r="2138" spans="1:9" ht="15" x14ac:dyDescent="0.25">
      <c r="A2138" s="53" t="inlineStr">
        <is>
          <t>LAB-002137</t>
        </is>
      </c>
      <c r="B2138" s="53" t="inlineStr">
        <is>
          <t>WP-00943</t>
        </is>
      </c>
      <c r="C2138" s="53" t="inlineStr">
        <is>
          <t>TECH-073</t>
        </is>
      </c>
      <c r="D2138" s="53" t="inlineStr">
        <is>
          <t>Airframe</t>
        </is>
      </c>
      <c r="E2138" s="53" t="inlineStr">
        <is>
          <t>2025-12-24</t>
        </is>
      </c>
      <c r="F2138" s="53">
        <v>5.2</v>
      </c>
      <c r="G2138" s="53">
        <v>0</v>
      </c>
      <c r="H2138" s="51" t="str">
        <f>TEXT(tblLaborEntries[[#This Row],[Work date serial]]-WEEKDAY(tblLaborEntries[[#This Row],[Work date serial]],3),"yyyy-mm-dd")</f>
        <v>2025-12-22</v>
      </c>
      <c r="I2138" s="64">
        <f>DATEVALUE(tblLaborEntries[[#This Row],[Work date]])</f>
        <v>46015.0</v>
      </c>
    </row>
    <row r="2139" spans="1:9" ht="15" x14ac:dyDescent="0.25">
      <c r="A2139" s="53" t="inlineStr">
        <is>
          <t>LAB-002138</t>
        </is>
      </c>
      <c r="B2139" s="53" t="inlineStr">
        <is>
          <t>WP-00943</t>
        </is>
      </c>
      <c r="C2139" s="53" t="inlineStr">
        <is>
          <t>TECH-037</t>
        </is>
      </c>
      <c r="D2139" s="53" t="inlineStr">
        <is>
          <t>Airframe</t>
        </is>
      </c>
      <c r="E2139" s="53" t="inlineStr">
        <is>
          <t>2025-12-25</t>
        </is>
      </c>
      <c r="F2139" s="53">
        <v>4.7</v>
      </c>
      <c r="G2139" s="53">
        <v>0</v>
      </c>
      <c r="H2139" s="51" t="str">
        <f>TEXT(tblLaborEntries[[#This Row],[Work date serial]]-WEEKDAY(tblLaborEntries[[#This Row],[Work date serial]],3),"yyyy-mm-dd")</f>
        <v>2025-12-22</v>
      </c>
      <c r="I2139" s="64">
        <f>DATEVALUE(tblLaborEntries[[#This Row],[Work date]])</f>
        <v>46016.0</v>
      </c>
    </row>
    <row r="2140" spans="1:9" ht="15" x14ac:dyDescent="0.25">
      <c r="A2140" s="53" t="inlineStr">
        <is>
          <t>LAB-002139</t>
        </is>
      </c>
      <c r="B2140" s="53" t="inlineStr">
        <is>
          <t>WP-00943</t>
        </is>
      </c>
      <c r="C2140" s="53" t="inlineStr">
        <is>
          <t>TECH-073</t>
        </is>
      </c>
      <c r="D2140" s="53" t="inlineStr">
        <is>
          <t>Airframe</t>
        </is>
      </c>
      <c r="E2140" s="53" t="inlineStr">
        <is>
          <t>2025-12-26</t>
        </is>
      </c>
      <c r="F2140" s="53">
        <v>3.8</v>
      </c>
      <c r="G2140" s="53">
        <v>0</v>
      </c>
      <c r="H2140" s="51" t="str">
        <f>TEXT(tblLaborEntries[[#This Row],[Work date serial]]-WEEKDAY(tblLaborEntries[[#This Row],[Work date serial]],3),"yyyy-mm-dd")</f>
        <v>2025-12-22</v>
      </c>
      <c r="I2140" s="64">
        <f>DATEVALUE(tblLaborEntries[[#This Row],[Work date]])</f>
        <v>46017.0</v>
      </c>
    </row>
    <row r="2141" spans="1:9" ht="15" x14ac:dyDescent="0.25">
      <c r="A2141" s="53" t="inlineStr">
        <is>
          <t>LAB-002140</t>
        </is>
      </c>
      <c r="B2141" s="53" t="inlineStr">
        <is>
          <t>WP-00944</t>
        </is>
      </c>
      <c r="C2141" s="53" t="inlineStr">
        <is>
          <t>TECH-001</t>
        </is>
      </c>
      <c r="D2141" s="53" t="inlineStr">
        <is>
          <t>Airframe</t>
        </is>
      </c>
      <c r="E2141" s="53" t="inlineStr">
        <is>
          <t>2025-05-17</t>
        </is>
      </c>
      <c r="F2141" s="53">
        <v>0.7</v>
      </c>
      <c r="G2141" s="53">
        <v>0</v>
      </c>
      <c r="H2141" s="51" t="str">
        <f>TEXT(tblLaborEntries[[#This Row],[Work date serial]]-WEEKDAY(tblLaborEntries[[#This Row],[Work date serial]],3),"yyyy-mm-dd")</f>
        <v>2025-05-12</v>
      </c>
      <c r="I2141" s="64">
        <f>DATEVALUE(tblLaborEntries[[#This Row],[Work date]])</f>
        <v>45794.0</v>
      </c>
    </row>
    <row r="2142" spans="1:9" ht="15" x14ac:dyDescent="0.25">
      <c r="A2142" s="53" t="inlineStr">
        <is>
          <t>LAB-002141</t>
        </is>
      </c>
      <c r="B2142" s="53" t="inlineStr">
        <is>
          <t>WP-00944</t>
        </is>
      </c>
      <c r="C2142" s="53" t="inlineStr">
        <is>
          <t>TECH-043</t>
        </is>
      </c>
      <c r="D2142" s="53" t="inlineStr">
        <is>
          <t>Airframe</t>
        </is>
      </c>
      <c r="E2142" s="53" t="inlineStr">
        <is>
          <t>2025-05-17</t>
        </is>
      </c>
      <c r="F2142" s="53">
        <v>12</v>
      </c>
      <c r="G2142" s="53">
        <v>4</v>
      </c>
      <c r="H2142" s="51" t="str">
        <f>TEXT(tblLaborEntries[[#This Row],[Work date serial]]-WEEKDAY(tblLaborEntries[[#This Row],[Work date serial]],3),"yyyy-mm-dd")</f>
        <v>2025-05-12</v>
      </c>
      <c r="I2142" s="64">
        <f>DATEVALUE(tblLaborEntries[[#This Row],[Work date]])</f>
        <v>45794.0</v>
      </c>
    </row>
    <row r="2143" spans="1:9" ht="15" x14ac:dyDescent="0.25">
      <c r="A2143" s="53" t="inlineStr">
        <is>
          <t>LAB-002142</t>
        </is>
      </c>
      <c r="B2143" s="53" t="inlineStr">
        <is>
          <t>WP-00945</t>
        </is>
      </c>
      <c r="C2143" s="53" t="inlineStr">
        <is>
          <t>TECH-006</t>
        </is>
      </c>
      <c r="D2143" s="53" t="inlineStr">
        <is>
          <t>Powerplant</t>
        </is>
      </c>
      <c r="E2143" s="53" t="inlineStr">
        <is>
          <t>2024-05-10</t>
        </is>
      </c>
      <c r="F2143" s="53">
        <v>1</v>
      </c>
      <c r="G2143" s="53">
        <v>0</v>
      </c>
      <c r="H2143" s="51" t="str">
        <f>TEXT(tblLaborEntries[[#This Row],[Work date serial]]-WEEKDAY(tblLaborEntries[[#This Row],[Work date serial]],3),"yyyy-mm-dd")</f>
        <v>2024-05-06</v>
      </c>
      <c r="I2143" s="64">
        <f>DATEVALUE(tblLaborEntries[[#This Row],[Work date]])</f>
        <v>45422.0</v>
      </c>
    </row>
    <row r="2144" spans="1:9" ht="15" x14ac:dyDescent="0.25">
      <c r="A2144" s="53" t="inlineStr">
        <is>
          <t>LAB-002143</t>
        </is>
      </c>
      <c r="B2144" s="53" t="inlineStr">
        <is>
          <t>WP-00945</t>
        </is>
      </c>
      <c r="C2144" s="53" t="inlineStr">
        <is>
          <t>TECH-018</t>
        </is>
      </c>
      <c r="D2144" s="53" t="inlineStr">
        <is>
          <t>Powerplant</t>
        </is>
      </c>
      <c r="E2144" s="53" t="inlineStr">
        <is>
          <t>2024-05-10</t>
        </is>
      </c>
      <c r="F2144" s="53">
        <v>12</v>
      </c>
      <c r="G2144" s="53">
        <v>4</v>
      </c>
      <c r="H2144" s="51" t="str">
        <f>TEXT(tblLaborEntries[[#This Row],[Work date serial]]-WEEKDAY(tblLaborEntries[[#This Row],[Work date serial]],3),"yyyy-mm-dd")</f>
        <v>2024-05-06</v>
      </c>
      <c r="I2144" s="64">
        <f>DATEVALUE(tblLaborEntries[[#This Row],[Work date]])</f>
        <v>45422.0</v>
      </c>
    </row>
    <row r="2145" spans="1:9" ht="15" x14ac:dyDescent="0.25">
      <c r="A2145" s="53" t="inlineStr">
        <is>
          <t>LAB-002144</t>
        </is>
      </c>
      <c r="B2145" s="53" t="inlineStr">
        <is>
          <t>WP-00946</t>
        </is>
      </c>
      <c r="C2145" s="53" t="inlineStr">
        <is>
          <t>TECH-038</t>
        </is>
      </c>
      <c r="D2145" s="53" t="inlineStr">
        <is>
          <t>Avionics</t>
        </is>
      </c>
      <c r="E2145" s="53" t="inlineStr">
        <is>
          <t>2025-05-14</t>
        </is>
      </c>
      <c r="F2145" s="53">
        <v>2.8</v>
      </c>
      <c r="G2145" s="53">
        <v>0</v>
      </c>
      <c r="H2145" s="51" t="str">
        <f>TEXT(tblLaborEntries[[#This Row],[Work date serial]]-WEEKDAY(tblLaborEntries[[#This Row],[Work date serial]],3),"yyyy-mm-dd")</f>
        <v>2025-05-12</v>
      </c>
      <c r="I2145" s="64">
        <f>DATEVALUE(tblLaborEntries[[#This Row],[Work date]])</f>
        <v>45791.0</v>
      </c>
    </row>
    <row r="2146" spans="1:9" ht="15" x14ac:dyDescent="0.25">
      <c r="A2146" s="53" t="inlineStr">
        <is>
          <t>LAB-002145</t>
        </is>
      </c>
      <c r="B2146" s="53" t="inlineStr">
        <is>
          <t>WP-00946</t>
        </is>
      </c>
      <c r="C2146" s="53" t="inlineStr">
        <is>
          <t>TECH-026</t>
        </is>
      </c>
      <c r="D2146" s="53" t="inlineStr">
        <is>
          <t>Avionics</t>
        </is>
      </c>
      <c r="E2146" s="53" t="inlineStr">
        <is>
          <t>2025-05-15</t>
        </is>
      </c>
      <c r="F2146" s="53">
        <v>3.6</v>
      </c>
      <c r="G2146" s="53">
        <v>3.3</v>
      </c>
      <c r="H2146" s="51" t="str">
        <f>TEXT(tblLaborEntries[[#This Row],[Work date serial]]-WEEKDAY(tblLaborEntries[[#This Row],[Work date serial]],3),"yyyy-mm-dd")</f>
        <v>2025-05-12</v>
      </c>
      <c r="I2146" s="64">
        <f>DATEVALUE(tblLaborEntries[[#This Row],[Work date]])</f>
        <v>45792.0</v>
      </c>
    </row>
    <row r="2147" spans="1:9" ht="15" x14ac:dyDescent="0.25">
      <c r="A2147" s="53" t="inlineStr">
        <is>
          <t>LAB-002146</t>
        </is>
      </c>
      <c r="B2147" s="53" t="inlineStr">
        <is>
          <t>WP-00946</t>
        </is>
      </c>
      <c r="C2147" s="53" t="inlineStr">
        <is>
          <t>TECH-068</t>
        </is>
      </c>
      <c r="D2147" s="53" t="inlineStr">
        <is>
          <t>Avionics</t>
        </is>
      </c>
      <c r="E2147" s="53" t="inlineStr">
        <is>
          <t>2025-05-16</t>
        </is>
      </c>
      <c r="F2147" s="53">
        <v>2.8</v>
      </c>
      <c r="G2147" s="53">
        <v>0</v>
      </c>
      <c r="H2147" s="51" t="str">
        <f>TEXT(tblLaborEntries[[#This Row],[Work date serial]]-WEEKDAY(tblLaborEntries[[#This Row],[Work date serial]],3),"yyyy-mm-dd")</f>
        <v>2025-05-12</v>
      </c>
      <c r="I2147" s="64">
        <f>DATEVALUE(tblLaborEntries[[#This Row],[Work date]])</f>
        <v>45793.0</v>
      </c>
    </row>
    <row r="2148" spans="1:9" ht="15" x14ac:dyDescent="0.25">
      <c r="A2148" s="53" t="inlineStr">
        <is>
          <t>LAB-002147</t>
        </is>
      </c>
      <c r="B2148" s="53" t="inlineStr">
        <is>
          <t>WP-00947</t>
        </is>
      </c>
      <c r="C2148" s="53" t="inlineStr">
        <is>
          <t>TECH-030</t>
        </is>
      </c>
      <c r="D2148" s="53" t="inlineStr">
        <is>
          <t>Powerplant</t>
        </is>
      </c>
      <c r="E2148" s="53" t="inlineStr">
        <is>
          <t>2025-03-31</t>
        </is>
      </c>
      <c r="F2148" s="53">
        <v>5.1</v>
      </c>
      <c r="G2148" s="53">
        <v>0</v>
      </c>
      <c r="H2148" s="51" t="str">
        <f>TEXT(tblLaborEntries[[#This Row],[Work date serial]]-WEEKDAY(tblLaborEntries[[#This Row],[Work date serial]],3),"yyyy-mm-dd")</f>
        <v>2025-03-31</v>
      </c>
      <c r="I2148" s="64">
        <f>DATEVALUE(tblLaborEntries[[#This Row],[Work date]])</f>
        <v>45747.0</v>
      </c>
    </row>
    <row r="2149" spans="1:9" ht="15" x14ac:dyDescent="0.25">
      <c r="A2149" s="53" t="inlineStr">
        <is>
          <t>LAB-002148</t>
        </is>
      </c>
      <c r="B2149" s="53" t="inlineStr">
        <is>
          <t>WP-00947</t>
        </is>
      </c>
      <c r="C2149" s="53" t="inlineStr">
        <is>
          <t>TECH-018</t>
        </is>
      </c>
      <c r="D2149" s="53" t="inlineStr">
        <is>
          <t>Powerplant</t>
        </is>
      </c>
      <c r="E2149" s="53" t="inlineStr">
        <is>
          <t>2025-04-01</t>
        </is>
      </c>
      <c r="F2149" s="53">
        <v>6.2</v>
      </c>
      <c r="G2149" s="53">
        <v>0</v>
      </c>
      <c r="H2149" s="51" t="str">
        <f>TEXT(tblLaborEntries[[#This Row],[Work date serial]]-WEEKDAY(tblLaborEntries[[#This Row],[Work date serial]],3),"yyyy-mm-dd")</f>
        <v>2025-03-31</v>
      </c>
      <c r="I2149" s="64">
        <f>DATEVALUE(tblLaborEntries[[#This Row],[Work date]])</f>
        <v>45748.0</v>
      </c>
    </row>
    <row r="2150" spans="1:9" ht="15" x14ac:dyDescent="0.25">
      <c r="A2150" s="53" t="inlineStr">
        <is>
          <t>LAB-002149</t>
        </is>
      </c>
      <c r="B2150" s="53" t="inlineStr">
        <is>
          <t>WP-00947</t>
        </is>
      </c>
      <c r="C2150" s="53" t="inlineStr">
        <is>
          <t>TECH-030</t>
        </is>
      </c>
      <c r="D2150" s="53" t="inlineStr">
        <is>
          <t>Powerplant</t>
        </is>
      </c>
      <c r="E2150" s="53" t="inlineStr">
        <is>
          <t>2025-04-02</t>
        </is>
      </c>
      <c r="F2150" s="53">
        <v>8</v>
      </c>
      <c r="G2150" s="53">
        <v>0</v>
      </c>
      <c r="H2150" s="51" t="str">
        <f>TEXT(tblLaborEntries[[#This Row],[Work date serial]]-WEEKDAY(tblLaborEntries[[#This Row],[Work date serial]],3),"yyyy-mm-dd")</f>
        <v>2025-03-31</v>
      </c>
      <c r="I2150" s="64">
        <f>DATEVALUE(tblLaborEntries[[#This Row],[Work date]])</f>
        <v>45749.0</v>
      </c>
    </row>
    <row r="2151" spans="1:9" ht="15" x14ac:dyDescent="0.25">
      <c r="A2151" s="53" t="inlineStr">
        <is>
          <t>LAB-002150</t>
        </is>
      </c>
      <c r="B2151" s="53" t="inlineStr">
        <is>
          <t>WP-00948</t>
        </is>
      </c>
      <c r="C2151" s="53" t="inlineStr">
        <is>
          <t>TECH-007</t>
        </is>
      </c>
      <c r="D2151" s="53" t="inlineStr">
        <is>
          <t>Airframe</t>
        </is>
      </c>
      <c r="E2151" s="53" t="inlineStr">
        <is>
          <t>2025-06-01</t>
        </is>
      </c>
      <c r="F2151" s="53">
        <v>1.8</v>
      </c>
      <c r="G2151" s="53">
        <v>0</v>
      </c>
      <c r="H2151" s="51" t="str">
        <f>TEXT(tblLaborEntries[[#This Row],[Work date serial]]-WEEKDAY(tblLaborEntries[[#This Row],[Work date serial]],3),"yyyy-mm-dd")</f>
        <v>2025-05-26</v>
      </c>
      <c r="I2151" s="64">
        <f>DATEVALUE(tblLaborEntries[[#This Row],[Work date]])</f>
        <v>45809.0</v>
      </c>
    </row>
    <row r="2152" spans="1:9" ht="15" x14ac:dyDescent="0.25">
      <c r="A2152" s="53" t="inlineStr">
        <is>
          <t>LAB-002151</t>
        </is>
      </c>
      <c r="B2152" s="53" t="inlineStr">
        <is>
          <t>WP-00948</t>
        </is>
      </c>
      <c r="C2152" s="53" t="inlineStr">
        <is>
          <t>TECH-025</t>
        </is>
      </c>
      <c r="D2152" s="53" t="inlineStr">
        <is>
          <t>Airframe</t>
        </is>
      </c>
      <c r="E2152" s="53" t="inlineStr">
        <is>
          <t>2025-06-02</t>
        </is>
      </c>
      <c r="F2152" s="53">
        <v>1.5</v>
      </c>
      <c r="G2152" s="53">
        <v>0</v>
      </c>
      <c r="H2152" s="51" t="str">
        <f>TEXT(tblLaborEntries[[#This Row],[Work date serial]]-WEEKDAY(tblLaborEntries[[#This Row],[Work date serial]],3),"yyyy-mm-dd")</f>
        <v>2025-06-02</v>
      </c>
      <c r="I2152" s="64">
        <f>DATEVALUE(tblLaborEntries[[#This Row],[Work date]])</f>
        <v>45810.0</v>
      </c>
    </row>
    <row r="2153" spans="1:9" ht="15" x14ac:dyDescent="0.25">
      <c r="A2153" s="53" t="inlineStr">
        <is>
          <t>LAB-002152</t>
        </is>
      </c>
      <c r="B2153" s="53" t="inlineStr">
        <is>
          <t>WP-00948</t>
        </is>
      </c>
      <c r="C2153" s="53" t="inlineStr">
        <is>
          <t>TECH-055</t>
        </is>
      </c>
      <c r="D2153" s="53" t="inlineStr">
        <is>
          <t>Airframe</t>
        </is>
      </c>
      <c r="E2153" s="53" t="inlineStr">
        <is>
          <t>2025-06-03</t>
        </is>
      </c>
      <c r="F2153" s="53">
        <v>1.9</v>
      </c>
      <c r="G2153" s="53">
        <v>0</v>
      </c>
      <c r="H2153" s="51" t="str">
        <f>TEXT(tblLaborEntries[[#This Row],[Work date serial]]-WEEKDAY(tblLaborEntries[[#This Row],[Work date serial]],3),"yyyy-mm-dd")</f>
        <v>2025-06-02</v>
      </c>
      <c r="I2153" s="64">
        <f>DATEVALUE(tblLaborEntries[[#This Row],[Work date]])</f>
        <v>45811.0</v>
      </c>
    </row>
    <row r="2154" spans="1:9" ht="15" x14ac:dyDescent="0.25">
      <c r="A2154" s="53" t="inlineStr">
        <is>
          <t>LAB-002153</t>
        </is>
      </c>
      <c r="B2154" s="53" t="inlineStr">
        <is>
          <t>WP-00949</t>
        </is>
      </c>
      <c r="C2154" s="53" t="inlineStr">
        <is>
          <t>TECH-026</t>
        </is>
      </c>
      <c r="D2154" s="53" t="inlineStr">
        <is>
          <t>Avionics</t>
        </is>
      </c>
      <c r="E2154" s="53" t="inlineStr">
        <is>
          <t>2025-12-20</t>
        </is>
      </c>
      <c r="F2154" s="53">
        <v>3.9</v>
      </c>
      <c r="G2154" s="53">
        <v>0</v>
      </c>
      <c r="H2154" s="51" t="str">
        <f>TEXT(tblLaborEntries[[#This Row],[Work date serial]]-WEEKDAY(tblLaborEntries[[#This Row],[Work date serial]],3),"yyyy-mm-dd")</f>
        <v>2025-12-15</v>
      </c>
      <c r="I2154" s="64">
        <f>DATEVALUE(tblLaborEntries[[#This Row],[Work date]])</f>
        <v>46011.0</v>
      </c>
    </row>
    <row r="2155" spans="1:9" ht="15" x14ac:dyDescent="0.25">
      <c r="A2155" s="53" t="inlineStr">
        <is>
          <t>LAB-002154</t>
        </is>
      </c>
      <c r="B2155" s="53" t="inlineStr">
        <is>
          <t>WP-00949</t>
        </is>
      </c>
      <c r="C2155" s="53" t="inlineStr">
        <is>
          <t>TECH-068</t>
        </is>
      </c>
      <c r="D2155" s="53" t="inlineStr">
        <is>
          <t>Avionics</t>
        </is>
      </c>
      <c r="E2155" s="53" t="inlineStr">
        <is>
          <t>2025-12-21</t>
        </is>
      </c>
      <c r="F2155" s="53">
        <v>2.8</v>
      </c>
      <c r="G2155" s="53">
        <v>0</v>
      </c>
      <c r="H2155" s="51" t="str">
        <f>TEXT(tblLaborEntries[[#This Row],[Work date serial]]-WEEKDAY(tblLaborEntries[[#This Row],[Work date serial]],3),"yyyy-mm-dd")</f>
        <v>2025-12-15</v>
      </c>
      <c r="I2155" s="64">
        <f>DATEVALUE(tblLaborEntries[[#This Row],[Work date]])</f>
        <v>46012.0</v>
      </c>
    </row>
    <row r="2156" spans="1:9" ht="15" x14ac:dyDescent="0.25">
      <c r="A2156" s="53" t="inlineStr">
        <is>
          <t>LAB-002155</t>
        </is>
      </c>
      <c r="B2156" s="53" t="inlineStr">
        <is>
          <t>WP-00950</t>
        </is>
      </c>
      <c r="C2156" s="53" t="inlineStr">
        <is>
          <t>TECH-043</t>
        </is>
      </c>
      <c r="D2156" s="53" t="inlineStr">
        <is>
          <t>Airframe</t>
        </is>
      </c>
      <c r="E2156" s="53" t="inlineStr">
        <is>
          <t>2024-02-09</t>
        </is>
      </c>
      <c r="F2156" s="53">
        <v>1.8</v>
      </c>
      <c r="G2156" s="53">
        <v>0</v>
      </c>
      <c r="H2156" s="51" t="str">
        <f>TEXT(tblLaborEntries[[#This Row],[Work date serial]]-WEEKDAY(tblLaborEntries[[#This Row],[Work date serial]],3),"yyyy-mm-dd")</f>
        <v>2024-02-05</v>
      </c>
      <c r="I2156" s="64">
        <f>DATEVALUE(tblLaborEntries[[#This Row],[Work date]])</f>
        <v>45331.0</v>
      </c>
    </row>
    <row r="2157" spans="1:9" ht="15" x14ac:dyDescent="0.25">
      <c r="A2157" s="53" t="inlineStr">
        <is>
          <t>LAB-002156</t>
        </is>
      </c>
      <c r="B2157" s="53" t="inlineStr">
        <is>
          <t>WP-00950</t>
        </is>
      </c>
      <c r="C2157" s="53" t="inlineStr">
        <is>
          <t>TECH-007</t>
        </is>
      </c>
      <c r="D2157" s="53" t="inlineStr">
        <is>
          <t>Airframe</t>
        </is>
      </c>
      <c r="E2157" s="53" t="inlineStr">
        <is>
          <t>2024-02-10</t>
        </is>
      </c>
      <c r="F2157" s="53">
        <v>2.2</v>
      </c>
      <c r="G2157" s="53">
        <v>0</v>
      </c>
      <c r="H2157" s="51" t="str">
        <f>TEXT(tblLaborEntries[[#This Row],[Work date serial]]-WEEKDAY(tblLaborEntries[[#This Row],[Work date serial]],3),"yyyy-mm-dd")</f>
        <v>2024-02-05</v>
      </c>
      <c r="I2157" s="64">
        <f>DATEVALUE(tblLaborEntries[[#This Row],[Work date]])</f>
        <v>45332.0</v>
      </c>
    </row>
    <row r="2158" spans="1:9" ht="15" x14ac:dyDescent="0.25">
      <c r="A2158" s="53" t="inlineStr">
        <is>
          <t>LAB-002157</t>
        </is>
      </c>
      <c r="B2158" s="53" t="inlineStr">
        <is>
          <t>WP-00950</t>
        </is>
      </c>
      <c r="C2158" s="53" t="inlineStr">
        <is>
          <t>TECH-001</t>
        </is>
      </c>
      <c r="D2158" s="53" t="inlineStr">
        <is>
          <t>Airframe</t>
        </is>
      </c>
      <c r="E2158" s="53" t="inlineStr">
        <is>
          <t>2024-02-11</t>
        </is>
      </c>
      <c r="F2158" s="53">
        <v>1.6</v>
      </c>
      <c r="G2158" s="53">
        <v>0</v>
      </c>
      <c r="H2158" s="51" t="str">
        <f>TEXT(tblLaborEntries[[#This Row],[Work date serial]]-WEEKDAY(tblLaborEntries[[#This Row],[Work date serial]],3),"yyyy-mm-dd")</f>
        <v>2024-02-05</v>
      </c>
      <c r="I2158" s="64">
        <f>DATEVALUE(tblLaborEntries[[#This Row],[Work date]])</f>
        <v>45333.0</v>
      </c>
    </row>
    <row r="2159" spans="1:9" ht="15" x14ac:dyDescent="0.25">
      <c r="A2159" s="53" t="inlineStr">
        <is>
          <t>LAB-002158</t>
        </is>
      </c>
      <c r="B2159" s="53" t="inlineStr">
        <is>
          <t>WP-00951</t>
        </is>
      </c>
      <c r="C2159" s="53" t="inlineStr">
        <is>
          <t>TECH-067</t>
        </is>
      </c>
      <c r="D2159" s="53" t="inlineStr">
        <is>
          <t>Airframe</t>
        </is>
      </c>
      <c r="E2159" s="53" t="inlineStr">
        <is>
          <t>2025-05-03</t>
        </is>
      </c>
      <c r="F2159" s="53">
        <v>4.4</v>
      </c>
      <c r="G2159" s="53">
        <v>0</v>
      </c>
      <c r="H2159" s="51" t="str">
        <f>TEXT(tblLaborEntries[[#This Row],[Work date serial]]-WEEKDAY(tblLaborEntries[[#This Row],[Work date serial]],3),"yyyy-mm-dd")</f>
        <v>2025-04-28</v>
      </c>
      <c r="I2159" s="64">
        <f>DATEVALUE(tblLaborEntries[[#This Row],[Work date]])</f>
        <v>45780.0</v>
      </c>
    </row>
    <row r="2160" spans="1:9" ht="15" x14ac:dyDescent="0.25">
      <c r="A2160" s="53" t="inlineStr">
        <is>
          <t>LAB-002159</t>
        </is>
      </c>
      <c r="B2160" s="53" t="inlineStr">
        <is>
          <t>WP-00951</t>
        </is>
      </c>
      <c r="C2160" s="53" t="inlineStr">
        <is>
          <t>TECH-001</t>
        </is>
      </c>
      <c r="D2160" s="53" t="inlineStr">
        <is>
          <t>Airframe</t>
        </is>
      </c>
      <c r="E2160" s="53" t="inlineStr">
        <is>
          <t>2025-05-04</t>
        </is>
      </c>
      <c r="F2160" s="53">
        <v>3.6</v>
      </c>
      <c r="G2160" s="53">
        <v>0</v>
      </c>
      <c r="H2160" s="51" t="str">
        <f>TEXT(tblLaborEntries[[#This Row],[Work date serial]]-WEEKDAY(tblLaborEntries[[#This Row],[Work date serial]],3),"yyyy-mm-dd")</f>
        <v>2025-04-28</v>
      </c>
      <c r="I2160" s="64">
        <f>DATEVALUE(tblLaborEntries[[#This Row],[Work date]])</f>
        <v>45781.0</v>
      </c>
    </row>
    <row r="2161" spans="1:9" ht="15" x14ac:dyDescent="0.25">
      <c r="A2161" s="53" t="inlineStr">
        <is>
          <t>LAB-002160</t>
        </is>
      </c>
      <c r="B2161" s="53" t="inlineStr">
        <is>
          <t>WP-00951</t>
        </is>
      </c>
      <c r="C2161" s="53" t="inlineStr">
        <is>
          <t>TECH-049</t>
        </is>
      </c>
      <c r="D2161" s="53" t="inlineStr">
        <is>
          <t>Airframe</t>
        </is>
      </c>
      <c r="E2161" s="53" t="inlineStr">
        <is>
          <t>2025-05-05</t>
        </is>
      </c>
      <c r="F2161" s="53">
        <v>4.3</v>
      </c>
      <c r="G2161" s="53">
        <v>0</v>
      </c>
      <c r="H2161" s="51" t="str">
        <f>TEXT(tblLaborEntries[[#This Row],[Work date serial]]-WEEKDAY(tblLaborEntries[[#This Row],[Work date serial]],3),"yyyy-mm-dd")</f>
        <v>2025-05-05</v>
      </c>
      <c r="I2161" s="64">
        <f>DATEVALUE(tblLaborEntries[[#This Row],[Work date]])</f>
        <v>45782.0</v>
      </c>
    </row>
    <row r="2162" spans="1:9" ht="15" x14ac:dyDescent="0.25">
      <c r="A2162" s="53" t="inlineStr">
        <is>
          <t>LAB-002161</t>
        </is>
      </c>
      <c r="B2162" s="53" t="inlineStr">
        <is>
          <t>WP-00952</t>
        </is>
      </c>
      <c r="C2162" s="53" t="inlineStr">
        <is>
          <t>TECH-048</t>
        </is>
      </c>
      <c r="D2162" s="53" t="inlineStr">
        <is>
          <t>Powerplant</t>
        </is>
      </c>
      <c r="E2162" s="53" t="inlineStr">
        <is>
          <t>2024-04-22</t>
        </is>
      </c>
      <c r="F2162" s="53">
        <v>2.2</v>
      </c>
      <c r="G2162" s="53">
        <v>0</v>
      </c>
      <c r="H2162" s="51" t="str">
        <f>TEXT(tblLaborEntries[[#This Row],[Work date serial]]-WEEKDAY(tblLaborEntries[[#This Row],[Work date serial]],3),"yyyy-mm-dd")</f>
        <v>2024-04-22</v>
      </c>
      <c r="I2162" s="64">
        <f>DATEVALUE(tblLaborEntries[[#This Row],[Work date]])</f>
        <v>45404.0</v>
      </c>
    </row>
    <row r="2163" spans="1:9" ht="15" x14ac:dyDescent="0.25">
      <c r="A2163" s="53" t="inlineStr">
        <is>
          <t>LAB-002162</t>
        </is>
      </c>
      <c r="B2163" s="53" t="inlineStr">
        <is>
          <t>WP-00952</t>
        </is>
      </c>
      <c r="C2163" s="53" t="inlineStr">
        <is>
          <t>TECH-030</t>
        </is>
      </c>
      <c r="D2163" s="53" t="inlineStr">
        <is>
          <t>Powerplant</t>
        </is>
      </c>
      <c r="E2163" s="53" t="inlineStr">
        <is>
          <t>2024-04-23</t>
        </is>
      </c>
      <c r="F2163" s="53">
        <v>2.7</v>
      </c>
      <c r="G2163" s="53">
        <v>0</v>
      </c>
      <c r="H2163" s="51" t="str">
        <f>TEXT(tblLaborEntries[[#This Row],[Work date serial]]-WEEKDAY(tblLaborEntries[[#This Row],[Work date serial]],3),"yyyy-mm-dd")</f>
        <v>2024-04-22</v>
      </c>
      <c r="I2163" s="64">
        <f>DATEVALUE(tblLaborEntries[[#This Row],[Work date]])</f>
        <v>45405.0</v>
      </c>
    </row>
    <row r="2164" spans="1:9" ht="15" x14ac:dyDescent="0.25">
      <c r="A2164" s="53" t="inlineStr">
        <is>
          <t>LAB-002163</t>
        </is>
      </c>
      <c r="B2164" s="53" t="inlineStr">
        <is>
          <t>WP-00952</t>
        </is>
      </c>
      <c r="C2164" s="53" t="inlineStr">
        <is>
          <t>TECH-048</t>
        </is>
      </c>
      <c r="D2164" s="53" t="inlineStr">
        <is>
          <t>Powerplant</t>
        </is>
      </c>
      <c r="E2164" s="53" t="inlineStr">
        <is>
          <t>2024-04-24</t>
        </is>
      </c>
      <c r="F2164" s="53">
        <v>2.1</v>
      </c>
      <c r="G2164" s="53">
        <v>0</v>
      </c>
      <c r="H2164" s="51" t="str">
        <f>TEXT(tblLaborEntries[[#This Row],[Work date serial]]-WEEKDAY(tblLaborEntries[[#This Row],[Work date serial]],3),"yyyy-mm-dd")</f>
        <v>2024-04-22</v>
      </c>
      <c r="I2164" s="64">
        <f>DATEVALUE(tblLaborEntries[[#This Row],[Work date]])</f>
        <v>45406.0</v>
      </c>
    </row>
    <row r="2165" spans="1:9" ht="15" x14ac:dyDescent="0.25">
      <c r="A2165" s="53" t="inlineStr">
        <is>
          <t>LAB-002164</t>
        </is>
      </c>
      <c r="B2165" s="53" t="inlineStr">
        <is>
          <t>WP-00953</t>
        </is>
      </c>
      <c r="C2165" s="53" t="inlineStr">
        <is>
          <t>TECH-073</t>
        </is>
      </c>
      <c r="D2165" s="53" t="inlineStr">
        <is>
          <t>Airframe</t>
        </is>
      </c>
      <c r="E2165" s="53" t="inlineStr">
        <is>
          <t>2025-12-29</t>
        </is>
      </c>
      <c r="F2165" s="53">
        <v>1.6</v>
      </c>
      <c r="G2165" s="53">
        <v>0</v>
      </c>
      <c r="H2165" s="51" t="str">
        <f>TEXT(tblLaborEntries[[#This Row],[Work date serial]]-WEEKDAY(tblLaborEntries[[#This Row],[Work date serial]],3),"yyyy-mm-dd")</f>
        <v>2025-12-29</v>
      </c>
      <c r="I2165" s="64">
        <f>DATEVALUE(tblLaborEntries[[#This Row],[Work date]])</f>
        <v>46020.0</v>
      </c>
    </row>
    <row r="2166" spans="1:9" ht="15" x14ac:dyDescent="0.25">
      <c r="A2166" s="53" t="inlineStr">
        <is>
          <t>LAB-002165</t>
        </is>
      </c>
      <c r="B2166" s="53" t="inlineStr">
        <is>
          <t>WP-00953</t>
        </is>
      </c>
      <c r="C2166" s="53" t="inlineStr">
        <is>
          <t>TECH-013</t>
        </is>
      </c>
      <c r="D2166" s="53" t="inlineStr">
        <is>
          <t>Airframe</t>
        </is>
      </c>
      <c r="E2166" s="53" t="inlineStr">
        <is>
          <t>2025-12-30</t>
        </is>
      </c>
      <c r="F2166" s="53">
        <v>1.8</v>
      </c>
      <c r="G2166" s="53">
        <v>0</v>
      </c>
      <c r="H2166" s="51" t="str">
        <f>TEXT(tblLaborEntries[[#This Row],[Work date serial]]-WEEKDAY(tblLaborEntries[[#This Row],[Work date serial]],3),"yyyy-mm-dd")</f>
        <v>2025-12-29</v>
      </c>
      <c r="I2166" s="64">
        <f>DATEVALUE(tblLaborEntries[[#This Row],[Work date]])</f>
        <v>46021.0</v>
      </c>
    </row>
    <row r="2167" spans="1:9" ht="15" x14ac:dyDescent="0.25">
      <c r="A2167" s="53" t="inlineStr">
        <is>
          <t>LAB-002166</t>
        </is>
      </c>
      <c r="B2167" s="53" t="inlineStr">
        <is>
          <t>WP-00953</t>
        </is>
      </c>
      <c r="C2167" s="53" t="inlineStr">
        <is>
          <t>TECH-007</t>
        </is>
      </c>
      <c r="D2167" s="53" t="inlineStr">
        <is>
          <t>Airframe</t>
        </is>
      </c>
      <c r="E2167" s="53" t="inlineStr">
        <is>
          <t>2025-12-31</t>
        </is>
      </c>
      <c r="F2167" s="53">
        <v>1.5</v>
      </c>
      <c r="G2167" s="53">
        <v>0</v>
      </c>
      <c r="H2167" s="51" t="str">
        <f>TEXT(tblLaborEntries[[#This Row],[Work date serial]]-WEEKDAY(tblLaborEntries[[#This Row],[Work date serial]],3),"yyyy-mm-dd")</f>
        <v>2025-12-29</v>
      </c>
      <c r="I2167" s="64">
        <f>DATEVALUE(tblLaborEntries[[#This Row],[Work date]])</f>
        <v>46022.0</v>
      </c>
    </row>
    <row r="2168" spans="1:9" ht="15" x14ac:dyDescent="0.25">
      <c r="A2168" s="53" t="inlineStr">
        <is>
          <t>LAB-002167</t>
        </is>
      </c>
      <c r="B2168" s="53" t="inlineStr">
        <is>
          <t>WP-00954</t>
        </is>
      </c>
      <c r="C2168" s="53" t="inlineStr">
        <is>
          <t>TECH-005</t>
        </is>
      </c>
      <c r="D2168" s="53" t="inlineStr">
        <is>
          <t>Structures</t>
        </is>
      </c>
      <c r="E2168" s="53" t="inlineStr">
        <is>
          <t>2025-09-17</t>
        </is>
      </c>
      <c r="F2168" s="53">
        <v>10</v>
      </c>
      <c r="G2168" s="53">
        <v>2</v>
      </c>
      <c r="H2168" s="51" t="str">
        <f>TEXT(tblLaborEntries[[#This Row],[Work date serial]]-WEEKDAY(tblLaborEntries[[#This Row],[Work date serial]],3),"yyyy-mm-dd")</f>
        <v>2025-09-15</v>
      </c>
      <c r="I2168" s="64">
        <f>DATEVALUE(tblLaborEntries[[#This Row],[Work date]])</f>
        <v>45917.0</v>
      </c>
    </row>
    <row r="2169" spans="1:9" ht="15" x14ac:dyDescent="0.25">
      <c r="A2169" s="53" t="inlineStr">
        <is>
          <t>LAB-002168</t>
        </is>
      </c>
      <c r="B2169" s="53" t="inlineStr">
        <is>
          <t>WP-00954</t>
        </is>
      </c>
      <c r="C2169" s="53" t="inlineStr">
        <is>
          <t>TECH-017</t>
        </is>
      </c>
      <c r="D2169" s="53" t="inlineStr">
        <is>
          <t>Structures</t>
        </is>
      </c>
      <c r="E2169" s="53" t="inlineStr">
        <is>
          <t>2025-09-18</t>
        </is>
      </c>
      <c r="F2169" s="53">
        <v>9.5</v>
      </c>
      <c r="G2169" s="53">
        <v>1.5</v>
      </c>
      <c r="H2169" s="51" t="str">
        <f>TEXT(tblLaborEntries[[#This Row],[Work date serial]]-WEEKDAY(tblLaborEntries[[#This Row],[Work date serial]],3),"yyyy-mm-dd")</f>
        <v>2025-09-15</v>
      </c>
      <c r="I2169" s="64">
        <f>DATEVALUE(tblLaborEntries[[#This Row],[Work date]])</f>
        <v>45918.0</v>
      </c>
    </row>
    <row r="2170" spans="1:9" ht="15" x14ac:dyDescent="0.25">
      <c r="A2170" s="53" t="inlineStr">
        <is>
          <t>LAB-002169</t>
        </is>
      </c>
      <c r="B2170" s="53" t="inlineStr">
        <is>
          <t>WP-00955</t>
        </is>
      </c>
      <c r="C2170" s="53" t="inlineStr">
        <is>
          <t>TECH-043</t>
        </is>
      </c>
      <c r="D2170" s="53" t="inlineStr">
        <is>
          <t>Airframe</t>
        </is>
      </c>
      <c r="E2170" s="53" t="inlineStr">
        <is>
          <t>2025-02-06</t>
        </is>
      </c>
      <c r="F2170" s="53">
        <v>1.9</v>
      </c>
      <c r="G2170" s="53">
        <v>0</v>
      </c>
      <c r="H2170" s="51" t="str">
        <f>TEXT(tblLaborEntries[[#This Row],[Work date serial]]-WEEKDAY(tblLaborEntries[[#This Row],[Work date serial]],3),"yyyy-mm-dd")</f>
        <v>2025-02-03</v>
      </c>
      <c r="I2170" s="64">
        <f>DATEVALUE(tblLaborEntries[[#This Row],[Work date]])</f>
        <v>45694.0</v>
      </c>
    </row>
    <row r="2171" spans="1:9" ht="15" x14ac:dyDescent="0.25">
      <c r="A2171" s="53" t="inlineStr">
        <is>
          <t>LAB-002170</t>
        </is>
      </c>
      <c r="B2171" s="53" t="inlineStr">
        <is>
          <t>WP-00955</t>
        </is>
      </c>
      <c r="C2171" s="53" t="inlineStr">
        <is>
          <t>TECH-055</t>
        </is>
      </c>
      <c r="D2171" s="53" t="inlineStr">
        <is>
          <t>Airframe</t>
        </is>
      </c>
      <c r="E2171" s="53" t="inlineStr">
        <is>
          <t>2025-02-07</t>
        </is>
      </c>
      <c r="F2171" s="53">
        <v>1.9</v>
      </c>
      <c r="G2171" s="53">
        <v>0</v>
      </c>
      <c r="H2171" s="51" t="str">
        <f>TEXT(tblLaborEntries[[#This Row],[Work date serial]]-WEEKDAY(tblLaborEntries[[#This Row],[Work date serial]],3),"yyyy-mm-dd")</f>
        <v>2025-02-03</v>
      </c>
      <c r="I2171" s="64">
        <f>DATEVALUE(tblLaborEntries[[#This Row],[Work date]])</f>
        <v>45695.0</v>
      </c>
    </row>
    <row r="2172" spans="1:9" ht="15" x14ac:dyDescent="0.25">
      <c r="A2172" s="53" t="inlineStr">
        <is>
          <t>LAB-002171</t>
        </is>
      </c>
      <c r="B2172" s="53" t="inlineStr">
        <is>
          <t>WP-00955</t>
        </is>
      </c>
      <c r="C2172" s="53" t="inlineStr">
        <is>
          <t>TECH-019</t>
        </is>
      </c>
      <c r="D2172" s="53" t="inlineStr">
        <is>
          <t>Airframe</t>
        </is>
      </c>
      <c r="E2172" s="53" t="inlineStr">
        <is>
          <t>2025-02-08</t>
        </is>
      </c>
      <c r="F2172" s="53">
        <v>2.5</v>
      </c>
      <c r="G2172" s="53">
        <v>0</v>
      </c>
      <c r="H2172" s="51" t="str">
        <f>TEXT(tblLaborEntries[[#This Row],[Work date serial]]-WEEKDAY(tblLaborEntries[[#This Row],[Work date serial]],3),"yyyy-mm-dd")</f>
        <v>2025-02-03</v>
      </c>
      <c r="I2172" s="64">
        <f>DATEVALUE(tblLaborEntries[[#This Row],[Work date]])</f>
        <v>45696.0</v>
      </c>
    </row>
    <row r="2173" spans="1:9" ht="15" x14ac:dyDescent="0.25">
      <c r="A2173" s="53" t="inlineStr">
        <is>
          <t>LAB-002172</t>
        </is>
      </c>
      <c r="B2173" s="53" t="inlineStr">
        <is>
          <t>WP-00956</t>
        </is>
      </c>
      <c r="C2173" s="53" t="inlineStr">
        <is>
          <t>TECH-002</t>
        </is>
      </c>
      <c r="D2173" s="53" t="inlineStr">
        <is>
          <t>Avionics</t>
        </is>
      </c>
      <c r="E2173" s="53" t="inlineStr">
        <is>
          <t>2025-07-20</t>
        </is>
      </c>
      <c r="F2173" s="53">
        <v>7.3</v>
      </c>
      <c r="G2173" s="53">
        <v>0</v>
      </c>
      <c r="H2173" s="51" t="str">
        <f>TEXT(tblLaborEntries[[#This Row],[Work date serial]]-WEEKDAY(tblLaborEntries[[#This Row],[Work date serial]],3),"yyyy-mm-dd")</f>
        <v>2025-07-14</v>
      </c>
      <c r="I2173" s="64">
        <f>DATEVALUE(tblLaborEntries[[#This Row],[Work date]])</f>
        <v>45858.0</v>
      </c>
    </row>
    <row r="2174" spans="1:9" ht="15" x14ac:dyDescent="0.25">
      <c r="A2174" s="53" t="inlineStr">
        <is>
          <t>LAB-002173</t>
        </is>
      </c>
      <c r="B2174" s="53" t="inlineStr">
        <is>
          <t>WP-00956</t>
        </is>
      </c>
      <c r="C2174" s="53" t="inlineStr">
        <is>
          <t>TECH-056</t>
        </is>
      </c>
      <c r="D2174" s="53" t="inlineStr">
        <is>
          <t>Avionics</t>
        </is>
      </c>
      <c r="E2174" s="53" t="inlineStr">
        <is>
          <t>2025-07-20</t>
        </is>
      </c>
      <c r="F2174" s="53">
        <v>12</v>
      </c>
      <c r="G2174" s="53">
        <v>4</v>
      </c>
      <c r="H2174" s="51" t="str">
        <f>TEXT(tblLaborEntries[[#This Row],[Work date serial]]-WEEKDAY(tblLaborEntries[[#This Row],[Work date serial]],3),"yyyy-mm-dd")</f>
        <v>2025-07-14</v>
      </c>
      <c r="I2174" s="64">
        <f>DATEVALUE(tblLaborEntries[[#This Row],[Work date]])</f>
        <v>45858.0</v>
      </c>
    </row>
    <row r="2175" spans="1:9" ht="15" x14ac:dyDescent="0.25">
      <c r="A2175" s="53" t="inlineStr">
        <is>
          <t>LAB-002174</t>
        </is>
      </c>
      <c r="B2175" s="53" t="inlineStr">
        <is>
          <t>WP-00957</t>
        </is>
      </c>
      <c r="C2175" s="53" t="inlineStr">
        <is>
          <t>TECH-067</t>
        </is>
      </c>
      <c r="D2175" s="53" t="inlineStr">
        <is>
          <t>Airframe</t>
        </is>
      </c>
      <c r="E2175" s="53" t="inlineStr">
        <is>
          <t>2024-09-05</t>
        </is>
      </c>
      <c r="F2175" s="53">
        <v>1.9</v>
      </c>
      <c r="G2175" s="53">
        <v>0</v>
      </c>
      <c r="H2175" s="51" t="str">
        <f>TEXT(tblLaborEntries[[#This Row],[Work date serial]]-WEEKDAY(tblLaborEntries[[#This Row],[Work date serial]],3),"yyyy-mm-dd")</f>
        <v>2024-09-02</v>
      </c>
      <c r="I2175" s="64">
        <f>DATEVALUE(tblLaborEntries[[#This Row],[Work date]])</f>
        <v>45540.0</v>
      </c>
    </row>
    <row r="2176" spans="1:9" ht="15" x14ac:dyDescent="0.25">
      <c r="A2176" s="53" t="inlineStr">
        <is>
          <t>LAB-002175</t>
        </is>
      </c>
      <c r="B2176" s="53" t="inlineStr">
        <is>
          <t>WP-00957</t>
        </is>
      </c>
      <c r="C2176" s="53" t="inlineStr">
        <is>
          <t>TECH-001</t>
        </is>
      </c>
      <c r="D2176" s="53" t="inlineStr">
        <is>
          <t>Airframe</t>
        </is>
      </c>
      <c r="E2176" s="53" t="inlineStr">
        <is>
          <t>2024-09-06</t>
        </is>
      </c>
      <c r="F2176" s="53">
        <v>2.9</v>
      </c>
      <c r="G2176" s="53">
        <v>0</v>
      </c>
      <c r="H2176" s="51" t="str">
        <f>TEXT(tblLaborEntries[[#This Row],[Work date serial]]-WEEKDAY(tblLaborEntries[[#This Row],[Work date serial]],3),"yyyy-mm-dd")</f>
        <v>2024-09-02</v>
      </c>
      <c r="I2176" s="64">
        <f>DATEVALUE(tblLaborEntries[[#This Row],[Work date]])</f>
        <v>45541.0</v>
      </c>
    </row>
    <row r="2177" spans="1:9" ht="15" x14ac:dyDescent="0.25">
      <c r="A2177" s="53" t="inlineStr">
        <is>
          <t>LAB-002176</t>
        </is>
      </c>
      <c r="B2177" s="53" t="inlineStr">
        <is>
          <t>WP-00958</t>
        </is>
      </c>
      <c r="C2177" s="53" t="inlineStr">
        <is>
          <t>TECH-009</t>
        </is>
      </c>
      <c r="D2177" s="53" t="inlineStr">
        <is>
          <t>Hydraulics</t>
        </is>
      </c>
      <c r="E2177" s="53" t="inlineStr">
        <is>
          <t>2025-02-28</t>
        </is>
      </c>
      <c r="F2177" s="53">
        <v>5.5</v>
      </c>
      <c r="G2177" s="53">
        <v>0</v>
      </c>
      <c r="H2177" s="51" t="str">
        <f>TEXT(tblLaborEntries[[#This Row],[Work date serial]]-WEEKDAY(tblLaborEntries[[#This Row],[Work date serial]],3),"yyyy-mm-dd")</f>
        <v>2025-02-24</v>
      </c>
      <c r="I2177" s="64">
        <f>DATEVALUE(tblLaborEntries[[#This Row],[Work date]])</f>
        <v>45716.0</v>
      </c>
    </row>
    <row r="2178" spans="1:9" ht="15" x14ac:dyDescent="0.25">
      <c r="A2178" s="53" t="inlineStr">
        <is>
          <t>LAB-002177</t>
        </is>
      </c>
      <c r="B2178" s="53" t="inlineStr">
        <is>
          <t>WP-00958</t>
        </is>
      </c>
      <c r="C2178" s="53" t="inlineStr">
        <is>
          <t>TECH-075</t>
        </is>
      </c>
      <c r="D2178" s="53" t="inlineStr">
        <is>
          <t>Hydraulics</t>
        </is>
      </c>
      <c r="E2178" s="53" t="inlineStr">
        <is>
          <t>2025-03-01</t>
        </is>
      </c>
      <c r="F2178" s="53">
        <v>7.5</v>
      </c>
      <c r="G2178" s="53">
        <v>0</v>
      </c>
      <c r="H2178" s="51" t="str">
        <f>TEXT(tblLaborEntries[[#This Row],[Work date serial]]-WEEKDAY(tblLaborEntries[[#This Row],[Work date serial]],3),"yyyy-mm-dd")</f>
        <v>2025-02-24</v>
      </c>
      <c r="I2178" s="64">
        <f>DATEVALUE(tblLaborEntries[[#This Row],[Work date]])</f>
        <v>45717.0</v>
      </c>
    </row>
    <row r="2179" spans="1:9" ht="15" x14ac:dyDescent="0.25">
      <c r="A2179" s="53" t="inlineStr">
        <is>
          <t>LAB-002178</t>
        </is>
      </c>
      <c r="B2179" s="53" t="inlineStr">
        <is>
          <t>WP-00958</t>
        </is>
      </c>
      <c r="C2179" s="53" t="inlineStr">
        <is>
          <t>TECH-057</t>
        </is>
      </c>
      <c r="D2179" s="53" t="inlineStr">
        <is>
          <t>Hydraulics</t>
        </is>
      </c>
      <c r="E2179" s="53" t="inlineStr">
        <is>
          <t>2025-03-02</t>
        </is>
      </c>
      <c r="F2179" s="53">
        <v>5.9</v>
      </c>
      <c r="G2179" s="53">
        <v>0</v>
      </c>
      <c r="H2179" s="51" t="str">
        <f>TEXT(tblLaborEntries[[#This Row],[Work date serial]]-WEEKDAY(tblLaborEntries[[#This Row],[Work date serial]],3),"yyyy-mm-dd")</f>
        <v>2025-02-24</v>
      </c>
      <c r="I2179" s="64">
        <f>DATEVALUE(tblLaborEntries[[#This Row],[Work date]])</f>
        <v>45718.0</v>
      </c>
    </row>
    <row r="2180" spans="1:9" ht="15" x14ac:dyDescent="0.25">
      <c r="A2180" s="53" t="inlineStr">
        <is>
          <t>LAB-002179</t>
        </is>
      </c>
      <c r="B2180" s="53" t="inlineStr">
        <is>
          <t>WP-00959</t>
        </is>
      </c>
      <c r="C2180" s="53" t="inlineStr">
        <is>
          <t>TECH-072</t>
        </is>
      </c>
      <c r="D2180" s="53" t="inlineStr">
        <is>
          <t>Powerplant</t>
        </is>
      </c>
      <c r="E2180" s="53" t="inlineStr">
        <is>
          <t>2024-05-29</t>
        </is>
      </c>
      <c r="F2180" s="53">
        <v>8.1</v>
      </c>
      <c r="G2180" s="53">
        <v>0.1</v>
      </c>
      <c r="H2180" s="51" t="str">
        <f>TEXT(tblLaborEntries[[#This Row],[Work date serial]]-WEEKDAY(tblLaborEntries[[#This Row],[Work date serial]],3),"yyyy-mm-dd")</f>
        <v>2024-05-27</v>
      </c>
      <c r="I2180" s="64">
        <f>DATEVALUE(tblLaborEntries[[#This Row],[Work date]])</f>
        <v>45441.0</v>
      </c>
    </row>
    <row r="2181" spans="1:9" ht="15" x14ac:dyDescent="0.25">
      <c r="A2181" s="53" t="inlineStr">
        <is>
          <t>LAB-002180</t>
        </is>
      </c>
      <c r="B2181" s="53" t="inlineStr">
        <is>
          <t>WP-00959</t>
        </is>
      </c>
      <c r="C2181" s="53" t="inlineStr">
        <is>
          <t>TECH-066</t>
        </is>
      </c>
      <c r="D2181" s="53" t="inlineStr">
        <is>
          <t>Powerplant</t>
        </is>
      </c>
      <c r="E2181" s="53" t="inlineStr">
        <is>
          <t>2024-05-30</t>
        </is>
      </c>
      <c r="F2181" s="53">
        <v>8.2</v>
      </c>
      <c r="G2181" s="53">
        <v>0.2</v>
      </c>
      <c r="H2181" s="51" t="str">
        <f>TEXT(tblLaborEntries[[#This Row],[Work date serial]]-WEEKDAY(tblLaborEntries[[#This Row],[Work date serial]],3),"yyyy-mm-dd")</f>
        <v>2024-05-27</v>
      </c>
      <c r="I2181" s="64">
        <f>DATEVALUE(tblLaborEntries[[#This Row],[Work date]])</f>
        <v>45442.0</v>
      </c>
    </row>
    <row r="2182" spans="1:9" ht="15" x14ac:dyDescent="0.25">
      <c r="A2182" s="53" t="inlineStr">
        <is>
          <t>LAB-002181</t>
        </is>
      </c>
      <c r="B2182" s="53" t="inlineStr">
        <is>
          <t>WP-00959</t>
        </is>
      </c>
      <c r="C2182" s="53" t="inlineStr">
        <is>
          <t>TECH-048</t>
        </is>
      </c>
      <c r="D2182" s="53" t="inlineStr">
        <is>
          <t>Powerplant</t>
        </is>
      </c>
      <c r="E2182" s="53" t="inlineStr">
        <is>
          <t>2024-05-31</t>
        </is>
      </c>
      <c r="F2182" s="53">
        <v>10.1</v>
      </c>
      <c r="G2182" s="53">
        <v>2.1</v>
      </c>
      <c r="H2182" s="51" t="str">
        <f>TEXT(tblLaborEntries[[#This Row],[Work date serial]]-WEEKDAY(tblLaborEntries[[#This Row],[Work date serial]],3),"yyyy-mm-dd")</f>
        <v>2024-05-27</v>
      </c>
      <c r="I2182" s="64">
        <f>DATEVALUE(tblLaborEntries[[#This Row],[Work date]])</f>
        <v>45443.0</v>
      </c>
    </row>
    <row r="2183" spans="1:9" ht="15" x14ac:dyDescent="0.25">
      <c r="A2183" s="53" t="inlineStr">
        <is>
          <t>LAB-002182</t>
        </is>
      </c>
      <c r="B2183" s="53" t="inlineStr">
        <is>
          <t>WP-00960</t>
        </is>
      </c>
      <c r="C2183" s="53" t="inlineStr">
        <is>
          <t>TECH-007</t>
        </is>
      </c>
      <c r="D2183" s="53" t="inlineStr">
        <is>
          <t>Airframe</t>
        </is>
      </c>
      <c r="E2183" s="53" t="inlineStr">
        <is>
          <t>2025-07-24</t>
        </is>
      </c>
      <c r="F2183" s="53">
        <v>4.2</v>
      </c>
      <c r="G2183" s="53">
        <v>0</v>
      </c>
      <c r="H2183" s="51" t="str">
        <f>TEXT(tblLaborEntries[[#This Row],[Work date serial]]-WEEKDAY(tblLaborEntries[[#This Row],[Work date serial]],3),"yyyy-mm-dd")</f>
        <v>2025-07-21</v>
      </c>
      <c r="I2183" s="64">
        <f>DATEVALUE(tblLaborEntries[[#This Row],[Work date]])</f>
        <v>45862.0</v>
      </c>
    </row>
    <row r="2184" spans="1:9" ht="15" x14ac:dyDescent="0.25">
      <c r="A2184" s="53" t="inlineStr">
        <is>
          <t>LAB-002183</t>
        </is>
      </c>
      <c r="B2184" s="53" t="inlineStr">
        <is>
          <t>WP-00961</t>
        </is>
      </c>
      <c r="C2184" s="53" t="inlineStr">
        <is>
          <t>TECH-021</t>
        </is>
      </c>
      <c r="D2184" s="53" t="inlineStr">
        <is>
          <t>Hydraulics</t>
        </is>
      </c>
      <c r="E2184" s="53" t="inlineStr">
        <is>
          <t>2025-11-22</t>
        </is>
      </c>
      <c r="F2184" s="53">
        <v>4.4</v>
      </c>
      <c r="G2184" s="53">
        <v>0</v>
      </c>
      <c r="H2184" s="51" t="str">
        <f>TEXT(tblLaborEntries[[#This Row],[Work date serial]]-WEEKDAY(tblLaborEntries[[#This Row],[Work date serial]],3),"yyyy-mm-dd")</f>
        <v>2025-11-17</v>
      </c>
      <c r="I2184" s="64">
        <f>DATEVALUE(tblLaborEntries[[#This Row],[Work date]])</f>
        <v>45983.0</v>
      </c>
    </row>
    <row r="2185" spans="1:9" ht="15" x14ac:dyDescent="0.25">
      <c r="A2185" s="53" t="inlineStr">
        <is>
          <t>LAB-002184</t>
        </is>
      </c>
      <c r="B2185" s="53" t="inlineStr">
        <is>
          <t>WP-00961</t>
        </is>
      </c>
      <c r="C2185" s="53" t="inlineStr">
        <is>
          <t>TECH-027</t>
        </is>
      </c>
      <c r="D2185" s="53" t="inlineStr">
        <is>
          <t>Hydraulics</t>
        </is>
      </c>
      <c r="E2185" s="53" t="inlineStr">
        <is>
          <t>2025-11-23</t>
        </is>
      </c>
      <c r="F2185" s="53">
        <v>4.8</v>
      </c>
      <c r="G2185" s="53">
        <v>0</v>
      </c>
      <c r="H2185" s="51" t="str">
        <f>TEXT(tblLaborEntries[[#This Row],[Work date serial]]-WEEKDAY(tblLaborEntries[[#This Row],[Work date serial]],3),"yyyy-mm-dd")</f>
        <v>2025-11-17</v>
      </c>
      <c r="I2185" s="64">
        <f>DATEVALUE(tblLaborEntries[[#This Row],[Work date]])</f>
        <v>45984.0</v>
      </c>
    </row>
    <row r="2186" spans="1:9" ht="15" x14ac:dyDescent="0.25">
      <c r="A2186" s="53" t="inlineStr">
        <is>
          <t>LAB-002185</t>
        </is>
      </c>
      <c r="B2186" s="53" t="inlineStr">
        <is>
          <t>WP-00962</t>
        </is>
      </c>
      <c r="C2186" s="53" t="inlineStr">
        <is>
          <t>TECH-012</t>
        </is>
      </c>
      <c r="D2186" s="53" t="inlineStr">
        <is>
          <t>Powerplant</t>
        </is>
      </c>
      <c r="E2186" s="53" t="inlineStr">
        <is>
          <t>2025-12-04</t>
        </is>
      </c>
      <c r="F2186" s="53">
        <v>4</v>
      </c>
      <c r="G2186" s="53">
        <v>0</v>
      </c>
      <c r="H2186" s="51" t="str">
        <f>TEXT(tblLaborEntries[[#This Row],[Work date serial]]-WEEKDAY(tblLaborEntries[[#This Row],[Work date serial]],3),"yyyy-mm-dd")</f>
        <v>2025-12-01</v>
      </c>
      <c r="I2186" s="64">
        <f>DATEVALUE(tblLaborEntries[[#This Row],[Work date]])</f>
        <v>45995.0</v>
      </c>
    </row>
    <row r="2187" spans="1:9" ht="15" x14ac:dyDescent="0.25">
      <c r="A2187" s="53" t="inlineStr">
        <is>
          <t>LAB-002186</t>
        </is>
      </c>
      <c r="B2187" s="53" t="inlineStr">
        <is>
          <t>WP-00962</t>
        </is>
      </c>
      <c r="C2187" s="53" t="inlineStr">
        <is>
          <t>TECH-042</t>
        </is>
      </c>
      <c r="D2187" s="53" t="inlineStr">
        <is>
          <t>Powerplant</t>
        </is>
      </c>
      <c r="E2187" s="53" t="inlineStr">
        <is>
          <t>2025-12-05</t>
        </is>
      </c>
      <c r="F2187" s="53">
        <v>3.2</v>
      </c>
      <c r="G2187" s="53">
        <v>0</v>
      </c>
      <c r="H2187" s="51" t="str">
        <f>TEXT(tblLaborEntries[[#This Row],[Work date serial]]-WEEKDAY(tblLaborEntries[[#This Row],[Work date serial]],3),"yyyy-mm-dd")</f>
        <v>2025-12-01</v>
      </c>
      <c r="I2187" s="64">
        <f>DATEVALUE(tblLaborEntries[[#This Row],[Work date]])</f>
        <v>45996.0</v>
      </c>
    </row>
    <row r="2188" spans="1:9" ht="15" x14ac:dyDescent="0.25">
      <c r="A2188" s="53" t="inlineStr">
        <is>
          <t>LAB-002187</t>
        </is>
      </c>
      <c r="B2188" s="53" t="inlineStr">
        <is>
          <t>WP-00963</t>
        </is>
      </c>
      <c r="C2188" s="53" t="inlineStr">
        <is>
          <t>TECH-074</t>
        </is>
      </c>
      <c r="D2188" s="53" t="inlineStr">
        <is>
          <t>Avionics</t>
        </is>
      </c>
      <c r="E2188" s="53" t="inlineStr">
        <is>
          <t>2025-06-15</t>
        </is>
      </c>
      <c r="F2188" s="53">
        <v>2.2</v>
      </c>
      <c r="G2188" s="53">
        <v>0</v>
      </c>
      <c r="H2188" s="51" t="str">
        <f>TEXT(tblLaborEntries[[#This Row],[Work date serial]]-WEEKDAY(tblLaborEntries[[#This Row],[Work date serial]],3),"yyyy-mm-dd")</f>
        <v>2025-06-09</v>
      </c>
      <c r="I2188" s="64">
        <f>DATEVALUE(tblLaborEntries[[#This Row],[Work date]])</f>
        <v>45823.0</v>
      </c>
    </row>
    <row r="2189" spans="1:9" ht="15" x14ac:dyDescent="0.25">
      <c r="A2189" s="53" t="inlineStr">
        <is>
          <t>LAB-002188</t>
        </is>
      </c>
      <c r="B2189" s="53" t="inlineStr">
        <is>
          <t>WP-00963</t>
        </is>
      </c>
      <c r="C2189" s="53" t="inlineStr">
        <is>
          <t>TECH-062</t>
        </is>
      </c>
      <c r="D2189" s="53" t="inlineStr">
        <is>
          <t>Avionics</t>
        </is>
      </c>
      <c r="E2189" s="53" t="inlineStr">
        <is>
          <t>2025-06-16</t>
        </is>
      </c>
      <c r="F2189" s="53">
        <v>2</v>
      </c>
      <c r="G2189" s="53">
        <v>0</v>
      </c>
      <c r="H2189" s="51" t="str">
        <f>TEXT(tblLaborEntries[[#This Row],[Work date serial]]-WEEKDAY(tblLaborEntries[[#This Row],[Work date serial]],3),"yyyy-mm-dd")</f>
        <v>2025-06-16</v>
      </c>
      <c r="I2189" s="64">
        <f>DATEVALUE(tblLaborEntries[[#This Row],[Work date]])</f>
        <v>45824.0</v>
      </c>
    </row>
    <row r="2190" spans="1:9" ht="15" x14ac:dyDescent="0.25">
      <c r="A2190" s="53" t="inlineStr">
        <is>
          <t>LAB-002189</t>
        </is>
      </c>
      <c r="B2190" s="53" t="inlineStr">
        <is>
          <t>WP-00964</t>
        </is>
      </c>
      <c r="C2190" s="53" t="inlineStr">
        <is>
          <t>TECH-044</t>
        </is>
      </c>
      <c r="D2190" s="53" t="inlineStr">
        <is>
          <t>Avionics</t>
        </is>
      </c>
      <c r="E2190" s="53" t="inlineStr">
        <is>
          <t>2024-08-03</t>
        </is>
      </c>
      <c r="F2190" s="53">
        <v>9</v>
      </c>
      <c r="G2190" s="53">
        <v>1</v>
      </c>
      <c r="H2190" s="51" t="str">
        <f>TEXT(tblLaborEntries[[#This Row],[Work date serial]]-WEEKDAY(tblLaborEntries[[#This Row],[Work date serial]],3),"yyyy-mm-dd")</f>
        <v>2024-07-29</v>
      </c>
      <c r="I2190" s="64">
        <f>DATEVALUE(tblLaborEntries[[#This Row],[Work date]])</f>
        <v>45507.0</v>
      </c>
    </row>
    <row r="2191" spans="1:9" ht="15" x14ac:dyDescent="0.25">
      <c r="A2191" s="53" t="inlineStr">
        <is>
          <t>LAB-002190</t>
        </is>
      </c>
      <c r="B2191" s="53" t="inlineStr">
        <is>
          <t>WP-00964</t>
        </is>
      </c>
      <c r="C2191" s="53" t="inlineStr">
        <is>
          <t>TECH-056</t>
        </is>
      </c>
      <c r="D2191" s="53" t="inlineStr">
        <is>
          <t>Avionics</t>
        </is>
      </c>
      <c r="E2191" s="53" t="inlineStr">
        <is>
          <t>2024-08-04</t>
        </is>
      </c>
      <c r="F2191" s="53">
        <v>10.8</v>
      </c>
      <c r="G2191" s="53">
        <v>2.8</v>
      </c>
      <c r="H2191" s="51" t="str">
        <f>TEXT(tblLaborEntries[[#This Row],[Work date serial]]-WEEKDAY(tblLaborEntries[[#This Row],[Work date serial]],3),"yyyy-mm-dd")</f>
        <v>2024-07-29</v>
      </c>
      <c r="I2191" s="64">
        <f>DATEVALUE(tblLaborEntries[[#This Row],[Work date]])</f>
        <v>45508.0</v>
      </c>
    </row>
    <row r="2192" spans="1:9" ht="15" x14ac:dyDescent="0.25">
      <c r="A2192" s="53" t="inlineStr">
        <is>
          <t>LAB-002191</t>
        </is>
      </c>
      <c r="B2192" s="53" t="inlineStr">
        <is>
          <t>WP-00965</t>
        </is>
      </c>
      <c r="C2192" s="53" t="inlineStr">
        <is>
          <t>TECH-002</t>
        </is>
      </c>
      <c r="D2192" s="53" t="inlineStr">
        <is>
          <t>Avionics</t>
        </is>
      </c>
      <c r="E2192" s="53" t="inlineStr">
        <is>
          <t>2024-10-30</t>
        </is>
      </c>
      <c r="F2192" s="53">
        <v>6.9</v>
      </c>
      <c r="G2192" s="53">
        <v>0</v>
      </c>
      <c r="H2192" s="51" t="str">
        <f>TEXT(tblLaborEntries[[#This Row],[Work date serial]]-WEEKDAY(tblLaborEntries[[#This Row],[Work date serial]],3),"yyyy-mm-dd")</f>
        <v>2024-10-28</v>
      </c>
      <c r="I2192" s="64">
        <f>DATEVALUE(tblLaborEntries[[#This Row],[Work date]])</f>
        <v>45595.0</v>
      </c>
    </row>
    <row r="2193" spans="1:9" ht="15" x14ac:dyDescent="0.25">
      <c r="A2193" s="53" t="inlineStr">
        <is>
          <t>LAB-002192</t>
        </is>
      </c>
      <c r="B2193" s="53" t="inlineStr">
        <is>
          <t>WP-00965</t>
        </is>
      </c>
      <c r="C2193" s="53" t="inlineStr">
        <is>
          <t>TECH-062</t>
        </is>
      </c>
      <c r="D2193" s="53" t="inlineStr">
        <is>
          <t>Avionics</t>
        </is>
      </c>
      <c r="E2193" s="53" t="inlineStr">
        <is>
          <t>2024-10-31</t>
        </is>
      </c>
      <c r="F2193" s="53">
        <v>10.1</v>
      </c>
      <c r="G2193" s="53">
        <v>2.1</v>
      </c>
      <c r="H2193" s="51" t="str">
        <f>TEXT(tblLaborEntries[[#This Row],[Work date serial]]-WEEKDAY(tblLaborEntries[[#This Row],[Work date serial]],3),"yyyy-mm-dd")</f>
        <v>2024-10-28</v>
      </c>
      <c r="I2193" s="64">
        <f>DATEVALUE(tblLaborEntries[[#This Row],[Work date]])</f>
        <v>45596.0</v>
      </c>
    </row>
    <row r="2194" spans="1:9" ht="15" x14ac:dyDescent="0.25">
      <c r="A2194" s="53" t="inlineStr">
        <is>
          <t>LAB-002193</t>
        </is>
      </c>
      <c r="B2194" s="53" t="inlineStr">
        <is>
          <t>WP-00966</t>
        </is>
      </c>
      <c r="C2194" s="53" t="inlineStr">
        <is>
          <t>TECH-073</t>
        </is>
      </c>
      <c r="D2194" s="53" t="inlineStr">
        <is>
          <t>Airframe</t>
        </is>
      </c>
      <c r="E2194" s="53" t="inlineStr">
        <is>
          <t>2024-01-18</t>
        </is>
      </c>
      <c r="F2194" s="53">
        <v>0.9</v>
      </c>
      <c r="G2194" s="53">
        <v>0</v>
      </c>
      <c r="H2194" s="51" t="str">
        <f>TEXT(tblLaborEntries[[#This Row],[Work date serial]]-WEEKDAY(tblLaborEntries[[#This Row],[Work date serial]],3),"yyyy-mm-dd")</f>
        <v>2024-01-15</v>
      </c>
      <c r="I2194" s="64">
        <f>DATEVALUE(tblLaborEntries[[#This Row],[Work date]])</f>
        <v>45309.0</v>
      </c>
    </row>
    <row r="2195" spans="1:9" ht="15" x14ac:dyDescent="0.25">
      <c r="A2195" s="53" t="inlineStr">
        <is>
          <t>LAB-002194</t>
        </is>
      </c>
      <c r="B2195" s="53" t="inlineStr">
        <is>
          <t>WP-00966</t>
        </is>
      </c>
      <c r="C2195" s="53" t="inlineStr">
        <is>
          <t>TECH-001</t>
        </is>
      </c>
      <c r="D2195" s="53" t="inlineStr">
        <is>
          <t>Airframe</t>
        </is>
      </c>
      <c r="E2195" s="53" t="inlineStr">
        <is>
          <t>2024-01-19</t>
        </is>
      </c>
      <c r="F2195" s="53">
        <v>1</v>
      </c>
      <c r="G2195" s="53">
        <v>0</v>
      </c>
      <c r="H2195" s="51" t="str">
        <f>TEXT(tblLaborEntries[[#This Row],[Work date serial]]-WEEKDAY(tblLaborEntries[[#This Row],[Work date serial]],3),"yyyy-mm-dd")</f>
        <v>2024-01-15</v>
      </c>
      <c r="I2195" s="64">
        <f>DATEVALUE(tblLaborEntries[[#This Row],[Work date]])</f>
        <v>45310.0</v>
      </c>
    </row>
    <row r="2196" spans="1:9" ht="15" x14ac:dyDescent="0.25">
      <c r="A2196" s="53" t="inlineStr">
        <is>
          <t>LAB-002195</t>
        </is>
      </c>
      <c r="B2196" s="53" t="inlineStr">
        <is>
          <t>WP-00966</t>
        </is>
      </c>
      <c r="C2196" s="53" t="inlineStr">
        <is>
          <t>TECH-049</t>
        </is>
      </c>
      <c r="D2196" s="53" t="inlineStr">
        <is>
          <t>Airframe</t>
        </is>
      </c>
      <c r="E2196" s="53" t="inlineStr">
        <is>
          <t>2024-01-20</t>
        </is>
      </c>
      <c r="F2196" s="53">
        <v>1.3</v>
      </c>
      <c r="G2196" s="53">
        <v>0</v>
      </c>
      <c r="H2196" s="51" t="str">
        <f>TEXT(tblLaborEntries[[#This Row],[Work date serial]]-WEEKDAY(tblLaborEntries[[#This Row],[Work date serial]],3),"yyyy-mm-dd")</f>
        <v>2024-01-15</v>
      </c>
      <c r="I2196" s="64">
        <f>DATEVALUE(tblLaborEntries[[#This Row],[Work date]])</f>
        <v>45311.0</v>
      </c>
    </row>
    <row r="2197" spans="1:9" ht="15" x14ac:dyDescent="0.25">
      <c r="A2197" s="53" t="inlineStr">
        <is>
          <t>LAB-002196</t>
        </is>
      </c>
      <c r="B2197" s="53" t="inlineStr">
        <is>
          <t>WP-00967</t>
        </is>
      </c>
      <c r="C2197" s="53" t="inlineStr">
        <is>
          <t>TECH-014</t>
        </is>
      </c>
      <c r="D2197" s="53" t="inlineStr">
        <is>
          <t>Avionics</t>
        </is>
      </c>
      <c r="E2197" s="53" t="inlineStr">
        <is>
          <t>2025-08-15</t>
        </is>
      </c>
      <c r="F2197" s="53">
        <v>5.7</v>
      </c>
      <c r="G2197" s="53">
        <v>0</v>
      </c>
      <c r="H2197" s="51" t="str">
        <f>TEXT(tblLaborEntries[[#This Row],[Work date serial]]-WEEKDAY(tblLaborEntries[[#This Row],[Work date serial]],3),"yyyy-mm-dd")</f>
        <v>2025-08-11</v>
      </c>
      <c r="I2197" s="64">
        <f>DATEVALUE(tblLaborEntries[[#This Row],[Work date]])</f>
        <v>45884.0</v>
      </c>
    </row>
    <row r="2198" spans="1:9" ht="15" x14ac:dyDescent="0.25">
      <c r="A2198" s="53" t="inlineStr">
        <is>
          <t>LAB-002197</t>
        </is>
      </c>
      <c r="B2198" s="53" t="inlineStr">
        <is>
          <t>WP-00968</t>
        </is>
      </c>
      <c r="C2198" s="53" t="inlineStr">
        <is>
          <t>TECH-001</t>
        </is>
      </c>
      <c r="D2198" s="53" t="inlineStr">
        <is>
          <t>Airframe</t>
        </is>
      </c>
      <c r="E2198" s="53" t="inlineStr">
        <is>
          <t>2025-09-11</t>
        </is>
      </c>
      <c r="F2198" s="53">
        <v>2.7</v>
      </c>
      <c r="G2198" s="53">
        <v>0</v>
      </c>
      <c r="H2198" s="51" t="str">
        <f>TEXT(tblLaborEntries[[#This Row],[Work date serial]]-WEEKDAY(tblLaborEntries[[#This Row],[Work date serial]],3),"yyyy-mm-dd")</f>
        <v>2025-09-08</v>
      </c>
      <c r="I2198" s="64">
        <f>DATEVALUE(tblLaborEntries[[#This Row],[Work date]])</f>
        <v>45911.0</v>
      </c>
    </row>
    <row r="2199" spans="1:9" ht="15" x14ac:dyDescent="0.25">
      <c r="A2199" s="53" t="inlineStr">
        <is>
          <t>LAB-002198</t>
        </is>
      </c>
      <c r="B2199" s="53" t="inlineStr">
        <is>
          <t>WP-00968</t>
        </is>
      </c>
      <c r="C2199" s="53" t="inlineStr">
        <is>
          <t>TECH-019</t>
        </is>
      </c>
      <c r="D2199" s="53" t="inlineStr">
        <is>
          <t>Airframe</t>
        </is>
      </c>
      <c r="E2199" s="53" t="inlineStr">
        <is>
          <t>2025-09-12</t>
        </is>
      </c>
      <c r="F2199" s="53">
        <v>2.2</v>
      </c>
      <c r="G2199" s="53">
        <v>0</v>
      </c>
      <c r="H2199" s="51" t="str">
        <f>TEXT(tblLaborEntries[[#This Row],[Work date serial]]-WEEKDAY(tblLaborEntries[[#This Row],[Work date serial]],3),"yyyy-mm-dd")</f>
        <v>2025-09-08</v>
      </c>
      <c r="I2199" s="64">
        <f>DATEVALUE(tblLaborEntries[[#This Row],[Work date]])</f>
        <v>45912.0</v>
      </c>
    </row>
    <row r="2200" spans="1:9" ht="15" x14ac:dyDescent="0.25">
      <c r="A2200" s="53" t="inlineStr">
        <is>
          <t>LAB-002199</t>
        </is>
      </c>
      <c r="B2200" s="53" t="inlineStr">
        <is>
          <t>WP-00969</t>
        </is>
      </c>
      <c r="C2200" s="53" t="inlineStr">
        <is>
          <t>TECH-059</t>
        </is>
      </c>
      <c r="D2200" s="53" t="inlineStr">
        <is>
          <t>Structures</t>
        </is>
      </c>
      <c r="E2200" s="53" t="inlineStr">
        <is>
          <t>2025-02-21</t>
        </is>
      </c>
      <c r="F2200" s="53">
        <v>7.3</v>
      </c>
      <c r="G2200" s="53">
        <v>0</v>
      </c>
      <c r="H2200" s="51" t="str">
        <f>TEXT(tblLaborEntries[[#This Row],[Work date serial]]-WEEKDAY(tblLaborEntries[[#This Row],[Work date serial]],3),"yyyy-mm-dd")</f>
        <v>2025-02-17</v>
      </c>
      <c r="I2200" s="64">
        <f>DATEVALUE(tblLaborEntries[[#This Row],[Work date]])</f>
        <v>45709.0</v>
      </c>
    </row>
    <row r="2201" spans="1:9" ht="15" x14ac:dyDescent="0.25">
      <c r="A2201" s="53" t="inlineStr">
        <is>
          <t>LAB-002200</t>
        </is>
      </c>
      <c r="B2201" s="53" t="inlineStr">
        <is>
          <t>WP-00969</t>
        </is>
      </c>
      <c r="C2201" s="53" t="inlineStr">
        <is>
          <t>TECH-065</t>
        </is>
      </c>
      <c r="D2201" s="53" t="inlineStr">
        <is>
          <t>Structures</t>
        </is>
      </c>
      <c r="E2201" s="53" t="inlineStr">
        <is>
          <t>2025-02-22</t>
        </is>
      </c>
      <c r="F2201" s="53">
        <v>7.3</v>
      </c>
      <c r="G2201" s="53">
        <v>0</v>
      </c>
      <c r="H2201" s="51" t="str">
        <f>TEXT(tblLaborEntries[[#This Row],[Work date serial]]-WEEKDAY(tblLaborEntries[[#This Row],[Work date serial]],3),"yyyy-mm-dd")</f>
        <v>2025-02-17</v>
      </c>
      <c r="I2201" s="64">
        <f>DATEVALUE(tblLaborEntries[[#This Row],[Work date]])</f>
        <v>45710.0</v>
      </c>
    </row>
    <row r="2202" spans="1:9" ht="15" x14ac:dyDescent="0.25">
      <c r="A2202" s="53" t="inlineStr">
        <is>
          <t>LAB-002201</t>
        </is>
      </c>
      <c r="B2202" s="53" t="inlineStr">
        <is>
          <t>WP-00969</t>
        </is>
      </c>
      <c r="C2202" s="53" t="inlineStr">
        <is>
          <t>TECH-023</t>
        </is>
      </c>
      <c r="D2202" s="53" t="inlineStr">
        <is>
          <t>Structures</t>
        </is>
      </c>
      <c r="E2202" s="53" t="inlineStr">
        <is>
          <t>2025-02-23</t>
        </is>
      </c>
      <c r="F2202" s="53">
        <v>5.2</v>
      </c>
      <c r="G2202" s="53">
        <v>0</v>
      </c>
      <c r="H2202" s="51" t="str">
        <f>TEXT(tblLaborEntries[[#This Row],[Work date serial]]-WEEKDAY(tblLaborEntries[[#This Row],[Work date serial]],3),"yyyy-mm-dd")</f>
        <v>2025-02-17</v>
      </c>
      <c r="I2202" s="64">
        <f>DATEVALUE(tblLaborEntries[[#This Row],[Work date]])</f>
        <v>45711.0</v>
      </c>
    </row>
    <row r="2203" spans="1:9" ht="15" x14ac:dyDescent="0.25">
      <c r="A2203" s="53" t="inlineStr">
        <is>
          <t>LAB-002202</t>
        </is>
      </c>
      <c r="B2203" s="53" t="inlineStr">
        <is>
          <t>WP-00970</t>
        </is>
      </c>
      <c r="C2203" s="53" t="inlineStr">
        <is>
          <t>TECH-024</t>
        </is>
      </c>
      <c r="D2203" s="53" t="inlineStr">
        <is>
          <t>Powerplant</t>
        </is>
      </c>
      <c r="E2203" s="53" t="inlineStr">
        <is>
          <t>2025-03-06</t>
        </is>
      </c>
      <c r="F2203" s="53">
        <v>6</v>
      </c>
      <c r="G2203" s="53">
        <v>0</v>
      </c>
      <c r="H2203" s="51" t="str">
        <f>TEXT(tblLaborEntries[[#This Row],[Work date serial]]-WEEKDAY(tblLaborEntries[[#This Row],[Work date serial]],3),"yyyy-mm-dd")</f>
        <v>2025-03-03</v>
      </c>
      <c r="I2203" s="64">
        <f>DATEVALUE(tblLaborEntries[[#This Row],[Work date]])</f>
        <v>45722.0</v>
      </c>
    </row>
    <row r="2204" spans="1:9" ht="15" x14ac:dyDescent="0.25">
      <c r="A2204" s="53" t="inlineStr">
        <is>
          <t>LAB-002203</t>
        </is>
      </c>
      <c r="B2204" s="53" t="inlineStr">
        <is>
          <t>WP-00970</t>
        </is>
      </c>
      <c r="C2204" s="53" t="inlineStr">
        <is>
          <t>TECH-006</t>
        </is>
      </c>
      <c r="D2204" s="53" t="inlineStr">
        <is>
          <t>Powerplant</t>
        </is>
      </c>
      <c r="E2204" s="53" t="inlineStr">
        <is>
          <t>2025-03-07</t>
        </is>
      </c>
      <c r="F2204" s="53">
        <v>5</v>
      </c>
      <c r="G2204" s="53">
        <v>4</v>
      </c>
      <c r="H2204" s="51" t="str">
        <f>TEXT(tblLaborEntries[[#This Row],[Work date serial]]-WEEKDAY(tblLaborEntries[[#This Row],[Work date serial]],3),"yyyy-mm-dd")</f>
        <v>2025-03-03</v>
      </c>
      <c r="I2204" s="64">
        <f>DATEVALUE(tblLaborEntries[[#This Row],[Work date]])</f>
        <v>45723.0</v>
      </c>
    </row>
    <row r="2205" spans="1:9" ht="15" x14ac:dyDescent="0.25">
      <c r="A2205" s="53" t="inlineStr">
        <is>
          <t>LAB-002204</t>
        </is>
      </c>
      <c r="B2205" s="53" t="inlineStr">
        <is>
          <t>WP-00970</t>
        </is>
      </c>
      <c r="C2205" s="53" t="inlineStr">
        <is>
          <t>TECH-030</t>
        </is>
      </c>
      <c r="D2205" s="53" t="inlineStr">
        <is>
          <t>Powerplant</t>
        </is>
      </c>
      <c r="E2205" s="53" t="inlineStr">
        <is>
          <t>2025-03-08</t>
        </is>
      </c>
      <c r="F2205" s="53">
        <v>4.8</v>
      </c>
      <c r="G2205" s="53">
        <v>0</v>
      </c>
      <c r="H2205" s="51" t="str">
        <f>TEXT(tblLaborEntries[[#This Row],[Work date serial]]-WEEKDAY(tblLaborEntries[[#This Row],[Work date serial]],3),"yyyy-mm-dd")</f>
        <v>2025-03-03</v>
      </c>
      <c r="I2205" s="64">
        <f>DATEVALUE(tblLaborEntries[[#This Row],[Work date]])</f>
        <v>45724.0</v>
      </c>
    </row>
    <row r="2206" spans="1:9" ht="15" x14ac:dyDescent="0.25">
      <c r="A2206" s="53" t="inlineStr">
        <is>
          <t>LAB-002205</t>
        </is>
      </c>
      <c r="B2206" s="53" t="inlineStr">
        <is>
          <t>WP-00971</t>
        </is>
      </c>
      <c r="C2206" s="53" t="inlineStr">
        <is>
          <t>TECH-031</t>
        </is>
      </c>
      <c r="D2206" s="53" t="inlineStr">
        <is>
          <t>Airframe</t>
        </is>
      </c>
      <c r="E2206" s="53" t="inlineStr">
        <is>
          <t>2025-03-11</t>
        </is>
      </c>
      <c r="F2206" s="53">
        <v>8.5</v>
      </c>
      <c r="G2206" s="53">
        <v>0.5</v>
      </c>
      <c r="H2206" s="51" t="str">
        <f>TEXT(tblLaborEntries[[#This Row],[Work date serial]]-WEEKDAY(tblLaborEntries[[#This Row],[Work date serial]],3),"yyyy-mm-dd")</f>
        <v>2025-03-10</v>
      </c>
      <c r="I2206" s="64">
        <f>DATEVALUE(tblLaborEntries[[#This Row],[Work date]])</f>
        <v>45727.0</v>
      </c>
    </row>
    <row r="2207" spans="1:9" ht="15" x14ac:dyDescent="0.25">
      <c r="A2207" s="53" t="inlineStr">
        <is>
          <t>LAB-002206</t>
        </is>
      </c>
      <c r="B2207" s="53" t="inlineStr">
        <is>
          <t>WP-00971</t>
        </is>
      </c>
      <c r="C2207" s="53" t="inlineStr">
        <is>
          <t>TECH-031</t>
        </is>
      </c>
      <c r="D2207" s="53" t="inlineStr">
        <is>
          <t>Airframe</t>
        </is>
      </c>
      <c r="E2207" s="53" t="inlineStr">
        <is>
          <t>2025-03-12</t>
        </is>
      </c>
      <c r="F2207" s="53">
        <v>8.6</v>
      </c>
      <c r="G2207" s="53">
        <v>0.6</v>
      </c>
      <c r="H2207" s="51" t="str">
        <f>TEXT(tblLaborEntries[[#This Row],[Work date serial]]-WEEKDAY(tblLaborEntries[[#This Row],[Work date serial]],3),"yyyy-mm-dd")</f>
        <v>2025-03-10</v>
      </c>
      <c r="I2207" s="64">
        <f>DATEVALUE(tblLaborEntries[[#This Row],[Work date]])</f>
        <v>45728.0</v>
      </c>
    </row>
    <row r="2208" spans="1:9" ht="15" x14ac:dyDescent="0.25">
      <c r="A2208" s="53" t="inlineStr">
        <is>
          <t>LAB-002207</t>
        </is>
      </c>
      <c r="B2208" s="53" t="inlineStr">
        <is>
          <t>WP-00971</t>
        </is>
      </c>
      <c r="C2208" s="53" t="inlineStr">
        <is>
          <t>TECH-019</t>
        </is>
      </c>
      <c r="D2208" s="53" t="inlineStr">
        <is>
          <t>Airframe</t>
        </is>
      </c>
      <c r="E2208" s="53" t="inlineStr">
        <is>
          <t>2025-03-13</t>
        </is>
      </c>
      <c r="F2208" s="53">
        <v>9.1</v>
      </c>
      <c r="G2208" s="53">
        <v>1.1</v>
      </c>
      <c r="H2208" s="51" t="str">
        <f>TEXT(tblLaborEntries[[#This Row],[Work date serial]]-WEEKDAY(tblLaborEntries[[#This Row],[Work date serial]],3),"yyyy-mm-dd")</f>
        <v>2025-03-10</v>
      </c>
      <c r="I2208" s="64">
        <f>DATEVALUE(tblLaborEntries[[#This Row],[Work date]])</f>
        <v>45729.0</v>
      </c>
    </row>
    <row r="2209" spans="1:9" ht="15" x14ac:dyDescent="0.25">
      <c r="A2209" s="53" t="inlineStr">
        <is>
          <t>LAB-002208</t>
        </is>
      </c>
      <c r="B2209" s="53" t="inlineStr">
        <is>
          <t>WP-00972</t>
        </is>
      </c>
      <c r="C2209" s="53" t="inlineStr">
        <is>
          <t>TECH-067</t>
        </is>
      </c>
      <c r="D2209" s="53" t="inlineStr">
        <is>
          <t>Airframe</t>
        </is>
      </c>
      <c r="E2209" s="53" t="inlineStr">
        <is>
          <t>2025-12-17</t>
        </is>
      </c>
      <c r="F2209" s="53">
        <v>3.6</v>
      </c>
      <c r="G2209" s="53">
        <v>0</v>
      </c>
      <c r="H2209" s="51" t="str">
        <f>TEXT(tblLaborEntries[[#This Row],[Work date serial]]-WEEKDAY(tblLaborEntries[[#This Row],[Work date serial]],3),"yyyy-mm-dd")</f>
        <v>2025-12-15</v>
      </c>
      <c r="I2209" s="64">
        <f>DATEVALUE(tblLaborEntries[[#This Row],[Work date]])</f>
        <v>46008.0</v>
      </c>
    </row>
    <row r="2210" spans="1:9" ht="15" x14ac:dyDescent="0.25">
      <c r="A2210" s="53" t="inlineStr">
        <is>
          <t>LAB-002209</t>
        </is>
      </c>
      <c r="B2210" s="53" t="inlineStr">
        <is>
          <t>WP-00973</t>
        </is>
      </c>
      <c r="C2210" s="53" t="inlineStr">
        <is>
          <t>TECH-003</t>
        </is>
      </c>
      <c r="D2210" s="53" t="inlineStr">
        <is>
          <t>Hydraulics</t>
        </is>
      </c>
      <c r="E2210" s="53" t="inlineStr">
        <is>
          <t>2024-10-21</t>
        </is>
      </c>
      <c r="F2210" s="53">
        <v>2</v>
      </c>
      <c r="G2210" s="53">
        <v>0</v>
      </c>
      <c r="H2210" s="51" t="str">
        <f>TEXT(tblLaborEntries[[#This Row],[Work date serial]]-WEEKDAY(tblLaborEntries[[#This Row],[Work date serial]],3),"yyyy-mm-dd")</f>
        <v>2024-10-21</v>
      </c>
      <c r="I2210" s="64">
        <f>DATEVALUE(tblLaborEntries[[#This Row],[Work date]])</f>
        <v>45586.0</v>
      </c>
    </row>
    <row r="2211" spans="1:9" ht="15" x14ac:dyDescent="0.25">
      <c r="A2211" s="53" t="inlineStr">
        <is>
          <t>LAB-002210</t>
        </is>
      </c>
      <c r="B2211" s="53" t="inlineStr">
        <is>
          <t>WP-00973</t>
        </is>
      </c>
      <c r="C2211" s="53" t="inlineStr">
        <is>
          <t>TECH-003</t>
        </is>
      </c>
      <c r="D2211" s="53" t="inlineStr">
        <is>
          <t>Hydraulics</t>
        </is>
      </c>
      <c r="E2211" s="53" t="inlineStr">
        <is>
          <t>2024-10-22</t>
        </is>
      </c>
      <c r="F2211" s="53">
        <v>2.9</v>
      </c>
      <c r="G2211" s="53">
        <v>0</v>
      </c>
      <c r="H2211" s="51" t="str">
        <f>TEXT(tblLaborEntries[[#This Row],[Work date serial]]-WEEKDAY(tblLaborEntries[[#This Row],[Work date serial]],3),"yyyy-mm-dd")</f>
        <v>2024-10-21</v>
      </c>
      <c r="I2211" s="64">
        <f>DATEVALUE(tblLaborEntries[[#This Row],[Work date]])</f>
        <v>45587.0</v>
      </c>
    </row>
    <row r="2212" spans="1:9" ht="15" x14ac:dyDescent="0.25">
      <c r="A2212" s="53" t="inlineStr">
        <is>
          <t>LAB-002211</t>
        </is>
      </c>
      <c r="B2212" s="53" t="inlineStr">
        <is>
          <t>WP-00973</t>
        </is>
      </c>
      <c r="C2212" s="53" t="inlineStr">
        <is>
          <t>TECH-027</t>
        </is>
      </c>
      <c r="D2212" s="53" t="inlineStr">
        <is>
          <t>Hydraulics</t>
        </is>
      </c>
      <c r="E2212" s="53" t="inlineStr">
        <is>
          <t>2024-10-23</t>
        </is>
      </c>
      <c r="F2212" s="53">
        <v>2.2</v>
      </c>
      <c r="G2212" s="53">
        <v>0</v>
      </c>
      <c r="H2212" s="51" t="str">
        <f>TEXT(tblLaborEntries[[#This Row],[Work date serial]]-WEEKDAY(tblLaborEntries[[#This Row],[Work date serial]],3),"yyyy-mm-dd")</f>
        <v>2024-10-21</v>
      </c>
      <c r="I2212" s="64">
        <f>DATEVALUE(tblLaborEntries[[#This Row],[Work date]])</f>
        <v>45588.0</v>
      </c>
    </row>
    <row r="2213" spans="1:9" ht="15" x14ac:dyDescent="0.25">
      <c r="A2213" s="53" t="inlineStr">
        <is>
          <t>LAB-002212</t>
        </is>
      </c>
      <c r="B2213" s="53" t="inlineStr">
        <is>
          <t>WP-00974</t>
        </is>
      </c>
      <c r="C2213" s="53" t="inlineStr">
        <is>
          <t>TECH-044</t>
        </is>
      </c>
      <c r="D2213" s="53" t="inlineStr">
        <is>
          <t>Avionics</t>
        </is>
      </c>
      <c r="E2213" s="53" t="inlineStr">
        <is>
          <t>2025-06-28</t>
        </is>
      </c>
      <c r="F2213" s="53">
        <v>1.5</v>
      </c>
      <c r="G2213" s="53">
        <v>0</v>
      </c>
      <c r="H2213" s="51" t="str">
        <f>TEXT(tblLaborEntries[[#This Row],[Work date serial]]-WEEKDAY(tblLaborEntries[[#This Row],[Work date serial]],3),"yyyy-mm-dd")</f>
        <v>2025-06-23</v>
      </c>
      <c r="I2213" s="64">
        <f>DATEVALUE(tblLaborEntries[[#This Row],[Work date]])</f>
        <v>45836.0</v>
      </c>
    </row>
    <row r="2214" spans="1:9" ht="15" x14ac:dyDescent="0.25">
      <c r="A2214" s="53" t="inlineStr">
        <is>
          <t>LAB-002213</t>
        </is>
      </c>
      <c r="B2214" s="53" t="inlineStr">
        <is>
          <t>WP-00974</t>
        </is>
      </c>
      <c r="C2214" s="53" t="inlineStr">
        <is>
          <t>TECH-044</t>
        </is>
      </c>
      <c r="D2214" s="53" t="inlineStr">
        <is>
          <t>Avionics</t>
        </is>
      </c>
      <c r="E2214" s="53" t="inlineStr">
        <is>
          <t>2025-06-29</t>
        </is>
      </c>
      <c r="F2214" s="53">
        <v>1.2</v>
      </c>
      <c r="G2214" s="53">
        <v>0</v>
      </c>
      <c r="H2214" s="51" t="str">
        <f>TEXT(tblLaborEntries[[#This Row],[Work date serial]]-WEEKDAY(tblLaborEntries[[#This Row],[Work date serial]],3),"yyyy-mm-dd")</f>
        <v>2025-06-23</v>
      </c>
      <c r="I2214" s="64">
        <f>DATEVALUE(tblLaborEntries[[#This Row],[Work date]])</f>
        <v>45837.0</v>
      </c>
    </row>
    <row r="2215" spans="1:9" ht="15" x14ac:dyDescent="0.25">
      <c r="A2215" s="53" t="inlineStr">
        <is>
          <t>LAB-002214</t>
        </is>
      </c>
      <c r="B2215" s="53" t="inlineStr">
        <is>
          <t>WP-00975</t>
        </is>
      </c>
      <c r="C2215" s="53" t="inlineStr">
        <is>
          <t>TECH-044</t>
        </is>
      </c>
      <c r="D2215" s="53" t="inlineStr">
        <is>
          <t>Avionics</t>
        </is>
      </c>
      <c r="E2215" s="53" t="inlineStr">
        <is>
          <t>2025-08-23</t>
        </is>
      </c>
      <c r="F2215" s="53">
        <v>9.2</v>
      </c>
      <c r="G2215" s="53">
        <v>1.2</v>
      </c>
      <c r="H2215" s="51" t="str">
        <f>TEXT(tblLaborEntries[[#This Row],[Work date serial]]-WEEKDAY(tblLaborEntries[[#This Row],[Work date serial]],3),"yyyy-mm-dd")</f>
        <v>2025-08-18</v>
      </c>
      <c r="I2215" s="64">
        <f>DATEVALUE(tblLaborEntries[[#This Row],[Work date]])</f>
        <v>45892.0</v>
      </c>
    </row>
    <row r="2216" spans="1:9" ht="15" x14ac:dyDescent="0.25">
      <c r="A2216" s="53" t="inlineStr">
        <is>
          <t>LAB-002215</t>
        </is>
      </c>
      <c r="B2216" s="53" t="inlineStr">
        <is>
          <t>WP-00976</t>
        </is>
      </c>
      <c r="C2216" s="53" t="inlineStr">
        <is>
          <t>TECH-072</t>
        </is>
      </c>
      <c r="D2216" s="53" t="inlineStr">
        <is>
          <t>Powerplant</t>
        </is>
      </c>
      <c r="E2216" s="53" t="inlineStr">
        <is>
          <t>2025-03-07</t>
        </is>
      </c>
      <c r="F2216" s="53">
        <v>4.1</v>
      </c>
      <c r="G2216" s="53">
        <v>0</v>
      </c>
      <c r="H2216" s="51" t="str">
        <f>TEXT(tblLaborEntries[[#This Row],[Work date serial]]-WEEKDAY(tblLaborEntries[[#This Row],[Work date serial]],3),"yyyy-mm-dd")</f>
        <v>2025-03-03</v>
      </c>
      <c r="I2216" s="64">
        <f>DATEVALUE(tblLaborEntries[[#This Row],[Work date]])</f>
        <v>45723.0</v>
      </c>
    </row>
    <row r="2217" spans="1:9" ht="15" x14ac:dyDescent="0.25">
      <c r="A2217" s="53" t="inlineStr">
        <is>
          <t>LAB-002216</t>
        </is>
      </c>
      <c r="B2217" s="53" t="inlineStr">
        <is>
          <t>WP-00976</t>
        </is>
      </c>
      <c r="C2217" s="53" t="inlineStr">
        <is>
          <t>TECH-018</t>
        </is>
      </c>
      <c r="D2217" s="53" t="inlineStr">
        <is>
          <t>Powerplant</t>
        </is>
      </c>
      <c r="E2217" s="53" t="inlineStr">
        <is>
          <t>2025-03-08</t>
        </is>
      </c>
      <c r="F2217" s="53">
        <v>4.2</v>
      </c>
      <c r="G2217" s="53">
        <v>0</v>
      </c>
      <c r="H2217" s="51" t="str">
        <f>TEXT(tblLaborEntries[[#This Row],[Work date serial]]-WEEKDAY(tblLaborEntries[[#This Row],[Work date serial]],3),"yyyy-mm-dd")</f>
        <v>2025-03-03</v>
      </c>
      <c r="I2217" s="64">
        <f>DATEVALUE(tblLaborEntries[[#This Row],[Work date]])</f>
        <v>45724.0</v>
      </c>
    </row>
    <row r="2218" spans="1:9" ht="15" x14ac:dyDescent="0.25">
      <c r="A2218" s="53" t="inlineStr">
        <is>
          <t>LAB-002217</t>
        </is>
      </c>
      <c r="B2218" s="53" t="inlineStr">
        <is>
          <t>WP-00976</t>
        </is>
      </c>
      <c r="C2218" s="53" t="inlineStr">
        <is>
          <t>TECH-060</t>
        </is>
      </c>
      <c r="D2218" s="53" t="inlineStr">
        <is>
          <t>Powerplant</t>
        </is>
      </c>
      <c r="E2218" s="53" t="inlineStr">
        <is>
          <t>2025-03-09</t>
        </is>
      </c>
      <c r="F2218" s="53">
        <v>3.6</v>
      </c>
      <c r="G2218" s="53">
        <v>0</v>
      </c>
      <c r="H2218" s="51" t="str">
        <f>TEXT(tblLaborEntries[[#This Row],[Work date serial]]-WEEKDAY(tblLaborEntries[[#This Row],[Work date serial]],3),"yyyy-mm-dd")</f>
        <v>2025-03-03</v>
      </c>
      <c r="I2218" s="64">
        <f>DATEVALUE(tblLaborEntries[[#This Row],[Work date]])</f>
        <v>45725.0</v>
      </c>
    </row>
    <row r="2219" spans="1:9" ht="15" x14ac:dyDescent="0.25">
      <c r="A2219" s="53" t="inlineStr">
        <is>
          <t>LAB-002218</t>
        </is>
      </c>
      <c r="B2219" s="53" t="inlineStr">
        <is>
          <t>WP-00977</t>
        </is>
      </c>
      <c r="C2219" s="53" t="inlineStr">
        <is>
          <t>TECH-006</t>
        </is>
      </c>
      <c r="D2219" s="53" t="inlineStr">
        <is>
          <t>Powerplant</t>
        </is>
      </c>
      <c r="E2219" s="53" t="inlineStr">
        <is>
          <t>2025-08-27</t>
        </is>
      </c>
      <c r="F2219" s="53">
        <v>6.3</v>
      </c>
      <c r="G2219" s="53">
        <v>0</v>
      </c>
      <c r="H2219" s="51" t="str">
        <f>TEXT(tblLaborEntries[[#This Row],[Work date serial]]-WEEKDAY(tblLaborEntries[[#This Row],[Work date serial]],3),"yyyy-mm-dd")</f>
        <v>2025-08-25</v>
      </c>
      <c r="I2219" s="64">
        <f>DATEVALUE(tblLaborEntries[[#This Row],[Work date]])</f>
        <v>45896.0</v>
      </c>
    </row>
    <row r="2220" spans="1:9" ht="15" x14ac:dyDescent="0.25">
      <c r="A2220" s="53" t="inlineStr">
        <is>
          <t>LAB-002219</t>
        </is>
      </c>
      <c r="B2220" s="53" t="inlineStr">
        <is>
          <t>WP-00977</t>
        </is>
      </c>
      <c r="C2220" s="53" t="inlineStr">
        <is>
          <t>TECH-060</t>
        </is>
      </c>
      <c r="D2220" s="53" t="inlineStr">
        <is>
          <t>Powerplant</t>
        </is>
      </c>
      <c r="E2220" s="53" t="inlineStr">
        <is>
          <t>2025-08-27</t>
        </is>
      </c>
      <c r="F2220" s="53">
        <v>4.6</v>
      </c>
      <c r="G2220" s="53">
        <v>4</v>
      </c>
      <c r="H2220" s="51" t="str">
        <f>TEXT(tblLaborEntries[[#This Row],[Work date serial]]-WEEKDAY(tblLaborEntries[[#This Row],[Work date serial]],3),"yyyy-mm-dd")</f>
        <v>2025-08-25</v>
      </c>
      <c r="I2220" s="64">
        <f>DATEVALUE(tblLaborEntries[[#This Row],[Work date]])</f>
        <v>45896.0</v>
      </c>
    </row>
    <row r="2221" spans="1:9" ht="15" x14ac:dyDescent="0.25">
      <c r="A2221" s="53" t="inlineStr">
        <is>
          <t>LAB-002220</t>
        </is>
      </c>
      <c r="B2221" s="53" t="inlineStr">
        <is>
          <t>WP-00978</t>
        </is>
      </c>
      <c r="C2221" s="53" t="inlineStr">
        <is>
          <t>TECH-038</t>
        </is>
      </c>
      <c r="D2221" s="53" t="inlineStr">
        <is>
          <t>Avionics</t>
        </is>
      </c>
      <c r="E2221" s="53" t="inlineStr">
        <is>
          <t>2025-06-07</t>
        </is>
      </c>
      <c r="F2221" s="53">
        <v>5.6</v>
      </c>
      <c r="G2221" s="53">
        <v>0</v>
      </c>
      <c r="H2221" s="51" t="str">
        <f>TEXT(tblLaborEntries[[#This Row],[Work date serial]]-WEEKDAY(tblLaborEntries[[#This Row],[Work date serial]],3),"yyyy-mm-dd")</f>
        <v>2025-06-02</v>
      </c>
      <c r="I2221" s="64">
        <f>DATEVALUE(tblLaborEntries[[#This Row],[Work date]])</f>
        <v>45815.0</v>
      </c>
    </row>
    <row r="2222" spans="1:9" ht="15" x14ac:dyDescent="0.25">
      <c r="A2222" s="53" t="inlineStr">
        <is>
          <t>LAB-002221</t>
        </is>
      </c>
      <c r="B2222" s="53" t="inlineStr">
        <is>
          <t>WP-00978</t>
        </is>
      </c>
      <c r="C2222" s="53" t="inlineStr">
        <is>
          <t>TECH-002</t>
        </is>
      </c>
      <c r="D2222" s="53" t="inlineStr">
        <is>
          <t>Avionics</t>
        </is>
      </c>
      <c r="E2222" s="53" t="inlineStr">
        <is>
          <t>2025-06-08</t>
        </is>
      </c>
      <c r="F2222" s="53">
        <v>5.7</v>
      </c>
      <c r="G2222" s="53">
        <v>0</v>
      </c>
      <c r="H2222" s="51" t="str">
        <f>TEXT(tblLaborEntries[[#This Row],[Work date serial]]-WEEKDAY(tblLaborEntries[[#This Row],[Work date serial]],3),"yyyy-mm-dd")</f>
        <v>2025-06-02</v>
      </c>
      <c r="I2222" s="64">
        <f>DATEVALUE(tblLaborEntries[[#This Row],[Work date]])</f>
        <v>45816.0</v>
      </c>
    </row>
    <row r="2223" spans="1:9" ht="15" x14ac:dyDescent="0.25">
      <c r="A2223" s="53" t="inlineStr">
        <is>
          <t>LAB-002222</t>
        </is>
      </c>
      <c r="B2223" s="53" t="inlineStr">
        <is>
          <t>WP-00979</t>
        </is>
      </c>
      <c r="C2223" s="53" t="inlineStr">
        <is>
          <t>TECH-043</t>
        </is>
      </c>
      <c r="D2223" s="53" t="inlineStr">
        <is>
          <t>Airframe</t>
        </is>
      </c>
      <c r="E2223" s="53" t="inlineStr">
        <is>
          <t>2024-12-22</t>
        </is>
      </c>
      <c r="F2223" s="53">
        <v>6</v>
      </c>
      <c r="G2223" s="53">
        <v>0</v>
      </c>
      <c r="H2223" s="51" t="str">
        <f>TEXT(tblLaborEntries[[#This Row],[Work date serial]]-WEEKDAY(tblLaborEntries[[#This Row],[Work date serial]],3),"yyyy-mm-dd")</f>
        <v>2024-12-16</v>
      </c>
      <c r="I2223" s="64">
        <f>DATEVALUE(tblLaborEntries[[#This Row],[Work date]])</f>
        <v>45648.0</v>
      </c>
    </row>
    <row r="2224" spans="1:9" ht="15" x14ac:dyDescent="0.25">
      <c r="A2224" s="53" t="inlineStr">
        <is>
          <t>LAB-002223</t>
        </is>
      </c>
      <c r="B2224" s="53" t="inlineStr">
        <is>
          <t>WP-00979</t>
        </is>
      </c>
      <c r="C2224" s="53" t="inlineStr">
        <is>
          <t>TECH-037</t>
        </is>
      </c>
      <c r="D2224" s="53" t="inlineStr">
        <is>
          <t>Airframe</t>
        </is>
      </c>
      <c r="E2224" s="53" t="inlineStr">
        <is>
          <t>2024-12-23</t>
        </is>
      </c>
      <c r="F2224" s="53">
        <v>5</v>
      </c>
      <c r="G2224" s="53">
        <v>0</v>
      </c>
      <c r="H2224" s="51" t="str">
        <f>TEXT(tblLaborEntries[[#This Row],[Work date serial]]-WEEKDAY(tblLaborEntries[[#This Row],[Work date serial]],3),"yyyy-mm-dd")</f>
        <v>2024-12-23</v>
      </c>
      <c r="I2224" s="64">
        <f>DATEVALUE(tblLaborEntries[[#This Row],[Work date]])</f>
        <v>45649.0</v>
      </c>
    </row>
    <row r="2225" spans="1:9" ht="15" x14ac:dyDescent="0.25">
      <c r="A2225" s="53" t="inlineStr">
        <is>
          <t>LAB-002224</t>
        </is>
      </c>
      <c r="B2225" s="53" t="inlineStr">
        <is>
          <t>WP-00979</t>
        </is>
      </c>
      <c r="C2225" s="53" t="inlineStr">
        <is>
          <t>TECH-061</t>
        </is>
      </c>
      <c r="D2225" s="53" t="inlineStr">
        <is>
          <t>Airframe</t>
        </is>
      </c>
      <c r="E2225" s="53" t="inlineStr">
        <is>
          <t>2024-12-24</t>
        </is>
      </c>
      <c r="F2225" s="53">
        <v>5</v>
      </c>
      <c r="G2225" s="53">
        <v>0</v>
      </c>
      <c r="H2225" s="51" t="str">
        <f>TEXT(tblLaborEntries[[#This Row],[Work date serial]]-WEEKDAY(tblLaborEntries[[#This Row],[Work date serial]],3),"yyyy-mm-dd")</f>
        <v>2024-12-23</v>
      </c>
      <c r="I2225" s="64">
        <f>DATEVALUE(tblLaborEntries[[#This Row],[Work date]])</f>
        <v>45650.0</v>
      </c>
    </row>
    <row r="2226" spans="1:9" ht="15" x14ac:dyDescent="0.25">
      <c r="A2226" s="53" t="inlineStr">
        <is>
          <t>LAB-002225</t>
        </is>
      </c>
      <c r="B2226" s="53" t="inlineStr">
        <is>
          <t>WP-00980</t>
        </is>
      </c>
      <c r="C2226" s="53" t="inlineStr">
        <is>
          <t>TECH-012</t>
        </is>
      </c>
      <c r="D2226" s="53" t="inlineStr">
        <is>
          <t>Powerplant</t>
        </is>
      </c>
      <c r="E2226" s="53" t="inlineStr">
        <is>
          <t>2024-07-21</t>
        </is>
      </c>
      <c r="F2226" s="53">
        <v>2.2</v>
      </c>
      <c r="G2226" s="53">
        <v>0</v>
      </c>
      <c r="H2226" s="51" t="str">
        <f>TEXT(tblLaborEntries[[#This Row],[Work date serial]]-WEEKDAY(tblLaborEntries[[#This Row],[Work date serial]],3),"yyyy-mm-dd")</f>
        <v>2024-07-15</v>
      </c>
      <c r="I2226" s="64">
        <f>DATEVALUE(tblLaborEntries[[#This Row],[Work date]])</f>
        <v>45494.0</v>
      </c>
    </row>
    <row r="2227" spans="1:9" ht="15" x14ac:dyDescent="0.25">
      <c r="A2227" s="53" t="inlineStr">
        <is>
          <t>LAB-002226</t>
        </is>
      </c>
      <c r="B2227" s="53" t="inlineStr">
        <is>
          <t>WP-00980</t>
        </is>
      </c>
      <c r="C2227" s="53" t="inlineStr">
        <is>
          <t>TECH-012</t>
        </is>
      </c>
      <c r="D2227" s="53" t="inlineStr">
        <is>
          <t>Powerplant</t>
        </is>
      </c>
      <c r="E2227" s="53" t="inlineStr">
        <is>
          <t>2024-07-22</t>
        </is>
      </c>
      <c r="F2227" s="53">
        <v>1.9</v>
      </c>
      <c r="G2227" s="53">
        <v>0</v>
      </c>
      <c r="H2227" s="51" t="str">
        <f>TEXT(tblLaborEntries[[#This Row],[Work date serial]]-WEEKDAY(tblLaborEntries[[#This Row],[Work date serial]],3),"yyyy-mm-dd")</f>
        <v>2024-07-22</v>
      </c>
      <c r="I2227" s="64">
        <f>DATEVALUE(tblLaborEntries[[#This Row],[Work date]])</f>
        <v>45495.0</v>
      </c>
    </row>
    <row r="2228" spans="1:9" ht="15" x14ac:dyDescent="0.25">
      <c r="A2228" s="53" t="inlineStr">
        <is>
          <t>LAB-002227</t>
        </is>
      </c>
      <c r="B2228" s="53" t="inlineStr">
        <is>
          <t>WP-00980</t>
        </is>
      </c>
      <c r="C2228" s="53" t="inlineStr">
        <is>
          <t>TECH-006</t>
        </is>
      </c>
      <c r="D2228" s="53" t="inlineStr">
        <is>
          <t>Powerplant</t>
        </is>
      </c>
      <c r="E2228" s="53" t="inlineStr">
        <is>
          <t>2024-07-23</t>
        </is>
      </c>
      <c r="F2228" s="53">
        <v>2.2</v>
      </c>
      <c r="G2228" s="53">
        <v>0</v>
      </c>
      <c r="H2228" s="51" t="str">
        <f>TEXT(tblLaborEntries[[#This Row],[Work date serial]]-WEEKDAY(tblLaborEntries[[#This Row],[Work date serial]],3),"yyyy-mm-dd")</f>
        <v>2024-07-22</v>
      </c>
      <c r="I2228" s="64">
        <f>DATEVALUE(tblLaborEntries[[#This Row],[Work date]])</f>
        <v>45496.0</v>
      </c>
    </row>
    <row r="2229" spans="1:9" ht="15" x14ac:dyDescent="0.25">
      <c r="A2229" s="53" t="inlineStr">
        <is>
          <t>LAB-002228</t>
        </is>
      </c>
      <c r="B2229" s="53" t="inlineStr">
        <is>
          <t>WP-00981</t>
        </is>
      </c>
      <c r="C2229" s="53" t="inlineStr">
        <is>
          <t>TECH-007</t>
        </is>
      </c>
      <c r="D2229" s="53" t="inlineStr">
        <is>
          <t>Airframe</t>
        </is>
      </c>
      <c r="E2229" s="53" t="inlineStr">
        <is>
          <t>2024-04-25</t>
        </is>
      </c>
      <c r="F2229" s="53">
        <v>3.4</v>
      </c>
      <c r="G2229" s="53">
        <v>0</v>
      </c>
      <c r="H2229" s="51" t="str">
        <f>TEXT(tblLaborEntries[[#This Row],[Work date serial]]-WEEKDAY(tblLaborEntries[[#This Row],[Work date serial]],3),"yyyy-mm-dd")</f>
        <v>2024-04-22</v>
      </c>
      <c r="I2229" s="64">
        <f>DATEVALUE(tblLaborEntries[[#This Row],[Work date]])</f>
        <v>45407.0</v>
      </c>
    </row>
    <row r="2230" spans="1:9" ht="15" x14ac:dyDescent="0.25">
      <c r="A2230" s="53" t="inlineStr">
        <is>
          <t>LAB-002229</t>
        </is>
      </c>
      <c r="B2230" s="53" t="inlineStr">
        <is>
          <t>WP-00981</t>
        </is>
      </c>
      <c r="C2230" s="53" t="inlineStr">
        <is>
          <t>TECH-007</t>
        </is>
      </c>
      <c r="D2230" s="53" t="inlineStr">
        <is>
          <t>Airframe</t>
        </is>
      </c>
      <c r="E2230" s="53" t="inlineStr">
        <is>
          <t>2024-04-26</t>
        </is>
      </c>
      <c r="F2230" s="53">
        <v>2.6</v>
      </c>
      <c r="G2230" s="53">
        <v>0</v>
      </c>
      <c r="H2230" s="51" t="str">
        <f>TEXT(tblLaborEntries[[#This Row],[Work date serial]]-WEEKDAY(tblLaborEntries[[#This Row],[Work date serial]],3),"yyyy-mm-dd")</f>
        <v>2024-04-22</v>
      </c>
      <c r="I2230" s="64">
        <f>DATEVALUE(tblLaborEntries[[#This Row],[Work date]])</f>
        <v>45408.0</v>
      </c>
    </row>
    <row r="2231" spans="1:9" ht="15" x14ac:dyDescent="0.25">
      <c r="A2231" s="53" t="inlineStr">
        <is>
          <t>LAB-002230</t>
        </is>
      </c>
      <c r="B2231" s="53" t="inlineStr">
        <is>
          <t>WP-00982</t>
        </is>
      </c>
      <c r="C2231" s="53" t="inlineStr">
        <is>
          <t>TECH-019</t>
        </is>
      </c>
      <c r="D2231" s="53" t="inlineStr">
        <is>
          <t>Airframe</t>
        </is>
      </c>
      <c r="E2231" s="53" t="inlineStr">
        <is>
          <t>2025-06-22</t>
        </is>
      </c>
      <c r="F2231" s="53">
        <v>1.8</v>
      </c>
      <c r="G2231" s="53">
        <v>0</v>
      </c>
      <c r="H2231" s="51" t="str">
        <f>TEXT(tblLaborEntries[[#This Row],[Work date serial]]-WEEKDAY(tblLaborEntries[[#This Row],[Work date serial]],3),"yyyy-mm-dd")</f>
        <v>2025-06-16</v>
      </c>
      <c r="I2231" s="64">
        <f>DATEVALUE(tblLaborEntries[[#This Row],[Work date]])</f>
        <v>45830.0</v>
      </c>
    </row>
    <row r="2232" spans="1:9" ht="15" x14ac:dyDescent="0.25">
      <c r="A2232" s="53" t="inlineStr">
        <is>
          <t>LAB-002231</t>
        </is>
      </c>
      <c r="B2232" s="53" t="inlineStr">
        <is>
          <t>WP-00982</t>
        </is>
      </c>
      <c r="C2232" s="53" t="inlineStr">
        <is>
          <t>TECH-031</t>
        </is>
      </c>
      <c r="D2232" s="53" t="inlineStr">
        <is>
          <t>Airframe</t>
        </is>
      </c>
      <c r="E2232" s="53" t="inlineStr">
        <is>
          <t>2025-06-23</t>
        </is>
      </c>
      <c r="F2232" s="53">
        <v>2.6</v>
      </c>
      <c r="G2232" s="53">
        <v>0</v>
      </c>
      <c r="H2232" s="51" t="str">
        <f>TEXT(tblLaborEntries[[#This Row],[Work date serial]]-WEEKDAY(tblLaborEntries[[#This Row],[Work date serial]],3),"yyyy-mm-dd")</f>
        <v>2025-06-23</v>
      </c>
      <c r="I2232" s="64">
        <f>DATEVALUE(tblLaborEntries[[#This Row],[Work date]])</f>
        <v>45831.0</v>
      </c>
    </row>
    <row r="2233" spans="1:9" ht="15" x14ac:dyDescent="0.25">
      <c r="A2233" s="53" t="inlineStr">
        <is>
          <t>LAB-002232</t>
        </is>
      </c>
      <c r="B2233" s="53" t="inlineStr">
        <is>
          <t>WP-00983</t>
        </is>
      </c>
      <c r="C2233" s="53" t="inlineStr">
        <is>
          <t>TECH-004</t>
        </is>
      </c>
      <c r="D2233" s="53" t="inlineStr">
        <is>
          <t>Electrical</t>
        </is>
      </c>
      <c r="E2233" s="53" t="inlineStr">
        <is>
          <t>2025-05-03</t>
        </is>
      </c>
      <c r="F2233" s="53">
        <v>6</v>
      </c>
      <c r="G2233" s="53">
        <v>0</v>
      </c>
      <c r="H2233" s="51" t="str">
        <f>TEXT(tblLaborEntries[[#This Row],[Work date serial]]-WEEKDAY(tblLaborEntries[[#This Row],[Work date serial]],3),"yyyy-mm-dd")</f>
        <v>2025-04-28</v>
      </c>
      <c r="I2233" s="64">
        <f>DATEVALUE(tblLaborEntries[[#This Row],[Work date]])</f>
        <v>45780.0</v>
      </c>
    </row>
    <row r="2234" spans="1:9" ht="15" x14ac:dyDescent="0.25">
      <c r="A2234" s="53" t="inlineStr">
        <is>
          <t>LAB-002233</t>
        </is>
      </c>
      <c r="B2234" s="53" t="inlineStr">
        <is>
          <t>WP-00983</t>
        </is>
      </c>
      <c r="C2234" s="53" t="inlineStr">
        <is>
          <t>TECH-052</t>
        </is>
      </c>
      <c r="D2234" s="53" t="inlineStr">
        <is>
          <t>Electrical</t>
        </is>
      </c>
      <c r="E2234" s="53" t="inlineStr">
        <is>
          <t>2025-05-04</t>
        </is>
      </c>
      <c r="F2234" s="53">
        <v>5.8</v>
      </c>
      <c r="G2234" s="53">
        <v>0</v>
      </c>
      <c r="H2234" s="51" t="str">
        <f>TEXT(tblLaborEntries[[#This Row],[Work date serial]]-WEEKDAY(tblLaborEntries[[#This Row],[Work date serial]],3),"yyyy-mm-dd")</f>
        <v>2025-04-28</v>
      </c>
      <c r="I2234" s="64">
        <f>DATEVALUE(tblLaborEntries[[#This Row],[Work date]])</f>
        <v>45781.0</v>
      </c>
    </row>
    <row r="2235" spans="1:9" ht="15" x14ac:dyDescent="0.25">
      <c r="A2235" s="53" t="inlineStr">
        <is>
          <t>LAB-002234</t>
        </is>
      </c>
      <c r="B2235" s="53" t="inlineStr">
        <is>
          <t>WP-00984</t>
        </is>
      </c>
      <c r="C2235" s="53" t="inlineStr">
        <is>
          <t>TECH-014</t>
        </is>
      </c>
      <c r="D2235" s="53" t="inlineStr">
        <is>
          <t>Avionics</t>
        </is>
      </c>
      <c r="E2235" s="53" t="inlineStr">
        <is>
          <t>2024-10-25</t>
        </is>
      </c>
      <c r="F2235" s="53">
        <v>3.1</v>
      </c>
      <c r="G2235" s="53">
        <v>0</v>
      </c>
      <c r="H2235" s="51" t="str">
        <f>TEXT(tblLaborEntries[[#This Row],[Work date serial]]-WEEKDAY(tblLaborEntries[[#This Row],[Work date serial]],3),"yyyy-mm-dd")</f>
        <v>2024-10-21</v>
      </c>
      <c r="I2235" s="64">
        <f>DATEVALUE(tblLaborEntries[[#This Row],[Work date]])</f>
        <v>45590.0</v>
      </c>
    </row>
    <row r="2236" spans="1:9" ht="15" x14ac:dyDescent="0.25">
      <c r="A2236" s="53" t="inlineStr">
        <is>
          <t>LAB-002235</t>
        </is>
      </c>
      <c r="B2236" s="53" t="inlineStr">
        <is>
          <t>WP-00984</t>
        </is>
      </c>
      <c r="C2236" s="53" t="inlineStr">
        <is>
          <t>TECH-002</t>
        </is>
      </c>
      <c r="D2236" s="53" t="inlineStr">
        <is>
          <t>Avionics</t>
        </is>
      </c>
      <c r="E2236" s="53" t="inlineStr">
        <is>
          <t>2024-10-26</t>
        </is>
      </c>
      <c r="F2236" s="53">
        <v>3.3</v>
      </c>
      <c r="G2236" s="53">
        <v>0</v>
      </c>
      <c r="H2236" s="51" t="str">
        <f>TEXT(tblLaborEntries[[#This Row],[Work date serial]]-WEEKDAY(tblLaborEntries[[#This Row],[Work date serial]],3),"yyyy-mm-dd")</f>
        <v>2024-10-21</v>
      </c>
      <c r="I2236" s="64">
        <f>DATEVALUE(tblLaborEntries[[#This Row],[Work date]])</f>
        <v>45591.0</v>
      </c>
    </row>
    <row r="2237" spans="1:9" ht="15" x14ac:dyDescent="0.25">
      <c r="A2237" s="53" t="inlineStr">
        <is>
          <t>LAB-002236</t>
        </is>
      </c>
      <c r="B2237" s="53" t="inlineStr">
        <is>
          <t>WP-00984</t>
        </is>
      </c>
      <c r="C2237" s="53" t="inlineStr">
        <is>
          <t>TECH-074</t>
        </is>
      </c>
      <c r="D2237" s="53" t="inlineStr">
        <is>
          <t>Avionics</t>
        </is>
      </c>
      <c r="E2237" s="53" t="inlineStr">
        <is>
          <t>2024-10-27</t>
        </is>
      </c>
      <c r="F2237" s="53">
        <v>2.7</v>
      </c>
      <c r="G2237" s="53">
        <v>0</v>
      </c>
      <c r="H2237" s="51" t="str">
        <f>TEXT(tblLaborEntries[[#This Row],[Work date serial]]-WEEKDAY(tblLaborEntries[[#This Row],[Work date serial]],3),"yyyy-mm-dd")</f>
        <v>2024-10-21</v>
      </c>
      <c r="I2237" s="64">
        <f>DATEVALUE(tblLaborEntries[[#This Row],[Work date]])</f>
        <v>45592.0</v>
      </c>
    </row>
    <row r="2238" spans="1:9" ht="15" x14ac:dyDescent="0.25">
      <c r="A2238" s="53" t="inlineStr">
        <is>
          <t>LAB-002237</t>
        </is>
      </c>
      <c r="B2238" s="53" t="inlineStr">
        <is>
          <t>WP-00985</t>
        </is>
      </c>
      <c r="C2238" s="53" t="inlineStr">
        <is>
          <t>TECH-008</t>
        </is>
      </c>
      <c r="D2238" s="53" t="inlineStr">
        <is>
          <t>Avionics</t>
        </is>
      </c>
      <c r="E2238" s="53" t="inlineStr">
        <is>
          <t>2024-09-01</t>
        </is>
      </c>
      <c r="F2238" s="53">
        <v>12</v>
      </c>
      <c r="G2238" s="53">
        <v>4</v>
      </c>
      <c r="H2238" s="51" t="str">
        <f>TEXT(tblLaborEntries[[#This Row],[Work date serial]]-WEEKDAY(tblLaborEntries[[#This Row],[Work date serial]],3),"yyyy-mm-dd")</f>
        <v>2024-08-26</v>
      </c>
      <c r="I2238" s="64">
        <f>DATEVALUE(tblLaborEntries[[#This Row],[Work date]])</f>
        <v>45536.0</v>
      </c>
    </row>
    <row r="2239" spans="1:9" ht="15" x14ac:dyDescent="0.25">
      <c r="A2239" s="53" t="inlineStr">
        <is>
          <t>LAB-002238</t>
        </is>
      </c>
      <c r="B2239" s="53" t="inlineStr">
        <is>
          <t>WP-00985</t>
        </is>
      </c>
      <c r="C2239" s="53" t="inlineStr">
        <is>
          <t>TECH-014</t>
        </is>
      </c>
      <c r="D2239" s="53" t="inlineStr">
        <is>
          <t>Avionics</t>
        </is>
      </c>
      <c r="E2239" s="53" t="inlineStr">
        <is>
          <t>2024-09-01</t>
        </is>
      </c>
      <c r="F2239" s="53">
        <v>1.4</v>
      </c>
      <c r="G2239" s="53">
        <v>0</v>
      </c>
      <c r="H2239" s="51" t="str">
        <f>TEXT(tblLaborEntries[[#This Row],[Work date serial]]-WEEKDAY(tblLaborEntries[[#This Row],[Work date serial]],3),"yyyy-mm-dd")</f>
        <v>2024-08-26</v>
      </c>
      <c r="I2239" s="64">
        <f>DATEVALUE(tblLaborEntries[[#This Row],[Work date]])</f>
        <v>45536.0</v>
      </c>
    </row>
    <row r="2240" spans="1:9" ht="15" x14ac:dyDescent="0.25">
      <c r="A2240" s="53" t="inlineStr">
        <is>
          <t>LAB-002239</t>
        </is>
      </c>
      <c r="B2240" s="53" t="inlineStr">
        <is>
          <t>WP-00985</t>
        </is>
      </c>
      <c r="C2240" s="53" t="inlineStr">
        <is>
          <t>TECH-026</t>
        </is>
      </c>
      <c r="D2240" s="53" t="inlineStr">
        <is>
          <t>Avionics</t>
        </is>
      </c>
      <c r="E2240" s="53" t="inlineStr">
        <is>
          <t>2024-09-01</t>
        </is>
      </c>
      <c r="F2240" s="53">
        <v>12</v>
      </c>
      <c r="G2240" s="53">
        <v>4</v>
      </c>
      <c r="H2240" s="51" t="str">
        <f>TEXT(tblLaborEntries[[#This Row],[Work date serial]]-WEEKDAY(tblLaborEntries[[#This Row],[Work date serial]],3),"yyyy-mm-dd")</f>
        <v>2024-08-26</v>
      </c>
      <c r="I2240" s="64">
        <f>DATEVALUE(tblLaborEntries[[#This Row],[Work date]])</f>
        <v>45536.0</v>
      </c>
    </row>
    <row r="2241" spans="1:9" ht="15" x14ac:dyDescent="0.25">
      <c r="A2241" s="53" t="inlineStr">
        <is>
          <t>LAB-002240</t>
        </is>
      </c>
      <c r="B2241" s="53" t="inlineStr">
        <is>
          <t>WP-00986</t>
        </is>
      </c>
      <c r="C2241" s="53" t="inlineStr">
        <is>
          <t>TECH-067</t>
        </is>
      </c>
      <c r="D2241" s="53" t="inlineStr">
        <is>
          <t>Airframe</t>
        </is>
      </c>
      <c r="E2241" s="53" t="inlineStr">
        <is>
          <t>2025-04-07</t>
        </is>
      </c>
      <c r="F2241" s="53">
        <v>6.8</v>
      </c>
      <c r="G2241" s="53">
        <v>0</v>
      </c>
      <c r="H2241" s="51" t="str">
        <f>TEXT(tblLaborEntries[[#This Row],[Work date serial]]-WEEKDAY(tblLaborEntries[[#This Row],[Work date serial]],3),"yyyy-mm-dd")</f>
        <v>2025-04-07</v>
      </c>
      <c r="I2241" s="64">
        <f>DATEVALUE(tblLaborEntries[[#This Row],[Work date]])</f>
        <v>45754.0</v>
      </c>
    </row>
    <row r="2242" spans="1:9" ht="15" x14ac:dyDescent="0.25">
      <c r="A2242" s="53" t="inlineStr">
        <is>
          <t>LAB-002241</t>
        </is>
      </c>
      <c r="B2242" s="53" t="inlineStr">
        <is>
          <t>WP-00986</t>
        </is>
      </c>
      <c r="C2242" s="53" t="inlineStr">
        <is>
          <t>TECH-073</t>
        </is>
      </c>
      <c r="D2242" s="53" t="inlineStr">
        <is>
          <t>Airframe</t>
        </is>
      </c>
      <c r="E2242" s="53" t="inlineStr">
        <is>
          <t>2025-04-08</t>
        </is>
      </c>
      <c r="F2242" s="53">
        <v>7.5</v>
      </c>
      <c r="G2242" s="53">
        <v>0</v>
      </c>
      <c r="H2242" s="51" t="str">
        <f>TEXT(tblLaborEntries[[#This Row],[Work date serial]]-WEEKDAY(tblLaborEntries[[#This Row],[Work date serial]],3),"yyyy-mm-dd")</f>
        <v>2025-04-07</v>
      </c>
      <c r="I2242" s="64">
        <f>DATEVALUE(tblLaborEntries[[#This Row],[Work date]])</f>
        <v>45755.0</v>
      </c>
    </row>
    <row r="2243" spans="1:9" ht="15" x14ac:dyDescent="0.25">
      <c r="A2243" s="53" t="inlineStr">
        <is>
          <t>LAB-002242</t>
        </is>
      </c>
      <c r="B2243" s="53" t="inlineStr">
        <is>
          <t>WP-00986</t>
        </is>
      </c>
      <c r="C2243" s="53" t="inlineStr">
        <is>
          <t>TECH-049</t>
        </is>
      </c>
      <c r="D2243" s="53" t="inlineStr">
        <is>
          <t>Airframe</t>
        </is>
      </c>
      <c r="E2243" s="53" t="inlineStr">
        <is>
          <t>2025-04-09</t>
        </is>
      </c>
      <c r="F2243" s="53">
        <v>5.6</v>
      </c>
      <c r="G2243" s="53">
        <v>0</v>
      </c>
      <c r="H2243" s="51" t="str">
        <f>TEXT(tblLaborEntries[[#This Row],[Work date serial]]-WEEKDAY(tblLaborEntries[[#This Row],[Work date serial]],3),"yyyy-mm-dd")</f>
        <v>2025-04-07</v>
      </c>
      <c r="I2243" s="64">
        <f>DATEVALUE(tblLaborEntries[[#This Row],[Work date]])</f>
        <v>45756.0</v>
      </c>
    </row>
    <row r="2244" spans="1:9" ht="15" x14ac:dyDescent="0.25">
      <c r="A2244" s="53" t="inlineStr">
        <is>
          <t>LAB-002243</t>
        </is>
      </c>
      <c r="B2244" s="53" t="inlineStr">
        <is>
          <t>WP-00987</t>
        </is>
      </c>
      <c r="C2244" s="53" t="inlineStr">
        <is>
          <t>TECH-068</t>
        </is>
      </c>
      <c r="D2244" s="53" t="inlineStr">
        <is>
          <t>Avionics</t>
        </is>
      </c>
      <c r="E2244" s="53" t="inlineStr">
        <is>
          <t>2024-06-29</t>
        </is>
      </c>
      <c r="F2244" s="53">
        <v>1.4</v>
      </c>
      <c r="G2244" s="53">
        <v>0</v>
      </c>
      <c r="H2244" s="51" t="str">
        <f>TEXT(tblLaborEntries[[#This Row],[Work date serial]]-WEEKDAY(tblLaborEntries[[#This Row],[Work date serial]],3),"yyyy-mm-dd")</f>
        <v>2024-06-24</v>
      </c>
      <c r="I2244" s="64">
        <f>DATEVALUE(tblLaborEntries[[#This Row],[Work date]])</f>
        <v>45472.0</v>
      </c>
    </row>
    <row r="2245" spans="1:9" ht="15" x14ac:dyDescent="0.25">
      <c r="A2245" s="53" t="inlineStr">
        <is>
          <t>LAB-002244</t>
        </is>
      </c>
      <c r="B2245" s="53" t="inlineStr">
        <is>
          <t>WP-00987</t>
        </is>
      </c>
      <c r="C2245" s="53" t="inlineStr">
        <is>
          <t>TECH-032</t>
        </is>
      </c>
      <c r="D2245" s="53" t="inlineStr">
        <is>
          <t>Avionics</t>
        </is>
      </c>
      <c r="E2245" s="53" t="inlineStr">
        <is>
          <t>2024-06-30</t>
        </is>
      </c>
      <c r="F2245" s="53">
        <v>1.8</v>
      </c>
      <c r="G2245" s="53">
        <v>0</v>
      </c>
      <c r="H2245" s="51" t="str">
        <f>TEXT(tblLaborEntries[[#This Row],[Work date serial]]-WEEKDAY(tblLaborEntries[[#This Row],[Work date serial]],3),"yyyy-mm-dd")</f>
        <v>2024-06-24</v>
      </c>
      <c r="I2245" s="64">
        <f>DATEVALUE(tblLaborEntries[[#This Row],[Work date]])</f>
        <v>45473.0</v>
      </c>
    </row>
    <row r="2246" spans="1:9" ht="15" x14ac:dyDescent="0.25">
      <c r="A2246" s="53" t="inlineStr">
        <is>
          <t>LAB-002245</t>
        </is>
      </c>
      <c r="B2246" s="53" t="inlineStr">
        <is>
          <t>WP-00987</t>
        </is>
      </c>
      <c r="C2246" s="53" t="inlineStr">
        <is>
          <t>TECH-044</t>
        </is>
      </c>
      <c r="D2246" s="53" t="inlineStr">
        <is>
          <t>Avionics</t>
        </is>
      </c>
      <c r="E2246" s="53" t="inlineStr">
        <is>
          <t>2024-07-01</t>
        </is>
      </c>
      <c r="F2246" s="53">
        <v>1.3</v>
      </c>
      <c r="G2246" s="53">
        <v>0</v>
      </c>
      <c r="H2246" s="51" t="str">
        <f>TEXT(tblLaborEntries[[#This Row],[Work date serial]]-WEEKDAY(tblLaborEntries[[#This Row],[Work date serial]],3),"yyyy-mm-dd")</f>
        <v>2024-07-01</v>
      </c>
      <c r="I2246" s="64">
        <f>DATEVALUE(tblLaborEntries[[#This Row],[Work date]])</f>
        <v>45474.0</v>
      </c>
    </row>
    <row r="2247" spans="1:9" ht="15" x14ac:dyDescent="0.25">
      <c r="A2247" s="53" t="inlineStr">
        <is>
          <t>LAB-002246</t>
        </is>
      </c>
      <c r="B2247" s="53" t="inlineStr">
        <is>
          <t>WP-00988</t>
        </is>
      </c>
      <c r="C2247" s="53" t="inlineStr">
        <is>
          <t>TECH-006</t>
        </is>
      </c>
      <c r="D2247" s="53" t="inlineStr">
        <is>
          <t>Powerplant</t>
        </is>
      </c>
      <c r="E2247" s="53" t="inlineStr">
        <is>
          <t>2024-03-07</t>
        </is>
      </c>
      <c r="F2247" s="53">
        <v>9.2</v>
      </c>
      <c r="G2247" s="53">
        <v>1.2</v>
      </c>
      <c r="H2247" s="51" t="str">
        <f>TEXT(tblLaborEntries[[#This Row],[Work date serial]]-WEEKDAY(tblLaborEntries[[#This Row],[Work date serial]],3),"yyyy-mm-dd")</f>
        <v>2024-03-04</v>
      </c>
      <c r="I2247" s="64">
        <f>DATEVALUE(tblLaborEntries[[#This Row],[Work date]])</f>
        <v>45358.0</v>
      </c>
    </row>
    <row r="2248" spans="1:9" ht="15" x14ac:dyDescent="0.25">
      <c r="A2248" s="53" t="inlineStr">
        <is>
          <t>LAB-002247</t>
        </is>
      </c>
      <c r="B2248" s="53" t="inlineStr">
        <is>
          <t>WP-00988</t>
        </is>
      </c>
      <c r="C2248" s="53" t="inlineStr">
        <is>
          <t>TECH-036</t>
        </is>
      </c>
      <c r="D2248" s="53" t="inlineStr">
        <is>
          <t>Powerplant</t>
        </is>
      </c>
      <c r="E2248" s="53" t="inlineStr">
        <is>
          <t>2024-03-07</t>
        </is>
      </c>
      <c r="F2248" s="53">
        <v>12</v>
      </c>
      <c r="G2248" s="53">
        <v>4</v>
      </c>
      <c r="H2248" s="51" t="str">
        <f>TEXT(tblLaborEntries[[#This Row],[Work date serial]]-WEEKDAY(tblLaborEntries[[#This Row],[Work date serial]],3),"yyyy-mm-dd")</f>
        <v>2024-03-04</v>
      </c>
      <c r="I2248" s="64">
        <f>DATEVALUE(tblLaborEntries[[#This Row],[Work date]])</f>
        <v>45358.0</v>
      </c>
    </row>
    <row r="2249" spans="1:9" ht="15" x14ac:dyDescent="0.25">
      <c r="A2249" s="53" t="inlineStr">
        <is>
          <t>LAB-002248</t>
        </is>
      </c>
      <c r="B2249" s="53" t="inlineStr">
        <is>
          <t>WP-00989</t>
        </is>
      </c>
      <c r="C2249" s="53" t="inlineStr">
        <is>
          <t>TECH-013</t>
        </is>
      </c>
      <c r="D2249" s="53" t="inlineStr">
        <is>
          <t>Airframe</t>
        </is>
      </c>
      <c r="E2249" s="53" t="inlineStr">
        <is>
          <t>2024-01-20</t>
        </is>
      </c>
      <c r="F2249" s="53">
        <v>2.6</v>
      </c>
      <c r="G2249" s="53">
        <v>0</v>
      </c>
      <c r="H2249" s="51" t="str">
        <f>TEXT(tblLaborEntries[[#This Row],[Work date serial]]-WEEKDAY(tblLaborEntries[[#This Row],[Work date serial]],3),"yyyy-mm-dd")</f>
        <v>2024-01-15</v>
      </c>
      <c r="I2249" s="64">
        <f>DATEVALUE(tblLaborEntries[[#This Row],[Work date]])</f>
        <v>45311.0</v>
      </c>
    </row>
    <row r="2250" spans="1:9" ht="15" x14ac:dyDescent="0.25">
      <c r="A2250" s="53" t="inlineStr">
        <is>
          <t>LAB-002249</t>
        </is>
      </c>
      <c r="B2250" s="53" t="inlineStr">
        <is>
          <t>WP-00989</t>
        </is>
      </c>
      <c r="C2250" s="53" t="inlineStr">
        <is>
          <t>TECH-067</t>
        </is>
      </c>
      <c r="D2250" s="53" t="inlineStr">
        <is>
          <t>Airframe</t>
        </is>
      </c>
      <c r="E2250" s="53" t="inlineStr">
        <is>
          <t>2024-01-21</t>
        </is>
      </c>
      <c r="F2250" s="53">
        <v>2.4</v>
      </c>
      <c r="G2250" s="53">
        <v>0</v>
      </c>
      <c r="H2250" s="51" t="str">
        <f>TEXT(tblLaborEntries[[#This Row],[Work date serial]]-WEEKDAY(tblLaborEntries[[#This Row],[Work date serial]],3),"yyyy-mm-dd")</f>
        <v>2024-01-15</v>
      </c>
      <c r="I2250" s="64">
        <f>DATEVALUE(tblLaborEntries[[#This Row],[Work date]])</f>
        <v>45312.0</v>
      </c>
    </row>
    <row r="2251" spans="1:9" ht="15" x14ac:dyDescent="0.25">
      <c r="A2251" s="53" t="inlineStr">
        <is>
          <t>LAB-002250</t>
        </is>
      </c>
      <c r="B2251" s="53" t="inlineStr">
        <is>
          <t>WP-00990</t>
        </is>
      </c>
      <c r="C2251" s="53" t="inlineStr">
        <is>
          <t>TECH-006</t>
        </is>
      </c>
      <c r="D2251" s="53" t="inlineStr">
        <is>
          <t>Powerplant</t>
        </is>
      </c>
      <c r="E2251" s="53" t="inlineStr">
        <is>
          <t>2025-12-08</t>
        </is>
      </c>
      <c r="F2251" s="53">
        <v>9.4</v>
      </c>
      <c r="G2251" s="53">
        <v>1.4</v>
      </c>
      <c r="H2251" s="51" t="str">
        <f>TEXT(tblLaborEntries[[#This Row],[Work date serial]]-WEEKDAY(tblLaborEntries[[#This Row],[Work date serial]],3),"yyyy-mm-dd")</f>
        <v>2025-12-08</v>
      </c>
      <c r="I2251" s="64">
        <f>DATEVALUE(tblLaborEntries[[#This Row],[Work date]])</f>
        <v>45999.0</v>
      </c>
    </row>
    <row r="2252" spans="1:9" ht="15" x14ac:dyDescent="0.25">
      <c r="A2252" s="53" t="inlineStr">
        <is>
          <t>LAB-002251</t>
        </is>
      </c>
      <c r="B2252" s="53" t="inlineStr">
        <is>
          <t>WP-00990</t>
        </is>
      </c>
      <c r="C2252" s="53" t="inlineStr">
        <is>
          <t>TECH-030</t>
        </is>
      </c>
      <c r="D2252" s="53" t="inlineStr">
        <is>
          <t>Powerplant</t>
        </is>
      </c>
      <c r="E2252" s="53" t="inlineStr">
        <is>
          <t>2025-12-08</t>
        </is>
      </c>
      <c r="F2252" s="53">
        <v>12</v>
      </c>
      <c r="G2252" s="53">
        <v>4</v>
      </c>
      <c r="H2252" s="51" t="str">
        <f>TEXT(tblLaborEntries[[#This Row],[Work date serial]]-WEEKDAY(tblLaborEntries[[#This Row],[Work date serial]],3),"yyyy-mm-dd")</f>
        <v>2025-12-08</v>
      </c>
      <c r="I2252" s="64">
        <f>DATEVALUE(tblLaborEntries[[#This Row],[Work date]])</f>
        <v>45999.0</v>
      </c>
    </row>
    <row r="2253" spans="1:9" ht="15" x14ac:dyDescent="0.25">
      <c r="A2253" s="53" t="inlineStr">
        <is>
          <t>LAB-002252</t>
        </is>
      </c>
      <c r="B2253" s="53" t="inlineStr">
        <is>
          <t>WP-00991</t>
        </is>
      </c>
      <c r="C2253" s="53" t="inlineStr">
        <is>
          <t>TECH-061</t>
        </is>
      </c>
      <c r="D2253" s="53" t="inlineStr">
        <is>
          <t>Airframe</t>
        </is>
      </c>
      <c r="E2253" s="53" t="inlineStr">
        <is>
          <t>2024-12-08</t>
        </is>
      </c>
      <c r="F2253" s="53">
        <v>1.9</v>
      </c>
      <c r="G2253" s="53">
        <v>0</v>
      </c>
      <c r="H2253" s="51" t="str">
        <f>TEXT(tblLaborEntries[[#This Row],[Work date serial]]-WEEKDAY(tblLaborEntries[[#This Row],[Work date serial]],3),"yyyy-mm-dd")</f>
        <v>2024-12-02</v>
      </c>
      <c r="I2253" s="64">
        <f>DATEVALUE(tblLaborEntries[[#This Row],[Work date]])</f>
        <v>45634.0</v>
      </c>
    </row>
    <row r="2254" spans="1:9" ht="15" x14ac:dyDescent="0.25">
      <c r="A2254" s="53" t="inlineStr">
        <is>
          <t>LAB-002253</t>
        </is>
      </c>
      <c r="B2254" s="53" t="inlineStr">
        <is>
          <t>WP-00991</t>
        </is>
      </c>
      <c r="C2254" s="53" t="inlineStr">
        <is>
          <t>TECH-025</t>
        </is>
      </c>
      <c r="D2254" s="53" t="inlineStr">
        <is>
          <t>Airframe</t>
        </is>
      </c>
      <c r="E2254" s="53" t="inlineStr">
        <is>
          <t>2024-12-09</t>
        </is>
      </c>
      <c r="F2254" s="53">
        <v>1.6</v>
      </c>
      <c r="G2254" s="53">
        <v>0</v>
      </c>
      <c r="H2254" s="51" t="str">
        <f>TEXT(tblLaborEntries[[#This Row],[Work date serial]]-WEEKDAY(tblLaborEntries[[#This Row],[Work date serial]],3),"yyyy-mm-dd")</f>
        <v>2024-12-09</v>
      </c>
      <c r="I2254" s="64">
        <f>DATEVALUE(tblLaborEntries[[#This Row],[Work date]])</f>
        <v>45635.0</v>
      </c>
    </row>
    <row r="2255" spans="1:9" ht="15" x14ac:dyDescent="0.25">
      <c r="A2255" s="53" t="inlineStr">
        <is>
          <t>LAB-002254</t>
        </is>
      </c>
      <c r="B2255" s="53" t="inlineStr">
        <is>
          <t>WP-00991</t>
        </is>
      </c>
      <c r="C2255" s="53" t="inlineStr">
        <is>
          <t>TECH-001</t>
        </is>
      </c>
      <c r="D2255" s="53" t="inlineStr">
        <is>
          <t>Airframe</t>
        </is>
      </c>
      <c r="E2255" s="53" t="inlineStr">
        <is>
          <t>2024-12-10</t>
        </is>
      </c>
      <c r="F2255" s="53">
        <v>1.7</v>
      </c>
      <c r="G2255" s="53">
        <v>0</v>
      </c>
      <c r="H2255" s="51" t="str">
        <f>TEXT(tblLaborEntries[[#This Row],[Work date serial]]-WEEKDAY(tblLaborEntries[[#This Row],[Work date serial]],3),"yyyy-mm-dd")</f>
        <v>2024-12-09</v>
      </c>
      <c r="I2255" s="64">
        <f>DATEVALUE(tblLaborEntries[[#This Row],[Work date]])</f>
        <v>45636.0</v>
      </c>
    </row>
    <row r="2256" spans="1:9" ht="15" x14ac:dyDescent="0.25">
      <c r="A2256" s="53" t="inlineStr">
        <is>
          <t>LAB-002255</t>
        </is>
      </c>
      <c r="B2256" s="53" t="inlineStr">
        <is>
          <t>WP-00992</t>
        </is>
      </c>
      <c r="C2256" s="53" t="inlineStr">
        <is>
          <t>TECH-025</t>
        </is>
      </c>
      <c r="D2256" s="53" t="inlineStr">
        <is>
          <t>Airframe</t>
        </is>
      </c>
      <c r="E2256" s="53" t="inlineStr">
        <is>
          <t>2024-08-01</t>
        </is>
      </c>
      <c r="F2256" s="53">
        <v>3</v>
      </c>
      <c r="G2256" s="53">
        <v>0</v>
      </c>
      <c r="H2256" s="51" t="str">
        <f>TEXT(tblLaborEntries[[#This Row],[Work date serial]]-WEEKDAY(tblLaborEntries[[#This Row],[Work date serial]],3),"yyyy-mm-dd")</f>
        <v>2024-07-29</v>
      </c>
      <c r="I2256" s="64">
        <f>DATEVALUE(tblLaborEntries[[#This Row],[Work date]])</f>
        <v>45505.0</v>
      </c>
    </row>
    <row r="2257" spans="1:9" ht="15" x14ac:dyDescent="0.25">
      <c r="A2257" s="53" t="inlineStr">
        <is>
          <t>LAB-002256</t>
        </is>
      </c>
      <c r="B2257" s="53" t="inlineStr">
        <is>
          <t>WP-00993</t>
        </is>
      </c>
      <c r="C2257" s="53" t="inlineStr">
        <is>
          <t>TECH-003</t>
        </is>
      </c>
      <c r="D2257" s="53" t="inlineStr">
        <is>
          <t>Hydraulics</t>
        </is>
      </c>
      <c r="E2257" s="53" t="inlineStr">
        <is>
          <t>2025-03-28</t>
        </is>
      </c>
      <c r="F2257" s="53">
        <v>5.9</v>
      </c>
      <c r="G2257" s="53">
        <v>0</v>
      </c>
      <c r="H2257" s="51" t="str">
        <f>TEXT(tblLaborEntries[[#This Row],[Work date serial]]-WEEKDAY(tblLaborEntries[[#This Row],[Work date serial]],3),"yyyy-mm-dd")</f>
        <v>2025-03-24</v>
      </c>
      <c r="I2257" s="64">
        <f>DATEVALUE(tblLaborEntries[[#This Row],[Work date]])</f>
        <v>45744.0</v>
      </c>
    </row>
    <row r="2258" spans="1:9" ht="15" x14ac:dyDescent="0.25">
      <c r="A2258" s="53" t="inlineStr">
        <is>
          <t>LAB-002257</t>
        </is>
      </c>
      <c r="B2258" s="53" t="inlineStr">
        <is>
          <t>WP-00993</t>
        </is>
      </c>
      <c r="C2258" s="53" t="inlineStr">
        <is>
          <t>TECH-075</t>
        </is>
      </c>
      <c r="D2258" s="53" t="inlineStr">
        <is>
          <t>Hydraulics</t>
        </is>
      </c>
      <c r="E2258" s="53" t="inlineStr">
        <is>
          <t>2025-03-29</t>
        </is>
      </c>
      <c r="F2258" s="53">
        <v>6.7</v>
      </c>
      <c r="G2258" s="53">
        <v>0</v>
      </c>
      <c r="H2258" s="51" t="str">
        <f>TEXT(tblLaborEntries[[#This Row],[Work date serial]]-WEEKDAY(tblLaborEntries[[#This Row],[Work date serial]],3),"yyyy-mm-dd")</f>
        <v>2025-03-24</v>
      </c>
      <c r="I2258" s="64">
        <f>DATEVALUE(tblLaborEntries[[#This Row],[Work date]])</f>
        <v>45745.0</v>
      </c>
    </row>
    <row r="2259" spans="1:9" ht="15" x14ac:dyDescent="0.25">
      <c r="A2259" s="53" t="inlineStr">
        <is>
          <t>LAB-002258</t>
        </is>
      </c>
      <c r="B2259" s="53" t="inlineStr">
        <is>
          <t>WP-00993</t>
        </is>
      </c>
      <c r="C2259" s="53" t="inlineStr">
        <is>
          <t>TECH-045</t>
        </is>
      </c>
      <c r="D2259" s="53" t="inlineStr">
        <is>
          <t>Hydraulics</t>
        </is>
      </c>
      <c r="E2259" s="53" t="inlineStr">
        <is>
          <t>2025-03-30</t>
        </is>
      </c>
      <c r="F2259" s="53">
        <v>7.3</v>
      </c>
      <c r="G2259" s="53">
        <v>0</v>
      </c>
      <c r="H2259" s="51" t="str">
        <f>TEXT(tblLaborEntries[[#This Row],[Work date serial]]-WEEKDAY(tblLaborEntries[[#This Row],[Work date serial]],3),"yyyy-mm-dd")</f>
        <v>2025-03-24</v>
      </c>
      <c r="I2259" s="64">
        <f>DATEVALUE(tblLaborEntries[[#This Row],[Work date]])</f>
        <v>45746.0</v>
      </c>
    </row>
    <row r="2260" spans="1:9" ht="15" x14ac:dyDescent="0.25">
      <c r="A2260" s="53" t="inlineStr">
        <is>
          <t>LAB-002259</t>
        </is>
      </c>
      <c r="B2260" s="53" t="inlineStr">
        <is>
          <t>WP-00994</t>
        </is>
      </c>
      <c r="C2260" s="53" t="inlineStr">
        <is>
          <t>TECH-062</t>
        </is>
      </c>
      <c r="D2260" s="53" t="inlineStr">
        <is>
          <t>Avionics</t>
        </is>
      </c>
      <c r="E2260" s="53" t="inlineStr">
        <is>
          <t>2025-01-18</t>
        </is>
      </c>
      <c r="F2260" s="53">
        <v>1.8</v>
      </c>
      <c r="G2260" s="53">
        <v>0</v>
      </c>
      <c r="H2260" s="51" t="str">
        <f>TEXT(tblLaborEntries[[#This Row],[Work date serial]]-WEEKDAY(tblLaborEntries[[#This Row],[Work date serial]],3),"yyyy-mm-dd")</f>
        <v>2025-01-13</v>
      </c>
      <c r="I2260" s="64">
        <f>DATEVALUE(tblLaborEntries[[#This Row],[Work date]])</f>
        <v>45675.0</v>
      </c>
    </row>
    <row r="2261" spans="1:9" ht="15" x14ac:dyDescent="0.25">
      <c r="A2261" s="53" t="inlineStr">
        <is>
          <t>LAB-002260</t>
        </is>
      </c>
      <c r="B2261" s="53" t="inlineStr">
        <is>
          <t>WP-00994</t>
        </is>
      </c>
      <c r="C2261" s="53" t="inlineStr">
        <is>
          <t>TECH-014</t>
        </is>
      </c>
      <c r="D2261" s="53" t="inlineStr">
        <is>
          <t>Avionics</t>
        </is>
      </c>
      <c r="E2261" s="53" t="inlineStr">
        <is>
          <t>2025-01-19</t>
        </is>
      </c>
      <c r="F2261" s="53">
        <v>1.6</v>
      </c>
      <c r="G2261" s="53">
        <v>1.2</v>
      </c>
      <c r="H2261" s="51" t="str">
        <f>TEXT(tblLaborEntries[[#This Row],[Work date serial]]-WEEKDAY(tblLaborEntries[[#This Row],[Work date serial]],3),"yyyy-mm-dd")</f>
        <v>2025-01-13</v>
      </c>
      <c r="I2261" s="64">
        <f>DATEVALUE(tblLaborEntries[[#This Row],[Work date]])</f>
        <v>45676.0</v>
      </c>
    </row>
    <row r="2262" spans="1:9" ht="15" x14ac:dyDescent="0.25">
      <c r="A2262" s="53" t="inlineStr">
        <is>
          <t>LAB-002261</t>
        </is>
      </c>
      <c r="B2262" s="53" t="inlineStr">
        <is>
          <t>WP-00995</t>
        </is>
      </c>
      <c r="C2262" s="53" t="inlineStr">
        <is>
          <t>TECH-041</t>
        </is>
      </c>
      <c r="D2262" s="53" t="inlineStr">
        <is>
          <t>Structures</t>
        </is>
      </c>
      <c r="E2262" s="53" t="inlineStr">
        <is>
          <t>2024-12-03</t>
        </is>
      </c>
      <c r="F2262" s="53">
        <v>9.3</v>
      </c>
      <c r="G2262" s="53">
        <v>1.3</v>
      </c>
      <c r="H2262" s="51" t="str">
        <f>TEXT(tblLaborEntries[[#This Row],[Work date serial]]-WEEKDAY(tblLaborEntries[[#This Row],[Work date serial]],3),"yyyy-mm-dd")</f>
        <v>2024-12-02</v>
      </c>
      <c r="I2262" s="64">
        <f>DATEVALUE(tblLaborEntries[[#This Row],[Work date]])</f>
        <v>45629.0</v>
      </c>
    </row>
    <row r="2263" spans="1:9" ht="15" x14ac:dyDescent="0.25">
      <c r="A2263" s="53" t="inlineStr">
        <is>
          <t>LAB-002262</t>
        </is>
      </c>
      <c r="B2263" s="53" t="inlineStr">
        <is>
          <t>WP-00995</t>
        </is>
      </c>
      <c r="C2263" s="53" t="inlineStr">
        <is>
          <t>TECH-005</t>
        </is>
      </c>
      <c r="D2263" s="53" t="inlineStr">
        <is>
          <t>Structures</t>
        </is>
      </c>
      <c r="E2263" s="53" t="inlineStr">
        <is>
          <t>2024-12-04</t>
        </is>
      </c>
      <c r="F2263" s="53">
        <v>12</v>
      </c>
      <c r="G2263" s="53">
        <v>4</v>
      </c>
      <c r="H2263" s="51" t="str">
        <f>TEXT(tblLaborEntries[[#This Row],[Work date serial]]-WEEKDAY(tblLaborEntries[[#This Row],[Work date serial]],3),"yyyy-mm-dd")</f>
        <v>2024-12-02</v>
      </c>
      <c r="I2263" s="64">
        <f>DATEVALUE(tblLaborEntries[[#This Row],[Work date]])</f>
        <v>45630.0</v>
      </c>
    </row>
    <row r="2264" spans="1:9" ht="15" x14ac:dyDescent="0.25">
      <c r="A2264" s="53" t="inlineStr">
        <is>
          <t>LAB-002263</t>
        </is>
      </c>
      <c r="B2264" s="53" t="inlineStr">
        <is>
          <t>WP-00995</t>
        </is>
      </c>
      <c r="C2264" s="53" t="inlineStr">
        <is>
          <t>TECH-011</t>
        </is>
      </c>
      <c r="D2264" s="53" t="inlineStr">
        <is>
          <t>Structures</t>
        </is>
      </c>
      <c r="E2264" s="53" t="inlineStr">
        <is>
          <t>2024-12-04</t>
        </is>
      </c>
      <c r="F2264" s="53">
        <v>12</v>
      </c>
      <c r="G2264" s="53">
        <v>4</v>
      </c>
      <c r="H2264" s="51" t="str">
        <f>TEXT(tblLaborEntries[[#This Row],[Work date serial]]-WEEKDAY(tblLaborEntries[[#This Row],[Work date serial]],3),"yyyy-mm-dd")</f>
        <v>2024-12-02</v>
      </c>
      <c r="I2264" s="64">
        <f>DATEVALUE(tblLaborEntries[[#This Row],[Work date]])</f>
        <v>45630.0</v>
      </c>
    </row>
    <row r="2265" spans="1:9" ht="15" x14ac:dyDescent="0.25">
      <c r="A2265" s="53" t="inlineStr">
        <is>
          <t>LAB-002264</t>
        </is>
      </c>
      <c r="B2265" s="53" t="inlineStr">
        <is>
          <t>WP-00995</t>
        </is>
      </c>
      <c r="C2265" s="53" t="inlineStr">
        <is>
          <t>TECH-041</t>
        </is>
      </c>
      <c r="D2265" s="53" t="inlineStr">
        <is>
          <t>Structures</t>
        </is>
      </c>
      <c r="E2265" s="53" t="inlineStr">
        <is>
          <t>2024-12-04</t>
        </is>
      </c>
      <c r="F2265" s="53">
        <v>12</v>
      </c>
      <c r="G2265" s="53">
        <v>4</v>
      </c>
      <c r="H2265" s="51" t="str">
        <f>TEXT(tblLaborEntries[[#This Row],[Work date serial]]-WEEKDAY(tblLaborEntries[[#This Row],[Work date serial]],3),"yyyy-mm-dd")</f>
        <v>2024-12-02</v>
      </c>
      <c r="I2265" s="64">
        <f>DATEVALUE(tblLaborEntries[[#This Row],[Work date]])</f>
        <v>45630.0</v>
      </c>
    </row>
    <row r="2266" spans="1:9" ht="15" x14ac:dyDescent="0.25">
      <c r="A2266" s="53" t="inlineStr">
        <is>
          <t>LAB-002265</t>
        </is>
      </c>
      <c r="B2266" s="53" t="inlineStr">
        <is>
          <t>WP-00996</t>
        </is>
      </c>
      <c r="C2266" s="53" t="inlineStr">
        <is>
          <t>TECH-050</t>
        </is>
      </c>
      <c r="D2266" s="53" t="inlineStr">
        <is>
          <t>Avionics</t>
        </is>
      </c>
      <c r="E2266" s="53" t="inlineStr">
        <is>
          <t>2025-05-22</t>
        </is>
      </c>
      <c r="F2266" s="53">
        <v>2.4</v>
      </c>
      <c r="G2266" s="53">
        <v>0</v>
      </c>
      <c r="H2266" s="51" t="str">
        <f>TEXT(tblLaborEntries[[#This Row],[Work date serial]]-WEEKDAY(tblLaborEntries[[#This Row],[Work date serial]],3),"yyyy-mm-dd")</f>
        <v>2025-05-19</v>
      </c>
      <c r="I2266" s="64">
        <f>DATEVALUE(tblLaborEntries[[#This Row],[Work date]])</f>
        <v>45799.0</v>
      </c>
    </row>
    <row r="2267" spans="1:9" ht="15" x14ac:dyDescent="0.25">
      <c r="A2267" s="53" t="inlineStr">
        <is>
          <t>LAB-002266</t>
        </is>
      </c>
      <c r="B2267" s="53" t="inlineStr">
        <is>
          <t>WP-00996</t>
        </is>
      </c>
      <c r="C2267" s="53" t="inlineStr">
        <is>
          <t>TECH-068</t>
        </is>
      </c>
      <c r="D2267" s="53" t="inlineStr">
        <is>
          <t>Avionics</t>
        </is>
      </c>
      <c r="E2267" s="53" t="inlineStr">
        <is>
          <t>2025-05-23</t>
        </is>
      </c>
      <c r="F2267" s="53">
        <v>2.2</v>
      </c>
      <c r="G2267" s="53">
        <v>0</v>
      </c>
      <c r="H2267" s="51" t="str">
        <f>TEXT(tblLaborEntries[[#This Row],[Work date serial]]-WEEKDAY(tblLaborEntries[[#This Row],[Work date serial]],3),"yyyy-mm-dd")</f>
        <v>2025-05-19</v>
      </c>
      <c r="I2267" s="64">
        <f>DATEVALUE(tblLaborEntries[[#This Row],[Work date]])</f>
        <v>45800.0</v>
      </c>
    </row>
    <row r="2268" spans="1:9" ht="15" x14ac:dyDescent="0.25">
      <c r="A2268" s="53" t="inlineStr">
        <is>
          <t>LAB-002267</t>
        </is>
      </c>
      <c r="B2268" s="53" t="inlineStr">
        <is>
          <t>WP-00996</t>
        </is>
      </c>
      <c r="C2268" s="53" t="inlineStr">
        <is>
          <t>TECH-056</t>
        </is>
      </c>
      <c r="D2268" s="53" t="inlineStr">
        <is>
          <t>Avionics</t>
        </is>
      </c>
      <c r="E2268" s="53" t="inlineStr">
        <is>
          <t>2025-05-24</t>
        </is>
      </c>
      <c r="F2268" s="53">
        <v>3.2</v>
      </c>
      <c r="G2268" s="53">
        <v>0</v>
      </c>
      <c r="H2268" s="51" t="str">
        <f>TEXT(tblLaborEntries[[#This Row],[Work date serial]]-WEEKDAY(tblLaborEntries[[#This Row],[Work date serial]],3),"yyyy-mm-dd")</f>
        <v>2025-05-19</v>
      </c>
      <c r="I2268" s="64">
        <f>DATEVALUE(tblLaborEntries[[#This Row],[Work date]])</f>
        <v>45801.0</v>
      </c>
    </row>
    <row r="2269" spans="1:9" ht="15" x14ac:dyDescent="0.25">
      <c r="A2269" s="53" t="inlineStr">
        <is>
          <t>LAB-002268</t>
        </is>
      </c>
      <c r="B2269" s="53" t="inlineStr">
        <is>
          <t>WP-00997</t>
        </is>
      </c>
      <c r="C2269" s="53" t="inlineStr">
        <is>
          <t>TECH-054</t>
        </is>
      </c>
      <c r="D2269" s="53" t="inlineStr">
        <is>
          <t>Powerplant</t>
        </is>
      </c>
      <c r="E2269" s="53" t="inlineStr">
        <is>
          <t>2025-03-16</t>
        </is>
      </c>
      <c r="F2269" s="53">
        <v>3.5</v>
      </c>
      <c r="G2269" s="53">
        <v>0</v>
      </c>
      <c r="H2269" s="51" t="str">
        <f>TEXT(tblLaborEntries[[#This Row],[Work date serial]]-WEEKDAY(tblLaborEntries[[#This Row],[Work date serial]],3),"yyyy-mm-dd")</f>
        <v>2025-03-10</v>
      </c>
      <c r="I2269" s="64">
        <f>DATEVALUE(tblLaborEntries[[#This Row],[Work date]])</f>
        <v>45732.0</v>
      </c>
    </row>
    <row r="2270" spans="1:9" ht="15" x14ac:dyDescent="0.25">
      <c r="A2270" s="53" t="inlineStr">
        <is>
          <t>LAB-002269</t>
        </is>
      </c>
      <c r="B2270" s="53" t="inlineStr">
        <is>
          <t>WP-00997</t>
        </is>
      </c>
      <c r="C2270" s="53" t="inlineStr">
        <is>
          <t>TECH-024</t>
        </is>
      </c>
      <c r="D2270" s="53" t="inlineStr">
        <is>
          <t>Powerplant</t>
        </is>
      </c>
      <c r="E2270" s="53" t="inlineStr">
        <is>
          <t>2025-03-17</t>
        </is>
      </c>
      <c r="F2270" s="53">
        <v>4.4</v>
      </c>
      <c r="G2270" s="53">
        <v>0</v>
      </c>
      <c r="H2270" s="51" t="str">
        <f>TEXT(tblLaborEntries[[#This Row],[Work date serial]]-WEEKDAY(tblLaborEntries[[#This Row],[Work date serial]],3),"yyyy-mm-dd")</f>
        <v>2025-03-17</v>
      </c>
      <c r="I2270" s="64">
        <f>DATEVALUE(tblLaborEntries[[#This Row],[Work date]])</f>
        <v>45733.0</v>
      </c>
    </row>
    <row r="2271" spans="1:9" ht="15" x14ac:dyDescent="0.25">
      <c r="A2271" s="53" t="inlineStr">
        <is>
          <t>LAB-002270</t>
        </is>
      </c>
      <c r="B2271" s="53" t="inlineStr">
        <is>
          <t>WP-00997</t>
        </is>
      </c>
      <c r="C2271" s="53" t="inlineStr">
        <is>
          <t>TECH-024</t>
        </is>
      </c>
      <c r="D2271" s="53" t="inlineStr">
        <is>
          <t>Powerplant</t>
        </is>
      </c>
      <c r="E2271" s="53" t="inlineStr">
        <is>
          <t>2025-03-18</t>
        </is>
      </c>
      <c r="F2271" s="53">
        <v>3.1</v>
      </c>
      <c r="G2271" s="53">
        <v>0</v>
      </c>
      <c r="H2271" s="51" t="str">
        <f>TEXT(tblLaborEntries[[#This Row],[Work date serial]]-WEEKDAY(tblLaborEntries[[#This Row],[Work date serial]],3),"yyyy-mm-dd")</f>
        <v>2025-03-17</v>
      </c>
      <c r="I2271" s="64">
        <f>DATEVALUE(tblLaborEntries[[#This Row],[Work date]])</f>
        <v>45734.0</v>
      </c>
    </row>
    <row r="2272" spans="1:9" ht="15" x14ac:dyDescent="0.25">
      <c r="A2272" s="53" t="inlineStr">
        <is>
          <t>LAB-002271</t>
        </is>
      </c>
      <c r="B2272" s="53" t="inlineStr">
        <is>
          <t>WP-00998</t>
        </is>
      </c>
      <c r="C2272" s="53" t="inlineStr">
        <is>
          <t>TECH-003</t>
        </is>
      </c>
      <c r="D2272" s="53" t="inlineStr">
        <is>
          <t>Hydraulics</t>
        </is>
      </c>
      <c r="E2272" s="53" t="inlineStr">
        <is>
          <t>2024-03-09</t>
        </is>
      </c>
      <c r="F2272" s="53">
        <v>0.9</v>
      </c>
      <c r="G2272" s="53">
        <v>0</v>
      </c>
      <c r="H2272" s="51" t="str">
        <f>TEXT(tblLaborEntries[[#This Row],[Work date serial]]-WEEKDAY(tblLaborEntries[[#This Row],[Work date serial]],3),"yyyy-mm-dd")</f>
        <v>2024-03-04</v>
      </c>
      <c r="I2272" s="64">
        <f>DATEVALUE(tblLaborEntries[[#This Row],[Work date]])</f>
        <v>45360.0</v>
      </c>
    </row>
    <row r="2273" spans="1:9" ht="15" x14ac:dyDescent="0.25">
      <c r="A2273" s="53" t="inlineStr">
        <is>
          <t>LAB-002272</t>
        </is>
      </c>
      <c r="B2273" s="53" t="inlineStr">
        <is>
          <t>WP-00998</t>
        </is>
      </c>
      <c r="C2273" s="53" t="inlineStr">
        <is>
          <t>TECH-057</t>
        </is>
      </c>
      <c r="D2273" s="53" t="inlineStr">
        <is>
          <t>Hydraulics</t>
        </is>
      </c>
      <c r="E2273" s="53" t="inlineStr">
        <is>
          <t>2024-03-09</t>
        </is>
      </c>
      <c r="F2273" s="53">
        <v>12</v>
      </c>
      <c r="G2273" s="53">
        <v>4</v>
      </c>
      <c r="H2273" s="51" t="str">
        <f>TEXT(tblLaborEntries[[#This Row],[Work date serial]]-WEEKDAY(tblLaborEntries[[#This Row],[Work date serial]],3),"yyyy-mm-dd")</f>
        <v>2024-03-04</v>
      </c>
      <c r="I2273" s="64">
        <f>DATEVALUE(tblLaborEntries[[#This Row],[Work date]])</f>
        <v>45360.0</v>
      </c>
    </row>
    <row r="2274" spans="1:9" ht="15" x14ac:dyDescent="0.25">
      <c r="A2274" s="53" t="inlineStr">
        <is>
          <t>LAB-002273</t>
        </is>
      </c>
      <c r="B2274" s="53" t="inlineStr">
        <is>
          <t>WP-00999</t>
        </is>
      </c>
      <c r="C2274" s="53" t="inlineStr">
        <is>
          <t>TECH-040</t>
        </is>
      </c>
      <c r="D2274" s="53" t="inlineStr">
        <is>
          <t>Electrical</t>
        </is>
      </c>
      <c r="E2274" s="53" t="inlineStr">
        <is>
          <t>2024-08-07</t>
        </is>
      </c>
      <c r="F2274" s="53">
        <v>6.6</v>
      </c>
      <c r="G2274" s="53">
        <v>0</v>
      </c>
      <c r="H2274" s="51" t="str">
        <f>TEXT(tblLaborEntries[[#This Row],[Work date serial]]-WEEKDAY(tblLaborEntries[[#This Row],[Work date serial]],3),"yyyy-mm-dd")</f>
        <v>2024-08-05</v>
      </c>
      <c r="I2274" s="64">
        <f>DATEVALUE(tblLaborEntries[[#This Row],[Work date]])</f>
        <v>45511.0</v>
      </c>
    </row>
    <row r="2275" spans="1:9" ht="15" x14ac:dyDescent="0.25">
      <c r="A2275" s="53" t="inlineStr">
        <is>
          <t>LAB-002274</t>
        </is>
      </c>
      <c r="B2275" s="53" t="inlineStr">
        <is>
          <t>WP-01000</t>
        </is>
      </c>
      <c r="C2275" s="53" t="inlineStr">
        <is>
          <t>TECH-030</t>
        </is>
      </c>
      <c r="D2275" s="53" t="inlineStr">
        <is>
          <t>Powerplant</t>
        </is>
      </c>
      <c r="E2275" s="53" t="inlineStr">
        <is>
          <t>2025-04-09</t>
        </is>
      </c>
      <c r="F2275" s="53">
        <v>3.7</v>
      </c>
      <c r="G2275" s="53">
        <v>0</v>
      </c>
      <c r="H2275" s="51" t="str">
        <f>TEXT(tblLaborEntries[[#This Row],[Work date serial]]-WEEKDAY(tblLaborEntries[[#This Row],[Work date serial]],3),"yyyy-mm-dd")</f>
        <v>2025-04-07</v>
      </c>
      <c r="I2275" s="64">
        <f>DATEVALUE(tblLaborEntries[[#This Row],[Work date]])</f>
        <v>45756.0</v>
      </c>
    </row>
    <row r="2276" spans="1:9" ht="15" x14ac:dyDescent="0.25">
      <c r="A2276" s="53" t="inlineStr">
        <is>
          <t>LAB-002275</t>
        </is>
      </c>
      <c r="B2276" s="53" t="inlineStr">
        <is>
          <t>WP-01000</t>
        </is>
      </c>
      <c r="C2276" s="53" t="inlineStr">
        <is>
          <t>TECH-054</t>
        </is>
      </c>
      <c r="D2276" s="53" t="inlineStr">
        <is>
          <t>Powerplant</t>
        </is>
      </c>
      <c r="E2276" s="53" t="inlineStr">
        <is>
          <t>2025-04-10</t>
        </is>
      </c>
      <c r="F2276" s="53">
        <v>2.9</v>
      </c>
      <c r="G2276" s="53">
        <v>0</v>
      </c>
      <c r="H2276" s="51" t="str">
        <f>TEXT(tblLaborEntries[[#This Row],[Work date serial]]-WEEKDAY(tblLaborEntries[[#This Row],[Work date serial]],3),"yyyy-mm-dd")</f>
        <v>2025-04-07</v>
      </c>
      <c r="I2276" s="64">
        <f>DATEVALUE(tblLaborEntries[[#This Row],[Work date]])</f>
        <v>45757.0</v>
      </c>
    </row>
    <row r="2277" spans="1:9" ht="15" x14ac:dyDescent="0.25">
      <c r="A2277" s="53" t="inlineStr">
        <is>
          <t>LAB-002276</t>
        </is>
      </c>
      <c r="B2277" s="53" t="inlineStr">
        <is>
          <t>WP-01000</t>
        </is>
      </c>
      <c r="C2277" s="53" t="inlineStr">
        <is>
          <t>TECH-012</t>
        </is>
      </c>
      <c r="D2277" s="53" t="inlineStr">
        <is>
          <t>Powerplant</t>
        </is>
      </c>
      <c r="E2277" s="53" t="inlineStr">
        <is>
          <t>2025-04-11</t>
        </is>
      </c>
      <c r="F2277" s="53">
        <v>3.5</v>
      </c>
      <c r="G2277" s="53">
        <v>0</v>
      </c>
      <c r="H2277" s="51" t="str">
        <f>TEXT(tblLaborEntries[[#This Row],[Work date serial]]-WEEKDAY(tblLaborEntries[[#This Row],[Work date serial]],3),"yyyy-mm-dd")</f>
        <v>2025-04-07</v>
      </c>
      <c r="I2277" s="64">
        <f>DATEVALUE(tblLaborEntries[[#This Row],[Work date]])</f>
        <v>45758.0</v>
      </c>
    </row>
    <row r="2278" spans="1:9" ht="15" x14ac:dyDescent="0.25">
      <c r="A2278" s="53" t="inlineStr">
        <is>
          <t>LAB-002277</t>
        </is>
      </c>
      <c r="B2278" s="53" t="inlineStr">
        <is>
          <t>WP-01001</t>
        </is>
      </c>
      <c r="C2278" s="53" t="inlineStr">
        <is>
          <t>TECH-056</t>
        </is>
      </c>
      <c r="D2278" s="53" t="inlineStr">
        <is>
          <t>Avionics</t>
        </is>
      </c>
      <c r="E2278" s="53" t="inlineStr">
        <is>
          <t>2026-01-07</t>
        </is>
      </c>
      <c r="F2278" s="53">
        <v>4.5</v>
      </c>
      <c r="G2278" s="53">
        <v>0</v>
      </c>
      <c r="H2278" s="51" t="str">
        <f>TEXT(tblLaborEntries[[#This Row],[Work date serial]]-WEEKDAY(tblLaborEntries[[#This Row],[Work date serial]],3),"yyyy-mm-dd")</f>
        <v>2026-01-05</v>
      </c>
      <c r="I2278" s="64">
        <f>DATEVALUE(tblLaborEntries[[#This Row],[Work date]])</f>
        <v>46029.0</v>
      </c>
    </row>
    <row r="2279" spans="1:9" ht="15" x14ac:dyDescent="0.25">
      <c r="A2279" s="53" t="inlineStr">
        <is>
          <t>LAB-002278</t>
        </is>
      </c>
      <c r="B2279" s="53" t="inlineStr">
        <is>
          <t>WP-01001</t>
        </is>
      </c>
      <c r="C2279" s="53" t="inlineStr">
        <is>
          <t>TECH-062</t>
        </is>
      </c>
      <c r="D2279" s="53" t="inlineStr">
        <is>
          <t>Avionics</t>
        </is>
      </c>
      <c r="E2279" s="53" t="inlineStr">
        <is>
          <t>2026-01-08</t>
        </is>
      </c>
      <c r="F2279" s="53">
        <v>4.8</v>
      </c>
      <c r="G2279" s="53">
        <v>0</v>
      </c>
      <c r="H2279" s="51" t="str">
        <f>TEXT(tblLaborEntries[[#This Row],[Work date serial]]-WEEKDAY(tblLaborEntries[[#This Row],[Work date serial]],3),"yyyy-mm-dd")</f>
        <v>2026-01-05</v>
      </c>
      <c r="I2279" s="64">
        <f>DATEVALUE(tblLaborEntries[[#This Row],[Work date]])</f>
        <v>46030.0</v>
      </c>
    </row>
    <row r="2280" spans="1:9" ht="15" x14ac:dyDescent="0.25">
      <c r="A2280" s="53" t="inlineStr">
        <is>
          <t>LAB-002279</t>
        </is>
      </c>
      <c r="B2280" s="53" t="inlineStr">
        <is>
          <t>WP-01002</t>
        </is>
      </c>
      <c r="C2280" s="53" t="inlineStr">
        <is>
          <t>TECH-074</t>
        </is>
      </c>
      <c r="D2280" s="53" t="inlineStr">
        <is>
          <t>Avionics</t>
        </is>
      </c>
      <c r="E2280" s="53" t="inlineStr">
        <is>
          <t>2024-08-27</t>
        </is>
      </c>
      <c r="F2280" s="53">
        <v>3.5</v>
      </c>
      <c r="G2280" s="53">
        <v>0</v>
      </c>
      <c r="H2280" s="51" t="str">
        <f>TEXT(tblLaborEntries[[#This Row],[Work date serial]]-WEEKDAY(tblLaborEntries[[#This Row],[Work date serial]],3),"yyyy-mm-dd")</f>
        <v>2024-08-26</v>
      </c>
      <c r="I2280" s="64">
        <f>DATEVALUE(tblLaborEntries[[#This Row],[Work date]])</f>
        <v>45531.0</v>
      </c>
    </row>
    <row r="2281" spans="1:9" ht="15" x14ac:dyDescent="0.25">
      <c r="A2281" s="53" t="inlineStr">
        <is>
          <t>LAB-002280</t>
        </is>
      </c>
      <c r="B2281" s="53" t="inlineStr">
        <is>
          <t>WP-01002</t>
        </is>
      </c>
      <c r="C2281" s="53" t="inlineStr">
        <is>
          <t>TECH-050</t>
        </is>
      </c>
      <c r="D2281" s="53" t="inlineStr">
        <is>
          <t>Avionics</t>
        </is>
      </c>
      <c r="E2281" s="53" t="inlineStr">
        <is>
          <t>2024-08-28</t>
        </is>
      </c>
      <c r="F2281" s="53">
        <v>4.1</v>
      </c>
      <c r="G2281" s="53">
        <v>0</v>
      </c>
      <c r="H2281" s="51" t="str">
        <f>TEXT(tblLaborEntries[[#This Row],[Work date serial]]-WEEKDAY(tblLaborEntries[[#This Row],[Work date serial]],3),"yyyy-mm-dd")</f>
        <v>2024-08-26</v>
      </c>
      <c r="I2281" s="64">
        <f>DATEVALUE(tblLaborEntries[[#This Row],[Work date]])</f>
        <v>45532.0</v>
      </c>
    </row>
    <row r="2282" spans="1:9" ht="15" x14ac:dyDescent="0.25">
      <c r="A2282" s="53" t="inlineStr">
        <is>
          <t>LAB-002281</t>
        </is>
      </c>
      <c r="B2282" s="53" t="inlineStr">
        <is>
          <t>WP-01003</t>
        </is>
      </c>
      <c r="C2282" s="53" t="inlineStr">
        <is>
          <t>TECH-043</t>
        </is>
      </c>
      <c r="D2282" s="53" t="inlineStr">
        <is>
          <t>Airframe</t>
        </is>
      </c>
      <c r="E2282" s="53" t="inlineStr">
        <is>
          <t>2025-12-18</t>
        </is>
      </c>
      <c r="F2282" s="53">
        <v>4.2</v>
      </c>
      <c r="G2282" s="53">
        <v>0</v>
      </c>
      <c r="H2282" s="51" t="str">
        <f>TEXT(tblLaborEntries[[#This Row],[Work date serial]]-WEEKDAY(tblLaborEntries[[#This Row],[Work date serial]],3),"yyyy-mm-dd")</f>
        <v>2025-12-15</v>
      </c>
      <c r="I2282" s="64">
        <f>DATEVALUE(tblLaborEntries[[#This Row],[Work date]])</f>
        <v>46009.0</v>
      </c>
    </row>
    <row r="2283" spans="1:9" ht="15" x14ac:dyDescent="0.25">
      <c r="A2283" s="53" t="inlineStr">
        <is>
          <t>LAB-002282</t>
        </is>
      </c>
      <c r="B2283" s="53" t="inlineStr">
        <is>
          <t>WP-01003</t>
        </is>
      </c>
      <c r="C2283" s="53" t="inlineStr">
        <is>
          <t>TECH-073</t>
        </is>
      </c>
      <c r="D2283" s="53" t="inlineStr">
        <is>
          <t>Airframe</t>
        </is>
      </c>
      <c r="E2283" s="53" t="inlineStr">
        <is>
          <t>2025-12-19</t>
        </is>
      </c>
      <c r="F2283" s="53">
        <v>3</v>
      </c>
      <c r="G2283" s="53">
        <v>0</v>
      </c>
      <c r="H2283" s="51" t="str">
        <f>TEXT(tblLaborEntries[[#This Row],[Work date serial]]-WEEKDAY(tblLaborEntries[[#This Row],[Work date serial]],3),"yyyy-mm-dd")</f>
        <v>2025-12-15</v>
      </c>
      <c r="I2283" s="64">
        <f>DATEVALUE(tblLaborEntries[[#This Row],[Work date]])</f>
        <v>46010.0</v>
      </c>
    </row>
    <row r="2284" spans="1:9" ht="15" x14ac:dyDescent="0.25">
      <c r="A2284" s="53" t="inlineStr">
        <is>
          <t>LAB-002283</t>
        </is>
      </c>
      <c r="B2284" s="53" t="inlineStr">
        <is>
          <t>WP-01004</t>
        </is>
      </c>
      <c r="C2284" s="53" t="inlineStr">
        <is>
          <t>TECH-019</t>
        </is>
      </c>
      <c r="D2284" s="53" t="inlineStr">
        <is>
          <t>Airframe</t>
        </is>
      </c>
      <c r="E2284" s="53" t="inlineStr">
        <is>
          <t>2024-03-21</t>
        </is>
      </c>
      <c r="F2284" s="53">
        <v>4.9</v>
      </c>
      <c r="G2284" s="53">
        <v>0</v>
      </c>
      <c r="H2284" s="51" t="str">
        <f>TEXT(tblLaborEntries[[#This Row],[Work date serial]]-WEEKDAY(tblLaborEntries[[#This Row],[Work date serial]],3),"yyyy-mm-dd")</f>
        <v>2024-03-18</v>
      </c>
      <c r="I2284" s="64">
        <f>DATEVALUE(tblLaborEntries[[#This Row],[Work date]])</f>
        <v>45372.0</v>
      </c>
    </row>
    <row r="2285" spans="1:9" ht="15" x14ac:dyDescent="0.25">
      <c r="A2285" s="53" t="inlineStr">
        <is>
          <t>LAB-002284</t>
        </is>
      </c>
      <c r="B2285" s="53" t="inlineStr">
        <is>
          <t>WP-01004</t>
        </is>
      </c>
      <c r="C2285" s="53" t="inlineStr">
        <is>
          <t>TECH-055</t>
        </is>
      </c>
      <c r="D2285" s="53" t="inlineStr">
        <is>
          <t>Airframe</t>
        </is>
      </c>
      <c r="E2285" s="53" t="inlineStr">
        <is>
          <t>2024-03-22</t>
        </is>
      </c>
      <c r="F2285" s="53">
        <v>5.2</v>
      </c>
      <c r="G2285" s="53">
        <v>0</v>
      </c>
      <c r="H2285" s="51" t="str">
        <f>TEXT(tblLaborEntries[[#This Row],[Work date serial]]-WEEKDAY(tblLaborEntries[[#This Row],[Work date serial]],3),"yyyy-mm-dd")</f>
        <v>2024-03-18</v>
      </c>
      <c r="I2285" s="64">
        <f>DATEVALUE(tblLaborEntries[[#This Row],[Work date]])</f>
        <v>45373.0</v>
      </c>
    </row>
    <row r="2286" spans="1:9" ht="15" x14ac:dyDescent="0.25">
      <c r="A2286" s="53" t="inlineStr">
        <is>
          <t>LAB-002285</t>
        </is>
      </c>
      <c r="B2286" s="53" t="inlineStr">
        <is>
          <t>WP-01005</t>
        </is>
      </c>
      <c r="C2286" s="53" t="inlineStr">
        <is>
          <t>TECH-074</t>
        </is>
      </c>
      <c r="D2286" s="53" t="inlineStr">
        <is>
          <t>Avionics</t>
        </is>
      </c>
      <c r="E2286" s="53" t="inlineStr">
        <is>
          <t>2025-09-12</t>
        </is>
      </c>
      <c r="F2286" s="53">
        <v>3.7</v>
      </c>
      <c r="G2286" s="53">
        <v>0</v>
      </c>
      <c r="H2286" s="51" t="str">
        <f>TEXT(tblLaborEntries[[#This Row],[Work date serial]]-WEEKDAY(tblLaborEntries[[#This Row],[Work date serial]],3),"yyyy-mm-dd")</f>
        <v>2025-09-08</v>
      </c>
      <c r="I2286" s="64">
        <f>DATEVALUE(tblLaborEntries[[#This Row],[Work date]])</f>
        <v>45912.0</v>
      </c>
    </row>
    <row r="2287" spans="1:9" ht="15" x14ac:dyDescent="0.25">
      <c r="A2287" s="53" t="inlineStr">
        <is>
          <t>LAB-002286</t>
        </is>
      </c>
      <c r="B2287" s="53" t="inlineStr">
        <is>
          <t>WP-01005</t>
        </is>
      </c>
      <c r="C2287" s="53" t="inlineStr">
        <is>
          <t>TECH-068</t>
        </is>
      </c>
      <c r="D2287" s="53" t="inlineStr">
        <is>
          <t>Avionics</t>
        </is>
      </c>
      <c r="E2287" s="53" t="inlineStr">
        <is>
          <t>2025-09-13</t>
        </is>
      </c>
      <c r="F2287" s="53">
        <v>2.6</v>
      </c>
      <c r="G2287" s="53">
        <v>0</v>
      </c>
      <c r="H2287" s="51" t="str">
        <f>TEXT(tblLaborEntries[[#This Row],[Work date serial]]-WEEKDAY(tblLaborEntries[[#This Row],[Work date serial]],3),"yyyy-mm-dd")</f>
        <v>2025-09-08</v>
      </c>
      <c r="I2287" s="64">
        <f>DATEVALUE(tblLaborEntries[[#This Row],[Work date]])</f>
        <v>45913.0</v>
      </c>
    </row>
    <row r="2288" spans="1:9" ht="15" x14ac:dyDescent="0.25">
      <c r="A2288" s="53" t="inlineStr">
        <is>
          <t>LAB-002287</t>
        </is>
      </c>
      <c r="B2288" s="53" t="inlineStr">
        <is>
          <t>WP-01005</t>
        </is>
      </c>
      <c r="C2288" s="53" t="inlineStr">
        <is>
          <t>TECH-020</t>
        </is>
      </c>
      <c r="D2288" s="53" t="inlineStr">
        <is>
          <t>Avionics</t>
        </is>
      </c>
      <c r="E2288" s="53" t="inlineStr">
        <is>
          <t>2025-09-14</t>
        </is>
      </c>
      <c r="F2288" s="53">
        <v>3.7</v>
      </c>
      <c r="G2288" s="53">
        <v>0</v>
      </c>
      <c r="H2288" s="51" t="str">
        <f>TEXT(tblLaborEntries[[#This Row],[Work date serial]]-WEEKDAY(tblLaborEntries[[#This Row],[Work date serial]],3),"yyyy-mm-dd")</f>
        <v>2025-09-08</v>
      </c>
      <c r="I2288" s="64">
        <f>DATEVALUE(tblLaborEntries[[#This Row],[Work date]])</f>
        <v>45914.0</v>
      </c>
    </row>
    <row r="2289" spans="1:9" ht="15" x14ac:dyDescent="0.25">
      <c r="A2289" s="53" t="inlineStr">
        <is>
          <t>LAB-002288</t>
        </is>
      </c>
      <c r="B2289" s="53" t="inlineStr">
        <is>
          <t>WP-01006</t>
        </is>
      </c>
      <c r="C2289" s="53" t="inlineStr">
        <is>
          <t>TECH-024</t>
        </is>
      </c>
      <c r="D2289" s="53" t="inlineStr">
        <is>
          <t>Powerplant</t>
        </is>
      </c>
      <c r="E2289" s="53" t="inlineStr">
        <is>
          <t>2025-10-15</t>
        </is>
      </c>
      <c r="F2289" s="53">
        <v>12</v>
      </c>
      <c r="G2289" s="53">
        <v>4</v>
      </c>
      <c r="H2289" s="51" t="str">
        <f>TEXT(tblLaborEntries[[#This Row],[Work date serial]]-WEEKDAY(tblLaborEntries[[#This Row],[Work date serial]],3),"yyyy-mm-dd")</f>
        <v>2025-10-13</v>
      </c>
      <c r="I2289" s="64">
        <f>DATEVALUE(tblLaborEntries[[#This Row],[Work date]])</f>
        <v>45945.0</v>
      </c>
    </row>
    <row r="2290" spans="1:9" ht="15" x14ac:dyDescent="0.25">
      <c r="A2290" s="53" t="inlineStr">
        <is>
          <t>LAB-002289</t>
        </is>
      </c>
      <c r="B2290" s="53" t="inlineStr">
        <is>
          <t>WP-01007</t>
        </is>
      </c>
      <c r="C2290" s="53" t="inlineStr">
        <is>
          <t>TECH-075</t>
        </is>
      </c>
      <c r="D2290" s="53" t="inlineStr">
        <is>
          <t>Hydraulics</t>
        </is>
      </c>
      <c r="E2290" s="53" t="inlineStr">
        <is>
          <t>2025-04-07</t>
        </is>
      </c>
      <c r="F2290" s="53">
        <v>8.2</v>
      </c>
      <c r="G2290" s="53">
        <v>0.2</v>
      </c>
      <c r="H2290" s="51" t="str">
        <f>TEXT(tblLaborEntries[[#This Row],[Work date serial]]-WEEKDAY(tblLaborEntries[[#This Row],[Work date serial]],3),"yyyy-mm-dd")</f>
        <v>2025-04-07</v>
      </c>
      <c r="I2290" s="64">
        <f>DATEVALUE(tblLaborEntries[[#This Row],[Work date]])</f>
        <v>45754.0</v>
      </c>
    </row>
    <row r="2291" spans="1:9" ht="15" x14ac:dyDescent="0.25">
      <c r="A2291" s="53" t="inlineStr">
        <is>
          <t>LAB-002290</t>
        </is>
      </c>
      <c r="B2291" s="53" t="inlineStr">
        <is>
          <t>WP-01007</t>
        </is>
      </c>
      <c r="C2291" s="53" t="inlineStr">
        <is>
          <t>TECH-003</t>
        </is>
      </c>
      <c r="D2291" s="53" t="inlineStr">
        <is>
          <t>Hydraulics</t>
        </is>
      </c>
      <c r="E2291" s="53" t="inlineStr">
        <is>
          <t>2025-04-08</t>
        </is>
      </c>
      <c r="F2291" s="53">
        <v>0.2</v>
      </c>
      <c r="G2291" s="53">
        <v>0</v>
      </c>
      <c r="H2291" s="51" t="str">
        <f>TEXT(tblLaborEntries[[#This Row],[Work date serial]]-WEEKDAY(tblLaborEntries[[#This Row],[Work date serial]],3),"yyyy-mm-dd")</f>
        <v>2025-04-07</v>
      </c>
      <c r="I2291" s="64">
        <f>DATEVALUE(tblLaborEntries[[#This Row],[Work date]])</f>
        <v>45755.0</v>
      </c>
    </row>
    <row r="2292" spans="1:9" ht="15" x14ac:dyDescent="0.25">
      <c r="A2292" s="53" t="inlineStr">
        <is>
          <t>LAB-002291</t>
        </is>
      </c>
      <c r="B2292" s="53" t="inlineStr">
        <is>
          <t>WP-01007</t>
        </is>
      </c>
      <c r="C2292" s="53" t="inlineStr">
        <is>
          <t>TECH-027</t>
        </is>
      </c>
      <c r="D2292" s="53" t="inlineStr">
        <is>
          <t>Hydraulics</t>
        </is>
      </c>
      <c r="E2292" s="53" t="inlineStr">
        <is>
          <t>2025-04-08</t>
        </is>
      </c>
      <c r="F2292" s="53">
        <v>12</v>
      </c>
      <c r="G2292" s="53">
        <v>4</v>
      </c>
      <c r="H2292" s="51" t="str">
        <f>TEXT(tblLaborEntries[[#This Row],[Work date serial]]-WEEKDAY(tblLaborEntries[[#This Row],[Work date serial]],3),"yyyy-mm-dd")</f>
        <v>2025-04-07</v>
      </c>
      <c r="I2292" s="64">
        <f>DATEVALUE(tblLaborEntries[[#This Row],[Work date]])</f>
        <v>45755.0</v>
      </c>
    </row>
    <row r="2293" spans="1:9" ht="15" x14ac:dyDescent="0.25">
      <c r="A2293" s="53" t="inlineStr">
        <is>
          <t>LAB-002292</t>
        </is>
      </c>
      <c r="B2293" s="53" t="inlineStr">
        <is>
          <t>WP-01008</t>
        </is>
      </c>
      <c r="C2293" s="53" t="inlineStr">
        <is>
          <t>TECH-002</t>
        </is>
      </c>
      <c r="D2293" s="53" t="inlineStr">
        <is>
          <t>Avionics</t>
        </is>
      </c>
      <c r="E2293" s="53" t="inlineStr">
        <is>
          <t>2024-08-29</t>
        </is>
      </c>
      <c r="F2293" s="53">
        <v>8</v>
      </c>
      <c r="G2293" s="53">
        <v>0</v>
      </c>
      <c r="H2293" s="51" t="str">
        <f>TEXT(tblLaborEntries[[#This Row],[Work date serial]]-WEEKDAY(tblLaborEntries[[#This Row],[Work date serial]],3),"yyyy-mm-dd")</f>
        <v>2024-08-26</v>
      </c>
      <c r="I2293" s="64">
        <f>DATEVALUE(tblLaborEntries[[#This Row],[Work date]])</f>
        <v>45533.0</v>
      </c>
    </row>
    <row r="2294" spans="1:9" ht="15" x14ac:dyDescent="0.25">
      <c r="A2294" s="53" t="inlineStr">
        <is>
          <t>LAB-002293</t>
        </is>
      </c>
      <c r="B2294" s="53" t="inlineStr">
        <is>
          <t>WP-01008</t>
        </is>
      </c>
      <c r="C2294" s="53" t="inlineStr">
        <is>
          <t>TECH-050</t>
        </is>
      </c>
      <c r="D2294" s="53" t="inlineStr">
        <is>
          <t>Avionics</t>
        </is>
      </c>
      <c r="E2294" s="53" t="inlineStr">
        <is>
          <t>2024-08-29</t>
        </is>
      </c>
      <c r="F2294" s="53">
        <v>10.1</v>
      </c>
      <c r="G2294" s="53">
        <v>4</v>
      </c>
      <c r="H2294" s="51" t="str">
        <f>TEXT(tblLaborEntries[[#This Row],[Work date serial]]-WEEKDAY(tblLaborEntries[[#This Row],[Work date serial]],3),"yyyy-mm-dd")</f>
        <v>2024-08-26</v>
      </c>
      <c r="I2294" s="64">
        <f>DATEVALUE(tblLaborEntries[[#This Row],[Work date]])</f>
        <v>45533.0</v>
      </c>
    </row>
    <row r="2295" spans="1:9" ht="15" x14ac:dyDescent="0.25">
      <c r="A2295" s="53" t="inlineStr">
        <is>
          <t>LAB-002294</t>
        </is>
      </c>
      <c r="B2295" s="53" t="inlineStr">
        <is>
          <t>WP-01008</t>
        </is>
      </c>
      <c r="C2295" s="53" t="inlineStr">
        <is>
          <t>TECH-002</t>
        </is>
      </c>
      <c r="D2295" s="53" t="inlineStr">
        <is>
          <t>Avionics</t>
        </is>
      </c>
      <c r="E2295" s="53" t="inlineStr">
        <is>
          <t>2024-08-30</t>
        </is>
      </c>
      <c r="F2295" s="53">
        <v>5.4</v>
      </c>
      <c r="G2295" s="53">
        <v>0</v>
      </c>
      <c r="H2295" s="51" t="str">
        <f>TEXT(tblLaborEntries[[#This Row],[Work date serial]]-WEEKDAY(tblLaborEntries[[#This Row],[Work date serial]],3),"yyyy-mm-dd")</f>
        <v>2024-08-26</v>
      </c>
      <c r="I2295" s="64">
        <f>DATEVALUE(tblLaborEntries[[#This Row],[Work date]])</f>
        <v>45534.0</v>
      </c>
    </row>
    <row r="2296" spans="1:9" ht="15" x14ac:dyDescent="0.25">
      <c r="A2296" s="53" t="inlineStr">
        <is>
          <t>LAB-002295</t>
        </is>
      </c>
      <c r="B2296" s="53" t="inlineStr">
        <is>
          <t>WP-01008</t>
        </is>
      </c>
      <c r="C2296" s="53" t="inlineStr">
        <is>
          <t>TECH-056</t>
        </is>
      </c>
      <c r="D2296" s="53" t="inlineStr">
        <is>
          <t>Avionics</t>
        </is>
      </c>
      <c r="E2296" s="53" t="inlineStr">
        <is>
          <t>2024-08-30</t>
        </is>
      </c>
      <c r="F2296" s="53">
        <v>9.3</v>
      </c>
      <c r="G2296" s="53">
        <v>4</v>
      </c>
      <c r="H2296" s="51" t="str">
        <f>TEXT(tblLaborEntries[[#This Row],[Work date serial]]-WEEKDAY(tblLaborEntries[[#This Row],[Work date serial]],3),"yyyy-mm-dd")</f>
        <v>2024-08-26</v>
      </c>
      <c r="I2296" s="64">
        <f>DATEVALUE(tblLaborEntries[[#This Row],[Work date]])</f>
        <v>45534.0</v>
      </c>
    </row>
    <row r="2297" spans="1:9" ht="15" x14ac:dyDescent="0.25">
      <c r="A2297" s="53" t="inlineStr">
        <is>
          <t>LAB-002296</t>
        </is>
      </c>
      <c r="B2297" s="53" t="inlineStr">
        <is>
          <t>WP-01009</t>
        </is>
      </c>
      <c r="C2297" s="53" t="inlineStr">
        <is>
          <t>TECH-032</t>
        </is>
      </c>
      <c r="D2297" s="53" t="inlineStr">
        <is>
          <t>Avionics</t>
        </is>
      </c>
      <c r="E2297" s="53" t="inlineStr">
        <is>
          <t>2025-06-25</t>
        </is>
      </c>
      <c r="F2297" s="53">
        <v>7.3</v>
      </c>
      <c r="G2297" s="53">
        <v>0</v>
      </c>
      <c r="H2297" s="51" t="str">
        <f>TEXT(tblLaborEntries[[#This Row],[Work date serial]]-WEEKDAY(tblLaborEntries[[#This Row],[Work date serial]],3),"yyyy-mm-dd")</f>
        <v>2025-06-23</v>
      </c>
      <c r="I2297" s="64">
        <f>DATEVALUE(tblLaborEntries[[#This Row],[Work date]])</f>
        <v>45833.0</v>
      </c>
    </row>
    <row r="2298" spans="1:9" ht="15" x14ac:dyDescent="0.25">
      <c r="A2298" s="53" t="inlineStr">
        <is>
          <t>LAB-002297</t>
        </is>
      </c>
      <c r="B2298" s="53" t="inlineStr">
        <is>
          <t>WP-01009</t>
        </is>
      </c>
      <c r="C2298" s="53" t="inlineStr">
        <is>
          <t>TECH-056</t>
        </is>
      </c>
      <c r="D2298" s="53" t="inlineStr">
        <is>
          <t>Avionics</t>
        </is>
      </c>
      <c r="E2298" s="53" t="inlineStr">
        <is>
          <t>2025-06-26</t>
        </is>
      </c>
      <c r="F2298" s="53">
        <v>9.2</v>
      </c>
      <c r="G2298" s="53">
        <v>1.2</v>
      </c>
      <c r="H2298" s="51" t="str">
        <f>TEXT(tblLaborEntries[[#This Row],[Work date serial]]-WEEKDAY(tblLaborEntries[[#This Row],[Work date serial]],3),"yyyy-mm-dd")</f>
        <v>2025-06-23</v>
      </c>
      <c r="I2298" s="64">
        <f>DATEVALUE(tblLaborEntries[[#This Row],[Work date]])</f>
        <v>45834.0</v>
      </c>
    </row>
    <row r="2299" spans="1:9" ht="15" x14ac:dyDescent="0.25">
      <c r="A2299" s="53" t="inlineStr">
        <is>
          <t>LAB-002298</t>
        </is>
      </c>
      <c r="B2299" s="53" t="inlineStr">
        <is>
          <t>WP-01010</t>
        </is>
      </c>
      <c r="C2299" s="53" t="inlineStr">
        <is>
          <t>TECH-037</t>
        </is>
      </c>
      <c r="D2299" s="53" t="inlineStr">
        <is>
          <t>Airframe</t>
        </is>
      </c>
      <c r="E2299" s="53" t="inlineStr">
        <is>
          <t>2025-05-13</t>
        </is>
      </c>
      <c r="F2299" s="53">
        <v>5.3</v>
      </c>
      <c r="G2299" s="53">
        <v>0</v>
      </c>
      <c r="H2299" s="51" t="str">
        <f>TEXT(tblLaborEntries[[#This Row],[Work date serial]]-WEEKDAY(tblLaborEntries[[#This Row],[Work date serial]],3),"yyyy-mm-dd")</f>
        <v>2025-05-12</v>
      </c>
      <c r="I2299" s="64">
        <f>DATEVALUE(tblLaborEntries[[#This Row],[Work date]])</f>
        <v>45790.0</v>
      </c>
    </row>
    <row r="2300" spans="1:9" ht="15" x14ac:dyDescent="0.25">
      <c r="A2300" s="53" t="inlineStr">
        <is>
          <t>LAB-002299</t>
        </is>
      </c>
      <c r="B2300" s="53" t="inlineStr">
        <is>
          <t>WP-01010</t>
        </is>
      </c>
      <c r="C2300" s="53" t="inlineStr">
        <is>
          <t>TECH-007</t>
        </is>
      </c>
      <c r="D2300" s="53" t="inlineStr">
        <is>
          <t>Airframe</t>
        </is>
      </c>
      <c r="E2300" s="53" t="inlineStr">
        <is>
          <t>2025-05-14</t>
        </is>
      </c>
      <c r="F2300" s="53">
        <v>5.8</v>
      </c>
      <c r="G2300" s="53">
        <v>0</v>
      </c>
      <c r="H2300" s="51" t="str">
        <f>TEXT(tblLaborEntries[[#This Row],[Work date serial]]-WEEKDAY(tblLaborEntries[[#This Row],[Work date serial]],3),"yyyy-mm-dd")</f>
        <v>2025-05-12</v>
      </c>
      <c r="I2300" s="64">
        <f>DATEVALUE(tblLaborEntries[[#This Row],[Work date]])</f>
        <v>45791.0</v>
      </c>
    </row>
    <row r="2301" spans="1:9" ht="15" x14ac:dyDescent="0.25">
      <c r="A2301" s="53" t="inlineStr">
        <is>
          <t>LAB-002300</t>
        </is>
      </c>
      <c r="B2301" s="53" t="inlineStr">
        <is>
          <t>WP-01011</t>
        </is>
      </c>
      <c r="C2301" s="53" t="inlineStr">
        <is>
          <t>TECH-026</t>
        </is>
      </c>
      <c r="D2301" s="53" t="inlineStr">
        <is>
          <t>Avionics</t>
        </is>
      </c>
      <c r="E2301" s="53" t="inlineStr">
        <is>
          <t>2025-11-13</t>
        </is>
      </c>
      <c r="F2301" s="53">
        <v>2</v>
      </c>
      <c r="G2301" s="53">
        <v>0</v>
      </c>
      <c r="H2301" s="51" t="str">
        <f>TEXT(tblLaborEntries[[#This Row],[Work date serial]]-WEEKDAY(tblLaborEntries[[#This Row],[Work date serial]],3),"yyyy-mm-dd")</f>
        <v>2025-11-10</v>
      </c>
      <c r="I2301" s="64">
        <f>DATEVALUE(tblLaborEntries[[#This Row],[Work date]])</f>
        <v>45974.0</v>
      </c>
    </row>
    <row r="2302" spans="1:9" ht="15" x14ac:dyDescent="0.25">
      <c r="A2302" s="53" t="inlineStr">
        <is>
          <t>LAB-002301</t>
        </is>
      </c>
      <c r="B2302" s="53" t="inlineStr">
        <is>
          <t>WP-01011</t>
        </is>
      </c>
      <c r="C2302" s="53" t="inlineStr">
        <is>
          <t>TECH-020</t>
        </is>
      </c>
      <c r="D2302" s="53" t="inlineStr">
        <is>
          <t>Avionics</t>
        </is>
      </c>
      <c r="E2302" s="53" t="inlineStr">
        <is>
          <t>2025-11-14</t>
        </is>
      </c>
      <c r="F2302" s="53">
        <v>3.2</v>
      </c>
      <c r="G2302" s="53">
        <v>0</v>
      </c>
      <c r="H2302" s="51" t="str">
        <f>TEXT(tblLaborEntries[[#This Row],[Work date serial]]-WEEKDAY(tblLaborEntries[[#This Row],[Work date serial]],3),"yyyy-mm-dd")</f>
        <v>2025-11-10</v>
      </c>
      <c r="I2302" s="64">
        <f>DATEVALUE(tblLaborEntries[[#This Row],[Work date]])</f>
        <v>45975.0</v>
      </c>
    </row>
    <row r="2303" spans="1:9" ht="15" x14ac:dyDescent="0.25">
      <c r="A2303" s="53" t="inlineStr">
        <is>
          <t>LAB-002302</t>
        </is>
      </c>
      <c r="B2303" s="53" t="inlineStr">
        <is>
          <t>WP-01012</t>
        </is>
      </c>
      <c r="C2303" s="53" t="inlineStr">
        <is>
          <t>TECH-037</t>
        </is>
      </c>
      <c r="D2303" s="53" t="inlineStr">
        <is>
          <t>Airframe</t>
        </is>
      </c>
      <c r="E2303" s="53" t="inlineStr">
        <is>
          <t>2024-09-09</t>
        </is>
      </c>
      <c r="F2303" s="53">
        <v>2</v>
      </c>
      <c r="G2303" s="53">
        <v>0</v>
      </c>
      <c r="H2303" s="51" t="str">
        <f>TEXT(tblLaborEntries[[#This Row],[Work date serial]]-WEEKDAY(tblLaborEntries[[#This Row],[Work date serial]],3),"yyyy-mm-dd")</f>
        <v>2024-09-09</v>
      </c>
      <c r="I2303" s="64">
        <f>DATEVALUE(tblLaborEntries[[#This Row],[Work date]])</f>
        <v>45544.0</v>
      </c>
    </row>
    <row r="2304" spans="1:9" ht="15" x14ac:dyDescent="0.25">
      <c r="A2304" s="53" t="inlineStr">
        <is>
          <t>LAB-002303</t>
        </is>
      </c>
      <c r="B2304" s="53" t="inlineStr">
        <is>
          <t>WP-01012</t>
        </is>
      </c>
      <c r="C2304" s="53" t="inlineStr">
        <is>
          <t>TECH-007</t>
        </is>
      </c>
      <c r="D2304" s="53" t="inlineStr">
        <is>
          <t>Airframe</t>
        </is>
      </c>
      <c r="E2304" s="53" t="inlineStr">
        <is>
          <t>2024-09-10</t>
        </is>
      </c>
      <c r="F2304" s="53">
        <v>1.8</v>
      </c>
      <c r="G2304" s="53">
        <v>0</v>
      </c>
      <c r="H2304" s="51" t="str">
        <f>TEXT(tblLaborEntries[[#This Row],[Work date serial]]-WEEKDAY(tblLaborEntries[[#This Row],[Work date serial]],3),"yyyy-mm-dd")</f>
        <v>2024-09-09</v>
      </c>
      <c r="I2304" s="64">
        <f>DATEVALUE(tblLaborEntries[[#This Row],[Work date]])</f>
        <v>45545.0</v>
      </c>
    </row>
    <row r="2305" spans="1:9" ht="15" x14ac:dyDescent="0.25">
      <c r="A2305" s="53" t="inlineStr">
        <is>
          <t>LAB-002304</t>
        </is>
      </c>
      <c r="B2305" s="53" t="inlineStr">
        <is>
          <t>WP-01012</t>
        </is>
      </c>
      <c r="C2305" s="53" t="inlineStr">
        <is>
          <t>TECH-013</t>
        </is>
      </c>
      <c r="D2305" s="53" t="inlineStr">
        <is>
          <t>Airframe</t>
        </is>
      </c>
      <c r="E2305" s="53" t="inlineStr">
        <is>
          <t>2024-09-11</t>
        </is>
      </c>
      <c r="F2305" s="53">
        <v>1.6</v>
      </c>
      <c r="G2305" s="53">
        <v>0</v>
      </c>
      <c r="H2305" s="51" t="str">
        <f>TEXT(tblLaborEntries[[#This Row],[Work date serial]]-WEEKDAY(tblLaborEntries[[#This Row],[Work date serial]],3),"yyyy-mm-dd")</f>
        <v>2024-09-09</v>
      </c>
      <c r="I2305" s="64">
        <f>DATEVALUE(tblLaborEntries[[#This Row],[Work date]])</f>
        <v>45546.0</v>
      </c>
    </row>
    <row r="2306" spans="1:9" ht="15" x14ac:dyDescent="0.25">
      <c r="A2306" s="53" t="inlineStr">
        <is>
          <t>LAB-002305</t>
        </is>
      </c>
      <c r="B2306" s="53" t="inlineStr">
        <is>
          <t>WP-01013</t>
        </is>
      </c>
      <c r="C2306" s="53" t="inlineStr">
        <is>
          <t>TECH-038</t>
        </is>
      </c>
      <c r="D2306" s="53" t="inlineStr">
        <is>
          <t>Avionics</t>
        </is>
      </c>
      <c r="E2306" s="53" t="inlineStr">
        <is>
          <t>2025-09-16</t>
        </is>
      </c>
      <c r="F2306" s="53">
        <v>2.6</v>
      </c>
      <c r="G2306" s="53">
        <v>0</v>
      </c>
      <c r="H2306" s="51" t="str">
        <f>TEXT(tblLaborEntries[[#This Row],[Work date serial]]-WEEKDAY(tblLaborEntries[[#This Row],[Work date serial]],3),"yyyy-mm-dd")</f>
        <v>2025-09-15</v>
      </c>
      <c r="I2306" s="64">
        <f>DATEVALUE(tblLaborEntries[[#This Row],[Work date]])</f>
        <v>45916.0</v>
      </c>
    </row>
    <row r="2307" spans="1:9" ht="15" x14ac:dyDescent="0.25">
      <c r="A2307" s="53" t="inlineStr">
        <is>
          <t>LAB-002306</t>
        </is>
      </c>
      <c r="B2307" s="53" t="inlineStr">
        <is>
          <t>WP-01013</t>
        </is>
      </c>
      <c r="C2307" s="53" t="inlineStr">
        <is>
          <t>TECH-074</t>
        </is>
      </c>
      <c r="D2307" s="53" t="inlineStr">
        <is>
          <t>Avionics</t>
        </is>
      </c>
      <c r="E2307" s="53" t="inlineStr">
        <is>
          <t>2025-09-17</t>
        </is>
      </c>
      <c r="F2307" s="53">
        <v>1.7</v>
      </c>
      <c r="G2307" s="53">
        <v>0</v>
      </c>
      <c r="H2307" s="51" t="str">
        <f>TEXT(tblLaborEntries[[#This Row],[Work date serial]]-WEEKDAY(tblLaborEntries[[#This Row],[Work date serial]],3),"yyyy-mm-dd")</f>
        <v>2025-09-15</v>
      </c>
      <c r="I2307" s="64">
        <f>DATEVALUE(tblLaborEntries[[#This Row],[Work date]])</f>
        <v>45917.0</v>
      </c>
    </row>
    <row r="2308" spans="1:9" ht="15" x14ac:dyDescent="0.25">
      <c r="A2308" s="53" t="inlineStr">
        <is>
          <t>LAB-002307</t>
        </is>
      </c>
      <c r="B2308" s="53" t="inlineStr">
        <is>
          <t>WP-01013</t>
        </is>
      </c>
      <c r="C2308" s="53" t="inlineStr">
        <is>
          <t>TECH-020</t>
        </is>
      </c>
      <c r="D2308" s="53" t="inlineStr">
        <is>
          <t>Avionics</t>
        </is>
      </c>
      <c r="E2308" s="53" t="inlineStr">
        <is>
          <t>2025-09-18</t>
        </is>
      </c>
      <c r="F2308" s="53">
        <v>2.6</v>
      </c>
      <c r="G2308" s="53">
        <v>0</v>
      </c>
      <c r="H2308" s="51" t="str">
        <f>TEXT(tblLaborEntries[[#This Row],[Work date serial]]-WEEKDAY(tblLaborEntries[[#This Row],[Work date serial]],3),"yyyy-mm-dd")</f>
        <v>2025-09-15</v>
      </c>
      <c r="I2308" s="64">
        <f>DATEVALUE(tblLaborEntries[[#This Row],[Work date]])</f>
        <v>45918.0</v>
      </c>
    </row>
    <row r="2309" spans="1:9" ht="15" x14ac:dyDescent="0.25">
      <c r="A2309" s="53" t="inlineStr">
        <is>
          <t>LAB-002308</t>
        </is>
      </c>
      <c r="B2309" s="53" t="inlineStr">
        <is>
          <t>WP-01014</t>
        </is>
      </c>
      <c r="C2309" s="53" t="inlineStr">
        <is>
          <t>TECH-062</t>
        </is>
      </c>
      <c r="D2309" s="53" t="inlineStr">
        <is>
          <t>Avionics</t>
        </is>
      </c>
      <c r="E2309" s="53" t="inlineStr">
        <is>
          <t>2024-05-23</t>
        </is>
      </c>
      <c r="F2309" s="53">
        <v>9.5</v>
      </c>
      <c r="G2309" s="53">
        <v>1.5</v>
      </c>
      <c r="H2309" s="51" t="str">
        <f>TEXT(tblLaborEntries[[#This Row],[Work date serial]]-WEEKDAY(tblLaborEntries[[#This Row],[Work date serial]],3),"yyyy-mm-dd")</f>
        <v>2024-05-20</v>
      </c>
      <c r="I2309" s="64">
        <f>DATEVALUE(tblLaborEntries[[#This Row],[Work date]])</f>
        <v>45435.0</v>
      </c>
    </row>
    <row r="2310" spans="1:9" ht="15" x14ac:dyDescent="0.25">
      <c r="A2310" s="53" t="inlineStr">
        <is>
          <t>LAB-002309</t>
        </is>
      </c>
      <c r="B2310" s="53" t="inlineStr">
        <is>
          <t>WP-01014</t>
        </is>
      </c>
      <c r="C2310" s="53" t="inlineStr">
        <is>
          <t>TECH-002</t>
        </is>
      </c>
      <c r="D2310" s="53" t="inlineStr">
        <is>
          <t>Avionics</t>
        </is>
      </c>
      <c r="E2310" s="53" t="inlineStr">
        <is>
          <t>2024-05-24</t>
        </is>
      </c>
      <c r="F2310" s="53">
        <v>12</v>
      </c>
      <c r="G2310" s="53">
        <v>4</v>
      </c>
      <c r="H2310" s="51" t="str">
        <f>TEXT(tblLaborEntries[[#This Row],[Work date serial]]-WEEKDAY(tblLaborEntries[[#This Row],[Work date serial]],3),"yyyy-mm-dd")</f>
        <v>2024-05-20</v>
      </c>
      <c r="I2310" s="64">
        <f>DATEVALUE(tblLaborEntries[[#This Row],[Work date]])</f>
        <v>45436.0</v>
      </c>
    </row>
    <row r="2311" spans="1:9" ht="15" x14ac:dyDescent="0.25">
      <c r="A2311" s="53" t="inlineStr">
        <is>
          <t>LAB-002310</t>
        </is>
      </c>
      <c r="B2311" s="53" t="inlineStr">
        <is>
          <t>WP-01014</t>
        </is>
      </c>
      <c r="C2311" s="53" t="inlineStr">
        <is>
          <t>TECH-008</t>
        </is>
      </c>
      <c r="D2311" s="53" t="inlineStr">
        <is>
          <t>Avionics</t>
        </is>
      </c>
      <c r="E2311" s="53" t="inlineStr">
        <is>
          <t>2024-05-24</t>
        </is>
      </c>
      <c r="F2311" s="53">
        <v>12</v>
      </c>
      <c r="G2311" s="53">
        <v>4</v>
      </c>
      <c r="H2311" s="51" t="str">
        <f>TEXT(tblLaborEntries[[#This Row],[Work date serial]]-WEEKDAY(tblLaborEntries[[#This Row],[Work date serial]],3),"yyyy-mm-dd")</f>
        <v>2024-05-20</v>
      </c>
      <c r="I2311" s="64">
        <f>DATEVALUE(tblLaborEntries[[#This Row],[Work date]])</f>
        <v>45436.0</v>
      </c>
    </row>
    <row r="2312" spans="1:9" ht="15" x14ac:dyDescent="0.25">
      <c r="A2312" s="53" t="inlineStr">
        <is>
          <t>LAB-002311</t>
        </is>
      </c>
      <c r="B2312" s="53" t="inlineStr">
        <is>
          <t>WP-01014</t>
        </is>
      </c>
      <c r="C2312" s="53" t="inlineStr">
        <is>
          <t>TECH-062</t>
        </is>
      </c>
      <c r="D2312" s="53" t="inlineStr">
        <is>
          <t>Avionics</t>
        </is>
      </c>
      <c r="E2312" s="53" t="inlineStr">
        <is>
          <t>2024-05-24</t>
        </is>
      </c>
      <c r="F2312" s="53">
        <v>12</v>
      </c>
      <c r="G2312" s="53">
        <v>4</v>
      </c>
      <c r="H2312" s="51" t="str">
        <f>TEXT(tblLaborEntries[[#This Row],[Work date serial]]-WEEKDAY(tblLaborEntries[[#This Row],[Work date serial]],3),"yyyy-mm-dd")</f>
        <v>2024-05-20</v>
      </c>
      <c r="I2312" s="64">
        <f>DATEVALUE(tblLaborEntries[[#This Row],[Work date]])</f>
        <v>45436.0</v>
      </c>
    </row>
    <row r="2313" spans="1:9" ht="15" x14ac:dyDescent="0.25">
      <c r="A2313" s="53" t="inlineStr">
        <is>
          <t>LAB-002312</t>
        </is>
      </c>
      <c r="B2313" s="53" t="inlineStr">
        <is>
          <t>WP-01015</t>
        </is>
      </c>
      <c r="C2313" s="53" t="inlineStr">
        <is>
          <t>TECH-018</t>
        </is>
      </c>
      <c r="D2313" s="53" t="inlineStr">
        <is>
          <t>Powerplant</t>
        </is>
      </c>
      <c r="E2313" s="53" t="inlineStr">
        <is>
          <t>2024-10-22</t>
        </is>
      </c>
      <c r="F2313" s="53">
        <v>3.7</v>
      </c>
      <c r="G2313" s="53">
        <v>0</v>
      </c>
      <c r="H2313" s="51" t="str">
        <f>TEXT(tblLaborEntries[[#This Row],[Work date serial]]-WEEKDAY(tblLaborEntries[[#This Row],[Work date serial]],3),"yyyy-mm-dd")</f>
        <v>2024-10-21</v>
      </c>
      <c r="I2313" s="64">
        <f>DATEVALUE(tblLaborEntries[[#This Row],[Work date]])</f>
        <v>45587.0</v>
      </c>
    </row>
    <row r="2314" spans="1:9" ht="15" x14ac:dyDescent="0.25">
      <c r="A2314" s="53" t="inlineStr">
        <is>
          <t>LAB-002313</t>
        </is>
      </c>
      <c r="B2314" s="53" t="inlineStr">
        <is>
          <t>WP-01015</t>
        </is>
      </c>
      <c r="C2314" s="53" t="inlineStr">
        <is>
          <t>TECH-072</t>
        </is>
      </c>
      <c r="D2314" s="53" t="inlineStr">
        <is>
          <t>Powerplant</t>
        </is>
      </c>
      <c r="E2314" s="53" t="inlineStr">
        <is>
          <t>2024-10-23</t>
        </is>
      </c>
      <c r="F2314" s="53">
        <v>3.9</v>
      </c>
      <c r="G2314" s="53">
        <v>0</v>
      </c>
      <c r="H2314" s="51" t="str">
        <f>TEXT(tblLaborEntries[[#This Row],[Work date serial]]-WEEKDAY(tblLaborEntries[[#This Row],[Work date serial]],3),"yyyy-mm-dd")</f>
        <v>2024-10-21</v>
      </c>
      <c r="I2314" s="64">
        <f>DATEVALUE(tblLaborEntries[[#This Row],[Work date]])</f>
        <v>45588.0</v>
      </c>
    </row>
    <row r="2315" spans="1:9" ht="15" x14ac:dyDescent="0.25">
      <c r="A2315" s="53" t="inlineStr">
        <is>
          <t>LAB-002314</t>
        </is>
      </c>
      <c r="B2315" s="53" t="inlineStr">
        <is>
          <t>WP-01015</t>
        </is>
      </c>
      <c r="C2315" s="53" t="inlineStr">
        <is>
          <t>TECH-060</t>
        </is>
      </c>
      <c r="D2315" s="53" t="inlineStr">
        <is>
          <t>Powerplant</t>
        </is>
      </c>
      <c r="E2315" s="53" t="inlineStr">
        <is>
          <t>2024-10-24</t>
        </is>
      </c>
      <c r="F2315" s="53">
        <v>4.5</v>
      </c>
      <c r="G2315" s="53">
        <v>0</v>
      </c>
      <c r="H2315" s="51" t="str">
        <f>TEXT(tblLaborEntries[[#This Row],[Work date serial]]-WEEKDAY(tblLaborEntries[[#This Row],[Work date serial]],3),"yyyy-mm-dd")</f>
        <v>2024-10-21</v>
      </c>
      <c r="I2315" s="64">
        <f>DATEVALUE(tblLaborEntries[[#This Row],[Work date]])</f>
        <v>45589.0</v>
      </c>
    </row>
    <row r="2316" spans="1:9" ht="15" x14ac:dyDescent="0.25">
      <c r="A2316" s="53" t="inlineStr">
        <is>
          <t>LAB-002315</t>
        </is>
      </c>
      <c r="B2316" s="53" t="inlineStr">
        <is>
          <t>WP-01016</t>
        </is>
      </c>
      <c r="C2316" s="53" t="inlineStr">
        <is>
          <t>TECH-042</t>
        </is>
      </c>
      <c r="D2316" s="53" t="inlineStr">
        <is>
          <t>Powerplant</t>
        </is>
      </c>
      <c r="E2316" s="53" t="inlineStr">
        <is>
          <t>2025-07-17</t>
        </is>
      </c>
      <c r="F2316" s="53">
        <v>5.2</v>
      </c>
      <c r="G2316" s="53">
        <v>0</v>
      </c>
      <c r="H2316" s="51" t="str">
        <f>TEXT(tblLaborEntries[[#This Row],[Work date serial]]-WEEKDAY(tblLaborEntries[[#This Row],[Work date serial]],3),"yyyy-mm-dd")</f>
        <v>2025-07-14</v>
      </c>
      <c r="I2316" s="64">
        <f>DATEVALUE(tblLaborEntries[[#This Row],[Work date]])</f>
        <v>45855.0</v>
      </c>
    </row>
    <row r="2317" spans="1:9" ht="15" x14ac:dyDescent="0.25">
      <c r="A2317" s="53" t="inlineStr">
        <is>
          <t>LAB-002316</t>
        </is>
      </c>
      <c r="B2317" s="53" t="inlineStr">
        <is>
          <t>WP-01016</t>
        </is>
      </c>
      <c r="C2317" s="53" t="inlineStr">
        <is>
          <t>TECH-054</t>
        </is>
      </c>
      <c r="D2317" s="53" t="inlineStr">
        <is>
          <t>Powerplant</t>
        </is>
      </c>
      <c r="E2317" s="53" t="inlineStr">
        <is>
          <t>2025-07-18</t>
        </is>
      </c>
      <c r="F2317" s="53">
        <v>5</v>
      </c>
      <c r="G2317" s="53">
        <v>0</v>
      </c>
      <c r="H2317" s="51" t="str">
        <f>TEXT(tblLaborEntries[[#This Row],[Work date serial]]-WEEKDAY(tblLaborEntries[[#This Row],[Work date serial]],3),"yyyy-mm-dd")</f>
        <v>2025-07-14</v>
      </c>
      <c r="I2317" s="64">
        <f>DATEVALUE(tblLaborEntries[[#This Row],[Work date]])</f>
        <v>45856.0</v>
      </c>
    </row>
    <row r="2318" spans="1:9" ht="15" x14ac:dyDescent="0.25">
      <c r="A2318" s="53" t="inlineStr">
        <is>
          <t>LAB-002317</t>
        </is>
      </c>
      <c r="B2318" s="53" t="inlineStr">
        <is>
          <t>WP-01016</t>
        </is>
      </c>
      <c r="C2318" s="53" t="inlineStr">
        <is>
          <t>TECH-018</t>
        </is>
      </c>
      <c r="D2318" s="53" t="inlineStr">
        <is>
          <t>Powerplant</t>
        </is>
      </c>
      <c r="E2318" s="53" t="inlineStr">
        <is>
          <t>2025-07-19</t>
        </is>
      </c>
      <c r="F2318" s="53">
        <v>7.6</v>
      </c>
      <c r="G2318" s="53">
        <v>0</v>
      </c>
      <c r="H2318" s="51" t="str">
        <f>TEXT(tblLaborEntries[[#This Row],[Work date serial]]-WEEKDAY(tblLaborEntries[[#This Row],[Work date serial]],3),"yyyy-mm-dd")</f>
        <v>2025-07-14</v>
      </c>
      <c r="I2318" s="64">
        <f>DATEVALUE(tblLaborEntries[[#This Row],[Work date]])</f>
        <v>45857.0</v>
      </c>
    </row>
    <row r="2319" spans="1:9" ht="15" x14ac:dyDescent="0.25">
      <c r="A2319" s="53" t="inlineStr">
        <is>
          <t>LAB-002318</t>
        </is>
      </c>
      <c r="B2319" s="53" t="inlineStr">
        <is>
          <t>WP-01017</t>
        </is>
      </c>
      <c r="C2319" s="53" t="inlineStr">
        <is>
          <t>TECH-031</t>
        </is>
      </c>
      <c r="D2319" s="53" t="inlineStr">
        <is>
          <t>Airframe</t>
        </is>
      </c>
      <c r="E2319" s="53" t="inlineStr">
        <is>
          <t>2025-01-19</t>
        </is>
      </c>
      <c r="F2319" s="53">
        <v>0.8</v>
      </c>
      <c r="G2319" s="53">
        <v>0</v>
      </c>
      <c r="H2319" s="51" t="str">
        <f>TEXT(tblLaborEntries[[#This Row],[Work date serial]]-WEEKDAY(tblLaborEntries[[#This Row],[Work date serial]],3),"yyyy-mm-dd")</f>
        <v>2025-01-13</v>
      </c>
      <c r="I2319" s="64">
        <f>DATEVALUE(tblLaborEntries[[#This Row],[Work date]])</f>
        <v>45676.0</v>
      </c>
    </row>
    <row r="2320" spans="1:9" ht="15" x14ac:dyDescent="0.25">
      <c r="A2320" s="53" t="inlineStr">
        <is>
          <t>LAB-002319</t>
        </is>
      </c>
      <c r="B2320" s="53" t="inlineStr">
        <is>
          <t>WP-01017</t>
        </is>
      </c>
      <c r="C2320" s="53" t="inlineStr">
        <is>
          <t>TECH-073</t>
        </is>
      </c>
      <c r="D2320" s="53" t="inlineStr">
        <is>
          <t>Airframe</t>
        </is>
      </c>
      <c r="E2320" s="53" t="inlineStr">
        <is>
          <t>2025-01-20</t>
        </is>
      </c>
      <c r="F2320" s="53">
        <v>0.8</v>
      </c>
      <c r="G2320" s="53">
        <v>0</v>
      </c>
      <c r="H2320" s="51" t="str">
        <f>TEXT(tblLaborEntries[[#This Row],[Work date serial]]-WEEKDAY(tblLaborEntries[[#This Row],[Work date serial]],3),"yyyy-mm-dd")</f>
        <v>2025-01-20</v>
      </c>
      <c r="I2320" s="64">
        <f>DATEVALUE(tblLaborEntries[[#This Row],[Work date]])</f>
        <v>45677.0</v>
      </c>
    </row>
    <row r="2321" spans="1:9" ht="15" x14ac:dyDescent="0.25">
      <c r="A2321" s="53" t="inlineStr">
        <is>
          <t>LAB-002320</t>
        </is>
      </c>
      <c r="B2321" s="53" t="inlineStr">
        <is>
          <t>WP-01017</t>
        </is>
      </c>
      <c r="C2321" s="53" t="inlineStr">
        <is>
          <t>TECH-013</t>
        </is>
      </c>
      <c r="D2321" s="53" t="inlineStr">
        <is>
          <t>Airframe</t>
        </is>
      </c>
      <c r="E2321" s="53" t="inlineStr">
        <is>
          <t>2025-01-21</t>
        </is>
      </c>
      <c r="F2321" s="53">
        <v>1.1</v>
      </c>
      <c r="G2321" s="53">
        <v>0</v>
      </c>
      <c r="H2321" s="51" t="str">
        <f>TEXT(tblLaborEntries[[#This Row],[Work date serial]]-WEEKDAY(tblLaborEntries[[#This Row],[Work date serial]],3),"yyyy-mm-dd")</f>
        <v>2025-01-20</v>
      </c>
      <c r="I2321" s="64">
        <f>DATEVALUE(tblLaborEntries[[#This Row],[Work date]])</f>
        <v>45678.0</v>
      </c>
    </row>
    <row r="2322" spans="1:9" ht="15" x14ac:dyDescent="0.25">
      <c r="A2322" s="53" t="inlineStr">
        <is>
          <t>LAB-002321</t>
        </is>
      </c>
      <c r="B2322" s="53" t="inlineStr">
        <is>
          <t>WP-01018</t>
        </is>
      </c>
      <c r="C2322" s="53" t="inlineStr">
        <is>
          <t>TECH-014</t>
        </is>
      </c>
      <c r="D2322" s="53" t="inlineStr">
        <is>
          <t>Avionics</t>
        </is>
      </c>
      <c r="E2322" s="53" t="inlineStr">
        <is>
          <t>2024-02-07</t>
        </is>
      </c>
      <c r="F2322" s="53">
        <v>3.1</v>
      </c>
      <c r="G2322" s="53">
        <v>0</v>
      </c>
      <c r="H2322" s="51" t="str">
        <f>TEXT(tblLaborEntries[[#This Row],[Work date serial]]-WEEKDAY(tblLaborEntries[[#This Row],[Work date serial]],3),"yyyy-mm-dd")</f>
        <v>2024-02-05</v>
      </c>
      <c r="I2322" s="64">
        <f>DATEVALUE(tblLaborEntries[[#This Row],[Work date]])</f>
        <v>45329.0</v>
      </c>
    </row>
    <row r="2323" spans="1:9" ht="15" x14ac:dyDescent="0.25">
      <c r="A2323" s="53" t="inlineStr">
        <is>
          <t>LAB-002322</t>
        </is>
      </c>
      <c r="B2323" s="53" t="inlineStr">
        <is>
          <t>WP-01018</t>
        </is>
      </c>
      <c r="C2323" s="53" t="inlineStr">
        <is>
          <t>TECH-074</t>
        </is>
      </c>
      <c r="D2323" s="53" t="inlineStr">
        <is>
          <t>Avionics</t>
        </is>
      </c>
      <c r="E2323" s="53" t="inlineStr">
        <is>
          <t>2024-02-08</t>
        </is>
      </c>
      <c r="F2323" s="53">
        <v>2.4</v>
      </c>
      <c r="G2323" s="53">
        <v>0</v>
      </c>
      <c r="H2323" s="51" t="str">
        <f>TEXT(tblLaborEntries[[#This Row],[Work date serial]]-WEEKDAY(tblLaborEntries[[#This Row],[Work date serial]],3),"yyyy-mm-dd")</f>
        <v>2024-02-05</v>
      </c>
      <c r="I2323" s="64">
        <f>DATEVALUE(tblLaborEntries[[#This Row],[Work date]])</f>
        <v>45330.0</v>
      </c>
    </row>
    <row r="2324" spans="1:9" ht="15" x14ac:dyDescent="0.25">
      <c r="A2324" s="53" t="inlineStr">
        <is>
          <t>LAB-002323</t>
        </is>
      </c>
      <c r="B2324" s="53" t="inlineStr">
        <is>
          <t>WP-01018</t>
        </is>
      </c>
      <c r="C2324" s="53" t="inlineStr">
        <is>
          <t>TECH-020</t>
        </is>
      </c>
      <c r="D2324" s="53" t="inlineStr">
        <is>
          <t>Avionics</t>
        </is>
      </c>
      <c r="E2324" s="53" t="inlineStr">
        <is>
          <t>2024-02-09</t>
        </is>
      </c>
      <c r="F2324" s="53">
        <v>3.6</v>
      </c>
      <c r="G2324" s="53">
        <v>0</v>
      </c>
      <c r="H2324" s="51" t="str">
        <f>TEXT(tblLaborEntries[[#This Row],[Work date serial]]-WEEKDAY(tblLaborEntries[[#This Row],[Work date serial]],3),"yyyy-mm-dd")</f>
        <v>2024-02-05</v>
      </c>
      <c r="I2324" s="64">
        <f>DATEVALUE(tblLaborEntries[[#This Row],[Work date]])</f>
        <v>45331.0</v>
      </c>
    </row>
    <row r="2325" spans="1:9" ht="15" x14ac:dyDescent="0.25">
      <c r="A2325" s="53" t="inlineStr">
        <is>
          <t>LAB-002324</t>
        </is>
      </c>
      <c r="B2325" s="53" t="inlineStr">
        <is>
          <t>WP-01019</t>
        </is>
      </c>
      <c r="C2325" s="53" t="inlineStr">
        <is>
          <t>TECH-008</t>
        </is>
      </c>
      <c r="D2325" s="53" t="inlineStr">
        <is>
          <t>Avionics</t>
        </is>
      </c>
      <c r="E2325" s="53" t="inlineStr">
        <is>
          <t>2024-11-13</t>
        </is>
      </c>
      <c r="F2325" s="53">
        <v>3.2</v>
      </c>
      <c r="G2325" s="53">
        <v>0</v>
      </c>
      <c r="H2325" s="51" t="str">
        <f>TEXT(tblLaborEntries[[#This Row],[Work date serial]]-WEEKDAY(tblLaborEntries[[#This Row],[Work date serial]],3),"yyyy-mm-dd")</f>
        <v>2024-11-11</v>
      </c>
      <c r="I2325" s="64">
        <f>DATEVALUE(tblLaborEntries[[#This Row],[Work date]])</f>
        <v>45609.0</v>
      </c>
    </row>
    <row r="2326" spans="1:9" ht="15" x14ac:dyDescent="0.25">
      <c r="A2326" s="53" t="inlineStr">
        <is>
          <t>LAB-002325</t>
        </is>
      </c>
      <c r="B2326" s="53" t="inlineStr">
        <is>
          <t>WP-01019</t>
        </is>
      </c>
      <c r="C2326" s="53" t="inlineStr">
        <is>
          <t>TECH-074</t>
        </is>
      </c>
      <c r="D2326" s="53" t="inlineStr">
        <is>
          <t>Avionics</t>
        </is>
      </c>
      <c r="E2326" s="53" t="inlineStr">
        <is>
          <t>2024-11-14</t>
        </is>
      </c>
      <c r="F2326" s="53">
        <v>2.6</v>
      </c>
      <c r="G2326" s="53">
        <v>0</v>
      </c>
      <c r="H2326" s="51" t="str">
        <f>TEXT(tblLaborEntries[[#This Row],[Work date serial]]-WEEKDAY(tblLaborEntries[[#This Row],[Work date serial]],3),"yyyy-mm-dd")</f>
        <v>2024-11-11</v>
      </c>
      <c r="I2326" s="64">
        <f>DATEVALUE(tblLaborEntries[[#This Row],[Work date]])</f>
        <v>45610.0</v>
      </c>
    </row>
    <row r="2327" spans="1:9" ht="15" x14ac:dyDescent="0.25">
      <c r="A2327" s="53" t="inlineStr">
        <is>
          <t>LAB-002326</t>
        </is>
      </c>
      <c r="B2327" s="53" t="inlineStr">
        <is>
          <t>WP-01019</t>
        </is>
      </c>
      <c r="C2327" s="53" t="inlineStr">
        <is>
          <t>TECH-074</t>
        </is>
      </c>
      <c r="D2327" s="53" t="inlineStr">
        <is>
          <t>Avionics</t>
        </is>
      </c>
      <c r="E2327" s="53" t="inlineStr">
        <is>
          <t>2024-11-15</t>
        </is>
      </c>
      <c r="F2327" s="53">
        <v>3.1</v>
      </c>
      <c r="G2327" s="53">
        <v>0</v>
      </c>
      <c r="H2327" s="51" t="str">
        <f>TEXT(tblLaborEntries[[#This Row],[Work date serial]]-WEEKDAY(tblLaborEntries[[#This Row],[Work date serial]],3),"yyyy-mm-dd")</f>
        <v>2024-11-11</v>
      </c>
      <c r="I2327" s="64">
        <f>DATEVALUE(tblLaborEntries[[#This Row],[Work date]])</f>
        <v>45611.0</v>
      </c>
    </row>
    <row r="2328" spans="1:9" ht="15" x14ac:dyDescent="0.25">
      <c r="A2328" s="53" t="inlineStr">
        <is>
          <t>LAB-002327</t>
        </is>
      </c>
      <c r="B2328" s="53" t="inlineStr">
        <is>
          <t>WP-01020</t>
        </is>
      </c>
      <c r="C2328" s="53" t="inlineStr">
        <is>
          <t>TECH-013</t>
        </is>
      </c>
      <c r="D2328" s="53" t="inlineStr">
        <is>
          <t>Airframe</t>
        </is>
      </c>
      <c r="E2328" s="53" t="inlineStr">
        <is>
          <t>2025-04-30</t>
        </is>
      </c>
      <c r="F2328" s="53">
        <v>3.6</v>
      </c>
      <c r="G2328" s="53">
        <v>3.6</v>
      </c>
      <c r="H2328" s="51" t="str">
        <f>TEXT(tblLaborEntries[[#This Row],[Work date serial]]-WEEKDAY(tblLaborEntries[[#This Row],[Work date serial]],3),"yyyy-mm-dd")</f>
        <v>2025-04-28</v>
      </c>
      <c r="I2328" s="64">
        <f>DATEVALUE(tblLaborEntries[[#This Row],[Work date]])</f>
        <v>45777.0</v>
      </c>
    </row>
    <row r="2329" spans="1:9" ht="15" x14ac:dyDescent="0.25">
      <c r="A2329" s="53" t="inlineStr">
        <is>
          <t>LAB-002328</t>
        </is>
      </c>
      <c r="B2329" s="53" t="inlineStr">
        <is>
          <t>WP-01020</t>
        </is>
      </c>
      <c r="C2329" s="53" t="inlineStr">
        <is>
          <t>TECH-001</t>
        </is>
      </c>
      <c r="D2329" s="53" t="inlineStr">
        <is>
          <t>Airframe</t>
        </is>
      </c>
      <c r="E2329" s="53" t="inlineStr">
        <is>
          <t>2025-05-01</t>
        </is>
      </c>
      <c r="F2329" s="53">
        <v>5.4</v>
      </c>
      <c r="G2329" s="53">
        <v>0</v>
      </c>
      <c r="H2329" s="51" t="str">
        <f>TEXT(tblLaborEntries[[#This Row],[Work date serial]]-WEEKDAY(tblLaborEntries[[#This Row],[Work date serial]],3),"yyyy-mm-dd")</f>
        <v>2025-04-28</v>
      </c>
      <c r="I2329" s="64">
        <f>DATEVALUE(tblLaborEntries[[#This Row],[Work date]])</f>
        <v>45778.0</v>
      </c>
    </row>
    <row r="2330" spans="1:9" ht="15" x14ac:dyDescent="0.25">
      <c r="A2330" s="53" t="inlineStr">
        <is>
          <t>LAB-002329</t>
        </is>
      </c>
      <c r="B2330" s="53" t="inlineStr">
        <is>
          <t>WP-01020</t>
        </is>
      </c>
      <c r="C2330" s="53" t="inlineStr">
        <is>
          <t>TECH-025</t>
        </is>
      </c>
      <c r="D2330" s="53" t="inlineStr">
        <is>
          <t>Airframe</t>
        </is>
      </c>
      <c r="E2330" s="53" t="inlineStr">
        <is>
          <t>2025-05-02</t>
        </is>
      </c>
      <c r="F2330" s="53">
        <v>4</v>
      </c>
      <c r="G2330" s="53">
        <v>0</v>
      </c>
      <c r="H2330" s="51" t="str">
        <f>TEXT(tblLaborEntries[[#This Row],[Work date serial]]-WEEKDAY(tblLaborEntries[[#This Row],[Work date serial]],3),"yyyy-mm-dd")</f>
        <v>2025-04-28</v>
      </c>
      <c r="I2330" s="64">
        <f>DATEVALUE(tblLaborEntries[[#This Row],[Work date]])</f>
        <v>45779.0</v>
      </c>
    </row>
    <row r="2331" spans="1:9" ht="15" x14ac:dyDescent="0.25">
      <c r="A2331" s="53" t="inlineStr">
        <is>
          <t>LAB-002330</t>
        </is>
      </c>
      <c r="B2331" s="53" t="inlineStr">
        <is>
          <t>WP-01021</t>
        </is>
      </c>
      <c r="C2331" s="53" t="inlineStr">
        <is>
          <t>TECH-066</t>
        </is>
      </c>
      <c r="D2331" s="53" t="inlineStr">
        <is>
          <t>Powerplant</t>
        </is>
      </c>
      <c r="E2331" s="53" t="inlineStr">
        <is>
          <t>2024-06-29</t>
        </is>
      </c>
      <c r="F2331" s="53">
        <v>7.6</v>
      </c>
      <c r="G2331" s="53">
        <v>0</v>
      </c>
      <c r="H2331" s="51" t="str">
        <f>TEXT(tblLaborEntries[[#This Row],[Work date serial]]-WEEKDAY(tblLaborEntries[[#This Row],[Work date serial]],3),"yyyy-mm-dd")</f>
        <v>2024-06-24</v>
      </c>
      <c r="I2331" s="64">
        <f>DATEVALUE(tblLaborEntries[[#This Row],[Work date]])</f>
        <v>45472.0</v>
      </c>
    </row>
    <row r="2332" spans="1:9" ht="15" x14ac:dyDescent="0.25">
      <c r="A2332" s="53" t="inlineStr">
        <is>
          <t>LAB-002331</t>
        </is>
      </c>
      <c r="B2332" s="53" t="inlineStr">
        <is>
          <t>WP-01021</t>
        </is>
      </c>
      <c r="C2332" s="53" t="inlineStr">
        <is>
          <t>TECH-066</t>
        </is>
      </c>
      <c r="D2332" s="53" t="inlineStr">
        <is>
          <t>Powerplant</t>
        </is>
      </c>
      <c r="E2332" s="53" t="inlineStr">
        <is>
          <t>2024-06-30</t>
        </is>
      </c>
      <c r="F2332" s="53">
        <v>7.2</v>
      </c>
      <c r="G2332" s="53">
        <v>0</v>
      </c>
      <c r="H2332" s="51" t="str">
        <f>TEXT(tblLaborEntries[[#This Row],[Work date serial]]-WEEKDAY(tblLaborEntries[[#This Row],[Work date serial]],3),"yyyy-mm-dd")</f>
        <v>2024-06-24</v>
      </c>
      <c r="I2332" s="64">
        <f>DATEVALUE(tblLaborEntries[[#This Row],[Work date]])</f>
        <v>45473.0</v>
      </c>
    </row>
    <row r="2333" spans="1:9" ht="15" x14ac:dyDescent="0.25">
      <c r="A2333" s="53" t="inlineStr">
        <is>
          <t>LAB-002332</t>
        </is>
      </c>
      <c r="B2333" s="53" t="inlineStr">
        <is>
          <t>WP-01022</t>
        </is>
      </c>
      <c r="C2333" s="53" t="inlineStr">
        <is>
          <t>TECH-042</t>
        </is>
      </c>
      <c r="D2333" s="53" t="inlineStr">
        <is>
          <t>Powerplant</t>
        </is>
      </c>
      <c r="E2333" s="53" t="inlineStr">
        <is>
          <t>2025-04-03</t>
        </is>
      </c>
      <c r="F2333" s="53">
        <v>2.3</v>
      </c>
      <c r="G2333" s="53">
        <v>0</v>
      </c>
      <c r="H2333" s="51" t="str">
        <f>TEXT(tblLaborEntries[[#This Row],[Work date serial]]-WEEKDAY(tblLaborEntries[[#This Row],[Work date serial]],3),"yyyy-mm-dd")</f>
        <v>2025-03-31</v>
      </c>
      <c r="I2333" s="64">
        <f>DATEVALUE(tblLaborEntries[[#This Row],[Work date]])</f>
        <v>45750.0</v>
      </c>
    </row>
    <row r="2334" spans="1:9" ht="15" x14ac:dyDescent="0.25">
      <c r="A2334" s="53" t="inlineStr">
        <is>
          <t>LAB-002333</t>
        </is>
      </c>
      <c r="B2334" s="53" t="inlineStr">
        <is>
          <t>WP-01022</t>
        </is>
      </c>
      <c r="C2334" s="53" t="inlineStr">
        <is>
          <t>TECH-066</t>
        </is>
      </c>
      <c r="D2334" s="53" t="inlineStr">
        <is>
          <t>Powerplant</t>
        </is>
      </c>
      <c r="E2334" s="53" t="inlineStr">
        <is>
          <t>2025-04-04</t>
        </is>
      </c>
      <c r="F2334" s="53">
        <v>3.6</v>
      </c>
      <c r="G2334" s="53">
        <v>0</v>
      </c>
      <c r="H2334" s="51" t="str">
        <f>TEXT(tblLaborEntries[[#This Row],[Work date serial]]-WEEKDAY(tblLaborEntries[[#This Row],[Work date serial]],3),"yyyy-mm-dd")</f>
        <v>2025-03-31</v>
      </c>
      <c r="I2334" s="64">
        <f>DATEVALUE(tblLaborEntries[[#This Row],[Work date]])</f>
        <v>45751.0</v>
      </c>
    </row>
    <row r="2335" spans="1:9" ht="15" x14ac:dyDescent="0.25">
      <c r="A2335" s="53" t="inlineStr">
        <is>
          <t>LAB-002334</t>
        </is>
      </c>
      <c r="B2335" s="53" t="inlineStr">
        <is>
          <t>WP-01022</t>
        </is>
      </c>
      <c r="C2335" s="53" t="inlineStr">
        <is>
          <t>TECH-006</t>
        </is>
      </c>
      <c r="D2335" s="53" t="inlineStr">
        <is>
          <t>Powerplant</t>
        </is>
      </c>
      <c r="E2335" s="53" t="inlineStr">
        <is>
          <t>2025-04-05</t>
        </is>
      </c>
      <c r="F2335" s="53">
        <v>2.9</v>
      </c>
      <c r="G2335" s="53">
        <v>0</v>
      </c>
      <c r="H2335" s="51" t="str">
        <f>TEXT(tblLaborEntries[[#This Row],[Work date serial]]-WEEKDAY(tblLaborEntries[[#This Row],[Work date serial]],3),"yyyy-mm-dd")</f>
        <v>2025-03-31</v>
      </c>
      <c r="I2335" s="64">
        <f>DATEVALUE(tblLaborEntries[[#This Row],[Work date]])</f>
        <v>45752.0</v>
      </c>
    </row>
    <row r="2336" spans="1:9" ht="15" x14ac:dyDescent="0.25">
      <c r="A2336" s="53" t="inlineStr">
        <is>
          <t>LAB-002335</t>
        </is>
      </c>
      <c r="B2336" s="53" t="inlineStr">
        <is>
          <t>WP-01023</t>
        </is>
      </c>
      <c r="C2336" s="53" t="inlineStr">
        <is>
          <t>TECH-009</t>
        </is>
      </c>
      <c r="D2336" s="53" t="inlineStr">
        <is>
          <t>Hydraulics</t>
        </is>
      </c>
      <c r="E2336" s="53" t="inlineStr">
        <is>
          <t>2024-03-11</t>
        </is>
      </c>
      <c r="F2336" s="53">
        <v>2.2</v>
      </c>
      <c r="G2336" s="53">
        <v>0</v>
      </c>
      <c r="H2336" s="51" t="str">
        <f>TEXT(tblLaborEntries[[#This Row],[Work date serial]]-WEEKDAY(tblLaborEntries[[#This Row],[Work date serial]],3),"yyyy-mm-dd")</f>
        <v>2024-03-11</v>
      </c>
      <c r="I2336" s="64">
        <f>DATEVALUE(tblLaborEntries[[#This Row],[Work date]])</f>
        <v>45362.0</v>
      </c>
    </row>
    <row r="2337" spans="1:9" ht="15" x14ac:dyDescent="0.25">
      <c r="A2337" s="53" t="inlineStr">
        <is>
          <t>LAB-002336</t>
        </is>
      </c>
      <c r="B2337" s="53" t="inlineStr">
        <is>
          <t>WP-01023</t>
        </is>
      </c>
      <c r="C2337" s="53" t="inlineStr">
        <is>
          <t>TECH-051</t>
        </is>
      </c>
      <c r="D2337" s="53" t="inlineStr">
        <is>
          <t>Hydraulics</t>
        </is>
      </c>
      <c r="E2337" s="53" t="inlineStr">
        <is>
          <t>2024-03-12</t>
        </is>
      </c>
      <c r="F2337" s="53">
        <v>2.6</v>
      </c>
      <c r="G2337" s="53">
        <v>0</v>
      </c>
      <c r="H2337" s="51" t="str">
        <f>TEXT(tblLaborEntries[[#This Row],[Work date serial]]-WEEKDAY(tblLaborEntries[[#This Row],[Work date serial]],3),"yyyy-mm-dd")</f>
        <v>2024-03-11</v>
      </c>
      <c r="I2337" s="64">
        <f>DATEVALUE(tblLaborEntries[[#This Row],[Work date]])</f>
        <v>45363.0</v>
      </c>
    </row>
    <row r="2338" spans="1:9" ht="15" x14ac:dyDescent="0.25">
      <c r="A2338" s="53" t="inlineStr">
        <is>
          <t>LAB-002337</t>
        </is>
      </c>
      <c r="B2338" s="53" t="inlineStr">
        <is>
          <t>WP-01023</t>
        </is>
      </c>
      <c r="C2338" s="53" t="inlineStr">
        <is>
          <t>TECH-063</t>
        </is>
      </c>
      <c r="D2338" s="53" t="inlineStr">
        <is>
          <t>Hydraulics</t>
        </is>
      </c>
      <c r="E2338" s="53" t="inlineStr">
        <is>
          <t>2024-03-13</t>
        </is>
      </c>
      <c r="F2338" s="53">
        <v>2.9</v>
      </c>
      <c r="G2338" s="53">
        <v>0</v>
      </c>
      <c r="H2338" s="51" t="str">
        <f>TEXT(tblLaborEntries[[#This Row],[Work date serial]]-WEEKDAY(tblLaborEntries[[#This Row],[Work date serial]],3),"yyyy-mm-dd")</f>
        <v>2024-03-11</v>
      </c>
      <c r="I2338" s="64">
        <f>DATEVALUE(tblLaborEntries[[#This Row],[Work date]])</f>
        <v>45364.0</v>
      </c>
    </row>
    <row r="2339" spans="1:9" ht="15" x14ac:dyDescent="0.25">
      <c r="A2339" s="53" t="inlineStr">
        <is>
          <t>LAB-002338</t>
        </is>
      </c>
      <c r="B2339" s="53" t="inlineStr">
        <is>
          <t>WP-01024</t>
        </is>
      </c>
      <c r="C2339" s="53" t="inlineStr">
        <is>
          <t>TECH-030</t>
        </is>
      </c>
      <c r="D2339" s="53" t="inlineStr">
        <is>
          <t>Powerplant</t>
        </is>
      </c>
      <c r="E2339" s="53" t="inlineStr">
        <is>
          <t>2024-03-01</t>
        </is>
      </c>
      <c r="F2339" s="53">
        <v>4</v>
      </c>
      <c r="G2339" s="53">
        <v>0</v>
      </c>
      <c r="H2339" s="51" t="str">
        <f>TEXT(tblLaborEntries[[#This Row],[Work date serial]]-WEEKDAY(tblLaborEntries[[#This Row],[Work date serial]],3),"yyyy-mm-dd")</f>
        <v>2024-02-26</v>
      </c>
      <c r="I2339" s="64">
        <f>DATEVALUE(tblLaborEntries[[#This Row],[Work date]])</f>
        <v>45352.0</v>
      </c>
    </row>
    <row r="2340" spans="1:9" ht="15" x14ac:dyDescent="0.25">
      <c r="A2340" s="53" t="inlineStr">
        <is>
          <t>LAB-002339</t>
        </is>
      </c>
      <c r="B2340" s="53" t="inlineStr">
        <is>
          <t>WP-01024</t>
        </is>
      </c>
      <c r="C2340" s="53" t="inlineStr">
        <is>
          <t>TECH-054</t>
        </is>
      </c>
      <c r="D2340" s="53" t="inlineStr">
        <is>
          <t>Powerplant</t>
        </is>
      </c>
      <c r="E2340" s="53" t="inlineStr">
        <is>
          <t>2024-03-02</t>
        </is>
      </c>
      <c r="F2340" s="53">
        <v>6</v>
      </c>
      <c r="G2340" s="53">
        <v>0</v>
      </c>
      <c r="H2340" s="51" t="str">
        <f>TEXT(tblLaborEntries[[#This Row],[Work date serial]]-WEEKDAY(tblLaborEntries[[#This Row],[Work date serial]],3),"yyyy-mm-dd")</f>
        <v>2024-02-26</v>
      </c>
      <c r="I2340" s="64">
        <f>DATEVALUE(tblLaborEntries[[#This Row],[Work date]])</f>
        <v>45353.0</v>
      </c>
    </row>
    <row r="2341" spans="1:9" ht="15" x14ac:dyDescent="0.25">
      <c r="A2341" s="53" t="inlineStr">
        <is>
          <t>LAB-002340</t>
        </is>
      </c>
      <c r="B2341" s="53" t="inlineStr">
        <is>
          <t>WP-01024</t>
        </is>
      </c>
      <c r="C2341" s="53" t="inlineStr">
        <is>
          <t>TECH-048</t>
        </is>
      </c>
      <c r="D2341" s="53" t="inlineStr">
        <is>
          <t>Powerplant</t>
        </is>
      </c>
      <c r="E2341" s="53" t="inlineStr">
        <is>
          <t>2024-03-03</t>
        </is>
      </c>
      <c r="F2341" s="53">
        <v>4.7</v>
      </c>
      <c r="G2341" s="53">
        <v>0</v>
      </c>
      <c r="H2341" s="51" t="str">
        <f>TEXT(tblLaborEntries[[#This Row],[Work date serial]]-WEEKDAY(tblLaborEntries[[#This Row],[Work date serial]],3),"yyyy-mm-dd")</f>
        <v>2024-02-26</v>
      </c>
      <c r="I2341" s="64">
        <f>DATEVALUE(tblLaborEntries[[#This Row],[Work date]])</f>
        <v>45354.0</v>
      </c>
    </row>
    <row r="2342" spans="1:9" ht="15" x14ac:dyDescent="0.25">
      <c r="A2342" s="53" t="inlineStr">
        <is>
          <t>LAB-002341</t>
        </is>
      </c>
      <c r="B2342" s="53" t="inlineStr">
        <is>
          <t>WP-01025</t>
        </is>
      </c>
      <c r="C2342" s="53" t="inlineStr">
        <is>
          <t>TECH-006</t>
        </is>
      </c>
      <c r="D2342" s="53" t="inlineStr">
        <is>
          <t>Powerplant</t>
        </is>
      </c>
      <c r="E2342" s="53" t="inlineStr">
        <is>
          <t>2025-10-27</t>
        </is>
      </c>
      <c r="F2342" s="53">
        <v>1.1</v>
      </c>
      <c r="G2342" s="53">
        <v>0</v>
      </c>
      <c r="H2342" s="51" t="str">
        <f>TEXT(tblLaborEntries[[#This Row],[Work date serial]]-WEEKDAY(tblLaborEntries[[#This Row],[Work date serial]],3),"yyyy-mm-dd")</f>
        <v>2025-10-27</v>
      </c>
      <c r="I2342" s="64">
        <f>DATEVALUE(tblLaborEntries[[#This Row],[Work date]])</f>
        <v>45957.0</v>
      </c>
    </row>
    <row r="2343" spans="1:9" ht="15" x14ac:dyDescent="0.25">
      <c r="A2343" s="53" t="inlineStr">
        <is>
          <t>LAB-002342</t>
        </is>
      </c>
      <c r="B2343" s="53" t="inlineStr">
        <is>
          <t>WP-01025</t>
        </is>
      </c>
      <c r="C2343" s="53" t="inlineStr">
        <is>
          <t>TECH-030</t>
        </is>
      </c>
      <c r="D2343" s="53" t="inlineStr">
        <is>
          <t>Powerplant</t>
        </is>
      </c>
      <c r="E2343" s="53" t="inlineStr">
        <is>
          <t>2025-10-27</t>
        </is>
      </c>
      <c r="F2343" s="53">
        <v>12</v>
      </c>
      <c r="G2343" s="53">
        <v>4</v>
      </c>
      <c r="H2343" s="51" t="str">
        <f>TEXT(tblLaborEntries[[#This Row],[Work date serial]]-WEEKDAY(tblLaborEntries[[#This Row],[Work date serial]],3),"yyyy-mm-dd")</f>
        <v>2025-10-27</v>
      </c>
      <c r="I2343" s="64">
        <f>DATEVALUE(tblLaborEntries[[#This Row],[Work date]])</f>
        <v>45957.0</v>
      </c>
    </row>
    <row r="2344" spans="1:9" ht="15" x14ac:dyDescent="0.25">
      <c r="A2344" s="53" t="inlineStr">
        <is>
          <t>LAB-002343</t>
        </is>
      </c>
      <c r="B2344" s="53" t="inlineStr">
        <is>
          <t>WP-01026</t>
        </is>
      </c>
      <c r="C2344" s="53" t="inlineStr">
        <is>
          <t>TECH-021</t>
        </is>
      </c>
      <c r="D2344" s="53" t="inlineStr">
        <is>
          <t>Hydraulics</t>
        </is>
      </c>
      <c r="E2344" s="53" t="inlineStr">
        <is>
          <t>2025-11-05</t>
        </is>
      </c>
      <c r="F2344" s="53">
        <v>4.5</v>
      </c>
      <c r="G2344" s="53">
        <v>0</v>
      </c>
      <c r="H2344" s="51" t="str">
        <f>TEXT(tblLaborEntries[[#This Row],[Work date serial]]-WEEKDAY(tblLaborEntries[[#This Row],[Work date serial]],3),"yyyy-mm-dd")</f>
        <v>2025-11-03</v>
      </c>
      <c r="I2344" s="64">
        <f>DATEVALUE(tblLaborEntries[[#This Row],[Work date]])</f>
        <v>45966.0</v>
      </c>
    </row>
    <row r="2345" spans="1:9" ht="15" x14ac:dyDescent="0.25">
      <c r="A2345" s="53" t="inlineStr">
        <is>
          <t>LAB-002344</t>
        </is>
      </c>
      <c r="B2345" s="53" t="inlineStr">
        <is>
          <t>WP-01026</t>
        </is>
      </c>
      <c r="C2345" s="53" t="inlineStr">
        <is>
          <t>TECH-069</t>
        </is>
      </c>
      <c r="D2345" s="53" t="inlineStr">
        <is>
          <t>Hydraulics</t>
        </is>
      </c>
      <c r="E2345" s="53" t="inlineStr">
        <is>
          <t>2025-11-06</t>
        </is>
      </c>
      <c r="F2345" s="53">
        <v>3.6</v>
      </c>
      <c r="G2345" s="53">
        <v>0</v>
      </c>
      <c r="H2345" s="51" t="str">
        <f>TEXT(tblLaborEntries[[#This Row],[Work date serial]]-WEEKDAY(tblLaborEntries[[#This Row],[Work date serial]],3),"yyyy-mm-dd")</f>
        <v>2025-11-03</v>
      </c>
      <c r="I2345" s="64">
        <f>DATEVALUE(tblLaborEntries[[#This Row],[Work date]])</f>
        <v>45967.0</v>
      </c>
    </row>
    <row r="2346" spans="1:9" ht="15" x14ac:dyDescent="0.25">
      <c r="A2346" s="53" t="inlineStr">
        <is>
          <t>LAB-002345</t>
        </is>
      </c>
      <c r="B2346" s="53" t="inlineStr">
        <is>
          <t>WP-01027</t>
        </is>
      </c>
      <c r="C2346" s="53" t="inlineStr">
        <is>
          <t>TECH-062</t>
        </is>
      </c>
      <c r="D2346" s="53" t="inlineStr">
        <is>
          <t>Avionics</t>
        </is>
      </c>
      <c r="E2346" s="53" t="inlineStr">
        <is>
          <t>2024-05-17</t>
        </is>
      </c>
      <c r="F2346" s="53">
        <v>2</v>
      </c>
      <c r="G2346" s="53">
        <v>0</v>
      </c>
      <c r="H2346" s="51" t="str">
        <f>TEXT(tblLaborEntries[[#This Row],[Work date serial]]-WEEKDAY(tblLaborEntries[[#This Row],[Work date serial]],3),"yyyy-mm-dd")</f>
        <v>2024-05-13</v>
      </c>
      <c r="I2346" s="64">
        <f>DATEVALUE(tblLaborEntries[[#This Row],[Work date]])</f>
        <v>45429.0</v>
      </c>
    </row>
    <row r="2347" spans="1:9" ht="15" x14ac:dyDescent="0.25">
      <c r="A2347" s="53" t="inlineStr">
        <is>
          <t>LAB-002346</t>
        </is>
      </c>
      <c r="B2347" s="53" t="inlineStr">
        <is>
          <t>WP-01027</t>
        </is>
      </c>
      <c r="C2347" s="53" t="inlineStr">
        <is>
          <t>TECH-002</t>
        </is>
      </c>
      <c r="D2347" s="53" t="inlineStr">
        <is>
          <t>Avionics</t>
        </is>
      </c>
      <c r="E2347" s="53" t="inlineStr">
        <is>
          <t>2024-05-18</t>
        </is>
      </c>
      <c r="F2347" s="53">
        <v>1.5</v>
      </c>
      <c r="G2347" s="53">
        <v>0</v>
      </c>
      <c r="H2347" s="51" t="str">
        <f>TEXT(tblLaborEntries[[#This Row],[Work date serial]]-WEEKDAY(tblLaborEntries[[#This Row],[Work date serial]],3),"yyyy-mm-dd")</f>
        <v>2024-05-13</v>
      </c>
      <c r="I2347" s="64">
        <f>DATEVALUE(tblLaborEntries[[#This Row],[Work date]])</f>
        <v>45430.0</v>
      </c>
    </row>
    <row r="2348" spans="1:9" ht="15" x14ac:dyDescent="0.25">
      <c r="A2348" s="53" t="inlineStr">
        <is>
          <t>LAB-002347</t>
        </is>
      </c>
      <c r="B2348" s="53" t="inlineStr">
        <is>
          <t>WP-01027</t>
        </is>
      </c>
      <c r="C2348" s="53" t="inlineStr">
        <is>
          <t>TECH-056</t>
        </is>
      </c>
      <c r="D2348" s="53" t="inlineStr">
        <is>
          <t>Avionics</t>
        </is>
      </c>
      <c r="E2348" s="53" t="inlineStr">
        <is>
          <t>2024-05-19</t>
        </is>
      </c>
      <c r="F2348" s="53">
        <v>1.9</v>
      </c>
      <c r="G2348" s="53">
        <v>0</v>
      </c>
      <c r="H2348" s="51" t="str">
        <f>TEXT(tblLaborEntries[[#This Row],[Work date serial]]-WEEKDAY(tblLaborEntries[[#This Row],[Work date serial]],3),"yyyy-mm-dd")</f>
        <v>2024-05-13</v>
      </c>
      <c r="I2348" s="64">
        <f>DATEVALUE(tblLaborEntries[[#This Row],[Work date]])</f>
        <v>45431.0</v>
      </c>
    </row>
    <row r="2349" spans="1:9" ht="15" x14ac:dyDescent="0.25">
      <c r="A2349" s="53" t="inlineStr">
        <is>
          <t>LAB-002348</t>
        </is>
      </c>
      <c r="B2349" s="53" t="inlineStr">
        <is>
          <t>WP-01028</t>
        </is>
      </c>
      <c r="C2349" s="53" t="inlineStr">
        <is>
          <t>TECH-018</t>
        </is>
      </c>
      <c r="D2349" s="53" t="inlineStr">
        <is>
          <t>Powerplant</t>
        </is>
      </c>
      <c r="E2349" s="53" t="inlineStr">
        <is>
          <t>2024-10-06</t>
        </is>
      </c>
      <c r="F2349" s="53">
        <v>6.7</v>
      </c>
      <c r="G2349" s="53">
        <v>0</v>
      </c>
      <c r="H2349" s="51" t="str">
        <f>TEXT(tblLaborEntries[[#This Row],[Work date serial]]-WEEKDAY(tblLaborEntries[[#This Row],[Work date serial]],3),"yyyy-mm-dd")</f>
        <v>2024-09-30</v>
      </c>
      <c r="I2349" s="64">
        <f>DATEVALUE(tblLaborEntries[[#This Row],[Work date]])</f>
        <v>45571.0</v>
      </c>
    </row>
    <row r="2350" spans="1:9" ht="15" x14ac:dyDescent="0.25">
      <c r="A2350" s="53" t="inlineStr">
        <is>
          <t>LAB-002349</t>
        </is>
      </c>
      <c r="B2350" s="53" t="inlineStr">
        <is>
          <t>WP-01028</t>
        </is>
      </c>
      <c r="C2350" s="53" t="inlineStr">
        <is>
          <t>TECH-030</t>
        </is>
      </c>
      <c r="D2350" s="53" t="inlineStr">
        <is>
          <t>Powerplant</t>
        </is>
      </c>
      <c r="E2350" s="53" t="inlineStr">
        <is>
          <t>2024-10-07</t>
        </is>
      </c>
      <c r="F2350" s="53">
        <v>4.6</v>
      </c>
      <c r="G2350" s="53">
        <v>0</v>
      </c>
      <c r="H2350" s="51" t="str">
        <f>TEXT(tblLaborEntries[[#This Row],[Work date serial]]-WEEKDAY(tblLaborEntries[[#This Row],[Work date serial]],3),"yyyy-mm-dd")</f>
        <v>2024-10-07</v>
      </c>
      <c r="I2350" s="64">
        <f>DATEVALUE(tblLaborEntries[[#This Row],[Work date]])</f>
        <v>45572.0</v>
      </c>
    </row>
    <row r="2351" spans="1:9" ht="15" x14ac:dyDescent="0.25">
      <c r="A2351" s="53" t="inlineStr">
        <is>
          <t>LAB-002350</t>
        </is>
      </c>
      <c r="B2351" s="53" t="inlineStr">
        <is>
          <t>WP-01029</t>
        </is>
      </c>
      <c r="C2351" s="53" t="inlineStr">
        <is>
          <t>TECH-004</t>
        </is>
      </c>
      <c r="D2351" s="53" t="inlineStr">
        <is>
          <t>Electrical</t>
        </is>
      </c>
      <c r="E2351" s="53" t="inlineStr">
        <is>
          <t>2024-05-30</t>
        </is>
      </c>
      <c r="F2351" s="53">
        <v>0.7</v>
      </c>
      <c r="G2351" s="53">
        <v>0</v>
      </c>
      <c r="H2351" s="51" t="str">
        <f>TEXT(tblLaborEntries[[#This Row],[Work date serial]]-WEEKDAY(tblLaborEntries[[#This Row],[Work date serial]],3),"yyyy-mm-dd")</f>
        <v>2024-05-27</v>
      </c>
      <c r="I2351" s="64">
        <f>DATEVALUE(tblLaborEntries[[#This Row],[Work date]])</f>
        <v>45442.0</v>
      </c>
    </row>
    <row r="2352" spans="1:9" ht="15" x14ac:dyDescent="0.25">
      <c r="A2352" s="53" t="inlineStr">
        <is>
          <t>LAB-002351</t>
        </is>
      </c>
      <c r="B2352" s="53" t="inlineStr">
        <is>
          <t>WP-01029</t>
        </is>
      </c>
      <c r="C2352" s="53" t="inlineStr">
        <is>
          <t>TECH-052</t>
        </is>
      </c>
      <c r="D2352" s="53" t="inlineStr">
        <is>
          <t>Electrical</t>
        </is>
      </c>
      <c r="E2352" s="53" t="inlineStr">
        <is>
          <t>2024-05-30</t>
        </is>
      </c>
      <c r="F2352" s="53">
        <v>12</v>
      </c>
      <c r="G2352" s="53">
        <v>4</v>
      </c>
      <c r="H2352" s="51" t="str">
        <f>TEXT(tblLaborEntries[[#This Row],[Work date serial]]-WEEKDAY(tblLaborEntries[[#This Row],[Work date serial]],3),"yyyy-mm-dd")</f>
        <v>2024-05-27</v>
      </c>
      <c r="I2352" s="64">
        <f>DATEVALUE(tblLaborEntries[[#This Row],[Work date]])</f>
        <v>45442.0</v>
      </c>
    </row>
    <row r="2353" spans="1:9" ht="15" x14ac:dyDescent="0.25">
      <c r="A2353" s="53" t="inlineStr">
        <is>
          <t>LAB-002352</t>
        </is>
      </c>
      <c r="B2353" s="53" t="inlineStr">
        <is>
          <t>WP-01030</t>
        </is>
      </c>
      <c r="C2353" s="53" t="inlineStr">
        <is>
          <t>TECH-055</t>
        </is>
      </c>
      <c r="D2353" s="53" t="inlineStr">
        <is>
          <t>Airframe</t>
        </is>
      </c>
      <c r="E2353" s="53" t="inlineStr">
        <is>
          <t>2024-07-28</t>
        </is>
      </c>
      <c r="F2353" s="53">
        <v>3.2</v>
      </c>
      <c r="G2353" s="53">
        <v>0</v>
      </c>
      <c r="H2353" s="51" t="str">
        <f>TEXT(tblLaborEntries[[#This Row],[Work date serial]]-WEEKDAY(tblLaborEntries[[#This Row],[Work date serial]],3),"yyyy-mm-dd")</f>
        <v>2024-07-22</v>
      </c>
      <c r="I2353" s="64">
        <f>DATEVALUE(tblLaborEntries[[#This Row],[Work date]])</f>
        <v>45501.0</v>
      </c>
    </row>
    <row r="2354" spans="1:9" ht="15" x14ac:dyDescent="0.25">
      <c r="A2354" s="53" t="inlineStr">
        <is>
          <t>LAB-002353</t>
        </is>
      </c>
      <c r="B2354" s="53" t="inlineStr">
        <is>
          <t>WP-01030</t>
        </is>
      </c>
      <c r="C2354" s="53" t="inlineStr">
        <is>
          <t>TECH-067</t>
        </is>
      </c>
      <c r="D2354" s="53" t="inlineStr">
        <is>
          <t>Airframe</t>
        </is>
      </c>
      <c r="E2354" s="53" t="inlineStr">
        <is>
          <t>2024-07-29</t>
        </is>
      </c>
      <c r="F2354" s="53">
        <v>3.1</v>
      </c>
      <c r="G2354" s="53">
        <v>0</v>
      </c>
      <c r="H2354" s="51" t="str">
        <f>TEXT(tblLaborEntries[[#This Row],[Work date serial]]-WEEKDAY(tblLaborEntries[[#This Row],[Work date serial]],3),"yyyy-mm-dd")</f>
        <v>2024-07-29</v>
      </c>
      <c r="I2354" s="64">
        <f>DATEVALUE(tblLaborEntries[[#This Row],[Work date]])</f>
        <v>45502.0</v>
      </c>
    </row>
    <row r="2355" spans="1:9" ht="15" x14ac:dyDescent="0.25">
      <c r="A2355" s="53" t="inlineStr">
        <is>
          <t>LAB-002354</t>
        </is>
      </c>
      <c r="B2355" s="53" t="inlineStr">
        <is>
          <t>WP-01030</t>
        </is>
      </c>
      <c r="C2355" s="53" t="inlineStr">
        <is>
          <t>TECH-067</t>
        </is>
      </c>
      <c r="D2355" s="53" t="inlineStr">
        <is>
          <t>Airframe</t>
        </is>
      </c>
      <c r="E2355" s="53" t="inlineStr">
        <is>
          <t>2024-07-30</t>
        </is>
      </c>
      <c r="F2355" s="53">
        <v>4.7</v>
      </c>
      <c r="G2355" s="53">
        <v>0</v>
      </c>
      <c r="H2355" s="51" t="str">
        <f>TEXT(tblLaborEntries[[#This Row],[Work date serial]]-WEEKDAY(tblLaborEntries[[#This Row],[Work date serial]],3),"yyyy-mm-dd")</f>
        <v>2024-07-29</v>
      </c>
      <c r="I2355" s="64">
        <f>DATEVALUE(tblLaborEntries[[#This Row],[Work date]])</f>
        <v>45503.0</v>
      </c>
    </row>
    <row r="2356" spans="1:9" ht="15" x14ac:dyDescent="0.25">
      <c r="A2356" s="53" t="inlineStr">
        <is>
          <t>LAB-002355</t>
        </is>
      </c>
      <c r="B2356" s="53" t="inlineStr">
        <is>
          <t>WP-01031</t>
        </is>
      </c>
      <c r="C2356" s="53" t="inlineStr">
        <is>
          <t>TECH-031</t>
        </is>
      </c>
      <c r="D2356" s="53" t="inlineStr">
        <is>
          <t>Airframe</t>
        </is>
      </c>
      <c r="E2356" s="53" t="inlineStr">
        <is>
          <t>2025-03-13</t>
        </is>
      </c>
      <c r="F2356" s="53">
        <v>6.9</v>
      </c>
      <c r="G2356" s="53">
        <v>0</v>
      </c>
      <c r="H2356" s="51" t="str">
        <f>TEXT(tblLaborEntries[[#This Row],[Work date serial]]-WEEKDAY(tblLaborEntries[[#This Row],[Work date serial]],3),"yyyy-mm-dd")</f>
        <v>2025-03-10</v>
      </c>
      <c r="I2356" s="64">
        <f>DATEVALUE(tblLaborEntries[[#This Row],[Work date]])</f>
        <v>45729.0</v>
      </c>
    </row>
    <row r="2357" spans="1:9" ht="15" x14ac:dyDescent="0.25">
      <c r="A2357" s="53" t="inlineStr">
        <is>
          <t>LAB-002356</t>
        </is>
      </c>
      <c r="B2357" s="53" t="inlineStr">
        <is>
          <t>WP-01031</t>
        </is>
      </c>
      <c r="C2357" s="53" t="inlineStr">
        <is>
          <t>TECH-049</t>
        </is>
      </c>
      <c r="D2357" s="53" t="inlineStr">
        <is>
          <t>Airframe</t>
        </is>
      </c>
      <c r="E2357" s="53" t="inlineStr">
        <is>
          <t>2025-03-14</t>
        </is>
      </c>
      <c r="F2357" s="53">
        <v>7.1</v>
      </c>
      <c r="G2357" s="53">
        <v>0</v>
      </c>
      <c r="H2357" s="51" t="str">
        <f>TEXT(tblLaborEntries[[#This Row],[Work date serial]]-WEEKDAY(tblLaborEntries[[#This Row],[Work date serial]],3),"yyyy-mm-dd")</f>
        <v>2025-03-10</v>
      </c>
      <c r="I2357" s="64">
        <f>DATEVALUE(tblLaborEntries[[#This Row],[Work date]])</f>
        <v>45730.0</v>
      </c>
    </row>
    <row r="2358" spans="1:9" ht="15" x14ac:dyDescent="0.25">
      <c r="A2358" s="53" t="inlineStr">
        <is>
          <t>LAB-002357</t>
        </is>
      </c>
      <c r="B2358" s="53" t="inlineStr">
        <is>
          <t>WP-01031</t>
        </is>
      </c>
      <c r="C2358" s="53" t="inlineStr">
        <is>
          <t>TECH-055</t>
        </is>
      </c>
      <c r="D2358" s="53" t="inlineStr">
        <is>
          <t>Airframe</t>
        </is>
      </c>
      <c r="E2358" s="53" t="inlineStr">
        <is>
          <t>2025-03-15</t>
        </is>
      </c>
      <c r="F2358" s="53">
        <v>9.4</v>
      </c>
      <c r="G2358" s="53">
        <v>1.4</v>
      </c>
      <c r="H2358" s="51" t="str">
        <f>TEXT(tblLaborEntries[[#This Row],[Work date serial]]-WEEKDAY(tblLaborEntries[[#This Row],[Work date serial]],3),"yyyy-mm-dd")</f>
        <v>2025-03-10</v>
      </c>
      <c r="I2358" s="64">
        <f>DATEVALUE(tblLaborEntries[[#This Row],[Work date]])</f>
        <v>45731.0</v>
      </c>
    </row>
    <row r="2359" spans="1:9" ht="15" x14ac:dyDescent="0.25">
      <c r="A2359" s="53" t="inlineStr">
        <is>
          <t>LAB-002358</t>
        </is>
      </c>
      <c r="B2359" s="53" t="inlineStr">
        <is>
          <t>WP-01032</t>
        </is>
      </c>
      <c r="C2359" s="53" t="inlineStr">
        <is>
          <t>TECH-014</t>
        </is>
      </c>
      <c r="D2359" s="53" t="inlineStr">
        <is>
          <t>Avionics</t>
        </is>
      </c>
      <c r="E2359" s="53" t="inlineStr">
        <is>
          <t>2024-07-30</t>
        </is>
      </c>
      <c r="F2359" s="53">
        <v>2.5</v>
      </c>
      <c r="G2359" s="53">
        <v>0</v>
      </c>
      <c r="H2359" s="51" t="str">
        <f>TEXT(tblLaborEntries[[#This Row],[Work date serial]]-WEEKDAY(tblLaborEntries[[#This Row],[Work date serial]],3),"yyyy-mm-dd")</f>
        <v>2024-07-29</v>
      </c>
      <c r="I2359" s="64">
        <f>DATEVALUE(tblLaborEntries[[#This Row],[Work date]])</f>
        <v>45503.0</v>
      </c>
    </row>
    <row r="2360" spans="1:9" ht="15" x14ac:dyDescent="0.25">
      <c r="A2360" s="53" t="inlineStr">
        <is>
          <t>LAB-002359</t>
        </is>
      </c>
      <c r="B2360" s="53" t="inlineStr">
        <is>
          <t>WP-01032</t>
        </is>
      </c>
      <c r="C2360" s="53" t="inlineStr">
        <is>
          <t>TECH-050</t>
        </is>
      </c>
      <c r="D2360" s="53" t="inlineStr">
        <is>
          <t>Avionics</t>
        </is>
      </c>
      <c r="E2360" s="53" t="inlineStr">
        <is>
          <t>2024-07-31</t>
        </is>
      </c>
      <c r="F2360" s="53">
        <v>2.2</v>
      </c>
      <c r="G2360" s="53">
        <v>0</v>
      </c>
      <c r="H2360" s="51" t="str">
        <f>TEXT(tblLaborEntries[[#This Row],[Work date serial]]-WEEKDAY(tblLaborEntries[[#This Row],[Work date serial]],3),"yyyy-mm-dd")</f>
        <v>2024-07-29</v>
      </c>
      <c r="I2360" s="64">
        <f>DATEVALUE(tblLaborEntries[[#This Row],[Work date]])</f>
        <v>45504.0</v>
      </c>
    </row>
    <row r="2361" spans="1:9" ht="15" x14ac:dyDescent="0.25">
      <c r="A2361" s="53" t="inlineStr">
        <is>
          <t>LAB-002360</t>
        </is>
      </c>
      <c r="B2361" s="53" t="inlineStr">
        <is>
          <t>WP-01033</t>
        </is>
      </c>
      <c r="C2361" s="53" t="inlineStr">
        <is>
          <t>TECH-006</t>
        </is>
      </c>
      <c r="D2361" s="53" t="inlineStr">
        <is>
          <t>Powerplant</t>
        </is>
      </c>
      <c r="E2361" s="53" t="inlineStr">
        <is>
          <t>2024-08-13</t>
        </is>
      </c>
      <c r="F2361" s="53">
        <v>6.3</v>
      </c>
      <c r="G2361" s="53">
        <v>0</v>
      </c>
      <c r="H2361" s="51" t="str">
        <f>TEXT(tblLaborEntries[[#This Row],[Work date serial]]-WEEKDAY(tblLaborEntries[[#This Row],[Work date serial]],3),"yyyy-mm-dd")</f>
        <v>2024-08-12</v>
      </c>
      <c r="I2361" s="64">
        <f>DATEVALUE(tblLaborEntries[[#This Row],[Work date]])</f>
        <v>45517.0</v>
      </c>
    </row>
    <row r="2362" spans="1:9" ht="15" x14ac:dyDescent="0.25">
      <c r="A2362" s="53" t="inlineStr">
        <is>
          <t>LAB-002361</t>
        </is>
      </c>
      <c r="B2362" s="53" t="inlineStr">
        <is>
          <t>WP-01033</t>
        </is>
      </c>
      <c r="C2362" s="53" t="inlineStr">
        <is>
          <t>TECH-012</t>
        </is>
      </c>
      <c r="D2362" s="53" t="inlineStr">
        <is>
          <t>Powerplant</t>
        </is>
      </c>
      <c r="E2362" s="53" t="inlineStr">
        <is>
          <t>2024-08-13</t>
        </is>
      </c>
      <c r="F2362" s="53">
        <v>5.9</v>
      </c>
      <c r="G2362" s="53">
        <v>0</v>
      </c>
      <c r="H2362" s="51" t="str">
        <f>TEXT(tblLaborEntries[[#This Row],[Work date serial]]-WEEKDAY(tblLaborEntries[[#This Row],[Work date serial]],3),"yyyy-mm-dd")</f>
        <v>2024-08-12</v>
      </c>
      <c r="I2362" s="64">
        <f>DATEVALUE(tblLaborEntries[[#This Row],[Work date]])</f>
        <v>45517.0</v>
      </c>
    </row>
    <row r="2363" spans="1:9" ht="15" x14ac:dyDescent="0.25">
      <c r="A2363" s="53" t="inlineStr">
        <is>
          <t>LAB-002362</t>
        </is>
      </c>
      <c r="B2363" s="53" t="inlineStr">
        <is>
          <t>WP-01034</t>
        </is>
      </c>
      <c r="C2363" s="53" t="inlineStr">
        <is>
          <t>TECH-058</t>
        </is>
      </c>
      <c r="D2363" s="53" t="inlineStr">
        <is>
          <t>Electrical</t>
        </is>
      </c>
      <c r="E2363" s="53" t="inlineStr">
        <is>
          <t>2024-04-08</t>
        </is>
      </c>
      <c r="F2363" s="53">
        <v>2.3</v>
      </c>
      <c r="G2363" s="53">
        <v>0</v>
      </c>
      <c r="H2363" s="51" t="str">
        <f>TEXT(tblLaborEntries[[#This Row],[Work date serial]]-WEEKDAY(tblLaborEntries[[#This Row],[Work date serial]],3),"yyyy-mm-dd")</f>
        <v>2024-04-08</v>
      </c>
      <c r="I2363" s="64">
        <f>DATEVALUE(tblLaborEntries[[#This Row],[Work date]])</f>
        <v>45390.0</v>
      </c>
    </row>
    <row r="2364" spans="1:9" ht="15" x14ac:dyDescent="0.25">
      <c r="A2364" s="53" t="inlineStr">
        <is>
          <t>LAB-002363</t>
        </is>
      </c>
      <c r="B2364" s="53" t="inlineStr">
        <is>
          <t>WP-01034</t>
        </is>
      </c>
      <c r="C2364" s="53" t="inlineStr">
        <is>
          <t>TECH-058</t>
        </is>
      </c>
      <c r="D2364" s="53" t="inlineStr">
        <is>
          <t>Electrical</t>
        </is>
      </c>
      <c r="E2364" s="53" t="inlineStr">
        <is>
          <t>2024-04-09</t>
        </is>
      </c>
      <c r="F2364" s="53">
        <v>2.7</v>
      </c>
      <c r="G2364" s="53">
        <v>0</v>
      </c>
      <c r="H2364" s="51" t="str">
        <f>TEXT(tblLaborEntries[[#This Row],[Work date serial]]-WEEKDAY(tblLaborEntries[[#This Row],[Work date serial]],3),"yyyy-mm-dd")</f>
        <v>2024-04-08</v>
      </c>
      <c r="I2364" s="64">
        <f>DATEVALUE(tblLaborEntries[[#This Row],[Work date]])</f>
        <v>45391.0</v>
      </c>
    </row>
    <row r="2365" spans="1:9" ht="15" x14ac:dyDescent="0.25">
      <c r="A2365" s="53" t="inlineStr">
        <is>
          <t>LAB-002364</t>
        </is>
      </c>
      <c r="B2365" s="53" t="inlineStr">
        <is>
          <t>WP-01034</t>
        </is>
      </c>
      <c r="C2365" s="53" t="inlineStr">
        <is>
          <t>TECH-040</t>
        </is>
      </c>
      <c r="D2365" s="53" t="inlineStr">
        <is>
          <t>Electrical</t>
        </is>
      </c>
      <c r="E2365" s="53" t="inlineStr">
        <is>
          <t>2024-04-10</t>
        </is>
      </c>
      <c r="F2365" s="53">
        <v>3.4</v>
      </c>
      <c r="G2365" s="53">
        <v>0</v>
      </c>
      <c r="H2365" s="51" t="str">
        <f>TEXT(tblLaborEntries[[#This Row],[Work date serial]]-WEEKDAY(tblLaborEntries[[#This Row],[Work date serial]],3),"yyyy-mm-dd")</f>
        <v>2024-04-08</v>
      </c>
      <c r="I2365" s="64">
        <f>DATEVALUE(tblLaborEntries[[#This Row],[Work date]])</f>
        <v>45392.0</v>
      </c>
    </row>
    <row r="2366" spans="1:9" ht="15" x14ac:dyDescent="0.25">
      <c r="A2366" s="53" t="inlineStr">
        <is>
          <t>LAB-002365</t>
        </is>
      </c>
      <c r="B2366" s="53" t="inlineStr">
        <is>
          <t>WP-01035</t>
        </is>
      </c>
      <c r="C2366" s="53" t="inlineStr">
        <is>
          <t>TECH-020</t>
        </is>
      </c>
      <c r="D2366" s="53" t="inlineStr">
        <is>
          <t>Avionics</t>
        </is>
      </c>
      <c r="E2366" s="53" t="inlineStr">
        <is>
          <t>2025-07-23</t>
        </is>
      </c>
      <c r="F2366" s="53">
        <v>4.6</v>
      </c>
      <c r="G2366" s="53">
        <v>0</v>
      </c>
      <c r="H2366" s="51" t="str">
        <f>TEXT(tblLaborEntries[[#This Row],[Work date serial]]-WEEKDAY(tblLaborEntries[[#This Row],[Work date serial]],3),"yyyy-mm-dd")</f>
        <v>2025-07-21</v>
      </c>
      <c r="I2366" s="64">
        <f>DATEVALUE(tblLaborEntries[[#This Row],[Work date]])</f>
        <v>45861.0</v>
      </c>
    </row>
    <row r="2367" spans="1:9" ht="15" x14ac:dyDescent="0.25">
      <c r="A2367" s="53" t="inlineStr">
        <is>
          <t>LAB-002366</t>
        </is>
      </c>
      <c r="B2367" s="53" t="inlineStr">
        <is>
          <t>WP-01035</t>
        </is>
      </c>
      <c r="C2367" s="53" t="inlineStr">
        <is>
          <t>TECH-056</t>
        </is>
      </c>
      <c r="D2367" s="53" t="inlineStr">
        <is>
          <t>Avionics</t>
        </is>
      </c>
      <c r="E2367" s="53" t="inlineStr">
        <is>
          <t>2025-07-24</t>
        </is>
      </c>
      <c r="F2367" s="53">
        <v>3.8</v>
      </c>
      <c r="G2367" s="53">
        <v>0</v>
      </c>
      <c r="H2367" s="51" t="str">
        <f>TEXT(tblLaborEntries[[#This Row],[Work date serial]]-WEEKDAY(tblLaborEntries[[#This Row],[Work date serial]],3),"yyyy-mm-dd")</f>
        <v>2025-07-21</v>
      </c>
      <c r="I2367" s="64">
        <f>DATEVALUE(tblLaborEntries[[#This Row],[Work date]])</f>
        <v>45862.0</v>
      </c>
    </row>
    <row r="2368" spans="1:9" ht="15" x14ac:dyDescent="0.25">
      <c r="A2368" s="53" t="inlineStr">
        <is>
          <t>LAB-002367</t>
        </is>
      </c>
      <c r="B2368" s="53" t="inlineStr">
        <is>
          <t>WP-01036</t>
        </is>
      </c>
      <c r="C2368" s="53" t="inlineStr">
        <is>
          <t>TECH-061</t>
        </is>
      </c>
      <c r="D2368" s="53" t="inlineStr">
        <is>
          <t>Airframe</t>
        </is>
      </c>
      <c r="E2368" s="53" t="inlineStr">
        <is>
          <t>2025-04-11</t>
        </is>
      </c>
      <c r="F2368" s="53">
        <v>8.6</v>
      </c>
      <c r="G2368" s="53">
        <v>0.6</v>
      </c>
      <c r="H2368" s="51" t="str">
        <f>TEXT(tblLaborEntries[[#This Row],[Work date serial]]-WEEKDAY(tblLaborEntries[[#This Row],[Work date serial]],3),"yyyy-mm-dd")</f>
        <v>2025-04-07</v>
      </c>
      <c r="I2368" s="64">
        <f>DATEVALUE(tblLaborEntries[[#This Row],[Work date]])</f>
        <v>45758.0</v>
      </c>
    </row>
    <row r="2369" spans="1:9" ht="15" x14ac:dyDescent="0.25">
      <c r="A2369" s="53" t="inlineStr">
        <is>
          <t>LAB-002368</t>
        </is>
      </c>
      <c r="B2369" s="53" t="inlineStr">
        <is>
          <t>WP-01037</t>
        </is>
      </c>
      <c r="C2369" s="53" t="inlineStr">
        <is>
          <t>TECH-074</t>
        </is>
      </c>
      <c r="D2369" s="53" t="inlineStr">
        <is>
          <t>Avionics</t>
        </is>
      </c>
      <c r="E2369" s="53" t="inlineStr">
        <is>
          <t>2025-03-27</t>
        </is>
      </c>
      <c r="F2369" s="53">
        <v>1.6</v>
      </c>
      <c r="G2369" s="53">
        <v>0</v>
      </c>
      <c r="H2369" s="51" t="str">
        <f>TEXT(tblLaborEntries[[#This Row],[Work date serial]]-WEEKDAY(tblLaborEntries[[#This Row],[Work date serial]],3),"yyyy-mm-dd")</f>
        <v>2025-03-24</v>
      </c>
      <c r="I2369" s="64">
        <f>DATEVALUE(tblLaborEntries[[#This Row],[Work date]])</f>
        <v>45743.0</v>
      </c>
    </row>
    <row r="2370" spans="1:9" ht="15" x14ac:dyDescent="0.25">
      <c r="A2370" s="53" t="inlineStr">
        <is>
          <t>LAB-002369</t>
        </is>
      </c>
      <c r="B2370" s="53" t="inlineStr">
        <is>
          <t>WP-01037</t>
        </is>
      </c>
      <c r="C2370" s="53" t="inlineStr">
        <is>
          <t>TECH-074</t>
        </is>
      </c>
      <c r="D2370" s="53" t="inlineStr">
        <is>
          <t>Avionics</t>
        </is>
      </c>
      <c r="E2370" s="53" t="inlineStr">
        <is>
          <t>2025-03-28</t>
        </is>
      </c>
      <c r="F2370" s="53">
        <v>2.6</v>
      </c>
      <c r="G2370" s="53">
        <v>0</v>
      </c>
      <c r="H2370" s="51" t="str">
        <f>TEXT(tblLaborEntries[[#This Row],[Work date serial]]-WEEKDAY(tblLaborEntries[[#This Row],[Work date serial]],3),"yyyy-mm-dd")</f>
        <v>2025-03-24</v>
      </c>
      <c r="I2370" s="64">
        <f>DATEVALUE(tblLaborEntries[[#This Row],[Work date]])</f>
        <v>45744.0</v>
      </c>
    </row>
    <row r="2371" spans="1:9" ht="15" x14ac:dyDescent="0.25">
      <c r="A2371" s="53" t="inlineStr">
        <is>
          <t>LAB-002370</t>
        </is>
      </c>
      <c r="B2371" s="53" t="inlineStr">
        <is>
          <t>WP-01037</t>
        </is>
      </c>
      <c r="C2371" s="53" t="inlineStr">
        <is>
          <t>TECH-032</t>
        </is>
      </c>
      <c r="D2371" s="53" t="inlineStr">
        <is>
          <t>Avionics</t>
        </is>
      </c>
      <c r="E2371" s="53" t="inlineStr">
        <is>
          <t>2025-03-29</t>
        </is>
      </c>
      <c r="F2371" s="53">
        <v>1.8</v>
      </c>
      <c r="G2371" s="53">
        <v>0</v>
      </c>
      <c r="H2371" s="51" t="str">
        <f>TEXT(tblLaborEntries[[#This Row],[Work date serial]]-WEEKDAY(tblLaborEntries[[#This Row],[Work date serial]],3),"yyyy-mm-dd")</f>
        <v>2025-03-24</v>
      </c>
      <c r="I2371" s="64">
        <f>DATEVALUE(tblLaborEntries[[#This Row],[Work date]])</f>
        <v>45745.0</v>
      </c>
    </row>
    <row r="2372" spans="1:9" ht="15" x14ac:dyDescent="0.25">
      <c r="A2372" s="53" t="inlineStr">
        <is>
          <t>LAB-002371</t>
        </is>
      </c>
      <c r="B2372" s="53" t="inlineStr">
        <is>
          <t>WP-01038</t>
        </is>
      </c>
      <c r="C2372" s="53" t="inlineStr">
        <is>
          <t>TECH-005</t>
        </is>
      </c>
      <c r="D2372" s="53" t="inlineStr">
        <is>
          <t>Structures</t>
        </is>
      </c>
      <c r="E2372" s="53" t="inlineStr">
        <is>
          <t>2025-06-06</t>
        </is>
      </c>
      <c r="F2372" s="53">
        <v>12</v>
      </c>
      <c r="G2372" s="53">
        <v>4</v>
      </c>
      <c r="H2372" s="51" t="str">
        <f>TEXT(tblLaborEntries[[#This Row],[Work date serial]]-WEEKDAY(tblLaborEntries[[#This Row],[Work date serial]],3),"yyyy-mm-dd")</f>
        <v>2025-06-02</v>
      </c>
      <c r="I2372" s="64">
        <f>DATEVALUE(tblLaborEntries[[#This Row],[Work date]])</f>
        <v>45814.0</v>
      </c>
    </row>
    <row r="2373" spans="1:9" ht="15" x14ac:dyDescent="0.25">
      <c r="A2373" s="53" t="inlineStr">
        <is>
          <t>LAB-002372</t>
        </is>
      </c>
      <c r="B2373" s="53" t="inlineStr">
        <is>
          <t>WP-01038</t>
        </is>
      </c>
      <c r="C2373" s="53" t="inlineStr">
        <is>
          <t>TECH-011</t>
        </is>
      </c>
      <c r="D2373" s="53" t="inlineStr">
        <is>
          <t>Structures</t>
        </is>
      </c>
      <c r="E2373" s="53" t="inlineStr">
        <is>
          <t>2025-06-06</t>
        </is>
      </c>
      <c r="F2373" s="53">
        <v>2.7</v>
      </c>
      <c r="G2373" s="53">
        <v>0</v>
      </c>
      <c r="H2373" s="51" t="str">
        <f>TEXT(tblLaborEntries[[#This Row],[Work date serial]]-WEEKDAY(tblLaborEntries[[#This Row],[Work date serial]],3),"yyyy-mm-dd")</f>
        <v>2025-06-02</v>
      </c>
      <c r="I2373" s="64">
        <f>DATEVALUE(tblLaborEntries[[#This Row],[Work date]])</f>
        <v>45814.0</v>
      </c>
    </row>
    <row r="2374" spans="1:9" ht="15" x14ac:dyDescent="0.25">
      <c r="A2374" s="53" t="inlineStr">
        <is>
          <t>LAB-002373</t>
        </is>
      </c>
      <c r="B2374" s="53" t="inlineStr">
        <is>
          <t>WP-01038</t>
        </is>
      </c>
      <c r="C2374" s="53" t="inlineStr">
        <is>
          <t>TECH-065</t>
        </is>
      </c>
      <c r="D2374" s="53" t="inlineStr">
        <is>
          <t>Structures</t>
        </is>
      </c>
      <c r="E2374" s="53" t="inlineStr">
        <is>
          <t>2025-06-06</t>
        </is>
      </c>
      <c r="F2374" s="53">
        <v>12</v>
      </c>
      <c r="G2374" s="53">
        <v>4</v>
      </c>
      <c r="H2374" s="51" t="str">
        <f>TEXT(tblLaborEntries[[#This Row],[Work date serial]]-WEEKDAY(tblLaborEntries[[#This Row],[Work date serial]],3),"yyyy-mm-dd")</f>
        <v>2025-06-02</v>
      </c>
      <c r="I2374" s="64">
        <f>DATEVALUE(tblLaborEntries[[#This Row],[Work date]])</f>
        <v>45814.0</v>
      </c>
    </row>
    <row r="2375" spans="1:9" ht="15" x14ac:dyDescent="0.25">
      <c r="A2375" s="53" t="inlineStr">
        <is>
          <t>LAB-002374</t>
        </is>
      </c>
      <c r="B2375" s="53" t="inlineStr">
        <is>
          <t>WP-01039</t>
        </is>
      </c>
      <c r="C2375" s="53" t="inlineStr">
        <is>
          <t>TECH-055</t>
        </is>
      </c>
      <c r="D2375" s="53" t="inlineStr">
        <is>
          <t>Airframe</t>
        </is>
      </c>
      <c r="E2375" s="53" t="inlineStr">
        <is>
          <t>2024-06-14</t>
        </is>
      </c>
      <c r="F2375" s="53">
        <v>3.8</v>
      </c>
      <c r="G2375" s="53">
        <v>0</v>
      </c>
      <c r="H2375" s="51" t="str">
        <f>TEXT(tblLaborEntries[[#This Row],[Work date serial]]-WEEKDAY(tblLaborEntries[[#This Row],[Work date serial]],3),"yyyy-mm-dd")</f>
        <v>2024-06-10</v>
      </c>
      <c r="I2375" s="64">
        <f>DATEVALUE(tblLaborEntries[[#This Row],[Work date]])</f>
        <v>45457.0</v>
      </c>
    </row>
    <row r="2376" spans="1:9" ht="15" x14ac:dyDescent="0.25">
      <c r="A2376" s="53" t="inlineStr">
        <is>
          <t>LAB-002375</t>
        </is>
      </c>
      <c r="B2376" s="53" t="inlineStr">
        <is>
          <t>WP-01040</t>
        </is>
      </c>
      <c r="C2376" s="53" t="inlineStr">
        <is>
          <t>TECH-008</t>
        </is>
      </c>
      <c r="D2376" s="53" t="inlineStr">
        <is>
          <t>Avionics</t>
        </is>
      </c>
      <c r="E2376" s="53" t="inlineStr">
        <is>
          <t>2025-09-29</t>
        </is>
      </c>
      <c r="F2376" s="53">
        <v>6.6</v>
      </c>
      <c r="G2376" s="53">
        <v>0.4</v>
      </c>
      <c r="H2376" s="51" t="str">
        <f>TEXT(tblLaborEntries[[#This Row],[Work date serial]]-WEEKDAY(tblLaborEntries[[#This Row],[Work date serial]],3),"yyyy-mm-dd")</f>
        <v>2025-09-29</v>
      </c>
      <c r="I2376" s="64">
        <f>DATEVALUE(tblLaborEntries[[#This Row],[Work date]])</f>
        <v>45929.0</v>
      </c>
    </row>
    <row r="2377" spans="1:9" ht="15" x14ac:dyDescent="0.25">
      <c r="A2377" s="53" t="inlineStr">
        <is>
          <t>LAB-002376</t>
        </is>
      </c>
      <c r="B2377" s="53" t="inlineStr">
        <is>
          <t>WP-01041</t>
        </is>
      </c>
      <c r="C2377" s="53" t="inlineStr">
        <is>
          <t>TECH-044</t>
        </is>
      </c>
      <c r="D2377" s="53" t="inlineStr">
        <is>
          <t>Avionics</t>
        </is>
      </c>
      <c r="E2377" s="53" t="inlineStr">
        <is>
          <t>2025-07-04</t>
        </is>
      </c>
      <c r="F2377" s="53">
        <v>9.2</v>
      </c>
      <c r="G2377" s="53">
        <v>1.2</v>
      </c>
      <c r="H2377" s="51" t="str">
        <f>TEXT(tblLaborEntries[[#This Row],[Work date serial]]-WEEKDAY(tblLaborEntries[[#This Row],[Work date serial]],3),"yyyy-mm-dd")</f>
        <v>2025-06-30</v>
      </c>
      <c r="I2377" s="64">
        <f>DATEVALUE(tblLaborEntries[[#This Row],[Work date]])</f>
        <v>45842.0</v>
      </c>
    </row>
    <row r="2378" spans="1:9" ht="15" x14ac:dyDescent="0.25">
      <c r="A2378" s="53" t="inlineStr">
        <is>
          <t>LAB-002377</t>
        </is>
      </c>
      <c r="B2378" s="53" t="inlineStr">
        <is>
          <t>WP-01041</t>
        </is>
      </c>
      <c r="C2378" s="53" t="inlineStr">
        <is>
          <t>TECH-032</t>
        </is>
      </c>
      <c r="D2378" s="53" t="inlineStr">
        <is>
          <t>Avionics</t>
        </is>
      </c>
      <c r="E2378" s="53" t="inlineStr">
        <is>
          <t>2025-07-05</t>
        </is>
      </c>
      <c r="F2378" s="53">
        <v>11.3</v>
      </c>
      <c r="G2378" s="53">
        <v>3.3</v>
      </c>
      <c r="H2378" s="51" t="str">
        <f>TEXT(tblLaborEntries[[#This Row],[Work date serial]]-WEEKDAY(tblLaborEntries[[#This Row],[Work date serial]],3),"yyyy-mm-dd")</f>
        <v>2025-06-30</v>
      </c>
      <c r="I2378" s="64">
        <f>DATEVALUE(tblLaborEntries[[#This Row],[Work date]])</f>
        <v>45843.0</v>
      </c>
    </row>
    <row r="2379" spans="1:9" ht="15" x14ac:dyDescent="0.25">
      <c r="A2379" s="53" t="inlineStr">
        <is>
          <t>LAB-002378</t>
        </is>
      </c>
      <c r="B2379" s="53" t="inlineStr">
        <is>
          <t>WP-01041</t>
        </is>
      </c>
      <c r="C2379" s="53" t="inlineStr">
        <is>
          <t>TECH-002</t>
        </is>
      </c>
      <c r="D2379" s="53" t="inlineStr">
        <is>
          <t>Avionics</t>
        </is>
      </c>
      <c r="E2379" s="53" t="inlineStr">
        <is>
          <t>2025-07-06</t>
        </is>
      </c>
      <c r="F2379" s="53">
        <v>9.6</v>
      </c>
      <c r="G2379" s="53">
        <v>1.6</v>
      </c>
      <c r="H2379" s="51" t="str">
        <f>TEXT(tblLaborEntries[[#This Row],[Work date serial]]-WEEKDAY(tblLaborEntries[[#This Row],[Work date serial]],3),"yyyy-mm-dd")</f>
        <v>2025-06-30</v>
      </c>
      <c r="I2379" s="64">
        <f>DATEVALUE(tblLaborEntries[[#This Row],[Work date]])</f>
        <v>45844.0</v>
      </c>
    </row>
    <row r="2380" spans="1:9" ht="15" x14ac:dyDescent="0.25">
      <c r="A2380" s="53" t="inlineStr">
        <is>
          <t>LAB-002379</t>
        </is>
      </c>
      <c r="B2380" s="53" t="inlineStr">
        <is>
          <t>WP-01042</t>
        </is>
      </c>
      <c r="C2380" s="53" t="inlineStr">
        <is>
          <t>TECH-041</t>
        </is>
      </c>
      <c r="D2380" s="53" t="inlineStr">
        <is>
          <t>Structures</t>
        </is>
      </c>
      <c r="E2380" s="53" t="inlineStr">
        <is>
          <t>2024-09-07</t>
        </is>
      </c>
      <c r="F2380" s="53">
        <v>5.8</v>
      </c>
      <c r="G2380" s="53">
        <v>0</v>
      </c>
      <c r="H2380" s="51" t="str">
        <f>TEXT(tblLaborEntries[[#This Row],[Work date serial]]-WEEKDAY(tblLaborEntries[[#This Row],[Work date serial]],3),"yyyy-mm-dd")</f>
        <v>2024-09-02</v>
      </c>
      <c r="I2380" s="64">
        <f>DATEVALUE(tblLaborEntries[[#This Row],[Work date]])</f>
        <v>45542.0</v>
      </c>
    </row>
    <row r="2381" spans="1:9" ht="15" x14ac:dyDescent="0.25">
      <c r="A2381" s="53" t="inlineStr">
        <is>
          <t>LAB-002380</t>
        </is>
      </c>
      <c r="B2381" s="53" t="inlineStr">
        <is>
          <t>WP-01042</t>
        </is>
      </c>
      <c r="C2381" s="53" t="inlineStr">
        <is>
          <t>TECH-053</t>
        </is>
      </c>
      <c r="D2381" s="53" t="inlineStr">
        <is>
          <t>Structures</t>
        </is>
      </c>
      <c r="E2381" s="53" t="inlineStr">
        <is>
          <t>2024-09-08</t>
        </is>
      </c>
      <c r="F2381" s="53">
        <v>7.4</v>
      </c>
      <c r="G2381" s="53">
        <v>0</v>
      </c>
      <c r="H2381" s="51" t="str">
        <f>TEXT(tblLaborEntries[[#This Row],[Work date serial]]-WEEKDAY(tblLaborEntries[[#This Row],[Work date serial]],3),"yyyy-mm-dd")</f>
        <v>2024-09-02</v>
      </c>
      <c r="I2381" s="64">
        <f>DATEVALUE(tblLaborEntries[[#This Row],[Work date]])</f>
        <v>45543.0</v>
      </c>
    </row>
    <row r="2382" spans="1:9" ht="15" x14ac:dyDescent="0.25">
      <c r="A2382" s="53" t="inlineStr">
        <is>
          <t>LAB-002381</t>
        </is>
      </c>
      <c r="B2382" s="53" t="inlineStr">
        <is>
          <t>WP-01043</t>
        </is>
      </c>
      <c r="C2382" s="53" t="inlineStr">
        <is>
          <t>TECH-049</t>
        </is>
      </c>
      <c r="D2382" s="53" t="inlineStr">
        <is>
          <t>Airframe</t>
        </is>
      </c>
      <c r="E2382" s="53" t="inlineStr">
        <is>
          <t>2024-09-03</t>
        </is>
      </c>
      <c r="F2382" s="53">
        <v>1</v>
      </c>
      <c r="G2382" s="53">
        <v>0</v>
      </c>
      <c r="H2382" s="51" t="str">
        <f>TEXT(tblLaborEntries[[#This Row],[Work date serial]]-WEEKDAY(tblLaborEntries[[#This Row],[Work date serial]],3),"yyyy-mm-dd")</f>
        <v>2024-09-02</v>
      </c>
      <c r="I2382" s="64">
        <f>DATEVALUE(tblLaborEntries[[#This Row],[Work date]])</f>
        <v>45538.0</v>
      </c>
    </row>
    <row r="2383" spans="1:9" ht="15" x14ac:dyDescent="0.25">
      <c r="A2383" s="53" t="inlineStr">
        <is>
          <t>LAB-002382</t>
        </is>
      </c>
      <c r="B2383" s="53" t="inlineStr">
        <is>
          <t>WP-01043</t>
        </is>
      </c>
      <c r="C2383" s="53" t="inlineStr">
        <is>
          <t>TECH-067</t>
        </is>
      </c>
      <c r="D2383" s="53" t="inlineStr">
        <is>
          <t>Airframe</t>
        </is>
      </c>
      <c r="E2383" s="53" t="inlineStr">
        <is>
          <t>2024-09-04</t>
        </is>
      </c>
      <c r="F2383" s="53">
        <v>0.8</v>
      </c>
      <c r="G2383" s="53">
        <v>0</v>
      </c>
      <c r="H2383" s="51" t="str">
        <f>TEXT(tblLaborEntries[[#This Row],[Work date serial]]-WEEKDAY(tblLaborEntries[[#This Row],[Work date serial]],3),"yyyy-mm-dd")</f>
        <v>2024-09-02</v>
      </c>
      <c r="I2383" s="64">
        <f>DATEVALUE(tblLaborEntries[[#This Row],[Work date]])</f>
        <v>45539.0</v>
      </c>
    </row>
    <row r="2384" spans="1:9" ht="15" x14ac:dyDescent="0.25">
      <c r="A2384" s="53" t="inlineStr">
        <is>
          <t>LAB-002383</t>
        </is>
      </c>
      <c r="B2384" s="53" t="inlineStr">
        <is>
          <t>WP-01043</t>
        </is>
      </c>
      <c r="C2384" s="53" t="inlineStr">
        <is>
          <t>TECH-073</t>
        </is>
      </c>
      <c r="D2384" s="53" t="inlineStr">
        <is>
          <t>Airframe</t>
        </is>
      </c>
      <c r="E2384" s="53" t="inlineStr">
        <is>
          <t>2024-09-05</t>
        </is>
      </c>
      <c r="F2384" s="53">
        <v>1.2</v>
      </c>
      <c r="G2384" s="53">
        <v>0</v>
      </c>
      <c r="H2384" s="51" t="str">
        <f>TEXT(tblLaborEntries[[#This Row],[Work date serial]]-WEEKDAY(tblLaborEntries[[#This Row],[Work date serial]],3),"yyyy-mm-dd")</f>
        <v>2024-09-02</v>
      </c>
      <c r="I2384" s="64">
        <f>DATEVALUE(tblLaborEntries[[#This Row],[Work date]])</f>
        <v>45540.0</v>
      </c>
    </row>
    <row r="2385" spans="1:9" ht="15" x14ac:dyDescent="0.25">
      <c r="A2385" s="53" t="inlineStr">
        <is>
          <t>LAB-002384</t>
        </is>
      </c>
      <c r="B2385" s="53" t="inlineStr">
        <is>
          <t>WP-01044</t>
        </is>
      </c>
      <c r="C2385" s="53" t="inlineStr">
        <is>
          <t>TECH-001</t>
        </is>
      </c>
      <c r="D2385" s="53" t="inlineStr">
        <is>
          <t>Airframe</t>
        </is>
      </c>
      <c r="E2385" s="53" t="inlineStr">
        <is>
          <t>2025-01-10</t>
        </is>
      </c>
      <c r="F2385" s="53">
        <v>3.2</v>
      </c>
      <c r="G2385" s="53">
        <v>0</v>
      </c>
      <c r="H2385" s="51" t="str">
        <f>TEXT(tblLaborEntries[[#This Row],[Work date serial]]-WEEKDAY(tblLaborEntries[[#This Row],[Work date serial]],3),"yyyy-mm-dd")</f>
        <v>2025-01-06</v>
      </c>
      <c r="I2385" s="64">
        <f>DATEVALUE(tblLaborEntries[[#This Row],[Work date]])</f>
        <v>45667.0</v>
      </c>
    </row>
    <row r="2386" spans="1:9" ht="15" x14ac:dyDescent="0.25">
      <c r="A2386" s="53" t="inlineStr">
        <is>
          <t>LAB-002385</t>
        </is>
      </c>
      <c r="B2386" s="53" t="inlineStr">
        <is>
          <t>WP-01044</t>
        </is>
      </c>
      <c r="C2386" s="53" t="inlineStr">
        <is>
          <t>TECH-055</t>
        </is>
      </c>
      <c r="D2386" s="53" t="inlineStr">
        <is>
          <t>Airframe</t>
        </is>
      </c>
      <c r="E2386" s="53" t="inlineStr">
        <is>
          <t>2025-01-11</t>
        </is>
      </c>
      <c r="F2386" s="53">
        <v>3.1</v>
      </c>
      <c r="G2386" s="53">
        <v>0</v>
      </c>
      <c r="H2386" s="51" t="str">
        <f>TEXT(tblLaborEntries[[#This Row],[Work date serial]]-WEEKDAY(tblLaborEntries[[#This Row],[Work date serial]],3),"yyyy-mm-dd")</f>
        <v>2025-01-06</v>
      </c>
      <c r="I2386" s="64">
        <f>DATEVALUE(tblLaborEntries[[#This Row],[Work date]])</f>
        <v>45668.0</v>
      </c>
    </row>
    <row r="2387" spans="1:9" ht="15" x14ac:dyDescent="0.25">
      <c r="A2387" s="53" t="inlineStr">
        <is>
          <t>LAB-002386</t>
        </is>
      </c>
      <c r="B2387" s="53" t="inlineStr">
        <is>
          <t>WP-01045</t>
        </is>
      </c>
      <c r="C2387" s="53" t="inlineStr">
        <is>
          <t>TECH-007</t>
        </is>
      </c>
      <c r="D2387" s="53" t="inlineStr">
        <is>
          <t>Airframe</t>
        </is>
      </c>
      <c r="E2387" s="53" t="inlineStr">
        <is>
          <t>2024-03-19</t>
        </is>
      </c>
      <c r="F2387" s="53">
        <v>3.2</v>
      </c>
      <c r="G2387" s="53">
        <v>0</v>
      </c>
      <c r="H2387" s="51" t="str">
        <f>TEXT(tblLaborEntries[[#This Row],[Work date serial]]-WEEKDAY(tblLaborEntries[[#This Row],[Work date serial]],3),"yyyy-mm-dd")</f>
        <v>2024-03-18</v>
      </c>
      <c r="I2387" s="64">
        <f>DATEVALUE(tblLaborEntries[[#This Row],[Work date]])</f>
        <v>45370.0</v>
      </c>
    </row>
    <row r="2388" spans="1:9" ht="15" x14ac:dyDescent="0.25">
      <c r="A2388" s="53" t="inlineStr">
        <is>
          <t>LAB-002387</t>
        </is>
      </c>
      <c r="B2388" s="53" t="inlineStr">
        <is>
          <t>WP-01045</t>
        </is>
      </c>
      <c r="C2388" s="53" t="inlineStr">
        <is>
          <t>TECH-031</t>
        </is>
      </c>
      <c r="D2388" s="53" t="inlineStr">
        <is>
          <t>Airframe</t>
        </is>
      </c>
      <c r="E2388" s="53" t="inlineStr">
        <is>
          <t>2024-03-19</t>
        </is>
      </c>
      <c r="F2388" s="53">
        <v>12</v>
      </c>
      <c r="G2388" s="53">
        <v>4</v>
      </c>
      <c r="H2388" s="51" t="str">
        <f>TEXT(tblLaborEntries[[#This Row],[Work date serial]]-WEEKDAY(tblLaborEntries[[#This Row],[Work date serial]],3),"yyyy-mm-dd")</f>
        <v>2024-03-18</v>
      </c>
      <c r="I2388" s="64">
        <f>DATEVALUE(tblLaborEntries[[#This Row],[Work date]])</f>
        <v>45370.0</v>
      </c>
    </row>
    <row r="2389" spans="1:9" ht="15" x14ac:dyDescent="0.25">
      <c r="A2389" s="53" t="inlineStr">
        <is>
          <t>LAB-002388</t>
        </is>
      </c>
      <c r="B2389" s="53" t="inlineStr">
        <is>
          <t>WP-01046</t>
        </is>
      </c>
      <c r="C2389" s="53" t="inlineStr">
        <is>
          <t>TECH-026</t>
        </is>
      </c>
      <c r="D2389" s="53" t="inlineStr">
        <is>
          <t>Avionics</t>
        </is>
      </c>
      <c r="E2389" s="53" t="inlineStr">
        <is>
          <t>2024-03-08</t>
        </is>
      </c>
      <c r="F2389" s="53">
        <v>3.5</v>
      </c>
      <c r="G2389" s="53">
        <v>0</v>
      </c>
      <c r="H2389" s="51" t="str">
        <f>TEXT(tblLaborEntries[[#This Row],[Work date serial]]-WEEKDAY(tblLaborEntries[[#This Row],[Work date serial]],3),"yyyy-mm-dd")</f>
        <v>2024-03-04</v>
      </c>
      <c r="I2389" s="64">
        <f>DATEVALUE(tblLaborEntries[[#This Row],[Work date]])</f>
        <v>45359.0</v>
      </c>
    </row>
    <row r="2390" spans="1:9" ht="15" x14ac:dyDescent="0.25">
      <c r="A2390" s="53" t="inlineStr">
        <is>
          <t>LAB-002389</t>
        </is>
      </c>
      <c r="B2390" s="53" t="inlineStr">
        <is>
          <t>WP-01046</t>
        </is>
      </c>
      <c r="C2390" s="53" t="inlineStr">
        <is>
          <t>TECH-044</t>
        </is>
      </c>
      <c r="D2390" s="53" t="inlineStr">
        <is>
          <t>Avionics</t>
        </is>
      </c>
      <c r="E2390" s="53" t="inlineStr">
        <is>
          <t>2024-03-08</t>
        </is>
      </c>
      <c r="F2390" s="53">
        <v>12</v>
      </c>
      <c r="G2390" s="53">
        <v>4</v>
      </c>
      <c r="H2390" s="51" t="str">
        <f>TEXT(tblLaborEntries[[#This Row],[Work date serial]]-WEEKDAY(tblLaborEntries[[#This Row],[Work date serial]],3),"yyyy-mm-dd")</f>
        <v>2024-03-04</v>
      </c>
      <c r="I2390" s="64">
        <f>DATEVALUE(tblLaborEntries[[#This Row],[Work date]])</f>
        <v>45359.0</v>
      </c>
    </row>
    <row r="2391" spans="1:9" ht="15" x14ac:dyDescent="0.25">
      <c r="A2391" s="53" t="inlineStr">
        <is>
          <t>LAB-002390</t>
        </is>
      </c>
      <c r="B2391" s="53" t="inlineStr">
        <is>
          <t>WP-01047</t>
        </is>
      </c>
      <c r="C2391" s="53" t="inlineStr">
        <is>
          <t>TECH-012</t>
        </is>
      </c>
      <c r="D2391" s="53" t="inlineStr">
        <is>
          <t>Powerplant</t>
        </is>
      </c>
      <c r="E2391" s="53" t="inlineStr">
        <is>
          <t>2025-09-28</t>
        </is>
      </c>
      <c r="F2391" s="53">
        <v>3.8</v>
      </c>
      <c r="G2391" s="53">
        <v>0</v>
      </c>
      <c r="H2391" s="51" t="str">
        <f>TEXT(tblLaborEntries[[#This Row],[Work date serial]]-WEEKDAY(tblLaborEntries[[#This Row],[Work date serial]],3),"yyyy-mm-dd")</f>
        <v>2025-09-22</v>
      </c>
      <c r="I2391" s="64">
        <f>DATEVALUE(tblLaborEntries[[#This Row],[Work date]])</f>
        <v>45928.0</v>
      </c>
    </row>
    <row r="2392" spans="1:9" ht="15" x14ac:dyDescent="0.25">
      <c r="A2392" s="53" t="inlineStr">
        <is>
          <t>LAB-002391</t>
        </is>
      </c>
      <c r="B2392" s="53" t="inlineStr">
        <is>
          <t>WP-01047</t>
        </is>
      </c>
      <c r="C2392" s="53" t="inlineStr">
        <is>
          <t>TECH-054</t>
        </is>
      </c>
      <c r="D2392" s="53" t="inlineStr">
        <is>
          <t>Powerplant</t>
        </is>
      </c>
      <c r="E2392" s="53" t="inlineStr">
        <is>
          <t>2025-09-29</t>
        </is>
      </c>
      <c r="F2392" s="53">
        <v>5.1</v>
      </c>
      <c r="G2392" s="53">
        <v>0</v>
      </c>
      <c r="H2392" s="51" t="str">
        <f>TEXT(tblLaborEntries[[#This Row],[Work date serial]]-WEEKDAY(tblLaborEntries[[#This Row],[Work date serial]],3),"yyyy-mm-dd")</f>
        <v>2025-09-29</v>
      </c>
      <c r="I2392" s="64">
        <f>DATEVALUE(tblLaborEntries[[#This Row],[Work date]])</f>
        <v>45929.0</v>
      </c>
    </row>
    <row r="2393" spans="1:9" ht="15" x14ac:dyDescent="0.25">
      <c r="A2393" s="53" t="inlineStr">
        <is>
          <t>LAB-002392</t>
        </is>
      </c>
      <c r="B2393" s="53" t="inlineStr">
        <is>
          <t>WP-01048</t>
        </is>
      </c>
      <c r="C2393" s="53" t="inlineStr">
        <is>
          <t>TECH-030</t>
        </is>
      </c>
      <c r="D2393" s="53" t="inlineStr">
        <is>
          <t>Powerplant</t>
        </is>
      </c>
      <c r="E2393" s="53" t="inlineStr">
        <is>
          <t>2024-07-24</t>
        </is>
      </c>
      <c r="F2393" s="53">
        <v>2</v>
      </c>
      <c r="G2393" s="53">
        <v>0</v>
      </c>
      <c r="H2393" s="51" t="str">
        <f>TEXT(tblLaborEntries[[#This Row],[Work date serial]]-WEEKDAY(tblLaborEntries[[#This Row],[Work date serial]],3),"yyyy-mm-dd")</f>
        <v>2024-07-22</v>
      </c>
      <c r="I2393" s="64">
        <f>DATEVALUE(tblLaborEntries[[#This Row],[Work date]])</f>
        <v>45497.0</v>
      </c>
    </row>
    <row r="2394" spans="1:9" ht="15" x14ac:dyDescent="0.25">
      <c r="A2394" s="53" t="inlineStr">
        <is>
          <t>LAB-002393</t>
        </is>
      </c>
      <c r="B2394" s="53" t="inlineStr">
        <is>
          <t>WP-01048</t>
        </is>
      </c>
      <c r="C2394" s="53" t="inlineStr">
        <is>
          <t>TECH-054</t>
        </is>
      </c>
      <c r="D2394" s="53" t="inlineStr">
        <is>
          <t>Powerplant</t>
        </is>
      </c>
      <c r="E2394" s="53" t="inlineStr">
        <is>
          <t>2024-07-25</t>
        </is>
      </c>
      <c r="F2394" s="53">
        <v>2.7</v>
      </c>
      <c r="G2394" s="53">
        <v>0</v>
      </c>
      <c r="H2394" s="51" t="str">
        <f>TEXT(tblLaborEntries[[#This Row],[Work date serial]]-WEEKDAY(tblLaborEntries[[#This Row],[Work date serial]],3),"yyyy-mm-dd")</f>
        <v>2024-07-22</v>
      </c>
      <c r="I2394" s="64">
        <f>DATEVALUE(tblLaborEntries[[#This Row],[Work date]])</f>
        <v>45498.0</v>
      </c>
    </row>
    <row r="2395" spans="1:9" ht="15" x14ac:dyDescent="0.25">
      <c r="A2395" s="53" t="inlineStr">
        <is>
          <t>LAB-002394</t>
        </is>
      </c>
      <c r="B2395" s="53" t="inlineStr">
        <is>
          <t>WP-01048</t>
        </is>
      </c>
      <c r="C2395" s="53" t="inlineStr">
        <is>
          <t>TECH-018</t>
        </is>
      </c>
      <c r="D2395" s="53" t="inlineStr">
        <is>
          <t>Powerplant</t>
        </is>
      </c>
      <c r="E2395" s="53" t="inlineStr">
        <is>
          <t>2024-07-26</t>
        </is>
      </c>
      <c r="F2395" s="53">
        <v>2.6</v>
      </c>
      <c r="G2395" s="53">
        <v>0</v>
      </c>
      <c r="H2395" s="51" t="str">
        <f>TEXT(tblLaborEntries[[#This Row],[Work date serial]]-WEEKDAY(tblLaborEntries[[#This Row],[Work date serial]],3),"yyyy-mm-dd")</f>
        <v>2024-07-22</v>
      </c>
      <c r="I2395" s="64">
        <f>DATEVALUE(tblLaborEntries[[#This Row],[Work date]])</f>
        <v>45499.0</v>
      </c>
    </row>
    <row r="2396" spans="1:9" ht="15" x14ac:dyDescent="0.25">
      <c r="A2396" s="53" t="inlineStr">
        <is>
          <t>LAB-002395</t>
        </is>
      </c>
      <c r="B2396" s="53" t="inlineStr">
        <is>
          <t>WP-01049</t>
        </is>
      </c>
      <c r="C2396" s="53" t="inlineStr">
        <is>
          <t>TECH-061</t>
        </is>
      </c>
      <c r="D2396" s="53" t="inlineStr">
        <is>
          <t>Airframe</t>
        </is>
      </c>
      <c r="E2396" s="53" t="inlineStr">
        <is>
          <t>2024-08-07</t>
        </is>
      </c>
      <c r="F2396" s="53">
        <v>2.5</v>
      </c>
      <c r="G2396" s="53">
        <v>0</v>
      </c>
      <c r="H2396" s="51" t="str">
        <f>TEXT(tblLaborEntries[[#This Row],[Work date serial]]-WEEKDAY(tblLaborEntries[[#This Row],[Work date serial]],3),"yyyy-mm-dd")</f>
        <v>2024-08-05</v>
      </c>
      <c r="I2396" s="64">
        <f>DATEVALUE(tblLaborEntries[[#This Row],[Work date]])</f>
        <v>45511.0</v>
      </c>
    </row>
    <row r="2397" spans="1:9" ht="15" x14ac:dyDescent="0.25">
      <c r="A2397" s="53" t="inlineStr">
        <is>
          <t>LAB-002396</t>
        </is>
      </c>
      <c r="B2397" s="53" t="inlineStr">
        <is>
          <t>WP-01049</t>
        </is>
      </c>
      <c r="C2397" s="53" t="inlineStr">
        <is>
          <t>TECH-055</t>
        </is>
      </c>
      <c r="D2397" s="53" t="inlineStr">
        <is>
          <t>Airframe</t>
        </is>
      </c>
      <c r="E2397" s="53" t="inlineStr">
        <is>
          <t>2024-08-08</t>
        </is>
      </c>
      <c r="F2397" s="53">
        <v>2.2</v>
      </c>
      <c r="G2397" s="53">
        <v>0</v>
      </c>
      <c r="H2397" s="51" t="str">
        <f>TEXT(tblLaborEntries[[#This Row],[Work date serial]]-WEEKDAY(tblLaborEntries[[#This Row],[Work date serial]],3),"yyyy-mm-dd")</f>
        <v>2024-08-05</v>
      </c>
      <c r="I2397" s="64">
        <f>DATEVALUE(tblLaborEntries[[#This Row],[Work date]])</f>
        <v>45512.0</v>
      </c>
    </row>
    <row r="2398" spans="1:9" ht="15" x14ac:dyDescent="0.25">
      <c r="A2398" s="53" t="inlineStr">
        <is>
          <t>LAB-002397</t>
        </is>
      </c>
      <c r="B2398" s="53" t="inlineStr">
        <is>
          <t>WP-01049</t>
        </is>
      </c>
      <c r="C2398" s="53" t="inlineStr">
        <is>
          <t>TECH-061</t>
        </is>
      </c>
      <c r="D2398" s="53" t="inlineStr">
        <is>
          <t>Airframe</t>
        </is>
      </c>
      <c r="E2398" s="53" t="inlineStr">
        <is>
          <t>2024-08-09</t>
        </is>
      </c>
      <c r="F2398" s="53">
        <v>1.8</v>
      </c>
      <c r="G2398" s="53">
        <v>0</v>
      </c>
      <c r="H2398" s="51" t="str">
        <f>TEXT(tblLaborEntries[[#This Row],[Work date serial]]-WEEKDAY(tblLaborEntries[[#This Row],[Work date serial]],3),"yyyy-mm-dd")</f>
        <v>2024-08-05</v>
      </c>
      <c r="I2398" s="64">
        <f>DATEVALUE(tblLaborEntries[[#This Row],[Work date]])</f>
        <v>45513.0</v>
      </c>
    </row>
    <row r="2399" spans="1:9" ht="15" x14ac:dyDescent="0.25">
      <c r="A2399" s="53" t="inlineStr">
        <is>
          <t>LAB-002398</t>
        </is>
      </c>
      <c r="B2399" s="53" t="inlineStr">
        <is>
          <t>WP-01050</t>
        </is>
      </c>
      <c r="C2399" s="53" t="inlineStr">
        <is>
          <t>TECH-044</t>
        </is>
      </c>
      <c r="D2399" s="53" t="inlineStr">
        <is>
          <t>Avionics</t>
        </is>
      </c>
      <c r="E2399" s="53" t="inlineStr">
        <is>
          <t>2024-11-14</t>
        </is>
      </c>
      <c r="F2399" s="53">
        <v>4.2</v>
      </c>
      <c r="G2399" s="53">
        <v>0</v>
      </c>
      <c r="H2399" s="51" t="str">
        <f>TEXT(tblLaborEntries[[#This Row],[Work date serial]]-WEEKDAY(tblLaborEntries[[#This Row],[Work date serial]],3),"yyyy-mm-dd")</f>
        <v>2024-11-11</v>
      </c>
      <c r="I2399" s="64">
        <f>DATEVALUE(tblLaborEntries[[#This Row],[Work date]])</f>
        <v>45610.0</v>
      </c>
    </row>
    <row r="2400" spans="1:9" ht="15" x14ac:dyDescent="0.25">
      <c r="A2400" s="53" t="inlineStr">
        <is>
          <t>LAB-002399</t>
        </is>
      </c>
      <c r="B2400" s="53" t="inlineStr">
        <is>
          <t>WP-01051</t>
        </is>
      </c>
      <c r="C2400" s="53" t="inlineStr">
        <is>
          <t>TECH-002</t>
        </is>
      </c>
      <c r="D2400" s="53" t="inlineStr">
        <is>
          <t>Avionics</t>
        </is>
      </c>
      <c r="E2400" s="53" t="inlineStr">
        <is>
          <t>2024-07-19</t>
        </is>
      </c>
      <c r="F2400" s="53">
        <v>10.3</v>
      </c>
      <c r="G2400" s="53">
        <v>2.3</v>
      </c>
      <c r="H2400" s="51" t="str">
        <f>TEXT(tblLaborEntries[[#This Row],[Work date serial]]-WEEKDAY(tblLaborEntries[[#This Row],[Work date serial]],3),"yyyy-mm-dd")</f>
        <v>2024-07-15</v>
      </c>
      <c r="I2400" s="64">
        <f>DATEVALUE(tblLaborEntries[[#This Row],[Work date]])</f>
        <v>45492.0</v>
      </c>
    </row>
    <row r="2401" spans="1:9" ht="15" x14ac:dyDescent="0.25">
      <c r="A2401" s="53" t="inlineStr">
        <is>
          <t>LAB-002400</t>
        </is>
      </c>
      <c r="B2401" s="53" t="inlineStr">
        <is>
          <t>WP-01052</t>
        </is>
      </c>
      <c r="C2401" s="53" t="inlineStr">
        <is>
          <t>TECH-061</t>
        </is>
      </c>
      <c r="D2401" s="53" t="inlineStr">
        <is>
          <t>Airframe</t>
        </is>
      </c>
      <c r="E2401" s="53" t="inlineStr">
        <is>
          <t>2024-08-08</t>
        </is>
      </c>
      <c r="F2401" s="53">
        <v>5.6</v>
      </c>
      <c r="G2401" s="53">
        <v>0</v>
      </c>
      <c r="H2401" s="51" t="str">
        <f>TEXT(tblLaborEntries[[#This Row],[Work date serial]]-WEEKDAY(tblLaborEntries[[#This Row],[Work date serial]],3),"yyyy-mm-dd")</f>
        <v>2024-08-05</v>
      </c>
      <c r="I2401" s="64">
        <f>DATEVALUE(tblLaborEntries[[#This Row],[Work date]])</f>
        <v>45512.0</v>
      </c>
    </row>
    <row r="2402" spans="1:9" ht="15" x14ac:dyDescent="0.25">
      <c r="A2402" s="53" t="inlineStr">
        <is>
          <t>LAB-002401</t>
        </is>
      </c>
      <c r="B2402" s="53" t="inlineStr">
        <is>
          <t>WP-01053</t>
        </is>
      </c>
      <c r="C2402" s="53" t="inlineStr">
        <is>
          <t>TECH-025</t>
        </is>
      </c>
      <c r="D2402" s="53" t="inlineStr">
        <is>
          <t>Airframe</t>
        </is>
      </c>
      <c r="E2402" s="53" t="inlineStr">
        <is>
          <t>2024-02-11</t>
        </is>
      </c>
      <c r="F2402" s="53">
        <v>4.4</v>
      </c>
      <c r="G2402" s="53">
        <v>0</v>
      </c>
      <c r="H2402" s="51" t="str">
        <f>TEXT(tblLaborEntries[[#This Row],[Work date serial]]-WEEKDAY(tblLaborEntries[[#This Row],[Work date serial]],3),"yyyy-mm-dd")</f>
        <v>2024-02-05</v>
      </c>
      <c r="I2402" s="64">
        <f>DATEVALUE(tblLaborEntries[[#This Row],[Work date]])</f>
        <v>45333.0</v>
      </c>
    </row>
    <row r="2403" spans="1:9" ht="15" x14ac:dyDescent="0.25">
      <c r="A2403" s="53" t="inlineStr">
        <is>
          <t>LAB-002402</t>
        </is>
      </c>
      <c r="B2403" s="53" t="inlineStr">
        <is>
          <t>WP-01053</t>
        </is>
      </c>
      <c r="C2403" s="53" t="inlineStr">
        <is>
          <t>TECH-049</t>
        </is>
      </c>
      <c r="D2403" s="53" t="inlineStr">
        <is>
          <t>Airframe</t>
        </is>
      </c>
      <c r="E2403" s="53" t="inlineStr">
        <is>
          <t>2024-02-12</t>
        </is>
      </c>
      <c r="F2403" s="53">
        <v>5.4</v>
      </c>
      <c r="G2403" s="53">
        <v>0</v>
      </c>
      <c r="H2403" s="51" t="str">
        <f>TEXT(tblLaborEntries[[#This Row],[Work date serial]]-WEEKDAY(tblLaborEntries[[#This Row],[Work date serial]],3),"yyyy-mm-dd")</f>
        <v>2024-02-12</v>
      </c>
      <c r="I2403" s="64">
        <f>DATEVALUE(tblLaborEntries[[#This Row],[Work date]])</f>
        <v>45334.0</v>
      </c>
    </row>
    <row r="2404" spans="1:9" ht="15" x14ac:dyDescent="0.25">
      <c r="A2404" s="53" t="inlineStr">
        <is>
          <t>LAB-002403</t>
        </is>
      </c>
      <c r="B2404" s="53" t="inlineStr">
        <is>
          <t>WP-01053</t>
        </is>
      </c>
      <c r="C2404" s="53" t="inlineStr">
        <is>
          <t>TECH-031</t>
        </is>
      </c>
      <c r="D2404" s="53" t="inlineStr">
        <is>
          <t>Airframe</t>
        </is>
      </c>
      <c r="E2404" s="53" t="inlineStr">
        <is>
          <t>2024-02-13</t>
        </is>
      </c>
      <c r="F2404" s="53">
        <v>5.1</v>
      </c>
      <c r="G2404" s="53">
        <v>0</v>
      </c>
      <c r="H2404" s="51" t="str">
        <f>TEXT(tblLaborEntries[[#This Row],[Work date serial]]-WEEKDAY(tblLaborEntries[[#This Row],[Work date serial]],3),"yyyy-mm-dd")</f>
        <v>2024-02-12</v>
      </c>
      <c r="I2404" s="64">
        <f>DATEVALUE(tblLaborEntries[[#This Row],[Work date]])</f>
        <v>45335.0</v>
      </c>
    </row>
    <row r="2405" spans="1:9" ht="15" x14ac:dyDescent="0.25">
      <c r="A2405" s="53" t="inlineStr">
        <is>
          <t>LAB-002404</t>
        </is>
      </c>
      <c r="B2405" s="53" t="inlineStr">
        <is>
          <t>WP-01054</t>
        </is>
      </c>
      <c r="C2405" s="53" t="inlineStr">
        <is>
          <t>TECH-037</t>
        </is>
      </c>
      <c r="D2405" s="53" t="inlineStr">
        <is>
          <t>Airframe</t>
        </is>
      </c>
      <c r="E2405" s="53" t="inlineStr">
        <is>
          <t>2024-04-03</t>
        </is>
      </c>
      <c r="F2405" s="53">
        <v>1.7</v>
      </c>
      <c r="G2405" s="53">
        <v>0</v>
      </c>
      <c r="H2405" s="51" t="str">
        <f>TEXT(tblLaborEntries[[#This Row],[Work date serial]]-WEEKDAY(tblLaborEntries[[#This Row],[Work date serial]],3),"yyyy-mm-dd")</f>
        <v>2024-04-01</v>
      </c>
      <c r="I2405" s="64">
        <f>DATEVALUE(tblLaborEntries[[#This Row],[Work date]])</f>
        <v>45385.0</v>
      </c>
    </row>
    <row r="2406" spans="1:9" ht="15" x14ac:dyDescent="0.25">
      <c r="A2406" s="53" t="inlineStr">
        <is>
          <t>LAB-002405</t>
        </is>
      </c>
      <c r="B2406" s="53" t="inlineStr">
        <is>
          <t>WP-01055</t>
        </is>
      </c>
      <c r="C2406" s="53" t="inlineStr">
        <is>
          <t>TECH-027</t>
        </is>
      </c>
      <c r="D2406" s="53" t="inlineStr">
        <is>
          <t>Hydraulics</t>
        </is>
      </c>
      <c r="E2406" s="53" t="inlineStr">
        <is>
          <t>2024-01-20</t>
        </is>
      </c>
      <c r="F2406" s="53">
        <v>5</v>
      </c>
      <c r="G2406" s="53">
        <v>0</v>
      </c>
      <c r="H2406" s="51" t="str">
        <f>TEXT(tblLaborEntries[[#This Row],[Work date serial]]-WEEKDAY(tblLaborEntries[[#This Row],[Work date serial]],3),"yyyy-mm-dd")</f>
        <v>2024-01-15</v>
      </c>
      <c r="I2406" s="64">
        <f>DATEVALUE(tblLaborEntries[[#This Row],[Work date]])</f>
        <v>45311.0</v>
      </c>
    </row>
    <row r="2407" spans="1:9" ht="15" x14ac:dyDescent="0.25">
      <c r="A2407" s="53" t="inlineStr">
        <is>
          <t>LAB-002406</t>
        </is>
      </c>
      <c r="B2407" s="53" t="inlineStr">
        <is>
          <t>WP-01055</t>
        </is>
      </c>
      <c r="C2407" s="53" t="inlineStr">
        <is>
          <t>TECH-051</t>
        </is>
      </c>
      <c r="D2407" s="53" t="inlineStr">
        <is>
          <t>Hydraulics</t>
        </is>
      </c>
      <c r="E2407" s="53" t="inlineStr">
        <is>
          <t>2024-01-21</t>
        </is>
      </c>
      <c r="F2407" s="53">
        <v>4.5</v>
      </c>
      <c r="G2407" s="53">
        <v>0</v>
      </c>
      <c r="H2407" s="51" t="str">
        <f>TEXT(tblLaborEntries[[#This Row],[Work date serial]]-WEEKDAY(tblLaborEntries[[#This Row],[Work date serial]],3),"yyyy-mm-dd")</f>
        <v>2024-01-15</v>
      </c>
      <c r="I2407" s="64">
        <f>DATEVALUE(tblLaborEntries[[#This Row],[Work date]])</f>
        <v>45312.0</v>
      </c>
    </row>
    <row r="2408" spans="1:9" ht="15" x14ac:dyDescent="0.25">
      <c r="A2408" s="53" t="inlineStr">
        <is>
          <t>LAB-002407</t>
        </is>
      </c>
      <c r="B2408" s="53" t="inlineStr">
        <is>
          <t>WP-01056</t>
        </is>
      </c>
      <c r="C2408" s="53" t="inlineStr">
        <is>
          <t>TECH-040</t>
        </is>
      </c>
      <c r="D2408" s="53" t="inlineStr">
        <is>
          <t>Electrical</t>
        </is>
      </c>
      <c r="E2408" s="53" t="inlineStr">
        <is>
          <t>2024-08-07</t>
        </is>
      </c>
      <c r="F2408" s="53">
        <v>0.8</v>
      </c>
      <c r="G2408" s="53">
        <v>0</v>
      </c>
      <c r="H2408" s="51" t="str">
        <f>TEXT(tblLaborEntries[[#This Row],[Work date serial]]-WEEKDAY(tblLaborEntries[[#This Row],[Work date serial]],3),"yyyy-mm-dd")</f>
        <v>2024-08-05</v>
      </c>
      <c r="I2408" s="64">
        <f>DATEVALUE(tblLaborEntries[[#This Row],[Work date]])</f>
        <v>45511.0</v>
      </c>
    </row>
    <row r="2409" spans="1:9" ht="15" x14ac:dyDescent="0.25">
      <c r="A2409" s="53" t="inlineStr">
        <is>
          <t>LAB-002408</t>
        </is>
      </c>
      <c r="B2409" s="53" t="inlineStr">
        <is>
          <t>WP-01056</t>
        </is>
      </c>
      <c r="C2409" s="53" t="inlineStr">
        <is>
          <t>TECH-004</t>
        </is>
      </c>
      <c r="D2409" s="53" t="inlineStr">
        <is>
          <t>Electrical</t>
        </is>
      </c>
      <c r="E2409" s="53" t="inlineStr">
        <is>
          <t>2024-08-08</t>
        </is>
      </c>
      <c r="F2409" s="53">
        <v>12</v>
      </c>
      <c r="G2409" s="53">
        <v>4</v>
      </c>
      <c r="H2409" s="51" t="str">
        <f>TEXT(tblLaborEntries[[#This Row],[Work date serial]]-WEEKDAY(tblLaborEntries[[#This Row],[Work date serial]],3),"yyyy-mm-dd")</f>
        <v>2024-08-05</v>
      </c>
      <c r="I2409" s="64">
        <f>DATEVALUE(tblLaborEntries[[#This Row],[Work date]])</f>
        <v>45512.0</v>
      </c>
    </row>
    <row r="2410" spans="1:9" ht="15" x14ac:dyDescent="0.25">
      <c r="A2410" s="53" t="inlineStr">
        <is>
          <t>LAB-002409</t>
        </is>
      </c>
      <c r="B2410" s="53" t="inlineStr">
        <is>
          <t>WP-01056</t>
        </is>
      </c>
      <c r="C2410" s="53" t="inlineStr">
        <is>
          <t>TECH-010</t>
        </is>
      </c>
      <c r="D2410" s="53" t="inlineStr">
        <is>
          <t>Electrical</t>
        </is>
      </c>
      <c r="E2410" s="53" t="inlineStr">
        <is>
          <t>2024-08-08</t>
        </is>
      </c>
      <c r="F2410" s="53">
        <v>12</v>
      </c>
      <c r="G2410" s="53">
        <v>4</v>
      </c>
      <c r="H2410" s="51" t="str">
        <f>TEXT(tblLaborEntries[[#This Row],[Work date serial]]-WEEKDAY(tblLaborEntries[[#This Row],[Work date serial]],3),"yyyy-mm-dd")</f>
        <v>2024-08-05</v>
      </c>
      <c r="I2410" s="64">
        <f>DATEVALUE(tblLaborEntries[[#This Row],[Work date]])</f>
        <v>45512.0</v>
      </c>
    </row>
    <row r="2411" spans="1:9" ht="15" x14ac:dyDescent="0.25">
      <c r="A2411" s="53" t="inlineStr">
        <is>
          <t>LAB-002410</t>
        </is>
      </c>
      <c r="B2411" s="53" t="inlineStr">
        <is>
          <t>WP-01056</t>
        </is>
      </c>
      <c r="C2411" s="53" t="inlineStr">
        <is>
          <t>TECH-040</t>
        </is>
      </c>
      <c r="D2411" s="53" t="inlineStr">
        <is>
          <t>Electrical</t>
        </is>
      </c>
      <c r="E2411" s="53" t="inlineStr">
        <is>
          <t>2024-08-08</t>
        </is>
      </c>
      <c r="F2411" s="53">
        <v>12</v>
      </c>
      <c r="G2411" s="53">
        <v>4</v>
      </c>
      <c r="H2411" s="51" t="str">
        <f>TEXT(tblLaborEntries[[#This Row],[Work date serial]]-WEEKDAY(tblLaborEntries[[#This Row],[Work date serial]],3),"yyyy-mm-dd")</f>
        <v>2024-08-05</v>
      </c>
      <c r="I2411" s="64">
        <f>DATEVALUE(tblLaborEntries[[#This Row],[Work date]])</f>
        <v>45512.0</v>
      </c>
    </row>
    <row r="2412" spans="1:9" ht="15" x14ac:dyDescent="0.25">
      <c r="A2412" s="53" t="inlineStr">
        <is>
          <t>LAB-002411</t>
        </is>
      </c>
      <c r="B2412" s="53" t="inlineStr">
        <is>
          <t>WP-01057</t>
        </is>
      </c>
      <c r="C2412" s="53" t="inlineStr">
        <is>
          <t>TECH-009</t>
        </is>
      </c>
      <c r="D2412" s="53" t="inlineStr">
        <is>
          <t>Hydraulics</t>
        </is>
      </c>
      <c r="E2412" s="53" t="inlineStr">
        <is>
          <t>2025-08-28</t>
        </is>
      </c>
      <c r="F2412" s="53">
        <v>8</v>
      </c>
      <c r="G2412" s="53">
        <v>0</v>
      </c>
      <c r="H2412" s="51" t="str">
        <f>TEXT(tblLaborEntries[[#This Row],[Work date serial]]-WEEKDAY(tblLaborEntries[[#This Row],[Work date serial]],3),"yyyy-mm-dd")</f>
        <v>2025-08-25</v>
      </c>
      <c r="I2412" s="64">
        <f>DATEVALUE(tblLaborEntries[[#This Row],[Work date]])</f>
        <v>45897.0</v>
      </c>
    </row>
    <row r="2413" spans="1:9" ht="15" x14ac:dyDescent="0.25">
      <c r="A2413" s="53" t="inlineStr">
        <is>
          <t>LAB-002412</t>
        </is>
      </c>
      <c r="B2413" s="53" t="inlineStr">
        <is>
          <t>WP-01057</t>
        </is>
      </c>
      <c r="C2413" s="53" t="inlineStr">
        <is>
          <t>TECH-051</t>
        </is>
      </c>
      <c r="D2413" s="53" t="inlineStr">
        <is>
          <t>Hydraulics</t>
        </is>
      </c>
      <c r="E2413" s="53" t="inlineStr">
        <is>
          <t>2025-08-29</t>
        </is>
      </c>
      <c r="F2413" s="53">
        <v>6.9</v>
      </c>
      <c r="G2413" s="53">
        <v>0</v>
      </c>
      <c r="H2413" s="51" t="str">
        <f>TEXT(tblLaborEntries[[#This Row],[Work date serial]]-WEEKDAY(tblLaborEntries[[#This Row],[Work date serial]],3),"yyyy-mm-dd")</f>
        <v>2025-08-25</v>
      </c>
      <c r="I2413" s="64">
        <f>DATEVALUE(tblLaborEntries[[#This Row],[Work date]])</f>
        <v>45898.0</v>
      </c>
    </row>
    <row r="2414" spans="1:9" ht="15" x14ac:dyDescent="0.25">
      <c r="A2414" s="53" t="inlineStr">
        <is>
          <t>LAB-002413</t>
        </is>
      </c>
      <c r="B2414" s="53" t="inlineStr">
        <is>
          <t>WP-01057</t>
        </is>
      </c>
      <c r="C2414" s="53" t="inlineStr">
        <is>
          <t>TECH-009</t>
        </is>
      </c>
      <c r="D2414" s="53" t="inlineStr">
        <is>
          <t>Hydraulics</t>
        </is>
      </c>
      <c r="E2414" s="53" t="inlineStr">
        <is>
          <t>2025-08-30</t>
        </is>
      </c>
      <c r="F2414" s="53">
        <v>6.6</v>
      </c>
      <c r="G2414" s="53">
        <v>0</v>
      </c>
      <c r="H2414" s="51" t="str">
        <f>TEXT(tblLaborEntries[[#This Row],[Work date serial]]-WEEKDAY(tblLaborEntries[[#This Row],[Work date serial]],3),"yyyy-mm-dd")</f>
        <v>2025-08-25</v>
      </c>
      <c r="I2414" s="64">
        <f>DATEVALUE(tblLaborEntries[[#This Row],[Work date]])</f>
        <v>45899.0</v>
      </c>
    </row>
    <row r="2415" spans="1:9" ht="15" x14ac:dyDescent="0.25">
      <c r="A2415" s="53" t="inlineStr">
        <is>
          <t>LAB-002414</t>
        </is>
      </c>
      <c r="B2415" s="53" t="inlineStr">
        <is>
          <t>WP-01058</t>
        </is>
      </c>
      <c r="C2415" s="53" t="inlineStr">
        <is>
          <t>TECH-014</t>
        </is>
      </c>
      <c r="D2415" s="53" t="inlineStr">
        <is>
          <t>Avionics</t>
        </is>
      </c>
      <c r="E2415" s="53" t="inlineStr">
        <is>
          <t>2025-08-13</t>
        </is>
      </c>
      <c r="F2415" s="53">
        <v>8.8</v>
      </c>
      <c r="G2415" s="53">
        <v>0.8</v>
      </c>
      <c r="H2415" s="51" t="str">
        <f>TEXT(tblLaborEntries[[#This Row],[Work date serial]]-WEEKDAY(tblLaborEntries[[#This Row],[Work date serial]],3),"yyyy-mm-dd")</f>
        <v>2025-08-11</v>
      </c>
      <c r="I2415" s="64">
        <f>DATEVALUE(tblLaborEntries[[#This Row],[Work date]])</f>
        <v>45882.0</v>
      </c>
    </row>
    <row r="2416" spans="1:9" ht="15" x14ac:dyDescent="0.25">
      <c r="A2416" s="53" t="inlineStr">
        <is>
          <t>LAB-002415</t>
        </is>
      </c>
      <c r="B2416" s="53" t="inlineStr">
        <is>
          <t>WP-01059</t>
        </is>
      </c>
      <c r="C2416" s="53" t="inlineStr">
        <is>
          <t>TECH-009</t>
        </is>
      </c>
      <c r="D2416" s="53" t="inlineStr">
        <is>
          <t>Hydraulics</t>
        </is>
      </c>
      <c r="E2416" s="53" t="inlineStr">
        <is>
          <t>2025-06-16</t>
        </is>
      </c>
      <c r="F2416" s="53">
        <v>3.9</v>
      </c>
      <c r="G2416" s="53">
        <v>0</v>
      </c>
      <c r="H2416" s="51" t="str">
        <f>TEXT(tblLaborEntries[[#This Row],[Work date serial]]-WEEKDAY(tblLaborEntries[[#This Row],[Work date serial]],3),"yyyy-mm-dd")</f>
        <v>2025-06-16</v>
      </c>
      <c r="I2416" s="64">
        <f>DATEVALUE(tblLaborEntries[[#This Row],[Work date]])</f>
        <v>45824.0</v>
      </c>
    </row>
    <row r="2417" spans="1:9" ht="15" x14ac:dyDescent="0.25">
      <c r="A2417" s="53" t="inlineStr">
        <is>
          <t>LAB-002416</t>
        </is>
      </c>
      <c r="B2417" s="53" t="inlineStr">
        <is>
          <t>WP-01059</t>
        </is>
      </c>
      <c r="C2417" s="53" t="inlineStr">
        <is>
          <t>TECH-051</t>
        </is>
      </c>
      <c r="D2417" s="53" t="inlineStr">
        <is>
          <t>Hydraulics</t>
        </is>
      </c>
      <c r="E2417" s="53" t="inlineStr">
        <is>
          <t>2025-06-17</t>
        </is>
      </c>
      <c r="F2417" s="53">
        <v>5.3</v>
      </c>
      <c r="G2417" s="53">
        <v>0</v>
      </c>
      <c r="H2417" s="51" t="str">
        <f>TEXT(tblLaborEntries[[#This Row],[Work date serial]]-WEEKDAY(tblLaborEntries[[#This Row],[Work date serial]],3),"yyyy-mm-dd")</f>
        <v>2025-06-16</v>
      </c>
      <c r="I2417" s="64">
        <f>DATEVALUE(tblLaborEntries[[#This Row],[Work date]])</f>
        <v>45825.0</v>
      </c>
    </row>
    <row r="2418" spans="1:9" ht="15" x14ac:dyDescent="0.25">
      <c r="A2418" s="53" t="inlineStr">
        <is>
          <t>LAB-002417</t>
        </is>
      </c>
      <c r="B2418" s="53" t="inlineStr">
        <is>
          <t>WP-01060</t>
        </is>
      </c>
      <c r="C2418" s="53" t="inlineStr">
        <is>
          <t>TECH-056</t>
        </is>
      </c>
      <c r="D2418" s="53" t="inlineStr">
        <is>
          <t>Avionics</t>
        </is>
      </c>
      <c r="E2418" s="53" t="inlineStr">
        <is>
          <t>2024-07-08</t>
        </is>
      </c>
      <c r="F2418" s="53">
        <v>1.5</v>
      </c>
      <c r="G2418" s="53">
        <v>0</v>
      </c>
      <c r="H2418" s="51" t="str">
        <f>TEXT(tblLaborEntries[[#This Row],[Work date serial]]-WEEKDAY(tblLaborEntries[[#This Row],[Work date serial]],3),"yyyy-mm-dd")</f>
        <v>2024-07-08</v>
      </c>
      <c r="I2418" s="64">
        <f>DATEVALUE(tblLaborEntries[[#This Row],[Work date]])</f>
        <v>45481.0</v>
      </c>
    </row>
    <row r="2419" spans="1:9" ht="15" x14ac:dyDescent="0.25">
      <c r="A2419" s="53" t="inlineStr">
        <is>
          <t>LAB-002418</t>
        </is>
      </c>
      <c r="B2419" s="53" t="inlineStr">
        <is>
          <t>WP-01060</t>
        </is>
      </c>
      <c r="C2419" s="53" t="inlineStr">
        <is>
          <t>TECH-050</t>
        </is>
      </c>
      <c r="D2419" s="53" t="inlineStr">
        <is>
          <t>Avionics</t>
        </is>
      </c>
      <c r="E2419" s="53" t="inlineStr">
        <is>
          <t>2024-07-09</t>
        </is>
      </c>
      <c r="F2419" s="53">
        <v>1.9</v>
      </c>
      <c r="G2419" s="53">
        <v>0</v>
      </c>
      <c r="H2419" s="51" t="str">
        <f>TEXT(tblLaborEntries[[#This Row],[Work date serial]]-WEEKDAY(tblLaborEntries[[#This Row],[Work date serial]],3),"yyyy-mm-dd")</f>
        <v>2024-07-08</v>
      </c>
      <c r="I2419" s="64">
        <f>DATEVALUE(tblLaborEntries[[#This Row],[Work date]])</f>
        <v>45482.0</v>
      </c>
    </row>
    <row r="2420" spans="1:9" ht="15" x14ac:dyDescent="0.25">
      <c r="A2420" s="53" t="inlineStr">
        <is>
          <t>LAB-002419</t>
        </is>
      </c>
      <c r="B2420" s="53" t="inlineStr">
        <is>
          <t>WP-01060</t>
        </is>
      </c>
      <c r="C2420" s="53" t="inlineStr">
        <is>
          <t>TECH-020</t>
        </is>
      </c>
      <c r="D2420" s="53" t="inlineStr">
        <is>
          <t>Avionics</t>
        </is>
      </c>
      <c r="E2420" s="53" t="inlineStr">
        <is>
          <t>2024-07-10</t>
        </is>
      </c>
      <c r="F2420" s="53">
        <v>1.5</v>
      </c>
      <c r="G2420" s="53">
        <v>0</v>
      </c>
      <c r="H2420" s="51" t="str">
        <f>TEXT(tblLaborEntries[[#This Row],[Work date serial]]-WEEKDAY(tblLaborEntries[[#This Row],[Work date serial]],3),"yyyy-mm-dd")</f>
        <v>2024-07-08</v>
      </c>
      <c r="I2420" s="64">
        <f>DATEVALUE(tblLaborEntries[[#This Row],[Work date]])</f>
        <v>45483.0</v>
      </c>
    </row>
    <row r="2421" spans="1:9" ht="15" x14ac:dyDescent="0.25">
      <c r="A2421" s="53" t="inlineStr">
        <is>
          <t>LAB-002420</t>
        </is>
      </c>
      <c r="B2421" s="53" t="inlineStr">
        <is>
          <t>WP-01061</t>
        </is>
      </c>
      <c r="C2421" s="53" t="inlineStr">
        <is>
          <t>TECH-074</t>
        </is>
      </c>
      <c r="D2421" s="53" t="inlineStr">
        <is>
          <t>Avionics</t>
        </is>
      </c>
      <c r="E2421" s="53" t="inlineStr">
        <is>
          <t>2025-01-02</t>
        </is>
      </c>
      <c r="F2421" s="53">
        <v>1.2</v>
      </c>
      <c r="G2421" s="53">
        <v>0</v>
      </c>
      <c r="H2421" s="51" t="str">
        <f>TEXT(tblLaborEntries[[#This Row],[Work date serial]]-WEEKDAY(tblLaborEntries[[#This Row],[Work date serial]],3),"yyyy-mm-dd")</f>
        <v>2024-12-30</v>
      </c>
      <c r="I2421" s="64">
        <f>DATEVALUE(tblLaborEntries[[#This Row],[Work date]])</f>
        <v>45659.0</v>
      </c>
    </row>
    <row r="2422" spans="1:9" ht="15" x14ac:dyDescent="0.25">
      <c r="A2422" s="53" t="inlineStr">
        <is>
          <t>LAB-002421</t>
        </is>
      </c>
      <c r="B2422" s="53" t="inlineStr">
        <is>
          <t>WP-01061</t>
        </is>
      </c>
      <c r="C2422" s="53" t="inlineStr">
        <is>
          <t>TECH-062</t>
        </is>
      </c>
      <c r="D2422" s="53" t="inlineStr">
        <is>
          <t>Avionics</t>
        </is>
      </c>
      <c r="E2422" s="53" t="inlineStr">
        <is>
          <t>2025-01-03</t>
        </is>
      </c>
      <c r="F2422" s="53">
        <v>1.4</v>
      </c>
      <c r="G2422" s="53">
        <v>0</v>
      </c>
      <c r="H2422" s="51" t="str">
        <f>TEXT(tblLaborEntries[[#This Row],[Work date serial]]-WEEKDAY(tblLaborEntries[[#This Row],[Work date serial]],3),"yyyy-mm-dd")</f>
        <v>2024-12-30</v>
      </c>
      <c r="I2422" s="64">
        <f>DATEVALUE(tblLaborEntries[[#This Row],[Work date]])</f>
        <v>45660.0</v>
      </c>
    </row>
    <row r="2423" spans="1:9" ht="15" x14ac:dyDescent="0.25">
      <c r="A2423" s="53" t="inlineStr">
        <is>
          <t>LAB-002422</t>
        </is>
      </c>
      <c r="B2423" s="53" t="inlineStr">
        <is>
          <t>WP-01061</t>
        </is>
      </c>
      <c r="C2423" s="53" t="inlineStr">
        <is>
          <t>TECH-056</t>
        </is>
      </c>
      <c r="D2423" s="53" t="inlineStr">
        <is>
          <t>Avionics</t>
        </is>
      </c>
      <c r="E2423" s="53" t="inlineStr">
        <is>
          <t>2025-01-04</t>
        </is>
      </c>
      <c r="F2423" s="53">
        <v>1.8</v>
      </c>
      <c r="G2423" s="53">
        <v>0</v>
      </c>
      <c r="H2423" s="51" t="str">
        <f>TEXT(tblLaborEntries[[#This Row],[Work date serial]]-WEEKDAY(tblLaborEntries[[#This Row],[Work date serial]],3),"yyyy-mm-dd")</f>
        <v>2024-12-30</v>
      </c>
      <c r="I2423" s="64">
        <f>DATEVALUE(tblLaborEntries[[#This Row],[Work date]])</f>
        <v>45661.0</v>
      </c>
    </row>
    <row r="2424" spans="1:9" ht="15" x14ac:dyDescent="0.25">
      <c r="A2424" s="53" t="inlineStr">
        <is>
          <t>LAB-002423</t>
        </is>
      </c>
      <c r="B2424" s="53" t="inlineStr">
        <is>
          <t>WP-01062</t>
        </is>
      </c>
      <c r="C2424" s="53" t="inlineStr">
        <is>
          <t>TECH-029</t>
        </is>
      </c>
      <c r="D2424" s="53" t="inlineStr">
        <is>
          <t>Structures</t>
        </is>
      </c>
      <c r="E2424" s="53" t="inlineStr">
        <is>
          <t>2025-12-01</t>
        </is>
      </c>
      <c r="F2424" s="53">
        <v>5.7</v>
      </c>
      <c r="G2424" s="53">
        <v>0</v>
      </c>
      <c r="H2424" s="51" t="str">
        <f>TEXT(tblLaborEntries[[#This Row],[Work date serial]]-WEEKDAY(tblLaborEntries[[#This Row],[Work date serial]],3),"yyyy-mm-dd")</f>
        <v>2025-12-01</v>
      </c>
      <c r="I2424" s="64">
        <f>DATEVALUE(tblLaborEntries[[#This Row],[Work date]])</f>
        <v>45992.0</v>
      </c>
    </row>
    <row r="2425" spans="1:9" ht="15" x14ac:dyDescent="0.25">
      <c r="A2425" s="53" t="inlineStr">
        <is>
          <t>LAB-002424</t>
        </is>
      </c>
      <c r="B2425" s="53" t="inlineStr">
        <is>
          <t>WP-01062</t>
        </is>
      </c>
      <c r="C2425" s="53" t="inlineStr">
        <is>
          <t>TECH-053</t>
        </is>
      </c>
      <c r="D2425" s="53" t="inlineStr">
        <is>
          <t>Structures</t>
        </is>
      </c>
      <c r="E2425" s="53" t="inlineStr">
        <is>
          <t>2025-12-02</t>
        </is>
      </c>
      <c r="F2425" s="53">
        <v>6.3</v>
      </c>
      <c r="G2425" s="53">
        <v>0</v>
      </c>
      <c r="H2425" s="51" t="str">
        <f>TEXT(tblLaborEntries[[#This Row],[Work date serial]]-WEEKDAY(tblLaborEntries[[#This Row],[Work date serial]],3),"yyyy-mm-dd")</f>
        <v>2025-12-01</v>
      </c>
      <c r="I2425" s="64">
        <f>DATEVALUE(tblLaborEntries[[#This Row],[Work date]])</f>
        <v>45993.0</v>
      </c>
    </row>
    <row r="2426" spans="1:9" ht="15" x14ac:dyDescent="0.25">
      <c r="A2426" s="53" t="inlineStr">
        <is>
          <t>LAB-002425</t>
        </is>
      </c>
      <c r="B2426" s="53" t="inlineStr">
        <is>
          <t>WP-01062</t>
        </is>
      </c>
      <c r="C2426" s="53" t="inlineStr">
        <is>
          <t>TECH-035</t>
        </is>
      </c>
      <c r="D2426" s="53" t="inlineStr">
        <is>
          <t>Structures</t>
        </is>
      </c>
      <c r="E2426" s="53" t="inlineStr">
        <is>
          <t>2025-12-03</t>
        </is>
      </c>
      <c r="F2426" s="53">
        <v>5.4</v>
      </c>
      <c r="G2426" s="53">
        <v>0</v>
      </c>
      <c r="H2426" s="51" t="str">
        <f>TEXT(tblLaborEntries[[#This Row],[Work date serial]]-WEEKDAY(tblLaborEntries[[#This Row],[Work date serial]],3),"yyyy-mm-dd")</f>
        <v>2025-12-01</v>
      </c>
      <c r="I2426" s="64">
        <f>DATEVALUE(tblLaborEntries[[#This Row],[Work date]])</f>
        <v>45994.0</v>
      </c>
    </row>
    <row r="2427" spans="1:9" ht="15" x14ac:dyDescent="0.25">
      <c r="A2427" s="53" t="inlineStr">
        <is>
          <t>LAB-002426</t>
        </is>
      </c>
      <c r="B2427" s="53" t="inlineStr">
        <is>
          <t>WP-01063</t>
        </is>
      </c>
      <c r="C2427" s="53" t="inlineStr">
        <is>
          <t>TECH-026</t>
        </is>
      </c>
      <c r="D2427" s="53" t="inlineStr">
        <is>
          <t>Avionics</t>
        </is>
      </c>
      <c r="E2427" s="53" t="inlineStr">
        <is>
          <t>2025-12-19</t>
        </is>
      </c>
      <c r="F2427" s="53">
        <v>2.8</v>
      </c>
      <c r="G2427" s="53">
        <v>0</v>
      </c>
      <c r="H2427" s="51" t="str">
        <f>TEXT(tblLaborEntries[[#This Row],[Work date serial]]-WEEKDAY(tblLaborEntries[[#This Row],[Work date serial]],3),"yyyy-mm-dd")</f>
        <v>2025-12-15</v>
      </c>
      <c r="I2427" s="64">
        <f>DATEVALUE(tblLaborEntries[[#This Row],[Work date]])</f>
        <v>46010.0</v>
      </c>
    </row>
    <row r="2428" spans="1:9" ht="15" x14ac:dyDescent="0.25">
      <c r="A2428" s="53" t="inlineStr">
        <is>
          <t>LAB-002427</t>
        </is>
      </c>
      <c r="B2428" s="53" t="inlineStr">
        <is>
          <t>WP-01063</t>
        </is>
      </c>
      <c r="C2428" s="53" t="inlineStr">
        <is>
          <t>TECH-038</t>
        </is>
      </c>
      <c r="D2428" s="53" t="inlineStr">
        <is>
          <t>Avionics</t>
        </is>
      </c>
      <c r="E2428" s="53" t="inlineStr">
        <is>
          <t>2025-12-20</t>
        </is>
      </c>
      <c r="F2428" s="53">
        <v>2.5</v>
      </c>
      <c r="G2428" s="53">
        <v>0</v>
      </c>
      <c r="H2428" s="51" t="str">
        <f>TEXT(tblLaborEntries[[#This Row],[Work date serial]]-WEEKDAY(tblLaborEntries[[#This Row],[Work date serial]],3),"yyyy-mm-dd")</f>
        <v>2025-12-15</v>
      </c>
      <c r="I2428" s="64">
        <f>DATEVALUE(tblLaborEntries[[#This Row],[Work date]])</f>
        <v>46011.0</v>
      </c>
    </row>
    <row r="2429" spans="1:9" ht="15" x14ac:dyDescent="0.25">
      <c r="A2429" s="53" t="inlineStr">
        <is>
          <t>LAB-002428</t>
        </is>
      </c>
      <c r="B2429" s="53" t="inlineStr">
        <is>
          <t>WP-01063</t>
        </is>
      </c>
      <c r="C2429" s="53" t="inlineStr">
        <is>
          <t>TECH-008</t>
        </is>
      </c>
      <c r="D2429" s="53" t="inlineStr">
        <is>
          <t>Avionics</t>
        </is>
      </c>
      <c r="E2429" s="53" t="inlineStr">
        <is>
          <t>2025-12-21</t>
        </is>
      </c>
      <c r="F2429" s="53">
        <v>3.3</v>
      </c>
      <c r="G2429" s="53">
        <v>0</v>
      </c>
      <c r="H2429" s="51" t="str">
        <f>TEXT(tblLaborEntries[[#This Row],[Work date serial]]-WEEKDAY(tblLaborEntries[[#This Row],[Work date serial]],3),"yyyy-mm-dd")</f>
        <v>2025-12-15</v>
      </c>
      <c r="I2429" s="64">
        <f>DATEVALUE(tblLaborEntries[[#This Row],[Work date]])</f>
        <v>46012.0</v>
      </c>
    </row>
    <row r="2430" spans="1:9" ht="15" x14ac:dyDescent="0.25">
      <c r="A2430" s="53" t="inlineStr">
        <is>
          <t>LAB-002429</t>
        </is>
      </c>
      <c r="B2430" s="53" t="inlineStr">
        <is>
          <t>WP-01064</t>
        </is>
      </c>
      <c r="C2430" s="53" t="inlineStr">
        <is>
          <t>TECH-003</t>
        </is>
      </c>
      <c r="D2430" s="53" t="inlineStr">
        <is>
          <t>Hydraulics</t>
        </is>
      </c>
      <c r="E2430" s="53" t="inlineStr">
        <is>
          <t>2024-08-03</t>
        </is>
      </c>
      <c r="F2430" s="53">
        <v>1.1</v>
      </c>
      <c r="G2430" s="53">
        <v>0</v>
      </c>
      <c r="H2430" s="51" t="str">
        <f>TEXT(tblLaborEntries[[#This Row],[Work date serial]]-WEEKDAY(tblLaborEntries[[#This Row],[Work date serial]],3),"yyyy-mm-dd")</f>
        <v>2024-07-29</v>
      </c>
      <c r="I2430" s="64">
        <f>DATEVALUE(tblLaborEntries[[#This Row],[Work date]])</f>
        <v>45507.0</v>
      </c>
    </row>
    <row r="2431" spans="1:9" ht="15" x14ac:dyDescent="0.25">
      <c r="A2431" s="53" t="inlineStr">
        <is>
          <t>LAB-002430</t>
        </is>
      </c>
      <c r="B2431" s="53" t="inlineStr">
        <is>
          <t>WP-01064</t>
        </is>
      </c>
      <c r="C2431" s="53" t="inlineStr">
        <is>
          <t>TECH-051</t>
        </is>
      </c>
      <c r="D2431" s="53" t="inlineStr">
        <is>
          <t>Hydraulics</t>
        </is>
      </c>
      <c r="E2431" s="53" t="inlineStr">
        <is>
          <t>2024-08-03</t>
        </is>
      </c>
      <c r="F2431" s="53">
        <v>12</v>
      </c>
      <c r="G2431" s="53">
        <v>4</v>
      </c>
      <c r="H2431" s="51" t="str">
        <f>TEXT(tblLaborEntries[[#This Row],[Work date serial]]-WEEKDAY(tblLaborEntries[[#This Row],[Work date serial]],3),"yyyy-mm-dd")</f>
        <v>2024-07-29</v>
      </c>
      <c r="I2431" s="64">
        <f>DATEVALUE(tblLaborEntries[[#This Row],[Work date]])</f>
        <v>45507.0</v>
      </c>
    </row>
    <row r="2432" spans="1:9" ht="15" x14ac:dyDescent="0.25">
      <c r="A2432" s="53" t="inlineStr">
        <is>
          <t>LAB-002431</t>
        </is>
      </c>
      <c r="B2432" s="53" t="inlineStr">
        <is>
          <t>WP-01065</t>
        </is>
      </c>
      <c r="C2432" s="53" t="inlineStr">
        <is>
          <t>TECH-004</t>
        </is>
      </c>
      <c r="D2432" s="53" t="inlineStr">
        <is>
          <t>Electrical</t>
        </is>
      </c>
      <c r="E2432" s="53" t="inlineStr">
        <is>
          <t>2024-01-09</t>
        </is>
      </c>
      <c r="F2432" s="53">
        <v>2.9</v>
      </c>
      <c r="G2432" s="53">
        <v>0</v>
      </c>
      <c r="H2432" s="51" t="str">
        <f>TEXT(tblLaborEntries[[#This Row],[Work date serial]]-WEEKDAY(tblLaborEntries[[#This Row],[Work date serial]],3),"yyyy-mm-dd")</f>
        <v>2024-01-08</v>
      </c>
      <c r="I2432" s="64">
        <f>DATEVALUE(tblLaborEntries[[#This Row],[Work date]])</f>
        <v>45300.0</v>
      </c>
    </row>
    <row r="2433" spans="1:9" ht="15" x14ac:dyDescent="0.25">
      <c r="A2433" s="53" t="inlineStr">
        <is>
          <t>LAB-002432</t>
        </is>
      </c>
      <c r="B2433" s="53" t="inlineStr">
        <is>
          <t>WP-01065</t>
        </is>
      </c>
      <c r="C2433" s="53" t="inlineStr">
        <is>
          <t>TECH-064</t>
        </is>
      </c>
      <c r="D2433" s="53" t="inlineStr">
        <is>
          <t>Electrical</t>
        </is>
      </c>
      <c r="E2433" s="53" t="inlineStr">
        <is>
          <t>2024-01-09</t>
        </is>
      </c>
      <c r="F2433" s="53">
        <v>12</v>
      </c>
      <c r="G2433" s="53">
        <v>4</v>
      </c>
      <c r="H2433" s="51" t="str">
        <f>TEXT(tblLaborEntries[[#This Row],[Work date serial]]-WEEKDAY(tblLaborEntries[[#This Row],[Work date serial]],3),"yyyy-mm-dd")</f>
        <v>2024-01-08</v>
      </c>
      <c r="I2433" s="64">
        <f>DATEVALUE(tblLaborEntries[[#This Row],[Work date]])</f>
        <v>45300.0</v>
      </c>
    </row>
    <row r="2434" spans="1:9" ht="15" x14ac:dyDescent="0.25">
      <c r="A2434" s="53" t="inlineStr">
        <is>
          <t>LAB-002433</t>
        </is>
      </c>
      <c r="B2434" s="53" t="inlineStr">
        <is>
          <t>WP-01066</t>
        </is>
      </c>
      <c r="C2434" s="53" t="inlineStr">
        <is>
          <t>TECH-019</t>
        </is>
      </c>
      <c r="D2434" s="53" t="inlineStr">
        <is>
          <t>Airframe</t>
        </is>
      </c>
      <c r="E2434" s="53" t="inlineStr">
        <is>
          <t>2025-04-09</t>
        </is>
      </c>
      <c r="F2434" s="53">
        <v>8.5</v>
      </c>
      <c r="G2434" s="53">
        <v>0.5</v>
      </c>
      <c r="H2434" s="51" t="str">
        <f>TEXT(tblLaborEntries[[#This Row],[Work date serial]]-WEEKDAY(tblLaborEntries[[#This Row],[Work date serial]],3),"yyyy-mm-dd")</f>
        <v>2025-04-07</v>
      </c>
      <c r="I2434" s="64">
        <f>DATEVALUE(tblLaborEntries[[#This Row],[Work date]])</f>
        <v>45756.0</v>
      </c>
    </row>
    <row r="2435" spans="1:9" ht="15" x14ac:dyDescent="0.25">
      <c r="A2435" s="53" t="inlineStr">
        <is>
          <t>LAB-002434</t>
        </is>
      </c>
      <c r="B2435" s="53" t="inlineStr">
        <is>
          <t>WP-01067</t>
        </is>
      </c>
      <c r="C2435" s="53" t="inlineStr">
        <is>
          <t>TECH-016</t>
        </is>
      </c>
      <c r="D2435" s="53" t="inlineStr">
        <is>
          <t>Electrical</t>
        </is>
      </c>
      <c r="E2435" s="53" t="inlineStr">
        <is>
          <t>2024-09-02</t>
        </is>
      </c>
      <c r="F2435" s="53">
        <v>4.6</v>
      </c>
      <c r="G2435" s="53">
        <v>0</v>
      </c>
      <c r="H2435" s="51" t="str">
        <f>TEXT(tblLaborEntries[[#This Row],[Work date serial]]-WEEKDAY(tblLaborEntries[[#This Row],[Work date serial]],3),"yyyy-mm-dd")</f>
        <v>2024-09-02</v>
      </c>
      <c r="I2435" s="64">
        <f>DATEVALUE(tblLaborEntries[[#This Row],[Work date]])</f>
        <v>45537.0</v>
      </c>
    </row>
    <row r="2436" spans="1:9" ht="15" x14ac:dyDescent="0.25">
      <c r="A2436" s="53" t="inlineStr">
        <is>
          <t>LAB-002435</t>
        </is>
      </c>
      <c r="B2436" s="53" t="inlineStr">
        <is>
          <t>WP-01067</t>
        </is>
      </c>
      <c r="C2436" s="53" t="inlineStr">
        <is>
          <t>TECH-070</t>
        </is>
      </c>
      <c r="D2436" s="53" t="inlineStr">
        <is>
          <t>Electrical</t>
        </is>
      </c>
      <c r="E2436" s="53" t="inlineStr">
        <is>
          <t>2024-09-03</t>
        </is>
      </c>
      <c r="F2436" s="53">
        <v>6.4</v>
      </c>
      <c r="G2436" s="53">
        <v>0</v>
      </c>
      <c r="H2436" s="51" t="str">
        <f>TEXT(tblLaborEntries[[#This Row],[Work date serial]]-WEEKDAY(tblLaborEntries[[#This Row],[Work date serial]],3),"yyyy-mm-dd")</f>
        <v>2024-09-02</v>
      </c>
      <c r="I2436" s="64">
        <f>DATEVALUE(tblLaborEntries[[#This Row],[Work date]])</f>
        <v>45538.0</v>
      </c>
    </row>
    <row r="2437" spans="1:9" ht="15" x14ac:dyDescent="0.25">
      <c r="A2437" s="53" t="inlineStr">
        <is>
          <t>LAB-002436</t>
        </is>
      </c>
      <c r="B2437" s="53" t="inlineStr">
        <is>
          <t>WP-01068</t>
        </is>
      </c>
      <c r="C2437" s="53" t="inlineStr">
        <is>
          <t>TECH-052</t>
        </is>
      </c>
      <c r="D2437" s="53" t="inlineStr">
        <is>
          <t>Electrical</t>
        </is>
      </c>
      <c r="E2437" s="53" t="inlineStr">
        <is>
          <t>2024-08-16</t>
        </is>
      </c>
      <c r="F2437" s="53">
        <v>7.3</v>
      </c>
      <c r="G2437" s="53">
        <v>0</v>
      </c>
      <c r="H2437" s="51" t="str">
        <f>TEXT(tblLaborEntries[[#This Row],[Work date serial]]-WEEKDAY(tblLaborEntries[[#This Row],[Work date serial]],3),"yyyy-mm-dd")</f>
        <v>2024-08-12</v>
      </c>
      <c r="I2437" s="64">
        <f>DATEVALUE(tblLaborEntries[[#This Row],[Work date]])</f>
        <v>45520.0</v>
      </c>
    </row>
    <row r="2438" spans="1:9" ht="15" x14ac:dyDescent="0.25">
      <c r="A2438" s="53" t="inlineStr">
        <is>
          <t>LAB-002437</t>
        </is>
      </c>
      <c r="B2438" s="53" t="inlineStr">
        <is>
          <t>WP-01068</t>
        </is>
      </c>
      <c r="C2438" s="53" t="inlineStr">
        <is>
          <t>TECH-064</t>
        </is>
      </c>
      <c r="D2438" s="53" t="inlineStr">
        <is>
          <t>Electrical</t>
        </is>
      </c>
      <c r="E2438" s="53" t="inlineStr">
        <is>
          <t>2024-08-17</t>
        </is>
      </c>
      <c r="F2438" s="53">
        <v>10.9</v>
      </c>
      <c r="G2438" s="53">
        <v>2.9</v>
      </c>
      <c r="H2438" s="51" t="str">
        <f>TEXT(tblLaborEntries[[#This Row],[Work date serial]]-WEEKDAY(tblLaborEntries[[#This Row],[Work date serial]],3),"yyyy-mm-dd")</f>
        <v>2024-08-12</v>
      </c>
      <c r="I2438" s="64">
        <f>DATEVALUE(tblLaborEntries[[#This Row],[Work date]])</f>
        <v>45521.0</v>
      </c>
    </row>
    <row r="2439" spans="1:9" ht="15" x14ac:dyDescent="0.25">
      <c r="A2439" s="53" t="inlineStr">
        <is>
          <t>LAB-002438</t>
        </is>
      </c>
      <c r="B2439" s="53" t="inlineStr">
        <is>
          <t>WP-01068</t>
        </is>
      </c>
      <c r="C2439" s="53" t="inlineStr">
        <is>
          <t>TECH-010</t>
        </is>
      </c>
      <c r="D2439" s="53" t="inlineStr">
        <is>
          <t>Electrical</t>
        </is>
      </c>
      <c r="E2439" s="53" t="inlineStr">
        <is>
          <t>2024-08-18</t>
        </is>
      </c>
      <c r="F2439" s="53">
        <v>8.4</v>
      </c>
      <c r="G2439" s="53">
        <v>0.4</v>
      </c>
      <c r="H2439" s="51" t="str">
        <f>TEXT(tblLaborEntries[[#This Row],[Work date serial]]-WEEKDAY(tblLaborEntries[[#This Row],[Work date serial]],3),"yyyy-mm-dd")</f>
        <v>2024-08-12</v>
      </c>
      <c r="I2439" s="64">
        <f>DATEVALUE(tblLaborEntries[[#This Row],[Work date]])</f>
        <v>45522.0</v>
      </c>
    </row>
    <row r="2440" spans="1:9" ht="15" x14ac:dyDescent="0.25">
      <c r="A2440" s="53" t="inlineStr">
        <is>
          <t>LAB-002439</t>
        </is>
      </c>
      <c r="B2440" s="53" t="inlineStr">
        <is>
          <t>WP-01069</t>
        </is>
      </c>
      <c r="C2440" s="53" t="inlineStr">
        <is>
          <t>TECH-018</t>
        </is>
      </c>
      <c r="D2440" s="53" t="inlineStr">
        <is>
          <t>Powerplant</t>
        </is>
      </c>
      <c r="E2440" s="53" t="inlineStr">
        <is>
          <t>2024-12-02</t>
        </is>
      </c>
      <c r="F2440" s="53">
        <v>4.3</v>
      </c>
      <c r="G2440" s="53">
        <v>0</v>
      </c>
      <c r="H2440" s="51" t="str">
        <f>TEXT(tblLaborEntries[[#This Row],[Work date serial]]-WEEKDAY(tblLaborEntries[[#This Row],[Work date serial]],3),"yyyy-mm-dd")</f>
        <v>2024-12-02</v>
      </c>
      <c r="I2440" s="64">
        <f>DATEVALUE(tblLaborEntries[[#This Row],[Work date]])</f>
        <v>45628.0</v>
      </c>
    </row>
    <row r="2441" spans="1:9" ht="15" x14ac:dyDescent="0.25">
      <c r="A2441" s="53" t="inlineStr">
        <is>
          <t>LAB-002440</t>
        </is>
      </c>
      <c r="B2441" s="53" t="inlineStr">
        <is>
          <t>WP-01069</t>
        </is>
      </c>
      <c r="C2441" s="53" t="inlineStr">
        <is>
          <t>TECH-066</t>
        </is>
      </c>
      <c r="D2441" s="53" t="inlineStr">
        <is>
          <t>Powerplant</t>
        </is>
      </c>
      <c r="E2441" s="53" t="inlineStr">
        <is>
          <t>2024-12-03</t>
        </is>
      </c>
      <c r="F2441" s="53">
        <v>4.1</v>
      </c>
      <c r="G2441" s="53">
        <v>0</v>
      </c>
      <c r="H2441" s="51" t="str">
        <f>TEXT(tblLaborEntries[[#This Row],[Work date serial]]-WEEKDAY(tblLaborEntries[[#This Row],[Work date serial]],3),"yyyy-mm-dd")</f>
        <v>2024-12-02</v>
      </c>
      <c r="I2441" s="64">
        <f>DATEVALUE(tblLaborEntries[[#This Row],[Work date]])</f>
        <v>45629.0</v>
      </c>
    </row>
    <row r="2442" spans="1:9" ht="15" x14ac:dyDescent="0.25">
      <c r="A2442" s="53" t="inlineStr">
        <is>
          <t>LAB-002441</t>
        </is>
      </c>
      <c r="B2442" s="53" t="inlineStr">
        <is>
          <t>WP-01070</t>
        </is>
      </c>
      <c r="C2442" s="53" t="inlineStr">
        <is>
          <t>TECH-044</t>
        </is>
      </c>
      <c r="D2442" s="53" t="inlineStr">
        <is>
          <t>Avionics</t>
        </is>
      </c>
      <c r="E2442" s="53" t="inlineStr">
        <is>
          <t>2024-03-12</t>
        </is>
      </c>
      <c r="F2442" s="53">
        <v>4.9</v>
      </c>
      <c r="G2442" s="53">
        <v>0</v>
      </c>
      <c r="H2442" s="51" t="str">
        <f>TEXT(tblLaborEntries[[#This Row],[Work date serial]]-WEEKDAY(tblLaborEntries[[#This Row],[Work date serial]],3),"yyyy-mm-dd")</f>
        <v>2024-03-11</v>
      </c>
      <c r="I2442" s="64">
        <f>DATEVALUE(tblLaborEntries[[#This Row],[Work date]])</f>
        <v>45363.0</v>
      </c>
    </row>
    <row r="2443" spans="1:9" ht="15" x14ac:dyDescent="0.25">
      <c r="A2443" s="53" t="inlineStr">
        <is>
          <t>LAB-002442</t>
        </is>
      </c>
      <c r="B2443" s="53" t="inlineStr">
        <is>
          <t>WP-01070</t>
        </is>
      </c>
      <c r="C2443" s="53" t="inlineStr">
        <is>
          <t>TECH-014</t>
        </is>
      </c>
      <c r="D2443" s="53" t="inlineStr">
        <is>
          <t>Avionics</t>
        </is>
      </c>
      <c r="E2443" s="53" t="inlineStr">
        <is>
          <t>2024-03-13</t>
        </is>
      </c>
      <c r="F2443" s="53">
        <v>7</v>
      </c>
      <c r="G2443" s="53">
        <v>0</v>
      </c>
      <c r="H2443" s="51" t="str">
        <f>TEXT(tblLaborEntries[[#This Row],[Work date serial]]-WEEKDAY(tblLaborEntries[[#This Row],[Work date serial]],3),"yyyy-mm-dd")</f>
        <v>2024-03-11</v>
      </c>
      <c r="I2443" s="64">
        <f>DATEVALUE(tblLaborEntries[[#This Row],[Work date]])</f>
        <v>45364.0</v>
      </c>
    </row>
    <row r="2444" spans="1:9" ht="15" x14ac:dyDescent="0.25">
      <c r="A2444" s="53" t="inlineStr">
        <is>
          <t>LAB-002443</t>
        </is>
      </c>
      <c r="B2444" s="53" t="inlineStr">
        <is>
          <t>WP-01070</t>
        </is>
      </c>
      <c r="C2444" s="53" t="inlineStr">
        <is>
          <t>TECH-038</t>
        </is>
      </c>
      <c r="D2444" s="53" t="inlineStr">
        <is>
          <t>Avionics</t>
        </is>
      </c>
      <c r="E2444" s="53" t="inlineStr">
        <is>
          <t>2024-03-14</t>
        </is>
      </c>
      <c r="F2444" s="53">
        <v>4.9</v>
      </c>
      <c r="G2444" s="53">
        <v>0</v>
      </c>
      <c r="H2444" s="51" t="str">
        <f>TEXT(tblLaborEntries[[#This Row],[Work date serial]]-WEEKDAY(tblLaborEntries[[#This Row],[Work date serial]],3),"yyyy-mm-dd")</f>
        <v>2024-03-11</v>
      </c>
      <c r="I2444" s="64">
        <f>DATEVALUE(tblLaborEntries[[#This Row],[Work date]])</f>
        <v>45365.0</v>
      </c>
    </row>
    <row r="2445" spans="1:9" ht="15" x14ac:dyDescent="0.25">
      <c r="A2445" s="53" t="inlineStr">
        <is>
          <t>LAB-002444</t>
        </is>
      </c>
      <c r="B2445" s="53" t="inlineStr">
        <is>
          <t>WP-01071</t>
        </is>
      </c>
      <c r="C2445" s="53" t="inlineStr">
        <is>
          <t>TECH-032</t>
        </is>
      </c>
      <c r="D2445" s="53" t="inlineStr">
        <is>
          <t>Avionics</t>
        </is>
      </c>
      <c r="E2445" s="53" t="inlineStr">
        <is>
          <t>2025-09-27</t>
        </is>
      </c>
      <c r="F2445" s="53">
        <v>1.2</v>
      </c>
      <c r="G2445" s="53">
        <v>0</v>
      </c>
      <c r="H2445" s="51" t="str">
        <f>TEXT(tblLaborEntries[[#This Row],[Work date serial]]-WEEKDAY(tblLaborEntries[[#This Row],[Work date serial]],3),"yyyy-mm-dd")</f>
        <v>2025-09-22</v>
      </c>
      <c r="I2445" s="64">
        <f>DATEVALUE(tblLaborEntries[[#This Row],[Work date]])</f>
        <v>45927.0</v>
      </c>
    </row>
    <row r="2446" spans="1:9" ht="15" x14ac:dyDescent="0.25">
      <c r="A2446" s="53" t="inlineStr">
        <is>
          <t>LAB-002445</t>
        </is>
      </c>
      <c r="B2446" s="53" t="inlineStr">
        <is>
          <t>WP-01071</t>
        </is>
      </c>
      <c r="C2446" s="53" t="inlineStr">
        <is>
          <t>TECH-038</t>
        </is>
      </c>
      <c r="D2446" s="53" t="inlineStr">
        <is>
          <t>Avionics</t>
        </is>
      </c>
      <c r="E2446" s="53" t="inlineStr">
        <is>
          <t>2025-09-28</t>
        </is>
      </c>
      <c r="F2446" s="53">
        <v>1</v>
      </c>
      <c r="G2446" s="53">
        <v>0</v>
      </c>
      <c r="H2446" s="51" t="str">
        <f>TEXT(tblLaborEntries[[#This Row],[Work date serial]]-WEEKDAY(tblLaborEntries[[#This Row],[Work date serial]],3),"yyyy-mm-dd")</f>
        <v>2025-09-22</v>
      </c>
      <c r="I2446" s="64">
        <f>DATEVALUE(tblLaborEntries[[#This Row],[Work date]])</f>
        <v>45928.0</v>
      </c>
    </row>
    <row r="2447" spans="1:9" ht="15" x14ac:dyDescent="0.25">
      <c r="A2447" s="53" t="inlineStr">
        <is>
          <t>LAB-002446</t>
        </is>
      </c>
      <c r="B2447" s="53" t="inlineStr">
        <is>
          <t>WP-01071</t>
        </is>
      </c>
      <c r="C2447" s="53" t="inlineStr">
        <is>
          <t>TECH-038</t>
        </is>
      </c>
      <c r="D2447" s="53" t="inlineStr">
        <is>
          <t>Avionics</t>
        </is>
      </c>
      <c r="E2447" s="53" t="inlineStr">
        <is>
          <t>2025-09-29</t>
        </is>
      </c>
      <c r="F2447" s="53">
        <v>0.9</v>
      </c>
      <c r="G2447" s="53">
        <v>0</v>
      </c>
      <c r="H2447" s="51" t="str">
        <f>TEXT(tblLaborEntries[[#This Row],[Work date serial]]-WEEKDAY(tblLaborEntries[[#This Row],[Work date serial]],3),"yyyy-mm-dd")</f>
        <v>2025-09-29</v>
      </c>
      <c r="I2447" s="64">
        <f>DATEVALUE(tblLaborEntries[[#This Row],[Work date]])</f>
        <v>45929.0</v>
      </c>
    </row>
    <row r="2448" spans="1:9" ht="15" x14ac:dyDescent="0.25">
      <c r="A2448" s="53" t="inlineStr">
        <is>
          <t>LAB-002447</t>
        </is>
      </c>
      <c r="B2448" s="53" t="inlineStr">
        <is>
          <t>WP-01072</t>
        </is>
      </c>
      <c r="C2448" s="53" t="inlineStr">
        <is>
          <t>TECH-026</t>
        </is>
      </c>
      <c r="D2448" s="53" t="inlineStr">
        <is>
          <t>Avionics</t>
        </is>
      </c>
      <c r="E2448" s="53" t="inlineStr">
        <is>
          <t>2024-01-07</t>
        </is>
      </c>
      <c r="F2448" s="53">
        <v>8.7</v>
      </c>
      <c r="G2448" s="53">
        <v>0.7</v>
      </c>
      <c r="H2448" s="51" t="str">
        <f>TEXT(tblLaborEntries[[#This Row],[Work date serial]]-WEEKDAY(tblLaborEntries[[#This Row],[Work date serial]],3),"yyyy-mm-dd")</f>
        <v>2024-01-01</v>
      </c>
      <c r="I2448" s="64">
        <f>DATEVALUE(tblLaborEntries[[#This Row],[Work date]])</f>
        <v>45298.0</v>
      </c>
    </row>
    <row r="2449" spans="1:9" ht="15" x14ac:dyDescent="0.25">
      <c r="A2449" s="53" t="inlineStr">
        <is>
          <t>LAB-002448</t>
        </is>
      </c>
      <c r="B2449" s="53" t="inlineStr">
        <is>
          <t>WP-01073</t>
        </is>
      </c>
      <c r="C2449" s="53" t="inlineStr">
        <is>
          <t>TECH-005</t>
        </is>
      </c>
      <c r="D2449" s="53" t="inlineStr">
        <is>
          <t>Structures</t>
        </is>
      </c>
      <c r="E2449" s="53" t="inlineStr">
        <is>
          <t>2025-05-24</t>
        </is>
      </c>
      <c r="F2449" s="53">
        <v>4.4</v>
      </c>
      <c r="G2449" s="53">
        <v>0</v>
      </c>
      <c r="H2449" s="51" t="str">
        <f>TEXT(tblLaborEntries[[#This Row],[Work date serial]]-WEEKDAY(tblLaborEntries[[#This Row],[Work date serial]],3),"yyyy-mm-dd")</f>
        <v>2025-05-19</v>
      </c>
      <c r="I2449" s="64">
        <f>DATEVALUE(tblLaborEntries[[#This Row],[Work date]])</f>
        <v>45801.0</v>
      </c>
    </row>
    <row r="2450" spans="1:9" ht="15" x14ac:dyDescent="0.25">
      <c r="A2450" s="53" t="inlineStr">
        <is>
          <t>LAB-002449</t>
        </is>
      </c>
      <c r="B2450" s="53" t="inlineStr">
        <is>
          <t>WP-01073</t>
        </is>
      </c>
      <c r="C2450" s="53" t="inlineStr">
        <is>
          <t>TECH-029</t>
        </is>
      </c>
      <c r="D2450" s="53" t="inlineStr">
        <is>
          <t>Structures</t>
        </is>
      </c>
      <c r="E2450" s="53" t="inlineStr">
        <is>
          <t>2025-05-24</t>
        </is>
      </c>
      <c r="F2450" s="53">
        <v>12</v>
      </c>
      <c r="G2450" s="53">
        <v>4</v>
      </c>
      <c r="H2450" s="51" t="str">
        <f>TEXT(tblLaborEntries[[#This Row],[Work date serial]]-WEEKDAY(tblLaborEntries[[#This Row],[Work date serial]],3),"yyyy-mm-dd")</f>
        <v>2025-05-19</v>
      </c>
      <c r="I2450" s="64">
        <f>DATEVALUE(tblLaborEntries[[#This Row],[Work date]])</f>
        <v>45801.0</v>
      </c>
    </row>
    <row r="2451" spans="1:9" ht="15" x14ac:dyDescent="0.25">
      <c r="A2451" s="53" t="inlineStr">
        <is>
          <t>LAB-002450</t>
        </is>
      </c>
      <c r="B2451" s="53" t="inlineStr">
        <is>
          <t>WP-01073</t>
        </is>
      </c>
      <c r="C2451" s="53" t="inlineStr">
        <is>
          <t>TECH-005</t>
        </is>
      </c>
      <c r="D2451" s="53" t="inlineStr">
        <is>
          <t>Structures</t>
        </is>
      </c>
      <c r="E2451" s="53" t="inlineStr">
        <is>
          <t>2025-05-25</t>
        </is>
      </c>
      <c r="F2451" s="53">
        <v>2</v>
      </c>
      <c r="G2451" s="53">
        <v>0</v>
      </c>
      <c r="H2451" s="51" t="str">
        <f>TEXT(tblLaborEntries[[#This Row],[Work date serial]]-WEEKDAY(tblLaborEntries[[#This Row],[Work date serial]],3),"yyyy-mm-dd")</f>
        <v>2025-05-19</v>
      </c>
      <c r="I2451" s="64">
        <f>DATEVALUE(tblLaborEntries[[#This Row],[Work date]])</f>
        <v>45802.0</v>
      </c>
    </row>
    <row r="2452" spans="1:9" ht="15" x14ac:dyDescent="0.25">
      <c r="A2452" s="53" t="inlineStr">
        <is>
          <t>LAB-002451</t>
        </is>
      </c>
      <c r="B2452" s="53" t="inlineStr">
        <is>
          <t>WP-01073</t>
        </is>
      </c>
      <c r="C2452" s="53" t="inlineStr">
        <is>
          <t>TECH-059</t>
        </is>
      </c>
      <c r="D2452" s="53" t="inlineStr">
        <is>
          <t>Structures</t>
        </is>
      </c>
      <c r="E2452" s="53" t="inlineStr">
        <is>
          <t>2025-05-25</t>
        </is>
      </c>
      <c r="F2452" s="53">
        <v>12</v>
      </c>
      <c r="G2452" s="53">
        <v>4</v>
      </c>
      <c r="H2452" s="51" t="str">
        <f>TEXT(tblLaborEntries[[#This Row],[Work date serial]]-WEEKDAY(tblLaborEntries[[#This Row],[Work date serial]],3),"yyyy-mm-dd")</f>
        <v>2025-05-19</v>
      </c>
      <c r="I2452" s="64">
        <f>DATEVALUE(tblLaborEntries[[#This Row],[Work date]])</f>
        <v>45802.0</v>
      </c>
    </row>
    <row r="2453" spans="1:9" ht="15" x14ac:dyDescent="0.25">
      <c r="A2453" s="53" t="inlineStr">
        <is>
          <t>LAB-002452</t>
        </is>
      </c>
      <c r="B2453" s="53" t="inlineStr">
        <is>
          <t>WP-01073</t>
        </is>
      </c>
      <c r="C2453" s="53" t="inlineStr">
        <is>
          <t>TECH-053</t>
        </is>
      </c>
      <c r="D2453" s="53" t="inlineStr">
        <is>
          <t>Structures</t>
        </is>
      </c>
      <c r="E2453" s="53" t="inlineStr">
        <is>
          <t>2025-05-26</t>
        </is>
      </c>
      <c r="F2453" s="53">
        <v>12</v>
      </c>
      <c r="G2453" s="53">
        <v>4</v>
      </c>
      <c r="H2453" s="51" t="str">
        <f>TEXT(tblLaborEntries[[#This Row],[Work date serial]]-WEEKDAY(tblLaborEntries[[#This Row],[Work date serial]],3),"yyyy-mm-dd")</f>
        <v>2025-05-26</v>
      </c>
      <c r="I2453" s="64">
        <f>DATEVALUE(tblLaborEntries[[#This Row],[Work date]])</f>
        <v>45803.0</v>
      </c>
    </row>
    <row r="2454" spans="1:9" ht="15" x14ac:dyDescent="0.25">
      <c r="A2454" s="53" t="inlineStr">
        <is>
          <t>LAB-002453</t>
        </is>
      </c>
      <c r="B2454" s="53" t="inlineStr">
        <is>
          <t>WP-01074</t>
        </is>
      </c>
      <c r="C2454" s="53" t="inlineStr">
        <is>
          <t>TECH-054</t>
        </is>
      </c>
      <c r="D2454" s="53" t="inlineStr">
        <is>
          <t>Powerplant</t>
        </is>
      </c>
      <c r="E2454" s="53" t="inlineStr">
        <is>
          <t>2024-11-14</t>
        </is>
      </c>
      <c r="F2454" s="53">
        <v>6.6</v>
      </c>
      <c r="G2454" s="53">
        <v>0</v>
      </c>
      <c r="H2454" s="51" t="str">
        <f>TEXT(tblLaborEntries[[#This Row],[Work date serial]]-WEEKDAY(tblLaborEntries[[#This Row],[Work date serial]],3),"yyyy-mm-dd")</f>
        <v>2024-11-11</v>
      </c>
      <c r="I2454" s="64">
        <f>DATEVALUE(tblLaborEntries[[#This Row],[Work date]])</f>
        <v>45610.0</v>
      </c>
    </row>
    <row r="2455" spans="1:9" ht="15" x14ac:dyDescent="0.25">
      <c r="A2455" s="53" t="inlineStr">
        <is>
          <t>LAB-002454</t>
        </is>
      </c>
      <c r="B2455" s="53" t="inlineStr">
        <is>
          <t>WP-01074</t>
        </is>
      </c>
      <c r="C2455" s="53" t="inlineStr">
        <is>
          <t>TECH-012</t>
        </is>
      </c>
      <c r="D2455" s="53" t="inlineStr">
        <is>
          <t>Powerplant</t>
        </is>
      </c>
      <c r="E2455" s="53" t="inlineStr">
        <is>
          <t>2024-11-15</t>
        </is>
      </c>
      <c r="F2455" s="53">
        <v>6.1</v>
      </c>
      <c r="G2455" s="53">
        <v>0</v>
      </c>
      <c r="H2455" s="51" t="str">
        <f>TEXT(tblLaborEntries[[#This Row],[Work date serial]]-WEEKDAY(tblLaborEntries[[#This Row],[Work date serial]],3),"yyyy-mm-dd")</f>
        <v>2024-11-11</v>
      </c>
      <c r="I2455" s="64">
        <f>DATEVALUE(tblLaborEntries[[#This Row],[Work date]])</f>
        <v>45611.0</v>
      </c>
    </row>
    <row r="2456" spans="1:9" ht="15" x14ac:dyDescent="0.25">
      <c r="A2456" s="53" t="inlineStr">
        <is>
          <t>LAB-002455</t>
        </is>
      </c>
      <c r="B2456" s="53" t="inlineStr">
        <is>
          <t>WP-01075</t>
        </is>
      </c>
      <c r="C2456" s="53" t="inlineStr">
        <is>
          <t>TECH-007</t>
        </is>
      </c>
      <c r="D2456" s="53" t="inlineStr">
        <is>
          <t>Airframe</t>
        </is>
      </c>
      <c r="E2456" s="53" t="inlineStr">
        <is>
          <t>2024-09-19</t>
        </is>
      </c>
      <c r="F2456" s="53">
        <v>4.7</v>
      </c>
      <c r="G2456" s="53">
        <v>0</v>
      </c>
      <c r="H2456" s="51" t="str">
        <f>TEXT(tblLaborEntries[[#This Row],[Work date serial]]-WEEKDAY(tblLaborEntries[[#This Row],[Work date serial]],3),"yyyy-mm-dd")</f>
        <v>2024-09-16</v>
      </c>
      <c r="I2456" s="64">
        <f>DATEVALUE(tblLaborEntries[[#This Row],[Work date]])</f>
        <v>45554.0</v>
      </c>
    </row>
    <row r="2457" spans="1:9" ht="15" x14ac:dyDescent="0.25">
      <c r="A2457" s="53" t="inlineStr">
        <is>
          <t>LAB-002456</t>
        </is>
      </c>
      <c r="B2457" s="53" t="inlineStr">
        <is>
          <t>WP-01075</t>
        </is>
      </c>
      <c r="C2457" s="53" t="inlineStr">
        <is>
          <t>TECH-055</t>
        </is>
      </c>
      <c r="D2457" s="53" t="inlineStr">
        <is>
          <t>Airframe</t>
        </is>
      </c>
      <c r="E2457" s="53" t="inlineStr">
        <is>
          <t>2024-09-20</t>
        </is>
      </c>
      <c r="F2457" s="53">
        <v>4.2</v>
      </c>
      <c r="G2457" s="53">
        <v>0</v>
      </c>
      <c r="H2457" s="51" t="str">
        <f>TEXT(tblLaborEntries[[#This Row],[Work date serial]]-WEEKDAY(tblLaborEntries[[#This Row],[Work date serial]],3),"yyyy-mm-dd")</f>
        <v>2024-09-16</v>
      </c>
      <c r="I2457" s="64">
        <f>DATEVALUE(tblLaborEntries[[#This Row],[Work date]])</f>
        <v>45555.0</v>
      </c>
    </row>
    <row r="2458" spans="1:9" ht="15" x14ac:dyDescent="0.25">
      <c r="A2458" s="53" t="inlineStr">
        <is>
          <t>LAB-002457</t>
        </is>
      </c>
      <c r="B2458" s="53" t="inlineStr">
        <is>
          <t>WP-01076</t>
        </is>
      </c>
      <c r="C2458" s="53" t="inlineStr">
        <is>
          <t>TECH-068</t>
        </is>
      </c>
      <c r="D2458" s="53" t="inlineStr">
        <is>
          <t>Avionics</t>
        </is>
      </c>
      <c r="E2458" s="53" t="inlineStr">
        <is>
          <t>2025-06-17</t>
        </is>
      </c>
      <c r="F2458" s="53">
        <v>1.3</v>
      </c>
      <c r="G2458" s="53">
        <v>0</v>
      </c>
      <c r="H2458" s="51" t="str">
        <f>TEXT(tblLaborEntries[[#This Row],[Work date serial]]-WEEKDAY(tblLaborEntries[[#This Row],[Work date serial]],3),"yyyy-mm-dd")</f>
        <v>2025-06-16</v>
      </c>
      <c r="I2458" s="64">
        <f>DATEVALUE(tblLaborEntries[[#This Row],[Work date]])</f>
        <v>45825.0</v>
      </c>
    </row>
    <row r="2459" spans="1:9" ht="15" x14ac:dyDescent="0.25">
      <c r="A2459" s="53" t="inlineStr">
        <is>
          <t>LAB-002458</t>
        </is>
      </c>
      <c r="B2459" s="53" t="inlineStr">
        <is>
          <t>WP-01076</t>
        </is>
      </c>
      <c r="C2459" s="53" t="inlineStr">
        <is>
          <t>TECH-032</t>
        </is>
      </c>
      <c r="D2459" s="53" t="inlineStr">
        <is>
          <t>Avionics</t>
        </is>
      </c>
      <c r="E2459" s="53" t="inlineStr">
        <is>
          <t>2025-06-18</t>
        </is>
      </c>
      <c r="F2459" s="53">
        <v>1.6</v>
      </c>
      <c r="G2459" s="53">
        <v>0</v>
      </c>
      <c r="H2459" s="51" t="str">
        <f>TEXT(tblLaborEntries[[#This Row],[Work date serial]]-WEEKDAY(tblLaborEntries[[#This Row],[Work date serial]],3),"yyyy-mm-dd")</f>
        <v>2025-06-16</v>
      </c>
      <c r="I2459" s="64">
        <f>DATEVALUE(tblLaborEntries[[#This Row],[Work date]])</f>
        <v>45826.0</v>
      </c>
    </row>
    <row r="2460" spans="1:9" ht="15" x14ac:dyDescent="0.25">
      <c r="A2460" s="53" t="inlineStr">
        <is>
          <t>LAB-002459</t>
        </is>
      </c>
      <c r="B2460" s="53" t="inlineStr">
        <is>
          <t>WP-01076</t>
        </is>
      </c>
      <c r="C2460" s="53" t="inlineStr">
        <is>
          <t>TECH-050</t>
        </is>
      </c>
      <c r="D2460" s="53" t="inlineStr">
        <is>
          <t>Avionics</t>
        </is>
      </c>
      <c r="E2460" s="53" t="inlineStr">
        <is>
          <t>2025-06-19</t>
        </is>
      </c>
      <c r="F2460" s="53">
        <v>1.6</v>
      </c>
      <c r="G2460" s="53">
        <v>0</v>
      </c>
      <c r="H2460" s="51" t="str">
        <f>TEXT(tblLaborEntries[[#This Row],[Work date serial]]-WEEKDAY(tblLaborEntries[[#This Row],[Work date serial]],3),"yyyy-mm-dd")</f>
        <v>2025-06-16</v>
      </c>
      <c r="I2460" s="64">
        <f>DATEVALUE(tblLaborEntries[[#This Row],[Work date]])</f>
        <v>45827.0</v>
      </c>
    </row>
    <row r="2461" spans="1:9" ht="15" x14ac:dyDescent="0.25">
      <c r="A2461" s="53" t="inlineStr">
        <is>
          <t>LAB-002460</t>
        </is>
      </c>
      <c r="B2461" s="53" t="inlineStr">
        <is>
          <t>WP-01077</t>
        </is>
      </c>
      <c r="C2461" s="53" t="inlineStr">
        <is>
          <t>TECH-037</t>
        </is>
      </c>
      <c r="D2461" s="53" t="inlineStr">
        <is>
          <t>Airframe</t>
        </is>
      </c>
      <c r="E2461" s="53" t="inlineStr">
        <is>
          <t>2024-12-07</t>
        </is>
      </c>
      <c r="F2461" s="53">
        <v>4.3</v>
      </c>
      <c r="G2461" s="53">
        <v>0</v>
      </c>
      <c r="H2461" s="51" t="str">
        <f>TEXT(tblLaborEntries[[#This Row],[Work date serial]]-WEEKDAY(tblLaborEntries[[#This Row],[Work date serial]],3),"yyyy-mm-dd")</f>
        <v>2024-12-02</v>
      </c>
      <c r="I2461" s="64">
        <f>DATEVALUE(tblLaborEntries[[#This Row],[Work date]])</f>
        <v>45633.0</v>
      </c>
    </row>
    <row r="2462" spans="1:9" ht="15" x14ac:dyDescent="0.25">
      <c r="A2462" s="53" t="inlineStr">
        <is>
          <t>LAB-002461</t>
        </is>
      </c>
      <c r="B2462" s="53" t="inlineStr">
        <is>
          <t>WP-01077</t>
        </is>
      </c>
      <c r="C2462" s="53" t="inlineStr">
        <is>
          <t>TECH-067</t>
        </is>
      </c>
      <c r="D2462" s="53" t="inlineStr">
        <is>
          <t>Airframe</t>
        </is>
      </c>
      <c r="E2462" s="53" t="inlineStr">
        <is>
          <t>2024-12-08</t>
        </is>
      </c>
      <c r="F2462" s="53">
        <v>3.5</v>
      </c>
      <c r="G2462" s="53">
        <v>0</v>
      </c>
      <c r="H2462" s="51" t="str">
        <f>TEXT(tblLaborEntries[[#This Row],[Work date serial]]-WEEKDAY(tblLaborEntries[[#This Row],[Work date serial]],3),"yyyy-mm-dd")</f>
        <v>2024-12-02</v>
      </c>
      <c r="I2462" s="64">
        <f>DATEVALUE(tblLaborEntries[[#This Row],[Work date]])</f>
        <v>45634.0</v>
      </c>
    </row>
    <row r="2463" spans="1:9" ht="15" x14ac:dyDescent="0.25">
      <c r="A2463" s="53" t="inlineStr">
        <is>
          <t>LAB-002462</t>
        </is>
      </c>
      <c r="B2463" s="53" t="inlineStr">
        <is>
          <t>WP-01078</t>
        </is>
      </c>
      <c r="C2463" s="53" t="inlineStr">
        <is>
          <t>TECH-006</t>
        </is>
      </c>
      <c r="D2463" s="53" t="inlineStr">
        <is>
          <t>Powerplant</t>
        </is>
      </c>
      <c r="E2463" s="53" t="inlineStr">
        <is>
          <t>2024-04-22</t>
        </is>
      </c>
      <c r="F2463" s="53">
        <v>12</v>
      </c>
      <c r="G2463" s="53">
        <v>4</v>
      </c>
      <c r="H2463" s="51" t="str">
        <f>TEXT(tblLaborEntries[[#This Row],[Work date serial]]-WEEKDAY(tblLaborEntries[[#This Row],[Work date serial]],3),"yyyy-mm-dd")</f>
        <v>2024-04-22</v>
      </c>
      <c r="I2463" s="64">
        <f>DATEVALUE(tblLaborEntries[[#This Row],[Work date]])</f>
        <v>45404.0</v>
      </c>
    </row>
    <row r="2464" spans="1:9" ht="15" x14ac:dyDescent="0.25">
      <c r="A2464" s="53" t="inlineStr">
        <is>
          <t>LAB-002463</t>
        </is>
      </c>
      <c r="B2464" s="53" t="inlineStr">
        <is>
          <t>WP-01078</t>
        </is>
      </c>
      <c r="C2464" s="53" t="inlineStr">
        <is>
          <t>TECH-012</t>
        </is>
      </c>
      <c r="D2464" s="53" t="inlineStr">
        <is>
          <t>Powerplant</t>
        </is>
      </c>
      <c r="E2464" s="53" t="inlineStr">
        <is>
          <t>2024-04-22</t>
        </is>
      </c>
      <c r="F2464" s="53">
        <v>1.7</v>
      </c>
      <c r="G2464" s="53">
        <v>0</v>
      </c>
      <c r="H2464" s="51" t="str">
        <f>TEXT(tblLaborEntries[[#This Row],[Work date serial]]-WEEKDAY(tblLaborEntries[[#This Row],[Work date serial]],3),"yyyy-mm-dd")</f>
        <v>2024-04-22</v>
      </c>
      <c r="I2464" s="64">
        <f>DATEVALUE(tblLaborEntries[[#This Row],[Work date]])</f>
        <v>45404.0</v>
      </c>
    </row>
    <row r="2465" spans="1:9" ht="15" x14ac:dyDescent="0.25">
      <c r="A2465" s="53" t="inlineStr">
        <is>
          <t>LAB-002464</t>
        </is>
      </c>
      <c r="B2465" s="53" t="inlineStr">
        <is>
          <t>WP-01078</t>
        </is>
      </c>
      <c r="C2465" s="53" t="inlineStr">
        <is>
          <t>TECH-066</t>
        </is>
      </c>
      <c r="D2465" s="53" t="inlineStr">
        <is>
          <t>Powerplant</t>
        </is>
      </c>
      <c r="E2465" s="53" t="inlineStr">
        <is>
          <t>2024-04-22</t>
        </is>
      </c>
      <c r="F2465" s="53">
        <v>12</v>
      </c>
      <c r="G2465" s="53">
        <v>4</v>
      </c>
      <c r="H2465" s="51" t="str">
        <f>TEXT(tblLaborEntries[[#This Row],[Work date serial]]-WEEKDAY(tblLaborEntries[[#This Row],[Work date serial]],3),"yyyy-mm-dd")</f>
        <v>2024-04-22</v>
      </c>
      <c r="I2465" s="64">
        <f>DATEVALUE(tblLaborEntries[[#This Row],[Work date]])</f>
        <v>45404.0</v>
      </c>
    </row>
    <row r="2466" spans="1:9" ht="15" x14ac:dyDescent="0.25">
      <c r="A2466" s="53" t="inlineStr">
        <is>
          <t>LAB-002465</t>
        </is>
      </c>
      <c r="B2466" s="53" t="inlineStr">
        <is>
          <t>WP-01079</t>
        </is>
      </c>
      <c r="C2466" s="53" t="inlineStr">
        <is>
          <t>TECH-073</t>
        </is>
      </c>
      <c r="D2466" s="53" t="inlineStr">
        <is>
          <t>Airframe</t>
        </is>
      </c>
      <c r="E2466" s="53" t="inlineStr">
        <is>
          <t>2025-06-30</t>
        </is>
      </c>
      <c r="F2466" s="53">
        <v>3</v>
      </c>
      <c r="G2466" s="53">
        <v>0</v>
      </c>
      <c r="H2466" s="51" t="str">
        <f>TEXT(tblLaborEntries[[#This Row],[Work date serial]]-WEEKDAY(tblLaborEntries[[#This Row],[Work date serial]],3),"yyyy-mm-dd")</f>
        <v>2025-06-30</v>
      </c>
      <c r="I2466" s="64">
        <f>DATEVALUE(tblLaborEntries[[#This Row],[Work date]])</f>
        <v>45838.0</v>
      </c>
    </row>
    <row r="2467" spans="1:9" ht="15" x14ac:dyDescent="0.25">
      <c r="A2467" s="53" t="inlineStr">
        <is>
          <t>LAB-002466</t>
        </is>
      </c>
      <c r="B2467" s="53" t="inlineStr">
        <is>
          <t>WP-01079</t>
        </is>
      </c>
      <c r="C2467" s="53" t="inlineStr">
        <is>
          <t>TECH-055</t>
        </is>
      </c>
      <c r="D2467" s="53" t="inlineStr">
        <is>
          <t>Airframe</t>
        </is>
      </c>
      <c r="E2467" s="53" t="inlineStr">
        <is>
          <t>2025-07-01</t>
        </is>
      </c>
      <c r="F2467" s="53">
        <v>3.2</v>
      </c>
      <c r="G2467" s="53">
        <v>0</v>
      </c>
      <c r="H2467" s="51" t="str">
        <f>TEXT(tblLaborEntries[[#This Row],[Work date serial]]-WEEKDAY(tblLaborEntries[[#This Row],[Work date serial]],3),"yyyy-mm-dd")</f>
        <v>2025-06-30</v>
      </c>
      <c r="I2467" s="64">
        <f>DATEVALUE(tblLaborEntries[[#This Row],[Work date]])</f>
        <v>45839.0</v>
      </c>
    </row>
    <row r="2468" spans="1:9" ht="15" x14ac:dyDescent="0.25">
      <c r="A2468" s="53" t="inlineStr">
        <is>
          <t>LAB-002467</t>
        </is>
      </c>
      <c r="B2468" s="53" t="inlineStr">
        <is>
          <t>WP-01080</t>
        </is>
      </c>
      <c r="C2468" s="53" t="inlineStr">
        <is>
          <t>TECH-032</t>
        </is>
      </c>
      <c r="D2468" s="53" t="inlineStr">
        <is>
          <t>Avionics</t>
        </is>
      </c>
      <c r="E2468" s="53" t="inlineStr">
        <is>
          <t>2024-12-28</t>
        </is>
      </c>
      <c r="F2468" s="53">
        <v>2.4</v>
      </c>
      <c r="G2468" s="53">
        <v>0</v>
      </c>
      <c r="H2468" s="51" t="str">
        <f>TEXT(tblLaborEntries[[#This Row],[Work date serial]]-WEEKDAY(tblLaborEntries[[#This Row],[Work date serial]],3),"yyyy-mm-dd")</f>
        <v>2024-12-23</v>
      </c>
      <c r="I2468" s="64">
        <f>DATEVALUE(tblLaborEntries[[#This Row],[Work date]])</f>
        <v>45654.0</v>
      </c>
    </row>
    <row r="2469" spans="1:9" ht="15" x14ac:dyDescent="0.25">
      <c r="A2469" s="53" t="inlineStr">
        <is>
          <t>LAB-002468</t>
        </is>
      </c>
      <c r="B2469" s="53" t="inlineStr">
        <is>
          <t>WP-01080</t>
        </is>
      </c>
      <c r="C2469" s="53" t="inlineStr">
        <is>
          <t>TECH-014</t>
        </is>
      </c>
      <c r="D2469" s="53" t="inlineStr">
        <is>
          <t>Avionics</t>
        </is>
      </c>
      <c r="E2469" s="53" t="inlineStr">
        <is>
          <t>2024-12-29</t>
        </is>
      </c>
      <c r="F2469" s="53">
        <v>2.3</v>
      </c>
      <c r="G2469" s="53">
        <v>0</v>
      </c>
      <c r="H2469" s="51" t="str">
        <f>TEXT(tblLaborEntries[[#This Row],[Work date serial]]-WEEKDAY(tblLaborEntries[[#This Row],[Work date serial]],3),"yyyy-mm-dd")</f>
        <v>2024-12-23</v>
      </c>
      <c r="I2469" s="64">
        <f>DATEVALUE(tblLaborEntries[[#This Row],[Work date]])</f>
        <v>45655.0</v>
      </c>
    </row>
    <row r="2470" spans="1:9" ht="15" x14ac:dyDescent="0.25">
      <c r="A2470" s="53" t="inlineStr">
        <is>
          <t>LAB-002469</t>
        </is>
      </c>
      <c r="B2470" s="53" t="inlineStr">
        <is>
          <t>WP-01080</t>
        </is>
      </c>
      <c r="C2470" s="53" t="inlineStr">
        <is>
          <t>TECH-050</t>
        </is>
      </c>
      <c r="D2470" s="53" t="inlineStr">
        <is>
          <t>Avionics</t>
        </is>
      </c>
      <c r="E2470" s="53" t="inlineStr">
        <is>
          <t>2024-12-30</t>
        </is>
      </c>
      <c r="F2470" s="53">
        <v>2.4</v>
      </c>
      <c r="G2470" s="53">
        <v>0</v>
      </c>
      <c r="H2470" s="51" t="str">
        <f>TEXT(tblLaborEntries[[#This Row],[Work date serial]]-WEEKDAY(tblLaborEntries[[#This Row],[Work date serial]],3),"yyyy-mm-dd")</f>
        <v>2024-12-30</v>
      </c>
      <c r="I2470" s="64">
        <f>DATEVALUE(tblLaborEntries[[#This Row],[Work date]])</f>
        <v>45656.0</v>
      </c>
    </row>
    <row r="2471" spans="1:9" ht="15" x14ac:dyDescent="0.25">
      <c r="A2471" s="53" t="inlineStr">
        <is>
          <t>LAB-002470</t>
        </is>
      </c>
      <c r="B2471" s="53" t="inlineStr">
        <is>
          <t>WP-01081</t>
        </is>
      </c>
      <c r="C2471" s="53" t="inlineStr">
        <is>
          <t>TECH-025</t>
        </is>
      </c>
      <c r="D2471" s="53" t="inlineStr">
        <is>
          <t>Airframe</t>
        </is>
      </c>
      <c r="E2471" s="53" t="inlineStr">
        <is>
          <t>2025-11-25</t>
        </is>
      </c>
      <c r="F2471" s="53">
        <v>2.2</v>
      </c>
      <c r="G2471" s="53">
        <v>0</v>
      </c>
      <c r="H2471" s="51" t="str">
        <f>TEXT(tblLaborEntries[[#This Row],[Work date serial]]-WEEKDAY(tblLaborEntries[[#This Row],[Work date serial]],3),"yyyy-mm-dd")</f>
        <v>2025-11-24</v>
      </c>
      <c r="I2471" s="64">
        <f>DATEVALUE(tblLaborEntries[[#This Row],[Work date]])</f>
        <v>45986.0</v>
      </c>
    </row>
    <row r="2472" spans="1:9" ht="15" x14ac:dyDescent="0.25">
      <c r="A2472" s="53" t="inlineStr">
        <is>
          <t>LAB-002471</t>
        </is>
      </c>
      <c r="B2472" s="53" t="inlineStr">
        <is>
          <t>WP-01081</t>
        </is>
      </c>
      <c r="C2472" s="53" t="inlineStr">
        <is>
          <t>TECH-001</t>
        </is>
      </c>
      <c r="D2472" s="53" t="inlineStr">
        <is>
          <t>Airframe</t>
        </is>
      </c>
      <c r="E2472" s="53" t="inlineStr">
        <is>
          <t>2025-11-26</t>
        </is>
      </c>
      <c r="F2472" s="53">
        <v>2.8</v>
      </c>
      <c r="G2472" s="53">
        <v>0</v>
      </c>
      <c r="H2472" s="51" t="str">
        <f>TEXT(tblLaborEntries[[#This Row],[Work date serial]]-WEEKDAY(tblLaborEntries[[#This Row],[Work date serial]],3),"yyyy-mm-dd")</f>
        <v>2025-11-24</v>
      </c>
      <c r="I2472" s="64">
        <f>DATEVALUE(tblLaborEntries[[#This Row],[Work date]])</f>
        <v>45987.0</v>
      </c>
    </row>
    <row r="2473" spans="1:9" ht="15" x14ac:dyDescent="0.25">
      <c r="A2473" s="53" t="inlineStr">
        <is>
          <t>LAB-002472</t>
        </is>
      </c>
      <c r="B2473" s="53" t="inlineStr">
        <is>
          <t>WP-01081</t>
        </is>
      </c>
      <c r="C2473" s="53" t="inlineStr">
        <is>
          <t>TECH-073</t>
        </is>
      </c>
      <c r="D2473" s="53" t="inlineStr">
        <is>
          <t>Airframe</t>
        </is>
      </c>
      <c r="E2473" s="53" t="inlineStr">
        <is>
          <t>2025-11-27</t>
        </is>
      </c>
      <c r="F2473" s="53">
        <v>2</v>
      </c>
      <c r="G2473" s="53">
        <v>0</v>
      </c>
      <c r="H2473" s="51" t="str">
        <f>TEXT(tblLaborEntries[[#This Row],[Work date serial]]-WEEKDAY(tblLaborEntries[[#This Row],[Work date serial]],3),"yyyy-mm-dd")</f>
        <v>2025-11-24</v>
      </c>
      <c r="I2473" s="64">
        <f>DATEVALUE(tblLaborEntries[[#This Row],[Work date]])</f>
        <v>45988.0</v>
      </c>
    </row>
    <row r="2474" spans="1:9" ht="15" x14ac:dyDescent="0.25">
      <c r="A2474" s="53" t="inlineStr">
        <is>
          <t>LAB-002473</t>
        </is>
      </c>
      <c r="B2474" s="53" t="inlineStr">
        <is>
          <t>WP-01082</t>
        </is>
      </c>
      <c r="C2474" s="53" t="inlineStr">
        <is>
          <t>TECH-056</t>
        </is>
      </c>
      <c r="D2474" s="53" t="inlineStr">
        <is>
          <t>Avionics</t>
        </is>
      </c>
      <c r="E2474" s="53" t="inlineStr">
        <is>
          <t>2024-07-16</t>
        </is>
      </c>
      <c r="F2474" s="53">
        <v>7.3</v>
      </c>
      <c r="G2474" s="53">
        <v>0</v>
      </c>
      <c r="H2474" s="51" t="str">
        <f>TEXT(tblLaborEntries[[#This Row],[Work date serial]]-WEEKDAY(tblLaborEntries[[#This Row],[Work date serial]],3),"yyyy-mm-dd")</f>
        <v>2024-07-15</v>
      </c>
      <c r="I2474" s="64">
        <f>DATEVALUE(tblLaborEntries[[#This Row],[Work date]])</f>
        <v>45489.0</v>
      </c>
    </row>
    <row r="2475" spans="1:9" ht="15" x14ac:dyDescent="0.25">
      <c r="A2475" s="53" t="inlineStr">
        <is>
          <t>LAB-002474</t>
        </is>
      </c>
      <c r="B2475" s="53" t="inlineStr">
        <is>
          <t>WP-01082</t>
        </is>
      </c>
      <c r="C2475" s="53" t="inlineStr">
        <is>
          <t>TECH-008</t>
        </is>
      </c>
      <c r="D2475" s="53" t="inlineStr">
        <is>
          <t>Avionics</t>
        </is>
      </c>
      <c r="E2475" s="53" t="inlineStr">
        <is>
          <t>2024-07-17</t>
        </is>
      </c>
      <c r="F2475" s="53">
        <v>7.1</v>
      </c>
      <c r="G2475" s="53">
        <v>0</v>
      </c>
      <c r="H2475" s="51" t="str">
        <f>TEXT(tblLaborEntries[[#This Row],[Work date serial]]-WEEKDAY(tblLaborEntries[[#This Row],[Work date serial]],3),"yyyy-mm-dd")</f>
        <v>2024-07-15</v>
      </c>
      <c r="I2475" s="64">
        <f>DATEVALUE(tblLaborEntries[[#This Row],[Work date]])</f>
        <v>45490.0</v>
      </c>
    </row>
    <row r="2476" spans="1:9" ht="15" x14ac:dyDescent="0.25">
      <c r="A2476" s="53" t="inlineStr">
        <is>
          <t>LAB-002475</t>
        </is>
      </c>
      <c r="B2476" s="53" t="inlineStr">
        <is>
          <t>WP-01083</t>
        </is>
      </c>
      <c r="C2476" s="53" t="inlineStr">
        <is>
          <t>TECH-041</t>
        </is>
      </c>
      <c r="D2476" s="53" t="inlineStr">
        <is>
          <t>Structures</t>
        </is>
      </c>
      <c r="E2476" s="53" t="inlineStr">
        <is>
          <t>2025-04-15</t>
        </is>
      </c>
      <c r="F2476" s="53">
        <v>8.7</v>
      </c>
      <c r="G2476" s="53">
        <v>0.7</v>
      </c>
      <c r="H2476" s="51" t="str">
        <f>TEXT(tblLaborEntries[[#This Row],[Work date serial]]-WEEKDAY(tblLaborEntries[[#This Row],[Work date serial]],3),"yyyy-mm-dd")</f>
        <v>2025-04-14</v>
      </c>
      <c r="I2476" s="64">
        <f>DATEVALUE(tblLaborEntries[[#This Row],[Work date]])</f>
        <v>45762.0</v>
      </c>
    </row>
    <row r="2477" spans="1:9" ht="15" x14ac:dyDescent="0.25">
      <c r="A2477" s="53" t="inlineStr">
        <is>
          <t>LAB-002476</t>
        </is>
      </c>
      <c r="B2477" s="53" t="inlineStr">
        <is>
          <t>WP-01083</t>
        </is>
      </c>
      <c r="C2477" s="53" t="inlineStr">
        <is>
          <t>TECH-005</t>
        </is>
      </c>
      <c r="D2477" s="53" t="inlineStr">
        <is>
          <t>Structures</t>
        </is>
      </c>
      <c r="E2477" s="53" t="inlineStr">
        <is>
          <t>2025-04-16</t>
        </is>
      </c>
      <c r="F2477" s="53">
        <v>1.5</v>
      </c>
      <c r="G2477" s="53">
        <v>0</v>
      </c>
      <c r="H2477" s="51" t="str">
        <f>TEXT(tblLaborEntries[[#This Row],[Work date serial]]-WEEKDAY(tblLaborEntries[[#This Row],[Work date serial]],3),"yyyy-mm-dd")</f>
        <v>2025-04-14</v>
      </c>
      <c r="I2477" s="64">
        <f>DATEVALUE(tblLaborEntries[[#This Row],[Work date]])</f>
        <v>45763.0</v>
      </c>
    </row>
    <row r="2478" spans="1:9" ht="15" x14ac:dyDescent="0.25">
      <c r="A2478" s="53" t="inlineStr">
        <is>
          <t>LAB-002477</t>
        </is>
      </c>
      <c r="B2478" s="53" t="inlineStr">
        <is>
          <t>WP-01083</t>
        </is>
      </c>
      <c r="C2478" s="53" t="inlineStr">
        <is>
          <t>TECH-071</t>
        </is>
      </c>
      <c r="D2478" s="53" t="inlineStr">
        <is>
          <t>Structures</t>
        </is>
      </c>
      <c r="E2478" s="53" t="inlineStr">
        <is>
          <t>2025-04-16</t>
        </is>
      </c>
      <c r="F2478" s="53">
        <v>12</v>
      </c>
      <c r="G2478" s="53">
        <v>4</v>
      </c>
      <c r="H2478" s="51" t="str">
        <f>TEXT(tblLaborEntries[[#This Row],[Work date serial]]-WEEKDAY(tblLaborEntries[[#This Row],[Work date serial]],3),"yyyy-mm-dd")</f>
        <v>2025-04-14</v>
      </c>
      <c r="I2478" s="64">
        <f>DATEVALUE(tblLaborEntries[[#This Row],[Work date]])</f>
        <v>45763.0</v>
      </c>
    </row>
    <row r="2479" spans="1:9" ht="15" x14ac:dyDescent="0.25">
      <c r="A2479" s="53" t="inlineStr">
        <is>
          <t>LAB-002478</t>
        </is>
      </c>
      <c r="B2479" s="53" t="inlineStr">
        <is>
          <t>WP-01083</t>
        </is>
      </c>
      <c r="C2479" s="53" t="inlineStr">
        <is>
          <t>TECH-059</t>
        </is>
      </c>
      <c r="D2479" s="53" t="inlineStr">
        <is>
          <t>Structures</t>
        </is>
      </c>
      <c r="E2479" s="53" t="inlineStr">
        <is>
          <t>2025-04-17</t>
        </is>
      </c>
      <c r="F2479" s="53">
        <v>10.2</v>
      </c>
      <c r="G2479" s="53">
        <v>2.2</v>
      </c>
      <c r="H2479" s="51" t="str">
        <f>TEXT(tblLaborEntries[[#This Row],[Work date serial]]-WEEKDAY(tblLaborEntries[[#This Row],[Work date serial]],3),"yyyy-mm-dd")</f>
        <v>2025-04-14</v>
      </c>
      <c r="I2479" s="64">
        <f>DATEVALUE(tblLaborEntries[[#This Row],[Work date]])</f>
        <v>45764.0</v>
      </c>
    </row>
    <row r="2480" spans="1:9" ht="15" x14ac:dyDescent="0.25">
      <c r="A2480" s="53" t="inlineStr">
        <is>
          <t>LAB-002479</t>
        </is>
      </c>
      <c r="B2480" s="53" t="inlineStr">
        <is>
          <t>WP-01084</t>
        </is>
      </c>
      <c r="C2480" s="53" t="inlineStr">
        <is>
          <t>TECH-025</t>
        </is>
      </c>
      <c r="D2480" s="53" t="inlineStr">
        <is>
          <t>Airframe</t>
        </is>
      </c>
      <c r="E2480" s="53" t="inlineStr">
        <is>
          <t>2025-10-19</t>
        </is>
      </c>
      <c r="F2480" s="53">
        <v>2.6</v>
      </c>
      <c r="G2480" s="53">
        <v>0</v>
      </c>
      <c r="H2480" s="51" t="str">
        <f>TEXT(tblLaborEntries[[#This Row],[Work date serial]]-WEEKDAY(tblLaborEntries[[#This Row],[Work date serial]],3),"yyyy-mm-dd")</f>
        <v>2025-10-13</v>
      </c>
      <c r="I2480" s="64">
        <f>DATEVALUE(tblLaborEntries[[#This Row],[Work date]])</f>
        <v>45949.0</v>
      </c>
    </row>
    <row r="2481" spans="1:9" ht="15" x14ac:dyDescent="0.25">
      <c r="A2481" s="53" t="inlineStr">
        <is>
          <t>LAB-002480</t>
        </is>
      </c>
      <c r="B2481" s="53" t="inlineStr">
        <is>
          <t>WP-01085</t>
        </is>
      </c>
      <c r="C2481" s="53" t="inlineStr">
        <is>
          <t>TECH-009</t>
        </is>
      </c>
      <c r="D2481" s="53" t="inlineStr">
        <is>
          <t>Hydraulics</t>
        </is>
      </c>
      <c r="E2481" s="53" t="inlineStr">
        <is>
          <t>2025-09-27</t>
        </is>
      </c>
      <c r="F2481" s="53">
        <v>7.8</v>
      </c>
      <c r="G2481" s="53">
        <v>0</v>
      </c>
      <c r="H2481" s="51" t="str">
        <f>TEXT(tblLaborEntries[[#This Row],[Work date serial]]-WEEKDAY(tblLaborEntries[[#This Row],[Work date serial]],3),"yyyy-mm-dd")</f>
        <v>2025-09-22</v>
      </c>
      <c r="I2481" s="64">
        <f>DATEVALUE(tblLaborEntries[[#This Row],[Work date]])</f>
        <v>45927.0</v>
      </c>
    </row>
    <row r="2482" spans="1:9" ht="15" x14ac:dyDescent="0.25">
      <c r="A2482" s="53" t="inlineStr">
        <is>
          <t>LAB-002481</t>
        </is>
      </c>
      <c r="B2482" s="53" t="inlineStr">
        <is>
          <t>WP-01085</t>
        </is>
      </c>
      <c r="C2482" s="53" t="inlineStr">
        <is>
          <t>TECH-045</t>
        </is>
      </c>
      <c r="D2482" s="53" t="inlineStr">
        <is>
          <t>Hydraulics</t>
        </is>
      </c>
      <c r="E2482" s="53" t="inlineStr">
        <is>
          <t>2025-09-28</t>
        </is>
      </c>
      <c r="F2482" s="53">
        <v>8.1</v>
      </c>
      <c r="G2482" s="53">
        <v>0.1</v>
      </c>
      <c r="H2482" s="51" t="str">
        <f>TEXT(tblLaborEntries[[#This Row],[Work date serial]]-WEEKDAY(tblLaborEntries[[#This Row],[Work date serial]],3),"yyyy-mm-dd")</f>
        <v>2025-09-22</v>
      </c>
      <c r="I2482" s="64">
        <f>DATEVALUE(tblLaborEntries[[#This Row],[Work date]])</f>
        <v>45928.0</v>
      </c>
    </row>
    <row r="2483" spans="1:9" ht="15" x14ac:dyDescent="0.25">
      <c r="A2483" s="53" t="inlineStr">
        <is>
          <t>LAB-002482</t>
        </is>
      </c>
      <c r="B2483" s="53" t="inlineStr">
        <is>
          <t>WP-01086</t>
        </is>
      </c>
      <c r="C2483" s="53" t="inlineStr">
        <is>
          <t>TECH-067</t>
        </is>
      </c>
      <c r="D2483" s="53" t="inlineStr">
        <is>
          <t>Airframe</t>
        </is>
      </c>
      <c r="E2483" s="53" t="inlineStr">
        <is>
          <t>2025-08-04</t>
        </is>
      </c>
      <c r="F2483" s="53">
        <v>5.1</v>
      </c>
      <c r="G2483" s="53">
        <v>0</v>
      </c>
      <c r="H2483" s="51" t="str">
        <f>TEXT(tblLaborEntries[[#This Row],[Work date serial]]-WEEKDAY(tblLaborEntries[[#This Row],[Work date serial]],3),"yyyy-mm-dd")</f>
        <v>2025-08-04</v>
      </c>
      <c r="I2483" s="64">
        <f>DATEVALUE(tblLaborEntries[[#This Row],[Work date]])</f>
        <v>45873.0</v>
      </c>
    </row>
    <row r="2484" spans="1:9" ht="15" x14ac:dyDescent="0.25">
      <c r="A2484" s="53" t="inlineStr">
        <is>
          <t>LAB-002483</t>
        </is>
      </c>
      <c r="B2484" s="53" t="inlineStr">
        <is>
          <t>WP-01086</t>
        </is>
      </c>
      <c r="C2484" s="53" t="inlineStr">
        <is>
          <t>TECH-013</t>
        </is>
      </c>
      <c r="D2484" s="53" t="inlineStr">
        <is>
          <t>Airframe</t>
        </is>
      </c>
      <c r="E2484" s="53" t="inlineStr">
        <is>
          <t>2025-08-05</t>
        </is>
      </c>
      <c r="F2484" s="53">
        <v>4.7</v>
      </c>
      <c r="G2484" s="53">
        <v>0</v>
      </c>
      <c r="H2484" s="51" t="str">
        <f>TEXT(tblLaborEntries[[#This Row],[Work date serial]]-WEEKDAY(tblLaborEntries[[#This Row],[Work date serial]],3),"yyyy-mm-dd")</f>
        <v>2025-08-04</v>
      </c>
      <c r="I2484" s="64">
        <f>DATEVALUE(tblLaborEntries[[#This Row],[Work date]])</f>
        <v>45874.0</v>
      </c>
    </row>
    <row r="2485" spans="1:9" ht="15" x14ac:dyDescent="0.25">
      <c r="A2485" s="53" t="inlineStr">
        <is>
          <t>LAB-002484</t>
        </is>
      </c>
      <c r="B2485" s="53" t="inlineStr">
        <is>
          <t>WP-01087</t>
        </is>
      </c>
      <c r="C2485" s="53" t="inlineStr">
        <is>
          <t>TECH-042</t>
        </is>
      </c>
      <c r="D2485" s="53" t="inlineStr">
        <is>
          <t>Powerplant</t>
        </is>
      </c>
      <c r="E2485" s="53" t="inlineStr">
        <is>
          <t>2025-06-04</t>
        </is>
      </c>
      <c r="F2485" s="53">
        <v>6.7</v>
      </c>
      <c r="G2485" s="53">
        <v>0</v>
      </c>
      <c r="H2485" s="51" t="str">
        <f>TEXT(tblLaborEntries[[#This Row],[Work date serial]]-WEEKDAY(tblLaborEntries[[#This Row],[Work date serial]],3),"yyyy-mm-dd")</f>
        <v>2025-06-02</v>
      </c>
      <c r="I2485" s="64">
        <f>DATEVALUE(tblLaborEntries[[#This Row],[Work date]])</f>
        <v>45812.0</v>
      </c>
    </row>
    <row r="2486" spans="1:9" ht="15" x14ac:dyDescent="0.25">
      <c r="A2486" s="53" t="inlineStr">
        <is>
          <t>LAB-002485</t>
        </is>
      </c>
      <c r="B2486" s="53" t="inlineStr">
        <is>
          <t>WP-01088</t>
        </is>
      </c>
      <c r="C2486" s="53" t="inlineStr">
        <is>
          <t>TECH-014</t>
        </is>
      </c>
      <c r="D2486" s="53" t="inlineStr">
        <is>
          <t>Avionics</t>
        </is>
      </c>
      <c r="E2486" s="53" t="inlineStr">
        <is>
          <t>2024-07-06</t>
        </is>
      </c>
      <c r="F2486" s="53">
        <v>6.3</v>
      </c>
      <c r="G2486" s="53">
        <v>0</v>
      </c>
      <c r="H2486" s="51" t="str">
        <f>TEXT(tblLaborEntries[[#This Row],[Work date serial]]-WEEKDAY(tblLaborEntries[[#This Row],[Work date serial]],3),"yyyy-mm-dd")</f>
        <v>2024-07-01</v>
      </c>
      <c r="I2486" s="64">
        <f>DATEVALUE(tblLaborEntries[[#This Row],[Work date]])</f>
        <v>45479.0</v>
      </c>
    </row>
    <row r="2487" spans="1:9" ht="15" x14ac:dyDescent="0.25">
      <c r="A2487" s="53" t="inlineStr">
        <is>
          <t>LAB-002486</t>
        </is>
      </c>
      <c r="B2487" s="53" t="inlineStr">
        <is>
          <t>WP-01089</t>
        </is>
      </c>
      <c r="C2487" s="53" t="inlineStr">
        <is>
          <t>TECH-067</t>
        </is>
      </c>
      <c r="D2487" s="53" t="inlineStr">
        <is>
          <t>Airframe</t>
        </is>
      </c>
      <c r="E2487" s="53" t="inlineStr">
        <is>
          <t>2024-07-11</t>
        </is>
      </c>
      <c r="F2487" s="53">
        <v>2.4</v>
      </c>
      <c r="G2487" s="53">
        <v>0</v>
      </c>
      <c r="H2487" s="51" t="str">
        <f>TEXT(tblLaborEntries[[#This Row],[Work date serial]]-WEEKDAY(tblLaborEntries[[#This Row],[Work date serial]],3),"yyyy-mm-dd")</f>
        <v>2024-07-08</v>
      </c>
      <c r="I2487" s="64">
        <f>DATEVALUE(tblLaborEntries[[#This Row],[Work date]])</f>
        <v>45484.0</v>
      </c>
    </row>
    <row r="2488" spans="1:9" ht="15" x14ac:dyDescent="0.25">
      <c r="A2488" s="53" t="inlineStr">
        <is>
          <t>LAB-002487</t>
        </is>
      </c>
      <c r="B2488" s="53" t="inlineStr">
        <is>
          <t>WP-01089</t>
        </is>
      </c>
      <c r="C2488" s="53" t="inlineStr">
        <is>
          <t>TECH-001</t>
        </is>
      </c>
      <c r="D2488" s="53" t="inlineStr">
        <is>
          <t>Airframe</t>
        </is>
      </c>
      <c r="E2488" s="53" t="inlineStr">
        <is>
          <t>2024-07-12</t>
        </is>
      </c>
      <c r="F2488" s="53">
        <v>2.2</v>
      </c>
      <c r="G2488" s="53">
        <v>0</v>
      </c>
      <c r="H2488" s="51" t="str">
        <f>TEXT(tblLaborEntries[[#This Row],[Work date serial]]-WEEKDAY(tblLaborEntries[[#This Row],[Work date serial]],3),"yyyy-mm-dd")</f>
        <v>2024-07-08</v>
      </c>
      <c r="I2488" s="64">
        <f>DATEVALUE(tblLaborEntries[[#This Row],[Work date]])</f>
        <v>45485.0</v>
      </c>
    </row>
    <row r="2489" spans="1:9" ht="15" x14ac:dyDescent="0.25">
      <c r="A2489" s="53" t="inlineStr">
        <is>
          <t>LAB-002488</t>
        </is>
      </c>
      <c r="B2489" s="53" t="inlineStr">
        <is>
          <t>WP-01090</t>
        </is>
      </c>
      <c r="C2489" s="53" t="inlineStr">
        <is>
          <t>TECH-050</t>
        </is>
      </c>
      <c r="D2489" s="53" t="inlineStr">
        <is>
          <t>Avionics</t>
        </is>
      </c>
      <c r="E2489" s="53" t="inlineStr">
        <is>
          <t>2024-09-16</t>
        </is>
      </c>
      <c r="F2489" s="53">
        <v>1.4</v>
      </c>
      <c r="G2489" s="53">
        <v>0</v>
      </c>
      <c r="H2489" s="51" t="str">
        <f>TEXT(tblLaborEntries[[#This Row],[Work date serial]]-WEEKDAY(tblLaborEntries[[#This Row],[Work date serial]],3),"yyyy-mm-dd")</f>
        <v>2024-09-16</v>
      </c>
      <c r="I2489" s="64">
        <f>DATEVALUE(tblLaborEntries[[#This Row],[Work date]])</f>
        <v>45551.0</v>
      </c>
    </row>
    <row r="2490" spans="1:9" ht="15" x14ac:dyDescent="0.25">
      <c r="A2490" s="53" t="inlineStr">
        <is>
          <t>LAB-002489</t>
        </is>
      </c>
      <c r="B2490" s="53" t="inlineStr">
        <is>
          <t>WP-01090</t>
        </is>
      </c>
      <c r="C2490" s="53" t="inlineStr">
        <is>
          <t>TECH-044</t>
        </is>
      </c>
      <c r="D2490" s="53" t="inlineStr">
        <is>
          <t>Avionics</t>
        </is>
      </c>
      <c r="E2490" s="53" t="inlineStr">
        <is>
          <t>2024-09-17</t>
        </is>
      </c>
      <c r="F2490" s="53">
        <v>1.5</v>
      </c>
      <c r="G2490" s="53">
        <v>0</v>
      </c>
      <c r="H2490" s="51" t="str">
        <f>TEXT(tblLaborEntries[[#This Row],[Work date serial]]-WEEKDAY(tblLaborEntries[[#This Row],[Work date serial]],3),"yyyy-mm-dd")</f>
        <v>2024-09-16</v>
      </c>
      <c r="I2490" s="64">
        <f>DATEVALUE(tblLaborEntries[[#This Row],[Work date]])</f>
        <v>45552.0</v>
      </c>
    </row>
    <row r="2491" spans="1:9" ht="15" x14ac:dyDescent="0.25">
      <c r="A2491" s="53" t="inlineStr">
        <is>
          <t>LAB-002490</t>
        </is>
      </c>
      <c r="B2491" s="53" t="inlineStr">
        <is>
          <t>WP-01091</t>
        </is>
      </c>
      <c r="C2491" s="53" t="inlineStr">
        <is>
          <t>TECH-002</t>
        </is>
      </c>
      <c r="D2491" s="53" t="inlineStr">
        <is>
          <t>Avionics</t>
        </is>
      </c>
      <c r="E2491" s="53" t="inlineStr">
        <is>
          <t>2025-05-04</t>
        </is>
      </c>
      <c r="F2491" s="53">
        <v>7.2</v>
      </c>
      <c r="G2491" s="53">
        <v>0</v>
      </c>
      <c r="H2491" s="51" t="str">
        <f>TEXT(tblLaborEntries[[#This Row],[Work date serial]]-WEEKDAY(tblLaborEntries[[#This Row],[Work date serial]],3),"yyyy-mm-dd")</f>
        <v>2025-04-28</v>
      </c>
      <c r="I2491" s="64">
        <f>DATEVALUE(tblLaborEntries[[#This Row],[Work date]])</f>
        <v>45781.0</v>
      </c>
    </row>
    <row r="2492" spans="1:9" ht="15" x14ac:dyDescent="0.25">
      <c r="A2492" s="53" t="inlineStr">
        <is>
          <t>LAB-002491</t>
        </is>
      </c>
      <c r="B2492" s="53" t="inlineStr">
        <is>
          <t>WP-01091</t>
        </is>
      </c>
      <c r="C2492" s="53" t="inlineStr">
        <is>
          <t>TECH-068</t>
        </is>
      </c>
      <c r="D2492" s="53" t="inlineStr">
        <is>
          <t>Avionics</t>
        </is>
      </c>
      <c r="E2492" s="53" t="inlineStr">
        <is>
          <t>2025-05-04</t>
        </is>
      </c>
      <c r="F2492" s="53">
        <v>12</v>
      </c>
      <c r="G2492" s="53">
        <v>4</v>
      </c>
      <c r="H2492" s="51" t="str">
        <f>TEXT(tblLaborEntries[[#This Row],[Work date serial]]-WEEKDAY(tblLaborEntries[[#This Row],[Work date serial]],3),"yyyy-mm-dd")</f>
        <v>2025-04-28</v>
      </c>
      <c r="I2492" s="64">
        <f>DATEVALUE(tblLaborEntries[[#This Row],[Work date]])</f>
        <v>45781.0</v>
      </c>
    </row>
    <row r="2493" spans="1:9" ht="15" x14ac:dyDescent="0.25">
      <c r="A2493" s="53" t="inlineStr">
        <is>
          <t>LAB-002492</t>
        </is>
      </c>
      <c r="B2493" s="53" t="inlineStr">
        <is>
          <t>WP-01091</t>
        </is>
      </c>
      <c r="C2493" s="53" t="inlineStr">
        <is>
          <t>TECH-002</t>
        </is>
      </c>
      <c r="D2493" s="53" t="inlineStr">
        <is>
          <t>Avionics</t>
        </is>
      </c>
      <c r="E2493" s="53" t="inlineStr">
        <is>
          <t>2025-05-05</t>
        </is>
      </c>
      <c r="F2493" s="53">
        <v>8.2</v>
      </c>
      <c r="G2493" s="53">
        <v>0.2</v>
      </c>
      <c r="H2493" s="51" t="str">
        <f>TEXT(tblLaborEntries[[#This Row],[Work date serial]]-WEEKDAY(tblLaborEntries[[#This Row],[Work date serial]],3),"yyyy-mm-dd")</f>
        <v>2025-05-05</v>
      </c>
      <c r="I2493" s="64">
        <f>DATEVALUE(tblLaborEntries[[#This Row],[Work date]])</f>
        <v>45782.0</v>
      </c>
    </row>
    <row r="2494" spans="1:9" ht="15" x14ac:dyDescent="0.25">
      <c r="A2494" s="53" t="inlineStr">
        <is>
          <t>LAB-002493</t>
        </is>
      </c>
      <c r="B2494" s="53" t="inlineStr">
        <is>
          <t>WP-01091</t>
        </is>
      </c>
      <c r="C2494" s="53" t="inlineStr">
        <is>
          <t>TECH-008</t>
        </is>
      </c>
      <c r="D2494" s="53" t="inlineStr">
        <is>
          <t>Avionics</t>
        </is>
      </c>
      <c r="E2494" s="53" t="inlineStr">
        <is>
          <t>2025-05-05</t>
        </is>
      </c>
      <c r="F2494" s="53">
        <v>9.3</v>
      </c>
      <c r="G2494" s="53">
        <v>1.3</v>
      </c>
      <c r="H2494" s="51" t="str">
        <f>TEXT(tblLaborEntries[[#This Row],[Work date serial]]-WEEKDAY(tblLaborEntries[[#This Row],[Work date serial]],3),"yyyy-mm-dd")</f>
        <v>2025-05-05</v>
      </c>
      <c r="I2494" s="64">
        <f>DATEVALUE(tblLaborEntries[[#This Row],[Work date]])</f>
        <v>45782.0</v>
      </c>
    </row>
    <row r="2495" spans="1:9" ht="15" x14ac:dyDescent="0.25">
      <c r="A2495" s="53" t="inlineStr">
        <is>
          <t>LAB-002494</t>
        </is>
      </c>
      <c r="B2495" s="53" t="inlineStr">
        <is>
          <t>WP-01092</t>
        </is>
      </c>
      <c r="C2495" s="53" t="inlineStr">
        <is>
          <t>TECH-067</t>
        </is>
      </c>
      <c r="D2495" s="53" t="inlineStr">
        <is>
          <t>Airframe</t>
        </is>
      </c>
      <c r="E2495" s="53" t="inlineStr">
        <is>
          <t>2026-01-15</t>
        </is>
      </c>
      <c r="F2495" s="53">
        <v>2.1</v>
      </c>
      <c r="G2495" s="53">
        <v>0</v>
      </c>
      <c r="H2495" s="51" t="str">
        <f>TEXT(tblLaborEntries[[#This Row],[Work date serial]]-WEEKDAY(tblLaborEntries[[#This Row],[Work date serial]],3),"yyyy-mm-dd")</f>
        <v>2026-01-12</v>
      </c>
      <c r="I2495" s="64">
        <f>DATEVALUE(tblLaborEntries[[#This Row],[Work date]])</f>
        <v>46037.0</v>
      </c>
    </row>
    <row r="2496" spans="1:9" ht="15" x14ac:dyDescent="0.25">
      <c r="A2496" s="53" t="inlineStr">
        <is>
          <t>LAB-002495</t>
        </is>
      </c>
      <c r="B2496" s="53" t="inlineStr">
        <is>
          <t>WP-01092</t>
        </is>
      </c>
      <c r="C2496" s="53" t="inlineStr">
        <is>
          <t>TECH-013</t>
        </is>
      </c>
      <c r="D2496" s="53" t="inlineStr">
        <is>
          <t>Airframe</t>
        </is>
      </c>
      <c r="E2496" s="53" t="inlineStr">
        <is>
          <t>2026-01-16</t>
        </is>
      </c>
      <c r="F2496" s="53">
        <v>2.5</v>
      </c>
      <c r="G2496" s="53">
        <v>0</v>
      </c>
      <c r="H2496" s="51" t="str">
        <f>TEXT(tblLaborEntries[[#This Row],[Work date serial]]-WEEKDAY(tblLaborEntries[[#This Row],[Work date serial]],3),"yyyy-mm-dd")</f>
        <v>2026-01-12</v>
      </c>
      <c r="I2496" s="64">
        <f>DATEVALUE(tblLaborEntries[[#This Row],[Work date]])</f>
        <v>46038.0</v>
      </c>
    </row>
    <row r="2497" spans="1:9" ht="15" x14ac:dyDescent="0.25">
      <c r="A2497" s="53" t="inlineStr">
        <is>
          <t>LAB-002496</t>
        </is>
      </c>
      <c r="B2497" s="53" t="inlineStr">
        <is>
          <t>WP-01092</t>
        </is>
      </c>
      <c r="C2497" s="53" t="inlineStr">
        <is>
          <t>TECH-049</t>
        </is>
      </c>
      <c r="D2497" s="53" t="inlineStr">
        <is>
          <t>Airframe</t>
        </is>
      </c>
      <c r="E2497" s="53" t="inlineStr">
        <is>
          <t>2026-01-17</t>
        </is>
      </c>
      <c r="F2497" s="53">
        <v>2.1</v>
      </c>
      <c r="G2497" s="53">
        <v>0</v>
      </c>
      <c r="H2497" s="51" t="str">
        <f>TEXT(tblLaborEntries[[#This Row],[Work date serial]]-WEEKDAY(tblLaborEntries[[#This Row],[Work date serial]],3),"yyyy-mm-dd")</f>
        <v>2026-01-12</v>
      </c>
      <c r="I2497" s="64">
        <f>DATEVALUE(tblLaborEntries[[#This Row],[Work date]])</f>
        <v>46039.0</v>
      </c>
    </row>
    <row r="2498" spans="1:9" ht="15" x14ac:dyDescent="0.25">
      <c r="A2498" s="53" t="inlineStr">
        <is>
          <t>LAB-002497</t>
        </is>
      </c>
      <c r="B2498" s="53" t="inlineStr">
        <is>
          <t>WP-01093</t>
        </is>
      </c>
      <c r="C2498" s="53" t="inlineStr">
        <is>
          <t>TECH-066</t>
        </is>
      </c>
      <c r="D2498" s="53" t="inlineStr">
        <is>
          <t>Powerplant</t>
        </is>
      </c>
      <c r="E2498" s="53" t="inlineStr">
        <is>
          <t>2024-07-14</t>
        </is>
      </c>
      <c r="F2498" s="53">
        <v>3.5</v>
      </c>
      <c r="G2498" s="53">
        <v>0</v>
      </c>
      <c r="H2498" s="51" t="str">
        <f>TEXT(tblLaborEntries[[#This Row],[Work date serial]]-WEEKDAY(tblLaborEntries[[#This Row],[Work date serial]],3),"yyyy-mm-dd")</f>
        <v>2024-07-08</v>
      </c>
      <c r="I2498" s="64">
        <f>DATEVALUE(tblLaborEntries[[#This Row],[Work date]])</f>
        <v>45487.0</v>
      </c>
    </row>
    <row r="2499" spans="1:9" ht="15" x14ac:dyDescent="0.25">
      <c r="A2499" s="53" t="inlineStr">
        <is>
          <t>LAB-002498</t>
        </is>
      </c>
      <c r="B2499" s="53" t="inlineStr">
        <is>
          <t>WP-01093</t>
        </is>
      </c>
      <c r="C2499" s="53" t="inlineStr">
        <is>
          <t>TECH-042</t>
        </is>
      </c>
      <c r="D2499" s="53" t="inlineStr">
        <is>
          <t>Powerplant</t>
        </is>
      </c>
      <c r="E2499" s="53" t="inlineStr">
        <is>
          <t>2024-07-15</t>
        </is>
      </c>
      <c r="F2499" s="53">
        <v>5.5</v>
      </c>
      <c r="G2499" s="53">
        <v>0</v>
      </c>
      <c r="H2499" s="51" t="str">
        <f>TEXT(tblLaborEntries[[#This Row],[Work date serial]]-WEEKDAY(tblLaborEntries[[#This Row],[Work date serial]],3),"yyyy-mm-dd")</f>
        <v>2024-07-15</v>
      </c>
      <c r="I2499" s="64">
        <f>DATEVALUE(tblLaborEntries[[#This Row],[Work date]])</f>
        <v>45488.0</v>
      </c>
    </row>
    <row r="2500" spans="1:9" ht="15" x14ac:dyDescent="0.25">
      <c r="A2500" s="53" t="inlineStr">
        <is>
          <t>LAB-002499</t>
        </is>
      </c>
      <c r="B2500" s="53" t="inlineStr">
        <is>
          <t>WP-01093</t>
        </is>
      </c>
      <c r="C2500" s="53" t="inlineStr">
        <is>
          <t>TECH-018</t>
        </is>
      </c>
      <c r="D2500" s="53" t="inlineStr">
        <is>
          <t>Powerplant</t>
        </is>
      </c>
      <c r="E2500" s="53" t="inlineStr">
        <is>
          <t>2024-07-16</t>
        </is>
      </c>
      <c r="F2500" s="53">
        <v>3.8</v>
      </c>
      <c r="G2500" s="53">
        <v>0</v>
      </c>
      <c r="H2500" s="51" t="str">
        <f>TEXT(tblLaborEntries[[#This Row],[Work date serial]]-WEEKDAY(tblLaborEntries[[#This Row],[Work date serial]],3),"yyyy-mm-dd")</f>
        <v>2024-07-15</v>
      </c>
      <c r="I2500" s="64">
        <f>DATEVALUE(tblLaborEntries[[#This Row],[Work date]])</f>
        <v>45489.0</v>
      </c>
    </row>
    <row r="2501" spans="1:9" ht="15" x14ac:dyDescent="0.25">
      <c r="A2501" s="53" t="inlineStr">
        <is>
          <t>LAB-002500</t>
        </is>
      </c>
      <c r="B2501" s="53" t="inlineStr">
        <is>
          <t>WP-01094</t>
        </is>
      </c>
      <c r="C2501" s="53" t="inlineStr">
        <is>
          <t>TECH-008</t>
        </is>
      </c>
      <c r="D2501" s="53" t="inlineStr">
        <is>
          <t>Avionics</t>
        </is>
      </c>
      <c r="E2501" s="53" t="inlineStr">
        <is>
          <t>2025-03-07</t>
        </is>
      </c>
      <c r="F2501" s="53">
        <v>1.3</v>
      </c>
      <c r="G2501" s="53">
        <v>0</v>
      </c>
      <c r="H2501" s="51" t="str">
        <f>TEXT(tblLaborEntries[[#This Row],[Work date serial]]-WEEKDAY(tblLaborEntries[[#This Row],[Work date serial]],3),"yyyy-mm-dd")</f>
        <v>2025-03-03</v>
      </c>
      <c r="I2501" s="64">
        <f>DATEVALUE(tblLaborEntries[[#This Row],[Work date]])</f>
        <v>45723.0</v>
      </c>
    </row>
    <row r="2502" spans="1:9" ht="15" x14ac:dyDescent="0.25">
      <c r="A2502" s="53" t="inlineStr">
        <is>
          <t>LAB-002501</t>
        </is>
      </c>
      <c r="B2502" s="53" t="inlineStr">
        <is>
          <t>WP-01094</t>
        </is>
      </c>
      <c r="C2502" s="53" t="inlineStr">
        <is>
          <t>TECH-002</t>
        </is>
      </c>
      <c r="D2502" s="53" t="inlineStr">
        <is>
          <t>Avionics</t>
        </is>
      </c>
      <c r="E2502" s="53" t="inlineStr">
        <is>
          <t>2025-03-08</t>
        </is>
      </c>
      <c r="F2502" s="53">
        <v>1.2</v>
      </c>
      <c r="G2502" s="53">
        <v>0</v>
      </c>
      <c r="H2502" s="51" t="str">
        <f>TEXT(tblLaborEntries[[#This Row],[Work date serial]]-WEEKDAY(tblLaborEntries[[#This Row],[Work date serial]],3),"yyyy-mm-dd")</f>
        <v>2025-03-03</v>
      </c>
      <c r="I2502" s="64">
        <f>DATEVALUE(tblLaborEntries[[#This Row],[Work date]])</f>
        <v>45724.0</v>
      </c>
    </row>
    <row r="2503" spans="1:9" ht="15" x14ac:dyDescent="0.25">
      <c r="A2503" s="53" t="inlineStr">
        <is>
          <t>LAB-002502</t>
        </is>
      </c>
      <c r="B2503" s="53" t="inlineStr">
        <is>
          <t>WP-01094</t>
        </is>
      </c>
      <c r="C2503" s="53" t="inlineStr">
        <is>
          <t>TECH-056</t>
        </is>
      </c>
      <c r="D2503" s="53" t="inlineStr">
        <is>
          <t>Avionics</t>
        </is>
      </c>
      <c r="E2503" s="53" t="inlineStr">
        <is>
          <t>2025-03-09</t>
        </is>
      </c>
      <c r="F2503" s="53">
        <v>1.3</v>
      </c>
      <c r="G2503" s="53">
        <v>0</v>
      </c>
      <c r="H2503" s="51" t="str">
        <f>TEXT(tblLaborEntries[[#This Row],[Work date serial]]-WEEKDAY(tblLaborEntries[[#This Row],[Work date serial]],3),"yyyy-mm-dd")</f>
        <v>2025-03-03</v>
      </c>
      <c r="I2503" s="64">
        <f>DATEVALUE(tblLaborEntries[[#This Row],[Work date]])</f>
        <v>45725.0</v>
      </c>
    </row>
    <row r="2504" spans="1:9" ht="15" x14ac:dyDescent="0.25">
      <c r="A2504" s="53" t="inlineStr">
        <is>
          <t>LAB-002503</t>
        </is>
      </c>
      <c r="B2504" s="53" t="inlineStr">
        <is>
          <t>WP-01095</t>
        </is>
      </c>
      <c r="C2504" s="53" t="inlineStr">
        <is>
          <t>TECH-050</t>
        </is>
      </c>
      <c r="D2504" s="53" t="inlineStr">
        <is>
          <t>Avionics</t>
        </is>
      </c>
      <c r="E2504" s="53" t="inlineStr">
        <is>
          <t>2025-09-02</t>
        </is>
      </c>
      <c r="F2504" s="53">
        <v>3.7</v>
      </c>
      <c r="G2504" s="53">
        <v>0.5</v>
      </c>
      <c r="H2504" s="51" t="str">
        <f>TEXT(tblLaborEntries[[#This Row],[Work date serial]]-WEEKDAY(tblLaborEntries[[#This Row],[Work date serial]],3),"yyyy-mm-dd")</f>
        <v>2025-09-01</v>
      </c>
      <c r="I2504" s="64">
        <f>DATEVALUE(tblLaborEntries[[#This Row],[Work date]])</f>
        <v>45902.0</v>
      </c>
    </row>
    <row r="2505" spans="1:9" ht="15" x14ac:dyDescent="0.25">
      <c r="A2505" s="53" t="inlineStr">
        <is>
          <t>LAB-002504</t>
        </is>
      </c>
      <c r="B2505" s="53" t="inlineStr">
        <is>
          <t>WP-01095</t>
        </is>
      </c>
      <c r="C2505" s="53" t="inlineStr">
        <is>
          <t>TECH-050</t>
        </is>
      </c>
      <c r="D2505" s="53" t="inlineStr">
        <is>
          <t>Avionics</t>
        </is>
      </c>
      <c r="E2505" s="53" t="inlineStr">
        <is>
          <t>2025-09-03</t>
        </is>
      </c>
      <c r="F2505" s="53">
        <v>3.7</v>
      </c>
      <c r="G2505" s="53">
        <v>0</v>
      </c>
      <c r="H2505" s="51" t="str">
        <f>TEXT(tblLaborEntries[[#This Row],[Work date serial]]-WEEKDAY(tblLaborEntries[[#This Row],[Work date serial]],3),"yyyy-mm-dd")</f>
        <v>2025-09-01</v>
      </c>
      <c r="I2505" s="64">
        <f>DATEVALUE(tblLaborEntries[[#This Row],[Work date]])</f>
        <v>45903.0</v>
      </c>
    </row>
    <row r="2506" spans="1:9" ht="15" x14ac:dyDescent="0.25">
      <c r="A2506" s="53" t="inlineStr">
        <is>
          <t>LAB-002505</t>
        </is>
      </c>
      <c r="B2506" s="53" t="inlineStr">
        <is>
          <t>WP-01095</t>
        </is>
      </c>
      <c r="C2506" s="53" t="inlineStr">
        <is>
          <t>TECH-056</t>
        </is>
      </c>
      <c r="D2506" s="53" t="inlineStr">
        <is>
          <t>Avionics</t>
        </is>
      </c>
      <c r="E2506" s="53" t="inlineStr">
        <is>
          <t>2025-09-04</t>
        </is>
      </c>
      <c r="F2506" s="53">
        <v>3.5</v>
      </c>
      <c r="G2506" s="53">
        <v>0</v>
      </c>
      <c r="H2506" s="51" t="str">
        <f>TEXT(tblLaborEntries[[#This Row],[Work date serial]]-WEEKDAY(tblLaborEntries[[#This Row],[Work date serial]],3),"yyyy-mm-dd")</f>
        <v>2025-09-01</v>
      </c>
      <c r="I2506" s="64">
        <f>DATEVALUE(tblLaborEntries[[#This Row],[Work date]])</f>
        <v>45904.0</v>
      </c>
    </row>
    <row r="2507" spans="1:9" ht="15" x14ac:dyDescent="0.25">
      <c r="A2507" s="53" t="inlineStr">
        <is>
          <t>LAB-002506</t>
        </is>
      </c>
      <c r="B2507" s="53" t="inlineStr">
        <is>
          <t>WP-01096</t>
        </is>
      </c>
      <c r="C2507" s="53" t="inlineStr">
        <is>
          <t>TECH-054</t>
        </is>
      </c>
      <c r="D2507" s="53" t="inlineStr">
        <is>
          <t>Powerplant</t>
        </is>
      </c>
      <c r="E2507" s="53" t="inlineStr">
        <is>
          <t>2024-10-06</t>
        </is>
      </c>
      <c r="F2507" s="53">
        <v>5.6</v>
      </c>
      <c r="G2507" s="53">
        <v>0</v>
      </c>
      <c r="H2507" s="51" t="str">
        <f>TEXT(tblLaborEntries[[#This Row],[Work date serial]]-WEEKDAY(tblLaborEntries[[#This Row],[Work date serial]],3),"yyyy-mm-dd")</f>
        <v>2024-09-30</v>
      </c>
      <c r="I2507" s="64">
        <f>DATEVALUE(tblLaborEntries[[#This Row],[Work date]])</f>
        <v>45571.0</v>
      </c>
    </row>
    <row r="2508" spans="1:9" ht="15" x14ac:dyDescent="0.25">
      <c r="A2508" s="53" t="inlineStr">
        <is>
          <t>LAB-002507</t>
        </is>
      </c>
      <c r="B2508" s="53" t="inlineStr">
        <is>
          <t>WP-01096</t>
        </is>
      </c>
      <c r="C2508" s="53" t="inlineStr">
        <is>
          <t>TECH-024</t>
        </is>
      </c>
      <c r="D2508" s="53" t="inlineStr">
        <is>
          <t>Powerplant</t>
        </is>
      </c>
      <c r="E2508" s="53" t="inlineStr">
        <is>
          <t>2024-10-07</t>
        </is>
      </c>
      <c r="F2508" s="53">
        <v>6.2</v>
      </c>
      <c r="G2508" s="53">
        <v>0</v>
      </c>
      <c r="H2508" s="51" t="str">
        <f>TEXT(tblLaborEntries[[#This Row],[Work date serial]]-WEEKDAY(tblLaborEntries[[#This Row],[Work date serial]],3),"yyyy-mm-dd")</f>
        <v>2024-10-07</v>
      </c>
      <c r="I2508" s="64">
        <f>DATEVALUE(tblLaborEntries[[#This Row],[Work date]])</f>
        <v>45572.0</v>
      </c>
    </row>
    <row r="2509" spans="1:9" ht="15" x14ac:dyDescent="0.25">
      <c r="A2509" s="53" t="inlineStr">
        <is>
          <t>LAB-002508</t>
        </is>
      </c>
      <c r="B2509" s="53" t="inlineStr">
        <is>
          <t>WP-01096</t>
        </is>
      </c>
      <c r="C2509" s="53" t="inlineStr">
        <is>
          <t>TECH-006</t>
        </is>
      </c>
      <c r="D2509" s="53" t="inlineStr">
        <is>
          <t>Powerplant</t>
        </is>
      </c>
      <c r="E2509" s="53" t="inlineStr">
        <is>
          <t>2024-10-08</t>
        </is>
      </c>
      <c r="F2509" s="53">
        <v>4.9</v>
      </c>
      <c r="G2509" s="53">
        <v>0</v>
      </c>
      <c r="H2509" s="51" t="str">
        <f>TEXT(tblLaborEntries[[#This Row],[Work date serial]]-WEEKDAY(tblLaborEntries[[#This Row],[Work date serial]],3),"yyyy-mm-dd")</f>
        <v>2024-10-07</v>
      </c>
      <c r="I2509" s="64">
        <f>DATEVALUE(tblLaborEntries[[#This Row],[Work date]])</f>
        <v>45573.0</v>
      </c>
    </row>
    <row r="2510" spans="1:9" ht="15" x14ac:dyDescent="0.25">
      <c r="A2510" s="53" t="inlineStr">
        <is>
          <t>LAB-002509</t>
        </is>
      </c>
      <c r="B2510" s="53" t="inlineStr">
        <is>
          <t>WP-01097</t>
        </is>
      </c>
      <c r="C2510" s="53" t="inlineStr">
        <is>
          <t>TECH-018</t>
        </is>
      </c>
      <c r="D2510" s="53" t="inlineStr">
        <is>
          <t>Powerplant</t>
        </is>
      </c>
      <c r="E2510" s="53" t="inlineStr">
        <is>
          <t>2024-07-13</t>
        </is>
      </c>
      <c r="F2510" s="53">
        <v>9</v>
      </c>
      <c r="G2510" s="53">
        <v>1</v>
      </c>
      <c r="H2510" s="51" t="str">
        <f>TEXT(tblLaborEntries[[#This Row],[Work date serial]]-WEEKDAY(tblLaborEntries[[#This Row],[Work date serial]],3),"yyyy-mm-dd")</f>
        <v>2024-07-08</v>
      </c>
      <c r="I2510" s="64">
        <f>DATEVALUE(tblLaborEntries[[#This Row],[Work date]])</f>
        <v>45486.0</v>
      </c>
    </row>
    <row r="2511" spans="1:9" ht="15" x14ac:dyDescent="0.25">
      <c r="A2511" s="53" t="inlineStr">
        <is>
          <t>LAB-002510</t>
        </is>
      </c>
      <c r="B2511" s="53" t="inlineStr">
        <is>
          <t>WP-01097</t>
        </is>
      </c>
      <c r="C2511" s="53" t="inlineStr">
        <is>
          <t>TECH-024</t>
        </is>
      </c>
      <c r="D2511" s="53" t="inlineStr">
        <is>
          <t>Powerplant</t>
        </is>
      </c>
      <c r="E2511" s="53" t="inlineStr">
        <is>
          <t>2024-07-14</t>
        </is>
      </c>
      <c r="F2511" s="53">
        <v>8.9</v>
      </c>
      <c r="G2511" s="53">
        <v>0.9</v>
      </c>
      <c r="H2511" s="51" t="str">
        <f>TEXT(tblLaborEntries[[#This Row],[Work date serial]]-WEEKDAY(tblLaborEntries[[#This Row],[Work date serial]],3),"yyyy-mm-dd")</f>
        <v>2024-07-08</v>
      </c>
      <c r="I2511" s="64">
        <f>DATEVALUE(tblLaborEntries[[#This Row],[Work date]])</f>
        <v>45487.0</v>
      </c>
    </row>
    <row r="2512" spans="1:9" ht="15" x14ac:dyDescent="0.25">
      <c r="A2512" s="53" t="inlineStr">
        <is>
          <t>LAB-002511</t>
        </is>
      </c>
      <c r="B2512" s="53" t="inlineStr">
        <is>
          <t>WP-01098</t>
        </is>
      </c>
      <c r="C2512" s="53" t="inlineStr">
        <is>
          <t>TECH-014</t>
        </is>
      </c>
      <c r="D2512" s="53" t="inlineStr">
        <is>
          <t>Avionics</t>
        </is>
      </c>
      <c r="E2512" s="53" t="inlineStr">
        <is>
          <t>2024-12-26</t>
        </is>
      </c>
      <c r="F2512" s="53">
        <v>2.1</v>
      </c>
      <c r="G2512" s="53">
        <v>0</v>
      </c>
      <c r="H2512" s="51" t="str">
        <f>TEXT(tblLaborEntries[[#This Row],[Work date serial]]-WEEKDAY(tblLaborEntries[[#This Row],[Work date serial]],3),"yyyy-mm-dd")</f>
        <v>2024-12-23</v>
      </c>
      <c r="I2512" s="64">
        <f>DATEVALUE(tblLaborEntries[[#This Row],[Work date]])</f>
        <v>45652.0</v>
      </c>
    </row>
    <row r="2513" spans="1:9" ht="15" x14ac:dyDescent="0.25">
      <c r="A2513" s="53" t="inlineStr">
        <is>
          <t>LAB-002512</t>
        </is>
      </c>
      <c r="B2513" s="53" t="inlineStr">
        <is>
          <t>WP-01098</t>
        </is>
      </c>
      <c r="C2513" s="53" t="inlineStr">
        <is>
          <t>TECH-074</t>
        </is>
      </c>
      <c r="D2513" s="53" t="inlineStr">
        <is>
          <t>Avionics</t>
        </is>
      </c>
      <c r="E2513" s="53" t="inlineStr">
        <is>
          <t>2024-12-27</t>
        </is>
      </c>
      <c r="F2513" s="53">
        <v>1.6</v>
      </c>
      <c r="G2513" s="53">
        <v>0</v>
      </c>
      <c r="H2513" s="51" t="str">
        <f>TEXT(tblLaborEntries[[#This Row],[Work date serial]]-WEEKDAY(tblLaborEntries[[#This Row],[Work date serial]],3),"yyyy-mm-dd")</f>
        <v>2024-12-23</v>
      </c>
      <c r="I2513" s="64">
        <f>DATEVALUE(tblLaborEntries[[#This Row],[Work date]])</f>
        <v>45653.0</v>
      </c>
    </row>
    <row r="2514" spans="1:9" ht="15" x14ac:dyDescent="0.25">
      <c r="A2514" s="53" t="inlineStr">
        <is>
          <t>LAB-002513</t>
        </is>
      </c>
      <c r="B2514" s="53" t="inlineStr">
        <is>
          <t>WP-01098</t>
        </is>
      </c>
      <c r="C2514" s="53" t="inlineStr">
        <is>
          <t>TECH-044</t>
        </is>
      </c>
      <c r="D2514" s="53" t="inlineStr">
        <is>
          <t>Avionics</t>
        </is>
      </c>
      <c r="E2514" s="53" t="inlineStr">
        <is>
          <t>2024-12-28</t>
        </is>
      </c>
      <c r="F2514" s="53">
        <v>1.9</v>
      </c>
      <c r="G2514" s="53">
        <v>0</v>
      </c>
      <c r="H2514" s="51" t="str">
        <f>TEXT(tblLaborEntries[[#This Row],[Work date serial]]-WEEKDAY(tblLaborEntries[[#This Row],[Work date serial]],3),"yyyy-mm-dd")</f>
        <v>2024-12-23</v>
      </c>
      <c r="I2514" s="64">
        <f>DATEVALUE(tblLaborEntries[[#This Row],[Work date]])</f>
        <v>45654.0</v>
      </c>
    </row>
    <row r="2515" spans="1:9" ht="15" x14ac:dyDescent="0.25">
      <c r="A2515" s="53" t="inlineStr">
        <is>
          <t>LAB-002514</t>
        </is>
      </c>
      <c r="B2515" s="53" t="inlineStr">
        <is>
          <t>WP-01099</t>
        </is>
      </c>
      <c r="C2515" s="53" t="inlineStr">
        <is>
          <t>TECH-020</t>
        </is>
      </c>
      <c r="D2515" s="53" t="inlineStr">
        <is>
          <t>Avionics</t>
        </is>
      </c>
      <c r="E2515" s="53" t="inlineStr">
        <is>
          <t>2025-05-09</t>
        </is>
      </c>
      <c r="F2515" s="53">
        <v>5</v>
      </c>
      <c r="G2515" s="53">
        <v>0</v>
      </c>
      <c r="H2515" s="51" t="str">
        <f>TEXT(tblLaborEntries[[#This Row],[Work date serial]]-WEEKDAY(tblLaborEntries[[#This Row],[Work date serial]],3),"yyyy-mm-dd")</f>
        <v>2025-05-05</v>
      </c>
      <c r="I2515" s="64">
        <f>DATEVALUE(tblLaborEntries[[#This Row],[Work date]])</f>
        <v>45786.0</v>
      </c>
    </row>
    <row r="2516" spans="1:9" ht="15" x14ac:dyDescent="0.25">
      <c r="A2516" s="53" t="inlineStr">
        <is>
          <t>LAB-002515</t>
        </is>
      </c>
      <c r="B2516" s="53" t="inlineStr">
        <is>
          <t>WP-01099</t>
        </is>
      </c>
      <c r="C2516" s="53" t="inlineStr">
        <is>
          <t>TECH-014</t>
        </is>
      </c>
      <c r="D2516" s="53" t="inlineStr">
        <is>
          <t>Avionics</t>
        </is>
      </c>
      <c r="E2516" s="53" t="inlineStr">
        <is>
          <t>2025-05-10</t>
        </is>
      </c>
      <c r="F2516" s="53">
        <v>4</v>
      </c>
      <c r="G2516" s="53">
        <v>0</v>
      </c>
      <c r="H2516" s="51" t="str">
        <f>TEXT(tblLaborEntries[[#This Row],[Work date serial]]-WEEKDAY(tblLaborEntries[[#This Row],[Work date serial]],3),"yyyy-mm-dd")</f>
        <v>2025-05-05</v>
      </c>
      <c r="I2516" s="64">
        <f>DATEVALUE(tblLaborEntries[[#This Row],[Work date]])</f>
        <v>45787.0</v>
      </c>
    </row>
    <row r="2517" spans="1:9" ht="15" x14ac:dyDescent="0.25">
      <c r="A2517" s="53" t="inlineStr">
        <is>
          <t>LAB-002516</t>
        </is>
      </c>
      <c r="B2517" s="53" t="inlineStr">
        <is>
          <t>WP-01099</t>
        </is>
      </c>
      <c r="C2517" s="53" t="inlineStr">
        <is>
          <t>TECH-014</t>
        </is>
      </c>
      <c r="D2517" s="53" t="inlineStr">
        <is>
          <t>Avionics</t>
        </is>
      </c>
      <c r="E2517" s="53" t="inlineStr">
        <is>
          <t>2025-05-11</t>
        </is>
      </c>
      <c r="F2517" s="53">
        <v>3.8</v>
      </c>
      <c r="G2517" s="53">
        <v>0</v>
      </c>
      <c r="H2517" s="51" t="str">
        <f>TEXT(tblLaborEntries[[#This Row],[Work date serial]]-WEEKDAY(tblLaborEntries[[#This Row],[Work date serial]],3),"yyyy-mm-dd")</f>
        <v>2025-05-05</v>
      </c>
      <c r="I2517" s="64">
        <f>DATEVALUE(tblLaborEntries[[#This Row],[Work date]])</f>
        <v>45788.0</v>
      </c>
    </row>
    <row r="2518" spans="1:9" ht="15" x14ac:dyDescent="0.25">
      <c r="A2518" s="53" t="inlineStr">
        <is>
          <t>LAB-002517</t>
        </is>
      </c>
      <c r="B2518" s="53" t="inlineStr">
        <is>
          <t>WP-01100</t>
        </is>
      </c>
      <c r="C2518" s="53" t="inlineStr">
        <is>
          <t>TECH-020</t>
        </is>
      </c>
      <c r="D2518" s="53" t="inlineStr">
        <is>
          <t>Avionics</t>
        </is>
      </c>
      <c r="E2518" s="53" t="inlineStr">
        <is>
          <t>2025-07-06</t>
        </is>
      </c>
      <c r="F2518" s="53">
        <v>3.9</v>
      </c>
      <c r="G2518" s="53">
        <v>0</v>
      </c>
      <c r="H2518" s="51" t="str">
        <f>TEXT(tblLaborEntries[[#This Row],[Work date serial]]-WEEKDAY(tblLaborEntries[[#This Row],[Work date serial]],3),"yyyy-mm-dd")</f>
        <v>2025-06-30</v>
      </c>
      <c r="I2518" s="64">
        <f>DATEVALUE(tblLaborEntries[[#This Row],[Work date]])</f>
        <v>45844.0</v>
      </c>
    </row>
    <row r="2519" spans="1:9" ht="15" x14ac:dyDescent="0.25">
      <c r="A2519" s="53" t="inlineStr">
        <is>
          <t>LAB-002518</t>
        </is>
      </c>
      <c r="B2519" s="53" t="inlineStr">
        <is>
          <t>WP-01100</t>
        </is>
      </c>
      <c r="C2519" s="53" t="inlineStr">
        <is>
          <t>TECH-014</t>
        </is>
      </c>
      <c r="D2519" s="53" t="inlineStr">
        <is>
          <t>Avionics</t>
        </is>
      </c>
      <c r="E2519" s="53" t="inlineStr">
        <is>
          <t>2025-07-07</t>
        </is>
      </c>
      <c r="F2519" s="53">
        <v>3.8</v>
      </c>
      <c r="G2519" s="53">
        <v>0</v>
      </c>
      <c r="H2519" s="51" t="str">
        <f>TEXT(tblLaborEntries[[#This Row],[Work date serial]]-WEEKDAY(tblLaborEntries[[#This Row],[Work date serial]],3),"yyyy-mm-dd")</f>
        <v>2025-07-07</v>
      </c>
      <c r="I2519" s="64">
        <f>DATEVALUE(tblLaborEntries[[#This Row],[Work date]])</f>
        <v>45845.0</v>
      </c>
    </row>
    <row r="2520" spans="1:9" ht="15" x14ac:dyDescent="0.25">
      <c r="A2520" s="53" t="inlineStr">
        <is>
          <t>LAB-002519</t>
        </is>
      </c>
      <c r="B2520" s="53" t="inlineStr">
        <is>
          <t>WP-01101</t>
        </is>
      </c>
      <c r="C2520" s="53" t="inlineStr">
        <is>
          <t>TECH-023</t>
        </is>
      </c>
      <c r="D2520" s="53" t="inlineStr">
        <is>
          <t>Structures</t>
        </is>
      </c>
      <c r="E2520" s="53" t="inlineStr">
        <is>
          <t>2025-04-28</t>
        </is>
      </c>
      <c r="F2520" s="53">
        <v>11.8</v>
      </c>
      <c r="G2520" s="53">
        <v>3.8</v>
      </c>
      <c r="H2520" s="51" t="str">
        <f>TEXT(tblLaborEntries[[#This Row],[Work date serial]]-WEEKDAY(tblLaborEntries[[#This Row],[Work date serial]],3),"yyyy-mm-dd")</f>
        <v>2025-04-28</v>
      </c>
      <c r="I2520" s="64">
        <f>DATEVALUE(tblLaborEntries[[#This Row],[Work date]])</f>
        <v>45775.0</v>
      </c>
    </row>
    <row r="2521" spans="1:9" ht="15" x14ac:dyDescent="0.25">
      <c r="A2521" s="53" t="inlineStr">
        <is>
          <t>LAB-002520</t>
        </is>
      </c>
      <c r="B2521" s="53" t="inlineStr">
        <is>
          <t>WP-01101</t>
        </is>
      </c>
      <c r="C2521" s="53" t="inlineStr">
        <is>
          <t>TECH-005</t>
        </is>
      </c>
      <c r="D2521" s="53" t="inlineStr">
        <is>
          <t>Structures</t>
        </is>
      </c>
      <c r="E2521" s="53" t="inlineStr">
        <is>
          <t>2025-04-29</t>
        </is>
      </c>
      <c r="F2521" s="53">
        <v>12</v>
      </c>
      <c r="G2521" s="53">
        <v>4</v>
      </c>
      <c r="H2521" s="51" t="str">
        <f>TEXT(tblLaborEntries[[#This Row],[Work date serial]]-WEEKDAY(tblLaborEntries[[#This Row],[Work date serial]],3),"yyyy-mm-dd")</f>
        <v>2025-04-28</v>
      </c>
      <c r="I2521" s="64">
        <f>DATEVALUE(tblLaborEntries[[#This Row],[Work date]])</f>
        <v>45776.0</v>
      </c>
    </row>
    <row r="2522" spans="1:9" ht="15" x14ac:dyDescent="0.25">
      <c r="A2522" s="53" t="inlineStr">
        <is>
          <t>LAB-002521</t>
        </is>
      </c>
      <c r="B2522" s="53" t="inlineStr">
        <is>
          <t>WP-01101</t>
        </is>
      </c>
      <c r="C2522" s="53" t="inlineStr">
        <is>
          <t>TECH-011</t>
        </is>
      </c>
      <c r="D2522" s="53" t="inlineStr">
        <is>
          <t>Structures</t>
        </is>
      </c>
      <c r="E2522" s="53" t="inlineStr">
        <is>
          <t>2025-04-29</t>
        </is>
      </c>
      <c r="F2522" s="53">
        <v>12</v>
      </c>
      <c r="G2522" s="53">
        <v>4</v>
      </c>
      <c r="H2522" s="51" t="str">
        <f>TEXT(tblLaborEntries[[#This Row],[Work date serial]]-WEEKDAY(tblLaborEntries[[#This Row],[Work date serial]],3),"yyyy-mm-dd")</f>
        <v>2025-04-28</v>
      </c>
      <c r="I2522" s="64">
        <f>DATEVALUE(tblLaborEntries[[#This Row],[Work date]])</f>
        <v>45776.0</v>
      </c>
    </row>
    <row r="2523" spans="1:9" ht="15" x14ac:dyDescent="0.25">
      <c r="A2523" s="53" t="inlineStr">
        <is>
          <t>LAB-002522</t>
        </is>
      </c>
      <c r="B2523" s="53" t="inlineStr">
        <is>
          <t>WP-01101</t>
        </is>
      </c>
      <c r="C2523" s="53" t="inlineStr">
        <is>
          <t>TECH-023</t>
        </is>
      </c>
      <c r="D2523" s="53" t="inlineStr">
        <is>
          <t>Structures</t>
        </is>
      </c>
      <c r="E2523" s="53" t="inlineStr">
        <is>
          <t>2025-04-29</t>
        </is>
      </c>
      <c r="F2523" s="53">
        <v>12</v>
      </c>
      <c r="G2523" s="53">
        <v>4</v>
      </c>
      <c r="H2523" s="51" t="str">
        <f>TEXT(tblLaborEntries[[#This Row],[Work date serial]]-WEEKDAY(tblLaborEntries[[#This Row],[Work date serial]],3),"yyyy-mm-dd")</f>
        <v>2025-04-28</v>
      </c>
      <c r="I2523" s="64">
        <f>DATEVALUE(tblLaborEntries[[#This Row],[Work date]])</f>
        <v>45776.0</v>
      </c>
    </row>
    <row r="2524" spans="1:9" ht="15" x14ac:dyDescent="0.25">
      <c r="A2524" s="53" t="inlineStr">
        <is>
          <t>LAB-002523</t>
        </is>
      </c>
      <c r="B2524" s="53" t="inlineStr">
        <is>
          <t>WP-01102</t>
        </is>
      </c>
      <c r="C2524" s="53" t="inlineStr">
        <is>
          <t>TECH-032</t>
        </is>
      </c>
      <c r="D2524" s="53" t="inlineStr">
        <is>
          <t>Avionics</t>
        </is>
      </c>
      <c r="E2524" s="53" t="inlineStr">
        <is>
          <t>2024-12-29</t>
        </is>
      </c>
      <c r="F2524" s="53">
        <v>1.1</v>
      </c>
      <c r="G2524" s="53">
        <v>0</v>
      </c>
      <c r="H2524" s="51" t="str">
        <f>TEXT(tblLaborEntries[[#This Row],[Work date serial]]-WEEKDAY(tblLaborEntries[[#This Row],[Work date serial]],3),"yyyy-mm-dd")</f>
        <v>2024-12-23</v>
      </c>
      <c r="I2524" s="64">
        <f>DATEVALUE(tblLaborEntries[[#This Row],[Work date]])</f>
        <v>45655.0</v>
      </c>
    </row>
    <row r="2525" spans="1:9" ht="15" x14ac:dyDescent="0.25">
      <c r="A2525" s="53" t="inlineStr">
        <is>
          <t>LAB-002524</t>
        </is>
      </c>
      <c r="B2525" s="53" t="inlineStr">
        <is>
          <t>WP-01102</t>
        </is>
      </c>
      <c r="C2525" s="53" t="inlineStr">
        <is>
          <t>TECH-002</t>
        </is>
      </c>
      <c r="D2525" s="53" t="inlineStr">
        <is>
          <t>Avionics</t>
        </is>
      </c>
      <c r="E2525" s="53" t="inlineStr">
        <is>
          <t>2024-12-30</t>
        </is>
      </c>
      <c r="F2525" s="53">
        <v>0.8</v>
      </c>
      <c r="G2525" s="53">
        <v>0</v>
      </c>
      <c r="H2525" s="51" t="str">
        <f>TEXT(tblLaborEntries[[#This Row],[Work date serial]]-WEEKDAY(tblLaborEntries[[#This Row],[Work date serial]],3),"yyyy-mm-dd")</f>
        <v>2024-12-30</v>
      </c>
      <c r="I2525" s="64">
        <f>DATEVALUE(tblLaborEntries[[#This Row],[Work date]])</f>
        <v>45656.0</v>
      </c>
    </row>
    <row r="2526" spans="1:9" ht="15" x14ac:dyDescent="0.25">
      <c r="A2526" s="53" t="inlineStr">
        <is>
          <t>LAB-002525</t>
        </is>
      </c>
      <c r="B2526" s="53" t="inlineStr">
        <is>
          <t>WP-01102</t>
        </is>
      </c>
      <c r="C2526" s="53" t="inlineStr">
        <is>
          <t>TECH-002</t>
        </is>
      </c>
      <c r="D2526" s="53" t="inlineStr">
        <is>
          <t>Avionics</t>
        </is>
      </c>
      <c r="E2526" s="53" t="inlineStr">
        <is>
          <t>2024-12-31</t>
        </is>
      </c>
      <c r="F2526" s="53">
        <v>1</v>
      </c>
      <c r="G2526" s="53">
        <v>0</v>
      </c>
      <c r="H2526" s="51" t="str">
        <f>TEXT(tblLaborEntries[[#This Row],[Work date serial]]-WEEKDAY(tblLaborEntries[[#This Row],[Work date serial]],3),"yyyy-mm-dd")</f>
        <v>2024-12-30</v>
      </c>
      <c r="I2526" s="64">
        <f>DATEVALUE(tblLaborEntries[[#This Row],[Work date]])</f>
        <v>45657.0</v>
      </c>
    </row>
    <row r="2527" spans="1:9" ht="15" x14ac:dyDescent="0.25">
      <c r="A2527" s="53" t="inlineStr">
        <is>
          <t>LAB-002526</t>
        </is>
      </c>
      <c r="B2527" s="53" t="inlineStr">
        <is>
          <t>WP-01103</t>
        </is>
      </c>
      <c r="C2527" s="53" t="inlineStr">
        <is>
          <t>TECH-003</t>
        </is>
      </c>
      <c r="D2527" s="53" t="inlineStr">
        <is>
          <t>Hydraulics</t>
        </is>
      </c>
      <c r="E2527" s="53" t="inlineStr">
        <is>
          <t>2024-04-05</t>
        </is>
      </c>
      <c r="F2527" s="53">
        <v>5.8</v>
      </c>
      <c r="G2527" s="53">
        <v>0</v>
      </c>
      <c r="H2527" s="51" t="str">
        <f>TEXT(tblLaborEntries[[#This Row],[Work date serial]]-WEEKDAY(tblLaborEntries[[#This Row],[Work date serial]],3),"yyyy-mm-dd")</f>
        <v>2024-04-01</v>
      </c>
      <c r="I2527" s="64">
        <f>DATEVALUE(tblLaborEntries[[#This Row],[Work date]])</f>
        <v>45387.0</v>
      </c>
    </row>
    <row r="2528" spans="1:9" ht="15" x14ac:dyDescent="0.25">
      <c r="A2528" s="53" t="inlineStr">
        <is>
          <t>LAB-002527</t>
        </is>
      </c>
      <c r="B2528" s="53" t="inlineStr">
        <is>
          <t>WP-01104</t>
        </is>
      </c>
      <c r="C2528" s="53" t="inlineStr">
        <is>
          <t>TECH-014</t>
        </is>
      </c>
      <c r="D2528" s="53" t="inlineStr">
        <is>
          <t>Avionics</t>
        </is>
      </c>
      <c r="E2528" s="53" t="inlineStr">
        <is>
          <t>2024-11-19</t>
        </is>
      </c>
      <c r="F2528" s="53">
        <v>1.7</v>
      </c>
      <c r="G2528" s="53">
        <v>0</v>
      </c>
      <c r="H2528" s="51" t="str">
        <f>TEXT(tblLaborEntries[[#This Row],[Work date serial]]-WEEKDAY(tblLaborEntries[[#This Row],[Work date serial]],3),"yyyy-mm-dd")</f>
        <v>2024-11-18</v>
      </c>
      <c r="I2528" s="64">
        <f>DATEVALUE(tblLaborEntries[[#This Row],[Work date]])</f>
        <v>45615.0</v>
      </c>
    </row>
    <row r="2529" spans="1:9" ht="15" x14ac:dyDescent="0.25">
      <c r="A2529" s="53" t="inlineStr">
        <is>
          <t>LAB-002528</t>
        </is>
      </c>
      <c r="B2529" s="53" t="inlineStr">
        <is>
          <t>WP-01104</t>
        </is>
      </c>
      <c r="C2529" s="53" t="inlineStr">
        <is>
          <t>TECH-050</t>
        </is>
      </c>
      <c r="D2529" s="53" t="inlineStr">
        <is>
          <t>Avionics</t>
        </is>
      </c>
      <c r="E2529" s="53" t="inlineStr">
        <is>
          <t>2024-11-20</t>
        </is>
      </c>
      <c r="F2529" s="53">
        <v>1.3</v>
      </c>
      <c r="G2529" s="53">
        <v>0</v>
      </c>
      <c r="H2529" s="51" t="str">
        <f>TEXT(tblLaborEntries[[#This Row],[Work date serial]]-WEEKDAY(tblLaborEntries[[#This Row],[Work date serial]],3),"yyyy-mm-dd")</f>
        <v>2024-11-18</v>
      </c>
      <c r="I2529" s="64">
        <f>DATEVALUE(tblLaborEntries[[#This Row],[Work date]])</f>
        <v>45616.0</v>
      </c>
    </row>
    <row r="2530" spans="1:9" ht="15" x14ac:dyDescent="0.25">
      <c r="A2530" s="53" t="inlineStr">
        <is>
          <t>LAB-002529</t>
        </is>
      </c>
      <c r="B2530" s="53" t="inlineStr">
        <is>
          <t>WP-01105</t>
        </is>
      </c>
      <c r="C2530" s="53" t="inlineStr">
        <is>
          <t>TECH-022</t>
        </is>
      </c>
      <c r="D2530" s="53" t="inlineStr">
        <is>
          <t>Electrical</t>
        </is>
      </c>
      <c r="E2530" s="53" t="inlineStr">
        <is>
          <t>2025-06-22</t>
        </is>
      </c>
      <c r="F2530" s="53">
        <v>6.3</v>
      </c>
      <c r="G2530" s="53">
        <v>0</v>
      </c>
      <c r="H2530" s="51" t="str">
        <f>TEXT(tblLaborEntries[[#This Row],[Work date serial]]-WEEKDAY(tblLaborEntries[[#This Row],[Work date serial]],3),"yyyy-mm-dd")</f>
        <v>2025-06-16</v>
      </c>
      <c r="I2530" s="64">
        <f>DATEVALUE(tblLaborEntries[[#This Row],[Work date]])</f>
        <v>45830.0</v>
      </c>
    </row>
    <row r="2531" spans="1:9" ht="15" x14ac:dyDescent="0.25">
      <c r="A2531" s="53" t="inlineStr">
        <is>
          <t>LAB-002530</t>
        </is>
      </c>
      <c r="B2531" s="53" t="inlineStr">
        <is>
          <t>WP-01105</t>
        </is>
      </c>
      <c r="C2531" s="53" t="inlineStr">
        <is>
          <t>TECH-040</t>
        </is>
      </c>
      <c r="D2531" s="53" t="inlineStr">
        <is>
          <t>Electrical</t>
        </is>
      </c>
      <c r="E2531" s="53" t="inlineStr">
        <is>
          <t>2025-06-23</t>
        </is>
      </c>
      <c r="F2531" s="53">
        <v>7.2</v>
      </c>
      <c r="G2531" s="53">
        <v>0</v>
      </c>
      <c r="H2531" s="51" t="str">
        <f>TEXT(tblLaborEntries[[#This Row],[Work date serial]]-WEEKDAY(tblLaborEntries[[#This Row],[Work date serial]],3),"yyyy-mm-dd")</f>
        <v>2025-06-23</v>
      </c>
      <c r="I2531" s="64">
        <f>DATEVALUE(tblLaborEntries[[#This Row],[Work date]])</f>
        <v>45831.0</v>
      </c>
    </row>
    <row r="2532" spans="1:9" ht="15" x14ac:dyDescent="0.25">
      <c r="A2532" s="53" t="inlineStr">
        <is>
          <t>LAB-002531</t>
        </is>
      </c>
      <c r="B2532" s="53" t="inlineStr">
        <is>
          <t>WP-01105</t>
        </is>
      </c>
      <c r="C2532" s="53" t="inlineStr">
        <is>
          <t>TECH-034</t>
        </is>
      </c>
      <c r="D2532" s="53" t="inlineStr">
        <is>
          <t>Electrical</t>
        </is>
      </c>
      <c r="E2532" s="53" t="inlineStr">
        <is>
          <t>2025-06-24</t>
        </is>
      </c>
      <c r="F2532" s="53">
        <v>6.7</v>
      </c>
      <c r="G2532" s="53">
        <v>0</v>
      </c>
      <c r="H2532" s="51" t="str">
        <f>TEXT(tblLaborEntries[[#This Row],[Work date serial]]-WEEKDAY(tblLaborEntries[[#This Row],[Work date serial]],3),"yyyy-mm-dd")</f>
        <v>2025-06-23</v>
      </c>
      <c r="I2532" s="64">
        <f>DATEVALUE(tblLaborEntries[[#This Row],[Work date]])</f>
        <v>45832.0</v>
      </c>
    </row>
    <row r="2533" spans="1:9" ht="15" x14ac:dyDescent="0.25">
      <c r="A2533" s="53" t="inlineStr">
        <is>
          <t>LAB-002532</t>
        </is>
      </c>
      <c r="B2533" s="53" t="inlineStr">
        <is>
          <t>WP-01106</t>
        </is>
      </c>
      <c r="C2533" s="53" t="inlineStr">
        <is>
          <t>TECH-014</t>
        </is>
      </c>
      <c r="D2533" s="53" t="inlineStr">
        <is>
          <t>Avionics</t>
        </is>
      </c>
      <c r="E2533" s="53" t="inlineStr">
        <is>
          <t>2025-12-15</t>
        </is>
      </c>
      <c r="F2533" s="53">
        <v>1.5</v>
      </c>
      <c r="G2533" s="53">
        <v>0</v>
      </c>
      <c r="H2533" s="51" t="str">
        <f>TEXT(tblLaborEntries[[#This Row],[Work date serial]]-WEEKDAY(tblLaborEntries[[#This Row],[Work date serial]],3),"yyyy-mm-dd")</f>
        <v>2025-12-15</v>
      </c>
      <c r="I2533" s="64">
        <f>DATEVALUE(tblLaborEntries[[#This Row],[Work date]])</f>
        <v>46006.0</v>
      </c>
    </row>
    <row r="2534" spans="1:9" ht="15" x14ac:dyDescent="0.25">
      <c r="A2534" s="53" t="inlineStr">
        <is>
          <t>LAB-002533</t>
        </is>
      </c>
      <c r="B2534" s="53" t="inlineStr">
        <is>
          <t>WP-01106</t>
        </is>
      </c>
      <c r="C2534" s="53" t="inlineStr">
        <is>
          <t>TECH-050</t>
        </is>
      </c>
      <c r="D2534" s="53" t="inlineStr">
        <is>
          <t>Avionics</t>
        </is>
      </c>
      <c r="E2534" s="53" t="inlineStr">
        <is>
          <t>2025-12-16</t>
        </is>
      </c>
      <c r="F2534" s="53">
        <v>1.7</v>
      </c>
      <c r="G2534" s="53">
        <v>0</v>
      </c>
      <c r="H2534" s="51" t="str">
        <f>TEXT(tblLaborEntries[[#This Row],[Work date serial]]-WEEKDAY(tblLaborEntries[[#This Row],[Work date serial]],3),"yyyy-mm-dd")</f>
        <v>2025-12-15</v>
      </c>
      <c r="I2534" s="64">
        <f>DATEVALUE(tblLaborEntries[[#This Row],[Work date]])</f>
        <v>46007.0</v>
      </c>
    </row>
    <row r="2535" spans="1:9" ht="15" x14ac:dyDescent="0.25">
      <c r="A2535" s="53" t="inlineStr">
        <is>
          <t>LAB-002534</t>
        </is>
      </c>
      <c r="B2535" s="53" t="inlineStr">
        <is>
          <t>WP-01106</t>
        </is>
      </c>
      <c r="C2535" s="53" t="inlineStr">
        <is>
          <t>TECH-020</t>
        </is>
      </c>
      <c r="D2535" s="53" t="inlineStr">
        <is>
          <t>Avionics</t>
        </is>
      </c>
      <c r="E2535" s="53" t="inlineStr">
        <is>
          <t>2025-12-17</t>
        </is>
      </c>
      <c r="F2535" s="53">
        <v>2.1</v>
      </c>
      <c r="G2535" s="53">
        <v>0</v>
      </c>
      <c r="H2535" s="51" t="str">
        <f>TEXT(tblLaborEntries[[#This Row],[Work date serial]]-WEEKDAY(tblLaborEntries[[#This Row],[Work date serial]],3),"yyyy-mm-dd")</f>
        <v>2025-12-15</v>
      </c>
      <c r="I2535" s="64">
        <f>DATEVALUE(tblLaborEntries[[#This Row],[Work date]])</f>
        <v>46008.0</v>
      </c>
    </row>
    <row r="2536" spans="1:9" ht="15" x14ac:dyDescent="0.25">
      <c r="A2536" s="53" t="inlineStr">
        <is>
          <t>LAB-002535</t>
        </is>
      </c>
      <c r="B2536" s="53" t="inlineStr">
        <is>
          <t>WP-01107</t>
        </is>
      </c>
      <c r="C2536" s="53" t="inlineStr">
        <is>
          <t>TECH-001</t>
        </is>
      </c>
      <c r="D2536" s="53" t="inlineStr">
        <is>
          <t>Airframe</t>
        </is>
      </c>
      <c r="E2536" s="53" t="inlineStr">
        <is>
          <t>2024-03-19</t>
        </is>
      </c>
      <c r="F2536" s="53">
        <v>10</v>
      </c>
      <c r="G2536" s="53">
        <v>2</v>
      </c>
      <c r="H2536" s="51" t="str">
        <f>TEXT(tblLaborEntries[[#This Row],[Work date serial]]-WEEKDAY(tblLaborEntries[[#This Row],[Work date serial]],3),"yyyy-mm-dd")</f>
        <v>2024-03-18</v>
      </c>
      <c r="I2536" s="64">
        <f>DATEVALUE(tblLaborEntries[[#This Row],[Work date]])</f>
        <v>45370.0</v>
      </c>
    </row>
    <row r="2537" spans="1:9" ht="15" x14ac:dyDescent="0.25">
      <c r="A2537" s="53" t="inlineStr">
        <is>
          <t>LAB-002536</t>
        </is>
      </c>
      <c r="B2537" s="53" t="inlineStr">
        <is>
          <t>WP-01107</t>
        </is>
      </c>
      <c r="C2537" s="53" t="inlineStr">
        <is>
          <t>TECH-037</t>
        </is>
      </c>
      <c r="D2537" s="53" t="inlineStr">
        <is>
          <t>Airframe</t>
        </is>
      </c>
      <c r="E2537" s="53" t="inlineStr">
        <is>
          <t>2024-03-20</t>
        </is>
      </c>
      <c r="F2537" s="53">
        <v>7.3</v>
      </c>
      <c r="G2537" s="53">
        <v>0</v>
      </c>
      <c r="H2537" s="51" t="str">
        <f>TEXT(tblLaborEntries[[#This Row],[Work date serial]]-WEEKDAY(tblLaborEntries[[#This Row],[Work date serial]],3),"yyyy-mm-dd")</f>
        <v>2024-03-18</v>
      </c>
      <c r="I2537" s="64">
        <f>DATEVALUE(tblLaborEntries[[#This Row],[Work date]])</f>
        <v>45371.0</v>
      </c>
    </row>
    <row r="2538" spans="1:9" ht="15" x14ac:dyDescent="0.25">
      <c r="A2538" s="53" t="inlineStr">
        <is>
          <t>LAB-002537</t>
        </is>
      </c>
      <c r="B2538" s="53" t="inlineStr">
        <is>
          <t>WP-01108</t>
        </is>
      </c>
      <c r="C2538" s="53" t="inlineStr">
        <is>
          <t>TECH-025</t>
        </is>
      </c>
      <c r="D2538" s="53" t="inlineStr">
        <is>
          <t>Airframe</t>
        </is>
      </c>
      <c r="E2538" s="53" t="inlineStr">
        <is>
          <t>2025-07-05</t>
        </is>
      </c>
      <c r="F2538" s="53">
        <v>5.7</v>
      </c>
      <c r="G2538" s="53">
        <v>0</v>
      </c>
      <c r="H2538" s="51" t="str">
        <f>TEXT(tblLaborEntries[[#This Row],[Work date serial]]-WEEKDAY(tblLaborEntries[[#This Row],[Work date serial]],3),"yyyy-mm-dd")</f>
        <v>2025-06-30</v>
      </c>
      <c r="I2538" s="64">
        <f>DATEVALUE(tblLaborEntries[[#This Row],[Work date]])</f>
        <v>45843.0</v>
      </c>
    </row>
    <row r="2539" spans="1:9" ht="15" x14ac:dyDescent="0.25">
      <c r="A2539" s="53" t="inlineStr">
        <is>
          <t>LAB-002538</t>
        </is>
      </c>
      <c r="B2539" s="53" t="inlineStr">
        <is>
          <t>WP-01108</t>
        </is>
      </c>
      <c r="C2539" s="53" t="inlineStr">
        <is>
          <t>TECH-073</t>
        </is>
      </c>
      <c r="D2539" s="53" t="inlineStr">
        <is>
          <t>Airframe</t>
        </is>
      </c>
      <c r="E2539" s="53" t="inlineStr">
        <is>
          <t>2025-07-06</t>
        </is>
      </c>
      <c r="F2539" s="53">
        <v>7.4</v>
      </c>
      <c r="G2539" s="53">
        <v>0.4</v>
      </c>
      <c r="H2539" s="51" t="str">
        <f>TEXT(tblLaborEntries[[#This Row],[Work date serial]]-WEEKDAY(tblLaborEntries[[#This Row],[Work date serial]],3),"yyyy-mm-dd")</f>
        <v>2025-06-30</v>
      </c>
      <c r="I2539" s="64">
        <f>DATEVALUE(tblLaborEntries[[#This Row],[Work date]])</f>
        <v>45844.0</v>
      </c>
    </row>
    <row r="2540" spans="1:9" ht="15" x14ac:dyDescent="0.25">
      <c r="A2540" s="53" t="inlineStr">
        <is>
          <t>LAB-002539</t>
        </is>
      </c>
      <c r="B2540" s="53" t="inlineStr">
        <is>
          <t>WP-01109</t>
        </is>
      </c>
      <c r="C2540" s="53" t="inlineStr">
        <is>
          <t>TECH-011</t>
        </is>
      </c>
      <c r="D2540" s="53" t="inlineStr">
        <is>
          <t>Structures</t>
        </is>
      </c>
      <c r="E2540" s="53" t="inlineStr">
        <is>
          <t>2024-04-22</t>
        </is>
      </c>
      <c r="F2540" s="53">
        <v>5</v>
      </c>
      <c r="G2540" s="53">
        <v>0</v>
      </c>
      <c r="H2540" s="51" t="str">
        <f>TEXT(tblLaborEntries[[#This Row],[Work date serial]]-WEEKDAY(tblLaborEntries[[#This Row],[Work date serial]],3),"yyyy-mm-dd")</f>
        <v>2024-04-22</v>
      </c>
      <c r="I2540" s="64">
        <f>DATEVALUE(tblLaborEntries[[#This Row],[Work date]])</f>
        <v>45404.0</v>
      </c>
    </row>
    <row r="2541" spans="1:9" ht="15" x14ac:dyDescent="0.25">
      <c r="A2541" s="53" t="inlineStr">
        <is>
          <t>LAB-002540</t>
        </is>
      </c>
      <c r="B2541" s="53" t="inlineStr">
        <is>
          <t>WP-01109</t>
        </is>
      </c>
      <c r="C2541" s="53" t="inlineStr">
        <is>
          <t>TECH-053</t>
        </is>
      </c>
      <c r="D2541" s="53" t="inlineStr">
        <is>
          <t>Structures</t>
        </is>
      </c>
      <c r="E2541" s="53" t="inlineStr">
        <is>
          <t>2024-04-23</t>
        </is>
      </c>
      <c r="F2541" s="53">
        <v>3.9</v>
      </c>
      <c r="G2541" s="53">
        <v>0</v>
      </c>
      <c r="H2541" s="51" t="str">
        <f>TEXT(tblLaborEntries[[#This Row],[Work date serial]]-WEEKDAY(tblLaborEntries[[#This Row],[Work date serial]],3),"yyyy-mm-dd")</f>
        <v>2024-04-22</v>
      </c>
      <c r="I2541" s="64">
        <f>DATEVALUE(tblLaborEntries[[#This Row],[Work date]])</f>
        <v>45405.0</v>
      </c>
    </row>
    <row r="2542" spans="1:9" ht="15" x14ac:dyDescent="0.25">
      <c r="A2542" s="53" t="inlineStr">
        <is>
          <t>LAB-002541</t>
        </is>
      </c>
      <c r="B2542" s="53" t="inlineStr">
        <is>
          <t>WP-01109</t>
        </is>
      </c>
      <c r="C2542" s="53" t="inlineStr">
        <is>
          <t>TECH-005</t>
        </is>
      </c>
      <c r="D2542" s="53" t="inlineStr">
        <is>
          <t>Structures</t>
        </is>
      </c>
      <c r="E2542" s="53" t="inlineStr">
        <is>
          <t>2024-04-24</t>
        </is>
      </c>
      <c r="F2542" s="53">
        <v>4.8</v>
      </c>
      <c r="G2542" s="53">
        <v>0</v>
      </c>
      <c r="H2542" s="51" t="str">
        <f>TEXT(tblLaborEntries[[#This Row],[Work date serial]]-WEEKDAY(tblLaborEntries[[#This Row],[Work date serial]],3),"yyyy-mm-dd")</f>
        <v>2024-04-22</v>
      </c>
      <c r="I2542" s="64">
        <f>DATEVALUE(tblLaborEntries[[#This Row],[Work date]])</f>
        <v>45406.0</v>
      </c>
    </row>
    <row r="2543" spans="1:9" ht="15" x14ac:dyDescent="0.25">
      <c r="A2543" s="53" t="inlineStr">
        <is>
          <t>LAB-002542</t>
        </is>
      </c>
      <c r="B2543" s="53" t="inlineStr">
        <is>
          <t>WP-01110</t>
        </is>
      </c>
      <c r="C2543" s="53" t="inlineStr">
        <is>
          <t>TECH-013</t>
        </is>
      </c>
      <c r="D2543" s="53" t="inlineStr">
        <is>
          <t>Airframe</t>
        </is>
      </c>
      <c r="E2543" s="53" t="inlineStr">
        <is>
          <t>2025-07-25</t>
        </is>
      </c>
      <c r="F2543" s="53">
        <v>2.9</v>
      </c>
      <c r="G2543" s="53">
        <v>0</v>
      </c>
      <c r="H2543" s="51" t="str">
        <f>TEXT(tblLaborEntries[[#This Row],[Work date serial]]-WEEKDAY(tblLaborEntries[[#This Row],[Work date serial]],3),"yyyy-mm-dd")</f>
        <v>2025-07-21</v>
      </c>
      <c r="I2543" s="64">
        <f>DATEVALUE(tblLaborEntries[[#This Row],[Work date]])</f>
        <v>45863.0</v>
      </c>
    </row>
    <row r="2544" spans="1:9" ht="15" x14ac:dyDescent="0.25">
      <c r="A2544" s="53" t="inlineStr">
        <is>
          <t>LAB-002543</t>
        </is>
      </c>
      <c r="B2544" s="53" t="inlineStr">
        <is>
          <t>WP-01111</t>
        </is>
      </c>
      <c r="C2544" s="53" t="inlineStr">
        <is>
          <t>TECH-060</t>
        </is>
      </c>
      <c r="D2544" s="53" t="inlineStr">
        <is>
          <t>Powerplant</t>
        </is>
      </c>
      <c r="E2544" s="53" t="inlineStr">
        <is>
          <t>2025-07-21</t>
        </is>
      </c>
      <c r="F2544" s="53">
        <v>6.9</v>
      </c>
      <c r="G2544" s="53">
        <v>0</v>
      </c>
      <c r="H2544" s="51" t="str">
        <f>TEXT(tblLaborEntries[[#This Row],[Work date serial]]-WEEKDAY(tblLaborEntries[[#This Row],[Work date serial]],3),"yyyy-mm-dd")</f>
        <v>2025-07-21</v>
      </c>
      <c r="I2544" s="64">
        <f>DATEVALUE(tblLaborEntries[[#This Row],[Work date]])</f>
        <v>45859.0</v>
      </c>
    </row>
    <row r="2545" spans="1:9" ht="15" x14ac:dyDescent="0.25">
      <c r="A2545" s="53" t="inlineStr">
        <is>
          <t>LAB-002544</t>
        </is>
      </c>
      <c r="B2545" s="53" t="inlineStr">
        <is>
          <t>WP-01111</t>
        </is>
      </c>
      <c r="C2545" s="53" t="inlineStr">
        <is>
          <t>TECH-030</t>
        </is>
      </c>
      <c r="D2545" s="53" t="inlineStr">
        <is>
          <t>Powerplant</t>
        </is>
      </c>
      <c r="E2545" s="53" t="inlineStr">
        <is>
          <t>2025-07-22</t>
        </is>
      </c>
      <c r="F2545" s="53">
        <v>6.2</v>
      </c>
      <c r="G2545" s="53">
        <v>0</v>
      </c>
      <c r="H2545" s="51" t="str">
        <f>TEXT(tblLaborEntries[[#This Row],[Work date serial]]-WEEKDAY(tblLaborEntries[[#This Row],[Work date serial]],3),"yyyy-mm-dd")</f>
        <v>2025-07-21</v>
      </c>
      <c r="I2545" s="64">
        <f>DATEVALUE(tblLaborEntries[[#This Row],[Work date]])</f>
        <v>45860.0</v>
      </c>
    </row>
    <row r="2546" spans="1:9" ht="15" x14ac:dyDescent="0.25">
      <c r="A2546" s="53" t="inlineStr">
        <is>
          <t>LAB-002545</t>
        </is>
      </c>
      <c r="B2546" s="53" t="inlineStr">
        <is>
          <t>WP-01111</t>
        </is>
      </c>
      <c r="C2546" s="53" t="inlineStr">
        <is>
          <t>TECH-060</t>
        </is>
      </c>
      <c r="D2546" s="53" t="inlineStr">
        <is>
          <t>Powerplant</t>
        </is>
      </c>
      <c r="E2546" s="53" t="inlineStr">
        <is>
          <t>2025-07-23</t>
        </is>
      </c>
      <c r="F2546" s="53">
        <v>7.8</v>
      </c>
      <c r="G2546" s="53">
        <v>0</v>
      </c>
      <c r="H2546" s="51" t="str">
        <f>TEXT(tblLaborEntries[[#This Row],[Work date serial]]-WEEKDAY(tblLaborEntries[[#This Row],[Work date serial]],3),"yyyy-mm-dd")</f>
        <v>2025-07-21</v>
      </c>
      <c r="I2546" s="64">
        <f>DATEVALUE(tblLaborEntries[[#This Row],[Work date]])</f>
        <v>45861.0</v>
      </c>
    </row>
    <row r="2547" spans="1:9" ht="15" x14ac:dyDescent="0.25">
      <c r="A2547" s="53" t="inlineStr">
        <is>
          <t>LAB-002546</t>
        </is>
      </c>
      <c r="B2547" s="53" t="inlineStr">
        <is>
          <t>WP-01112</t>
        </is>
      </c>
      <c r="C2547" s="53" t="inlineStr">
        <is>
          <t>TECH-020</t>
        </is>
      </c>
      <c r="D2547" s="53" t="inlineStr">
        <is>
          <t>Avionics</t>
        </is>
      </c>
      <c r="E2547" s="53" t="inlineStr">
        <is>
          <t>2025-06-14</t>
        </is>
      </c>
      <c r="F2547" s="53">
        <v>3</v>
      </c>
      <c r="G2547" s="53">
        <v>0</v>
      </c>
      <c r="H2547" s="51" t="str">
        <f>TEXT(tblLaborEntries[[#This Row],[Work date serial]]-WEEKDAY(tblLaborEntries[[#This Row],[Work date serial]],3),"yyyy-mm-dd")</f>
        <v>2025-06-09</v>
      </c>
      <c r="I2547" s="64">
        <f>DATEVALUE(tblLaborEntries[[#This Row],[Work date]])</f>
        <v>45822.0</v>
      </c>
    </row>
    <row r="2548" spans="1:9" ht="15" x14ac:dyDescent="0.25">
      <c r="A2548" s="53" t="inlineStr">
        <is>
          <t>LAB-002547</t>
        </is>
      </c>
      <c r="B2548" s="53" t="inlineStr">
        <is>
          <t>WP-01112</t>
        </is>
      </c>
      <c r="C2548" s="53" t="inlineStr">
        <is>
          <t>TECH-074</t>
        </is>
      </c>
      <c r="D2548" s="53" t="inlineStr">
        <is>
          <t>Avionics</t>
        </is>
      </c>
      <c r="E2548" s="53" t="inlineStr">
        <is>
          <t>2025-06-15</t>
        </is>
      </c>
      <c r="F2548" s="53">
        <v>3.5</v>
      </c>
      <c r="G2548" s="53">
        <v>0</v>
      </c>
      <c r="H2548" s="51" t="str">
        <f>TEXT(tblLaborEntries[[#This Row],[Work date serial]]-WEEKDAY(tblLaborEntries[[#This Row],[Work date serial]],3),"yyyy-mm-dd")</f>
        <v>2025-06-09</v>
      </c>
      <c r="I2548" s="64">
        <f>DATEVALUE(tblLaborEntries[[#This Row],[Work date]])</f>
        <v>45823.0</v>
      </c>
    </row>
    <row r="2549" spans="1:9" ht="15" x14ac:dyDescent="0.25">
      <c r="A2549" s="53" t="inlineStr">
        <is>
          <t>LAB-002548</t>
        </is>
      </c>
      <c r="B2549" s="53" t="inlineStr">
        <is>
          <t>WP-01112</t>
        </is>
      </c>
      <c r="C2549" s="53" t="inlineStr">
        <is>
          <t>TECH-020</t>
        </is>
      </c>
      <c r="D2549" s="53" t="inlineStr">
        <is>
          <t>Avionics</t>
        </is>
      </c>
      <c r="E2549" s="53" t="inlineStr">
        <is>
          <t>2025-06-16</t>
        </is>
      </c>
      <c r="F2549" s="53">
        <v>3.4</v>
      </c>
      <c r="G2549" s="53">
        <v>0</v>
      </c>
      <c r="H2549" s="51" t="str">
        <f>TEXT(tblLaborEntries[[#This Row],[Work date serial]]-WEEKDAY(tblLaborEntries[[#This Row],[Work date serial]],3),"yyyy-mm-dd")</f>
        <v>2025-06-16</v>
      </c>
      <c r="I2549" s="64">
        <f>DATEVALUE(tblLaborEntries[[#This Row],[Work date]])</f>
        <v>45824.0</v>
      </c>
    </row>
    <row r="2550" spans="1:9" ht="15" x14ac:dyDescent="0.25">
      <c r="A2550" s="53" t="inlineStr">
        <is>
          <t>LAB-002549</t>
        </is>
      </c>
      <c r="B2550" s="53" t="inlineStr">
        <is>
          <t>WP-01113</t>
        </is>
      </c>
      <c r="C2550" s="53" t="inlineStr">
        <is>
          <t>TECH-068</t>
        </is>
      </c>
      <c r="D2550" s="53" t="inlineStr">
        <is>
          <t>Avionics</t>
        </is>
      </c>
      <c r="E2550" s="53" t="inlineStr">
        <is>
          <t>2025-09-22</t>
        </is>
      </c>
      <c r="F2550" s="53">
        <v>3.7</v>
      </c>
      <c r="G2550" s="53">
        <v>0</v>
      </c>
      <c r="H2550" s="51" t="str">
        <f>TEXT(tblLaborEntries[[#This Row],[Work date serial]]-WEEKDAY(tblLaborEntries[[#This Row],[Work date serial]],3),"yyyy-mm-dd")</f>
        <v>2025-09-22</v>
      </c>
      <c r="I2550" s="64">
        <f>DATEVALUE(tblLaborEntries[[#This Row],[Work date]])</f>
        <v>45922.0</v>
      </c>
    </row>
    <row r="2551" spans="1:9" ht="15" x14ac:dyDescent="0.25">
      <c r="A2551" s="53" t="inlineStr">
        <is>
          <t>LAB-002550</t>
        </is>
      </c>
      <c r="B2551" s="53" t="inlineStr">
        <is>
          <t>WP-01114</t>
        </is>
      </c>
      <c r="C2551" s="53" t="inlineStr">
        <is>
          <t>TECH-036</t>
        </is>
      </c>
      <c r="D2551" s="53" t="inlineStr">
        <is>
          <t>Powerplant</t>
        </is>
      </c>
      <c r="E2551" s="53" t="inlineStr">
        <is>
          <t>2024-12-01</t>
        </is>
      </c>
      <c r="F2551" s="53">
        <v>6.5</v>
      </c>
      <c r="G2551" s="53">
        <v>0</v>
      </c>
      <c r="H2551" s="51" t="str">
        <f>TEXT(tblLaborEntries[[#This Row],[Work date serial]]-WEEKDAY(tblLaborEntries[[#This Row],[Work date serial]],3),"yyyy-mm-dd")</f>
        <v>2024-11-25</v>
      </c>
      <c r="I2551" s="64">
        <f>DATEVALUE(tblLaborEntries[[#This Row],[Work date]])</f>
        <v>45627.0</v>
      </c>
    </row>
    <row r="2552" spans="1:9" ht="15" x14ac:dyDescent="0.25">
      <c r="A2552" s="53" t="inlineStr">
        <is>
          <t>LAB-002551</t>
        </is>
      </c>
      <c r="B2552" s="53" t="inlineStr">
        <is>
          <t>WP-01114</t>
        </is>
      </c>
      <c r="C2552" s="53" t="inlineStr">
        <is>
          <t>TECH-006</t>
        </is>
      </c>
      <c r="D2552" s="53" t="inlineStr">
        <is>
          <t>Powerplant</t>
        </is>
      </c>
      <c r="E2552" s="53" t="inlineStr">
        <is>
          <t>2024-12-02</t>
        </is>
      </c>
      <c r="F2552" s="53">
        <v>8.8</v>
      </c>
      <c r="G2552" s="53">
        <v>0.8</v>
      </c>
      <c r="H2552" s="51" t="str">
        <f>TEXT(tblLaborEntries[[#This Row],[Work date serial]]-WEEKDAY(tblLaborEntries[[#This Row],[Work date serial]],3),"yyyy-mm-dd")</f>
        <v>2024-12-02</v>
      </c>
      <c r="I2552" s="64">
        <f>DATEVALUE(tblLaborEntries[[#This Row],[Work date]])</f>
        <v>45628.0</v>
      </c>
    </row>
    <row r="2553" spans="1:9" ht="15" x14ac:dyDescent="0.25">
      <c r="A2553" s="53" t="inlineStr">
        <is>
          <t>LAB-002552</t>
        </is>
      </c>
      <c r="B2553" s="53" t="inlineStr">
        <is>
          <t>WP-01114</t>
        </is>
      </c>
      <c r="C2553" s="53" t="inlineStr">
        <is>
          <t>TECH-006</t>
        </is>
      </c>
      <c r="D2553" s="53" t="inlineStr">
        <is>
          <t>Powerplant</t>
        </is>
      </c>
      <c r="E2553" s="53" t="inlineStr">
        <is>
          <t>2024-12-03</t>
        </is>
      </c>
      <c r="F2553" s="53">
        <v>6.3</v>
      </c>
      <c r="G2553" s="53">
        <v>0</v>
      </c>
      <c r="H2553" s="51" t="str">
        <f>TEXT(tblLaborEntries[[#This Row],[Work date serial]]-WEEKDAY(tblLaborEntries[[#This Row],[Work date serial]],3),"yyyy-mm-dd")</f>
        <v>2024-12-02</v>
      </c>
      <c r="I2553" s="64">
        <f>DATEVALUE(tblLaborEntries[[#This Row],[Work date]])</f>
        <v>45629.0</v>
      </c>
    </row>
    <row r="2554" spans="1:9" ht="15" x14ac:dyDescent="0.25">
      <c r="A2554" s="53" t="inlineStr">
        <is>
          <t>LAB-002553</t>
        </is>
      </c>
      <c r="B2554" s="53" t="inlineStr">
        <is>
          <t>WP-01115</t>
        </is>
      </c>
      <c r="C2554" s="53" t="inlineStr">
        <is>
          <t>TECH-064</t>
        </is>
      </c>
      <c r="D2554" s="53" t="inlineStr">
        <is>
          <t>Electrical</t>
        </is>
      </c>
      <c r="E2554" s="53" t="inlineStr">
        <is>
          <t>2024-07-16</t>
        </is>
      </c>
      <c r="F2554" s="53">
        <v>4.9</v>
      </c>
      <c r="G2554" s="53">
        <v>0</v>
      </c>
      <c r="H2554" s="51" t="str">
        <f>TEXT(tblLaborEntries[[#This Row],[Work date serial]]-WEEKDAY(tblLaborEntries[[#This Row],[Work date serial]],3),"yyyy-mm-dd")</f>
        <v>2024-07-15</v>
      </c>
      <c r="I2554" s="64">
        <f>DATEVALUE(tblLaborEntries[[#This Row],[Work date]])</f>
        <v>45489.0</v>
      </c>
    </row>
    <row r="2555" spans="1:9" ht="15" x14ac:dyDescent="0.25">
      <c r="A2555" s="53" t="inlineStr">
        <is>
          <t>LAB-002554</t>
        </is>
      </c>
      <c r="B2555" s="53" t="inlineStr">
        <is>
          <t>WP-01115</t>
        </is>
      </c>
      <c r="C2555" s="53" t="inlineStr">
        <is>
          <t>TECH-022</t>
        </is>
      </c>
      <c r="D2555" s="53" t="inlineStr">
        <is>
          <t>Electrical</t>
        </is>
      </c>
      <c r="E2555" s="53" t="inlineStr">
        <is>
          <t>2024-07-17</t>
        </is>
      </c>
      <c r="F2555" s="53">
        <v>5.7</v>
      </c>
      <c r="G2555" s="53">
        <v>0</v>
      </c>
      <c r="H2555" s="51" t="str">
        <f>TEXT(tblLaborEntries[[#This Row],[Work date serial]]-WEEKDAY(tblLaborEntries[[#This Row],[Work date serial]],3),"yyyy-mm-dd")</f>
        <v>2024-07-15</v>
      </c>
      <c r="I2555" s="64">
        <f>DATEVALUE(tblLaborEntries[[#This Row],[Work date]])</f>
        <v>45490.0</v>
      </c>
    </row>
    <row r="2556" spans="1:9" ht="15" x14ac:dyDescent="0.25">
      <c r="A2556" s="53" t="inlineStr">
        <is>
          <t>LAB-002555</t>
        </is>
      </c>
      <c r="B2556" s="53" t="inlineStr">
        <is>
          <t>WP-01116</t>
        </is>
      </c>
      <c r="C2556" s="53" t="inlineStr">
        <is>
          <t>TECH-034</t>
        </is>
      </c>
      <c r="D2556" s="53" t="inlineStr">
        <is>
          <t>Electrical</t>
        </is>
      </c>
      <c r="E2556" s="53" t="inlineStr">
        <is>
          <t>2026-01-03</t>
        </is>
      </c>
      <c r="F2556" s="53">
        <v>3.5</v>
      </c>
      <c r="G2556" s="53">
        <v>0</v>
      </c>
      <c r="H2556" s="51" t="str">
        <f>TEXT(tblLaborEntries[[#This Row],[Work date serial]]-WEEKDAY(tblLaborEntries[[#This Row],[Work date serial]],3),"yyyy-mm-dd")</f>
        <v>2025-12-29</v>
      </c>
      <c r="I2556" s="64">
        <f>DATEVALUE(tblLaborEntries[[#This Row],[Work date]])</f>
        <v>46025.0</v>
      </c>
    </row>
    <row r="2557" spans="1:9" ht="15" x14ac:dyDescent="0.25">
      <c r="A2557" s="53" t="inlineStr">
        <is>
          <t>LAB-002556</t>
        </is>
      </c>
      <c r="B2557" s="53" t="inlineStr">
        <is>
          <t>WP-01116</t>
        </is>
      </c>
      <c r="C2557" s="53" t="inlineStr">
        <is>
          <t>TECH-070</t>
        </is>
      </c>
      <c r="D2557" s="53" t="inlineStr">
        <is>
          <t>Electrical</t>
        </is>
      </c>
      <c r="E2557" s="53" t="inlineStr">
        <is>
          <t>2026-01-04</t>
        </is>
      </c>
      <c r="F2557" s="53">
        <v>5.1</v>
      </c>
      <c r="G2557" s="53">
        <v>0</v>
      </c>
      <c r="H2557" s="51" t="str">
        <f>TEXT(tblLaborEntries[[#This Row],[Work date serial]]-WEEKDAY(tblLaborEntries[[#This Row],[Work date serial]],3),"yyyy-mm-dd")</f>
        <v>2025-12-29</v>
      </c>
      <c r="I2557" s="64">
        <f>DATEVALUE(tblLaborEntries[[#This Row],[Work date]])</f>
        <v>46026.0</v>
      </c>
    </row>
    <row r="2558" spans="1:9" ht="15" x14ac:dyDescent="0.25">
      <c r="A2558" s="53" t="inlineStr">
        <is>
          <t>LAB-002557</t>
        </is>
      </c>
      <c r="B2558" s="53" t="inlineStr">
        <is>
          <t>WP-01117</t>
        </is>
      </c>
      <c r="C2558" s="53" t="inlineStr">
        <is>
          <t>TECH-015</t>
        </is>
      </c>
      <c r="D2558" s="53" t="inlineStr">
        <is>
          <t>Hydraulics</t>
        </is>
      </c>
      <c r="E2558" s="53" t="inlineStr">
        <is>
          <t>2024-08-22</t>
        </is>
      </c>
      <c r="F2558" s="53">
        <v>11</v>
      </c>
      <c r="G2558" s="53">
        <v>3</v>
      </c>
      <c r="H2558" s="51" t="str">
        <f>TEXT(tblLaborEntries[[#This Row],[Work date serial]]-WEEKDAY(tblLaborEntries[[#This Row],[Work date serial]],3),"yyyy-mm-dd")</f>
        <v>2024-08-19</v>
      </c>
      <c r="I2558" s="64">
        <f>DATEVALUE(tblLaborEntries[[#This Row],[Work date]])</f>
        <v>45526.0</v>
      </c>
    </row>
    <row r="2559" spans="1:9" ht="15" x14ac:dyDescent="0.25">
      <c r="A2559" s="53" t="inlineStr">
        <is>
          <t>LAB-002558</t>
        </is>
      </c>
      <c r="B2559" s="53" t="inlineStr">
        <is>
          <t>WP-01117</t>
        </is>
      </c>
      <c r="C2559" s="53" t="inlineStr">
        <is>
          <t>TECH-003</t>
        </is>
      </c>
      <c r="D2559" s="53" t="inlineStr">
        <is>
          <t>Hydraulics</t>
        </is>
      </c>
      <c r="E2559" s="53" t="inlineStr">
        <is>
          <t>2024-08-23</t>
        </is>
      </c>
      <c r="F2559" s="53">
        <v>9</v>
      </c>
      <c r="G2559" s="53">
        <v>1</v>
      </c>
      <c r="H2559" s="51" t="str">
        <f>TEXT(tblLaborEntries[[#This Row],[Work date serial]]-WEEKDAY(tblLaborEntries[[#This Row],[Work date serial]],3),"yyyy-mm-dd")</f>
        <v>2024-08-19</v>
      </c>
      <c r="I2559" s="64">
        <f>DATEVALUE(tblLaborEntries[[#This Row],[Work date]])</f>
        <v>45527.0</v>
      </c>
    </row>
    <row r="2560" spans="1:9" ht="15" x14ac:dyDescent="0.25">
      <c r="A2560" s="53" t="inlineStr">
        <is>
          <t>LAB-002559</t>
        </is>
      </c>
      <c r="B2560" s="53" t="inlineStr">
        <is>
          <t>WP-01118</t>
        </is>
      </c>
      <c r="C2560" s="53" t="inlineStr">
        <is>
          <t>TECH-005</t>
        </is>
      </c>
      <c r="D2560" s="53" t="inlineStr">
        <is>
          <t>Structures</t>
        </is>
      </c>
      <c r="E2560" s="53" t="inlineStr">
        <is>
          <t>2025-04-28</t>
        </is>
      </c>
      <c r="F2560" s="53">
        <v>12</v>
      </c>
      <c r="G2560" s="53">
        <v>4</v>
      </c>
      <c r="H2560" s="51" t="str">
        <f>TEXT(tblLaborEntries[[#This Row],[Work date serial]]-WEEKDAY(tblLaborEntries[[#This Row],[Work date serial]],3),"yyyy-mm-dd")</f>
        <v>2025-04-28</v>
      </c>
      <c r="I2560" s="64">
        <f>DATEVALUE(tblLaborEntries[[#This Row],[Work date]])</f>
        <v>45775.0</v>
      </c>
    </row>
    <row r="2561" spans="1:9" ht="15" x14ac:dyDescent="0.25">
      <c r="A2561" s="53" t="inlineStr">
        <is>
          <t>LAB-002560</t>
        </is>
      </c>
      <c r="B2561" s="53" t="inlineStr">
        <is>
          <t>WP-01118</t>
        </is>
      </c>
      <c r="C2561" s="53" t="inlineStr">
        <is>
          <t>TECH-011</t>
        </is>
      </c>
      <c r="D2561" s="53" t="inlineStr">
        <is>
          <t>Structures</t>
        </is>
      </c>
      <c r="E2561" s="53" t="inlineStr">
        <is>
          <t>2025-04-28</t>
        </is>
      </c>
      <c r="F2561" s="53">
        <v>11.7</v>
      </c>
      <c r="G2561" s="53">
        <v>3.7</v>
      </c>
      <c r="H2561" s="51" t="str">
        <f>TEXT(tblLaborEntries[[#This Row],[Work date serial]]-WEEKDAY(tblLaborEntries[[#This Row],[Work date serial]],3),"yyyy-mm-dd")</f>
        <v>2025-04-28</v>
      </c>
      <c r="I2561" s="64">
        <f>DATEVALUE(tblLaborEntries[[#This Row],[Work date]])</f>
        <v>45775.0</v>
      </c>
    </row>
    <row r="2562" spans="1:9" ht="15" x14ac:dyDescent="0.25">
      <c r="A2562" s="53" t="inlineStr">
        <is>
          <t>LAB-002561</t>
        </is>
      </c>
      <c r="B2562" s="53" t="inlineStr">
        <is>
          <t>WP-01119</t>
        </is>
      </c>
      <c r="C2562" s="53" t="inlineStr">
        <is>
          <t>TECH-050</t>
        </is>
      </c>
      <c r="D2562" s="53" t="inlineStr">
        <is>
          <t>Avionics</t>
        </is>
      </c>
      <c r="E2562" s="53" t="inlineStr">
        <is>
          <t>2025-07-09</t>
        </is>
      </c>
      <c r="F2562" s="53">
        <v>6.8</v>
      </c>
      <c r="G2562" s="53">
        <v>0.6</v>
      </c>
      <c r="H2562" s="51" t="str">
        <f>TEXT(tblLaborEntries[[#This Row],[Work date serial]]-WEEKDAY(tblLaborEntries[[#This Row],[Work date serial]],3),"yyyy-mm-dd")</f>
        <v>2025-07-07</v>
      </c>
      <c r="I2562" s="64">
        <f>DATEVALUE(tblLaborEntries[[#This Row],[Work date]])</f>
        <v>45847.0</v>
      </c>
    </row>
    <row r="2563" spans="1:9" ht="15" x14ac:dyDescent="0.25">
      <c r="A2563" s="53" t="inlineStr">
        <is>
          <t>LAB-002562</t>
        </is>
      </c>
      <c r="B2563" s="53" t="inlineStr">
        <is>
          <t>WP-01120</t>
        </is>
      </c>
      <c r="C2563" s="53" t="inlineStr">
        <is>
          <t>TECH-001</t>
        </is>
      </c>
      <c r="D2563" s="53" t="inlineStr">
        <is>
          <t>Airframe</t>
        </is>
      </c>
      <c r="E2563" s="53" t="inlineStr">
        <is>
          <t>2025-02-14</t>
        </is>
      </c>
      <c r="F2563" s="53">
        <v>6.3</v>
      </c>
      <c r="G2563" s="53">
        <v>0</v>
      </c>
      <c r="H2563" s="51" t="str">
        <f>TEXT(tblLaborEntries[[#This Row],[Work date serial]]-WEEKDAY(tblLaborEntries[[#This Row],[Work date serial]],3),"yyyy-mm-dd")</f>
        <v>2025-02-10</v>
      </c>
      <c r="I2563" s="64">
        <f>DATEVALUE(tblLaborEntries[[#This Row],[Work date]])</f>
        <v>45702.0</v>
      </c>
    </row>
    <row r="2564" spans="1:9" ht="15" x14ac:dyDescent="0.25">
      <c r="A2564" s="53" t="inlineStr">
        <is>
          <t>LAB-002563</t>
        </is>
      </c>
      <c r="B2564" s="53" t="inlineStr">
        <is>
          <t>WP-01120</t>
        </is>
      </c>
      <c r="C2564" s="53" t="inlineStr">
        <is>
          <t>TECH-049</t>
        </is>
      </c>
      <c r="D2564" s="53" t="inlineStr">
        <is>
          <t>Airframe</t>
        </is>
      </c>
      <c r="E2564" s="53" t="inlineStr">
        <is>
          <t>2025-02-14</t>
        </is>
      </c>
      <c r="F2564" s="53">
        <v>8.3</v>
      </c>
      <c r="G2564" s="53">
        <v>4</v>
      </c>
      <c r="H2564" s="51" t="str">
        <f>TEXT(tblLaborEntries[[#This Row],[Work date serial]]-WEEKDAY(tblLaborEntries[[#This Row],[Work date serial]],3),"yyyy-mm-dd")</f>
        <v>2025-02-10</v>
      </c>
      <c r="I2564" s="64">
        <f>DATEVALUE(tblLaborEntries[[#This Row],[Work date]])</f>
        <v>45702.0</v>
      </c>
    </row>
    <row r="2565" spans="1:9" ht="15" x14ac:dyDescent="0.25">
      <c r="A2565" s="53" t="inlineStr">
        <is>
          <t>LAB-002564</t>
        </is>
      </c>
      <c r="B2565" s="53" t="inlineStr">
        <is>
          <t>WP-01121</t>
        </is>
      </c>
      <c r="C2565" s="53" t="inlineStr">
        <is>
          <t>TECH-060</t>
        </is>
      </c>
      <c r="D2565" s="53" t="inlineStr">
        <is>
          <t>Powerplant</t>
        </is>
      </c>
      <c r="E2565" s="53" t="inlineStr">
        <is>
          <t>2025-03-23</t>
        </is>
      </c>
      <c r="F2565" s="53">
        <v>6.5</v>
      </c>
      <c r="G2565" s="53">
        <v>0</v>
      </c>
      <c r="H2565" s="51" t="str">
        <f>TEXT(tblLaborEntries[[#This Row],[Work date serial]]-WEEKDAY(tblLaborEntries[[#This Row],[Work date serial]],3),"yyyy-mm-dd")</f>
        <v>2025-03-17</v>
      </c>
      <c r="I2565" s="64">
        <f>DATEVALUE(tblLaborEntries[[#This Row],[Work date]])</f>
        <v>45739.0</v>
      </c>
    </row>
    <row r="2566" spans="1:9" ht="15" x14ac:dyDescent="0.25">
      <c r="A2566" s="53" t="inlineStr">
        <is>
          <t>LAB-002565</t>
        </is>
      </c>
      <c r="B2566" s="53" t="inlineStr">
        <is>
          <t>WP-01121</t>
        </is>
      </c>
      <c r="C2566" s="53" t="inlineStr">
        <is>
          <t>TECH-060</t>
        </is>
      </c>
      <c r="D2566" s="53" t="inlineStr">
        <is>
          <t>Powerplant</t>
        </is>
      </c>
      <c r="E2566" s="53" t="inlineStr">
        <is>
          <t>2025-03-24</t>
        </is>
      </c>
      <c r="F2566" s="53">
        <v>7.1</v>
      </c>
      <c r="G2566" s="53">
        <v>0</v>
      </c>
      <c r="H2566" s="51" t="str">
        <f>TEXT(tblLaborEntries[[#This Row],[Work date serial]]-WEEKDAY(tblLaborEntries[[#This Row],[Work date serial]],3),"yyyy-mm-dd")</f>
        <v>2025-03-24</v>
      </c>
      <c r="I2566" s="64">
        <f>DATEVALUE(tblLaborEntries[[#This Row],[Work date]])</f>
        <v>45740.0</v>
      </c>
    </row>
    <row r="2567" spans="1:9" ht="15" x14ac:dyDescent="0.25">
      <c r="A2567" s="53" t="inlineStr">
        <is>
          <t>LAB-002566</t>
        </is>
      </c>
      <c r="B2567" s="53" t="inlineStr">
        <is>
          <t>WP-01122</t>
        </is>
      </c>
      <c r="C2567" s="53" t="inlineStr">
        <is>
          <t>TECH-054</t>
        </is>
      </c>
      <c r="D2567" s="53" t="inlineStr">
        <is>
          <t>Powerplant</t>
        </is>
      </c>
      <c r="E2567" s="53" t="inlineStr">
        <is>
          <t>2024-05-16</t>
        </is>
      </c>
      <c r="F2567" s="53">
        <v>9.7</v>
      </c>
      <c r="G2567" s="53">
        <v>1.7</v>
      </c>
      <c r="H2567" s="51" t="str">
        <f>TEXT(tblLaborEntries[[#This Row],[Work date serial]]-WEEKDAY(tblLaborEntries[[#This Row],[Work date serial]],3),"yyyy-mm-dd")</f>
        <v>2024-05-13</v>
      </c>
      <c r="I2567" s="64">
        <f>DATEVALUE(tblLaborEntries[[#This Row],[Work date]])</f>
        <v>45428.0</v>
      </c>
    </row>
    <row r="2568" spans="1:9" ht="15" x14ac:dyDescent="0.25">
      <c r="A2568" s="53" t="inlineStr">
        <is>
          <t>LAB-002567</t>
        </is>
      </c>
      <c r="B2568" s="53" t="inlineStr">
        <is>
          <t>WP-01123</t>
        </is>
      </c>
      <c r="C2568" s="53" t="inlineStr">
        <is>
          <t>TECH-025</t>
        </is>
      </c>
      <c r="D2568" s="53" t="inlineStr">
        <is>
          <t>Airframe</t>
        </is>
      </c>
      <c r="E2568" s="53" t="inlineStr">
        <is>
          <t>2025-10-16</t>
        </is>
      </c>
      <c r="F2568" s="53">
        <v>6</v>
      </c>
      <c r="G2568" s="53">
        <v>0</v>
      </c>
      <c r="H2568" s="51" t="str">
        <f>TEXT(tblLaborEntries[[#This Row],[Work date serial]]-WEEKDAY(tblLaborEntries[[#This Row],[Work date serial]],3),"yyyy-mm-dd")</f>
        <v>2025-10-13</v>
      </c>
      <c r="I2568" s="64">
        <f>DATEVALUE(tblLaborEntries[[#This Row],[Work date]])</f>
        <v>45946.0</v>
      </c>
    </row>
    <row r="2569" spans="1:9" ht="15" x14ac:dyDescent="0.25">
      <c r="A2569" s="53" t="inlineStr">
        <is>
          <t>LAB-002568</t>
        </is>
      </c>
      <c r="B2569" s="53" t="inlineStr">
        <is>
          <t>WP-01124</t>
        </is>
      </c>
      <c r="C2569" s="53" t="inlineStr">
        <is>
          <t>TECH-068</t>
        </is>
      </c>
      <c r="D2569" s="53" t="inlineStr">
        <is>
          <t>Avionics</t>
        </is>
      </c>
      <c r="E2569" s="53" t="inlineStr">
        <is>
          <t>2025-08-15</t>
        </is>
      </c>
      <c r="F2569" s="53">
        <v>8.4</v>
      </c>
      <c r="G2569" s="53">
        <v>0.4</v>
      </c>
      <c r="H2569" s="51" t="str">
        <f>TEXT(tblLaborEntries[[#This Row],[Work date serial]]-WEEKDAY(tblLaborEntries[[#This Row],[Work date serial]],3),"yyyy-mm-dd")</f>
        <v>2025-08-11</v>
      </c>
      <c r="I2569" s="64">
        <f>DATEVALUE(tblLaborEntries[[#This Row],[Work date]])</f>
        <v>45884.0</v>
      </c>
    </row>
    <row r="2570" spans="1:9" ht="15" x14ac:dyDescent="0.25">
      <c r="A2570" s="53" t="inlineStr">
        <is>
          <t>LAB-002569</t>
        </is>
      </c>
      <c r="B2570" s="53" t="inlineStr">
        <is>
          <t>WP-01125</t>
        </is>
      </c>
      <c r="C2570" s="53" t="inlineStr">
        <is>
          <t>TECH-068</t>
        </is>
      </c>
      <c r="D2570" s="53" t="inlineStr">
        <is>
          <t>Avionics</t>
        </is>
      </c>
      <c r="E2570" s="53" t="inlineStr">
        <is>
          <t>2024-09-02</t>
        </is>
      </c>
      <c r="F2570" s="53">
        <v>1.8</v>
      </c>
      <c r="G2570" s="53">
        <v>0</v>
      </c>
      <c r="H2570" s="51" t="str">
        <f>TEXT(tblLaborEntries[[#This Row],[Work date serial]]-WEEKDAY(tblLaborEntries[[#This Row],[Work date serial]],3),"yyyy-mm-dd")</f>
        <v>2024-09-02</v>
      </c>
      <c r="I2570" s="64">
        <f>DATEVALUE(tblLaborEntries[[#This Row],[Work date]])</f>
        <v>45537.0</v>
      </c>
    </row>
    <row r="2571" spans="1:9" ht="15" x14ac:dyDescent="0.25">
      <c r="A2571" s="53" t="inlineStr">
        <is>
          <t>LAB-002570</t>
        </is>
      </c>
      <c r="B2571" s="53" t="inlineStr">
        <is>
          <t>WP-01125</t>
        </is>
      </c>
      <c r="C2571" s="53" t="inlineStr">
        <is>
          <t>TECH-014</t>
        </is>
      </c>
      <c r="D2571" s="53" t="inlineStr">
        <is>
          <t>Avionics</t>
        </is>
      </c>
      <c r="E2571" s="53" t="inlineStr">
        <is>
          <t>2024-09-03</t>
        </is>
      </c>
      <c r="F2571" s="53">
        <v>1.8</v>
      </c>
      <c r="G2571" s="53">
        <v>0</v>
      </c>
      <c r="H2571" s="51" t="str">
        <f>TEXT(tblLaborEntries[[#This Row],[Work date serial]]-WEEKDAY(tblLaborEntries[[#This Row],[Work date serial]],3),"yyyy-mm-dd")</f>
        <v>2024-09-02</v>
      </c>
      <c r="I2571" s="64">
        <f>DATEVALUE(tblLaborEntries[[#This Row],[Work date]])</f>
        <v>45538.0</v>
      </c>
    </row>
    <row r="2572" spans="1:9" ht="15" x14ac:dyDescent="0.25">
      <c r="A2572" s="53" t="inlineStr">
        <is>
          <t>LAB-002571</t>
        </is>
      </c>
      <c r="B2572" s="53" t="inlineStr">
        <is>
          <t>WP-01125</t>
        </is>
      </c>
      <c r="C2572" s="53" t="inlineStr">
        <is>
          <t>TECH-020</t>
        </is>
      </c>
      <c r="D2572" s="53" t="inlineStr">
        <is>
          <t>Avionics</t>
        </is>
      </c>
      <c r="E2572" s="53" t="inlineStr">
        <is>
          <t>2024-09-04</t>
        </is>
      </c>
      <c r="F2572" s="53">
        <v>1.4</v>
      </c>
      <c r="G2572" s="53">
        <v>0</v>
      </c>
      <c r="H2572" s="51" t="str">
        <f>TEXT(tblLaborEntries[[#This Row],[Work date serial]]-WEEKDAY(tblLaborEntries[[#This Row],[Work date serial]],3),"yyyy-mm-dd")</f>
        <v>2024-09-02</v>
      </c>
      <c r="I2572" s="64">
        <f>DATEVALUE(tblLaborEntries[[#This Row],[Work date]])</f>
        <v>45539.0</v>
      </c>
    </row>
    <row r="2573" spans="1:9" ht="15" x14ac:dyDescent="0.25">
      <c r="A2573" s="53" t="inlineStr">
        <is>
          <t>LAB-002572</t>
        </is>
      </c>
      <c r="B2573" s="53" t="inlineStr">
        <is>
          <t>WP-01126</t>
        </is>
      </c>
      <c r="C2573" s="53" t="inlineStr">
        <is>
          <t>TECH-006</t>
        </is>
      </c>
      <c r="D2573" s="53" t="inlineStr">
        <is>
          <t>Powerplant</t>
        </is>
      </c>
      <c r="E2573" s="53" t="inlineStr">
        <is>
          <t>2024-10-12</t>
        </is>
      </c>
      <c r="F2573" s="53">
        <v>2.2</v>
      </c>
      <c r="G2573" s="53">
        <v>0</v>
      </c>
      <c r="H2573" s="51" t="str">
        <f>TEXT(tblLaborEntries[[#This Row],[Work date serial]]-WEEKDAY(tblLaborEntries[[#This Row],[Work date serial]],3),"yyyy-mm-dd")</f>
        <v>2024-10-07</v>
      </c>
      <c r="I2573" s="64">
        <f>DATEVALUE(tblLaborEntries[[#This Row],[Work date]])</f>
        <v>45577.0</v>
      </c>
    </row>
    <row r="2574" spans="1:9" ht="15" x14ac:dyDescent="0.25">
      <c r="A2574" s="53" t="inlineStr">
        <is>
          <t>LAB-002573</t>
        </is>
      </c>
      <c r="B2574" s="53" t="inlineStr">
        <is>
          <t>WP-01126</t>
        </is>
      </c>
      <c r="C2574" s="53" t="inlineStr">
        <is>
          <t>TECH-012</t>
        </is>
      </c>
      <c r="D2574" s="53" t="inlineStr">
        <is>
          <t>Powerplant</t>
        </is>
      </c>
      <c r="E2574" s="53" t="inlineStr">
        <is>
          <t>2024-10-13</t>
        </is>
      </c>
      <c r="F2574" s="53">
        <v>2.7</v>
      </c>
      <c r="G2574" s="53">
        <v>0</v>
      </c>
      <c r="H2574" s="51" t="str">
        <f>TEXT(tblLaborEntries[[#This Row],[Work date serial]]-WEEKDAY(tblLaborEntries[[#This Row],[Work date serial]],3),"yyyy-mm-dd")</f>
        <v>2024-10-07</v>
      </c>
      <c r="I2574" s="64">
        <f>DATEVALUE(tblLaborEntries[[#This Row],[Work date]])</f>
        <v>45578.0</v>
      </c>
    </row>
    <row r="2575" spans="1:9" ht="15" x14ac:dyDescent="0.25">
      <c r="A2575" s="53" t="inlineStr">
        <is>
          <t>LAB-002574</t>
        </is>
      </c>
      <c r="B2575" s="53" t="inlineStr">
        <is>
          <t>WP-01127</t>
        </is>
      </c>
      <c r="C2575" s="53" t="inlineStr">
        <is>
          <t>TECH-006</t>
        </is>
      </c>
      <c r="D2575" s="53" t="inlineStr">
        <is>
          <t>Powerplant</t>
        </is>
      </c>
      <c r="E2575" s="53" t="inlineStr">
        <is>
          <t>2025-05-17</t>
        </is>
      </c>
      <c r="F2575" s="53">
        <v>6.2</v>
      </c>
      <c r="G2575" s="53">
        <v>0</v>
      </c>
      <c r="H2575" s="51" t="str">
        <f>TEXT(tblLaborEntries[[#This Row],[Work date serial]]-WEEKDAY(tblLaborEntries[[#This Row],[Work date serial]],3),"yyyy-mm-dd")</f>
        <v>2025-05-12</v>
      </c>
      <c r="I2575" s="64">
        <f>DATEVALUE(tblLaborEntries[[#This Row],[Work date]])</f>
        <v>45794.0</v>
      </c>
    </row>
    <row r="2576" spans="1:9" ht="15" x14ac:dyDescent="0.25">
      <c r="A2576" s="53" t="inlineStr">
        <is>
          <t>LAB-002575</t>
        </is>
      </c>
      <c r="B2576" s="53" t="inlineStr">
        <is>
          <t>WP-01127</t>
        </is>
      </c>
      <c r="C2576" s="53" t="inlineStr">
        <is>
          <t>TECH-018</t>
        </is>
      </c>
      <c r="D2576" s="53" t="inlineStr">
        <is>
          <t>Powerplant</t>
        </is>
      </c>
      <c r="E2576" s="53" t="inlineStr">
        <is>
          <t>2025-05-17</t>
        </is>
      </c>
      <c r="F2576" s="53">
        <v>12</v>
      </c>
      <c r="G2576" s="53">
        <v>4</v>
      </c>
      <c r="H2576" s="51" t="str">
        <f>TEXT(tblLaborEntries[[#This Row],[Work date serial]]-WEEKDAY(tblLaborEntries[[#This Row],[Work date serial]],3),"yyyy-mm-dd")</f>
        <v>2025-05-12</v>
      </c>
      <c r="I2576" s="64">
        <f>DATEVALUE(tblLaborEntries[[#This Row],[Work date]])</f>
        <v>45794.0</v>
      </c>
    </row>
    <row r="2577" spans="1:9" ht="15" x14ac:dyDescent="0.25">
      <c r="A2577" s="53" t="inlineStr">
        <is>
          <t>LAB-002576</t>
        </is>
      </c>
      <c r="B2577" s="53" t="inlineStr">
        <is>
          <t>WP-01128</t>
        </is>
      </c>
      <c r="C2577" s="53" t="inlineStr">
        <is>
          <t>TECH-067</t>
        </is>
      </c>
      <c r="D2577" s="53" t="inlineStr">
        <is>
          <t>Airframe</t>
        </is>
      </c>
      <c r="E2577" s="53" t="inlineStr">
        <is>
          <t>2025-06-24</t>
        </is>
      </c>
      <c r="F2577" s="53">
        <v>3.9</v>
      </c>
      <c r="G2577" s="53">
        <v>0</v>
      </c>
      <c r="H2577" s="51" t="str">
        <f>TEXT(tblLaborEntries[[#This Row],[Work date serial]]-WEEKDAY(tblLaborEntries[[#This Row],[Work date serial]],3),"yyyy-mm-dd")</f>
        <v>2025-06-23</v>
      </c>
      <c r="I2577" s="64">
        <f>DATEVALUE(tblLaborEntries[[#This Row],[Work date]])</f>
        <v>45832.0</v>
      </c>
    </row>
    <row r="2578" spans="1:9" ht="15" x14ac:dyDescent="0.25">
      <c r="A2578" s="53" t="inlineStr">
        <is>
          <t>LAB-002577</t>
        </is>
      </c>
      <c r="B2578" s="53" t="inlineStr">
        <is>
          <t>WP-01128</t>
        </is>
      </c>
      <c r="C2578" s="53" t="inlineStr">
        <is>
          <t>TECH-055</t>
        </is>
      </c>
      <c r="D2578" s="53" t="inlineStr">
        <is>
          <t>Airframe</t>
        </is>
      </c>
      <c r="E2578" s="53" t="inlineStr">
        <is>
          <t>2025-06-25</t>
        </is>
      </c>
      <c r="F2578" s="53">
        <v>3.5</v>
      </c>
      <c r="G2578" s="53">
        <v>0</v>
      </c>
      <c r="H2578" s="51" t="str">
        <f>TEXT(tblLaborEntries[[#This Row],[Work date serial]]-WEEKDAY(tblLaborEntries[[#This Row],[Work date serial]],3),"yyyy-mm-dd")</f>
        <v>2025-06-23</v>
      </c>
      <c r="I2578" s="64">
        <f>DATEVALUE(tblLaborEntries[[#This Row],[Work date]])</f>
        <v>45833.0</v>
      </c>
    </row>
    <row r="2579" spans="1:9" ht="15" x14ac:dyDescent="0.25">
      <c r="A2579" s="53" t="inlineStr">
        <is>
          <t>LAB-002578</t>
        </is>
      </c>
      <c r="B2579" s="53" t="inlineStr">
        <is>
          <t>WP-01129</t>
        </is>
      </c>
      <c r="C2579" s="53" t="inlineStr">
        <is>
          <t>TECH-072</t>
        </is>
      </c>
      <c r="D2579" s="53" t="inlineStr">
        <is>
          <t>Powerplant</t>
        </is>
      </c>
      <c r="E2579" s="53" t="inlineStr">
        <is>
          <t>2025-01-19</t>
        </is>
      </c>
      <c r="F2579" s="53">
        <v>7.5</v>
      </c>
      <c r="G2579" s="53">
        <v>0</v>
      </c>
      <c r="H2579" s="51" t="str">
        <f>TEXT(tblLaborEntries[[#This Row],[Work date serial]]-WEEKDAY(tblLaborEntries[[#This Row],[Work date serial]],3),"yyyy-mm-dd")</f>
        <v>2025-01-13</v>
      </c>
      <c r="I2579" s="64">
        <f>DATEVALUE(tblLaborEntries[[#This Row],[Work date]])</f>
        <v>45676.0</v>
      </c>
    </row>
    <row r="2580" spans="1:9" ht="15" x14ac:dyDescent="0.25">
      <c r="A2580" s="53" t="inlineStr">
        <is>
          <t>LAB-002579</t>
        </is>
      </c>
      <c r="B2580" s="53" t="inlineStr">
        <is>
          <t>WP-01130</t>
        </is>
      </c>
      <c r="C2580" s="53" t="inlineStr">
        <is>
          <t>TECH-048</t>
        </is>
      </c>
      <c r="D2580" s="53" t="inlineStr">
        <is>
          <t>Powerplant</t>
        </is>
      </c>
      <c r="E2580" s="53" t="inlineStr">
        <is>
          <t>2025-04-25</t>
        </is>
      </c>
      <c r="F2580" s="53">
        <v>5.7</v>
      </c>
      <c r="G2580" s="53">
        <v>0</v>
      </c>
      <c r="H2580" s="51" t="str">
        <f>TEXT(tblLaborEntries[[#This Row],[Work date serial]]-WEEKDAY(tblLaborEntries[[#This Row],[Work date serial]],3),"yyyy-mm-dd")</f>
        <v>2025-04-21</v>
      </c>
      <c r="I2580" s="64">
        <f>DATEVALUE(tblLaborEntries[[#This Row],[Work date]])</f>
        <v>45772.0</v>
      </c>
    </row>
    <row r="2581" spans="1:9" ht="15" x14ac:dyDescent="0.25">
      <c r="A2581" s="53" t="inlineStr">
        <is>
          <t>LAB-002580</t>
        </is>
      </c>
      <c r="B2581" s="53" t="inlineStr">
        <is>
          <t>WP-01130</t>
        </is>
      </c>
      <c r="C2581" s="53" t="inlineStr">
        <is>
          <t>TECH-072</t>
        </is>
      </c>
      <c r="D2581" s="53" t="inlineStr">
        <is>
          <t>Powerplant</t>
        </is>
      </c>
      <c r="E2581" s="53" t="inlineStr">
        <is>
          <t>2025-04-26</t>
        </is>
      </c>
      <c r="F2581" s="53">
        <v>5.2</v>
      </c>
      <c r="G2581" s="53">
        <v>0</v>
      </c>
      <c r="H2581" s="51" t="str">
        <f>TEXT(tblLaborEntries[[#This Row],[Work date serial]]-WEEKDAY(tblLaborEntries[[#This Row],[Work date serial]],3),"yyyy-mm-dd")</f>
        <v>2025-04-21</v>
      </c>
      <c r="I2581" s="64">
        <f>DATEVALUE(tblLaborEntries[[#This Row],[Work date]])</f>
        <v>45773.0</v>
      </c>
    </row>
    <row r="2582" spans="1:9" ht="15" x14ac:dyDescent="0.25">
      <c r="A2582" s="53" t="inlineStr">
        <is>
          <t>LAB-002581</t>
        </is>
      </c>
      <c r="B2582" s="53" t="inlineStr">
        <is>
          <t>WP-01131</t>
        </is>
      </c>
      <c r="C2582" s="53" t="inlineStr">
        <is>
          <t>TECH-056</t>
        </is>
      </c>
      <c r="D2582" s="53" t="inlineStr">
        <is>
          <t>Avionics</t>
        </is>
      </c>
      <c r="E2582" s="53" t="inlineStr">
        <is>
          <t>2025-07-18</t>
        </is>
      </c>
      <c r="F2582" s="53">
        <v>4.3</v>
      </c>
      <c r="G2582" s="53">
        <v>0</v>
      </c>
      <c r="H2582" s="51" t="str">
        <f>TEXT(tblLaborEntries[[#This Row],[Work date serial]]-WEEKDAY(tblLaborEntries[[#This Row],[Work date serial]],3),"yyyy-mm-dd")</f>
        <v>2025-07-14</v>
      </c>
      <c r="I2582" s="64">
        <f>DATEVALUE(tblLaborEntries[[#This Row],[Work date]])</f>
        <v>45856.0</v>
      </c>
    </row>
    <row r="2583" spans="1:9" ht="15" x14ac:dyDescent="0.25">
      <c r="A2583" s="53" t="inlineStr">
        <is>
          <t>LAB-002582</t>
        </is>
      </c>
      <c r="B2583" s="53" t="inlineStr">
        <is>
          <t>WP-01131</t>
        </is>
      </c>
      <c r="C2583" s="53" t="inlineStr">
        <is>
          <t>TECH-026</t>
        </is>
      </c>
      <c r="D2583" s="53" t="inlineStr">
        <is>
          <t>Avionics</t>
        </is>
      </c>
      <c r="E2583" s="53" t="inlineStr">
        <is>
          <t>2025-07-19</t>
        </is>
      </c>
      <c r="F2583" s="53">
        <v>3.7</v>
      </c>
      <c r="G2583" s="53">
        <v>0</v>
      </c>
      <c r="H2583" s="51" t="str">
        <f>TEXT(tblLaborEntries[[#This Row],[Work date serial]]-WEEKDAY(tblLaborEntries[[#This Row],[Work date serial]],3),"yyyy-mm-dd")</f>
        <v>2025-07-14</v>
      </c>
      <c r="I2583" s="64">
        <f>DATEVALUE(tblLaborEntries[[#This Row],[Work date]])</f>
        <v>45857.0</v>
      </c>
    </row>
    <row r="2584" spans="1:9" ht="15" x14ac:dyDescent="0.25">
      <c r="A2584" s="53" t="inlineStr">
        <is>
          <t>LAB-002583</t>
        </is>
      </c>
      <c r="B2584" s="53" t="inlineStr">
        <is>
          <t>WP-01132</t>
        </is>
      </c>
      <c r="C2584" s="53" t="inlineStr">
        <is>
          <t>TECH-060</t>
        </is>
      </c>
      <c r="D2584" s="53" t="inlineStr">
        <is>
          <t>Powerplant</t>
        </is>
      </c>
      <c r="E2584" s="53" t="inlineStr">
        <is>
          <t>2025-05-02</t>
        </is>
      </c>
      <c r="F2584" s="53">
        <v>8.3</v>
      </c>
      <c r="G2584" s="53">
        <v>0.3</v>
      </c>
      <c r="H2584" s="51" t="str">
        <f>TEXT(tblLaborEntries[[#This Row],[Work date serial]]-WEEKDAY(tblLaborEntries[[#This Row],[Work date serial]],3),"yyyy-mm-dd")</f>
        <v>2025-04-28</v>
      </c>
      <c r="I2584" s="64">
        <f>DATEVALUE(tblLaborEntries[[#This Row],[Work date]])</f>
        <v>45779.0</v>
      </c>
    </row>
    <row r="2585" spans="1:9" ht="15" x14ac:dyDescent="0.25">
      <c r="A2585" s="53" t="inlineStr">
        <is>
          <t>LAB-002584</t>
        </is>
      </c>
      <c r="B2585" s="53" t="inlineStr">
        <is>
          <t>WP-01132</t>
        </is>
      </c>
      <c r="C2585" s="53" t="inlineStr">
        <is>
          <t>TECH-066</t>
        </is>
      </c>
      <c r="D2585" s="53" t="inlineStr">
        <is>
          <t>Powerplant</t>
        </is>
      </c>
      <c r="E2585" s="53" t="inlineStr">
        <is>
          <t>2025-05-03</t>
        </is>
      </c>
      <c r="F2585" s="53">
        <v>8.5</v>
      </c>
      <c r="G2585" s="53">
        <v>0.5</v>
      </c>
      <c r="H2585" s="51" t="str">
        <f>TEXT(tblLaborEntries[[#This Row],[Work date serial]]-WEEKDAY(tblLaborEntries[[#This Row],[Work date serial]],3),"yyyy-mm-dd")</f>
        <v>2025-04-28</v>
      </c>
      <c r="I2585" s="64">
        <f>DATEVALUE(tblLaborEntries[[#This Row],[Work date]])</f>
        <v>45780.0</v>
      </c>
    </row>
    <row r="2586" spans="1:9" ht="15" x14ac:dyDescent="0.25">
      <c r="A2586" s="53" t="inlineStr">
        <is>
          <t>LAB-002585</t>
        </is>
      </c>
      <c r="B2586" s="53" t="inlineStr">
        <is>
          <t>WP-01133</t>
        </is>
      </c>
      <c r="C2586" s="53" t="inlineStr">
        <is>
          <t>TECH-037</t>
        </is>
      </c>
      <c r="D2586" s="53" t="inlineStr">
        <is>
          <t>Airframe</t>
        </is>
      </c>
      <c r="E2586" s="53" t="inlineStr">
        <is>
          <t>2024-07-23</t>
        </is>
      </c>
      <c r="F2586" s="53">
        <v>5.3</v>
      </c>
      <c r="G2586" s="53">
        <v>0</v>
      </c>
      <c r="H2586" s="51" t="str">
        <f>TEXT(tblLaborEntries[[#This Row],[Work date serial]]-WEEKDAY(tblLaborEntries[[#This Row],[Work date serial]],3),"yyyy-mm-dd")</f>
        <v>2024-07-22</v>
      </c>
      <c r="I2586" s="64">
        <f>DATEVALUE(tblLaborEntries[[#This Row],[Work date]])</f>
        <v>45496.0</v>
      </c>
    </row>
    <row r="2587" spans="1:9" ht="15" x14ac:dyDescent="0.25">
      <c r="A2587" s="53" t="inlineStr">
        <is>
          <t>LAB-002586</t>
        </is>
      </c>
      <c r="B2587" s="53" t="inlineStr">
        <is>
          <t>WP-01133</t>
        </is>
      </c>
      <c r="C2587" s="53" t="inlineStr">
        <is>
          <t>TECH-031</t>
        </is>
      </c>
      <c r="D2587" s="53" t="inlineStr">
        <is>
          <t>Airframe</t>
        </is>
      </c>
      <c r="E2587" s="53" t="inlineStr">
        <is>
          <t>2024-07-24</t>
        </is>
      </c>
      <c r="F2587" s="53">
        <v>4.6</v>
      </c>
      <c r="G2587" s="53">
        <v>4</v>
      </c>
      <c r="H2587" s="51" t="str">
        <f>TEXT(tblLaborEntries[[#This Row],[Work date serial]]-WEEKDAY(tblLaborEntries[[#This Row],[Work date serial]],3),"yyyy-mm-dd")</f>
        <v>2024-07-22</v>
      </c>
      <c r="I2587" s="64">
        <f>DATEVALUE(tblLaborEntries[[#This Row],[Work date]])</f>
        <v>45497.0</v>
      </c>
    </row>
    <row r="2588" spans="1:9" ht="15" x14ac:dyDescent="0.25">
      <c r="A2588" s="53" t="inlineStr">
        <is>
          <t>LAB-002587</t>
        </is>
      </c>
      <c r="B2588" s="53" t="inlineStr">
        <is>
          <t>WP-01134</t>
        </is>
      </c>
      <c r="C2588" s="53" t="inlineStr">
        <is>
          <t>TECH-043</t>
        </is>
      </c>
      <c r="D2588" s="53" t="inlineStr">
        <is>
          <t>Airframe</t>
        </is>
      </c>
      <c r="E2588" s="53" t="inlineStr">
        <is>
          <t>2025-07-13</t>
        </is>
      </c>
      <c r="F2588" s="53">
        <v>1.7</v>
      </c>
      <c r="G2588" s="53">
        <v>0</v>
      </c>
      <c r="H2588" s="51" t="str">
        <f>TEXT(tblLaborEntries[[#This Row],[Work date serial]]-WEEKDAY(tblLaborEntries[[#This Row],[Work date serial]],3),"yyyy-mm-dd")</f>
        <v>2025-07-07</v>
      </c>
      <c r="I2588" s="64">
        <f>DATEVALUE(tblLaborEntries[[#This Row],[Work date]])</f>
        <v>45851.0</v>
      </c>
    </row>
    <row r="2589" spans="1:9" ht="15" x14ac:dyDescent="0.25">
      <c r="A2589" s="53" t="inlineStr">
        <is>
          <t>LAB-002588</t>
        </is>
      </c>
      <c r="B2589" s="53" t="inlineStr">
        <is>
          <t>WP-01134</t>
        </is>
      </c>
      <c r="C2589" s="53" t="inlineStr">
        <is>
          <t>TECH-031</t>
        </is>
      </c>
      <c r="D2589" s="53" t="inlineStr">
        <is>
          <t>Airframe</t>
        </is>
      </c>
      <c r="E2589" s="53" t="inlineStr">
        <is>
          <t>2025-07-14</t>
        </is>
      </c>
      <c r="F2589" s="53">
        <v>1.7</v>
      </c>
      <c r="G2589" s="53">
        <v>0</v>
      </c>
      <c r="H2589" s="51" t="str">
        <f>TEXT(tblLaborEntries[[#This Row],[Work date serial]]-WEEKDAY(tblLaborEntries[[#This Row],[Work date serial]],3),"yyyy-mm-dd")</f>
        <v>2025-07-14</v>
      </c>
      <c r="I2589" s="64">
        <f>DATEVALUE(tblLaborEntries[[#This Row],[Work date]])</f>
        <v>45852.0</v>
      </c>
    </row>
    <row r="2590" spans="1:9" ht="15" x14ac:dyDescent="0.25">
      <c r="A2590" s="53" t="inlineStr">
        <is>
          <t>LAB-002589</t>
        </is>
      </c>
      <c r="B2590" s="53" t="inlineStr">
        <is>
          <t>WP-01134</t>
        </is>
      </c>
      <c r="C2590" s="53" t="inlineStr">
        <is>
          <t>TECH-055</t>
        </is>
      </c>
      <c r="D2590" s="53" t="inlineStr">
        <is>
          <t>Airframe</t>
        </is>
      </c>
      <c r="E2590" s="53" t="inlineStr">
        <is>
          <t>2025-07-15</t>
        </is>
      </c>
      <c r="F2590" s="53">
        <v>2.2</v>
      </c>
      <c r="G2590" s="53">
        <v>0</v>
      </c>
      <c r="H2590" s="51" t="str">
        <f>TEXT(tblLaborEntries[[#This Row],[Work date serial]]-WEEKDAY(tblLaborEntries[[#This Row],[Work date serial]],3),"yyyy-mm-dd")</f>
        <v>2025-07-14</v>
      </c>
      <c r="I2590" s="64">
        <f>DATEVALUE(tblLaborEntries[[#This Row],[Work date]])</f>
        <v>45853.0</v>
      </c>
    </row>
    <row r="2591" spans="1:9" ht="15" x14ac:dyDescent="0.25">
      <c r="A2591" s="53" t="inlineStr">
        <is>
          <t>LAB-002590</t>
        </is>
      </c>
      <c r="B2591" s="53" t="inlineStr">
        <is>
          <t>WP-01135</t>
        </is>
      </c>
      <c r="C2591" s="53" t="inlineStr">
        <is>
          <t>TECH-062</t>
        </is>
      </c>
      <c r="D2591" s="53" t="inlineStr">
        <is>
          <t>Avionics</t>
        </is>
      </c>
      <c r="E2591" s="53" t="inlineStr">
        <is>
          <t>2025-11-02</t>
        </is>
      </c>
      <c r="F2591" s="53">
        <v>4.4</v>
      </c>
      <c r="G2591" s="53">
        <v>0</v>
      </c>
      <c r="H2591" s="51" t="str">
        <f>TEXT(tblLaborEntries[[#This Row],[Work date serial]]-WEEKDAY(tblLaborEntries[[#This Row],[Work date serial]],3),"yyyy-mm-dd")</f>
        <v>2025-10-27</v>
      </c>
      <c r="I2591" s="64">
        <f>DATEVALUE(tblLaborEntries[[#This Row],[Work date]])</f>
        <v>45963.0</v>
      </c>
    </row>
    <row r="2592" spans="1:9" ht="15" x14ac:dyDescent="0.25">
      <c r="A2592" s="53" t="inlineStr">
        <is>
          <t>LAB-002591</t>
        </is>
      </c>
      <c r="B2592" s="53" t="inlineStr">
        <is>
          <t>WP-01136</t>
        </is>
      </c>
      <c r="C2592" s="53" t="inlineStr">
        <is>
          <t>TECH-054</t>
        </is>
      </c>
      <c r="D2592" s="53" t="inlineStr">
        <is>
          <t>Powerplant</t>
        </is>
      </c>
      <c r="E2592" s="53" t="inlineStr">
        <is>
          <t>2025-05-16</t>
        </is>
      </c>
      <c r="F2592" s="53">
        <v>3.4</v>
      </c>
      <c r="G2592" s="53">
        <v>0</v>
      </c>
      <c r="H2592" s="51" t="str">
        <f>TEXT(tblLaborEntries[[#This Row],[Work date serial]]-WEEKDAY(tblLaborEntries[[#This Row],[Work date serial]],3),"yyyy-mm-dd")</f>
        <v>2025-05-12</v>
      </c>
      <c r="I2592" s="64">
        <f>DATEVALUE(tblLaborEntries[[#This Row],[Work date]])</f>
        <v>45793.0</v>
      </c>
    </row>
    <row r="2593" spans="1:9" ht="15" x14ac:dyDescent="0.25">
      <c r="A2593" s="53" t="inlineStr">
        <is>
          <t>LAB-002592</t>
        </is>
      </c>
      <c r="B2593" s="53" t="inlineStr">
        <is>
          <t>WP-01136</t>
        </is>
      </c>
      <c r="C2593" s="53" t="inlineStr">
        <is>
          <t>TECH-048</t>
        </is>
      </c>
      <c r="D2593" s="53" t="inlineStr">
        <is>
          <t>Powerplant</t>
        </is>
      </c>
      <c r="E2593" s="53" t="inlineStr">
        <is>
          <t>2025-05-17</t>
        </is>
      </c>
      <c r="F2593" s="53">
        <v>3.6</v>
      </c>
      <c r="G2593" s="53">
        <v>0</v>
      </c>
      <c r="H2593" s="51" t="str">
        <f>TEXT(tblLaborEntries[[#This Row],[Work date serial]]-WEEKDAY(tblLaborEntries[[#This Row],[Work date serial]],3),"yyyy-mm-dd")</f>
        <v>2025-05-12</v>
      </c>
      <c r="I2593" s="64">
        <f>DATEVALUE(tblLaborEntries[[#This Row],[Work date]])</f>
        <v>45794.0</v>
      </c>
    </row>
    <row r="2594" spans="1:9" ht="15" x14ac:dyDescent="0.25">
      <c r="A2594" s="53" t="inlineStr">
        <is>
          <t>LAB-002593</t>
        </is>
      </c>
      <c r="B2594" s="53" t="inlineStr">
        <is>
          <t>WP-01136</t>
        </is>
      </c>
      <c r="C2594" s="53" t="inlineStr">
        <is>
          <t>TECH-012</t>
        </is>
      </c>
      <c r="D2594" s="53" t="inlineStr">
        <is>
          <t>Powerplant</t>
        </is>
      </c>
      <c r="E2594" s="53" t="inlineStr">
        <is>
          <t>2025-05-18</t>
        </is>
      </c>
      <c r="F2594" s="53">
        <v>4.4</v>
      </c>
      <c r="G2594" s="53">
        <v>0</v>
      </c>
      <c r="H2594" s="51" t="str">
        <f>TEXT(tblLaborEntries[[#This Row],[Work date serial]]-WEEKDAY(tblLaborEntries[[#This Row],[Work date serial]],3),"yyyy-mm-dd")</f>
        <v>2025-05-12</v>
      </c>
      <c r="I2594" s="64">
        <f>DATEVALUE(tblLaborEntries[[#This Row],[Work date]])</f>
        <v>45795.0</v>
      </c>
    </row>
    <row r="2595" spans="1:9" ht="15" x14ac:dyDescent="0.25">
      <c r="A2595" s="53" t="inlineStr">
        <is>
          <t>LAB-002594</t>
        </is>
      </c>
      <c r="B2595" s="53" t="inlineStr">
        <is>
          <t>WP-01137</t>
        </is>
      </c>
      <c r="C2595" s="53" t="inlineStr">
        <is>
          <t>TECH-031</t>
        </is>
      </c>
      <c r="D2595" s="53" t="inlineStr">
        <is>
          <t>Airframe</t>
        </is>
      </c>
      <c r="E2595" s="53" t="inlineStr">
        <is>
          <t>2024-02-14</t>
        </is>
      </c>
      <c r="F2595" s="53">
        <v>4.9</v>
      </c>
      <c r="G2595" s="53">
        <v>0</v>
      </c>
      <c r="H2595" s="51" t="str">
        <f>TEXT(tblLaborEntries[[#This Row],[Work date serial]]-WEEKDAY(tblLaborEntries[[#This Row],[Work date serial]],3),"yyyy-mm-dd")</f>
        <v>2024-02-12</v>
      </c>
      <c r="I2595" s="64">
        <f>DATEVALUE(tblLaborEntries[[#This Row],[Work date]])</f>
        <v>45336.0</v>
      </c>
    </row>
    <row r="2596" spans="1:9" ht="15" x14ac:dyDescent="0.25">
      <c r="A2596" s="53" t="inlineStr">
        <is>
          <t>LAB-002595</t>
        </is>
      </c>
      <c r="B2596" s="53" t="inlineStr">
        <is>
          <t>WP-01138</t>
        </is>
      </c>
      <c r="C2596" s="53" t="inlineStr">
        <is>
          <t>TECH-068</t>
        </is>
      </c>
      <c r="D2596" s="53" t="inlineStr">
        <is>
          <t>Avionics</t>
        </is>
      </c>
      <c r="E2596" s="53" t="inlineStr">
        <is>
          <t>2025-11-14</t>
        </is>
      </c>
      <c r="F2596" s="53">
        <v>4.4</v>
      </c>
      <c r="G2596" s="53">
        <v>0</v>
      </c>
      <c r="H2596" s="51" t="str">
        <f>TEXT(tblLaborEntries[[#This Row],[Work date serial]]-WEEKDAY(tblLaborEntries[[#This Row],[Work date serial]],3),"yyyy-mm-dd")</f>
        <v>2025-11-10</v>
      </c>
      <c r="I2596" s="64">
        <f>DATEVALUE(tblLaborEntries[[#This Row],[Work date]])</f>
        <v>45975.0</v>
      </c>
    </row>
    <row r="2597" spans="1:9" ht="15" x14ac:dyDescent="0.25">
      <c r="A2597" s="53" t="inlineStr">
        <is>
          <t>LAB-002596</t>
        </is>
      </c>
      <c r="B2597" s="53" t="inlineStr">
        <is>
          <t>WP-01138</t>
        </is>
      </c>
      <c r="C2597" s="53" t="inlineStr">
        <is>
          <t>TECH-014</t>
        </is>
      </c>
      <c r="D2597" s="53" t="inlineStr">
        <is>
          <t>Avionics</t>
        </is>
      </c>
      <c r="E2597" s="53" t="inlineStr">
        <is>
          <t>2025-11-15</t>
        </is>
      </c>
      <c r="F2597" s="53">
        <v>4</v>
      </c>
      <c r="G2597" s="53">
        <v>0</v>
      </c>
      <c r="H2597" s="51" t="str">
        <f>TEXT(tblLaborEntries[[#This Row],[Work date serial]]-WEEKDAY(tblLaborEntries[[#This Row],[Work date serial]],3),"yyyy-mm-dd")</f>
        <v>2025-11-10</v>
      </c>
      <c r="I2597" s="64">
        <f>DATEVALUE(tblLaborEntries[[#This Row],[Work date]])</f>
        <v>45976.0</v>
      </c>
    </row>
    <row r="2598" spans="1:9" ht="15" x14ac:dyDescent="0.25">
      <c r="A2598" s="53" t="inlineStr">
        <is>
          <t>LAB-002597</t>
        </is>
      </c>
      <c r="B2598" s="53" t="inlineStr">
        <is>
          <t>WP-01139</t>
        </is>
      </c>
      <c r="C2598" s="53" t="inlineStr">
        <is>
          <t>TECH-038</t>
        </is>
      </c>
      <c r="D2598" s="53" t="inlineStr">
        <is>
          <t>Avionics</t>
        </is>
      </c>
      <c r="E2598" s="53" t="inlineStr">
        <is>
          <t>2025-07-29</t>
        </is>
      </c>
      <c r="F2598" s="53">
        <v>1.7</v>
      </c>
      <c r="G2598" s="53">
        <v>0</v>
      </c>
      <c r="H2598" s="51" t="str">
        <f>TEXT(tblLaborEntries[[#This Row],[Work date serial]]-WEEKDAY(tblLaborEntries[[#This Row],[Work date serial]],3),"yyyy-mm-dd")</f>
        <v>2025-07-28</v>
      </c>
      <c r="I2598" s="64">
        <f>DATEVALUE(tblLaborEntries[[#This Row],[Work date]])</f>
        <v>45867.0</v>
      </c>
    </row>
    <row r="2599" spans="1:9" ht="15" x14ac:dyDescent="0.25">
      <c r="A2599" s="53" t="inlineStr">
        <is>
          <t>LAB-002598</t>
        </is>
      </c>
      <c r="B2599" s="53" t="inlineStr">
        <is>
          <t>WP-01139</t>
        </is>
      </c>
      <c r="C2599" s="53" t="inlineStr">
        <is>
          <t>TECH-062</t>
        </is>
      </c>
      <c r="D2599" s="53" t="inlineStr">
        <is>
          <t>Avionics</t>
        </is>
      </c>
      <c r="E2599" s="53" t="inlineStr">
        <is>
          <t>2025-07-30</t>
        </is>
      </c>
      <c r="F2599" s="53">
        <v>2.2</v>
      </c>
      <c r="G2599" s="53">
        <v>0</v>
      </c>
      <c r="H2599" s="51" t="str">
        <f>TEXT(tblLaborEntries[[#This Row],[Work date serial]]-WEEKDAY(tblLaborEntries[[#This Row],[Work date serial]],3),"yyyy-mm-dd")</f>
        <v>2025-07-28</v>
      </c>
      <c r="I2599" s="64">
        <f>DATEVALUE(tblLaborEntries[[#This Row],[Work date]])</f>
        <v>45868.0</v>
      </c>
    </row>
    <row r="2600" spans="1:9" ht="15" x14ac:dyDescent="0.25">
      <c r="A2600" s="53" t="inlineStr">
        <is>
          <t>LAB-002599</t>
        </is>
      </c>
      <c r="B2600" s="53" t="inlineStr">
        <is>
          <t>WP-01140</t>
        </is>
      </c>
      <c r="C2600" s="53" t="inlineStr">
        <is>
          <t>TECH-016</t>
        </is>
      </c>
      <c r="D2600" s="53" t="inlineStr">
        <is>
          <t>Electrical</t>
        </is>
      </c>
      <c r="E2600" s="53" t="inlineStr">
        <is>
          <t>2026-01-04</t>
        </is>
      </c>
      <c r="F2600" s="53">
        <v>11.1</v>
      </c>
      <c r="G2600" s="53">
        <v>3.1</v>
      </c>
      <c r="H2600" s="51" t="str">
        <f>TEXT(tblLaborEntries[[#This Row],[Work date serial]]-WEEKDAY(tblLaborEntries[[#This Row],[Work date serial]],3),"yyyy-mm-dd")</f>
        <v>2025-12-29</v>
      </c>
      <c r="I2600" s="64">
        <f>DATEVALUE(tblLaborEntries[[#This Row],[Work date]])</f>
        <v>46026.0</v>
      </c>
    </row>
    <row r="2601" spans="1:9" ht="15" x14ac:dyDescent="0.25">
      <c r="A2601" s="53" t="inlineStr">
        <is>
          <t>LAB-002600</t>
        </is>
      </c>
      <c r="B2601" s="53" t="inlineStr">
        <is>
          <t>WP-01141</t>
        </is>
      </c>
      <c r="C2601" s="53" t="inlineStr">
        <is>
          <t>TECH-048</t>
        </is>
      </c>
      <c r="D2601" s="53" t="inlineStr">
        <is>
          <t>Powerplant</t>
        </is>
      </c>
      <c r="E2601" s="53" t="inlineStr">
        <is>
          <t>2024-01-04</t>
        </is>
      </c>
      <c r="F2601" s="53">
        <v>4.7</v>
      </c>
      <c r="G2601" s="53">
        <v>0</v>
      </c>
      <c r="H2601" s="51" t="str">
        <f>TEXT(tblLaborEntries[[#This Row],[Work date serial]]-WEEKDAY(tblLaborEntries[[#This Row],[Work date serial]],3),"yyyy-mm-dd")</f>
        <v>2024-01-01</v>
      </c>
      <c r="I2601" s="64">
        <f>DATEVALUE(tblLaborEntries[[#This Row],[Work date]])</f>
        <v>45295.0</v>
      </c>
    </row>
    <row r="2602" spans="1:9" ht="15" x14ac:dyDescent="0.25">
      <c r="A2602" s="53" t="inlineStr">
        <is>
          <t>LAB-002601</t>
        </is>
      </c>
      <c r="B2602" s="53" t="inlineStr">
        <is>
          <t>WP-01141</t>
        </is>
      </c>
      <c r="C2602" s="53" t="inlineStr">
        <is>
          <t>TECH-030</t>
        </is>
      </c>
      <c r="D2602" s="53" t="inlineStr">
        <is>
          <t>Powerplant</t>
        </is>
      </c>
      <c r="E2602" s="53" t="inlineStr">
        <is>
          <t>2024-01-05</t>
        </is>
      </c>
      <c r="F2602" s="53">
        <v>4.8</v>
      </c>
      <c r="G2602" s="53">
        <v>0</v>
      </c>
      <c r="H2602" s="51" t="str">
        <f>TEXT(tblLaborEntries[[#This Row],[Work date serial]]-WEEKDAY(tblLaborEntries[[#This Row],[Work date serial]],3),"yyyy-mm-dd")</f>
        <v>2024-01-01</v>
      </c>
      <c r="I2602" s="64">
        <f>DATEVALUE(tblLaborEntries[[#This Row],[Work date]])</f>
        <v>45296.0</v>
      </c>
    </row>
    <row r="2603" spans="1:9" ht="15" x14ac:dyDescent="0.25">
      <c r="A2603" s="53" t="inlineStr">
        <is>
          <t>LAB-002602</t>
        </is>
      </c>
      <c r="B2603" s="53" t="inlineStr">
        <is>
          <t>WP-01141</t>
        </is>
      </c>
      <c r="C2603" s="53" t="inlineStr">
        <is>
          <t>TECH-048</t>
        </is>
      </c>
      <c r="D2603" s="53" t="inlineStr">
        <is>
          <t>Powerplant</t>
        </is>
      </c>
      <c r="E2603" s="53" t="inlineStr">
        <is>
          <t>2024-01-06</t>
        </is>
      </c>
      <c r="F2603" s="53">
        <v>4.4</v>
      </c>
      <c r="G2603" s="53">
        <v>0</v>
      </c>
      <c r="H2603" s="51" t="str">
        <f>TEXT(tblLaborEntries[[#This Row],[Work date serial]]-WEEKDAY(tblLaborEntries[[#This Row],[Work date serial]],3),"yyyy-mm-dd")</f>
        <v>2024-01-01</v>
      </c>
      <c r="I2603" s="64">
        <f>DATEVALUE(tblLaborEntries[[#This Row],[Work date]])</f>
        <v>45297.0</v>
      </c>
    </row>
    <row r="2604" spans="1:9" ht="15" x14ac:dyDescent="0.25">
      <c r="A2604" s="53" t="inlineStr">
        <is>
          <t>LAB-002603</t>
        </is>
      </c>
      <c r="B2604" s="53" t="inlineStr">
        <is>
          <t>WP-01142</t>
        </is>
      </c>
      <c r="C2604" s="53" t="inlineStr">
        <is>
          <t>TECH-056</t>
        </is>
      </c>
      <c r="D2604" s="53" t="inlineStr">
        <is>
          <t>Avionics</t>
        </is>
      </c>
      <c r="E2604" s="53" t="inlineStr">
        <is>
          <t>2025-03-21</t>
        </is>
      </c>
      <c r="F2604" s="53">
        <v>2.2</v>
      </c>
      <c r="G2604" s="53">
        <v>0</v>
      </c>
      <c r="H2604" s="51" t="str">
        <f>TEXT(tblLaborEntries[[#This Row],[Work date serial]]-WEEKDAY(tblLaborEntries[[#This Row],[Work date serial]],3),"yyyy-mm-dd")</f>
        <v>2025-03-17</v>
      </c>
      <c r="I2604" s="64">
        <f>DATEVALUE(tblLaborEntries[[#This Row],[Work date]])</f>
        <v>45737.0</v>
      </c>
    </row>
    <row r="2605" spans="1:9" ht="15" x14ac:dyDescent="0.25">
      <c r="A2605" s="53" t="inlineStr">
        <is>
          <t>LAB-002604</t>
        </is>
      </c>
      <c r="B2605" s="53" t="inlineStr">
        <is>
          <t>WP-01142</t>
        </is>
      </c>
      <c r="C2605" s="53" t="inlineStr">
        <is>
          <t>TECH-062</t>
        </is>
      </c>
      <c r="D2605" s="53" t="inlineStr">
        <is>
          <t>Avionics</t>
        </is>
      </c>
      <c r="E2605" s="53" t="inlineStr">
        <is>
          <t>2025-03-22</t>
        </is>
      </c>
      <c r="F2605" s="53">
        <v>2.6</v>
      </c>
      <c r="G2605" s="53">
        <v>0</v>
      </c>
      <c r="H2605" s="51" t="str">
        <f>TEXT(tblLaborEntries[[#This Row],[Work date serial]]-WEEKDAY(tblLaborEntries[[#This Row],[Work date serial]],3),"yyyy-mm-dd")</f>
        <v>2025-03-17</v>
      </c>
      <c r="I2605" s="64">
        <f>DATEVALUE(tblLaborEntries[[#This Row],[Work date]])</f>
        <v>45738.0</v>
      </c>
    </row>
    <row r="2606" spans="1:9" ht="15" x14ac:dyDescent="0.25">
      <c r="A2606" s="53" t="inlineStr">
        <is>
          <t>LAB-002605</t>
        </is>
      </c>
      <c r="B2606" s="53" t="inlineStr">
        <is>
          <t>WP-01142</t>
        </is>
      </c>
      <c r="C2606" s="53" t="inlineStr">
        <is>
          <t>TECH-032</t>
        </is>
      </c>
      <c r="D2606" s="53" t="inlineStr">
        <is>
          <t>Avionics</t>
        </is>
      </c>
      <c r="E2606" s="53" t="inlineStr">
        <is>
          <t>2025-03-23</t>
        </is>
      </c>
      <c r="F2606" s="53">
        <v>2.3</v>
      </c>
      <c r="G2606" s="53">
        <v>0</v>
      </c>
      <c r="H2606" s="51" t="str">
        <f>TEXT(tblLaborEntries[[#This Row],[Work date serial]]-WEEKDAY(tblLaborEntries[[#This Row],[Work date serial]],3),"yyyy-mm-dd")</f>
        <v>2025-03-17</v>
      </c>
      <c r="I2606" s="64">
        <f>DATEVALUE(tblLaborEntries[[#This Row],[Work date]])</f>
        <v>45739.0</v>
      </c>
    </row>
    <row r="2607" spans="1:9" ht="15" x14ac:dyDescent="0.25">
      <c r="A2607" s="53" t="inlineStr">
        <is>
          <t>LAB-002606</t>
        </is>
      </c>
      <c r="B2607" s="53" t="inlineStr">
        <is>
          <t>WP-01143</t>
        </is>
      </c>
      <c r="C2607" s="53" t="inlineStr">
        <is>
          <t>TECH-008</t>
        </is>
      </c>
      <c r="D2607" s="53" t="inlineStr">
        <is>
          <t>Avionics</t>
        </is>
      </c>
      <c r="E2607" s="53" t="inlineStr">
        <is>
          <t>2025-10-25</t>
        </is>
      </c>
      <c r="F2607" s="53">
        <v>6.4</v>
      </c>
      <c r="G2607" s="53">
        <v>0</v>
      </c>
      <c r="H2607" s="51" t="str">
        <f>TEXT(tblLaborEntries[[#This Row],[Work date serial]]-WEEKDAY(tblLaborEntries[[#This Row],[Work date serial]],3),"yyyy-mm-dd")</f>
        <v>2025-10-20</v>
      </c>
      <c r="I2607" s="64">
        <f>DATEVALUE(tblLaborEntries[[#This Row],[Work date]])</f>
        <v>45955.0</v>
      </c>
    </row>
    <row r="2608" spans="1:9" ht="15" x14ac:dyDescent="0.25">
      <c r="A2608" s="53" t="inlineStr">
        <is>
          <t>LAB-002607</t>
        </is>
      </c>
      <c r="B2608" s="53" t="inlineStr">
        <is>
          <t>WP-01144</t>
        </is>
      </c>
      <c r="C2608" s="53" t="inlineStr">
        <is>
          <t>TECH-049</t>
        </is>
      </c>
      <c r="D2608" s="53" t="inlineStr">
        <is>
          <t>Airframe</t>
        </is>
      </c>
      <c r="E2608" s="53" t="inlineStr">
        <is>
          <t>2025-02-24</t>
        </is>
      </c>
      <c r="F2608" s="53">
        <v>0.8</v>
      </c>
      <c r="G2608" s="53">
        <v>0</v>
      </c>
      <c r="H2608" s="51" t="str">
        <f>TEXT(tblLaborEntries[[#This Row],[Work date serial]]-WEEKDAY(tblLaborEntries[[#This Row],[Work date serial]],3),"yyyy-mm-dd")</f>
        <v>2025-02-24</v>
      </c>
      <c r="I2608" s="64">
        <f>DATEVALUE(tblLaborEntries[[#This Row],[Work date]])</f>
        <v>45712.0</v>
      </c>
    </row>
    <row r="2609" spans="1:9" ht="15" x14ac:dyDescent="0.25">
      <c r="A2609" s="53" t="inlineStr">
        <is>
          <t>LAB-002608</t>
        </is>
      </c>
      <c r="B2609" s="53" t="inlineStr">
        <is>
          <t>WP-01144</t>
        </is>
      </c>
      <c r="C2609" s="53" t="inlineStr">
        <is>
          <t>TECH-025</t>
        </is>
      </c>
      <c r="D2609" s="53" t="inlineStr">
        <is>
          <t>Airframe</t>
        </is>
      </c>
      <c r="E2609" s="53" t="inlineStr">
        <is>
          <t>2025-02-25</t>
        </is>
      </c>
      <c r="F2609" s="53">
        <v>0.7</v>
      </c>
      <c r="G2609" s="53">
        <v>0</v>
      </c>
      <c r="H2609" s="51" t="str">
        <f>TEXT(tblLaborEntries[[#This Row],[Work date serial]]-WEEKDAY(tblLaborEntries[[#This Row],[Work date serial]],3),"yyyy-mm-dd")</f>
        <v>2025-02-24</v>
      </c>
      <c r="I2609" s="64">
        <f>DATEVALUE(tblLaborEntries[[#This Row],[Work date]])</f>
        <v>45713.0</v>
      </c>
    </row>
    <row r="2610" spans="1:9" ht="15" x14ac:dyDescent="0.25">
      <c r="A2610" s="53" t="inlineStr">
        <is>
          <t>LAB-002609</t>
        </is>
      </c>
      <c r="B2610" s="53" t="inlineStr">
        <is>
          <t>WP-01144</t>
        </is>
      </c>
      <c r="C2610" s="53" t="inlineStr">
        <is>
          <t>TECH-043</t>
        </is>
      </c>
      <c r="D2610" s="53" t="inlineStr">
        <is>
          <t>Airframe</t>
        </is>
      </c>
      <c r="E2610" s="53" t="inlineStr">
        <is>
          <t>2025-02-26</t>
        </is>
      </c>
      <c r="F2610" s="53">
        <v>0.6</v>
      </c>
      <c r="G2610" s="53">
        <v>0</v>
      </c>
      <c r="H2610" s="51" t="str">
        <f>TEXT(tblLaborEntries[[#This Row],[Work date serial]]-WEEKDAY(tblLaborEntries[[#This Row],[Work date serial]],3),"yyyy-mm-dd")</f>
        <v>2025-02-24</v>
      </c>
      <c r="I2610" s="64">
        <f>DATEVALUE(tblLaborEntries[[#This Row],[Work date]])</f>
        <v>45714.0</v>
      </c>
    </row>
    <row r="2611" spans="1:9" ht="15" x14ac:dyDescent="0.25">
      <c r="A2611" s="53" t="inlineStr">
        <is>
          <t>LAB-002610</t>
        </is>
      </c>
      <c r="B2611" s="53" t="inlineStr">
        <is>
          <t>WP-01145</t>
        </is>
      </c>
      <c r="C2611" s="53" t="inlineStr">
        <is>
          <t>TECH-073</t>
        </is>
      </c>
      <c r="D2611" s="53" t="inlineStr">
        <is>
          <t>Airframe</t>
        </is>
      </c>
      <c r="E2611" s="53" t="inlineStr">
        <is>
          <t>2025-10-13</t>
        </is>
      </c>
      <c r="F2611" s="53">
        <v>1.5</v>
      </c>
      <c r="G2611" s="53">
        <v>0</v>
      </c>
      <c r="H2611" s="51" t="str">
        <f>TEXT(tblLaborEntries[[#This Row],[Work date serial]]-WEEKDAY(tblLaborEntries[[#This Row],[Work date serial]],3),"yyyy-mm-dd")</f>
        <v>2025-10-13</v>
      </c>
      <c r="I2611" s="64">
        <f>DATEVALUE(tblLaborEntries[[#This Row],[Work date]])</f>
        <v>45943.0</v>
      </c>
    </row>
    <row r="2612" spans="1:9" ht="15" x14ac:dyDescent="0.25">
      <c r="A2612" s="53" t="inlineStr">
        <is>
          <t>LAB-002611</t>
        </is>
      </c>
      <c r="B2612" s="53" t="inlineStr">
        <is>
          <t>WP-01145</t>
        </is>
      </c>
      <c r="C2612" s="53" t="inlineStr">
        <is>
          <t>TECH-031</t>
        </is>
      </c>
      <c r="D2612" s="53" t="inlineStr">
        <is>
          <t>Airframe</t>
        </is>
      </c>
      <c r="E2612" s="53" t="inlineStr">
        <is>
          <t>2025-10-14</t>
        </is>
      </c>
      <c r="F2612" s="53">
        <v>1.6</v>
      </c>
      <c r="G2612" s="53">
        <v>0</v>
      </c>
      <c r="H2612" s="51" t="str">
        <f>TEXT(tblLaborEntries[[#This Row],[Work date serial]]-WEEKDAY(tblLaborEntries[[#This Row],[Work date serial]],3),"yyyy-mm-dd")</f>
        <v>2025-10-13</v>
      </c>
      <c r="I2612" s="64">
        <f>DATEVALUE(tblLaborEntries[[#This Row],[Work date]])</f>
        <v>45944.0</v>
      </c>
    </row>
    <row r="2613" spans="1:9" ht="15" x14ac:dyDescent="0.25">
      <c r="A2613" s="53" t="inlineStr">
        <is>
          <t>LAB-002612</t>
        </is>
      </c>
      <c r="B2613" s="53" t="inlineStr">
        <is>
          <t>WP-01146</t>
        </is>
      </c>
      <c r="C2613" s="53" t="inlineStr">
        <is>
          <t>TECH-020</t>
        </is>
      </c>
      <c r="D2613" s="53" t="inlineStr">
        <is>
          <t>Avionics</t>
        </is>
      </c>
      <c r="E2613" s="53" t="inlineStr">
        <is>
          <t>2025-09-29</t>
        </is>
      </c>
      <c r="F2613" s="53">
        <v>5.8</v>
      </c>
      <c r="G2613" s="53">
        <v>0</v>
      </c>
      <c r="H2613" s="51" t="str">
        <f>TEXT(tblLaborEntries[[#This Row],[Work date serial]]-WEEKDAY(tblLaborEntries[[#This Row],[Work date serial]],3),"yyyy-mm-dd")</f>
        <v>2025-09-29</v>
      </c>
      <c r="I2613" s="64">
        <f>DATEVALUE(tblLaborEntries[[#This Row],[Work date]])</f>
        <v>45929.0</v>
      </c>
    </row>
    <row r="2614" spans="1:9" ht="15" x14ac:dyDescent="0.25">
      <c r="A2614" s="53" t="inlineStr">
        <is>
          <t>LAB-002613</t>
        </is>
      </c>
      <c r="B2614" s="53" t="inlineStr">
        <is>
          <t>WP-01146</t>
        </is>
      </c>
      <c r="C2614" s="53" t="inlineStr">
        <is>
          <t>TECH-074</t>
        </is>
      </c>
      <c r="D2614" s="53" t="inlineStr">
        <is>
          <t>Avionics</t>
        </is>
      </c>
      <c r="E2614" s="53" t="inlineStr">
        <is>
          <t>2025-09-30</t>
        </is>
      </c>
      <c r="F2614" s="53">
        <v>8.4</v>
      </c>
      <c r="G2614" s="53">
        <v>0.4</v>
      </c>
      <c r="H2614" s="51" t="str">
        <f>TEXT(tblLaborEntries[[#This Row],[Work date serial]]-WEEKDAY(tblLaborEntries[[#This Row],[Work date serial]],3),"yyyy-mm-dd")</f>
        <v>2025-09-29</v>
      </c>
      <c r="I2614" s="64">
        <f>DATEVALUE(tblLaborEntries[[#This Row],[Work date]])</f>
        <v>45930.0</v>
      </c>
    </row>
    <row r="2615" spans="1:9" ht="15" x14ac:dyDescent="0.25">
      <c r="A2615" s="53" t="inlineStr">
        <is>
          <t>LAB-002614</t>
        </is>
      </c>
      <c r="B2615" s="53" t="inlineStr">
        <is>
          <t>WP-01147</t>
        </is>
      </c>
      <c r="C2615" s="53" t="inlineStr">
        <is>
          <t>TECH-006</t>
        </is>
      </c>
      <c r="D2615" s="53" t="inlineStr">
        <is>
          <t>Powerplant</t>
        </is>
      </c>
      <c r="E2615" s="53" t="inlineStr">
        <is>
          <t>2024-09-10</t>
        </is>
      </c>
      <c r="F2615" s="53">
        <v>3.7</v>
      </c>
      <c r="G2615" s="53">
        <v>0</v>
      </c>
      <c r="H2615" s="51" t="str">
        <f>TEXT(tblLaborEntries[[#This Row],[Work date serial]]-WEEKDAY(tblLaborEntries[[#This Row],[Work date serial]],3),"yyyy-mm-dd")</f>
        <v>2024-09-09</v>
      </c>
      <c r="I2615" s="64">
        <f>DATEVALUE(tblLaborEntries[[#This Row],[Work date]])</f>
        <v>45545.0</v>
      </c>
    </row>
    <row r="2616" spans="1:9" ht="15" x14ac:dyDescent="0.25">
      <c r="A2616" s="53" t="inlineStr">
        <is>
          <t>LAB-002615</t>
        </is>
      </c>
      <c r="B2616" s="53" t="inlineStr">
        <is>
          <t>WP-01147</t>
        </is>
      </c>
      <c r="C2616" s="53" t="inlineStr">
        <is>
          <t>TECH-036</t>
        </is>
      </c>
      <c r="D2616" s="53" t="inlineStr">
        <is>
          <t>Powerplant</t>
        </is>
      </c>
      <c r="E2616" s="53" t="inlineStr">
        <is>
          <t>2024-09-10</t>
        </is>
      </c>
      <c r="F2616" s="53">
        <v>12</v>
      </c>
      <c r="G2616" s="53">
        <v>4</v>
      </c>
      <c r="H2616" s="51" t="str">
        <f>TEXT(tblLaborEntries[[#This Row],[Work date serial]]-WEEKDAY(tblLaborEntries[[#This Row],[Work date serial]],3),"yyyy-mm-dd")</f>
        <v>2024-09-09</v>
      </c>
      <c r="I2616" s="64">
        <f>DATEVALUE(tblLaborEntries[[#This Row],[Work date]])</f>
        <v>45545.0</v>
      </c>
    </row>
    <row r="2617" spans="1:9" ht="15" x14ac:dyDescent="0.25">
      <c r="A2617" s="53" t="inlineStr">
        <is>
          <t>LAB-002616</t>
        </is>
      </c>
      <c r="B2617" s="53" t="inlineStr">
        <is>
          <t>WP-01148</t>
        </is>
      </c>
      <c r="C2617" s="53" t="inlineStr">
        <is>
          <t>TECH-032</t>
        </is>
      </c>
      <c r="D2617" s="53" t="inlineStr">
        <is>
          <t>Avionics</t>
        </is>
      </c>
      <c r="E2617" s="53" t="inlineStr">
        <is>
          <t>2025-09-05</t>
        </is>
      </c>
      <c r="F2617" s="53">
        <v>3.2</v>
      </c>
      <c r="G2617" s="53">
        <v>0</v>
      </c>
      <c r="H2617" s="51" t="str">
        <f>TEXT(tblLaborEntries[[#This Row],[Work date serial]]-WEEKDAY(tblLaborEntries[[#This Row],[Work date serial]],3),"yyyy-mm-dd")</f>
        <v>2025-09-01</v>
      </c>
      <c r="I2617" s="64">
        <f>DATEVALUE(tblLaborEntries[[#This Row],[Work date]])</f>
        <v>45905.0</v>
      </c>
    </row>
    <row r="2618" spans="1:9" ht="15" x14ac:dyDescent="0.25">
      <c r="A2618" s="53" t="inlineStr">
        <is>
          <t>LAB-002617</t>
        </is>
      </c>
      <c r="B2618" s="53" t="inlineStr">
        <is>
          <t>WP-01148</t>
        </is>
      </c>
      <c r="C2618" s="53" t="inlineStr">
        <is>
          <t>TECH-032</t>
        </is>
      </c>
      <c r="D2618" s="53" t="inlineStr">
        <is>
          <t>Avionics</t>
        </is>
      </c>
      <c r="E2618" s="53" t="inlineStr">
        <is>
          <t>2025-09-06</t>
        </is>
      </c>
      <c r="F2618" s="53">
        <v>3.8</v>
      </c>
      <c r="G2618" s="53">
        <v>0</v>
      </c>
      <c r="H2618" s="51" t="str">
        <f>TEXT(tblLaborEntries[[#This Row],[Work date serial]]-WEEKDAY(tblLaborEntries[[#This Row],[Work date serial]],3),"yyyy-mm-dd")</f>
        <v>2025-09-01</v>
      </c>
      <c r="I2618" s="64">
        <f>DATEVALUE(tblLaborEntries[[#This Row],[Work date]])</f>
        <v>45906.0</v>
      </c>
    </row>
    <row r="2619" spans="1:9" ht="15" x14ac:dyDescent="0.25">
      <c r="A2619" s="53" t="inlineStr">
        <is>
          <t>LAB-002618</t>
        </is>
      </c>
      <c r="B2619" s="53" t="inlineStr">
        <is>
          <t>WP-01149</t>
        </is>
      </c>
      <c r="C2619" s="53" t="inlineStr">
        <is>
          <t>TECH-074</t>
        </is>
      </c>
      <c r="D2619" s="53" t="inlineStr">
        <is>
          <t>Avionics</t>
        </is>
      </c>
      <c r="E2619" s="53" t="inlineStr">
        <is>
          <t>2025-10-30</t>
        </is>
      </c>
      <c r="F2619" s="53">
        <v>7.3</v>
      </c>
      <c r="G2619" s="53">
        <v>0</v>
      </c>
      <c r="H2619" s="51" t="str">
        <f>TEXT(tblLaborEntries[[#This Row],[Work date serial]]-WEEKDAY(tblLaborEntries[[#This Row],[Work date serial]],3),"yyyy-mm-dd")</f>
        <v>2025-10-27</v>
      </c>
      <c r="I2619" s="64">
        <f>DATEVALUE(tblLaborEntries[[#This Row],[Work date]])</f>
        <v>45960.0</v>
      </c>
    </row>
    <row r="2620" spans="1:9" ht="15" x14ac:dyDescent="0.25">
      <c r="A2620" s="53" t="inlineStr">
        <is>
          <t>LAB-002619</t>
        </is>
      </c>
      <c r="B2620" s="53" t="inlineStr">
        <is>
          <t>WP-01149</t>
        </is>
      </c>
      <c r="C2620" s="53" t="inlineStr">
        <is>
          <t>TECH-044</t>
        </is>
      </c>
      <c r="D2620" s="53" t="inlineStr">
        <is>
          <t>Avionics</t>
        </is>
      </c>
      <c r="E2620" s="53" t="inlineStr">
        <is>
          <t>2025-10-31</t>
        </is>
      </c>
      <c r="F2620" s="53">
        <v>7.2</v>
      </c>
      <c r="G2620" s="53">
        <v>0</v>
      </c>
      <c r="H2620" s="51" t="str">
        <f>TEXT(tblLaborEntries[[#This Row],[Work date serial]]-WEEKDAY(tblLaborEntries[[#This Row],[Work date serial]],3),"yyyy-mm-dd")</f>
        <v>2025-10-27</v>
      </c>
      <c r="I2620" s="64">
        <f>DATEVALUE(tblLaborEntries[[#This Row],[Work date]])</f>
        <v>45961.0</v>
      </c>
    </row>
    <row r="2621" spans="1:9" ht="15" x14ac:dyDescent="0.25">
      <c r="A2621" s="53" t="inlineStr">
        <is>
          <t>LAB-002620</t>
        </is>
      </c>
      <c r="B2621" s="53" t="inlineStr">
        <is>
          <t>WP-01149</t>
        </is>
      </c>
      <c r="C2621" s="53" t="inlineStr">
        <is>
          <t>TECH-068</t>
        </is>
      </c>
      <c r="D2621" s="53" t="inlineStr">
        <is>
          <t>Avionics</t>
        </is>
      </c>
      <c r="E2621" s="53" t="inlineStr">
        <is>
          <t>2025-11-01</t>
        </is>
      </c>
      <c r="F2621" s="53">
        <v>5.3</v>
      </c>
      <c r="G2621" s="53">
        <v>0</v>
      </c>
      <c r="H2621" s="51" t="str">
        <f>TEXT(tblLaborEntries[[#This Row],[Work date serial]]-WEEKDAY(tblLaborEntries[[#This Row],[Work date serial]],3),"yyyy-mm-dd")</f>
        <v>2025-10-27</v>
      </c>
      <c r="I2621" s="64">
        <f>DATEVALUE(tblLaborEntries[[#This Row],[Work date]])</f>
        <v>45962.0</v>
      </c>
    </row>
    <row r="2622" spans="1:9" ht="15" x14ac:dyDescent="0.25">
      <c r="A2622" s="53" t="inlineStr">
        <is>
          <t>LAB-002621</t>
        </is>
      </c>
      <c r="B2622" s="53" t="inlineStr">
        <is>
          <t>WP-01150</t>
        </is>
      </c>
      <c r="C2622" s="53" t="inlineStr">
        <is>
          <t>TECH-026</t>
        </is>
      </c>
      <c r="D2622" s="53" t="inlineStr">
        <is>
          <t>Avionics</t>
        </is>
      </c>
      <c r="E2622" s="53" t="inlineStr">
        <is>
          <t>2024-04-05</t>
        </is>
      </c>
      <c r="F2622" s="53">
        <v>9.4</v>
      </c>
      <c r="G2622" s="53">
        <v>1.4</v>
      </c>
      <c r="H2622" s="51" t="str">
        <f>TEXT(tblLaborEntries[[#This Row],[Work date serial]]-WEEKDAY(tblLaborEntries[[#This Row],[Work date serial]],3),"yyyy-mm-dd")</f>
        <v>2024-04-01</v>
      </c>
      <c r="I2622" s="64">
        <f>DATEVALUE(tblLaborEntries[[#This Row],[Work date]])</f>
        <v>45387.0</v>
      </c>
    </row>
    <row r="2623" spans="1:9" ht="15" x14ac:dyDescent="0.25">
      <c r="A2623" s="53" t="inlineStr">
        <is>
          <t>LAB-002622</t>
        </is>
      </c>
      <c r="B2623" s="53" t="inlineStr">
        <is>
          <t>WP-01151</t>
        </is>
      </c>
      <c r="C2623" s="53" t="inlineStr">
        <is>
          <t>TECH-012</t>
        </is>
      </c>
      <c r="D2623" s="53" t="inlineStr">
        <is>
          <t>Powerplant</t>
        </is>
      </c>
      <c r="E2623" s="53" t="inlineStr">
        <is>
          <t>2025-04-02</t>
        </is>
      </c>
      <c r="F2623" s="53">
        <v>6.3</v>
      </c>
      <c r="G2623" s="53">
        <v>0</v>
      </c>
      <c r="H2623" s="51" t="str">
        <f>TEXT(tblLaborEntries[[#This Row],[Work date serial]]-WEEKDAY(tblLaborEntries[[#This Row],[Work date serial]],3),"yyyy-mm-dd")</f>
        <v>2025-03-31</v>
      </c>
      <c r="I2623" s="64">
        <f>DATEVALUE(tblLaborEntries[[#This Row],[Work date]])</f>
        <v>45749.0</v>
      </c>
    </row>
    <row r="2624" spans="1:9" ht="15" x14ac:dyDescent="0.25">
      <c r="A2624" s="53" t="inlineStr">
        <is>
          <t>LAB-002623</t>
        </is>
      </c>
      <c r="B2624" s="53" t="inlineStr">
        <is>
          <t>WP-01151</t>
        </is>
      </c>
      <c r="C2624" s="53" t="inlineStr">
        <is>
          <t>TECH-042</t>
        </is>
      </c>
      <c r="D2624" s="53" t="inlineStr">
        <is>
          <t>Powerplant</t>
        </is>
      </c>
      <c r="E2624" s="53" t="inlineStr">
        <is>
          <t>2025-04-03</t>
        </is>
      </c>
      <c r="F2624" s="53">
        <v>8.7</v>
      </c>
      <c r="G2624" s="53">
        <v>3</v>
      </c>
      <c r="H2624" s="51" t="str">
        <f>TEXT(tblLaborEntries[[#This Row],[Work date serial]]-WEEKDAY(tblLaborEntries[[#This Row],[Work date serial]],3),"yyyy-mm-dd")</f>
        <v>2025-03-31</v>
      </c>
      <c r="I2624" s="64">
        <f>DATEVALUE(tblLaborEntries[[#This Row],[Work date]])</f>
        <v>45750.0</v>
      </c>
    </row>
    <row r="2625" spans="1:9" ht="15" x14ac:dyDescent="0.25">
      <c r="A2625" s="53" t="inlineStr">
        <is>
          <t>LAB-002624</t>
        </is>
      </c>
      <c r="B2625" s="53" t="inlineStr">
        <is>
          <t>WP-01152</t>
        </is>
      </c>
      <c r="C2625" s="53" t="inlineStr">
        <is>
          <t>TECH-025</t>
        </is>
      </c>
      <c r="D2625" s="53" t="inlineStr">
        <is>
          <t>Airframe</t>
        </is>
      </c>
      <c r="E2625" s="53" t="inlineStr">
        <is>
          <t>2025-07-13</t>
        </is>
      </c>
      <c r="F2625" s="53">
        <v>2.8</v>
      </c>
      <c r="G2625" s="53">
        <v>0</v>
      </c>
      <c r="H2625" s="51" t="str">
        <f>TEXT(tblLaborEntries[[#This Row],[Work date serial]]-WEEKDAY(tblLaborEntries[[#This Row],[Work date serial]],3),"yyyy-mm-dd")</f>
        <v>2025-07-07</v>
      </c>
      <c r="I2625" s="64">
        <f>DATEVALUE(tblLaborEntries[[#This Row],[Work date]])</f>
        <v>45851.0</v>
      </c>
    </row>
    <row r="2626" spans="1:9" ht="15" x14ac:dyDescent="0.25">
      <c r="A2626" s="53" t="inlineStr">
        <is>
          <t>LAB-002625</t>
        </is>
      </c>
      <c r="B2626" s="53" t="inlineStr">
        <is>
          <t>WP-01152</t>
        </is>
      </c>
      <c r="C2626" s="53" t="inlineStr">
        <is>
          <t>TECH-031</t>
        </is>
      </c>
      <c r="D2626" s="53" t="inlineStr">
        <is>
          <t>Airframe</t>
        </is>
      </c>
      <c r="E2626" s="53" t="inlineStr">
        <is>
          <t>2025-07-14</t>
        </is>
      </c>
      <c r="F2626" s="53">
        <v>3.5</v>
      </c>
      <c r="G2626" s="53">
        <v>0</v>
      </c>
      <c r="H2626" s="51" t="str">
        <f>TEXT(tblLaborEntries[[#This Row],[Work date serial]]-WEEKDAY(tblLaborEntries[[#This Row],[Work date serial]],3),"yyyy-mm-dd")</f>
        <v>2025-07-14</v>
      </c>
      <c r="I2626" s="64">
        <f>DATEVALUE(tblLaborEntries[[#This Row],[Work date]])</f>
        <v>45852.0</v>
      </c>
    </row>
    <row r="2627" spans="1:9" ht="15" x14ac:dyDescent="0.25">
      <c r="A2627" s="53" t="inlineStr">
        <is>
          <t>LAB-002626</t>
        </is>
      </c>
      <c r="B2627" s="53" t="inlineStr">
        <is>
          <t>WP-01153</t>
        </is>
      </c>
      <c r="C2627" s="53" t="inlineStr">
        <is>
          <t>TECH-061</t>
        </is>
      </c>
      <c r="D2627" s="53" t="inlineStr">
        <is>
          <t>Airframe</t>
        </is>
      </c>
      <c r="E2627" s="53" t="inlineStr">
        <is>
          <t>2025-07-22</t>
        </is>
      </c>
      <c r="F2627" s="53">
        <v>2.8</v>
      </c>
      <c r="G2627" s="53">
        <v>0</v>
      </c>
      <c r="H2627" s="51" t="str">
        <f>TEXT(tblLaborEntries[[#This Row],[Work date serial]]-WEEKDAY(tblLaborEntries[[#This Row],[Work date serial]],3),"yyyy-mm-dd")</f>
        <v>2025-07-21</v>
      </c>
      <c r="I2627" s="64">
        <f>DATEVALUE(tblLaborEntries[[#This Row],[Work date]])</f>
        <v>45860.0</v>
      </c>
    </row>
    <row r="2628" spans="1:9" ht="15" x14ac:dyDescent="0.25">
      <c r="A2628" s="53" t="inlineStr">
        <is>
          <t>LAB-002627</t>
        </is>
      </c>
      <c r="B2628" s="53" t="inlineStr">
        <is>
          <t>WP-01153</t>
        </is>
      </c>
      <c r="C2628" s="53" t="inlineStr">
        <is>
          <t>TECH-061</t>
        </is>
      </c>
      <c r="D2628" s="53" t="inlineStr">
        <is>
          <t>Airframe</t>
        </is>
      </c>
      <c r="E2628" s="53" t="inlineStr">
        <is>
          <t>2025-07-23</t>
        </is>
      </c>
      <c r="F2628" s="53">
        <v>2.5</v>
      </c>
      <c r="G2628" s="53">
        <v>0</v>
      </c>
      <c r="H2628" s="51" t="str">
        <f>TEXT(tblLaborEntries[[#This Row],[Work date serial]]-WEEKDAY(tblLaborEntries[[#This Row],[Work date serial]],3),"yyyy-mm-dd")</f>
        <v>2025-07-21</v>
      </c>
      <c r="I2628" s="64">
        <f>DATEVALUE(tblLaborEntries[[#This Row],[Work date]])</f>
        <v>45861.0</v>
      </c>
    </row>
    <row r="2629" spans="1:9" ht="15" x14ac:dyDescent="0.25">
      <c r="A2629" s="53" t="inlineStr">
        <is>
          <t>LAB-002628</t>
        </is>
      </c>
      <c r="B2629" s="53" t="inlineStr">
        <is>
          <t>WP-01154</t>
        </is>
      </c>
      <c r="C2629" s="53" t="inlineStr">
        <is>
          <t>TECH-044</t>
        </is>
      </c>
      <c r="D2629" s="53" t="inlineStr">
        <is>
          <t>Avionics</t>
        </is>
      </c>
      <c r="E2629" s="53" t="inlineStr">
        <is>
          <t>2024-07-13</t>
        </is>
      </c>
      <c r="F2629" s="53">
        <v>3.7</v>
      </c>
      <c r="G2629" s="53">
        <v>0</v>
      </c>
      <c r="H2629" s="51" t="str">
        <f>TEXT(tblLaborEntries[[#This Row],[Work date serial]]-WEEKDAY(tblLaborEntries[[#This Row],[Work date serial]],3),"yyyy-mm-dd")</f>
        <v>2024-07-08</v>
      </c>
      <c r="I2629" s="64">
        <f>DATEVALUE(tblLaborEntries[[#This Row],[Work date]])</f>
        <v>45486.0</v>
      </c>
    </row>
    <row r="2630" spans="1:9" ht="15" x14ac:dyDescent="0.25">
      <c r="A2630" s="53" t="inlineStr">
        <is>
          <t>LAB-002629</t>
        </is>
      </c>
      <c r="B2630" s="53" t="inlineStr">
        <is>
          <t>WP-01154</t>
        </is>
      </c>
      <c r="C2630" s="53" t="inlineStr">
        <is>
          <t>TECH-050</t>
        </is>
      </c>
      <c r="D2630" s="53" t="inlineStr">
        <is>
          <t>Avionics</t>
        </is>
      </c>
      <c r="E2630" s="53" t="inlineStr">
        <is>
          <t>2024-07-14</t>
        </is>
      </c>
      <c r="F2630" s="53">
        <v>3.5</v>
      </c>
      <c r="G2630" s="53">
        <v>0</v>
      </c>
      <c r="H2630" s="51" t="str">
        <f>TEXT(tblLaborEntries[[#This Row],[Work date serial]]-WEEKDAY(tblLaborEntries[[#This Row],[Work date serial]],3),"yyyy-mm-dd")</f>
        <v>2024-07-08</v>
      </c>
      <c r="I2630" s="64">
        <f>DATEVALUE(tblLaborEntries[[#This Row],[Work date]])</f>
        <v>45487.0</v>
      </c>
    </row>
    <row r="2631" spans="1:9" ht="15" x14ac:dyDescent="0.25">
      <c r="A2631" s="53" t="inlineStr">
        <is>
          <t>LAB-002630</t>
        </is>
      </c>
      <c r="B2631" s="53" t="inlineStr">
        <is>
          <t>WP-01154</t>
        </is>
      </c>
      <c r="C2631" s="53" t="inlineStr">
        <is>
          <t>TECH-038</t>
        </is>
      </c>
      <c r="D2631" s="53" t="inlineStr">
        <is>
          <t>Avionics</t>
        </is>
      </c>
      <c r="E2631" s="53" t="inlineStr">
        <is>
          <t>2024-07-15</t>
        </is>
      </c>
      <c r="F2631" s="53">
        <v>2.5</v>
      </c>
      <c r="G2631" s="53">
        <v>0</v>
      </c>
      <c r="H2631" s="51" t="str">
        <f>TEXT(tblLaborEntries[[#This Row],[Work date serial]]-WEEKDAY(tblLaborEntries[[#This Row],[Work date serial]],3),"yyyy-mm-dd")</f>
        <v>2024-07-15</v>
      </c>
      <c r="I2631" s="64">
        <f>DATEVALUE(tblLaborEntries[[#This Row],[Work date]])</f>
        <v>45488.0</v>
      </c>
    </row>
    <row r="2632" spans="1:9" ht="15" x14ac:dyDescent="0.25">
      <c r="A2632" s="53" t="inlineStr">
        <is>
          <t>LAB-002631</t>
        </is>
      </c>
      <c r="B2632" s="53" t="inlineStr">
        <is>
          <t>WP-01155</t>
        </is>
      </c>
      <c r="C2632" s="53" t="inlineStr">
        <is>
          <t>TECH-059</t>
        </is>
      </c>
      <c r="D2632" s="53" t="inlineStr">
        <is>
          <t>Structures</t>
        </is>
      </c>
      <c r="E2632" s="53" t="inlineStr">
        <is>
          <t>2025-02-08</t>
        </is>
      </c>
      <c r="F2632" s="53">
        <v>3.4</v>
      </c>
      <c r="G2632" s="53">
        <v>0</v>
      </c>
      <c r="H2632" s="51" t="str">
        <f>TEXT(tblLaborEntries[[#This Row],[Work date serial]]-WEEKDAY(tblLaborEntries[[#This Row],[Work date serial]],3),"yyyy-mm-dd")</f>
        <v>2025-02-03</v>
      </c>
      <c r="I2632" s="64">
        <f>DATEVALUE(tblLaborEntries[[#This Row],[Work date]])</f>
        <v>45696.0</v>
      </c>
    </row>
    <row r="2633" spans="1:9" ht="15" x14ac:dyDescent="0.25">
      <c r="A2633" s="53" t="inlineStr">
        <is>
          <t>LAB-002632</t>
        </is>
      </c>
      <c r="B2633" s="53" t="inlineStr">
        <is>
          <t>WP-01155</t>
        </is>
      </c>
      <c r="C2633" s="53" t="inlineStr">
        <is>
          <t>TECH-071</t>
        </is>
      </c>
      <c r="D2633" s="53" t="inlineStr">
        <is>
          <t>Structures</t>
        </is>
      </c>
      <c r="E2633" s="53" t="inlineStr">
        <is>
          <t>2025-02-09</t>
        </is>
      </c>
      <c r="F2633" s="53">
        <v>4.8</v>
      </c>
      <c r="G2633" s="53">
        <v>0</v>
      </c>
      <c r="H2633" s="51" t="str">
        <f>TEXT(tblLaborEntries[[#This Row],[Work date serial]]-WEEKDAY(tblLaborEntries[[#This Row],[Work date serial]],3),"yyyy-mm-dd")</f>
        <v>2025-02-03</v>
      </c>
      <c r="I2633" s="64">
        <f>DATEVALUE(tblLaborEntries[[#This Row],[Work date]])</f>
        <v>45697.0</v>
      </c>
    </row>
    <row r="2634" spans="1:9" ht="15" x14ac:dyDescent="0.25">
      <c r="A2634" s="53" t="inlineStr">
        <is>
          <t>LAB-002633</t>
        </is>
      </c>
      <c r="B2634" s="53" t="inlineStr">
        <is>
          <t>WP-01155</t>
        </is>
      </c>
      <c r="C2634" s="53" t="inlineStr">
        <is>
          <t>TECH-041</t>
        </is>
      </c>
      <c r="D2634" s="53" t="inlineStr">
        <is>
          <t>Structures</t>
        </is>
      </c>
      <c r="E2634" s="53" t="inlineStr">
        <is>
          <t>2025-02-10</t>
        </is>
      </c>
      <c r="F2634" s="53">
        <v>3.9</v>
      </c>
      <c r="G2634" s="53">
        <v>0</v>
      </c>
      <c r="H2634" s="51" t="str">
        <f>TEXT(tblLaborEntries[[#This Row],[Work date serial]]-WEEKDAY(tblLaborEntries[[#This Row],[Work date serial]],3),"yyyy-mm-dd")</f>
        <v>2025-02-10</v>
      </c>
      <c r="I2634" s="64">
        <f>DATEVALUE(tblLaborEntries[[#This Row],[Work date]])</f>
        <v>45698.0</v>
      </c>
    </row>
    <row r="2635" spans="1:9" ht="15" x14ac:dyDescent="0.25">
      <c r="A2635" s="53" t="inlineStr">
        <is>
          <t>LAB-002634</t>
        </is>
      </c>
      <c r="B2635" s="53" t="inlineStr">
        <is>
          <t>WP-01156</t>
        </is>
      </c>
      <c r="C2635" s="53" t="inlineStr">
        <is>
          <t>TECH-026</t>
        </is>
      </c>
      <c r="D2635" s="53" t="inlineStr">
        <is>
          <t>Avionics</t>
        </is>
      </c>
      <c r="E2635" s="53" t="inlineStr">
        <is>
          <t>2025-03-15</t>
        </is>
      </c>
      <c r="F2635" s="53">
        <v>10.2</v>
      </c>
      <c r="G2635" s="53">
        <v>2.2</v>
      </c>
      <c r="H2635" s="51" t="str">
        <f>TEXT(tblLaborEntries[[#This Row],[Work date serial]]-WEEKDAY(tblLaborEntries[[#This Row],[Work date serial]],3),"yyyy-mm-dd")</f>
        <v>2025-03-10</v>
      </c>
      <c r="I2635" s="64">
        <f>DATEVALUE(tblLaborEntries[[#This Row],[Work date]])</f>
        <v>45731.0</v>
      </c>
    </row>
    <row r="2636" spans="1:9" ht="15" x14ac:dyDescent="0.25">
      <c r="A2636" s="53" t="inlineStr">
        <is>
          <t>LAB-002635</t>
        </is>
      </c>
      <c r="B2636" s="53" t="inlineStr">
        <is>
          <t>WP-01156</t>
        </is>
      </c>
      <c r="C2636" s="53" t="inlineStr">
        <is>
          <t>TECH-014</t>
        </is>
      </c>
      <c r="D2636" s="53" t="inlineStr">
        <is>
          <t>Avionics</t>
        </is>
      </c>
      <c r="E2636" s="53" t="inlineStr">
        <is>
          <t>2025-03-16</t>
        </is>
      </c>
      <c r="F2636" s="53">
        <v>7.5</v>
      </c>
      <c r="G2636" s="53">
        <v>0</v>
      </c>
      <c r="H2636" s="51" t="str">
        <f>TEXT(tblLaborEntries[[#This Row],[Work date serial]]-WEEKDAY(tblLaborEntries[[#This Row],[Work date serial]],3),"yyyy-mm-dd")</f>
        <v>2025-03-10</v>
      </c>
      <c r="I2636" s="64">
        <f>DATEVALUE(tblLaborEntries[[#This Row],[Work date]])</f>
        <v>45732.0</v>
      </c>
    </row>
    <row r="2637" spans="1:9" ht="15" x14ac:dyDescent="0.25">
      <c r="A2637" s="53" t="inlineStr">
        <is>
          <t>LAB-002636</t>
        </is>
      </c>
      <c r="B2637" s="53" t="inlineStr">
        <is>
          <t>WP-01157</t>
        </is>
      </c>
      <c r="C2637" s="53" t="inlineStr">
        <is>
          <t>TECH-015</t>
        </is>
      </c>
      <c r="D2637" s="53" t="inlineStr">
        <is>
          <t>Hydraulics</t>
        </is>
      </c>
      <c r="E2637" s="53" t="inlineStr">
        <is>
          <t>2024-10-22</t>
        </is>
      </c>
      <c r="F2637" s="53">
        <v>4</v>
      </c>
      <c r="G2637" s="53">
        <v>0</v>
      </c>
      <c r="H2637" s="51" t="str">
        <f>TEXT(tblLaborEntries[[#This Row],[Work date serial]]-WEEKDAY(tblLaborEntries[[#This Row],[Work date serial]],3),"yyyy-mm-dd")</f>
        <v>2024-10-21</v>
      </c>
      <c r="I2637" s="64">
        <f>DATEVALUE(tblLaborEntries[[#This Row],[Work date]])</f>
        <v>45587.0</v>
      </c>
    </row>
    <row r="2638" spans="1:9" ht="15" x14ac:dyDescent="0.25">
      <c r="A2638" s="53" t="inlineStr">
        <is>
          <t>LAB-002637</t>
        </is>
      </c>
      <c r="B2638" s="53" t="inlineStr">
        <is>
          <t>WP-01157</t>
        </is>
      </c>
      <c r="C2638" s="53" t="inlineStr">
        <is>
          <t>TECH-051</t>
        </is>
      </c>
      <c r="D2638" s="53" t="inlineStr">
        <is>
          <t>Hydraulics</t>
        </is>
      </c>
      <c r="E2638" s="53" t="inlineStr">
        <is>
          <t>2024-10-23</t>
        </is>
      </c>
      <c r="F2638" s="53">
        <v>5.7</v>
      </c>
      <c r="G2638" s="53">
        <v>0</v>
      </c>
      <c r="H2638" s="51" t="str">
        <f>TEXT(tblLaborEntries[[#This Row],[Work date serial]]-WEEKDAY(tblLaborEntries[[#This Row],[Work date serial]],3),"yyyy-mm-dd")</f>
        <v>2024-10-21</v>
      </c>
      <c r="I2638" s="64">
        <f>DATEVALUE(tblLaborEntries[[#This Row],[Work date]])</f>
        <v>45588.0</v>
      </c>
    </row>
    <row r="2639" spans="1:9" ht="15" x14ac:dyDescent="0.25">
      <c r="A2639" s="53" t="inlineStr">
        <is>
          <t>LAB-002638</t>
        </is>
      </c>
      <c r="B2639" s="53" t="inlineStr">
        <is>
          <t>WP-01158</t>
        </is>
      </c>
      <c r="C2639" s="53" t="inlineStr">
        <is>
          <t>TECH-063</t>
        </is>
      </c>
      <c r="D2639" s="53" t="inlineStr">
        <is>
          <t>Hydraulics</t>
        </is>
      </c>
      <c r="E2639" s="53" t="inlineStr">
        <is>
          <t>2025-06-18</t>
        </is>
      </c>
      <c r="F2639" s="53">
        <v>4.6</v>
      </c>
      <c r="G2639" s="53">
        <v>0</v>
      </c>
      <c r="H2639" s="51" t="str">
        <f>TEXT(tblLaborEntries[[#This Row],[Work date serial]]-WEEKDAY(tblLaborEntries[[#This Row],[Work date serial]],3),"yyyy-mm-dd")</f>
        <v>2025-06-16</v>
      </c>
      <c r="I2639" s="64">
        <f>DATEVALUE(tblLaborEntries[[#This Row],[Work date]])</f>
        <v>45826.0</v>
      </c>
    </row>
    <row r="2640" spans="1:9" ht="15" x14ac:dyDescent="0.25">
      <c r="A2640" s="53" t="inlineStr">
        <is>
          <t>LAB-002639</t>
        </is>
      </c>
      <c r="B2640" s="53" t="inlineStr">
        <is>
          <t>WP-01158</t>
        </is>
      </c>
      <c r="C2640" s="53" t="inlineStr">
        <is>
          <t>TECH-021</t>
        </is>
      </c>
      <c r="D2640" s="53" t="inlineStr">
        <is>
          <t>Hydraulics</t>
        </is>
      </c>
      <c r="E2640" s="53" t="inlineStr">
        <is>
          <t>2025-06-19</t>
        </is>
      </c>
      <c r="F2640" s="53">
        <v>4.8</v>
      </c>
      <c r="G2640" s="53">
        <v>0</v>
      </c>
      <c r="H2640" s="51" t="str">
        <f>TEXT(tblLaborEntries[[#This Row],[Work date serial]]-WEEKDAY(tblLaborEntries[[#This Row],[Work date serial]],3),"yyyy-mm-dd")</f>
        <v>2025-06-16</v>
      </c>
      <c r="I2640" s="64">
        <f>DATEVALUE(tblLaborEntries[[#This Row],[Work date]])</f>
        <v>45827.0</v>
      </c>
    </row>
    <row r="2641" spans="1:9" ht="15" x14ac:dyDescent="0.25">
      <c r="A2641" s="53" t="inlineStr">
        <is>
          <t>LAB-002640</t>
        </is>
      </c>
      <c r="B2641" s="53" t="inlineStr">
        <is>
          <t>WP-01159</t>
        </is>
      </c>
      <c r="C2641" s="53" t="inlineStr">
        <is>
          <t>TECH-025</t>
        </is>
      </c>
      <c r="D2641" s="53" t="inlineStr">
        <is>
          <t>Airframe</t>
        </is>
      </c>
      <c r="E2641" s="53" t="inlineStr">
        <is>
          <t>2025-02-07</t>
        </is>
      </c>
      <c r="F2641" s="53">
        <v>3.8</v>
      </c>
      <c r="G2641" s="53">
        <v>0</v>
      </c>
      <c r="H2641" s="51" t="str">
        <f>TEXT(tblLaborEntries[[#This Row],[Work date serial]]-WEEKDAY(tblLaborEntries[[#This Row],[Work date serial]],3),"yyyy-mm-dd")</f>
        <v>2025-02-03</v>
      </c>
      <c r="I2641" s="64">
        <f>DATEVALUE(tblLaborEntries[[#This Row],[Work date]])</f>
        <v>45695.0</v>
      </c>
    </row>
    <row r="2642" spans="1:9" ht="15" x14ac:dyDescent="0.25">
      <c r="A2642" s="53" t="inlineStr">
        <is>
          <t>LAB-002641</t>
        </is>
      </c>
      <c r="B2642" s="53" t="inlineStr">
        <is>
          <t>WP-01159</t>
        </is>
      </c>
      <c r="C2642" s="53" t="inlineStr">
        <is>
          <t>TECH-037</t>
        </is>
      </c>
      <c r="D2642" s="53" t="inlineStr">
        <is>
          <t>Airframe</t>
        </is>
      </c>
      <c r="E2642" s="53" t="inlineStr">
        <is>
          <t>2025-02-08</t>
        </is>
      </c>
      <c r="F2642" s="53">
        <v>4.3</v>
      </c>
      <c r="G2642" s="53">
        <v>0</v>
      </c>
      <c r="H2642" s="51" t="str">
        <f>TEXT(tblLaborEntries[[#This Row],[Work date serial]]-WEEKDAY(tblLaborEntries[[#This Row],[Work date serial]],3),"yyyy-mm-dd")</f>
        <v>2025-02-03</v>
      </c>
      <c r="I2642" s="64">
        <f>DATEVALUE(tblLaborEntries[[#This Row],[Work date]])</f>
        <v>45696.0</v>
      </c>
    </row>
    <row r="2643" spans="1:9" ht="15" x14ac:dyDescent="0.25">
      <c r="A2643" s="53" t="inlineStr">
        <is>
          <t>LAB-002642</t>
        </is>
      </c>
      <c r="B2643" s="53" t="inlineStr">
        <is>
          <t>WP-01159</t>
        </is>
      </c>
      <c r="C2643" s="53" t="inlineStr">
        <is>
          <t>TECH-073</t>
        </is>
      </c>
      <c r="D2643" s="53" t="inlineStr">
        <is>
          <t>Airframe</t>
        </is>
      </c>
      <c r="E2643" s="53" t="inlineStr">
        <is>
          <t>2025-02-09</t>
        </is>
      </c>
      <c r="F2643" s="53">
        <v>3.2</v>
      </c>
      <c r="G2643" s="53">
        <v>0</v>
      </c>
      <c r="H2643" s="51" t="str">
        <f>TEXT(tblLaborEntries[[#This Row],[Work date serial]]-WEEKDAY(tblLaborEntries[[#This Row],[Work date serial]],3),"yyyy-mm-dd")</f>
        <v>2025-02-03</v>
      </c>
      <c r="I2643" s="64">
        <f>DATEVALUE(tblLaborEntries[[#This Row],[Work date]])</f>
        <v>45697.0</v>
      </c>
    </row>
    <row r="2644" spans="1:9" ht="15" x14ac:dyDescent="0.25">
      <c r="A2644" s="53" t="inlineStr">
        <is>
          <t>LAB-002643</t>
        </is>
      </c>
      <c r="B2644" s="53" t="inlineStr">
        <is>
          <t>WP-01160</t>
        </is>
      </c>
      <c r="C2644" s="53" t="inlineStr">
        <is>
          <t>TECH-038</t>
        </is>
      </c>
      <c r="D2644" s="53" t="inlineStr">
        <is>
          <t>Avionics</t>
        </is>
      </c>
      <c r="E2644" s="53" t="inlineStr">
        <is>
          <t>2024-07-10</t>
        </is>
      </c>
      <c r="F2644" s="53">
        <v>1.6</v>
      </c>
      <c r="G2644" s="53">
        <v>0.5</v>
      </c>
      <c r="H2644" s="51" t="str">
        <f>TEXT(tblLaborEntries[[#This Row],[Work date serial]]-WEEKDAY(tblLaborEntries[[#This Row],[Work date serial]],3),"yyyy-mm-dd")</f>
        <v>2024-07-08</v>
      </c>
      <c r="I2644" s="64">
        <f>DATEVALUE(tblLaborEntries[[#This Row],[Work date]])</f>
        <v>45483.0</v>
      </c>
    </row>
    <row r="2645" spans="1:9" ht="15" x14ac:dyDescent="0.25">
      <c r="A2645" s="53" t="inlineStr">
        <is>
          <t>LAB-002644</t>
        </is>
      </c>
      <c r="B2645" s="53" t="inlineStr">
        <is>
          <t>WP-01160</t>
        </is>
      </c>
      <c r="C2645" s="53" t="inlineStr">
        <is>
          <t>TECH-062</t>
        </is>
      </c>
      <c r="D2645" s="53" t="inlineStr">
        <is>
          <t>Avionics</t>
        </is>
      </c>
      <c r="E2645" s="53" t="inlineStr">
        <is>
          <t>2024-07-11</t>
        </is>
      </c>
      <c r="F2645" s="53">
        <v>1.4</v>
      </c>
      <c r="G2645" s="53">
        <v>0</v>
      </c>
      <c r="H2645" s="51" t="str">
        <f>TEXT(tblLaborEntries[[#This Row],[Work date serial]]-WEEKDAY(tblLaborEntries[[#This Row],[Work date serial]],3),"yyyy-mm-dd")</f>
        <v>2024-07-08</v>
      </c>
      <c r="I2645" s="64">
        <f>DATEVALUE(tblLaborEntries[[#This Row],[Work date]])</f>
        <v>45484.0</v>
      </c>
    </row>
    <row r="2646" spans="1:9" ht="15" x14ac:dyDescent="0.25">
      <c r="A2646" s="53" t="inlineStr">
        <is>
          <t>LAB-002645</t>
        </is>
      </c>
      <c r="B2646" s="53" t="inlineStr">
        <is>
          <t>WP-01161</t>
        </is>
      </c>
      <c r="C2646" s="53" t="inlineStr">
        <is>
          <t>TECH-067</t>
        </is>
      </c>
      <c r="D2646" s="53" t="inlineStr">
        <is>
          <t>Airframe</t>
        </is>
      </c>
      <c r="E2646" s="53" t="inlineStr">
        <is>
          <t>2024-12-01</t>
        </is>
      </c>
      <c r="F2646" s="53">
        <v>4.1</v>
      </c>
      <c r="G2646" s="53">
        <v>0</v>
      </c>
      <c r="H2646" s="51" t="str">
        <f>TEXT(tblLaborEntries[[#This Row],[Work date serial]]-WEEKDAY(tblLaborEntries[[#This Row],[Work date serial]],3),"yyyy-mm-dd")</f>
        <v>2024-11-25</v>
      </c>
      <c r="I2646" s="64">
        <f>DATEVALUE(tblLaborEntries[[#This Row],[Work date]])</f>
        <v>45627.0</v>
      </c>
    </row>
    <row r="2647" spans="1:9" ht="15" x14ac:dyDescent="0.25">
      <c r="A2647" s="53" t="inlineStr">
        <is>
          <t>LAB-002646</t>
        </is>
      </c>
      <c r="B2647" s="53" t="inlineStr">
        <is>
          <t>WP-01161</t>
        </is>
      </c>
      <c r="C2647" s="53" t="inlineStr">
        <is>
          <t>TECH-061</t>
        </is>
      </c>
      <c r="D2647" s="53" t="inlineStr">
        <is>
          <t>Airframe</t>
        </is>
      </c>
      <c r="E2647" s="53" t="inlineStr">
        <is>
          <t>2024-12-02</t>
        </is>
      </c>
      <c r="F2647" s="53">
        <v>3.3</v>
      </c>
      <c r="G2647" s="53">
        <v>0</v>
      </c>
      <c r="H2647" s="51" t="str">
        <f>TEXT(tblLaborEntries[[#This Row],[Work date serial]]-WEEKDAY(tblLaborEntries[[#This Row],[Work date serial]],3),"yyyy-mm-dd")</f>
        <v>2024-12-02</v>
      </c>
      <c r="I2647" s="64">
        <f>DATEVALUE(tblLaborEntries[[#This Row],[Work date]])</f>
        <v>45628.0</v>
      </c>
    </row>
    <row r="2648" spans="1:9" ht="15" x14ac:dyDescent="0.25">
      <c r="A2648" s="53" t="inlineStr">
        <is>
          <t>LAB-002647</t>
        </is>
      </c>
      <c r="B2648" s="53" t="inlineStr">
        <is>
          <t>WP-01162</t>
        </is>
      </c>
      <c r="C2648" s="53" t="inlineStr">
        <is>
          <t>TECH-010</t>
        </is>
      </c>
      <c r="D2648" s="53" t="inlineStr">
        <is>
          <t>Electrical</t>
        </is>
      </c>
      <c r="E2648" s="53" t="inlineStr">
        <is>
          <t>2024-03-11</t>
        </is>
      </c>
      <c r="F2648" s="53">
        <v>11.3</v>
      </c>
      <c r="G2648" s="53">
        <v>3.3</v>
      </c>
      <c r="H2648" s="51" t="str">
        <f>TEXT(tblLaborEntries[[#This Row],[Work date serial]]-WEEKDAY(tblLaborEntries[[#This Row],[Work date serial]],3),"yyyy-mm-dd")</f>
        <v>2024-03-11</v>
      </c>
      <c r="I2648" s="64">
        <f>DATEVALUE(tblLaborEntries[[#This Row],[Work date]])</f>
        <v>45362.0</v>
      </c>
    </row>
    <row r="2649" spans="1:9" ht="15" x14ac:dyDescent="0.25">
      <c r="A2649" s="53" t="inlineStr">
        <is>
          <t>LAB-002648</t>
        </is>
      </c>
      <c r="B2649" s="53" t="inlineStr">
        <is>
          <t>WP-01162</t>
        </is>
      </c>
      <c r="C2649" s="53" t="inlineStr">
        <is>
          <t>TECH-004</t>
        </is>
      </c>
      <c r="D2649" s="53" t="inlineStr">
        <is>
          <t>Electrical</t>
        </is>
      </c>
      <c r="E2649" s="53" t="inlineStr">
        <is>
          <t>2024-03-12</t>
        </is>
      </c>
      <c r="F2649" s="53">
        <v>0.7</v>
      </c>
      <c r="G2649" s="53">
        <v>0</v>
      </c>
      <c r="H2649" s="51" t="str">
        <f>TEXT(tblLaborEntries[[#This Row],[Work date serial]]-WEEKDAY(tblLaborEntries[[#This Row],[Work date serial]],3),"yyyy-mm-dd")</f>
        <v>2024-03-11</v>
      </c>
      <c r="I2649" s="64">
        <f>DATEVALUE(tblLaborEntries[[#This Row],[Work date]])</f>
        <v>45363.0</v>
      </c>
    </row>
    <row r="2650" spans="1:9" ht="15" x14ac:dyDescent="0.25">
      <c r="A2650" s="53" t="inlineStr">
        <is>
          <t>LAB-002649</t>
        </is>
      </c>
      <c r="B2650" s="53" t="inlineStr">
        <is>
          <t>WP-01162</t>
        </is>
      </c>
      <c r="C2650" s="53" t="inlineStr">
        <is>
          <t>TECH-022</t>
        </is>
      </c>
      <c r="D2650" s="53" t="inlineStr">
        <is>
          <t>Electrical</t>
        </is>
      </c>
      <c r="E2650" s="53" t="inlineStr">
        <is>
          <t>2024-03-12</t>
        </is>
      </c>
      <c r="F2650" s="53">
        <v>12</v>
      </c>
      <c r="G2650" s="53">
        <v>4</v>
      </c>
      <c r="H2650" s="51" t="str">
        <f>TEXT(tblLaborEntries[[#This Row],[Work date serial]]-WEEKDAY(tblLaborEntries[[#This Row],[Work date serial]],3),"yyyy-mm-dd")</f>
        <v>2024-03-11</v>
      </c>
      <c r="I2650" s="64">
        <f>DATEVALUE(tblLaborEntries[[#This Row],[Work date]])</f>
        <v>45363.0</v>
      </c>
    </row>
    <row r="2651" spans="1:9" ht="15" x14ac:dyDescent="0.25">
      <c r="A2651" s="53" t="inlineStr">
        <is>
          <t>LAB-002650</t>
        </is>
      </c>
      <c r="B2651" s="53" t="inlineStr">
        <is>
          <t>WP-01163</t>
        </is>
      </c>
      <c r="C2651" s="53" t="inlineStr">
        <is>
          <t>TECH-006</t>
        </is>
      </c>
      <c r="D2651" s="53" t="inlineStr">
        <is>
          <t>Powerplant</t>
        </is>
      </c>
      <c r="E2651" s="53" t="inlineStr">
        <is>
          <t>2024-08-29</t>
        </is>
      </c>
      <c r="F2651" s="53">
        <v>6.3</v>
      </c>
      <c r="G2651" s="53">
        <v>0</v>
      </c>
      <c r="H2651" s="51" t="str">
        <f>TEXT(tblLaborEntries[[#This Row],[Work date serial]]-WEEKDAY(tblLaborEntries[[#This Row],[Work date serial]],3),"yyyy-mm-dd")</f>
        <v>2024-08-26</v>
      </c>
      <c r="I2651" s="64">
        <f>DATEVALUE(tblLaborEntries[[#This Row],[Work date]])</f>
        <v>45533.0</v>
      </c>
    </row>
    <row r="2652" spans="1:9" ht="15" x14ac:dyDescent="0.25">
      <c r="A2652" s="53" t="inlineStr">
        <is>
          <t>LAB-002651</t>
        </is>
      </c>
      <c r="B2652" s="53" t="inlineStr">
        <is>
          <t>WP-01163</t>
        </is>
      </c>
      <c r="C2652" s="53" t="inlineStr">
        <is>
          <t>TECH-012</t>
        </is>
      </c>
      <c r="D2652" s="53" t="inlineStr">
        <is>
          <t>Powerplant</t>
        </is>
      </c>
      <c r="E2652" s="53" t="inlineStr">
        <is>
          <t>2024-08-29</t>
        </is>
      </c>
      <c r="F2652" s="53">
        <v>12</v>
      </c>
      <c r="G2652" s="53">
        <v>4</v>
      </c>
      <c r="H2652" s="51" t="str">
        <f>TEXT(tblLaborEntries[[#This Row],[Work date serial]]-WEEKDAY(tblLaborEntries[[#This Row],[Work date serial]],3),"yyyy-mm-dd")</f>
        <v>2024-08-26</v>
      </c>
      <c r="I2652" s="64">
        <f>DATEVALUE(tblLaborEntries[[#This Row],[Work date]])</f>
        <v>45533.0</v>
      </c>
    </row>
    <row r="2653" spans="1:9" ht="15" x14ac:dyDescent="0.25">
      <c r="A2653" s="53" t="inlineStr">
        <is>
          <t>LAB-002652</t>
        </is>
      </c>
      <c r="B2653" s="53" t="inlineStr">
        <is>
          <t>WP-01164</t>
        </is>
      </c>
      <c r="C2653" s="53" t="inlineStr">
        <is>
          <t>TECH-074</t>
        </is>
      </c>
      <c r="D2653" s="53" t="inlineStr">
        <is>
          <t>Avionics</t>
        </is>
      </c>
      <c r="E2653" s="53" t="inlineStr">
        <is>
          <t>2024-08-03</t>
        </is>
      </c>
      <c r="F2653" s="53">
        <v>7.1</v>
      </c>
      <c r="G2653" s="53">
        <v>0</v>
      </c>
      <c r="H2653" s="51" t="str">
        <f>TEXT(tblLaborEntries[[#This Row],[Work date serial]]-WEEKDAY(tblLaborEntries[[#This Row],[Work date serial]],3),"yyyy-mm-dd")</f>
        <v>2024-07-29</v>
      </c>
      <c r="I2653" s="64">
        <f>DATEVALUE(tblLaborEntries[[#This Row],[Work date]])</f>
        <v>45507.0</v>
      </c>
    </row>
    <row r="2654" spans="1:9" ht="15" x14ac:dyDescent="0.25">
      <c r="A2654" s="53" t="inlineStr">
        <is>
          <t>LAB-002653</t>
        </is>
      </c>
      <c r="B2654" s="53" t="inlineStr">
        <is>
          <t>WP-01164</t>
        </is>
      </c>
      <c r="C2654" s="53" t="inlineStr">
        <is>
          <t>TECH-032</t>
        </is>
      </c>
      <c r="D2654" s="53" t="inlineStr">
        <is>
          <t>Avionics</t>
        </is>
      </c>
      <c r="E2654" s="53" t="inlineStr">
        <is>
          <t>2024-08-04</t>
        </is>
      </c>
      <c r="F2654" s="53">
        <v>7.2</v>
      </c>
      <c r="G2654" s="53">
        <v>0</v>
      </c>
      <c r="H2654" s="51" t="str">
        <f>TEXT(tblLaborEntries[[#This Row],[Work date serial]]-WEEKDAY(tblLaborEntries[[#This Row],[Work date serial]],3),"yyyy-mm-dd")</f>
        <v>2024-07-29</v>
      </c>
      <c r="I2654" s="64">
        <f>DATEVALUE(tblLaborEntries[[#This Row],[Work date]])</f>
        <v>45508.0</v>
      </c>
    </row>
    <row r="2655" spans="1:9" ht="15" x14ac:dyDescent="0.25">
      <c r="A2655" s="53" t="inlineStr">
        <is>
          <t>LAB-002654</t>
        </is>
      </c>
      <c r="B2655" s="53" t="inlineStr">
        <is>
          <t>WP-01165</t>
        </is>
      </c>
      <c r="C2655" s="53" t="inlineStr">
        <is>
          <t>TECH-062</t>
        </is>
      </c>
      <c r="D2655" s="53" t="inlineStr">
        <is>
          <t>Avionics</t>
        </is>
      </c>
      <c r="E2655" s="53" t="inlineStr">
        <is>
          <t>2025-04-06</t>
        </is>
      </c>
      <c r="F2655" s="53">
        <v>5.1</v>
      </c>
      <c r="G2655" s="53">
        <v>0</v>
      </c>
      <c r="H2655" s="51" t="str">
        <f>TEXT(tblLaborEntries[[#This Row],[Work date serial]]-WEEKDAY(tblLaborEntries[[#This Row],[Work date serial]],3),"yyyy-mm-dd")</f>
        <v>2025-03-31</v>
      </c>
      <c r="I2655" s="64">
        <f>DATEVALUE(tblLaborEntries[[#This Row],[Work date]])</f>
        <v>45753.0</v>
      </c>
    </row>
    <row r="2656" spans="1:9" ht="15" x14ac:dyDescent="0.25">
      <c r="A2656" s="53" t="inlineStr">
        <is>
          <t>LAB-002655</t>
        </is>
      </c>
      <c r="B2656" s="53" t="inlineStr">
        <is>
          <t>WP-01165</t>
        </is>
      </c>
      <c r="C2656" s="53" t="inlineStr">
        <is>
          <t>TECH-008</t>
        </is>
      </c>
      <c r="D2656" s="53" t="inlineStr">
        <is>
          <t>Avionics</t>
        </is>
      </c>
      <c r="E2656" s="53" t="inlineStr">
        <is>
          <t>2025-04-07</t>
        </is>
      </c>
      <c r="F2656" s="53">
        <v>4.2</v>
      </c>
      <c r="G2656" s="53">
        <v>0</v>
      </c>
      <c r="H2656" s="51" t="str">
        <f>TEXT(tblLaborEntries[[#This Row],[Work date serial]]-WEEKDAY(tblLaborEntries[[#This Row],[Work date serial]],3),"yyyy-mm-dd")</f>
        <v>2025-04-07</v>
      </c>
      <c r="I2656" s="64">
        <f>DATEVALUE(tblLaborEntries[[#This Row],[Work date]])</f>
        <v>45754.0</v>
      </c>
    </row>
    <row r="2657" spans="1:9" ht="15" x14ac:dyDescent="0.25">
      <c r="A2657" s="53" t="inlineStr">
        <is>
          <t>LAB-002656</t>
        </is>
      </c>
      <c r="B2657" s="53" t="inlineStr">
        <is>
          <t>WP-01165</t>
        </is>
      </c>
      <c r="C2657" s="53" t="inlineStr">
        <is>
          <t>TECH-074</t>
        </is>
      </c>
      <c r="D2657" s="53" t="inlineStr">
        <is>
          <t>Avionics</t>
        </is>
      </c>
      <c r="E2657" s="53" t="inlineStr">
        <is>
          <t>2025-04-08</t>
        </is>
      </c>
      <c r="F2657" s="53">
        <v>4.6</v>
      </c>
      <c r="G2657" s="53">
        <v>0</v>
      </c>
      <c r="H2657" s="51" t="str">
        <f>TEXT(tblLaborEntries[[#This Row],[Work date serial]]-WEEKDAY(tblLaborEntries[[#This Row],[Work date serial]],3),"yyyy-mm-dd")</f>
        <v>2025-04-07</v>
      </c>
      <c r="I2657" s="64">
        <f>DATEVALUE(tblLaborEntries[[#This Row],[Work date]])</f>
        <v>45755.0</v>
      </c>
    </row>
    <row r="2658" spans="1:9" ht="15" x14ac:dyDescent="0.25">
      <c r="A2658" s="53" t="inlineStr">
        <is>
          <t>LAB-002657</t>
        </is>
      </c>
      <c r="B2658" s="53" t="inlineStr">
        <is>
          <t>WP-01166</t>
        </is>
      </c>
      <c r="C2658" s="53" t="inlineStr">
        <is>
          <t>TECH-043</t>
        </is>
      </c>
      <c r="D2658" s="53" t="inlineStr">
        <is>
          <t>Airframe</t>
        </is>
      </c>
      <c r="E2658" s="53" t="inlineStr">
        <is>
          <t>2024-07-31</t>
        </is>
      </c>
      <c r="F2658" s="53">
        <v>1.5</v>
      </c>
      <c r="G2658" s="53">
        <v>0</v>
      </c>
      <c r="H2658" s="51" t="str">
        <f>TEXT(tblLaborEntries[[#This Row],[Work date serial]]-WEEKDAY(tblLaborEntries[[#This Row],[Work date serial]],3),"yyyy-mm-dd")</f>
        <v>2024-07-29</v>
      </c>
      <c r="I2658" s="64">
        <f>DATEVALUE(tblLaborEntries[[#This Row],[Work date]])</f>
        <v>45504.0</v>
      </c>
    </row>
    <row r="2659" spans="1:9" ht="15" x14ac:dyDescent="0.25">
      <c r="A2659" s="53" t="inlineStr">
        <is>
          <t>LAB-002658</t>
        </is>
      </c>
      <c r="B2659" s="53" t="inlineStr">
        <is>
          <t>WP-01166</t>
        </is>
      </c>
      <c r="C2659" s="53" t="inlineStr">
        <is>
          <t>TECH-073</t>
        </is>
      </c>
      <c r="D2659" s="53" t="inlineStr">
        <is>
          <t>Airframe</t>
        </is>
      </c>
      <c r="E2659" s="53" t="inlineStr">
        <is>
          <t>2024-08-01</t>
        </is>
      </c>
      <c r="F2659" s="53">
        <v>1.8</v>
      </c>
      <c r="G2659" s="53">
        <v>0</v>
      </c>
      <c r="H2659" s="51" t="str">
        <f>TEXT(tblLaborEntries[[#This Row],[Work date serial]]-WEEKDAY(tblLaborEntries[[#This Row],[Work date serial]],3),"yyyy-mm-dd")</f>
        <v>2024-07-29</v>
      </c>
      <c r="I2659" s="64">
        <f>DATEVALUE(tblLaborEntries[[#This Row],[Work date]])</f>
        <v>45505.0</v>
      </c>
    </row>
    <row r="2660" spans="1:9" ht="15" x14ac:dyDescent="0.25">
      <c r="A2660" s="53" t="inlineStr">
        <is>
          <t>LAB-002659</t>
        </is>
      </c>
      <c r="B2660" s="53" t="inlineStr">
        <is>
          <t>WP-01166</t>
        </is>
      </c>
      <c r="C2660" s="53" t="inlineStr">
        <is>
          <t>TECH-031</t>
        </is>
      </c>
      <c r="D2660" s="53" t="inlineStr">
        <is>
          <t>Airframe</t>
        </is>
      </c>
      <c r="E2660" s="53" t="inlineStr">
        <is>
          <t>2024-08-02</t>
        </is>
      </c>
      <c r="F2660" s="53">
        <v>2.1</v>
      </c>
      <c r="G2660" s="53">
        <v>0</v>
      </c>
      <c r="H2660" s="51" t="str">
        <f>TEXT(tblLaborEntries[[#This Row],[Work date serial]]-WEEKDAY(tblLaborEntries[[#This Row],[Work date serial]],3),"yyyy-mm-dd")</f>
        <v>2024-07-29</v>
      </c>
      <c r="I2660" s="64">
        <f>DATEVALUE(tblLaborEntries[[#This Row],[Work date]])</f>
        <v>45506.0</v>
      </c>
    </row>
    <row r="2661" spans="1:9" ht="15" x14ac:dyDescent="0.25">
      <c r="A2661" s="53" t="inlineStr">
        <is>
          <t>LAB-002660</t>
        </is>
      </c>
      <c r="B2661" s="53" t="inlineStr">
        <is>
          <t>WP-01167</t>
        </is>
      </c>
      <c r="C2661" s="53" t="inlineStr">
        <is>
          <t>TECH-001</t>
        </is>
      </c>
      <c r="D2661" s="53" t="inlineStr">
        <is>
          <t>Airframe</t>
        </is>
      </c>
      <c r="E2661" s="53" t="inlineStr">
        <is>
          <t>2024-06-23</t>
        </is>
      </c>
      <c r="F2661" s="53">
        <v>2.2</v>
      </c>
      <c r="G2661" s="53">
        <v>0</v>
      </c>
      <c r="H2661" s="51" t="str">
        <f>TEXT(tblLaborEntries[[#This Row],[Work date serial]]-WEEKDAY(tblLaborEntries[[#This Row],[Work date serial]],3),"yyyy-mm-dd")</f>
        <v>2024-06-17</v>
      </c>
      <c r="I2661" s="64">
        <f>DATEVALUE(tblLaborEntries[[#This Row],[Work date]])</f>
        <v>45466.0</v>
      </c>
    </row>
    <row r="2662" spans="1:9" ht="15" x14ac:dyDescent="0.25">
      <c r="A2662" s="53" t="inlineStr">
        <is>
          <t>LAB-002661</t>
        </is>
      </c>
      <c r="B2662" s="53" t="inlineStr">
        <is>
          <t>WP-01167</t>
        </is>
      </c>
      <c r="C2662" s="53" t="inlineStr">
        <is>
          <t>TECH-037</t>
        </is>
      </c>
      <c r="D2662" s="53" t="inlineStr">
        <is>
          <t>Airframe</t>
        </is>
      </c>
      <c r="E2662" s="53" t="inlineStr">
        <is>
          <t>2024-06-23</t>
        </is>
      </c>
      <c r="F2662" s="53">
        <v>12</v>
      </c>
      <c r="G2662" s="53">
        <v>4</v>
      </c>
      <c r="H2662" s="51" t="str">
        <f>TEXT(tblLaborEntries[[#This Row],[Work date serial]]-WEEKDAY(tblLaborEntries[[#This Row],[Work date serial]],3),"yyyy-mm-dd")</f>
        <v>2024-06-17</v>
      </c>
      <c r="I2662" s="64">
        <f>DATEVALUE(tblLaborEntries[[#This Row],[Work date]])</f>
        <v>45466.0</v>
      </c>
    </row>
    <row r="2663" spans="1:9" ht="15" x14ac:dyDescent="0.25">
      <c r="A2663" s="53" t="inlineStr">
        <is>
          <t>LAB-002662</t>
        </is>
      </c>
      <c r="B2663" s="53" t="inlineStr">
        <is>
          <t>WP-01168</t>
        </is>
      </c>
      <c r="C2663" s="53" t="inlineStr">
        <is>
          <t>TECH-001</t>
        </is>
      </c>
      <c r="D2663" s="53" t="inlineStr">
        <is>
          <t>Airframe</t>
        </is>
      </c>
      <c r="E2663" s="53" t="inlineStr">
        <is>
          <t>2025-09-06</t>
        </is>
      </c>
      <c r="F2663" s="53">
        <v>2.7</v>
      </c>
      <c r="G2663" s="53">
        <v>0</v>
      </c>
      <c r="H2663" s="51" t="str">
        <f>TEXT(tblLaborEntries[[#This Row],[Work date serial]]-WEEKDAY(tblLaborEntries[[#This Row],[Work date serial]],3),"yyyy-mm-dd")</f>
        <v>2025-09-01</v>
      </c>
      <c r="I2663" s="64">
        <f>DATEVALUE(tblLaborEntries[[#This Row],[Work date]])</f>
        <v>45906.0</v>
      </c>
    </row>
    <row r="2664" spans="1:9" ht="15" x14ac:dyDescent="0.25">
      <c r="A2664" s="53" t="inlineStr">
        <is>
          <t>LAB-002663</t>
        </is>
      </c>
      <c r="B2664" s="53" t="inlineStr">
        <is>
          <t>WP-01168</t>
        </is>
      </c>
      <c r="C2664" s="53" t="inlineStr">
        <is>
          <t>TECH-073</t>
        </is>
      </c>
      <c r="D2664" s="53" t="inlineStr">
        <is>
          <t>Airframe</t>
        </is>
      </c>
      <c r="E2664" s="53" t="inlineStr">
        <is>
          <t>2025-09-06</t>
        </is>
      </c>
      <c r="F2664" s="53">
        <v>12</v>
      </c>
      <c r="G2664" s="53">
        <v>4</v>
      </c>
      <c r="H2664" s="51" t="str">
        <f>TEXT(tblLaborEntries[[#This Row],[Work date serial]]-WEEKDAY(tblLaborEntries[[#This Row],[Work date serial]],3),"yyyy-mm-dd")</f>
        <v>2025-09-01</v>
      </c>
      <c r="I2664" s="64">
        <f>DATEVALUE(tblLaborEntries[[#This Row],[Work date]])</f>
        <v>45906.0</v>
      </c>
    </row>
    <row r="2665" spans="1:9" ht="15" x14ac:dyDescent="0.25">
      <c r="A2665" s="53" t="inlineStr">
        <is>
          <t>LAB-002664</t>
        </is>
      </c>
      <c r="B2665" s="53" t="inlineStr">
        <is>
          <t>WP-01169</t>
        </is>
      </c>
      <c r="C2665" s="53" t="inlineStr">
        <is>
          <t>TECH-013</t>
        </is>
      </c>
      <c r="D2665" s="53" t="inlineStr">
        <is>
          <t>Airframe</t>
        </is>
      </c>
      <c r="E2665" s="53" t="inlineStr">
        <is>
          <t>2025-07-09</t>
        </is>
      </c>
      <c r="F2665" s="53">
        <v>11.6</v>
      </c>
      <c r="G2665" s="53">
        <v>3.6</v>
      </c>
      <c r="H2665" s="51" t="str">
        <f>TEXT(tblLaborEntries[[#This Row],[Work date serial]]-WEEKDAY(tblLaborEntries[[#This Row],[Work date serial]],3),"yyyy-mm-dd")</f>
        <v>2025-07-07</v>
      </c>
      <c r="I2665" s="64">
        <f>DATEVALUE(tblLaborEntries[[#This Row],[Work date]])</f>
        <v>45847.0</v>
      </c>
    </row>
    <row r="2666" spans="1:9" ht="15" x14ac:dyDescent="0.25">
      <c r="A2666" s="53" t="inlineStr">
        <is>
          <t>LAB-002665</t>
        </is>
      </c>
      <c r="B2666" s="53" t="inlineStr">
        <is>
          <t>WP-01170</t>
        </is>
      </c>
      <c r="C2666" s="53" t="inlineStr">
        <is>
          <t>TECH-049</t>
        </is>
      </c>
      <c r="D2666" s="53" t="inlineStr">
        <is>
          <t>Airframe</t>
        </is>
      </c>
      <c r="E2666" s="53" t="inlineStr">
        <is>
          <t>2025-10-17</t>
        </is>
      </c>
      <c r="F2666" s="53">
        <v>2.3</v>
      </c>
      <c r="G2666" s="53">
        <v>0</v>
      </c>
      <c r="H2666" s="51" t="str">
        <f>TEXT(tblLaborEntries[[#This Row],[Work date serial]]-WEEKDAY(tblLaborEntries[[#This Row],[Work date serial]],3),"yyyy-mm-dd")</f>
        <v>2025-10-13</v>
      </c>
      <c r="I2666" s="64">
        <f>DATEVALUE(tblLaborEntries[[#This Row],[Work date]])</f>
        <v>45947.0</v>
      </c>
    </row>
    <row r="2667" spans="1:9" ht="15" x14ac:dyDescent="0.25">
      <c r="A2667" s="53" t="inlineStr">
        <is>
          <t>LAB-002666</t>
        </is>
      </c>
      <c r="B2667" s="53" t="inlineStr">
        <is>
          <t>WP-01170</t>
        </is>
      </c>
      <c r="C2667" s="53" t="inlineStr">
        <is>
          <t>TECH-019</t>
        </is>
      </c>
      <c r="D2667" s="53" t="inlineStr">
        <is>
          <t>Airframe</t>
        </is>
      </c>
      <c r="E2667" s="53" t="inlineStr">
        <is>
          <t>2025-10-18</t>
        </is>
      </c>
      <c r="F2667" s="53">
        <v>3.2</v>
      </c>
      <c r="G2667" s="53">
        <v>0</v>
      </c>
      <c r="H2667" s="51" t="str">
        <f>TEXT(tblLaborEntries[[#This Row],[Work date serial]]-WEEKDAY(tblLaborEntries[[#This Row],[Work date serial]],3),"yyyy-mm-dd")</f>
        <v>2025-10-13</v>
      </c>
      <c r="I2667" s="64">
        <f>DATEVALUE(tblLaborEntries[[#This Row],[Work date]])</f>
        <v>45948.0</v>
      </c>
    </row>
    <row r="2668" spans="1:9" ht="15" x14ac:dyDescent="0.25">
      <c r="A2668" s="53" t="inlineStr">
        <is>
          <t>LAB-002667</t>
        </is>
      </c>
      <c r="B2668" s="53" t="inlineStr">
        <is>
          <t>WP-01171</t>
        </is>
      </c>
      <c r="C2668" s="53" t="inlineStr">
        <is>
          <t>TECH-002</t>
        </is>
      </c>
      <c r="D2668" s="53" t="inlineStr">
        <is>
          <t>Avionics</t>
        </is>
      </c>
      <c r="E2668" s="53" t="inlineStr">
        <is>
          <t>2025-05-29</t>
        </is>
      </c>
      <c r="F2668" s="53">
        <v>4.2</v>
      </c>
      <c r="G2668" s="53">
        <v>0</v>
      </c>
      <c r="H2668" s="51" t="str">
        <f>TEXT(tblLaborEntries[[#This Row],[Work date serial]]-WEEKDAY(tblLaborEntries[[#This Row],[Work date serial]],3),"yyyy-mm-dd")</f>
        <v>2025-05-26</v>
      </c>
      <c r="I2668" s="64">
        <f>DATEVALUE(tblLaborEntries[[#This Row],[Work date]])</f>
        <v>45806.0</v>
      </c>
    </row>
    <row r="2669" spans="1:9" ht="15" x14ac:dyDescent="0.25">
      <c r="A2669" s="53" t="inlineStr">
        <is>
          <t>LAB-002668</t>
        </is>
      </c>
      <c r="B2669" s="53" t="inlineStr">
        <is>
          <t>WP-01171</t>
        </is>
      </c>
      <c r="C2669" s="53" t="inlineStr">
        <is>
          <t>TECH-050</t>
        </is>
      </c>
      <c r="D2669" s="53" t="inlineStr">
        <is>
          <t>Avionics</t>
        </is>
      </c>
      <c r="E2669" s="53" t="inlineStr">
        <is>
          <t>2025-05-29</t>
        </is>
      </c>
      <c r="F2669" s="53">
        <v>12</v>
      </c>
      <c r="G2669" s="53">
        <v>4</v>
      </c>
      <c r="H2669" s="51" t="str">
        <f>TEXT(tblLaborEntries[[#This Row],[Work date serial]]-WEEKDAY(tblLaborEntries[[#This Row],[Work date serial]],3),"yyyy-mm-dd")</f>
        <v>2025-05-26</v>
      </c>
      <c r="I2669" s="64">
        <f>DATEVALUE(tblLaborEntries[[#This Row],[Work date]])</f>
        <v>45806.0</v>
      </c>
    </row>
    <row r="2670" spans="1:9" ht="15" x14ac:dyDescent="0.25">
      <c r="A2670" s="53" t="inlineStr">
        <is>
          <t>LAB-002669</t>
        </is>
      </c>
      <c r="B2670" s="53" t="inlineStr">
        <is>
          <t>WP-01171</t>
        </is>
      </c>
      <c r="C2670" s="53" t="inlineStr">
        <is>
          <t>TECH-008</t>
        </is>
      </c>
      <c r="D2670" s="53" t="inlineStr">
        <is>
          <t>Avionics</t>
        </is>
      </c>
      <c r="E2670" s="53" t="inlineStr">
        <is>
          <t>2025-05-30</t>
        </is>
      </c>
      <c r="F2670" s="53">
        <v>3.4</v>
      </c>
      <c r="G2670" s="53">
        <v>0</v>
      </c>
      <c r="H2670" s="51" t="str">
        <f>TEXT(tblLaborEntries[[#This Row],[Work date serial]]-WEEKDAY(tblLaborEntries[[#This Row],[Work date serial]],3),"yyyy-mm-dd")</f>
        <v>2025-05-26</v>
      </c>
      <c r="I2670" s="64">
        <f>DATEVALUE(tblLaborEntries[[#This Row],[Work date]])</f>
        <v>45807.0</v>
      </c>
    </row>
    <row r="2671" spans="1:9" ht="15" x14ac:dyDescent="0.25">
      <c r="A2671" s="53" t="inlineStr">
        <is>
          <t>LAB-002670</t>
        </is>
      </c>
      <c r="B2671" s="53" t="inlineStr">
        <is>
          <t>WP-01171</t>
        </is>
      </c>
      <c r="C2671" s="53" t="inlineStr">
        <is>
          <t>TECH-056</t>
        </is>
      </c>
      <c r="D2671" s="53" t="inlineStr">
        <is>
          <t>Avionics</t>
        </is>
      </c>
      <c r="E2671" s="53" t="inlineStr">
        <is>
          <t>2025-05-30</t>
        </is>
      </c>
      <c r="F2671" s="53">
        <v>12</v>
      </c>
      <c r="G2671" s="53">
        <v>4</v>
      </c>
      <c r="H2671" s="51" t="str">
        <f>TEXT(tblLaborEntries[[#This Row],[Work date serial]]-WEEKDAY(tblLaborEntries[[#This Row],[Work date serial]],3),"yyyy-mm-dd")</f>
        <v>2025-05-26</v>
      </c>
      <c r="I2671" s="64">
        <f>DATEVALUE(tblLaborEntries[[#This Row],[Work date]])</f>
        <v>45807.0</v>
      </c>
    </row>
    <row r="2672" spans="1:9" ht="15" x14ac:dyDescent="0.25">
      <c r="A2672" s="53" t="inlineStr">
        <is>
          <t>LAB-002671</t>
        </is>
      </c>
      <c r="B2672" s="53" t="inlineStr">
        <is>
          <t>WP-01172</t>
        </is>
      </c>
      <c r="C2672" s="53" t="inlineStr">
        <is>
          <t>TECH-050</t>
        </is>
      </c>
      <c r="D2672" s="53" t="inlineStr">
        <is>
          <t>Avionics</t>
        </is>
      </c>
      <c r="E2672" s="53" t="inlineStr">
        <is>
          <t>2025-12-11</t>
        </is>
      </c>
      <c r="F2672" s="53">
        <v>2.9</v>
      </c>
      <c r="G2672" s="53">
        <v>0</v>
      </c>
      <c r="H2672" s="51" t="str">
        <f>TEXT(tblLaborEntries[[#This Row],[Work date serial]]-WEEKDAY(tblLaborEntries[[#This Row],[Work date serial]],3),"yyyy-mm-dd")</f>
        <v>2025-12-08</v>
      </c>
      <c r="I2672" s="64">
        <f>DATEVALUE(tblLaborEntries[[#This Row],[Work date]])</f>
        <v>46002.0</v>
      </c>
    </row>
    <row r="2673" spans="1:9" ht="15" x14ac:dyDescent="0.25">
      <c r="A2673" s="53" t="inlineStr">
        <is>
          <t>LAB-002672</t>
        </is>
      </c>
      <c r="B2673" s="53" t="inlineStr">
        <is>
          <t>WP-01172</t>
        </is>
      </c>
      <c r="C2673" s="53" t="inlineStr">
        <is>
          <t>TECH-020</t>
        </is>
      </c>
      <c r="D2673" s="53" t="inlineStr">
        <is>
          <t>Avionics</t>
        </is>
      </c>
      <c r="E2673" s="53" t="inlineStr">
        <is>
          <t>2025-12-12</t>
        </is>
      </c>
      <c r="F2673" s="53">
        <v>4.3</v>
      </c>
      <c r="G2673" s="53">
        <v>4</v>
      </c>
      <c r="H2673" s="51" t="str">
        <f>TEXT(tblLaborEntries[[#This Row],[Work date serial]]-WEEKDAY(tblLaborEntries[[#This Row],[Work date serial]],3),"yyyy-mm-dd")</f>
        <v>2025-12-08</v>
      </c>
      <c r="I2673" s="64">
        <f>DATEVALUE(tblLaborEntries[[#This Row],[Work date]])</f>
        <v>46003.0</v>
      </c>
    </row>
    <row r="2674" spans="1:9" ht="15" x14ac:dyDescent="0.25">
      <c r="A2674" s="53" t="inlineStr">
        <is>
          <t>LAB-002673</t>
        </is>
      </c>
      <c r="B2674" s="53" t="inlineStr">
        <is>
          <t>WP-01172</t>
        </is>
      </c>
      <c r="C2674" s="53" t="inlineStr">
        <is>
          <t>TECH-008</t>
        </is>
      </c>
      <c r="D2674" s="53" t="inlineStr">
        <is>
          <t>Avionics</t>
        </is>
      </c>
      <c r="E2674" s="53" t="inlineStr">
        <is>
          <t>2025-12-13</t>
        </is>
      </c>
      <c r="F2674" s="53">
        <v>3</v>
      </c>
      <c r="G2674" s="53">
        <v>0</v>
      </c>
      <c r="H2674" s="51" t="str">
        <f>TEXT(tblLaborEntries[[#This Row],[Work date serial]]-WEEKDAY(tblLaborEntries[[#This Row],[Work date serial]],3),"yyyy-mm-dd")</f>
        <v>2025-12-08</v>
      </c>
      <c r="I2674" s="64">
        <f>DATEVALUE(tblLaborEntries[[#This Row],[Work date]])</f>
        <v>46004.0</v>
      </c>
    </row>
    <row r="2675" spans="1:9" ht="15" x14ac:dyDescent="0.25">
      <c r="A2675" s="53" t="inlineStr">
        <is>
          <t>LAB-002674</t>
        </is>
      </c>
      <c r="B2675" s="53" t="inlineStr">
        <is>
          <t>WP-01173</t>
        </is>
      </c>
      <c r="C2675" s="53" t="inlineStr">
        <is>
          <t>TECH-006</t>
        </is>
      </c>
      <c r="D2675" s="53" t="inlineStr">
        <is>
          <t>Powerplant</t>
        </is>
      </c>
      <c r="E2675" s="53" t="inlineStr">
        <is>
          <t>2024-09-22</t>
        </is>
      </c>
      <c r="F2675" s="53">
        <v>6.2</v>
      </c>
      <c r="G2675" s="53">
        <v>0</v>
      </c>
      <c r="H2675" s="51" t="str">
        <f>TEXT(tblLaborEntries[[#This Row],[Work date serial]]-WEEKDAY(tblLaborEntries[[#This Row],[Work date serial]],3),"yyyy-mm-dd")</f>
        <v>2024-09-16</v>
      </c>
      <c r="I2675" s="64">
        <f>DATEVALUE(tblLaborEntries[[#This Row],[Work date]])</f>
        <v>45557.0</v>
      </c>
    </row>
    <row r="2676" spans="1:9" ht="15" x14ac:dyDescent="0.25">
      <c r="A2676" s="53" t="inlineStr">
        <is>
          <t>LAB-002675</t>
        </is>
      </c>
      <c r="B2676" s="53" t="inlineStr">
        <is>
          <t>WP-01173</t>
        </is>
      </c>
      <c r="C2676" s="53" t="inlineStr">
        <is>
          <t>TECH-042</t>
        </is>
      </c>
      <c r="D2676" s="53" t="inlineStr">
        <is>
          <t>Powerplant</t>
        </is>
      </c>
      <c r="E2676" s="53" t="inlineStr">
        <is>
          <t>2024-09-22</t>
        </is>
      </c>
      <c r="F2676" s="53">
        <v>12</v>
      </c>
      <c r="G2676" s="53">
        <v>4</v>
      </c>
      <c r="H2676" s="51" t="str">
        <f>TEXT(tblLaborEntries[[#This Row],[Work date serial]]-WEEKDAY(tblLaborEntries[[#This Row],[Work date serial]],3),"yyyy-mm-dd")</f>
        <v>2024-09-16</v>
      </c>
      <c r="I2676" s="64">
        <f>DATEVALUE(tblLaborEntries[[#This Row],[Work date]])</f>
        <v>45557.0</v>
      </c>
    </row>
    <row r="2677" spans="1:9" ht="15" x14ac:dyDescent="0.25">
      <c r="A2677" s="53" t="inlineStr">
        <is>
          <t>LAB-002676</t>
        </is>
      </c>
      <c r="B2677" s="53" t="inlineStr">
        <is>
          <t>WP-01174</t>
        </is>
      </c>
      <c r="C2677" s="53" t="inlineStr">
        <is>
          <t>TECH-057</t>
        </is>
      </c>
      <c r="D2677" s="53" t="inlineStr">
        <is>
          <t>Hydraulics</t>
        </is>
      </c>
      <c r="E2677" s="53" t="inlineStr">
        <is>
          <t>2024-03-30</t>
        </is>
      </c>
      <c r="F2677" s="53">
        <v>4.6</v>
      </c>
      <c r="G2677" s="53">
        <v>0</v>
      </c>
      <c r="H2677" s="51" t="str">
        <f>TEXT(tblLaborEntries[[#This Row],[Work date serial]]-WEEKDAY(tblLaborEntries[[#This Row],[Work date serial]],3),"yyyy-mm-dd")</f>
        <v>2024-03-25</v>
      </c>
      <c r="I2677" s="64">
        <f>DATEVALUE(tblLaborEntries[[#This Row],[Work date]])</f>
        <v>45381.0</v>
      </c>
    </row>
    <row r="2678" spans="1:9" ht="15" x14ac:dyDescent="0.25">
      <c r="A2678" s="53" t="inlineStr">
        <is>
          <t>LAB-002677</t>
        </is>
      </c>
      <c r="B2678" s="53" t="inlineStr">
        <is>
          <t>WP-01174</t>
        </is>
      </c>
      <c r="C2678" s="53" t="inlineStr">
        <is>
          <t>TECH-033</t>
        </is>
      </c>
      <c r="D2678" s="53" t="inlineStr">
        <is>
          <t>Hydraulics</t>
        </is>
      </c>
      <c r="E2678" s="53" t="inlineStr">
        <is>
          <t>2024-03-31</t>
        </is>
      </c>
      <c r="F2678" s="53">
        <v>6.4</v>
      </c>
      <c r="G2678" s="53">
        <v>0</v>
      </c>
      <c r="H2678" s="51" t="str">
        <f>TEXT(tblLaborEntries[[#This Row],[Work date serial]]-WEEKDAY(tblLaborEntries[[#This Row],[Work date serial]],3),"yyyy-mm-dd")</f>
        <v>2024-03-25</v>
      </c>
      <c r="I2678" s="64">
        <f>DATEVALUE(tblLaborEntries[[#This Row],[Work date]])</f>
        <v>45382.0</v>
      </c>
    </row>
    <row r="2679" spans="1:9" ht="15" x14ac:dyDescent="0.25">
      <c r="A2679" s="53" t="inlineStr">
        <is>
          <t>LAB-002678</t>
        </is>
      </c>
      <c r="B2679" s="53" t="inlineStr">
        <is>
          <t>WP-01174</t>
        </is>
      </c>
      <c r="C2679" s="53" t="inlineStr">
        <is>
          <t>TECH-075</t>
        </is>
      </c>
      <c r="D2679" s="53" t="inlineStr">
        <is>
          <t>Hydraulics</t>
        </is>
      </c>
      <c r="E2679" s="53" t="inlineStr">
        <is>
          <t>2024-04-01</t>
        </is>
      </c>
      <c r="F2679" s="53">
        <v>5.6</v>
      </c>
      <c r="G2679" s="53">
        <v>0</v>
      </c>
      <c r="H2679" s="51" t="str">
        <f>TEXT(tblLaborEntries[[#This Row],[Work date serial]]-WEEKDAY(tblLaborEntries[[#This Row],[Work date serial]],3),"yyyy-mm-dd")</f>
        <v>2024-04-01</v>
      </c>
      <c r="I2679" s="64">
        <f>DATEVALUE(tblLaborEntries[[#This Row],[Work date]])</f>
        <v>45383.0</v>
      </c>
    </row>
    <row r="2680" spans="1:9" ht="15" x14ac:dyDescent="0.25">
      <c r="A2680" s="53" t="inlineStr">
        <is>
          <t>LAB-002679</t>
        </is>
      </c>
      <c r="B2680" s="53" t="inlineStr">
        <is>
          <t>WP-01175</t>
        </is>
      </c>
      <c r="C2680" s="53" t="inlineStr">
        <is>
          <t>TECH-026</t>
        </is>
      </c>
      <c r="D2680" s="53" t="inlineStr">
        <is>
          <t>Avionics</t>
        </is>
      </c>
      <c r="E2680" s="53" t="inlineStr">
        <is>
          <t>2024-03-06</t>
        </is>
      </c>
      <c r="F2680" s="53">
        <v>2.2</v>
      </c>
      <c r="G2680" s="53">
        <v>0</v>
      </c>
      <c r="H2680" s="51" t="str">
        <f>TEXT(tblLaborEntries[[#This Row],[Work date serial]]-WEEKDAY(tblLaborEntries[[#This Row],[Work date serial]],3),"yyyy-mm-dd")</f>
        <v>2024-03-04</v>
      </c>
      <c r="I2680" s="64">
        <f>DATEVALUE(tblLaborEntries[[#This Row],[Work date]])</f>
        <v>45357.0</v>
      </c>
    </row>
    <row r="2681" spans="1:9" ht="15" x14ac:dyDescent="0.25">
      <c r="A2681" s="53" t="inlineStr">
        <is>
          <t>LAB-002680</t>
        </is>
      </c>
      <c r="B2681" s="53" t="inlineStr">
        <is>
          <t>WP-01175</t>
        </is>
      </c>
      <c r="C2681" s="53" t="inlineStr">
        <is>
          <t>TECH-062</t>
        </is>
      </c>
      <c r="D2681" s="53" t="inlineStr">
        <is>
          <t>Avionics</t>
        </is>
      </c>
      <c r="E2681" s="53" t="inlineStr">
        <is>
          <t>2024-03-07</t>
        </is>
      </c>
      <c r="F2681" s="53">
        <v>3.3</v>
      </c>
      <c r="G2681" s="53">
        <v>0</v>
      </c>
      <c r="H2681" s="51" t="str">
        <f>TEXT(tblLaborEntries[[#This Row],[Work date serial]]-WEEKDAY(tblLaborEntries[[#This Row],[Work date serial]],3),"yyyy-mm-dd")</f>
        <v>2024-03-04</v>
      </c>
      <c r="I2681" s="64">
        <f>DATEVALUE(tblLaborEntries[[#This Row],[Work date]])</f>
        <v>45358.0</v>
      </c>
    </row>
    <row r="2682" spans="1:9" ht="15" x14ac:dyDescent="0.25">
      <c r="A2682" s="53" t="inlineStr">
        <is>
          <t>LAB-002681</t>
        </is>
      </c>
      <c r="B2682" s="53" t="inlineStr">
        <is>
          <t>WP-01175</t>
        </is>
      </c>
      <c r="C2682" s="53" t="inlineStr">
        <is>
          <t>TECH-014</t>
        </is>
      </c>
      <c r="D2682" s="53" t="inlineStr">
        <is>
          <t>Avionics</t>
        </is>
      </c>
      <c r="E2682" s="53" t="inlineStr">
        <is>
          <t>2024-03-08</t>
        </is>
      </c>
      <c r="F2682" s="53">
        <v>2.5</v>
      </c>
      <c r="G2682" s="53">
        <v>0</v>
      </c>
      <c r="H2682" s="51" t="str">
        <f>TEXT(tblLaborEntries[[#This Row],[Work date serial]]-WEEKDAY(tblLaborEntries[[#This Row],[Work date serial]],3),"yyyy-mm-dd")</f>
        <v>2024-03-04</v>
      </c>
      <c r="I2682" s="64">
        <f>DATEVALUE(tblLaborEntries[[#This Row],[Work date]])</f>
        <v>45359.0</v>
      </c>
    </row>
    <row r="2683" spans="1:9" ht="15" x14ac:dyDescent="0.25">
      <c r="A2683" s="53" t="inlineStr">
        <is>
          <t>LAB-002682</t>
        </is>
      </c>
      <c r="B2683" s="53" t="inlineStr">
        <is>
          <t>WP-01176</t>
        </is>
      </c>
      <c r="C2683" s="53" t="inlineStr">
        <is>
          <t>TECH-069</t>
        </is>
      </c>
      <c r="D2683" s="53" t="inlineStr">
        <is>
          <t>Hydraulics</t>
        </is>
      </c>
      <c r="E2683" s="53" t="inlineStr">
        <is>
          <t>2025-05-09</t>
        </is>
      </c>
      <c r="F2683" s="53">
        <v>8.2</v>
      </c>
      <c r="G2683" s="53">
        <v>0.2</v>
      </c>
      <c r="H2683" s="51" t="str">
        <f>TEXT(tblLaborEntries[[#This Row],[Work date serial]]-WEEKDAY(tblLaborEntries[[#This Row],[Work date serial]],3),"yyyy-mm-dd")</f>
        <v>2025-05-05</v>
      </c>
      <c r="I2683" s="64">
        <f>DATEVALUE(tblLaborEntries[[#This Row],[Work date]])</f>
        <v>45786.0</v>
      </c>
    </row>
    <row r="2684" spans="1:9" ht="15" x14ac:dyDescent="0.25">
      <c r="A2684" s="53" t="inlineStr">
        <is>
          <t>LAB-002683</t>
        </is>
      </c>
      <c r="B2684" s="53" t="inlineStr">
        <is>
          <t>WP-01176</t>
        </is>
      </c>
      <c r="C2684" s="53" t="inlineStr">
        <is>
          <t>TECH-003</t>
        </is>
      </c>
      <c r="D2684" s="53" t="inlineStr">
        <is>
          <t>Hydraulics</t>
        </is>
      </c>
      <c r="E2684" s="53" t="inlineStr">
        <is>
          <t>2025-05-10</t>
        </is>
      </c>
      <c r="F2684" s="53">
        <v>0.5</v>
      </c>
      <c r="G2684" s="53">
        <v>0</v>
      </c>
      <c r="H2684" s="51" t="str">
        <f>TEXT(tblLaborEntries[[#This Row],[Work date serial]]-WEEKDAY(tblLaborEntries[[#This Row],[Work date serial]],3),"yyyy-mm-dd")</f>
        <v>2025-05-05</v>
      </c>
      <c r="I2684" s="64">
        <f>DATEVALUE(tblLaborEntries[[#This Row],[Work date]])</f>
        <v>45787.0</v>
      </c>
    </row>
    <row r="2685" spans="1:9" ht="15" x14ac:dyDescent="0.25">
      <c r="A2685" s="53" t="inlineStr">
        <is>
          <t>LAB-002684</t>
        </is>
      </c>
      <c r="B2685" s="53" t="inlineStr">
        <is>
          <t>WP-01176</t>
        </is>
      </c>
      <c r="C2685" s="53" t="inlineStr">
        <is>
          <t>TECH-057</t>
        </is>
      </c>
      <c r="D2685" s="53" t="inlineStr">
        <is>
          <t>Hydraulics</t>
        </is>
      </c>
      <c r="E2685" s="53" t="inlineStr">
        <is>
          <t>2025-05-10</t>
        </is>
      </c>
      <c r="F2685" s="53">
        <v>12</v>
      </c>
      <c r="G2685" s="53">
        <v>4</v>
      </c>
      <c r="H2685" s="51" t="str">
        <f>TEXT(tblLaborEntries[[#This Row],[Work date serial]]-WEEKDAY(tblLaborEntries[[#This Row],[Work date serial]],3),"yyyy-mm-dd")</f>
        <v>2025-05-05</v>
      </c>
      <c r="I2685" s="64">
        <f>DATEVALUE(tblLaborEntries[[#This Row],[Work date]])</f>
        <v>45787.0</v>
      </c>
    </row>
    <row r="2686" spans="1:9" ht="15" x14ac:dyDescent="0.25">
      <c r="A2686" s="53" t="inlineStr">
        <is>
          <t>LAB-002685</t>
        </is>
      </c>
      <c r="B2686" s="53" t="inlineStr">
        <is>
          <t>WP-01177</t>
        </is>
      </c>
      <c r="C2686" s="53" t="inlineStr">
        <is>
          <t>TECH-020</t>
        </is>
      </c>
      <c r="D2686" s="53" t="inlineStr">
        <is>
          <t>Avionics</t>
        </is>
      </c>
      <c r="E2686" s="53" t="inlineStr">
        <is>
          <t>2024-01-14</t>
        </is>
      </c>
      <c r="F2686" s="53">
        <v>1.4</v>
      </c>
      <c r="G2686" s="53">
        <v>0</v>
      </c>
      <c r="H2686" s="51" t="str">
        <f>TEXT(tblLaborEntries[[#This Row],[Work date serial]]-WEEKDAY(tblLaborEntries[[#This Row],[Work date serial]],3),"yyyy-mm-dd")</f>
        <v>2024-01-08</v>
      </c>
      <c r="I2686" s="64">
        <f>DATEVALUE(tblLaborEntries[[#This Row],[Work date]])</f>
        <v>45305.0</v>
      </c>
    </row>
    <row r="2687" spans="1:9" ht="15" x14ac:dyDescent="0.25">
      <c r="A2687" s="53" t="inlineStr">
        <is>
          <t>LAB-002686</t>
        </is>
      </c>
      <c r="B2687" s="53" t="inlineStr">
        <is>
          <t>WP-01177</t>
        </is>
      </c>
      <c r="C2687" s="53" t="inlineStr">
        <is>
          <t>TECH-062</t>
        </is>
      </c>
      <c r="D2687" s="53" t="inlineStr">
        <is>
          <t>Avionics</t>
        </is>
      </c>
      <c r="E2687" s="53" t="inlineStr">
        <is>
          <t>2024-01-15</t>
        </is>
      </c>
      <c r="F2687" s="53">
        <v>1.3</v>
      </c>
      <c r="G2687" s="53">
        <v>0</v>
      </c>
      <c r="H2687" s="51" t="str">
        <f>TEXT(tblLaborEntries[[#This Row],[Work date serial]]-WEEKDAY(tblLaborEntries[[#This Row],[Work date serial]],3),"yyyy-mm-dd")</f>
        <v>2024-01-15</v>
      </c>
      <c r="I2687" s="64">
        <f>DATEVALUE(tblLaborEntries[[#This Row],[Work date]])</f>
        <v>45306.0</v>
      </c>
    </row>
    <row r="2688" spans="1:9" ht="15" x14ac:dyDescent="0.25">
      <c r="A2688" s="53" t="inlineStr">
        <is>
          <t>LAB-002687</t>
        </is>
      </c>
      <c r="B2688" s="53" t="inlineStr">
        <is>
          <t>WP-01178</t>
        </is>
      </c>
      <c r="C2688" s="53" t="inlineStr">
        <is>
          <t>TECH-024</t>
        </is>
      </c>
      <c r="D2688" s="53" t="inlineStr">
        <is>
          <t>Powerplant</t>
        </is>
      </c>
      <c r="E2688" s="53" t="inlineStr">
        <is>
          <t>2024-12-29</t>
        </is>
      </c>
      <c r="F2688" s="53">
        <v>6.6</v>
      </c>
      <c r="G2688" s="53">
        <v>0</v>
      </c>
      <c r="H2688" s="51" t="str">
        <f>TEXT(tblLaborEntries[[#This Row],[Work date serial]]-WEEKDAY(tblLaborEntries[[#This Row],[Work date serial]],3),"yyyy-mm-dd")</f>
        <v>2024-12-23</v>
      </c>
      <c r="I2688" s="64">
        <f>DATEVALUE(tblLaborEntries[[#This Row],[Work date]])</f>
        <v>45655.0</v>
      </c>
    </row>
    <row r="2689" spans="1:9" ht="15" x14ac:dyDescent="0.25">
      <c r="A2689" s="53" t="inlineStr">
        <is>
          <t>LAB-002688</t>
        </is>
      </c>
      <c r="B2689" s="53" t="inlineStr">
        <is>
          <t>WP-01179</t>
        </is>
      </c>
      <c r="C2689" s="53" t="inlineStr">
        <is>
          <t>TECH-038</t>
        </is>
      </c>
      <c r="D2689" s="53" t="inlineStr">
        <is>
          <t>Avionics</t>
        </is>
      </c>
      <c r="E2689" s="53" t="inlineStr">
        <is>
          <t>2025-11-03</t>
        </is>
      </c>
      <c r="F2689" s="53">
        <v>3.8</v>
      </c>
      <c r="G2689" s="53">
        <v>0</v>
      </c>
      <c r="H2689" s="51" t="str">
        <f>TEXT(tblLaborEntries[[#This Row],[Work date serial]]-WEEKDAY(tblLaborEntries[[#This Row],[Work date serial]],3),"yyyy-mm-dd")</f>
        <v>2025-11-03</v>
      </c>
      <c r="I2689" s="64">
        <f>DATEVALUE(tblLaborEntries[[#This Row],[Work date]])</f>
        <v>45964.0</v>
      </c>
    </row>
    <row r="2690" spans="1:9" ht="15" x14ac:dyDescent="0.25">
      <c r="A2690" s="53" t="inlineStr">
        <is>
          <t>LAB-002689</t>
        </is>
      </c>
      <c r="B2690" s="53" t="inlineStr">
        <is>
          <t>WP-01179</t>
        </is>
      </c>
      <c r="C2690" s="53" t="inlineStr">
        <is>
          <t>TECH-056</t>
        </is>
      </c>
      <c r="D2690" s="53" t="inlineStr">
        <is>
          <t>Avionics</t>
        </is>
      </c>
      <c r="E2690" s="53" t="inlineStr">
        <is>
          <t>2025-11-04</t>
        </is>
      </c>
      <c r="F2690" s="53">
        <v>5.2</v>
      </c>
      <c r="G2690" s="53">
        <v>0</v>
      </c>
      <c r="H2690" s="51" t="str">
        <f>TEXT(tblLaborEntries[[#This Row],[Work date serial]]-WEEKDAY(tblLaborEntries[[#This Row],[Work date serial]],3),"yyyy-mm-dd")</f>
        <v>2025-11-03</v>
      </c>
      <c r="I2690" s="64">
        <f>DATEVALUE(tblLaborEntries[[#This Row],[Work date]])</f>
        <v>45965.0</v>
      </c>
    </row>
    <row r="2691" spans="1:9" ht="15" x14ac:dyDescent="0.25">
      <c r="A2691" s="53" t="inlineStr">
        <is>
          <t>LAB-002690</t>
        </is>
      </c>
      <c r="B2691" s="53" t="inlineStr">
        <is>
          <t>WP-01179</t>
        </is>
      </c>
      <c r="C2691" s="53" t="inlineStr">
        <is>
          <t>TECH-056</t>
        </is>
      </c>
      <c r="D2691" s="53" t="inlineStr">
        <is>
          <t>Avionics</t>
        </is>
      </c>
      <c r="E2691" s="53" t="inlineStr">
        <is>
          <t>2025-11-05</t>
        </is>
      </c>
      <c r="F2691" s="53">
        <v>4.3</v>
      </c>
      <c r="G2691" s="53">
        <v>0</v>
      </c>
      <c r="H2691" s="51" t="str">
        <f>TEXT(tblLaborEntries[[#This Row],[Work date serial]]-WEEKDAY(tblLaborEntries[[#This Row],[Work date serial]],3),"yyyy-mm-dd")</f>
        <v>2025-11-03</v>
      </c>
      <c r="I2691" s="64">
        <f>DATEVALUE(tblLaborEntries[[#This Row],[Work date]])</f>
        <v>45966.0</v>
      </c>
    </row>
    <row r="2692" spans="1:9" ht="15" x14ac:dyDescent="0.25">
      <c r="A2692" s="53" t="inlineStr">
        <is>
          <t>LAB-002691</t>
        </is>
      </c>
      <c r="B2692" s="53" t="inlineStr">
        <is>
          <t>WP-01180</t>
        </is>
      </c>
      <c r="C2692" s="53" t="inlineStr">
        <is>
          <t>TECH-061</t>
        </is>
      </c>
      <c r="D2692" s="53" t="inlineStr">
        <is>
          <t>Airframe</t>
        </is>
      </c>
      <c r="E2692" s="53" t="inlineStr">
        <is>
          <t>2025-04-02</t>
        </is>
      </c>
      <c r="F2692" s="53">
        <v>5.5</v>
      </c>
      <c r="G2692" s="53">
        <v>0.1</v>
      </c>
      <c r="H2692" s="51" t="str">
        <f>TEXT(tblLaborEntries[[#This Row],[Work date serial]]-WEEKDAY(tblLaborEntries[[#This Row],[Work date serial]],3),"yyyy-mm-dd")</f>
        <v>2025-03-31</v>
      </c>
      <c r="I2692" s="64">
        <f>DATEVALUE(tblLaborEntries[[#This Row],[Work date]])</f>
        <v>45749.0</v>
      </c>
    </row>
    <row r="2693" spans="1:9" ht="15" x14ac:dyDescent="0.25">
      <c r="A2693" s="53" t="inlineStr">
        <is>
          <t>LAB-002692</t>
        </is>
      </c>
      <c r="B2693" s="53" t="inlineStr">
        <is>
          <t>WP-01181</t>
        </is>
      </c>
      <c r="C2693" s="53" t="inlineStr">
        <is>
          <t>TECH-043</t>
        </is>
      </c>
      <c r="D2693" s="53" t="inlineStr">
        <is>
          <t>Airframe</t>
        </is>
      </c>
      <c r="E2693" s="53" t="inlineStr">
        <is>
          <t>2024-11-02</t>
        </is>
      </c>
      <c r="F2693" s="53">
        <v>2.8</v>
      </c>
      <c r="G2693" s="53">
        <v>0</v>
      </c>
      <c r="H2693" s="51" t="str">
        <f>TEXT(tblLaborEntries[[#This Row],[Work date serial]]-WEEKDAY(tblLaborEntries[[#This Row],[Work date serial]],3),"yyyy-mm-dd")</f>
        <v>2024-10-28</v>
      </c>
      <c r="I2693" s="64">
        <f>DATEVALUE(tblLaborEntries[[#This Row],[Work date]])</f>
        <v>45598.0</v>
      </c>
    </row>
    <row r="2694" spans="1:9" ht="15" x14ac:dyDescent="0.25">
      <c r="A2694" s="53" t="inlineStr">
        <is>
          <t>LAB-002693</t>
        </is>
      </c>
      <c r="B2694" s="53" t="inlineStr">
        <is>
          <t>WP-01181</t>
        </is>
      </c>
      <c r="C2694" s="53" t="inlineStr">
        <is>
          <t>TECH-043</t>
        </is>
      </c>
      <c r="D2694" s="53" t="inlineStr">
        <is>
          <t>Airframe</t>
        </is>
      </c>
      <c r="E2694" s="53" t="inlineStr">
        <is>
          <t>2024-11-03</t>
        </is>
      </c>
      <c r="F2694" s="53">
        <v>3.5</v>
      </c>
      <c r="G2694" s="53">
        <v>0</v>
      </c>
      <c r="H2694" s="51" t="str">
        <f>TEXT(tblLaborEntries[[#This Row],[Work date serial]]-WEEKDAY(tblLaborEntries[[#This Row],[Work date serial]],3),"yyyy-mm-dd")</f>
        <v>2024-10-28</v>
      </c>
      <c r="I2694" s="64">
        <f>DATEVALUE(tblLaborEntries[[#This Row],[Work date]])</f>
        <v>45599.0</v>
      </c>
    </row>
    <row r="2695" spans="1:9" ht="15" x14ac:dyDescent="0.25">
      <c r="A2695" s="53" t="inlineStr">
        <is>
          <t>LAB-002694</t>
        </is>
      </c>
      <c r="B2695" s="53" t="inlineStr">
        <is>
          <t>WP-01182</t>
        </is>
      </c>
      <c r="C2695" s="53" t="inlineStr">
        <is>
          <t>TECH-008</t>
        </is>
      </c>
      <c r="D2695" s="53" t="inlineStr">
        <is>
          <t>Avionics</t>
        </is>
      </c>
      <c r="E2695" s="53" t="inlineStr">
        <is>
          <t>2025-07-16</t>
        </is>
      </c>
      <c r="F2695" s="53">
        <v>3.4</v>
      </c>
      <c r="G2695" s="53">
        <v>0</v>
      </c>
      <c r="H2695" s="51" t="str">
        <f>TEXT(tblLaborEntries[[#This Row],[Work date serial]]-WEEKDAY(tblLaborEntries[[#This Row],[Work date serial]],3),"yyyy-mm-dd")</f>
        <v>2025-07-14</v>
      </c>
      <c r="I2695" s="64">
        <f>DATEVALUE(tblLaborEntries[[#This Row],[Work date]])</f>
        <v>45854.0</v>
      </c>
    </row>
    <row r="2696" spans="1:9" ht="15" x14ac:dyDescent="0.25">
      <c r="A2696" s="53" t="inlineStr">
        <is>
          <t>LAB-002695</t>
        </is>
      </c>
      <c r="B2696" s="53" t="inlineStr">
        <is>
          <t>WP-01182</t>
        </is>
      </c>
      <c r="C2696" s="53" t="inlineStr">
        <is>
          <t>TECH-002</t>
        </is>
      </c>
      <c r="D2696" s="53" t="inlineStr">
        <is>
          <t>Avionics</t>
        </is>
      </c>
      <c r="E2696" s="53" t="inlineStr">
        <is>
          <t>2025-07-17</t>
        </is>
      </c>
      <c r="F2696" s="53">
        <v>2.6</v>
      </c>
      <c r="G2696" s="53">
        <v>0</v>
      </c>
      <c r="H2696" s="51" t="str">
        <f>TEXT(tblLaborEntries[[#This Row],[Work date serial]]-WEEKDAY(tblLaborEntries[[#This Row],[Work date serial]],3),"yyyy-mm-dd")</f>
        <v>2025-07-14</v>
      </c>
      <c r="I2696" s="64">
        <f>DATEVALUE(tblLaborEntries[[#This Row],[Work date]])</f>
        <v>45855.0</v>
      </c>
    </row>
    <row r="2697" spans="1:9" ht="15" x14ac:dyDescent="0.25">
      <c r="A2697" s="53" t="inlineStr">
        <is>
          <t>LAB-002696</t>
        </is>
      </c>
      <c r="B2697" s="53" t="inlineStr">
        <is>
          <t>WP-01183</t>
        </is>
      </c>
      <c r="C2697" s="53" t="inlineStr">
        <is>
          <t>TECH-001</t>
        </is>
      </c>
      <c r="D2697" s="53" t="inlineStr">
        <is>
          <t>Airframe</t>
        </is>
      </c>
      <c r="E2697" s="53" t="inlineStr">
        <is>
          <t>2024-01-22</t>
        </is>
      </c>
      <c r="F2697" s="53">
        <v>2</v>
      </c>
      <c r="G2697" s="53">
        <v>0</v>
      </c>
      <c r="H2697" s="51" t="str">
        <f>TEXT(tblLaborEntries[[#This Row],[Work date serial]]-WEEKDAY(tblLaborEntries[[#This Row],[Work date serial]],3),"yyyy-mm-dd")</f>
        <v>2024-01-22</v>
      </c>
      <c r="I2697" s="64">
        <f>DATEVALUE(tblLaborEntries[[#This Row],[Work date]])</f>
        <v>45313.0</v>
      </c>
    </row>
    <row r="2698" spans="1:9" ht="15" x14ac:dyDescent="0.25">
      <c r="A2698" s="53" t="inlineStr">
        <is>
          <t>LAB-002697</t>
        </is>
      </c>
      <c r="B2698" s="53" t="inlineStr">
        <is>
          <t>WP-01183</t>
        </is>
      </c>
      <c r="C2698" s="53" t="inlineStr">
        <is>
          <t>TECH-007</t>
        </is>
      </c>
      <c r="D2698" s="53" t="inlineStr">
        <is>
          <t>Airframe</t>
        </is>
      </c>
      <c r="E2698" s="53" t="inlineStr">
        <is>
          <t>2024-01-23</t>
        </is>
      </c>
      <c r="F2698" s="53">
        <v>1.6</v>
      </c>
      <c r="G2698" s="53">
        <v>0</v>
      </c>
      <c r="H2698" s="51" t="str">
        <f>TEXT(tblLaborEntries[[#This Row],[Work date serial]]-WEEKDAY(tblLaborEntries[[#This Row],[Work date serial]],3),"yyyy-mm-dd")</f>
        <v>2024-01-22</v>
      </c>
      <c r="I2698" s="64">
        <f>DATEVALUE(tblLaborEntries[[#This Row],[Work date]])</f>
        <v>45314.0</v>
      </c>
    </row>
    <row r="2699" spans="1:9" ht="15" x14ac:dyDescent="0.25">
      <c r="A2699" s="53" t="inlineStr">
        <is>
          <t>LAB-002698</t>
        </is>
      </c>
      <c r="B2699" s="53" t="inlineStr">
        <is>
          <t>WP-01184</t>
        </is>
      </c>
      <c r="C2699" s="53" t="inlineStr">
        <is>
          <t>TECH-037</t>
        </is>
      </c>
      <c r="D2699" s="53" t="inlineStr">
        <is>
          <t>Airframe</t>
        </is>
      </c>
      <c r="E2699" s="53" t="inlineStr">
        <is>
          <t>2024-02-05</t>
        </is>
      </c>
      <c r="F2699" s="53">
        <v>4.2</v>
      </c>
      <c r="G2699" s="53">
        <v>0</v>
      </c>
      <c r="H2699" s="51" t="str">
        <f>TEXT(tblLaborEntries[[#This Row],[Work date serial]]-WEEKDAY(tblLaborEntries[[#This Row],[Work date serial]],3),"yyyy-mm-dd")</f>
        <v>2024-02-05</v>
      </c>
      <c r="I2699" s="64">
        <f>DATEVALUE(tblLaborEntries[[#This Row],[Work date]])</f>
        <v>45327.0</v>
      </c>
    </row>
    <row r="2700" spans="1:9" ht="15" x14ac:dyDescent="0.25">
      <c r="A2700" s="53" t="inlineStr">
        <is>
          <t>LAB-002699</t>
        </is>
      </c>
      <c r="B2700" s="53" t="inlineStr">
        <is>
          <t>WP-01185</t>
        </is>
      </c>
      <c r="C2700" s="53" t="inlineStr">
        <is>
          <t>TECH-014</t>
        </is>
      </c>
      <c r="D2700" s="53" t="inlineStr">
        <is>
          <t>Avionics</t>
        </is>
      </c>
      <c r="E2700" s="53" t="inlineStr">
        <is>
          <t>2025-03-18</t>
        </is>
      </c>
      <c r="F2700" s="53">
        <v>4</v>
      </c>
      <c r="G2700" s="53">
        <v>0</v>
      </c>
      <c r="H2700" s="51" t="str">
        <f>TEXT(tblLaborEntries[[#This Row],[Work date serial]]-WEEKDAY(tblLaborEntries[[#This Row],[Work date serial]],3),"yyyy-mm-dd")</f>
        <v>2025-03-17</v>
      </c>
      <c r="I2700" s="64">
        <f>DATEVALUE(tblLaborEntries[[#This Row],[Work date]])</f>
        <v>45734.0</v>
      </c>
    </row>
    <row r="2701" spans="1:9" ht="15" x14ac:dyDescent="0.25">
      <c r="A2701" s="53" t="inlineStr">
        <is>
          <t>LAB-002700</t>
        </is>
      </c>
      <c r="B2701" s="53" t="inlineStr">
        <is>
          <t>WP-01185</t>
        </is>
      </c>
      <c r="C2701" s="53" t="inlineStr">
        <is>
          <t>TECH-050</t>
        </is>
      </c>
      <c r="D2701" s="53" t="inlineStr">
        <is>
          <t>Avionics</t>
        </is>
      </c>
      <c r="E2701" s="53" t="inlineStr">
        <is>
          <t>2025-03-19</t>
        </is>
      </c>
      <c r="F2701" s="53">
        <v>5.2</v>
      </c>
      <c r="G2701" s="53">
        <v>0</v>
      </c>
      <c r="H2701" s="51" t="str">
        <f>TEXT(tblLaborEntries[[#This Row],[Work date serial]]-WEEKDAY(tblLaborEntries[[#This Row],[Work date serial]],3),"yyyy-mm-dd")</f>
        <v>2025-03-17</v>
      </c>
      <c r="I2701" s="64">
        <f>DATEVALUE(tblLaborEntries[[#This Row],[Work date]])</f>
        <v>45735.0</v>
      </c>
    </row>
    <row r="2702" spans="1:9" ht="15" x14ac:dyDescent="0.25">
      <c r="A2702" s="53" t="inlineStr">
        <is>
          <t>LAB-002701</t>
        </is>
      </c>
      <c r="B2702" s="53" t="inlineStr">
        <is>
          <t>WP-01186</t>
        </is>
      </c>
      <c r="C2702" s="53" t="inlineStr">
        <is>
          <t>TECH-046</t>
        </is>
      </c>
      <c r="D2702" s="53" t="inlineStr">
        <is>
          <t>Electrical</t>
        </is>
      </c>
      <c r="E2702" s="53" t="inlineStr">
        <is>
          <t>2024-05-25</t>
        </is>
      </c>
      <c r="F2702" s="53">
        <v>4.2</v>
      </c>
      <c r="G2702" s="53">
        <v>0</v>
      </c>
      <c r="H2702" s="51" t="str">
        <f>TEXT(tblLaborEntries[[#This Row],[Work date serial]]-WEEKDAY(tblLaborEntries[[#This Row],[Work date serial]],3),"yyyy-mm-dd")</f>
        <v>2024-05-20</v>
      </c>
      <c r="I2702" s="64">
        <f>DATEVALUE(tblLaborEntries[[#This Row],[Work date]])</f>
        <v>45437.0</v>
      </c>
    </row>
    <row r="2703" spans="1:9" ht="15" x14ac:dyDescent="0.25">
      <c r="A2703" s="53" t="inlineStr">
        <is>
          <t>LAB-002702</t>
        </is>
      </c>
      <c r="B2703" s="53" t="inlineStr">
        <is>
          <t>WP-01186</t>
        </is>
      </c>
      <c r="C2703" s="53" t="inlineStr">
        <is>
          <t>TECH-034</t>
        </is>
      </c>
      <c r="D2703" s="53" t="inlineStr">
        <is>
          <t>Electrical</t>
        </is>
      </c>
      <c r="E2703" s="53" t="inlineStr">
        <is>
          <t>2024-05-26</t>
        </is>
      </c>
      <c r="F2703" s="53">
        <v>3</v>
      </c>
      <c r="G2703" s="53">
        <v>0</v>
      </c>
      <c r="H2703" s="51" t="str">
        <f>TEXT(tblLaborEntries[[#This Row],[Work date serial]]-WEEKDAY(tblLaborEntries[[#This Row],[Work date serial]],3),"yyyy-mm-dd")</f>
        <v>2024-05-20</v>
      </c>
      <c r="I2703" s="64">
        <f>DATEVALUE(tblLaborEntries[[#This Row],[Work date]])</f>
        <v>45438.0</v>
      </c>
    </row>
    <row r="2704" spans="1:9" ht="15" x14ac:dyDescent="0.25">
      <c r="A2704" s="53" t="inlineStr">
        <is>
          <t>LAB-002703</t>
        </is>
      </c>
      <c r="B2704" s="53" t="inlineStr">
        <is>
          <t>WP-01187</t>
        </is>
      </c>
      <c r="C2704" s="53" t="inlineStr">
        <is>
          <t>TECH-048</t>
        </is>
      </c>
      <c r="D2704" s="53" t="inlineStr">
        <is>
          <t>Powerplant</t>
        </is>
      </c>
      <c r="E2704" s="53" t="inlineStr">
        <is>
          <t>2024-03-12</t>
        </is>
      </c>
      <c r="F2704" s="53">
        <v>8.3</v>
      </c>
      <c r="G2704" s="53">
        <v>0.3</v>
      </c>
      <c r="H2704" s="51" t="str">
        <f>TEXT(tblLaborEntries[[#This Row],[Work date serial]]-WEEKDAY(tblLaborEntries[[#This Row],[Work date serial]],3),"yyyy-mm-dd")</f>
        <v>2024-03-11</v>
      </c>
      <c r="I2704" s="64">
        <f>DATEVALUE(tblLaborEntries[[#This Row],[Work date]])</f>
        <v>45363.0</v>
      </c>
    </row>
    <row r="2705" spans="1:9" ht="15" x14ac:dyDescent="0.25">
      <c r="A2705" s="53" t="inlineStr">
        <is>
          <t>LAB-002704</t>
        </is>
      </c>
      <c r="B2705" s="53" t="inlineStr">
        <is>
          <t>WP-01187</t>
        </is>
      </c>
      <c r="C2705" s="53" t="inlineStr">
        <is>
          <t>TECH-018</t>
        </is>
      </c>
      <c r="D2705" s="53" t="inlineStr">
        <is>
          <t>Powerplant</t>
        </is>
      </c>
      <c r="E2705" s="53" t="inlineStr">
        <is>
          <t>2024-03-13</t>
        </is>
      </c>
      <c r="F2705" s="53">
        <v>9.5</v>
      </c>
      <c r="G2705" s="53">
        <v>1.5</v>
      </c>
      <c r="H2705" s="51" t="str">
        <f>TEXT(tblLaborEntries[[#This Row],[Work date serial]]-WEEKDAY(tblLaborEntries[[#This Row],[Work date serial]],3),"yyyy-mm-dd")</f>
        <v>2024-03-11</v>
      </c>
      <c r="I2705" s="64">
        <f>DATEVALUE(tblLaborEntries[[#This Row],[Work date]])</f>
        <v>45364.0</v>
      </c>
    </row>
    <row r="2706" spans="1:9" ht="15" x14ac:dyDescent="0.25">
      <c r="A2706" s="53" t="inlineStr">
        <is>
          <t>LAB-002705</t>
        </is>
      </c>
      <c r="B2706" s="53" t="inlineStr">
        <is>
          <t>WP-01187</t>
        </is>
      </c>
      <c r="C2706" s="53" t="inlineStr">
        <is>
          <t>TECH-018</t>
        </is>
      </c>
      <c r="D2706" s="53" t="inlineStr">
        <is>
          <t>Powerplant</t>
        </is>
      </c>
      <c r="E2706" s="53" t="inlineStr">
        <is>
          <t>2024-03-14</t>
        </is>
      </c>
      <c r="F2706" s="53">
        <v>7.8</v>
      </c>
      <c r="G2706" s="53">
        <v>0</v>
      </c>
      <c r="H2706" s="51" t="str">
        <f>TEXT(tblLaborEntries[[#This Row],[Work date serial]]-WEEKDAY(tblLaborEntries[[#This Row],[Work date serial]],3),"yyyy-mm-dd")</f>
        <v>2024-03-11</v>
      </c>
      <c r="I2706" s="64">
        <f>DATEVALUE(tblLaborEntries[[#This Row],[Work date]])</f>
        <v>45365.0</v>
      </c>
    </row>
    <row r="2707" spans="1:9" ht="15" x14ac:dyDescent="0.25">
      <c r="A2707" s="53" t="inlineStr">
        <is>
          <t>LAB-002706</t>
        </is>
      </c>
      <c r="B2707" s="53" t="inlineStr">
        <is>
          <t>WP-01188</t>
        </is>
      </c>
      <c r="C2707" s="53" t="inlineStr">
        <is>
          <t>TECH-026</t>
        </is>
      </c>
      <c r="D2707" s="53" t="inlineStr">
        <is>
          <t>Avionics</t>
        </is>
      </c>
      <c r="E2707" s="53" t="inlineStr">
        <is>
          <t>2024-03-24</t>
        </is>
      </c>
      <c r="F2707" s="53">
        <v>2.2</v>
      </c>
      <c r="G2707" s="53">
        <v>0</v>
      </c>
      <c r="H2707" s="51" t="str">
        <f>TEXT(tblLaborEntries[[#This Row],[Work date serial]]-WEEKDAY(tblLaborEntries[[#This Row],[Work date serial]],3),"yyyy-mm-dd")</f>
        <v>2024-03-18</v>
      </c>
      <c r="I2707" s="64">
        <f>DATEVALUE(tblLaborEntries[[#This Row],[Work date]])</f>
        <v>45375.0</v>
      </c>
    </row>
    <row r="2708" spans="1:9" ht="15" x14ac:dyDescent="0.25">
      <c r="A2708" s="53" t="inlineStr">
        <is>
          <t>LAB-002707</t>
        </is>
      </c>
      <c r="B2708" s="53" t="inlineStr">
        <is>
          <t>WP-01188</t>
        </is>
      </c>
      <c r="C2708" s="53" t="inlineStr">
        <is>
          <t>TECH-038</t>
        </is>
      </c>
      <c r="D2708" s="53" t="inlineStr">
        <is>
          <t>Avionics</t>
        </is>
      </c>
      <c r="E2708" s="53" t="inlineStr">
        <is>
          <t>2024-03-25</t>
        </is>
      </c>
      <c r="F2708" s="53">
        <v>2.8</v>
      </c>
      <c r="G2708" s="53">
        <v>0</v>
      </c>
      <c r="H2708" s="51" t="str">
        <f>TEXT(tblLaborEntries[[#This Row],[Work date serial]]-WEEKDAY(tblLaborEntries[[#This Row],[Work date serial]],3),"yyyy-mm-dd")</f>
        <v>2024-03-25</v>
      </c>
      <c r="I2708" s="64">
        <f>DATEVALUE(tblLaborEntries[[#This Row],[Work date]])</f>
        <v>45376.0</v>
      </c>
    </row>
    <row r="2709" spans="1:9" ht="15" x14ac:dyDescent="0.25">
      <c r="A2709" s="53" t="inlineStr">
        <is>
          <t>LAB-002708</t>
        </is>
      </c>
      <c r="B2709" s="53" t="inlineStr">
        <is>
          <t>WP-01189</t>
        </is>
      </c>
      <c r="C2709" s="53" t="inlineStr">
        <is>
          <t>TECH-068</t>
        </is>
      </c>
      <c r="D2709" s="53" t="inlineStr">
        <is>
          <t>Avionics</t>
        </is>
      </c>
      <c r="E2709" s="53" t="inlineStr">
        <is>
          <t>2025-09-29</t>
        </is>
      </c>
      <c r="F2709" s="53">
        <v>4.5</v>
      </c>
      <c r="G2709" s="53">
        <v>0</v>
      </c>
      <c r="H2709" s="51" t="str">
        <f>TEXT(tblLaborEntries[[#This Row],[Work date serial]]-WEEKDAY(tblLaborEntries[[#This Row],[Work date serial]],3),"yyyy-mm-dd")</f>
        <v>2025-09-29</v>
      </c>
      <c r="I2709" s="64">
        <f>DATEVALUE(tblLaborEntries[[#This Row],[Work date]])</f>
        <v>45929.0</v>
      </c>
    </row>
    <row r="2710" spans="1:9" ht="15" x14ac:dyDescent="0.25">
      <c r="A2710" s="53" t="inlineStr">
        <is>
          <t>LAB-002709</t>
        </is>
      </c>
      <c r="B2710" s="53" t="inlineStr">
        <is>
          <t>WP-01190</t>
        </is>
      </c>
      <c r="C2710" s="53" t="inlineStr">
        <is>
          <t>TECH-014</t>
        </is>
      </c>
      <c r="D2710" s="53" t="inlineStr">
        <is>
          <t>Avionics</t>
        </is>
      </c>
      <c r="E2710" s="53" t="inlineStr">
        <is>
          <t>2024-10-11</t>
        </is>
      </c>
      <c r="F2710" s="53">
        <v>2.8</v>
      </c>
      <c r="G2710" s="53">
        <v>0</v>
      </c>
      <c r="H2710" s="51" t="str">
        <f>TEXT(tblLaborEntries[[#This Row],[Work date serial]]-WEEKDAY(tblLaborEntries[[#This Row],[Work date serial]],3),"yyyy-mm-dd")</f>
        <v>2024-10-07</v>
      </c>
      <c r="I2710" s="64">
        <f>DATEVALUE(tblLaborEntries[[#This Row],[Work date]])</f>
        <v>45576.0</v>
      </c>
    </row>
    <row r="2711" spans="1:9" ht="15" x14ac:dyDescent="0.25">
      <c r="A2711" s="53" t="inlineStr">
        <is>
          <t>LAB-002710</t>
        </is>
      </c>
      <c r="B2711" s="53" t="inlineStr">
        <is>
          <t>WP-01190</t>
        </is>
      </c>
      <c r="C2711" s="53" t="inlineStr">
        <is>
          <t>TECH-044</t>
        </is>
      </c>
      <c r="D2711" s="53" t="inlineStr">
        <is>
          <t>Avionics</t>
        </is>
      </c>
      <c r="E2711" s="53" t="inlineStr">
        <is>
          <t>2024-10-12</t>
        </is>
      </c>
      <c r="F2711" s="53">
        <v>2.5</v>
      </c>
      <c r="G2711" s="53">
        <v>0</v>
      </c>
      <c r="H2711" s="51" t="str">
        <f>TEXT(tblLaborEntries[[#This Row],[Work date serial]]-WEEKDAY(tblLaborEntries[[#This Row],[Work date serial]],3),"yyyy-mm-dd")</f>
        <v>2024-10-07</v>
      </c>
      <c r="I2711" s="64">
        <f>DATEVALUE(tblLaborEntries[[#This Row],[Work date]])</f>
        <v>45577.0</v>
      </c>
    </row>
    <row r="2712" spans="1:9" ht="15" x14ac:dyDescent="0.25">
      <c r="A2712" s="53" t="inlineStr">
        <is>
          <t>LAB-002711</t>
        </is>
      </c>
      <c r="B2712" s="53" t="inlineStr">
        <is>
          <t>WP-01191</t>
        </is>
      </c>
      <c r="C2712" s="53" t="inlineStr">
        <is>
          <t>TECH-013</t>
        </is>
      </c>
      <c r="D2712" s="53" t="inlineStr">
        <is>
          <t>Airframe</t>
        </is>
      </c>
      <c r="E2712" s="53" t="inlineStr">
        <is>
          <t>2024-08-02</t>
        </is>
      </c>
      <c r="F2712" s="53">
        <v>2.6</v>
      </c>
      <c r="G2712" s="53">
        <v>0</v>
      </c>
      <c r="H2712" s="51" t="str">
        <f>TEXT(tblLaborEntries[[#This Row],[Work date serial]]-WEEKDAY(tblLaborEntries[[#This Row],[Work date serial]],3),"yyyy-mm-dd")</f>
        <v>2024-07-29</v>
      </c>
      <c r="I2712" s="64">
        <f>DATEVALUE(tblLaborEntries[[#This Row],[Work date]])</f>
        <v>45506.0</v>
      </c>
    </row>
    <row r="2713" spans="1:9" ht="15" x14ac:dyDescent="0.25">
      <c r="A2713" s="53" t="inlineStr">
        <is>
          <t>LAB-002712</t>
        </is>
      </c>
      <c r="B2713" s="53" t="inlineStr">
        <is>
          <t>WP-01192</t>
        </is>
      </c>
      <c r="C2713" s="53" t="inlineStr">
        <is>
          <t>TECH-002</t>
        </is>
      </c>
      <c r="D2713" s="53" t="inlineStr">
        <is>
          <t>Avionics</t>
        </is>
      </c>
      <c r="E2713" s="53" t="inlineStr">
        <is>
          <t>2024-08-27</t>
        </is>
      </c>
      <c r="F2713" s="53">
        <v>10.9</v>
      </c>
      <c r="G2713" s="53">
        <v>2.9</v>
      </c>
      <c r="H2713" s="51" t="str">
        <f>TEXT(tblLaborEntries[[#This Row],[Work date serial]]-WEEKDAY(tblLaborEntries[[#This Row],[Work date serial]],3),"yyyy-mm-dd")</f>
        <v>2024-08-26</v>
      </c>
      <c r="I2713" s="64">
        <f>DATEVALUE(tblLaborEntries[[#This Row],[Work date]])</f>
        <v>45531.0</v>
      </c>
    </row>
    <row r="2714" spans="1:9" ht="15" x14ac:dyDescent="0.25">
      <c r="A2714" s="53" t="inlineStr">
        <is>
          <t>LAB-002713</t>
        </is>
      </c>
      <c r="B2714" s="53" t="inlineStr">
        <is>
          <t>WP-01193</t>
        </is>
      </c>
      <c r="C2714" s="53" t="inlineStr">
        <is>
          <t>TECH-046</t>
        </is>
      </c>
      <c r="D2714" s="53" t="inlineStr">
        <is>
          <t>Electrical</t>
        </is>
      </c>
      <c r="E2714" s="53" t="inlineStr">
        <is>
          <t>2025-05-23</t>
        </is>
      </c>
      <c r="F2714" s="53">
        <v>7.5</v>
      </c>
      <c r="G2714" s="53">
        <v>0</v>
      </c>
      <c r="H2714" s="51" t="str">
        <f>TEXT(tblLaborEntries[[#This Row],[Work date serial]]-WEEKDAY(tblLaborEntries[[#This Row],[Work date serial]],3),"yyyy-mm-dd")</f>
        <v>2025-05-19</v>
      </c>
      <c r="I2714" s="64">
        <f>DATEVALUE(tblLaborEntries[[#This Row],[Work date]])</f>
        <v>45800.0</v>
      </c>
    </row>
    <row r="2715" spans="1:9" ht="15" x14ac:dyDescent="0.25">
      <c r="A2715" s="53" t="inlineStr">
        <is>
          <t>LAB-002714</t>
        </is>
      </c>
      <c r="B2715" s="53" t="inlineStr">
        <is>
          <t>WP-01193</t>
        </is>
      </c>
      <c r="C2715" s="53" t="inlineStr">
        <is>
          <t>TECH-052</t>
        </is>
      </c>
      <c r="D2715" s="53" t="inlineStr">
        <is>
          <t>Electrical</t>
        </is>
      </c>
      <c r="E2715" s="53" t="inlineStr">
        <is>
          <t>2025-05-24</t>
        </is>
      </c>
      <c r="F2715" s="53">
        <v>6.9</v>
      </c>
      <c r="G2715" s="53">
        <v>0</v>
      </c>
      <c r="H2715" s="51" t="str">
        <f>TEXT(tblLaborEntries[[#This Row],[Work date serial]]-WEEKDAY(tblLaborEntries[[#This Row],[Work date serial]],3),"yyyy-mm-dd")</f>
        <v>2025-05-19</v>
      </c>
      <c r="I2715" s="64">
        <f>DATEVALUE(tblLaborEntries[[#This Row],[Work date]])</f>
        <v>45801.0</v>
      </c>
    </row>
    <row r="2716" spans="1:9" ht="15" x14ac:dyDescent="0.25">
      <c r="A2716" s="53" t="inlineStr">
        <is>
          <t>LAB-002715</t>
        </is>
      </c>
      <c r="B2716" s="53" t="inlineStr">
        <is>
          <t>WP-01194</t>
        </is>
      </c>
      <c r="C2716" s="53" t="inlineStr">
        <is>
          <t>TECH-006</t>
        </is>
      </c>
      <c r="D2716" s="53" t="inlineStr">
        <is>
          <t>Powerplant</t>
        </is>
      </c>
      <c r="E2716" s="53" t="inlineStr">
        <is>
          <t>2024-02-15</t>
        </is>
      </c>
      <c r="F2716" s="53">
        <v>12</v>
      </c>
      <c r="G2716" s="53">
        <v>4</v>
      </c>
      <c r="H2716" s="51" t="str">
        <f>TEXT(tblLaborEntries[[#This Row],[Work date serial]]-WEEKDAY(tblLaborEntries[[#This Row],[Work date serial]],3),"yyyy-mm-dd")</f>
        <v>2024-02-12</v>
      </c>
      <c r="I2716" s="64">
        <f>DATEVALUE(tblLaborEntries[[#This Row],[Work date]])</f>
        <v>45337.0</v>
      </c>
    </row>
    <row r="2717" spans="1:9" ht="15" x14ac:dyDescent="0.25">
      <c r="A2717" s="53" t="inlineStr">
        <is>
          <t>LAB-002716</t>
        </is>
      </c>
      <c r="B2717" s="53" t="inlineStr">
        <is>
          <t>WP-01194</t>
        </is>
      </c>
      <c r="C2717" s="53" t="inlineStr">
        <is>
          <t>TECH-018</t>
        </is>
      </c>
      <c r="D2717" s="53" t="inlineStr">
        <is>
          <t>Powerplant</t>
        </is>
      </c>
      <c r="E2717" s="53" t="inlineStr">
        <is>
          <t>2024-02-15</t>
        </is>
      </c>
      <c r="F2717" s="53">
        <v>1.3</v>
      </c>
      <c r="G2717" s="53">
        <v>0</v>
      </c>
      <c r="H2717" s="51" t="str">
        <f>TEXT(tblLaborEntries[[#This Row],[Work date serial]]-WEEKDAY(tblLaborEntries[[#This Row],[Work date serial]],3),"yyyy-mm-dd")</f>
        <v>2024-02-12</v>
      </c>
      <c r="I2717" s="64">
        <f>DATEVALUE(tblLaborEntries[[#This Row],[Work date]])</f>
        <v>45337.0</v>
      </c>
    </row>
    <row r="2718" spans="1:9" ht="15" x14ac:dyDescent="0.25">
      <c r="A2718" s="53" t="inlineStr">
        <is>
          <t>LAB-002717</t>
        </is>
      </c>
      <c r="B2718" s="53" t="inlineStr">
        <is>
          <t>WP-01195</t>
        </is>
      </c>
      <c r="C2718" s="53" t="inlineStr">
        <is>
          <t>TECH-005</t>
        </is>
      </c>
      <c r="D2718" s="53" t="inlineStr">
        <is>
          <t>Structures</t>
        </is>
      </c>
      <c r="E2718" s="53" t="inlineStr">
        <is>
          <t>2025-03-16</t>
        </is>
      </c>
      <c r="F2718" s="53">
        <v>8.2</v>
      </c>
      <c r="G2718" s="53">
        <v>0.2</v>
      </c>
      <c r="H2718" s="51" t="str">
        <f>TEXT(tblLaborEntries[[#This Row],[Work date serial]]-WEEKDAY(tblLaborEntries[[#This Row],[Work date serial]],3),"yyyy-mm-dd")</f>
        <v>2025-03-10</v>
      </c>
      <c r="I2718" s="64">
        <f>DATEVALUE(tblLaborEntries[[#This Row],[Work date]])</f>
        <v>45732.0</v>
      </c>
    </row>
    <row r="2719" spans="1:9" ht="15" x14ac:dyDescent="0.25">
      <c r="A2719" s="53" t="inlineStr">
        <is>
          <t>LAB-002718</t>
        </is>
      </c>
      <c r="B2719" s="53" t="inlineStr">
        <is>
          <t>WP-01195</t>
        </is>
      </c>
      <c r="C2719" s="53" t="inlineStr">
        <is>
          <t>TECH-023</t>
        </is>
      </c>
      <c r="D2719" s="53" t="inlineStr">
        <is>
          <t>Structures</t>
        </is>
      </c>
      <c r="E2719" s="53" t="inlineStr">
        <is>
          <t>2025-03-16</t>
        </is>
      </c>
      <c r="F2719" s="53">
        <v>12</v>
      </c>
      <c r="G2719" s="53">
        <v>4</v>
      </c>
      <c r="H2719" s="51" t="str">
        <f>TEXT(tblLaborEntries[[#This Row],[Work date serial]]-WEEKDAY(tblLaborEntries[[#This Row],[Work date serial]],3),"yyyy-mm-dd")</f>
        <v>2025-03-10</v>
      </c>
      <c r="I2719" s="64">
        <f>DATEVALUE(tblLaborEntries[[#This Row],[Work date]])</f>
        <v>45732.0</v>
      </c>
    </row>
    <row r="2720" spans="1:9" ht="15" x14ac:dyDescent="0.25">
      <c r="A2720" s="53" t="inlineStr">
        <is>
          <t>LAB-002719</t>
        </is>
      </c>
      <c r="B2720" s="53" t="inlineStr">
        <is>
          <t>WP-01195</t>
        </is>
      </c>
      <c r="C2720" s="53" t="inlineStr">
        <is>
          <t>TECH-005</t>
        </is>
      </c>
      <c r="D2720" s="53" t="inlineStr">
        <is>
          <t>Structures</t>
        </is>
      </c>
      <c r="E2720" s="53" t="inlineStr">
        <is>
          <t>2025-03-17</t>
        </is>
      </c>
      <c r="F2720" s="53">
        <v>12</v>
      </c>
      <c r="G2720" s="53">
        <v>4</v>
      </c>
      <c r="H2720" s="51" t="str">
        <f>TEXT(tblLaborEntries[[#This Row],[Work date serial]]-WEEKDAY(tblLaborEntries[[#This Row],[Work date serial]],3),"yyyy-mm-dd")</f>
        <v>2025-03-17</v>
      </c>
      <c r="I2720" s="64">
        <f>DATEVALUE(tblLaborEntries[[#This Row],[Work date]])</f>
        <v>45733.0</v>
      </c>
    </row>
    <row r="2721" spans="1:9" ht="15" x14ac:dyDescent="0.25">
      <c r="A2721" s="53" t="inlineStr">
        <is>
          <t>LAB-002720</t>
        </is>
      </c>
      <c r="B2721" s="53" t="inlineStr">
        <is>
          <t>WP-01195</t>
        </is>
      </c>
      <c r="C2721" s="53" t="inlineStr">
        <is>
          <t>TECH-011</t>
        </is>
      </c>
      <c r="D2721" s="53" t="inlineStr">
        <is>
          <t>Structures</t>
        </is>
      </c>
      <c r="E2721" s="53" t="inlineStr">
        <is>
          <t>2025-03-17</t>
        </is>
      </c>
      <c r="F2721" s="53">
        <v>2.2</v>
      </c>
      <c r="G2721" s="53">
        <v>0</v>
      </c>
      <c r="H2721" s="51" t="str">
        <f>TEXT(tblLaborEntries[[#This Row],[Work date serial]]-WEEKDAY(tblLaborEntries[[#This Row],[Work date serial]],3),"yyyy-mm-dd")</f>
        <v>2025-03-17</v>
      </c>
      <c r="I2721" s="64">
        <f>DATEVALUE(tblLaborEntries[[#This Row],[Work date]])</f>
        <v>45733.0</v>
      </c>
    </row>
    <row r="2722" spans="1:9" ht="15" x14ac:dyDescent="0.25">
      <c r="A2722" s="53" t="inlineStr">
        <is>
          <t>LAB-002721</t>
        </is>
      </c>
      <c r="B2722" s="53" t="inlineStr">
        <is>
          <t>WP-01195</t>
        </is>
      </c>
      <c r="C2722" s="53" t="inlineStr">
        <is>
          <t>TECH-017</t>
        </is>
      </c>
      <c r="D2722" s="53" t="inlineStr">
        <is>
          <t>Structures</t>
        </is>
      </c>
      <c r="E2722" s="53" t="inlineStr">
        <is>
          <t>2025-03-17</t>
        </is>
      </c>
      <c r="F2722" s="53">
        <v>12</v>
      </c>
      <c r="G2722" s="53">
        <v>4</v>
      </c>
      <c r="H2722" s="51" t="str">
        <f>TEXT(tblLaborEntries[[#This Row],[Work date serial]]-WEEKDAY(tblLaborEntries[[#This Row],[Work date serial]],3),"yyyy-mm-dd")</f>
        <v>2025-03-17</v>
      </c>
      <c r="I2722" s="64">
        <f>DATEVALUE(tblLaborEntries[[#This Row],[Work date]])</f>
        <v>45733.0</v>
      </c>
    </row>
    <row r="2723" spans="1:9" ht="15" x14ac:dyDescent="0.25">
      <c r="A2723" s="53" t="inlineStr">
        <is>
          <t>LAB-002722</t>
        </is>
      </c>
      <c r="B2723" s="53" t="inlineStr">
        <is>
          <t>WP-01196</t>
        </is>
      </c>
      <c r="C2723" s="53" t="inlineStr">
        <is>
          <t>TECH-019</t>
        </is>
      </c>
      <c r="D2723" s="53" t="inlineStr">
        <is>
          <t>Airframe</t>
        </is>
      </c>
      <c r="E2723" s="53" t="inlineStr">
        <is>
          <t>2024-07-03</t>
        </is>
      </c>
      <c r="F2723" s="53">
        <v>2.2</v>
      </c>
      <c r="G2723" s="53">
        <v>0</v>
      </c>
      <c r="H2723" s="51" t="str">
        <f>TEXT(tblLaborEntries[[#This Row],[Work date serial]]-WEEKDAY(tblLaborEntries[[#This Row],[Work date serial]],3),"yyyy-mm-dd")</f>
        <v>2024-07-01</v>
      </c>
      <c r="I2723" s="64">
        <f>DATEVALUE(tblLaborEntries[[#This Row],[Work date]])</f>
        <v>45476.0</v>
      </c>
    </row>
    <row r="2724" spans="1:9" ht="15" x14ac:dyDescent="0.25">
      <c r="A2724" s="53" t="inlineStr">
        <is>
          <t>LAB-002723</t>
        </is>
      </c>
      <c r="B2724" s="53" t="inlineStr">
        <is>
          <t>WP-01196</t>
        </is>
      </c>
      <c r="C2724" s="53" t="inlineStr">
        <is>
          <t>TECH-061</t>
        </is>
      </c>
      <c r="D2724" s="53" t="inlineStr">
        <is>
          <t>Airframe</t>
        </is>
      </c>
      <c r="E2724" s="53" t="inlineStr">
        <is>
          <t>2024-07-04</t>
        </is>
      </c>
      <c r="F2724" s="53">
        <v>2</v>
      </c>
      <c r="G2724" s="53">
        <v>0</v>
      </c>
      <c r="H2724" s="51" t="str">
        <f>TEXT(tblLaborEntries[[#This Row],[Work date serial]]-WEEKDAY(tblLaborEntries[[#This Row],[Work date serial]],3),"yyyy-mm-dd")</f>
        <v>2024-07-01</v>
      </c>
      <c r="I2724" s="64">
        <f>DATEVALUE(tblLaborEntries[[#This Row],[Work date]])</f>
        <v>45477.0</v>
      </c>
    </row>
    <row r="2725" spans="1:9" ht="15" x14ac:dyDescent="0.25">
      <c r="A2725" s="53" t="inlineStr">
        <is>
          <t>LAB-002724</t>
        </is>
      </c>
      <c r="B2725" s="53" t="inlineStr">
        <is>
          <t>WP-01196</t>
        </is>
      </c>
      <c r="C2725" s="53" t="inlineStr">
        <is>
          <t>TECH-073</t>
        </is>
      </c>
      <c r="D2725" s="53" t="inlineStr">
        <is>
          <t>Airframe</t>
        </is>
      </c>
      <c r="E2725" s="53" t="inlineStr">
        <is>
          <t>2024-07-05</t>
        </is>
      </c>
      <c r="F2725" s="53">
        <v>1.5</v>
      </c>
      <c r="G2725" s="53">
        <v>0</v>
      </c>
      <c r="H2725" s="51" t="str">
        <f>TEXT(tblLaborEntries[[#This Row],[Work date serial]]-WEEKDAY(tblLaborEntries[[#This Row],[Work date serial]],3),"yyyy-mm-dd")</f>
        <v>2024-07-01</v>
      </c>
      <c r="I2725" s="64">
        <f>DATEVALUE(tblLaborEntries[[#This Row],[Work date]])</f>
        <v>45478.0</v>
      </c>
    </row>
    <row r="2726" spans="1:9" ht="15" x14ac:dyDescent="0.25">
      <c r="A2726" s="53" t="inlineStr">
        <is>
          <t>LAB-002725</t>
        </is>
      </c>
      <c r="B2726" s="53" t="inlineStr">
        <is>
          <t>WP-01197</t>
        </is>
      </c>
      <c r="C2726" s="53" t="inlineStr">
        <is>
          <t>TECH-002</t>
        </is>
      </c>
      <c r="D2726" s="53" t="inlineStr">
        <is>
          <t>Avionics</t>
        </is>
      </c>
      <c r="E2726" s="53" t="inlineStr">
        <is>
          <t>2025-05-07</t>
        </is>
      </c>
      <c r="F2726" s="53">
        <v>3.3</v>
      </c>
      <c r="G2726" s="53">
        <v>0</v>
      </c>
      <c r="H2726" s="51" t="str">
        <f>TEXT(tblLaborEntries[[#This Row],[Work date serial]]-WEEKDAY(tblLaborEntries[[#This Row],[Work date serial]],3),"yyyy-mm-dd")</f>
        <v>2025-05-05</v>
      </c>
      <c r="I2726" s="64">
        <f>DATEVALUE(tblLaborEntries[[#This Row],[Work date]])</f>
        <v>45784.0</v>
      </c>
    </row>
    <row r="2727" spans="1:9" ht="15" x14ac:dyDescent="0.25">
      <c r="A2727" s="53" t="inlineStr">
        <is>
          <t>LAB-002726</t>
        </is>
      </c>
      <c r="B2727" s="53" t="inlineStr">
        <is>
          <t>WP-01197</t>
        </is>
      </c>
      <c r="C2727" s="53" t="inlineStr">
        <is>
          <t>TECH-074</t>
        </is>
      </c>
      <c r="D2727" s="53" t="inlineStr">
        <is>
          <t>Avionics</t>
        </is>
      </c>
      <c r="E2727" s="53" t="inlineStr">
        <is>
          <t>2025-05-07</t>
        </is>
      </c>
      <c r="F2727" s="53">
        <v>12</v>
      </c>
      <c r="G2727" s="53">
        <v>4</v>
      </c>
      <c r="H2727" s="51" t="str">
        <f>TEXT(tblLaborEntries[[#This Row],[Work date serial]]-WEEKDAY(tblLaborEntries[[#This Row],[Work date serial]],3),"yyyy-mm-dd")</f>
        <v>2025-05-05</v>
      </c>
      <c r="I2727" s="64">
        <f>DATEVALUE(tblLaborEntries[[#This Row],[Work date]])</f>
        <v>45784.0</v>
      </c>
    </row>
    <row r="2728" spans="1:9" ht="15" x14ac:dyDescent="0.25">
      <c r="A2728" s="53" t="inlineStr">
        <is>
          <t>LAB-002727</t>
        </is>
      </c>
      <c r="B2728" s="53" t="inlineStr">
        <is>
          <t>WP-01197</t>
        </is>
      </c>
      <c r="C2728" s="53" t="inlineStr">
        <is>
          <t>TECH-002</t>
        </is>
      </c>
      <c r="D2728" s="53" t="inlineStr">
        <is>
          <t>Avionics</t>
        </is>
      </c>
      <c r="E2728" s="53" t="inlineStr">
        <is>
          <t>2025-05-08</t>
        </is>
      </c>
      <c r="F2728" s="53">
        <v>0.7</v>
      </c>
      <c r="G2728" s="53">
        <v>0</v>
      </c>
      <c r="H2728" s="51" t="str">
        <f>TEXT(tblLaborEntries[[#This Row],[Work date serial]]-WEEKDAY(tblLaborEntries[[#This Row],[Work date serial]],3),"yyyy-mm-dd")</f>
        <v>2025-05-05</v>
      </c>
      <c r="I2728" s="64">
        <f>DATEVALUE(tblLaborEntries[[#This Row],[Work date]])</f>
        <v>45785.0</v>
      </c>
    </row>
    <row r="2729" spans="1:9" ht="15" x14ac:dyDescent="0.25">
      <c r="A2729" s="53" t="inlineStr">
        <is>
          <t>LAB-002728</t>
        </is>
      </c>
      <c r="B2729" s="53" t="inlineStr">
        <is>
          <t>WP-01197</t>
        </is>
      </c>
      <c r="C2729" s="53" t="inlineStr">
        <is>
          <t>TECH-068</t>
        </is>
      </c>
      <c r="D2729" s="53" t="inlineStr">
        <is>
          <t>Avionics</t>
        </is>
      </c>
      <c r="E2729" s="53" t="inlineStr">
        <is>
          <t>2025-05-08</t>
        </is>
      </c>
      <c r="F2729" s="53">
        <v>12</v>
      </c>
      <c r="G2729" s="53">
        <v>4</v>
      </c>
      <c r="H2729" s="51" t="str">
        <f>TEXT(tblLaborEntries[[#This Row],[Work date serial]]-WEEKDAY(tblLaborEntries[[#This Row],[Work date serial]],3),"yyyy-mm-dd")</f>
        <v>2025-05-05</v>
      </c>
      <c r="I2729" s="64">
        <f>DATEVALUE(tblLaborEntries[[#This Row],[Work date]])</f>
        <v>45785.0</v>
      </c>
    </row>
    <row r="2730" spans="1:9" ht="15" x14ac:dyDescent="0.25">
      <c r="A2730" s="53" t="inlineStr">
        <is>
          <t>LAB-002729</t>
        </is>
      </c>
      <c r="B2730" s="53" t="inlineStr">
        <is>
          <t>WP-01198</t>
        </is>
      </c>
      <c r="C2730" s="53" t="inlineStr">
        <is>
          <t>TECH-003</t>
        </is>
      </c>
      <c r="D2730" s="53" t="inlineStr">
        <is>
          <t>Hydraulics</t>
        </is>
      </c>
      <c r="E2730" s="53" t="inlineStr">
        <is>
          <t>2025-06-20</t>
        </is>
      </c>
      <c r="F2730" s="53">
        <v>0.4</v>
      </c>
      <c r="G2730" s="53">
        <v>0</v>
      </c>
      <c r="H2730" s="51" t="str">
        <f>TEXT(tblLaborEntries[[#This Row],[Work date serial]]-WEEKDAY(tblLaborEntries[[#This Row],[Work date serial]],3),"yyyy-mm-dd")</f>
        <v>2025-06-16</v>
      </c>
      <c r="I2730" s="64">
        <f>DATEVALUE(tblLaborEntries[[#This Row],[Work date]])</f>
        <v>45828.0</v>
      </c>
    </row>
    <row r="2731" spans="1:9" ht="15" x14ac:dyDescent="0.25">
      <c r="A2731" s="53" t="inlineStr">
        <is>
          <t>LAB-002730</t>
        </is>
      </c>
      <c r="B2731" s="53" t="inlineStr">
        <is>
          <t>WP-01198</t>
        </is>
      </c>
      <c r="C2731" s="53" t="inlineStr">
        <is>
          <t>TECH-069</t>
        </is>
      </c>
      <c r="D2731" s="53" t="inlineStr">
        <is>
          <t>Hydraulics</t>
        </is>
      </c>
      <c r="E2731" s="53" t="inlineStr">
        <is>
          <t>2025-06-20</t>
        </is>
      </c>
      <c r="F2731" s="53">
        <v>12</v>
      </c>
      <c r="G2731" s="53">
        <v>4</v>
      </c>
      <c r="H2731" s="51" t="str">
        <f>TEXT(tblLaborEntries[[#This Row],[Work date serial]]-WEEKDAY(tblLaborEntries[[#This Row],[Work date serial]],3),"yyyy-mm-dd")</f>
        <v>2025-06-16</v>
      </c>
      <c r="I2731" s="64">
        <f>DATEVALUE(tblLaborEntries[[#This Row],[Work date]])</f>
        <v>45828.0</v>
      </c>
    </row>
    <row r="2732" spans="1:9" ht="15" x14ac:dyDescent="0.25">
      <c r="A2732" s="53" t="inlineStr">
        <is>
          <t>LAB-002731</t>
        </is>
      </c>
      <c r="B2732" s="53" t="inlineStr">
        <is>
          <t>WP-01198</t>
        </is>
      </c>
      <c r="C2732" s="53" t="inlineStr">
        <is>
          <t>TECH-003</t>
        </is>
      </c>
      <c r="D2732" s="53" t="inlineStr">
        <is>
          <t>Hydraulics</t>
        </is>
      </c>
      <c r="E2732" s="53" t="inlineStr">
        <is>
          <t>2025-06-21</t>
        </is>
      </c>
      <c r="F2732" s="53">
        <v>9.7</v>
      </c>
      <c r="G2732" s="53">
        <v>1.7</v>
      </c>
      <c r="H2732" s="51" t="str">
        <f>TEXT(tblLaborEntries[[#This Row],[Work date serial]]-WEEKDAY(tblLaborEntries[[#This Row],[Work date serial]],3),"yyyy-mm-dd")</f>
        <v>2025-06-16</v>
      </c>
      <c r="I2732" s="64">
        <f>DATEVALUE(tblLaborEntries[[#This Row],[Work date]])</f>
        <v>45829.0</v>
      </c>
    </row>
    <row r="2733" spans="1:9" ht="15" x14ac:dyDescent="0.25">
      <c r="A2733" s="53" t="inlineStr">
        <is>
          <t>LAB-002732</t>
        </is>
      </c>
      <c r="B2733" s="53" t="inlineStr">
        <is>
          <t>WP-01199</t>
        </is>
      </c>
      <c r="C2733" s="53" t="inlineStr">
        <is>
          <t>TECH-038</t>
        </is>
      </c>
      <c r="D2733" s="53" t="inlineStr">
        <is>
          <t>Avionics</t>
        </is>
      </c>
      <c r="E2733" s="53" t="inlineStr">
        <is>
          <t>2025-04-08</t>
        </is>
      </c>
      <c r="F2733" s="53">
        <v>2.2</v>
      </c>
      <c r="G2733" s="53">
        <v>0</v>
      </c>
      <c r="H2733" s="51" t="str">
        <f>TEXT(tblLaborEntries[[#This Row],[Work date serial]]-WEEKDAY(tblLaborEntries[[#This Row],[Work date serial]],3),"yyyy-mm-dd")</f>
        <v>2025-04-07</v>
      </c>
      <c r="I2733" s="64">
        <f>DATEVALUE(tblLaborEntries[[#This Row],[Work date]])</f>
        <v>45755.0</v>
      </c>
    </row>
    <row r="2734" spans="1:9" ht="15" x14ac:dyDescent="0.25">
      <c r="A2734" s="53" t="inlineStr">
        <is>
          <t>LAB-002733</t>
        </is>
      </c>
      <c r="B2734" s="53" t="inlineStr">
        <is>
          <t>WP-01199</t>
        </is>
      </c>
      <c r="C2734" s="53" t="inlineStr">
        <is>
          <t>TECH-020</t>
        </is>
      </c>
      <c r="D2734" s="53" t="inlineStr">
        <is>
          <t>Avionics</t>
        </is>
      </c>
      <c r="E2734" s="53" t="inlineStr">
        <is>
          <t>2025-04-09</t>
        </is>
      </c>
      <c r="F2734" s="53">
        <v>2.1</v>
      </c>
      <c r="G2734" s="53">
        <v>0</v>
      </c>
      <c r="H2734" s="51" t="str">
        <f>TEXT(tblLaborEntries[[#This Row],[Work date serial]]-WEEKDAY(tblLaborEntries[[#This Row],[Work date serial]],3),"yyyy-mm-dd")</f>
        <v>2025-04-07</v>
      </c>
      <c r="I2734" s="64">
        <f>DATEVALUE(tblLaborEntries[[#This Row],[Work date]])</f>
        <v>45756.0</v>
      </c>
    </row>
    <row r="2735" spans="1:9" ht="15" x14ac:dyDescent="0.25">
      <c r="A2735" s="53" t="inlineStr">
        <is>
          <t>LAB-002734</t>
        </is>
      </c>
      <c r="B2735" s="53" t="inlineStr">
        <is>
          <t>WP-01200</t>
        </is>
      </c>
      <c r="C2735" s="53" t="inlineStr">
        <is>
          <t>TECH-074</t>
        </is>
      </c>
      <c r="D2735" s="53" t="inlineStr">
        <is>
          <t>Avionics</t>
        </is>
      </c>
      <c r="E2735" s="53" t="inlineStr">
        <is>
          <t>2024-08-03</t>
        </is>
      </c>
      <c r="F2735" s="53">
        <v>3.7</v>
      </c>
      <c r="G2735" s="53">
        <v>2.8</v>
      </c>
      <c r="H2735" s="51" t="str">
        <f>TEXT(tblLaborEntries[[#This Row],[Work date serial]]-WEEKDAY(tblLaborEntries[[#This Row],[Work date serial]],3),"yyyy-mm-dd")</f>
        <v>2024-07-29</v>
      </c>
      <c r="I2735" s="64">
        <f>DATEVALUE(tblLaborEntries[[#This Row],[Work date]])</f>
        <v>45507.0</v>
      </c>
    </row>
    <row r="2736" spans="1:9" ht="15" x14ac:dyDescent="0.25">
      <c r="A2736" s="53" t="inlineStr">
        <is>
          <t>LAB-002735</t>
        </is>
      </c>
      <c r="B2736" s="53" t="inlineStr">
        <is>
          <t>WP-01200</t>
        </is>
      </c>
      <c r="C2736" s="53" t="inlineStr">
        <is>
          <t>TECH-026</t>
        </is>
      </c>
      <c r="D2736" s="53" t="inlineStr">
        <is>
          <t>Avionics</t>
        </is>
      </c>
      <c r="E2736" s="53" t="inlineStr">
        <is>
          <t>2024-08-04</t>
        </is>
      </c>
      <c r="F2736" s="53">
        <v>4</v>
      </c>
      <c r="G2736" s="53">
        <v>0.1</v>
      </c>
      <c r="H2736" s="51" t="str">
        <f>TEXT(tblLaborEntries[[#This Row],[Work date serial]]-WEEKDAY(tblLaborEntries[[#This Row],[Work date serial]],3),"yyyy-mm-dd")</f>
        <v>2024-07-29</v>
      </c>
      <c r="I2736" s="64">
        <f>DATEVALUE(tblLaborEntries[[#This Row],[Work date]])</f>
        <v>45508.0</v>
      </c>
    </row>
    <row r="2737" spans="1:9" ht="15" x14ac:dyDescent="0.25">
      <c r="A2737" s="53" t="inlineStr">
        <is>
          <t>LAB-002736</t>
        </is>
      </c>
      <c r="B2737" s="53" t="inlineStr">
        <is>
          <t>WP-01201</t>
        </is>
      </c>
      <c r="C2737" s="53" t="inlineStr">
        <is>
          <t>TECH-068</t>
        </is>
      </c>
      <c r="D2737" s="53" t="inlineStr">
        <is>
          <t>Avionics</t>
        </is>
      </c>
      <c r="E2737" s="53" t="inlineStr">
        <is>
          <t>2024-09-25</t>
        </is>
      </c>
      <c r="F2737" s="53">
        <v>0.9</v>
      </c>
      <c r="G2737" s="53">
        <v>0</v>
      </c>
      <c r="H2737" s="51" t="str">
        <f>TEXT(tblLaborEntries[[#This Row],[Work date serial]]-WEEKDAY(tblLaborEntries[[#This Row],[Work date serial]],3),"yyyy-mm-dd")</f>
        <v>2024-09-23</v>
      </c>
      <c r="I2737" s="64">
        <f>DATEVALUE(tblLaborEntries[[#This Row],[Work date]])</f>
        <v>45560.0</v>
      </c>
    </row>
    <row r="2738" spans="1:9" ht="15" x14ac:dyDescent="0.25">
      <c r="A2738" s="53" t="inlineStr">
        <is>
          <t>LAB-002737</t>
        </is>
      </c>
      <c r="B2738" s="53" t="inlineStr">
        <is>
          <t>WP-01201</t>
        </is>
      </c>
      <c r="C2738" s="53" t="inlineStr">
        <is>
          <t>TECH-044</t>
        </is>
      </c>
      <c r="D2738" s="53" t="inlineStr">
        <is>
          <t>Avionics</t>
        </is>
      </c>
      <c r="E2738" s="53" t="inlineStr">
        <is>
          <t>2024-09-26</t>
        </is>
      </c>
      <c r="F2738" s="53">
        <v>1</v>
      </c>
      <c r="G2738" s="53">
        <v>0</v>
      </c>
      <c r="H2738" s="51" t="str">
        <f>TEXT(tblLaborEntries[[#This Row],[Work date serial]]-WEEKDAY(tblLaborEntries[[#This Row],[Work date serial]],3),"yyyy-mm-dd")</f>
        <v>2024-09-23</v>
      </c>
      <c r="I2738" s="64">
        <f>DATEVALUE(tblLaborEntries[[#This Row],[Work date]])</f>
        <v>45561.0</v>
      </c>
    </row>
    <row r="2739" spans="1:9" ht="15" x14ac:dyDescent="0.25">
      <c r="A2739" s="53" t="inlineStr">
        <is>
          <t>LAB-002738</t>
        </is>
      </c>
      <c r="B2739" s="53" t="inlineStr">
        <is>
          <t>WP-01201</t>
        </is>
      </c>
      <c r="C2739" s="53" t="inlineStr">
        <is>
          <t>TECH-008</t>
        </is>
      </c>
      <c r="D2739" s="53" t="inlineStr">
        <is>
          <t>Avionics</t>
        </is>
      </c>
      <c r="E2739" s="53" t="inlineStr">
        <is>
          <t>2024-09-27</t>
        </is>
      </c>
      <c r="F2739" s="53">
        <v>0.9</v>
      </c>
      <c r="G2739" s="53">
        <v>0</v>
      </c>
      <c r="H2739" s="51" t="str">
        <f>TEXT(tblLaborEntries[[#This Row],[Work date serial]]-WEEKDAY(tblLaborEntries[[#This Row],[Work date serial]],3),"yyyy-mm-dd")</f>
        <v>2024-09-23</v>
      </c>
      <c r="I2739" s="64">
        <f>DATEVALUE(tblLaborEntries[[#This Row],[Work date]])</f>
        <v>45562.0</v>
      </c>
    </row>
    <row r="2740" spans="1:9" ht="15" x14ac:dyDescent="0.25">
      <c r="A2740" s="53" t="inlineStr">
        <is>
          <t>LAB-002739</t>
        </is>
      </c>
      <c r="B2740" s="53" t="inlineStr">
        <is>
          <t>WP-01202</t>
        </is>
      </c>
      <c r="C2740" s="53" t="inlineStr">
        <is>
          <t>TECH-020</t>
        </is>
      </c>
      <c r="D2740" s="53" t="inlineStr">
        <is>
          <t>Avionics</t>
        </is>
      </c>
      <c r="E2740" s="53" t="inlineStr">
        <is>
          <t>2024-07-10</t>
        </is>
      </c>
      <c r="F2740" s="53">
        <v>4</v>
      </c>
      <c r="G2740" s="53">
        <v>0</v>
      </c>
      <c r="H2740" s="51" t="str">
        <f>TEXT(tblLaborEntries[[#This Row],[Work date serial]]-WEEKDAY(tblLaborEntries[[#This Row],[Work date serial]],3),"yyyy-mm-dd")</f>
        <v>2024-07-08</v>
      </c>
      <c r="I2740" s="64">
        <f>DATEVALUE(tblLaborEntries[[#This Row],[Work date]])</f>
        <v>45483.0</v>
      </c>
    </row>
    <row r="2741" spans="1:9" ht="15" x14ac:dyDescent="0.25">
      <c r="A2741" s="53" t="inlineStr">
        <is>
          <t>LAB-002740</t>
        </is>
      </c>
      <c r="B2741" s="53" t="inlineStr">
        <is>
          <t>WP-01203</t>
        </is>
      </c>
      <c r="C2741" s="53" t="inlineStr">
        <is>
          <t>TECH-068</t>
        </is>
      </c>
      <c r="D2741" s="53" t="inlineStr">
        <is>
          <t>Avionics</t>
        </is>
      </c>
      <c r="E2741" s="53" t="inlineStr">
        <is>
          <t>2024-06-19</t>
        </is>
      </c>
      <c r="F2741" s="53">
        <v>5.5</v>
      </c>
      <c r="G2741" s="53">
        <v>0</v>
      </c>
      <c r="H2741" s="51" t="str">
        <f>TEXT(tblLaborEntries[[#This Row],[Work date serial]]-WEEKDAY(tblLaborEntries[[#This Row],[Work date serial]],3),"yyyy-mm-dd")</f>
        <v>2024-06-17</v>
      </c>
      <c r="I2741" s="64">
        <f>DATEVALUE(tblLaborEntries[[#This Row],[Work date]])</f>
        <v>45462.0</v>
      </c>
    </row>
    <row r="2742" spans="1:9" ht="15" x14ac:dyDescent="0.25">
      <c r="A2742" s="53" t="inlineStr">
        <is>
          <t>LAB-002741</t>
        </is>
      </c>
      <c r="B2742" s="53" t="inlineStr">
        <is>
          <t>WP-01203</t>
        </is>
      </c>
      <c r="C2742" s="53" t="inlineStr">
        <is>
          <t>TECH-062</t>
        </is>
      </c>
      <c r="D2742" s="53" t="inlineStr">
        <is>
          <t>Avionics</t>
        </is>
      </c>
      <c r="E2742" s="53" t="inlineStr">
        <is>
          <t>2024-06-20</t>
        </is>
      </c>
      <c r="F2742" s="53">
        <v>3.5</v>
      </c>
      <c r="G2742" s="53">
        <v>0</v>
      </c>
      <c r="H2742" s="51" t="str">
        <f>TEXT(tblLaborEntries[[#This Row],[Work date serial]]-WEEKDAY(tblLaborEntries[[#This Row],[Work date serial]],3),"yyyy-mm-dd")</f>
        <v>2024-06-17</v>
      </c>
      <c r="I2742" s="64">
        <f>DATEVALUE(tblLaborEntries[[#This Row],[Work date]])</f>
        <v>45463.0</v>
      </c>
    </row>
    <row r="2743" spans="1:9" ht="15" x14ac:dyDescent="0.25">
      <c r="A2743" s="53" t="inlineStr">
        <is>
          <t>LAB-002742</t>
        </is>
      </c>
      <c r="B2743" s="53" t="inlineStr">
        <is>
          <t>WP-01203</t>
        </is>
      </c>
      <c r="C2743" s="53" t="inlineStr">
        <is>
          <t>TECH-008</t>
        </is>
      </c>
      <c r="D2743" s="53" t="inlineStr">
        <is>
          <t>Avionics</t>
        </is>
      </c>
      <c r="E2743" s="53" t="inlineStr">
        <is>
          <t>2024-06-21</t>
        </is>
      </c>
      <c r="F2743" s="53">
        <v>5.2</v>
      </c>
      <c r="G2743" s="53">
        <v>0</v>
      </c>
      <c r="H2743" s="51" t="str">
        <f>TEXT(tblLaborEntries[[#This Row],[Work date serial]]-WEEKDAY(tblLaborEntries[[#This Row],[Work date serial]],3),"yyyy-mm-dd")</f>
        <v>2024-06-17</v>
      </c>
      <c r="I2743" s="64">
        <f>DATEVALUE(tblLaborEntries[[#This Row],[Work date]])</f>
        <v>45464.0</v>
      </c>
    </row>
    <row r="2744" spans="1:9" ht="15" x14ac:dyDescent="0.25">
      <c r="A2744" s="53" t="inlineStr">
        <is>
          <t>LAB-002743</t>
        </is>
      </c>
      <c r="B2744" s="53" t="inlineStr">
        <is>
          <t>WP-01204</t>
        </is>
      </c>
      <c r="C2744" s="53" t="inlineStr">
        <is>
          <t>TECH-005</t>
        </is>
      </c>
      <c r="D2744" s="53" t="inlineStr">
        <is>
          <t>Structures</t>
        </is>
      </c>
      <c r="E2744" s="53" t="inlineStr">
        <is>
          <t>2024-01-13</t>
        </is>
      </c>
      <c r="F2744" s="53">
        <v>3.3</v>
      </c>
      <c r="G2744" s="53">
        <v>0</v>
      </c>
      <c r="H2744" s="51" t="str">
        <f>TEXT(tblLaborEntries[[#This Row],[Work date serial]]-WEEKDAY(tblLaborEntries[[#This Row],[Work date serial]],3),"yyyy-mm-dd")</f>
        <v>2024-01-08</v>
      </c>
      <c r="I2744" s="64">
        <f>DATEVALUE(tblLaborEntries[[#This Row],[Work date]])</f>
        <v>45304.0</v>
      </c>
    </row>
    <row r="2745" spans="1:9" ht="15" x14ac:dyDescent="0.25">
      <c r="A2745" s="53" t="inlineStr">
        <is>
          <t>LAB-002744</t>
        </is>
      </c>
      <c r="B2745" s="53" t="inlineStr">
        <is>
          <t>WP-01204</t>
        </is>
      </c>
      <c r="C2745" s="53" t="inlineStr">
        <is>
          <t>TECH-035</t>
        </is>
      </c>
      <c r="D2745" s="53" t="inlineStr">
        <is>
          <t>Structures</t>
        </is>
      </c>
      <c r="E2745" s="53" t="inlineStr">
        <is>
          <t>2024-01-13</t>
        </is>
      </c>
      <c r="F2745" s="53">
        <v>12</v>
      </c>
      <c r="G2745" s="53">
        <v>4</v>
      </c>
      <c r="H2745" s="51" t="str">
        <f>TEXT(tblLaborEntries[[#This Row],[Work date serial]]-WEEKDAY(tblLaborEntries[[#This Row],[Work date serial]],3),"yyyy-mm-dd")</f>
        <v>2024-01-08</v>
      </c>
      <c r="I2745" s="64">
        <f>DATEVALUE(tblLaborEntries[[#This Row],[Work date]])</f>
        <v>45304.0</v>
      </c>
    </row>
    <row r="2746" spans="1:9" ht="15" x14ac:dyDescent="0.25">
      <c r="A2746" s="53" t="inlineStr">
        <is>
          <t>LAB-002745</t>
        </is>
      </c>
      <c r="B2746" s="53" t="inlineStr">
        <is>
          <t>WP-01204</t>
        </is>
      </c>
      <c r="C2746" s="53" t="inlineStr">
        <is>
          <t>TECH-005</t>
        </is>
      </c>
      <c r="D2746" s="53" t="inlineStr">
        <is>
          <t>Structures</t>
        </is>
      </c>
      <c r="E2746" s="53" t="inlineStr">
        <is>
          <t>2024-01-14</t>
        </is>
      </c>
      <c r="F2746" s="53">
        <v>0.3</v>
      </c>
      <c r="G2746" s="53">
        <v>0</v>
      </c>
      <c r="H2746" s="51" t="str">
        <f>TEXT(tblLaborEntries[[#This Row],[Work date serial]]-WEEKDAY(tblLaborEntries[[#This Row],[Work date serial]],3),"yyyy-mm-dd")</f>
        <v>2024-01-08</v>
      </c>
      <c r="I2746" s="64">
        <f>DATEVALUE(tblLaborEntries[[#This Row],[Work date]])</f>
        <v>45305.0</v>
      </c>
    </row>
    <row r="2747" spans="1:9" ht="15" x14ac:dyDescent="0.25">
      <c r="A2747" s="53" t="inlineStr">
        <is>
          <t>LAB-002746</t>
        </is>
      </c>
      <c r="B2747" s="53" t="inlineStr">
        <is>
          <t>WP-01204</t>
        </is>
      </c>
      <c r="C2747" s="53" t="inlineStr">
        <is>
          <t>TECH-059</t>
        </is>
      </c>
      <c r="D2747" s="53" t="inlineStr">
        <is>
          <t>Structures</t>
        </is>
      </c>
      <c r="E2747" s="53" t="inlineStr">
        <is>
          <t>2024-01-14</t>
        </is>
      </c>
      <c r="F2747" s="53">
        <v>12</v>
      </c>
      <c r="G2747" s="53">
        <v>4</v>
      </c>
      <c r="H2747" s="51" t="str">
        <f>TEXT(tblLaborEntries[[#This Row],[Work date serial]]-WEEKDAY(tblLaborEntries[[#This Row],[Work date serial]],3),"yyyy-mm-dd")</f>
        <v>2024-01-08</v>
      </c>
      <c r="I2747" s="64">
        <f>DATEVALUE(tblLaborEntries[[#This Row],[Work date]])</f>
        <v>45305.0</v>
      </c>
    </row>
    <row r="2748" spans="1:9" ht="15" x14ac:dyDescent="0.25">
      <c r="A2748" s="53" t="inlineStr">
        <is>
          <t>LAB-002747</t>
        </is>
      </c>
      <c r="B2748" s="53" t="inlineStr">
        <is>
          <t>WP-01204</t>
        </is>
      </c>
      <c r="C2748" s="53" t="inlineStr">
        <is>
          <t>TECH-005</t>
        </is>
      </c>
      <c r="D2748" s="53" t="inlineStr">
        <is>
          <t>Structures</t>
        </is>
      </c>
      <c r="E2748" s="53" t="inlineStr">
        <is>
          <t>2024-01-15</t>
        </is>
      </c>
      <c r="F2748" s="53">
        <v>0.7</v>
      </c>
      <c r="G2748" s="53">
        <v>0</v>
      </c>
      <c r="H2748" s="51" t="str">
        <f>TEXT(tblLaborEntries[[#This Row],[Work date serial]]-WEEKDAY(tblLaborEntries[[#This Row],[Work date serial]],3),"yyyy-mm-dd")</f>
        <v>2024-01-15</v>
      </c>
      <c r="I2748" s="64">
        <f>DATEVALUE(tblLaborEntries[[#This Row],[Work date]])</f>
        <v>45306.0</v>
      </c>
    </row>
    <row r="2749" spans="1:9" ht="15" x14ac:dyDescent="0.25">
      <c r="A2749" s="53" t="inlineStr">
        <is>
          <t>LAB-002748</t>
        </is>
      </c>
      <c r="B2749" s="53" t="inlineStr">
        <is>
          <t>WP-01204</t>
        </is>
      </c>
      <c r="C2749" s="53" t="inlineStr">
        <is>
          <t>TECH-035</t>
        </is>
      </c>
      <c r="D2749" s="53" t="inlineStr">
        <is>
          <t>Structures</t>
        </is>
      </c>
      <c r="E2749" s="53" t="inlineStr">
        <is>
          <t>2024-01-15</t>
        </is>
      </c>
      <c r="F2749" s="53">
        <v>12</v>
      </c>
      <c r="G2749" s="53">
        <v>4</v>
      </c>
      <c r="H2749" s="51" t="str">
        <f>TEXT(tblLaborEntries[[#This Row],[Work date serial]]-WEEKDAY(tblLaborEntries[[#This Row],[Work date serial]],3),"yyyy-mm-dd")</f>
        <v>2024-01-15</v>
      </c>
      <c r="I2749" s="64">
        <f>DATEVALUE(tblLaborEntries[[#This Row],[Work date]])</f>
        <v>45306.0</v>
      </c>
    </row>
    <row r="2750" spans="1:9" ht="15" x14ac:dyDescent="0.25">
      <c r="A2750" s="53" t="inlineStr">
        <is>
          <t>LAB-002749</t>
        </is>
      </c>
      <c r="B2750" s="53" t="inlineStr">
        <is>
          <t>WP-01205</t>
        </is>
      </c>
      <c r="C2750" s="53" t="inlineStr">
        <is>
          <t>TECH-073</t>
        </is>
      </c>
      <c r="D2750" s="53" t="inlineStr">
        <is>
          <t>Airframe</t>
        </is>
      </c>
      <c r="E2750" s="53" t="inlineStr">
        <is>
          <t>2024-06-27</t>
        </is>
      </c>
      <c r="F2750" s="53">
        <v>8.3</v>
      </c>
      <c r="G2750" s="53">
        <v>0.3</v>
      </c>
      <c r="H2750" s="51" t="str">
        <f>TEXT(tblLaborEntries[[#This Row],[Work date serial]]-WEEKDAY(tblLaborEntries[[#This Row],[Work date serial]],3),"yyyy-mm-dd")</f>
        <v>2024-06-24</v>
      </c>
      <c r="I2750" s="64">
        <f>DATEVALUE(tblLaborEntries[[#This Row],[Work date]])</f>
        <v>45470.0</v>
      </c>
    </row>
    <row r="2751" spans="1:9" ht="15" x14ac:dyDescent="0.25">
      <c r="A2751" s="53" t="inlineStr">
        <is>
          <t>LAB-002750</t>
        </is>
      </c>
      <c r="B2751" s="53" t="inlineStr">
        <is>
          <t>WP-01205</t>
        </is>
      </c>
      <c r="C2751" s="53" t="inlineStr">
        <is>
          <t>TECH-037</t>
        </is>
      </c>
      <c r="D2751" s="53" t="inlineStr">
        <is>
          <t>Airframe</t>
        </is>
      </c>
      <c r="E2751" s="53" t="inlineStr">
        <is>
          <t>2024-06-28</t>
        </is>
      </c>
      <c r="F2751" s="53">
        <v>10.4</v>
      </c>
      <c r="G2751" s="53">
        <v>2.4</v>
      </c>
      <c r="H2751" s="51" t="str">
        <f>TEXT(tblLaborEntries[[#This Row],[Work date serial]]-WEEKDAY(tblLaborEntries[[#This Row],[Work date serial]],3),"yyyy-mm-dd")</f>
        <v>2024-06-24</v>
      </c>
      <c r="I2751" s="64">
        <f>DATEVALUE(tblLaborEntries[[#This Row],[Work date]])</f>
        <v>45471.0</v>
      </c>
    </row>
    <row r="2752" spans="1:9" ht="15" x14ac:dyDescent="0.25">
      <c r="A2752" s="53" t="inlineStr">
        <is>
          <t>LAB-002751</t>
        </is>
      </c>
      <c r="B2752" s="53" t="inlineStr">
        <is>
          <t>WP-01206</t>
        </is>
      </c>
      <c r="C2752" s="53" t="inlineStr">
        <is>
          <t>TECH-018</t>
        </is>
      </c>
      <c r="D2752" s="53" t="inlineStr">
        <is>
          <t>Powerplant</t>
        </is>
      </c>
      <c r="E2752" s="53" t="inlineStr">
        <is>
          <t>2024-01-08</t>
        </is>
      </c>
      <c r="F2752" s="53">
        <v>7.8</v>
      </c>
      <c r="G2752" s="53">
        <v>0</v>
      </c>
      <c r="H2752" s="51" t="str">
        <f>TEXT(tblLaborEntries[[#This Row],[Work date serial]]-WEEKDAY(tblLaborEntries[[#This Row],[Work date serial]],3),"yyyy-mm-dd")</f>
        <v>2024-01-08</v>
      </c>
      <c r="I2752" s="64">
        <f>DATEVALUE(tblLaborEntries[[#This Row],[Work date]])</f>
        <v>45299.0</v>
      </c>
    </row>
    <row r="2753" spans="1:9" ht="15" x14ac:dyDescent="0.25">
      <c r="A2753" s="53" t="inlineStr">
        <is>
          <t>LAB-002752</t>
        </is>
      </c>
      <c r="B2753" s="53" t="inlineStr">
        <is>
          <t>WP-01206</t>
        </is>
      </c>
      <c r="C2753" s="53" t="inlineStr">
        <is>
          <t>TECH-060</t>
        </is>
      </c>
      <c r="D2753" s="53" t="inlineStr">
        <is>
          <t>Powerplant</t>
        </is>
      </c>
      <c r="E2753" s="53" t="inlineStr">
        <is>
          <t>2024-01-09</t>
        </is>
      </c>
      <c r="F2753" s="53">
        <v>10.7</v>
      </c>
      <c r="G2753" s="53">
        <v>2.7</v>
      </c>
      <c r="H2753" s="51" t="str">
        <f>TEXT(tblLaborEntries[[#This Row],[Work date serial]]-WEEKDAY(tblLaborEntries[[#This Row],[Work date serial]],3),"yyyy-mm-dd")</f>
        <v>2024-01-08</v>
      </c>
      <c r="I2753" s="64">
        <f>DATEVALUE(tblLaborEntries[[#This Row],[Work date]])</f>
        <v>45300.0</v>
      </c>
    </row>
    <row r="2754" spans="1:9" ht="15" x14ac:dyDescent="0.25">
      <c r="A2754" s="53" t="inlineStr">
        <is>
          <t>LAB-002753</t>
        </is>
      </c>
      <c r="B2754" s="53" t="inlineStr">
        <is>
          <t>WP-01207</t>
        </is>
      </c>
      <c r="C2754" s="53" t="inlineStr">
        <is>
          <t>TECH-072</t>
        </is>
      </c>
      <c r="D2754" s="53" t="inlineStr">
        <is>
          <t>Powerplant</t>
        </is>
      </c>
      <c r="E2754" s="53" t="inlineStr">
        <is>
          <t>2025-07-25</t>
        </is>
      </c>
      <c r="F2754" s="53">
        <v>9.2</v>
      </c>
      <c r="G2754" s="53">
        <v>1.2</v>
      </c>
      <c r="H2754" s="51" t="str">
        <f>TEXT(tblLaborEntries[[#This Row],[Work date serial]]-WEEKDAY(tblLaborEntries[[#This Row],[Work date serial]],3),"yyyy-mm-dd")</f>
        <v>2025-07-21</v>
      </c>
      <c r="I2754" s="64">
        <f>DATEVALUE(tblLaborEntries[[#This Row],[Work date]])</f>
        <v>45863.0</v>
      </c>
    </row>
    <row r="2755" spans="1:9" ht="15" x14ac:dyDescent="0.25">
      <c r="A2755" s="53" t="inlineStr">
        <is>
          <t>LAB-002754</t>
        </is>
      </c>
      <c r="B2755" s="53" t="inlineStr">
        <is>
          <t>WP-01208</t>
        </is>
      </c>
      <c r="C2755" s="53" t="inlineStr">
        <is>
          <t>TECH-024</t>
        </is>
      </c>
      <c r="D2755" s="53" t="inlineStr">
        <is>
          <t>Powerplant</t>
        </is>
      </c>
      <c r="E2755" s="53" t="inlineStr">
        <is>
          <t>2025-06-11</t>
        </is>
      </c>
      <c r="F2755" s="53">
        <v>4.5</v>
      </c>
      <c r="G2755" s="53">
        <v>0</v>
      </c>
      <c r="H2755" s="51" t="str">
        <f>TEXT(tblLaborEntries[[#This Row],[Work date serial]]-WEEKDAY(tblLaborEntries[[#This Row],[Work date serial]],3),"yyyy-mm-dd")</f>
        <v>2025-06-09</v>
      </c>
      <c r="I2755" s="64">
        <f>DATEVALUE(tblLaborEntries[[#This Row],[Work date]])</f>
        <v>45819.0</v>
      </c>
    </row>
    <row r="2756" spans="1:9" ht="15" x14ac:dyDescent="0.25">
      <c r="A2756" s="53" t="inlineStr">
        <is>
          <t>LAB-002755</t>
        </is>
      </c>
      <c r="B2756" s="53" t="inlineStr">
        <is>
          <t>WP-01208</t>
        </is>
      </c>
      <c r="C2756" s="53" t="inlineStr">
        <is>
          <t>TECH-060</t>
        </is>
      </c>
      <c r="D2756" s="53" t="inlineStr">
        <is>
          <t>Powerplant</t>
        </is>
      </c>
      <c r="E2756" s="53" t="inlineStr">
        <is>
          <t>2025-06-12</t>
        </is>
      </c>
      <c r="F2756" s="53">
        <v>4.8</v>
      </c>
      <c r="G2756" s="53">
        <v>0</v>
      </c>
      <c r="H2756" s="51" t="str">
        <f>TEXT(tblLaborEntries[[#This Row],[Work date serial]]-WEEKDAY(tblLaborEntries[[#This Row],[Work date serial]],3),"yyyy-mm-dd")</f>
        <v>2025-06-09</v>
      </c>
      <c r="I2756" s="64">
        <f>DATEVALUE(tblLaborEntries[[#This Row],[Work date]])</f>
        <v>45820.0</v>
      </c>
    </row>
    <row r="2757" spans="1:9" ht="15" x14ac:dyDescent="0.25">
      <c r="A2757" s="53" t="inlineStr">
        <is>
          <t>LAB-002756</t>
        </is>
      </c>
      <c r="B2757" s="53" t="inlineStr">
        <is>
          <t>WP-01209</t>
        </is>
      </c>
      <c r="C2757" s="53" t="inlineStr">
        <is>
          <t>TECH-019</t>
        </is>
      </c>
      <c r="D2757" s="53" t="inlineStr">
        <is>
          <t>Airframe</t>
        </is>
      </c>
      <c r="E2757" s="53" t="inlineStr">
        <is>
          <t>2025-04-23</t>
        </is>
      </c>
      <c r="F2757" s="53">
        <v>1.6</v>
      </c>
      <c r="G2757" s="53">
        <v>0</v>
      </c>
      <c r="H2757" s="51" t="str">
        <f>TEXT(tblLaborEntries[[#This Row],[Work date serial]]-WEEKDAY(tblLaborEntries[[#This Row],[Work date serial]],3),"yyyy-mm-dd")</f>
        <v>2025-04-21</v>
      </c>
      <c r="I2757" s="64">
        <f>DATEVALUE(tblLaborEntries[[#This Row],[Work date]])</f>
        <v>45770.0</v>
      </c>
    </row>
    <row r="2758" spans="1:9" ht="15" x14ac:dyDescent="0.25">
      <c r="A2758" s="53" t="inlineStr">
        <is>
          <t>LAB-002757</t>
        </is>
      </c>
      <c r="B2758" s="53" t="inlineStr">
        <is>
          <t>WP-01210</t>
        </is>
      </c>
      <c r="C2758" s="53" t="inlineStr">
        <is>
          <t>TECH-055</t>
        </is>
      </c>
      <c r="D2758" s="53" t="inlineStr">
        <is>
          <t>Airframe</t>
        </is>
      </c>
      <c r="E2758" s="53" t="inlineStr">
        <is>
          <t>2024-02-16</t>
        </is>
      </c>
      <c r="F2758" s="53">
        <v>2.4</v>
      </c>
      <c r="G2758" s="53">
        <v>0</v>
      </c>
      <c r="H2758" s="51" t="str">
        <f>TEXT(tblLaborEntries[[#This Row],[Work date serial]]-WEEKDAY(tblLaborEntries[[#This Row],[Work date serial]],3),"yyyy-mm-dd")</f>
        <v>2024-02-12</v>
      </c>
      <c r="I2758" s="64">
        <f>DATEVALUE(tblLaborEntries[[#This Row],[Work date]])</f>
        <v>45338.0</v>
      </c>
    </row>
    <row r="2759" spans="1:9" ht="15" x14ac:dyDescent="0.25">
      <c r="A2759" s="53" t="inlineStr">
        <is>
          <t>LAB-002758</t>
        </is>
      </c>
      <c r="B2759" s="53" t="inlineStr">
        <is>
          <t>WP-01210</t>
        </is>
      </c>
      <c r="C2759" s="53" t="inlineStr">
        <is>
          <t>TECH-007</t>
        </is>
      </c>
      <c r="D2759" s="53" t="inlineStr">
        <is>
          <t>Airframe</t>
        </is>
      </c>
      <c r="E2759" s="53" t="inlineStr">
        <is>
          <t>2024-02-17</t>
        </is>
      </c>
      <c r="F2759" s="53">
        <v>3.5</v>
      </c>
      <c r="G2759" s="53">
        <v>0</v>
      </c>
      <c r="H2759" s="51" t="str">
        <f>TEXT(tblLaborEntries[[#This Row],[Work date serial]]-WEEKDAY(tblLaborEntries[[#This Row],[Work date serial]],3),"yyyy-mm-dd")</f>
        <v>2024-02-12</v>
      </c>
      <c r="I2759" s="64">
        <f>DATEVALUE(tblLaborEntries[[#This Row],[Work date]])</f>
        <v>45339.0</v>
      </c>
    </row>
    <row r="2760" spans="1:9" ht="15" x14ac:dyDescent="0.25">
      <c r="A2760" s="53" t="inlineStr">
        <is>
          <t>LAB-002759</t>
        </is>
      </c>
      <c r="B2760" s="53" t="inlineStr">
        <is>
          <t>WP-01211</t>
        </is>
      </c>
      <c r="C2760" s="53" t="inlineStr">
        <is>
          <t>TECH-013</t>
        </is>
      </c>
      <c r="D2760" s="53" t="inlineStr">
        <is>
          <t>Airframe</t>
        </is>
      </c>
      <c r="E2760" s="53" t="inlineStr">
        <is>
          <t>2025-03-12</t>
        </is>
      </c>
      <c r="F2760" s="53">
        <v>2.6</v>
      </c>
      <c r="G2760" s="53">
        <v>0</v>
      </c>
      <c r="H2760" s="51" t="str">
        <f>TEXT(tblLaborEntries[[#This Row],[Work date serial]]-WEEKDAY(tblLaborEntries[[#This Row],[Work date serial]],3),"yyyy-mm-dd")</f>
        <v>2025-03-10</v>
      </c>
      <c r="I2760" s="64">
        <f>DATEVALUE(tblLaborEntries[[#This Row],[Work date]])</f>
        <v>45728.0</v>
      </c>
    </row>
    <row r="2761" spans="1:9" ht="15" x14ac:dyDescent="0.25">
      <c r="A2761" s="53" t="inlineStr">
        <is>
          <t>LAB-002760</t>
        </is>
      </c>
      <c r="B2761" s="53" t="inlineStr">
        <is>
          <t>WP-01211</t>
        </is>
      </c>
      <c r="C2761" s="53" t="inlineStr">
        <is>
          <t>TECH-025</t>
        </is>
      </c>
      <c r="D2761" s="53" t="inlineStr">
        <is>
          <t>Airframe</t>
        </is>
      </c>
      <c r="E2761" s="53" t="inlineStr">
        <is>
          <t>2025-03-13</t>
        </is>
      </c>
      <c r="F2761" s="53">
        <v>2.4</v>
      </c>
      <c r="G2761" s="53">
        <v>0</v>
      </c>
      <c r="H2761" s="51" t="str">
        <f>TEXT(tblLaborEntries[[#This Row],[Work date serial]]-WEEKDAY(tblLaborEntries[[#This Row],[Work date serial]],3),"yyyy-mm-dd")</f>
        <v>2025-03-10</v>
      </c>
      <c r="I2761" s="64">
        <f>DATEVALUE(tblLaborEntries[[#This Row],[Work date]])</f>
        <v>45729.0</v>
      </c>
    </row>
    <row r="2762" spans="1:9" ht="15" x14ac:dyDescent="0.25">
      <c r="A2762" s="53" t="inlineStr">
        <is>
          <t>LAB-002761</t>
        </is>
      </c>
      <c r="B2762" s="53" t="inlineStr">
        <is>
          <t>WP-01212</t>
        </is>
      </c>
      <c r="C2762" s="53" t="inlineStr">
        <is>
          <t>TECH-038</t>
        </is>
      </c>
      <c r="D2762" s="53" t="inlineStr">
        <is>
          <t>Avionics</t>
        </is>
      </c>
      <c r="E2762" s="53" t="inlineStr">
        <is>
          <t>2024-01-28</t>
        </is>
      </c>
      <c r="F2762" s="53">
        <v>7.9</v>
      </c>
      <c r="G2762" s="53">
        <v>0</v>
      </c>
      <c r="H2762" s="51" t="str">
        <f>TEXT(tblLaborEntries[[#This Row],[Work date serial]]-WEEKDAY(tblLaborEntries[[#This Row],[Work date serial]],3),"yyyy-mm-dd")</f>
        <v>2024-01-22</v>
      </c>
      <c r="I2762" s="64">
        <f>DATEVALUE(tblLaborEntries[[#This Row],[Work date]])</f>
        <v>45319.0</v>
      </c>
    </row>
    <row r="2763" spans="1:9" ht="15" x14ac:dyDescent="0.25">
      <c r="A2763" s="53" t="inlineStr">
        <is>
          <t>LAB-002762</t>
        </is>
      </c>
      <c r="B2763" s="53" t="inlineStr">
        <is>
          <t>WP-01212</t>
        </is>
      </c>
      <c r="C2763" s="53" t="inlineStr">
        <is>
          <t>TECH-008</t>
        </is>
      </c>
      <c r="D2763" s="53" t="inlineStr">
        <is>
          <t>Avionics</t>
        </is>
      </c>
      <c r="E2763" s="53" t="inlineStr">
        <is>
          <t>2024-01-29</t>
        </is>
      </c>
      <c r="F2763" s="53">
        <v>10.4</v>
      </c>
      <c r="G2763" s="53">
        <v>2.4</v>
      </c>
      <c r="H2763" s="51" t="str">
        <f>TEXT(tblLaborEntries[[#This Row],[Work date serial]]-WEEKDAY(tblLaborEntries[[#This Row],[Work date serial]],3),"yyyy-mm-dd")</f>
        <v>2024-01-29</v>
      </c>
      <c r="I2763" s="64">
        <f>DATEVALUE(tblLaborEntries[[#This Row],[Work date]])</f>
        <v>45320.0</v>
      </c>
    </row>
    <row r="2764" spans="1:9" ht="15" x14ac:dyDescent="0.25">
      <c r="A2764" s="53" t="inlineStr">
        <is>
          <t>LAB-002763</t>
        </is>
      </c>
      <c r="B2764" s="53" t="inlineStr">
        <is>
          <t>WP-01213</t>
        </is>
      </c>
      <c r="C2764" s="53" t="inlineStr">
        <is>
          <t>TECH-012</t>
        </is>
      </c>
      <c r="D2764" s="53" t="inlineStr">
        <is>
          <t>Powerplant</t>
        </is>
      </c>
      <c r="E2764" s="53" t="inlineStr">
        <is>
          <t>2024-06-06</t>
        </is>
      </c>
      <c r="F2764" s="53">
        <v>11.4</v>
      </c>
      <c r="G2764" s="53">
        <v>3.4</v>
      </c>
      <c r="H2764" s="51" t="str">
        <f>TEXT(tblLaborEntries[[#This Row],[Work date serial]]-WEEKDAY(tblLaborEntries[[#This Row],[Work date serial]],3),"yyyy-mm-dd")</f>
        <v>2024-06-03</v>
      </c>
      <c r="I2764" s="64">
        <f>DATEVALUE(tblLaborEntries[[#This Row],[Work date]])</f>
        <v>45449.0</v>
      </c>
    </row>
    <row r="2765" spans="1:9" ht="15" x14ac:dyDescent="0.25">
      <c r="A2765" s="53" t="inlineStr">
        <is>
          <t>LAB-002764</t>
        </is>
      </c>
      <c r="B2765" s="53" t="inlineStr">
        <is>
          <t>WP-01214</t>
        </is>
      </c>
      <c r="C2765" s="53" t="inlineStr">
        <is>
          <t>TECH-026</t>
        </is>
      </c>
      <c r="D2765" s="53" t="inlineStr">
        <is>
          <t>Avionics</t>
        </is>
      </c>
      <c r="E2765" s="53" t="inlineStr">
        <is>
          <t>2025-03-27</t>
        </is>
      </c>
      <c r="F2765" s="53">
        <v>6.2</v>
      </c>
      <c r="G2765" s="53">
        <v>0</v>
      </c>
      <c r="H2765" s="51" t="str">
        <f>TEXT(tblLaborEntries[[#This Row],[Work date serial]]-WEEKDAY(tblLaborEntries[[#This Row],[Work date serial]],3),"yyyy-mm-dd")</f>
        <v>2025-03-24</v>
      </c>
      <c r="I2765" s="64">
        <f>DATEVALUE(tblLaborEntries[[#This Row],[Work date]])</f>
        <v>45743.0</v>
      </c>
    </row>
    <row r="2766" spans="1:9" ht="15" x14ac:dyDescent="0.25">
      <c r="A2766" s="53" t="inlineStr">
        <is>
          <t>LAB-002765</t>
        </is>
      </c>
      <c r="B2766" s="53" t="inlineStr">
        <is>
          <t>WP-01214</t>
        </is>
      </c>
      <c r="C2766" s="53" t="inlineStr">
        <is>
          <t>TECH-074</t>
        </is>
      </c>
      <c r="D2766" s="53" t="inlineStr">
        <is>
          <t>Avionics</t>
        </is>
      </c>
      <c r="E2766" s="53" t="inlineStr">
        <is>
          <t>2025-03-27</t>
        </is>
      </c>
      <c r="F2766" s="53">
        <v>10.4</v>
      </c>
      <c r="G2766" s="53">
        <v>4</v>
      </c>
      <c r="H2766" s="51" t="str">
        <f>TEXT(tblLaborEntries[[#This Row],[Work date serial]]-WEEKDAY(tblLaborEntries[[#This Row],[Work date serial]],3),"yyyy-mm-dd")</f>
        <v>2025-03-24</v>
      </c>
      <c r="I2766" s="64">
        <f>DATEVALUE(tblLaborEntries[[#This Row],[Work date]])</f>
        <v>45743.0</v>
      </c>
    </row>
    <row r="2767" spans="1:9" ht="15" x14ac:dyDescent="0.25">
      <c r="A2767" s="53" t="inlineStr">
        <is>
          <t>LAB-002766</t>
        </is>
      </c>
      <c r="B2767" s="53" t="inlineStr">
        <is>
          <t>WP-01215</t>
        </is>
      </c>
      <c r="C2767" s="53" t="inlineStr">
        <is>
          <t>TECH-031</t>
        </is>
      </c>
      <c r="D2767" s="53" t="inlineStr">
        <is>
          <t>Airframe</t>
        </is>
      </c>
      <c r="E2767" s="53" t="inlineStr">
        <is>
          <t>2025-01-02</t>
        </is>
      </c>
      <c r="F2767" s="53">
        <v>1.8</v>
      </c>
      <c r="G2767" s="53">
        <v>0</v>
      </c>
      <c r="H2767" s="51" t="str">
        <f>TEXT(tblLaborEntries[[#This Row],[Work date serial]]-WEEKDAY(tblLaborEntries[[#This Row],[Work date serial]],3),"yyyy-mm-dd")</f>
        <v>2024-12-30</v>
      </c>
      <c r="I2767" s="64">
        <f>DATEVALUE(tblLaborEntries[[#This Row],[Work date]])</f>
        <v>45659.0</v>
      </c>
    </row>
    <row r="2768" spans="1:9" ht="15" x14ac:dyDescent="0.25">
      <c r="A2768" s="53" t="inlineStr">
        <is>
          <t>LAB-002767</t>
        </is>
      </c>
      <c r="B2768" s="53" t="inlineStr">
        <is>
          <t>WP-01215</t>
        </is>
      </c>
      <c r="C2768" s="53" t="inlineStr">
        <is>
          <t>TECH-055</t>
        </is>
      </c>
      <c r="D2768" s="53" t="inlineStr">
        <is>
          <t>Airframe</t>
        </is>
      </c>
      <c r="E2768" s="53" t="inlineStr">
        <is>
          <t>2025-01-03</t>
        </is>
      </c>
      <c r="F2768" s="53">
        <v>2.6</v>
      </c>
      <c r="G2768" s="53">
        <v>0</v>
      </c>
      <c r="H2768" s="51" t="str">
        <f>TEXT(tblLaborEntries[[#This Row],[Work date serial]]-WEEKDAY(tblLaborEntries[[#This Row],[Work date serial]],3),"yyyy-mm-dd")</f>
        <v>2024-12-30</v>
      </c>
      <c r="I2768" s="64">
        <f>DATEVALUE(tblLaborEntries[[#This Row],[Work date]])</f>
        <v>45660.0</v>
      </c>
    </row>
    <row r="2769" spans="1:9" ht="15" x14ac:dyDescent="0.25">
      <c r="A2769" s="53" t="inlineStr">
        <is>
          <t>LAB-002768</t>
        </is>
      </c>
      <c r="B2769" s="53" t="inlineStr">
        <is>
          <t>WP-01215</t>
        </is>
      </c>
      <c r="C2769" s="53" t="inlineStr">
        <is>
          <t>TECH-031</t>
        </is>
      </c>
      <c r="D2769" s="53" t="inlineStr">
        <is>
          <t>Airframe</t>
        </is>
      </c>
      <c r="E2769" s="53" t="inlineStr">
        <is>
          <t>2025-01-04</t>
        </is>
      </c>
      <c r="F2769" s="53">
        <v>2.5</v>
      </c>
      <c r="G2769" s="53">
        <v>0</v>
      </c>
      <c r="H2769" s="51" t="str">
        <f>TEXT(tblLaborEntries[[#This Row],[Work date serial]]-WEEKDAY(tblLaborEntries[[#This Row],[Work date serial]],3),"yyyy-mm-dd")</f>
        <v>2024-12-30</v>
      </c>
      <c r="I2769" s="64">
        <f>DATEVALUE(tblLaborEntries[[#This Row],[Work date]])</f>
        <v>45661.0</v>
      </c>
    </row>
    <row r="2770" spans="1:9" ht="15" x14ac:dyDescent="0.25">
      <c r="A2770" s="53" t="inlineStr">
        <is>
          <t>LAB-002769</t>
        </is>
      </c>
      <c r="B2770" s="53" t="inlineStr">
        <is>
          <t>WP-01216</t>
        </is>
      </c>
      <c r="C2770" s="53" t="inlineStr">
        <is>
          <t>TECH-031</t>
        </is>
      </c>
      <c r="D2770" s="53" t="inlineStr">
        <is>
          <t>Airframe</t>
        </is>
      </c>
      <c r="E2770" s="53" t="inlineStr">
        <is>
          <t>2024-09-05</t>
        </is>
      </c>
      <c r="F2770" s="53">
        <v>4</v>
      </c>
      <c r="G2770" s="53">
        <v>0</v>
      </c>
      <c r="H2770" s="51" t="str">
        <f>TEXT(tblLaborEntries[[#This Row],[Work date serial]]-WEEKDAY(tblLaborEntries[[#This Row],[Work date serial]],3),"yyyy-mm-dd")</f>
        <v>2024-09-02</v>
      </c>
      <c r="I2770" s="64">
        <f>DATEVALUE(tblLaborEntries[[#This Row],[Work date]])</f>
        <v>45540.0</v>
      </c>
    </row>
    <row r="2771" spans="1:9" ht="15" x14ac:dyDescent="0.25">
      <c r="A2771" s="53" t="inlineStr">
        <is>
          <t>LAB-002770</t>
        </is>
      </c>
      <c r="B2771" s="53" t="inlineStr">
        <is>
          <t>WP-01217</t>
        </is>
      </c>
      <c r="C2771" s="53" t="inlineStr">
        <is>
          <t>TECH-002</t>
        </is>
      </c>
      <c r="D2771" s="53" t="inlineStr">
        <is>
          <t>Avionics</t>
        </is>
      </c>
      <c r="E2771" s="53" t="inlineStr">
        <is>
          <t>2024-07-11</t>
        </is>
      </c>
      <c r="F2771" s="53">
        <v>3.1</v>
      </c>
      <c r="G2771" s="53">
        <v>0</v>
      </c>
      <c r="H2771" s="51" t="str">
        <f>TEXT(tblLaborEntries[[#This Row],[Work date serial]]-WEEKDAY(tblLaborEntries[[#This Row],[Work date serial]],3),"yyyy-mm-dd")</f>
        <v>2024-07-08</v>
      </c>
      <c r="I2771" s="64">
        <f>DATEVALUE(tblLaborEntries[[#This Row],[Work date]])</f>
        <v>45484.0</v>
      </c>
    </row>
    <row r="2772" spans="1:9" ht="15" x14ac:dyDescent="0.25">
      <c r="A2772" s="53" t="inlineStr">
        <is>
          <t>LAB-002771</t>
        </is>
      </c>
      <c r="B2772" s="53" t="inlineStr">
        <is>
          <t>WP-01218</t>
        </is>
      </c>
      <c r="C2772" s="53" t="inlineStr">
        <is>
          <t>TECH-030</t>
        </is>
      </c>
      <c r="D2772" s="53" t="inlineStr">
        <is>
          <t>Powerplant</t>
        </is>
      </c>
      <c r="E2772" s="53" t="inlineStr">
        <is>
          <t>2024-12-19</t>
        </is>
      </c>
      <c r="F2772" s="53">
        <v>9.4</v>
      </c>
      <c r="G2772" s="53">
        <v>1.4</v>
      </c>
      <c r="H2772" s="51" t="str">
        <f>TEXT(tblLaborEntries[[#This Row],[Work date serial]]-WEEKDAY(tblLaborEntries[[#This Row],[Work date serial]],3),"yyyy-mm-dd")</f>
        <v>2024-12-16</v>
      </c>
      <c r="I2772" s="64">
        <f>DATEVALUE(tblLaborEntries[[#This Row],[Work date]])</f>
        <v>45645.0</v>
      </c>
    </row>
    <row r="2773" spans="1:9" ht="15" x14ac:dyDescent="0.25">
      <c r="A2773" s="53" t="inlineStr">
        <is>
          <t>LAB-002772</t>
        </is>
      </c>
      <c r="B2773" s="53" t="inlineStr">
        <is>
          <t>WP-01218</t>
        </is>
      </c>
      <c r="C2773" s="53" t="inlineStr">
        <is>
          <t>TECH-012</t>
        </is>
      </c>
      <c r="D2773" s="53" t="inlineStr">
        <is>
          <t>Powerplant</t>
        </is>
      </c>
      <c r="E2773" s="53" t="inlineStr">
        <is>
          <t>2024-12-20</t>
        </is>
      </c>
      <c r="F2773" s="53">
        <v>8.3</v>
      </c>
      <c r="G2773" s="53">
        <v>0.3</v>
      </c>
      <c r="H2773" s="51" t="str">
        <f>TEXT(tblLaborEntries[[#This Row],[Work date serial]]-WEEKDAY(tblLaborEntries[[#This Row],[Work date serial]],3),"yyyy-mm-dd")</f>
        <v>2024-12-16</v>
      </c>
      <c r="I2773" s="64">
        <f>DATEVALUE(tblLaborEntries[[#This Row],[Work date]])</f>
        <v>45646.0</v>
      </c>
    </row>
    <row r="2774" spans="1:9" ht="15" x14ac:dyDescent="0.25">
      <c r="A2774" s="53" t="inlineStr">
        <is>
          <t>LAB-002773</t>
        </is>
      </c>
      <c r="B2774" s="53" t="inlineStr">
        <is>
          <t>WP-01218</t>
        </is>
      </c>
      <c r="C2774" s="53" t="inlineStr">
        <is>
          <t>TECH-036</t>
        </is>
      </c>
      <c r="D2774" s="53" t="inlineStr">
        <is>
          <t>Powerplant</t>
        </is>
      </c>
      <c r="E2774" s="53" t="inlineStr">
        <is>
          <t>2024-12-21</t>
        </is>
      </c>
      <c r="F2774" s="53">
        <v>6.5</v>
      </c>
      <c r="G2774" s="53">
        <v>0</v>
      </c>
      <c r="H2774" s="51" t="str">
        <f>TEXT(tblLaborEntries[[#This Row],[Work date serial]]-WEEKDAY(tblLaborEntries[[#This Row],[Work date serial]],3),"yyyy-mm-dd")</f>
        <v>2024-12-16</v>
      </c>
      <c r="I2774" s="64">
        <f>DATEVALUE(tblLaborEntries[[#This Row],[Work date]])</f>
        <v>45647.0</v>
      </c>
    </row>
    <row r="2775" spans="1:9" ht="15" x14ac:dyDescent="0.25">
      <c r="A2775" s="53" t="inlineStr">
        <is>
          <t>LAB-002774</t>
        </is>
      </c>
      <c r="B2775" s="53" t="inlineStr">
        <is>
          <t>WP-01219</t>
        </is>
      </c>
      <c r="C2775" s="53" t="inlineStr">
        <is>
          <t>TECH-039</t>
        </is>
      </c>
      <c r="D2775" s="53" t="inlineStr">
        <is>
          <t>Hydraulics</t>
        </is>
      </c>
      <c r="E2775" s="53" t="inlineStr">
        <is>
          <t>2024-10-27</t>
        </is>
      </c>
      <c r="F2775" s="53">
        <v>4.8</v>
      </c>
      <c r="G2775" s="53">
        <v>0</v>
      </c>
      <c r="H2775" s="51" t="str">
        <f>TEXT(tblLaborEntries[[#This Row],[Work date serial]]-WEEKDAY(tblLaborEntries[[#This Row],[Work date serial]],3),"yyyy-mm-dd")</f>
        <v>2024-10-21</v>
      </c>
      <c r="I2775" s="64">
        <f>DATEVALUE(tblLaborEntries[[#This Row],[Work date]])</f>
        <v>45592.0</v>
      </c>
    </row>
    <row r="2776" spans="1:9" ht="15" x14ac:dyDescent="0.25">
      <c r="A2776" s="53" t="inlineStr">
        <is>
          <t>LAB-002775</t>
        </is>
      </c>
      <c r="B2776" s="53" t="inlineStr">
        <is>
          <t>WP-01220</t>
        </is>
      </c>
      <c r="C2776" s="53" t="inlineStr">
        <is>
          <t>TECH-015</t>
        </is>
      </c>
      <c r="D2776" s="53" t="inlineStr">
        <is>
          <t>Hydraulics</t>
        </is>
      </c>
      <c r="E2776" s="53" t="inlineStr">
        <is>
          <t>2025-03-19</t>
        </is>
      </c>
      <c r="F2776" s="53">
        <v>5.6</v>
      </c>
      <c r="G2776" s="53">
        <v>0</v>
      </c>
      <c r="H2776" s="51" t="str">
        <f>TEXT(tblLaborEntries[[#This Row],[Work date serial]]-WEEKDAY(tblLaborEntries[[#This Row],[Work date serial]],3),"yyyy-mm-dd")</f>
        <v>2025-03-17</v>
      </c>
      <c r="I2776" s="64">
        <f>DATEVALUE(tblLaborEntries[[#This Row],[Work date]])</f>
        <v>45735.0</v>
      </c>
    </row>
    <row r="2777" spans="1:9" ht="15" x14ac:dyDescent="0.25">
      <c r="A2777" s="53" t="inlineStr">
        <is>
          <t>LAB-002776</t>
        </is>
      </c>
      <c r="B2777" s="53" t="inlineStr">
        <is>
          <t>WP-01221</t>
        </is>
      </c>
      <c r="C2777" s="53" t="inlineStr">
        <is>
          <t>TECH-030</t>
        </is>
      </c>
      <c r="D2777" s="53" t="inlineStr">
        <is>
          <t>Powerplant</t>
        </is>
      </c>
      <c r="E2777" s="53" t="inlineStr">
        <is>
          <t>2025-01-19</t>
        </is>
      </c>
      <c r="F2777" s="53">
        <v>10.3</v>
      </c>
      <c r="G2777" s="53">
        <v>2.3</v>
      </c>
      <c r="H2777" s="51" t="str">
        <f>TEXT(tblLaborEntries[[#This Row],[Work date serial]]-WEEKDAY(tblLaborEntries[[#This Row],[Work date serial]],3),"yyyy-mm-dd")</f>
        <v>2025-01-13</v>
      </c>
      <c r="I2777" s="64">
        <f>DATEVALUE(tblLaborEntries[[#This Row],[Work date]])</f>
        <v>45676.0</v>
      </c>
    </row>
    <row r="2778" spans="1:9" ht="15" x14ac:dyDescent="0.25">
      <c r="A2778" s="53" t="inlineStr">
        <is>
          <t>LAB-002777</t>
        </is>
      </c>
      <c r="B2778" s="53" t="inlineStr">
        <is>
          <t>WP-01221</t>
        </is>
      </c>
      <c r="C2778" s="53" t="inlineStr">
        <is>
          <t>TECH-036</t>
        </is>
      </c>
      <c r="D2778" s="53" t="inlineStr">
        <is>
          <t>Powerplant</t>
        </is>
      </c>
      <c r="E2778" s="53" t="inlineStr">
        <is>
          <t>2025-01-20</t>
        </is>
      </c>
      <c r="F2778" s="53">
        <v>8.4</v>
      </c>
      <c r="G2778" s="53">
        <v>0.4</v>
      </c>
      <c r="H2778" s="51" t="str">
        <f>TEXT(tblLaborEntries[[#This Row],[Work date serial]]-WEEKDAY(tblLaborEntries[[#This Row],[Work date serial]],3),"yyyy-mm-dd")</f>
        <v>2025-01-20</v>
      </c>
      <c r="I2778" s="64">
        <f>DATEVALUE(tblLaborEntries[[#This Row],[Work date]])</f>
        <v>45677.0</v>
      </c>
    </row>
    <row r="2779" spans="1:9" ht="15" x14ac:dyDescent="0.25">
      <c r="A2779" s="53" t="inlineStr">
        <is>
          <t>LAB-002778</t>
        </is>
      </c>
      <c r="B2779" s="53" t="inlineStr">
        <is>
          <t>WP-01222</t>
        </is>
      </c>
      <c r="C2779" s="53" t="inlineStr">
        <is>
          <t>TECH-002</t>
        </is>
      </c>
      <c r="D2779" s="53" t="inlineStr">
        <is>
          <t>Avionics</t>
        </is>
      </c>
      <c r="E2779" s="53" t="inlineStr">
        <is>
          <t>2024-09-14</t>
        </is>
      </c>
      <c r="F2779" s="53">
        <v>0.2</v>
      </c>
      <c r="G2779" s="53">
        <v>0</v>
      </c>
      <c r="H2779" s="51" t="str">
        <f>TEXT(tblLaborEntries[[#This Row],[Work date serial]]-WEEKDAY(tblLaborEntries[[#This Row],[Work date serial]],3),"yyyy-mm-dd")</f>
        <v>2024-09-09</v>
      </c>
      <c r="I2779" s="64">
        <f>DATEVALUE(tblLaborEntries[[#This Row],[Work date]])</f>
        <v>45549.0</v>
      </c>
    </row>
    <row r="2780" spans="1:9" ht="15" x14ac:dyDescent="0.25">
      <c r="A2780" s="53" t="inlineStr">
        <is>
          <t>LAB-002779</t>
        </is>
      </c>
      <c r="B2780" s="53" t="inlineStr">
        <is>
          <t>WP-01222</t>
        </is>
      </c>
      <c r="C2780" s="53" t="inlineStr">
        <is>
          <t>TECH-020</t>
        </is>
      </c>
      <c r="D2780" s="53" t="inlineStr">
        <is>
          <t>Avionics</t>
        </is>
      </c>
      <c r="E2780" s="53" t="inlineStr">
        <is>
          <t>2024-09-14</t>
        </is>
      </c>
      <c r="F2780" s="53">
        <v>12</v>
      </c>
      <c r="G2780" s="53">
        <v>4</v>
      </c>
      <c r="H2780" s="51" t="str">
        <f>TEXT(tblLaborEntries[[#This Row],[Work date serial]]-WEEKDAY(tblLaborEntries[[#This Row],[Work date serial]],3),"yyyy-mm-dd")</f>
        <v>2024-09-09</v>
      </c>
      <c r="I2780" s="64">
        <f>DATEVALUE(tblLaborEntries[[#This Row],[Work date]])</f>
        <v>45549.0</v>
      </c>
    </row>
    <row r="2781" spans="1:9" ht="15" x14ac:dyDescent="0.25">
      <c r="A2781" s="53" t="inlineStr">
        <is>
          <t>LAB-002780</t>
        </is>
      </c>
      <c r="B2781" s="53" t="inlineStr">
        <is>
          <t>WP-01223</t>
        </is>
      </c>
      <c r="C2781" s="53" t="inlineStr">
        <is>
          <t>TECH-006</t>
        </is>
      </c>
      <c r="D2781" s="53" t="inlineStr">
        <is>
          <t>Powerplant</t>
        </is>
      </c>
      <c r="E2781" s="53" t="inlineStr">
        <is>
          <t>2025-12-06</t>
        </is>
      </c>
      <c r="F2781" s="53">
        <v>9.2</v>
      </c>
      <c r="G2781" s="53">
        <v>1.2</v>
      </c>
      <c r="H2781" s="51" t="str">
        <f>TEXT(tblLaborEntries[[#This Row],[Work date serial]]-WEEKDAY(tblLaborEntries[[#This Row],[Work date serial]],3),"yyyy-mm-dd")</f>
        <v>2025-12-01</v>
      </c>
      <c r="I2781" s="64">
        <f>DATEVALUE(tblLaborEntries[[#This Row],[Work date]])</f>
        <v>45997.0</v>
      </c>
    </row>
    <row r="2782" spans="1:9" ht="15" x14ac:dyDescent="0.25">
      <c r="A2782" s="53" t="inlineStr">
        <is>
          <t>LAB-002781</t>
        </is>
      </c>
      <c r="B2782" s="53" t="inlineStr">
        <is>
          <t>WP-01224</t>
        </is>
      </c>
      <c r="C2782" s="53" t="inlineStr">
        <is>
          <t>TECH-008</t>
        </is>
      </c>
      <c r="D2782" s="53" t="inlineStr">
        <is>
          <t>Avionics</t>
        </is>
      </c>
      <c r="E2782" s="53" t="inlineStr">
        <is>
          <t>2024-12-27</t>
        </is>
      </c>
      <c r="F2782" s="53">
        <v>4.4</v>
      </c>
      <c r="G2782" s="53">
        <v>0</v>
      </c>
      <c r="H2782" s="51" t="str">
        <f>TEXT(tblLaborEntries[[#This Row],[Work date serial]]-WEEKDAY(tblLaborEntries[[#This Row],[Work date serial]],3),"yyyy-mm-dd")</f>
        <v>2024-12-23</v>
      </c>
      <c r="I2782" s="64">
        <f>DATEVALUE(tblLaborEntries[[#This Row],[Work date]])</f>
        <v>45653.0</v>
      </c>
    </row>
    <row r="2783" spans="1:9" ht="15" x14ac:dyDescent="0.25">
      <c r="A2783" s="53" t="inlineStr">
        <is>
          <t>LAB-002782</t>
        </is>
      </c>
      <c r="B2783" s="53" t="inlineStr">
        <is>
          <t>WP-01224</t>
        </is>
      </c>
      <c r="C2783" s="53" t="inlineStr">
        <is>
          <t>TECH-044</t>
        </is>
      </c>
      <c r="D2783" s="53" t="inlineStr">
        <is>
          <t>Avionics</t>
        </is>
      </c>
      <c r="E2783" s="53" t="inlineStr">
        <is>
          <t>2024-12-28</t>
        </is>
      </c>
      <c r="F2783" s="53">
        <v>4.3</v>
      </c>
      <c r="G2783" s="53">
        <v>0</v>
      </c>
      <c r="H2783" s="51" t="str">
        <f>TEXT(tblLaborEntries[[#This Row],[Work date serial]]-WEEKDAY(tblLaborEntries[[#This Row],[Work date serial]],3),"yyyy-mm-dd")</f>
        <v>2024-12-23</v>
      </c>
      <c r="I2783" s="64">
        <f>DATEVALUE(tblLaborEntries[[#This Row],[Work date]])</f>
        <v>45654.0</v>
      </c>
    </row>
    <row r="2784" spans="1:9" ht="15" x14ac:dyDescent="0.25">
      <c r="A2784" s="53" t="inlineStr">
        <is>
          <t>LAB-002783</t>
        </is>
      </c>
      <c r="B2784" s="53" t="inlineStr">
        <is>
          <t>WP-01224</t>
        </is>
      </c>
      <c r="C2784" s="53" t="inlineStr">
        <is>
          <t>TECH-026</t>
        </is>
      </c>
      <c r="D2784" s="53" t="inlineStr">
        <is>
          <t>Avionics</t>
        </is>
      </c>
      <c r="E2784" s="53" t="inlineStr">
        <is>
          <t>2024-12-29</t>
        </is>
      </c>
      <c r="F2784" s="53">
        <v>5.2</v>
      </c>
      <c r="G2784" s="53">
        <v>0</v>
      </c>
      <c r="H2784" s="51" t="str">
        <f>TEXT(tblLaborEntries[[#This Row],[Work date serial]]-WEEKDAY(tblLaborEntries[[#This Row],[Work date serial]],3),"yyyy-mm-dd")</f>
        <v>2024-12-23</v>
      </c>
      <c r="I2784" s="64">
        <f>DATEVALUE(tblLaborEntries[[#This Row],[Work date]])</f>
        <v>45655.0</v>
      </c>
    </row>
    <row r="2785" spans="1:9" ht="15" x14ac:dyDescent="0.25">
      <c r="A2785" s="53" t="inlineStr">
        <is>
          <t>LAB-002784</t>
        </is>
      </c>
      <c r="B2785" s="53" t="inlineStr">
        <is>
          <t>WP-01225</t>
        </is>
      </c>
      <c r="C2785" s="53" t="inlineStr">
        <is>
          <t>TECH-007</t>
        </is>
      </c>
      <c r="D2785" s="53" t="inlineStr">
        <is>
          <t>Airframe</t>
        </is>
      </c>
      <c r="E2785" s="53" t="inlineStr">
        <is>
          <t>2025-02-08</t>
        </is>
      </c>
      <c r="F2785" s="53">
        <v>4</v>
      </c>
      <c r="G2785" s="53">
        <v>0</v>
      </c>
      <c r="H2785" s="51" t="str">
        <f>TEXT(tblLaborEntries[[#This Row],[Work date serial]]-WEEKDAY(tblLaborEntries[[#This Row],[Work date serial]],3),"yyyy-mm-dd")</f>
        <v>2025-02-03</v>
      </c>
      <c r="I2785" s="64">
        <f>DATEVALUE(tblLaborEntries[[#This Row],[Work date]])</f>
        <v>45696.0</v>
      </c>
    </row>
    <row r="2786" spans="1:9" ht="15" x14ac:dyDescent="0.25">
      <c r="A2786" s="53" t="inlineStr">
        <is>
          <t>LAB-002785</t>
        </is>
      </c>
      <c r="B2786" s="53" t="inlineStr">
        <is>
          <t>WP-01226</t>
        </is>
      </c>
      <c r="C2786" s="53" t="inlineStr">
        <is>
          <t>TECH-024</t>
        </is>
      </c>
      <c r="D2786" s="53" t="inlineStr">
        <is>
          <t>Powerplant</t>
        </is>
      </c>
      <c r="E2786" s="53" t="inlineStr">
        <is>
          <t>2025-03-25</t>
        </is>
      </c>
      <c r="F2786" s="53">
        <v>6</v>
      </c>
      <c r="G2786" s="53">
        <v>0</v>
      </c>
      <c r="H2786" s="51" t="str">
        <f>TEXT(tblLaborEntries[[#This Row],[Work date serial]]-WEEKDAY(tblLaborEntries[[#This Row],[Work date serial]],3),"yyyy-mm-dd")</f>
        <v>2025-03-24</v>
      </c>
      <c r="I2786" s="64">
        <f>DATEVALUE(tblLaborEntries[[#This Row],[Work date]])</f>
        <v>45741.0</v>
      </c>
    </row>
    <row r="2787" spans="1:9" ht="15" x14ac:dyDescent="0.25">
      <c r="A2787" s="53" t="inlineStr">
        <is>
          <t>LAB-002786</t>
        </is>
      </c>
      <c r="B2787" s="53" t="inlineStr">
        <is>
          <t>WP-01226</t>
        </is>
      </c>
      <c r="C2787" s="53" t="inlineStr">
        <is>
          <t>TECH-006</t>
        </is>
      </c>
      <c r="D2787" s="53" t="inlineStr">
        <is>
          <t>Powerplant</t>
        </is>
      </c>
      <c r="E2787" s="53" t="inlineStr">
        <is>
          <t>2025-03-26</t>
        </is>
      </c>
      <c r="F2787" s="53">
        <v>0.5</v>
      </c>
      <c r="G2787" s="53">
        <v>0</v>
      </c>
      <c r="H2787" s="51" t="str">
        <f>TEXT(tblLaborEntries[[#This Row],[Work date serial]]-WEEKDAY(tblLaborEntries[[#This Row],[Work date serial]],3),"yyyy-mm-dd")</f>
        <v>2025-03-24</v>
      </c>
      <c r="I2787" s="64">
        <f>DATEVALUE(tblLaborEntries[[#This Row],[Work date]])</f>
        <v>45742.0</v>
      </c>
    </row>
    <row r="2788" spans="1:9" ht="15" x14ac:dyDescent="0.25">
      <c r="A2788" s="53" t="inlineStr">
        <is>
          <t>LAB-002787</t>
        </is>
      </c>
      <c r="B2788" s="53" t="inlineStr">
        <is>
          <t>WP-01226</t>
        </is>
      </c>
      <c r="C2788" s="53" t="inlineStr">
        <is>
          <t>TECH-060</t>
        </is>
      </c>
      <c r="D2788" s="53" t="inlineStr">
        <is>
          <t>Powerplant</t>
        </is>
      </c>
      <c r="E2788" s="53" t="inlineStr">
        <is>
          <t>2025-03-26</t>
        </is>
      </c>
      <c r="F2788" s="53">
        <v>5.9</v>
      </c>
      <c r="G2788" s="53">
        <v>4</v>
      </c>
      <c r="H2788" s="51" t="str">
        <f>TEXT(tblLaborEntries[[#This Row],[Work date serial]]-WEEKDAY(tblLaborEntries[[#This Row],[Work date serial]],3),"yyyy-mm-dd")</f>
        <v>2025-03-24</v>
      </c>
      <c r="I2788" s="64">
        <f>DATEVALUE(tblLaborEntries[[#This Row],[Work date]])</f>
        <v>45742.0</v>
      </c>
    </row>
    <row r="2789" spans="1:9" ht="15" x14ac:dyDescent="0.25">
      <c r="A2789" s="53" t="inlineStr">
        <is>
          <t>LAB-002788</t>
        </is>
      </c>
      <c r="B2789" s="53" t="inlineStr">
        <is>
          <t>WP-01227</t>
        </is>
      </c>
      <c r="C2789" s="53" t="inlineStr">
        <is>
          <t>TECH-073</t>
        </is>
      </c>
      <c r="D2789" s="53" t="inlineStr">
        <is>
          <t>Airframe</t>
        </is>
      </c>
      <c r="E2789" s="53" t="inlineStr">
        <is>
          <t>2025-05-10</t>
        </is>
      </c>
      <c r="F2789" s="53">
        <v>5.9</v>
      </c>
      <c r="G2789" s="53">
        <v>0</v>
      </c>
      <c r="H2789" s="51" t="str">
        <f>TEXT(tblLaborEntries[[#This Row],[Work date serial]]-WEEKDAY(tblLaborEntries[[#This Row],[Work date serial]],3),"yyyy-mm-dd")</f>
        <v>2025-05-05</v>
      </c>
      <c r="I2789" s="64">
        <f>DATEVALUE(tblLaborEntries[[#This Row],[Work date]])</f>
        <v>45787.0</v>
      </c>
    </row>
    <row r="2790" spans="1:9" ht="15" x14ac:dyDescent="0.25">
      <c r="A2790" s="53" t="inlineStr">
        <is>
          <t>LAB-002789</t>
        </is>
      </c>
      <c r="B2790" s="53" t="inlineStr">
        <is>
          <t>WP-01227</t>
        </is>
      </c>
      <c r="C2790" s="53" t="inlineStr">
        <is>
          <t>TECH-037</t>
        </is>
      </c>
      <c r="D2790" s="53" t="inlineStr">
        <is>
          <t>Airframe</t>
        </is>
      </c>
      <c r="E2790" s="53" t="inlineStr">
        <is>
          <t>2025-05-11</t>
        </is>
      </c>
      <c r="F2790" s="53">
        <v>5.9</v>
      </c>
      <c r="G2790" s="53">
        <v>0</v>
      </c>
      <c r="H2790" s="51" t="str">
        <f>TEXT(tblLaborEntries[[#This Row],[Work date serial]]-WEEKDAY(tblLaborEntries[[#This Row],[Work date serial]],3),"yyyy-mm-dd")</f>
        <v>2025-05-05</v>
      </c>
      <c r="I2790" s="64">
        <f>DATEVALUE(tblLaborEntries[[#This Row],[Work date]])</f>
        <v>45788.0</v>
      </c>
    </row>
    <row r="2791" spans="1:9" ht="15" x14ac:dyDescent="0.25">
      <c r="A2791" s="53" t="inlineStr">
        <is>
          <t>LAB-002790</t>
        </is>
      </c>
      <c r="B2791" s="53" t="inlineStr">
        <is>
          <t>WP-01228</t>
        </is>
      </c>
      <c r="C2791" s="53" t="inlineStr">
        <is>
          <t>TECH-074</t>
        </is>
      </c>
      <c r="D2791" s="53" t="inlineStr">
        <is>
          <t>Avionics</t>
        </is>
      </c>
      <c r="E2791" s="53" t="inlineStr">
        <is>
          <t>2025-04-17</t>
        </is>
      </c>
      <c r="F2791" s="53">
        <v>9.1</v>
      </c>
      <c r="G2791" s="53">
        <v>1.1</v>
      </c>
      <c r="H2791" s="51" t="str">
        <f>TEXT(tblLaborEntries[[#This Row],[Work date serial]]-WEEKDAY(tblLaborEntries[[#This Row],[Work date serial]],3),"yyyy-mm-dd")</f>
        <v>2025-04-14</v>
      </c>
      <c r="I2791" s="64">
        <f>DATEVALUE(tblLaborEntries[[#This Row],[Work date]])</f>
        <v>45764.0</v>
      </c>
    </row>
    <row r="2792" spans="1:9" ht="15" x14ac:dyDescent="0.25">
      <c r="A2792" s="53" t="inlineStr">
        <is>
          <t>LAB-002791</t>
        </is>
      </c>
      <c r="B2792" s="53" t="inlineStr">
        <is>
          <t>WP-01228</t>
        </is>
      </c>
      <c r="C2792" s="53" t="inlineStr">
        <is>
          <t>TECH-002</t>
        </is>
      </c>
      <c r="D2792" s="53" t="inlineStr">
        <is>
          <t>Avionics</t>
        </is>
      </c>
      <c r="E2792" s="53" t="inlineStr">
        <is>
          <t>2025-04-18</t>
        </is>
      </c>
      <c r="F2792" s="53">
        <v>3.5</v>
      </c>
      <c r="G2792" s="53">
        <v>0</v>
      </c>
      <c r="H2792" s="51" t="str">
        <f>TEXT(tblLaborEntries[[#This Row],[Work date serial]]-WEEKDAY(tblLaborEntries[[#This Row],[Work date serial]],3),"yyyy-mm-dd")</f>
        <v>2025-04-14</v>
      </c>
      <c r="I2792" s="64">
        <f>DATEVALUE(tblLaborEntries[[#This Row],[Work date]])</f>
        <v>45765.0</v>
      </c>
    </row>
    <row r="2793" spans="1:9" ht="15" x14ac:dyDescent="0.25">
      <c r="A2793" s="53" t="inlineStr">
        <is>
          <t>LAB-002792</t>
        </is>
      </c>
      <c r="B2793" s="53" t="inlineStr">
        <is>
          <t>WP-01228</t>
        </is>
      </c>
      <c r="C2793" s="53" t="inlineStr">
        <is>
          <t>TECH-014</t>
        </is>
      </c>
      <c r="D2793" s="53" t="inlineStr">
        <is>
          <t>Avionics</t>
        </is>
      </c>
      <c r="E2793" s="53" t="inlineStr">
        <is>
          <t>2025-04-18</t>
        </is>
      </c>
      <c r="F2793" s="53">
        <v>5.8</v>
      </c>
      <c r="G2793" s="53">
        <v>0</v>
      </c>
      <c r="H2793" s="51" t="str">
        <f>TEXT(tblLaborEntries[[#This Row],[Work date serial]]-WEEKDAY(tblLaborEntries[[#This Row],[Work date serial]],3),"yyyy-mm-dd")</f>
        <v>2025-04-14</v>
      </c>
      <c r="I2793" s="64">
        <f>DATEVALUE(tblLaborEntries[[#This Row],[Work date]])</f>
        <v>45765.0</v>
      </c>
    </row>
    <row r="2794" spans="1:9" ht="15" x14ac:dyDescent="0.25">
      <c r="A2794" s="53" t="inlineStr">
        <is>
          <t>LAB-002793</t>
        </is>
      </c>
      <c r="B2794" s="53" t="inlineStr">
        <is>
          <t>WP-01229</t>
        </is>
      </c>
      <c r="C2794" s="53" t="inlineStr">
        <is>
          <t>TECH-056</t>
        </is>
      </c>
      <c r="D2794" s="53" t="inlineStr">
        <is>
          <t>Avionics</t>
        </is>
      </c>
      <c r="E2794" s="53" t="inlineStr">
        <is>
          <t>2024-01-18</t>
        </is>
      </c>
      <c r="F2794" s="53">
        <v>2.9</v>
      </c>
      <c r="G2794" s="53">
        <v>0</v>
      </c>
      <c r="H2794" s="51" t="str">
        <f>TEXT(tblLaborEntries[[#This Row],[Work date serial]]-WEEKDAY(tblLaborEntries[[#This Row],[Work date serial]],3),"yyyy-mm-dd")</f>
        <v>2024-01-15</v>
      </c>
      <c r="I2794" s="64">
        <f>DATEVALUE(tblLaborEntries[[#This Row],[Work date]])</f>
        <v>45309.0</v>
      </c>
    </row>
    <row r="2795" spans="1:9" ht="15" x14ac:dyDescent="0.25">
      <c r="A2795" s="53" t="inlineStr">
        <is>
          <t>LAB-002794</t>
        </is>
      </c>
      <c r="B2795" s="53" t="inlineStr">
        <is>
          <t>WP-01229</t>
        </is>
      </c>
      <c r="C2795" s="53" t="inlineStr">
        <is>
          <t>TECH-062</t>
        </is>
      </c>
      <c r="D2795" s="53" t="inlineStr">
        <is>
          <t>Avionics</t>
        </is>
      </c>
      <c r="E2795" s="53" t="inlineStr">
        <is>
          <t>2024-01-19</t>
        </is>
      </c>
      <c r="F2795" s="53">
        <v>2.7</v>
      </c>
      <c r="G2795" s="53">
        <v>0</v>
      </c>
      <c r="H2795" s="51" t="str">
        <f>TEXT(tblLaborEntries[[#This Row],[Work date serial]]-WEEKDAY(tblLaborEntries[[#This Row],[Work date serial]],3),"yyyy-mm-dd")</f>
        <v>2024-01-15</v>
      </c>
      <c r="I2795" s="64">
        <f>DATEVALUE(tblLaborEntries[[#This Row],[Work date]])</f>
        <v>45310.0</v>
      </c>
    </row>
    <row r="2796" spans="1:9" ht="15" x14ac:dyDescent="0.25">
      <c r="A2796" s="53" t="inlineStr">
        <is>
          <t>LAB-002795</t>
        </is>
      </c>
      <c r="B2796" s="53" t="inlineStr">
        <is>
          <t>WP-01229</t>
        </is>
      </c>
      <c r="C2796" s="53" t="inlineStr">
        <is>
          <t>TECH-068</t>
        </is>
      </c>
      <c r="D2796" s="53" t="inlineStr">
        <is>
          <t>Avionics</t>
        </is>
      </c>
      <c r="E2796" s="53" t="inlineStr">
        <is>
          <t>2024-01-20</t>
        </is>
      </c>
      <c r="F2796" s="53">
        <v>2.9</v>
      </c>
      <c r="G2796" s="53">
        <v>0</v>
      </c>
      <c r="H2796" s="51" t="str">
        <f>TEXT(tblLaborEntries[[#This Row],[Work date serial]]-WEEKDAY(tblLaborEntries[[#This Row],[Work date serial]],3),"yyyy-mm-dd")</f>
        <v>2024-01-15</v>
      </c>
      <c r="I2796" s="64">
        <f>DATEVALUE(tblLaborEntries[[#This Row],[Work date]])</f>
        <v>45311.0</v>
      </c>
    </row>
    <row r="2797" spans="1:9" ht="15" x14ac:dyDescent="0.25">
      <c r="A2797" s="53" t="inlineStr">
        <is>
          <t>LAB-002796</t>
        </is>
      </c>
      <c r="B2797" s="53" t="inlineStr">
        <is>
          <t>WP-01230</t>
        </is>
      </c>
      <c r="C2797" s="53" t="inlineStr">
        <is>
          <t>TECH-036</t>
        </is>
      </c>
      <c r="D2797" s="53" t="inlineStr">
        <is>
          <t>Powerplant</t>
        </is>
      </c>
      <c r="E2797" s="53" t="inlineStr">
        <is>
          <t>2025-01-14</t>
        </is>
      </c>
      <c r="F2797" s="53">
        <v>4.9</v>
      </c>
      <c r="G2797" s="53">
        <v>0</v>
      </c>
      <c r="H2797" s="51" t="str">
        <f>TEXT(tblLaborEntries[[#This Row],[Work date serial]]-WEEKDAY(tblLaborEntries[[#This Row],[Work date serial]],3),"yyyy-mm-dd")</f>
        <v>2025-01-13</v>
      </c>
      <c r="I2797" s="64">
        <f>DATEVALUE(tblLaborEntries[[#This Row],[Work date]])</f>
        <v>45671.0</v>
      </c>
    </row>
    <row r="2798" spans="1:9" ht="15" x14ac:dyDescent="0.25">
      <c r="A2798" s="53" t="inlineStr">
        <is>
          <t>LAB-002797</t>
        </is>
      </c>
      <c r="B2798" s="53" t="inlineStr">
        <is>
          <t>WP-01230</t>
        </is>
      </c>
      <c r="C2798" s="53" t="inlineStr">
        <is>
          <t>TECH-006</t>
        </is>
      </c>
      <c r="D2798" s="53" t="inlineStr">
        <is>
          <t>Powerplant</t>
        </is>
      </c>
      <c r="E2798" s="53" t="inlineStr">
        <is>
          <t>2025-01-15</t>
        </is>
      </c>
      <c r="F2798" s="53">
        <v>5</v>
      </c>
      <c r="G2798" s="53">
        <v>0</v>
      </c>
      <c r="H2798" s="51" t="str">
        <f>TEXT(tblLaborEntries[[#This Row],[Work date serial]]-WEEKDAY(tblLaborEntries[[#This Row],[Work date serial]],3),"yyyy-mm-dd")</f>
        <v>2025-01-13</v>
      </c>
      <c r="I2798" s="64">
        <f>DATEVALUE(tblLaborEntries[[#This Row],[Work date]])</f>
        <v>45672.0</v>
      </c>
    </row>
    <row r="2799" spans="1:9" ht="15" x14ac:dyDescent="0.25">
      <c r="A2799" s="53" t="inlineStr">
        <is>
          <t>LAB-002798</t>
        </is>
      </c>
      <c r="B2799" s="53" t="inlineStr">
        <is>
          <t>WP-01231</t>
        </is>
      </c>
      <c r="C2799" s="53" t="inlineStr">
        <is>
          <t>TECH-067</t>
        </is>
      </c>
      <c r="D2799" s="53" t="inlineStr">
        <is>
          <t>Airframe</t>
        </is>
      </c>
      <c r="E2799" s="53" t="inlineStr">
        <is>
          <t>2025-06-19</t>
        </is>
      </c>
      <c r="F2799" s="53">
        <v>4</v>
      </c>
      <c r="G2799" s="53">
        <v>0</v>
      </c>
      <c r="H2799" s="51" t="str">
        <f>TEXT(tblLaborEntries[[#This Row],[Work date serial]]-WEEKDAY(tblLaborEntries[[#This Row],[Work date serial]],3),"yyyy-mm-dd")</f>
        <v>2025-06-16</v>
      </c>
      <c r="I2799" s="64">
        <f>DATEVALUE(tblLaborEntries[[#This Row],[Work date]])</f>
        <v>45827.0</v>
      </c>
    </row>
    <row r="2800" spans="1:9" ht="15" x14ac:dyDescent="0.25">
      <c r="A2800" s="53" t="inlineStr">
        <is>
          <t>LAB-002799</t>
        </is>
      </c>
      <c r="B2800" s="53" t="inlineStr">
        <is>
          <t>WP-01231</t>
        </is>
      </c>
      <c r="C2800" s="53" t="inlineStr">
        <is>
          <t>TECH-019</t>
        </is>
      </c>
      <c r="D2800" s="53" t="inlineStr">
        <is>
          <t>Airframe</t>
        </is>
      </c>
      <c r="E2800" s="53" t="inlineStr">
        <is>
          <t>2025-06-20</t>
        </is>
      </c>
      <c r="F2800" s="53">
        <v>3.1</v>
      </c>
      <c r="G2800" s="53">
        <v>0</v>
      </c>
      <c r="H2800" s="51" t="str">
        <f>TEXT(tblLaborEntries[[#This Row],[Work date serial]]-WEEKDAY(tblLaborEntries[[#This Row],[Work date serial]],3),"yyyy-mm-dd")</f>
        <v>2025-06-16</v>
      </c>
      <c r="I2800" s="64">
        <f>DATEVALUE(tblLaborEntries[[#This Row],[Work date]])</f>
        <v>45828.0</v>
      </c>
    </row>
    <row r="2801" spans="1:9" ht="15" x14ac:dyDescent="0.25">
      <c r="A2801" s="53" t="inlineStr">
        <is>
          <t>LAB-002800</t>
        </is>
      </c>
      <c r="B2801" s="53" t="inlineStr">
        <is>
          <t>WP-01232</t>
        </is>
      </c>
      <c r="C2801" s="53" t="inlineStr">
        <is>
          <t>TECH-031</t>
        </is>
      </c>
      <c r="D2801" s="53" t="inlineStr">
        <is>
          <t>Airframe</t>
        </is>
      </c>
      <c r="E2801" s="53" t="inlineStr">
        <is>
          <t>2025-07-26</t>
        </is>
      </c>
      <c r="F2801" s="53">
        <v>5.3</v>
      </c>
      <c r="G2801" s="53">
        <v>0</v>
      </c>
      <c r="H2801" s="51" t="str">
        <f>TEXT(tblLaborEntries[[#This Row],[Work date serial]]-WEEKDAY(tblLaborEntries[[#This Row],[Work date serial]],3),"yyyy-mm-dd")</f>
        <v>2025-07-21</v>
      </c>
      <c r="I2801" s="64">
        <f>DATEVALUE(tblLaborEntries[[#This Row],[Work date]])</f>
        <v>45864.0</v>
      </c>
    </row>
    <row r="2802" spans="1:9" ht="15" x14ac:dyDescent="0.25">
      <c r="A2802" s="53" t="inlineStr">
        <is>
          <t>LAB-002801</t>
        </is>
      </c>
      <c r="B2802" s="53" t="inlineStr">
        <is>
          <t>WP-01232</t>
        </is>
      </c>
      <c r="C2802" s="53" t="inlineStr">
        <is>
          <t>TECH-013</t>
        </is>
      </c>
      <c r="D2802" s="53" t="inlineStr">
        <is>
          <t>Airframe</t>
        </is>
      </c>
      <c r="E2802" s="53" t="inlineStr">
        <is>
          <t>2025-07-27</t>
        </is>
      </c>
      <c r="F2802" s="53">
        <v>5.4</v>
      </c>
      <c r="G2802" s="53">
        <v>0</v>
      </c>
      <c r="H2802" s="51" t="str">
        <f>TEXT(tblLaborEntries[[#This Row],[Work date serial]]-WEEKDAY(tblLaborEntries[[#This Row],[Work date serial]],3),"yyyy-mm-dd")</f>
        <v>2025-07-21</v>
      </c>
      <c r="I2802" s="64">
        <f>DATEVALUE(tblLaborEntries[[#This Row],[Work date]])</f>
        <v>45865.0</v>
      </c>
    </row>
    <row r="2803" spans="1:9" ht="15" x14ac:dyDescent="0.25">
      <c r="A2803" s="53" t="inlineStr">
        <is>
          <t>LAB-002802</t>
        </is>
      </c>
      <c r="B2803" s="53" t="inlineStr">
        <is>
          <t>WP-01233</t>
        </is>
      </c>
      <c r="C2803" s="53" t="inlineStr">
        <is>
          <t>TECH-058</t>
        </is>
      </c>
      <c r="D2803" s="53" t="inlineStr">
        <is>
          <t>Electrical</t>
        </is>
      </c>
      <c r="E2803" s="53" t="inlineStr">
        <is>
          <t>2024-10-01</t>
        </is>
      </c>
      <c r="F2803" s="53">
        <v>4.6</v>
      </c>
      <c r="G2803" s="53">
        <v>0</v>
      </c>
      <c r="H2803" s="51" t="str">
        <f>TEXT(tblLaborEntries[[#This Row],[Work date serial]]-WEEKDAY(tblLaborEntries[[#This Row],[Work date serial]],3),"yyyy-mm-dd")</f>
        <v>2024-09-30</v>
      </c>
      <c r="I2803" s="64">
        <f>DATEVALUE(tblLaborEntries[[#This Row],[Work date]])</f>
        <v>45566.0</v>
      </c>
    </row>
    <row r="2804" spans="1:9" ht="15" x14ac:dyDescent="0.25">
      <c r="A2804" s="53" t="inlineStr">
        <is>
          <t>LAB-002803</t>
        </is>
      </c>
      <c r="B2804" s="53" t="inlineStr">
        <is>
          <t>WP-01233</t>
        </is>
      </c>
      <c r="C2804" s="53" t="inlineStr">
        <is>
          <t>TECH-058</t>
        </is>
      </c>
      <c r="D2804" s="53" t="inlineStr">
        <is>
          <t>Electrical</t>
        </is>
      </c>
      <c r="E2804" s="53" t="inlineStr">
        <is>
          <t>2024-10-02</t>
        </is>
      </c>
      <c r="F2804" s="53">
        <v>4.3</v>
      </c>
      <c r="G2804" s="53">
        <v>0</v>
      </c>
      <c r="H2804" s="51" t="str">
        <f>TEXT(tblLaborEntries[[#This Row],[Work date serial]]-WEEKDAY(tblLaborEntries[[#This Row],[Work date serial]],3),"yyyy-mm-dd")</f>
        <v>2024-09-30</v>
      </c>
      <c r="I2804" s="64">
        <f>DATEVALUE(tblLaborEntries[[#This Row],[Work date]])</f>
        <v>45567.0</v>
      </c>
    </row>
    <row r="2805" spans="1:9" ht="15" x14ac:dyDescent="0.25">
      <c r="A2805" s="53" t="inlineStr">
        <is>
          <t>LAB-002804</t>
        </is>
      </c>
      <c r="B2805" s="53" t="inlineStr">
        <is>
          <t>WP-01233</t>
        </is>
      </c>
      <c r="C2805" s="53" t="inlineStr">
        <is>
          <t>TECH-028</t>
        </is>
      </c>
      <c r="D2805" s="53" t="inlineStr">
        <is>
          <t>Electrical</t>
        </is>
      </c>
      <c r="E2805" s="53" t="inlineStr">
        <is>
          <t>2024-10-03</t>
        </is>
      </c>
      <c r="F2805" s="53">
        <v>4.8</v>
      </c>
      <c r="G2805" s="53">
        <v>0</v>
      </c>
      <c r="H2805" s="51" t="str">
        <f>TEXT(tblLaborEntries[[#This Row],[Work date serial]]-WEEKDAY(tblLaborEntries[[#This Row],[Work date serial]],3),"yyyy-mm-dd")</f>
        <v>2024-09-30</v>
      </c>
      <c r="I2805" s="64">
        <f>DATEVALUE(tblLaborEntries[[#This Row],[Work date]])</f>
        <v>45568.0</v>
      </c>
    </row>
    <row r="2806" spans="1:9" ht="15" x14ac:dyDescent="0.25">
      <c r="A2806" s="53" t="inlineStr">
        <is>
          <t>LAB-002805</t>
        </is>
      </c>
      <c r="B2806" s="53" t="inlineStr">
        <is>
          <t>WP-01234</t>
        </is>
      </c>
      <c r="C2806" s="53" t="inlineStr">
        <is>
          <t>TECH-038</t>
        </is>
      </c>
      <c r="D2806" s="53" t="inlineStr">
        <is>
          <t>Avionics</t>
        </is>
      </c>
      <c r="E2806" s="53" t="inlineStr">
        <is>
          <t>2024-08-09</t>
        </is>
      </c>
      <c r="F2806" s="53">
        <v>3.8</v>
      </c>
      <c r="G2806" s="53">
        <v>0</v>
      </c>
      <c r="H2806" s="51" t="str">
        <f>TEXT(tblLaborEntries[[#This Row],[Work date serial]]-WEEKDAY(tblLaborEntries[[#This Row],[Work date serial]],3),"yyyy-mm-dd")</f>
        <v>2024-08-05</v>
      </c>
      <c r="I2806" s="64">
        <f>DATEVALUE(tblLaborEntries[[#This Row],[Work date]])</f>
        <v>45513.0</v>
      </c>
    </row>
    <row r="2807" spans="1:9" ht="15" x14ac:dyDescent="0.25">
      <c r="A2807" s="53" t="inlineStr">
        <is>
          <t>LAB-002806</t>
        </is>
      </c>
      <c r="B2807" s="53" t="inlineStr">
        <is>
          <t>WP-01234</t>
        </is>
      </c>
      <c r="C2807" s="53" t="inlineStr">
        <is>
          <t>TECH-044</t>
        </is>
      </c>
      <c r="D2807" s="53" t="inlineStr">
        <is>
          <t>Avionics</t>
        </is>
      </c>
      <c r="E2807" s="53" t="inlineStr">
        <is>
          <t>2024-08-10</t>
        </is>
      </c>
      <c r="F2807" s="53">
        <v>5.8</v>
      </c>
      <c r="G2807" s="53">
        <v>0</v>
      </c>
      <c r="H2807" s="51" t="str">
        <f>TEXT(tblLaborEntries[[#This Row],[Work date serial]]-WEEKDAY(tblLaborEntries[[#This Row],[Work date serial]],3),"yyyy-mm-dd")</f>
        <v>2024-08-05</v>
      </c>
      <c r="I2807" s="64">
        <f>DATEVALUE(tblLaborEntries[[#This Row],[Work date]])</f>
        <v>45514.0</v>
      </c>
    </row>
    <row r="2808" spans="1:9" ht="15" x14ac:dyDescent="0.25">
      <c r="A2808" s="53" t="inlineStr">
        <is>
          <t>LAB-002807</t>
        </is>
      </c>
      <c r="B2808" s="53" t="inlineStr">
        <is>
          <t>WP-01235</t>
        </is>
      </c>
      <c r="C2808" s="53" t="inlineStr">
        <is>
          <t>TECH-067</t>
        </is>
      </c>
      <c r="D2808" s="53" t="inlineStr">
        <is>
          <t>Airframe</t>
        </is>
      </c>
      <c r="E2808" s="53" t="inlineStr">
        <is>
          <t>2025-10-01</t>
        </is>
      </c>
      <c r="F2808" s="53">
        <v>9.7</v>
      </c>
      <c r="G2808" s="53">
        <v>1.7</v>
      </c>
      <c r="H2808" s="51" t="str">
        <f>TEXT(tblLaborEntries[[#This Row],[Work date serial]]-WEEKDAY(tblLaborEntries[[#This Row],[Work date serial]],3),"yyyy-mm-dd")</f>
        <v>2025-09-29</v>
      </c>
      <c r="I2808" s="64">
        <f>DATEVALUE(tblLaborEntries[[#This Row],[Work date]])</f>
        <v>45931.0</v>
      </c>
    </row>
    <row r="2809" spans="1:9" ht="15" x14ac:dyDescent="0.25">
      <c r="A2809" s="53" t="inlineStr">
        <is>
          <t>LAB-002808</t>
        </is>
      </c>
      <c r="B2809" s="53" t="inlineStr">
        <is>
          <t>WP-01235</t>
        </is>
      </c>
      <c r="C2809" s="53" t="inlineStr">
        <is>
          <t>TECH-031</t>
        </is>
      </c>
      <c r="D2809" s="53" t="inlineStr">
        <is>
          <t>Airframe</t>
        </is>
      </c>
      <c r="E2809" s="53" t="inlineStr">
        <is>
          <t>2025-10-02</t>
        </is>
      </c>
      <c r="F2809" s="53">
        <v>7.4</v>
      </c>
      <c r="G2809" s="53">
        <v>0</v>
      </c>
      <c r="H2809" s="51" t="str">
        <f>TEXT(tblLaborEntries[[#This Row],[Work date serial]]-WEEKDAY(tblLaborEntries[[#This Row],[Work date serial]],3),"yyyy-mm-dd")</f>
        <v>2025-09-29</v>
      </c>
      <c r="I2809" s="64">
        <f>DATEVALUE(tblLaborEntries[[#This Row],[Work date]])</f>
        <v>45932.0</v>
      </c>
    </row>
    <row r="2810" spans="1:9" ht="15" x14ac:dyDescent="0.25">
      <c r="A2810" s="53" t="inlineStr">
        <is>
          <t>LAB-002809</t>
        </is>
      </c>
      <c r="B2810" s="53" t="inlineStr">
        <is>
          <t>WP-01236</t>
        </is>
      </c>
      <c r="C2810" s="53" t="inlineStr">
        <is>
          <t>TECH-069</t>
        </is>
      </c>
      <c r="D2810" s="53" t="inlineStr">
        <is>
          <t>Hydraulics</t>
        </is>
      </c>
      <c r="E2810" s="53" t="inlineStr">
        <is>
          <t>2024-08-24</t>
        </is>
      </c>
      <c r="F2810" s="53">
        <v>5.7</v>
      </c>
      <c r="G2810" s="53">
        <v>0</v>
      </c>
      <c r="H2810" s="51" t="str">
        <f>TEXT(tblLaborEntries[[#This Row],[Work date serial]]-WEEKDAY(tblLaborEntries[[#This Row],[Work date serial]],3),"yyyy-mm-dd")</f>
        <v>2024-08-19</v>
      </c>
      <c r="I2810" s="64">
        <f>DATEVALUE(tblLaborEntries[[#This Row],[Work date]])</f>
        <v>45528.0</v>
      </c>
    </row>
    <row r="2811" spans="1:9" ht="15" x14ac:dyDescent="0.25">
      <c r="A2811" s="53" t="inlineStr">
        <is>
          <t>LAB-002810</t>
        </is>
      </c>
      <c r="B2811" s="53" t="inlineStr">
        <is>
          <t>WP-01236</t>
        </is>
      </c>
      <c r="C2811" s="53" t="inlineStr">
        <is>
          <t>TECH-021</t>
        </is>
      </c>
      <c r="D2811" s="53" t="inlineStr">
        <is>
          <t>Hydraulics</t>
        </is>
      </c>
      <c r="E2811" s="53" t="inlineStr">
        <is>
          <t>2024-08-25</t>
        </is>
      </c>
      <c r="F2811" s="53">
        <v>7.1</v>
      </c>
      <c r="G2811" s="53">
        <v>0</v>
      </c>
      <c r="H2811" s="51" t="str">
        <f>TEXT(tblLaborEntries[[#This Row],[Work date serial]]-WEEKDAY(tblLaborEntries[[#This Row],[Work date serial]],3),"yyyy-mm-dd")</f>
        <v>2024-08-19</v>
      </c>
      <c r="I2811" s="64">
        <f>DATEVALUE(tblLaborEntries[[#This Row],[Work date]])</f>
        <v>45529.0</v>
      </c>
    </row>
    <row r="2812" spans="1:9" ht="15" x14ac:dyDescent="0.25">
      <c r="A2812" s="53" t="inlineStr">
        <is>
          <t>LAB-002811</t>
        </is>
      </c>
      <c r="B2812" s="53" t="inlineStr">
        <is>
          <t>WP-01236</t>
        </is>
      </c>
      <c r="C2812" s="53" t="inlineStr">
        <is>
          <t>TECH-051</t>
        </is>
      </c>
      <c r="D2812" s="53" t="inlineStr">
        <is>
          <t>Hydraulics</t>
        </is>
      </c>
      <c r="E2812" s="53" t="inlineStr">
        <is>
          <t>2024-08-26</t>
        </is>
      </c>
      <c r="F2812" s="53">
        <v>6</v>
      </c>
      <c r="G2812" s="53">
        <v>0</v>
      </c>
      <c r="H2812" s="51" t="str">
        <f>TEXT(tblLaborEntries[[#This Row],[Work date serial]]-WEEKDAY(tblLaborEntries[[#This Row],[Work date serial]],3),"yyyy-mm-dd")</f>
        <v>2024-08-26</v>
      </c>
      <c r="I2812" s="64">
        <f>DATEVALUE(tblLaborEntries[[#This Row],[Work date]])</f>
        <v>45530.0</v>
      </c>
    </row>
    <row r="2813" spans="1:9" ht="15" x14ac:dyDescent="0.25">
      <c r="A2813" s="53" t="inlineStr">
        <is>
          <t>LAB-002812</t>
        </is>
      </c>
      <c r="B2813" s="53" t="inlineStr">
        <is>
          <t>WP-01237</t>
        </is>
      </c>
      <c r="C2813" s="53" t="inlineStr">
        <is>
          <t>TECH-057</t>
        </is>
      </c>
      <c r="D2813" s="53" t="inlineStr">
        <is>
          <t>Hydraulics</t>
        </is>
      </c>
      <c r="E2813" s="53" t="inlineStr">
        <is>
          <t>2025-08-16</t>
        </is>
      </c>
      <c r="F2813" s="53">
        <v>8.7</v>
      </c>
      <c r="G2813" s="53">
        <v>0.7</v>
      </c>
      <c r="H2813" s="51" t="str">
        <f>TEXT(tblLaborEntries[[#This Row],[Work date serial]]-WEEKDAY(tblLaborEntries[[#This Row],[Work date serial]],3),"yyyy-mm-dd")</f>
        <v>2025-08-11</v>
      </c>
      <c r="I2813" s="64">
        <f>DATEVALUE(tblLaborEntries[[#This Row],[Work date]])</f>
        <v>45885.0</v>
      </c>
    </row>
    <row r="2814" spans="1:9" ht="15" x14ac:dyDescent="0.25">
      <c r="A2814" s="53" t="inlineStr">
        <is>
          <t>LAB-002813</t>
        </is>
      </c>
      <c r="B2814" s="53" t="inlineStr">
        <is>
          <t>WP-01238</t>
        </is>
      </c>
      <c r="C2814" s="53" t="inlineStr">
        <is>
          <t>TECH-030</t>
        </is>
      </c>
      <c r="D2814" s="53" t="inlineStr">
        <is>
          <t>Powerplant</t>
        </is>
      </c>
      <c r="E2814" s="53" t="inlineStr">
        <is>
          <t>2025-09-03</t>
        </is>
      </c>
      <c r="F2814" s="53">
        <v>4.3</v>
      </c>
      <c r="G2814" s="53">
        <v>0</v>
      </c>
      <c r="H2814" s="51" t="str">
        <f>TEXT(tblLaborEntries[[#This Row],[Work date serial]]-WEEKDAY(tblLaborEntries[[#This Row],[Work date serial]],3),"yyyy-mm-dd")</f>
        <v>2025-09-01</v>
      </c>
      <c r="I2814" s="64">
        <f>DATEVALUE(tblLaborEntries[[#This Row],[Work date]])</f>
        <v>45903.0</v>
      </c>
    </row>
    <row r="2815" spans="1:9" ht="15" x14ac:dyDescent="0.25">
      <c r="A2815" s="53" t="inlineStr">
        <is>
          <t>LAB-002814</t>
        </is>
      </c>
      <c r="B2815" s="53" t="inlineStr">
        <is>
          <t>WP-01238</t>
        </is>
      </c>
      <c r="C2815" s="53" t="inlineStr">
        <is>
          <t>TECH-060</t>
        </is>
      </c>
      <c r="D2815" s="53" t="inlineStr">
        <is>
          <t>Powerplant</t>
        </is>
      </c>
      <c r="E2815" s="53" t="inlineStr">
        <is>
          <t>2025-09-03</t>
        </is>
      </c>
      <c r="F2815" s="53">
        <v>12</v>
      </c>
      <c r="G2815" s="53">
        <v>4</v>
      </c>
      <c r="H2815" s="51" t="str">
        <f>TEXT(tblLaborEntries[[#This Row],[Work date serial]]-WEEKDAY(tblLaborEntries[[#This Row],[Work date serial]],3),"yyyy-mm-dd")</f>
        <v>2025-09-01</v>
      </c>
      <c r="I2815" s="64">
        <f>DATEVALUE(tblLaborEntries[[#This Row],[Work date]])</f>
        <v>45903.0</v>
      </c>
    </row>
    <row r="2816" spans="1:9" ht="15" x14ac:dyDescent="0.25">
      <c r="A2816" s="53" t="inlineStr">
        <is>
          <t>LAB-002815</t>
        </is>
      </c>
      <c r="B2816" s="53" t="inlineStr">
        <is>
          <t>WP-01239</t>
        </is>
      </c>
      <c r="C2816" s="53" t="inlineStr">
        <is>
          <t>TECH-005</t>
        </is>
      </c>
      <c r="D2816" s="53" t="inlineStr">
        <is>
          <t>Structures</t>
        </is>
      </c>
      <c r="E2816" s="53" t="inlineStr">
        <is>
          <t>2025-11-27</t>
        </is>
      </c>
      <c r="F2816" s="53">
        <v>12</v>
      </c>
      <c r="G2816" s="53">
        <v>4</v>
      </c>
      <c r="H2816" s="51" t="str">
        <f>TEXT(tblLaborEntries[[#This Row],[Work date serial]]-WEEKDAY(tblLaborEntries[[#This Row],[Work date serial]],3),"yyyy-mm-dd")</f>
        <v>2025-11-24</v>
      </c>
      <c r="I2816" s="64">
        <f>DATEVALUE(tblLaborEntries[[#This Row],[Work date]])</f>
        <v>45988.0</v>
      </c>
    </row>
    <row r="2817" spans="1:9" ht="15" x14ac:dyDescent="0.25">
      <c r="A2817" s="53" t="inlineStr">
        <is>
          <t>LAB-002816</t>
        </is>
      </c>
      <c r="B2817" s="53" t="inlineStr">
        <is>
          <t>WP-01239</t>
        </is>
      </c>
      <c r="C2817" s="53" t="inlineStr">
        <is>
          <t>TECH-011</t>
        </is>
      </c>
      <c r="D2817" s="53" t="inlineStr">
        <is>
          <t>Structures</t>
        </is>
      </c>
      <c r="E2817" s="53" t="inlineStr">
        <is>
          <t>2025-11-27</t>
        </is>
      </c>
      <c r="F2817" s="53">
        <v>2.5</v>
      </c>
      <c r="G2817" s="53">
        <v>0</v>
      </c>
      <c r="H2817" s="51" t="str">
        <f>TEXT(tblLaborEntries[[#This Row],[Work date serial]]-WEEKDAY(tblLaborEntries[[#This Row],[Work date serial]],3),"yyyy-mm-dd")</f>
        <v>2025-11-24</v>
      </c>
      <c r="I2817" s="64">
        <f>DATEVALUE(tblLaborEntries[[#This Row],[Work date]])</f>
        <v>45988.0</v>
      </c>
    </row>
    <row r="2818" spans="1:9" ht="15" x14ac:dyDescent="0.25">
      <c r="A2818" s="53" t="inlineStr">
        <is>
          <t>LAB-002817</t>
        </is>
      </c>
      <c r="B2818" s="53" t="inlineStr">
        <is>
          <t>WP-01240</t>
        </is>
      </c>
      <c r="C2818" s="53" t="inlineStr">
        <is>
          <t>TECH-014</t>
        </is>
      </c>
      <c r="D2818" s="53" t="inlineStr">
        <is>
          <t>Avionics</t>
        </is>
      </c>
      <c r="E2818" s="53" t="inlineStr">
        <is>
          <t>2025-02-21</t>
        </is>
      </c>
      <c r="F2818" s="53">
        <v>4.5</v>
      </c>
      <c r="G2818" s="53">
        <v>0</v>
      </c>
      <c r="H2818" s="51" t="str">
        <f>TEXT(tblLaborEntries[[#This Row],[Work date serial]]-WEEKDAY(tblLaborEntries[[#This Row],[Work date serial]],3),"yyyy-mm-dd")</f>
        <v>2025-02-17</v>
      </c>
      <c r="I2818" s="64">
        <f>DATEVALUE(tblLaborEntries[[#This Row],[Work date]])</f>
        <v>45709.0</v>
      </c>
    </row>
    <row r="2819" spans="1:9" ht="15" x14ac:dyDescent="0.25">
      <c r="A2819" s="53" t="inlineStr">
        <is>
          <t>LAB-002818</t>
        </is>
      </c>
      <c r="B2819" s="53" t="inlineStr">
        <is>
          <t>WP-01241</t>
        </is>
      </c>
      <c r="C2819" s="53" t="inlineStr">
        <is>
          <t>TECH-029</t>
        </is>
      </c>
      <c r="D2819" s="53" t="inlineStr">
        <is>
          <t>Structures</t>
        </is>
      </c>
      <c r="E2819" s="53" t="inlineStr">
        <is>
          <t>2024-07-31</t>
        </is>
      </c>
      <c r="F2819" s="53">
        <v>7.2</v>
      </c>
      <c r="G2819" s="53">
        <v>0</v>
      </c>
      <c r="H2819" s="51" t="str">
        <f>TEXT(tblLaborEntries[[#This Row],[Work date serial]]-WEEKDAY(tblLaborEntries[[#This Row],[Work date serial]],3),"yyyy-mm-dd")</f>
        <v>2024-07-29</v>
      </c>
      <c r="I2819" s="64">
        <f>DATEVALUE(tblLaborEntries[[#This Row],[Work date]])</f>
        <v>45504.0</v>
      </c>
    </row>
    <row r="2820" spans="1:9" ht="15" x14ac:dyDescent="0.25">
      <c r="A2820" s="53" t="inlineStr">
        <is>
          <t>LAB-002819</t>
        </is>
      </c>
      <c r="B2820" s="53" t="inlineStr">
        <is>
          <t>WP-01241</t>
        </is>
      </c>
      <c r="C2820" s="53" t="inlineStr">
        <is>
          <t>TECH-017</t>
        </is>
      </c>
      <c r="D2820" s="53" t="inlineStr">
        <is>
          <t>Structures</t>
        </is>
      </c>
      <c r="E2820" s="53" t="inlineStr">
        <is>
          <t>2024-08-01</t>
        </is>
      </c>
      <c r="F2820" s="53">
        <v>11.2</v>
      </c>
      <c r="G2820" s="53">
        <v>3.2</v>
      </c>
      <c r="H2820" s="51" t="str">
        <f>TEXT(tblLaborEntries[[#This Row],[Work date serial]]-WEEKDAY(tblLaborEntries[[#This Row],[Work date serial]],3),"yyyy-mm-dd")</f>
        <v>2024-07-29</v>
      </c>
      <c r="I2820" s="64">
        <f>DATEVALUE(tblLaborEntries[[#This Row],[Work date]])</f>
        <v>45505.0</v>
      </c>
    </row>
    <row r="2821" spans="1:9" ht="15" x14ac:dyDescent="0.25">
      <c r="A2821" s="53" t="inlineStr">
        <is>
          <t>LAB-002820</t>
        </is>
      </c>
      <c r="B2821" s="53" t="inlineStr">
        <is>
          <t>WP-01242</t>
        </is>
      </c>
      <c r="C2821" s="53" t="inlineStr">
        <is>
          <t>TECH-072</t>
        </is>
      </c>
      <c r="D2821" s="53" t="inlineStr">
        <is>
          <t>Powerplant</t>
        </is>
      </c>
      <c r="E2821" s="53" t="inlineStr">
        <is>
          <t>2025-09-09</t>
        </is>
      </c>
      <c r="F2821" s="53">
        <v>4.5</v>
      </c>
      <c r="G2821" s="53">
        <v>0</v>
      </c>
      <c r="H2821" s="51" t="str">
        <f>TEXT(tblLaborEntries[[#This Row],[Work date serial]]-WEEKDAY(tblLaborEntries[[#This Row],[Work date serial]],3),"yyyy-mm-dd")</f>
        <v>2025-09-08</v>
      </c>
      <c r="I2821" s="64">
        <f>DATEVALUE(tblLaborEntries[[#This Row],[Work date]])</f>
        <v>45909.0</v>
      </c>
    </row>
    <row r="2822" spans="1:9" ht="15" x14ac:dyDescent="0.25">
      <c r="A2822" s="53" t="inlineStr">
        <is>
          <t>LAB-002821</t>
        </is>
      </c>
      <c r="B2822" s="53" t="inlineStr">
        <is>
          <t>WP-01242</t>
        </is>
      </c>
      <c r="C2822" s="53" t="inlineStr">
        <is>
          <t>TECH-030</t>
        </is>
      </c>
      <c r="D2822" s="53" t="inlineStr">
        <is>
          <t>Powerplant</t>
        </is>
      </c>
      <c r="E2822" s="53" t="inlineStr">
        <is>
          <t>2025-09-10</t>
        </is>
      </c>
      <c r="F2822" s="53">
        <v>4.7</v>
      </c>
      <c r="G2822" s="53">
        <v>0</v>
      </c>
      <c r="H2822" s="51" t="str">
        <f>TEXT(tblLaborEntries[[#This Row],[Work date serial]]-WEEKDAY(tblLaborEntries[[#This Row],[Work date serial]],3),"yyyy-mm-dd")</f>
        <v>2025-09-08</v>
      </c>
      <c r="I2822" s="64">
        <f>DATEVALUE(tblLaborEntries[[#This Row],[Work date]])</f>
        <v>45910.0</v>
      </c>
    </row>
    <row r="2823" spans="1:9" ht="15" x14ac:dyDescent="0.25">
      <c r="A2823" s="53" t="inlineStr">
        <is>
          <t>LAB-002822</t>
        </is>
      </c>
      <c r="B2823" s="53" t="inlineStr">
        <is>
          <t>WP-01243</t>
        </is>
      </c>
      <c r="C2823" s="53" t="inlineStr">
        <is>
          <t>TECH-017</t>
        </is>
      </c>
      <c r="D2823" s="53" t="inlineStr">
        <is>
          <t>Structures</t>
        </is>
      </c>
      <c r="E2823" s="53" t="inlineStr">
        <is>
          <t>2025-06-29</t>
        </is>
      </c>
      <c r="F2823" s="53">
        <v>3</v>
      </c>
      <c r="G2823" s="53">
        <v>0</v>
      </c>
      <c r="H2823" s="51" t="str">
        <f>TEXT(tblLaborEntries[[#This Row],[Work date serial]]-WEEKDAY(tblLaborEntries[[#This Row],[Work date serial]],3),"yyyy-mm-dd")</f>
        <v>2025-06-23</v>
      </c>
      <c r="I2823" s="64">
        <f>DATEVALUE(tblLaborEntries[[#This Row],[Work date]])</f>
        <v>45837.0</v>
      </c>
    </row>
    <row r="2824" spans="1:9" ht="15" x14ac:dyDescent="0.25">
      <c r="A2824" s="53" t="inlineStr">
        <is>
          <t>LAB-002823</t>
        </is>
      </c>
      <c r="B2824" s="53" t="inlineStr">
        <is>
          <t>WP-01243</t>
        </is>
      </c>
      <c r="C2824" s="53" t="inlineStr">
        <is>
          <t>TECH-005</t>
        </is>
      </c>
      <c r="D2824" s="53" t="inlineStr">
        <is>
          <t>Structures</t>
        </is>
      </c>
      <c r="E2824" s="53" t="inlineStr">
        <is>
          <t>2025-06-30</t>
        </is>
      </c>
      <c r="F2824" s="53">
        <v>12</v>
      </c>
      <c r="G2824" s="53">
        <v>4</v>
      </c>
      <c r="H2824" s="51" t="str">
        <f>TEXT(tblLaborEntries[[#This Row],[Work date serial]]-WEEKDAY(tblLaborEntries[[#This Row],[Work date serial]],3),"yyyy-mm-dd")</f>
        <v>2025-06-30</v>
      </c>
      <c r="I2824" s="64">
        <f>DATEVALUE(tblLaborEntries[[#This Row],[Work date]])</f>
        <v>45838.0</v>
      </c>
    </row>
    <row r="2825" spans="1:9" ht="15" x14ac:dyDescent="0.25">
      <c r="A2825" s="53" t="inlineStr">
        <is>
          <t>LAB-002824</t>
        </is>
      </c>
      <c r="B2825" s="53" t="inlineStr">
        <is>
          <t>WP-01243</t>
        </is>
      </c>
      <c r="C2825" s="53" t="inlineStr">
        <is>
          <t>TECH-011</t>
        </is>
      </c>
      <c r="D2825" s="53" t="inlineStr">
        <is>
          <t>Structures</t>
        </is>
      </c>
      <c r="E2825" s="53" t="inlineStr">
        <is>
          <t>2025-06-30</t>
        </is>
      </c>
      <c r="F2825" s="53">
        <v>12</v>
      </c>
      <c r="G2825" s="53">
        <v>4</v>
      </c>
      <c r="H2825" s="51" t="str">
        <f>TEXT(tblLaborEntries[[#This Row],[Work date serial]]-WEEKDAY(tblLaborEntries[[#This Row],[Work date serial]],3),"yyyy-mm-dd")</f>
        <v>2025-06-30</v>
      </c>
      <c r="I2825" s="64">
        <f>DATEVALUE(tblLaborEntries[[#This Row],[Work date]])</f>
        <v>45838.0</v>
      </c>
    </row>
    <row r="2826" spans="1:9" ht="15" x14ac:dyDescent="0.25">
      <c r="A2826" s="53" t="inlineStr">
        <is>
          <t>LAB-002825</t>
        </is>
      </c>
      <c r="B2826" s="53" t="inlineStr">
        <is>
          <t>WP-01243</t>
        </is>
      </c>
      <c r="C2826" s="53" t="inlineStr">
        <is>
          <t>TECH-017</t>
        </is>
      </c>
      <c r="D2826" s="53" t="inlineStr">
        <is>
          <t>Structures</t>
        </is>
      </c>
      <c r="E2826" s="53" t="inlineStr">
        <is>
          <t>2025-06-30</t>
        </is>
      </c>
      <c r="F2826" s="53">
        <v>12</v>
      </c>
      <c r="G2826" s="53">
        <v>4</v>
      </c>
      <c r="H2826" s="51" t="str">
        <f>TEXT(tblLaborEntries[[#This Row],[Work date serial]]-WEEKDAY(tblLaborEntries[[#This Row],[Work date serial]],3),"yyyy-mm-dd")</f>
        <v>2025-06-30</v>
      </c>
      <c r="I2826" s="64">
        <f>DATEVALUE(tblLaborEntries[[#This Row],[Work date]])</f>
        <v>45838.0</v>
      </c>
    </row>
    <row r="2827" spans="1:9" ht="15" x14ac:dyDescent="0.25">
      <c r="A2827" s="53" t="inlineStr">
        <is>
          <t>LAB-002826</t>
        </is>
      </c>
      <c r="B2827" s="53" t="inlineStr">
        <is>
          <t>WP-01244</t>
        </is>
      </c>
      <c r="C2827" s="53" t="inlineStr">
        <is>
          <t>TECH-062</t>
        </is>
      </c>
      <c r="D2827" s="53" t="inlineStr">
        <is>
          <t>Avionics</t>
        </is>
      </c>
      <c r="E2827" s="53" t="inlineStr">
        <is>
          <t>2025-01-04</t>
        </is>
      </c>
      <c r="F2827" s="53">
        <v>8.1</v>
      </c>
      <c r="G2827" s="53">
        <v>0.1</v>
      </c>
      <c r="H2827" s="51" t="str">
        <f>TEXT(tblLaborEntries[[#This Row],[Work date serial]]-WEEKDAY(tblLaborEntries[[#This Row],[Work date serial]],3),"yyyy-mm-dd")</f>
        <v>2024-12-30</v>
      </c>
      <c r="I2827" s="64">
        <f>DATEVALUE(tblLaborEntries[[#This Row],[Work date]])</f>
        <v>45661.0</v>
      </c>
    </row>
    <row r="2828" spans="1:9" ht="15" x14ac:dyDescent="0.25">
      <c r="A2828" s="53" t="inlineStr">
        <is>
          <t>LAB-002827</t>
        </is>
      </c>
      <c r="B2828" s="53" t="inlineStr">
        <is>
          <t>WP-01244</t>
        </is>
      </c>
      <c r="C2828" s="53" t="inlineStr">
        <is>
          <t>TECH-026</t>
        </is>
      </c>
      <c r="D2828" s="53" t="inlineStr">
        <is>
          <t>Avionics</t>
        </is>
      </c>
      <c r="E2828" s="53" t="inlineStr">
        <is>
          <t>2025-01-05</t>
        </is>
      </c>
      <c r="F2828" s="53">
        <v>7.5</v>
      </c>
      <c r="G2828" s="53">
        <v>0</v>
      </c>
      <c r="H2828" s="51" t="str">
        <f>TEXT(tblLaborEntries[[#This Row],[Work date serial]]-WEEKDAY(tblLaborEntries[[#This Row],[Work date serial]],3),"yyyy-mm-dd")</f>
        <v>2024-12-30</v>
      </c>
      <c r="I2828" s="64">
        <f>DATEVALUE(tblLaborEntries[[#This Row],[Work date]])</f>
        <v>45662.0</v>
      </c>
    </row>
    <row r="2829" spans="1:9" ht="15" x14ac:dyDescent="0.25">
      <c r="A2829" s="53" t="inlineStr">
        <is>
          <t>LAB-002828</t>
        </is>
      </c>
      <c r="B2829" s="53" t="inlineStr">
        <is>
          <t>WP-01244</t>
        </is>
      </c>
      <c r="C2829" s="53" t="inlineStr">
        <is>
          <t>TECH-032</t>
        </is>
      </c>
      <c r="D2829" s="53" t="inlineStr">
        <is>
          <t>Avionics</t>
        </is>
      </c>
      <c r="E2829" s="53" t="inlineStr">
        <is>
          <t>2025-01-06</t>
        </is>
      </c>
      <c r="F2829" s="53">
        <v>10.9</v>
      </c>
      <c r="G2829" s="53">
        <v>2.9</v>
      </c>
      <c r="H2829" s="51" t="str">
        <f>TEXT(tblLaborEntries[[#This Row],[Work date serial]]-WEEKDAY(tblLaborEntries[[#This Row],[Work date serial]],3),"yyyy-mm-dd")</f>
        <v>2025-01-06</v>
      </c>
      <c r="I2829" s="64">
        <f>DATEVALUE(tblLaborEntries[[#This Row],[Work date]])</f>
        <v>45663.0</v>
      </c>
    </row>
    <row r="2830" spans="1:9" ht="15" x14ac:dyDescent="0.25">
      <c r="A2830" s="53" t="inlineStr">
        <is>
          <t>LAB-002829</t>
        </is>
      </c>
      <c r="B2830" s="53" t="inlineStr">
        <is>
          <t>WP-01245</t>
        </is>
      </c>
      <c r="C2830" s="53" t="inlineStr">
        <is>
          <t>TECH-073</t>
        </is>
      </c>
      <c r="D2830" s="53" t="inlineStr">
        <is>
          <t>Airframe</t>
        </is>
      </c>
      <c r="E2830" s="53" t="inlineStr">
        <is>
          <t>2024-09-12</t>
        </is>
      </c>
      <c r="F2830" s="53">
        <v>2.2</v>
      </c>
      <c r="G2830" s="53">
        <v>0</v>
      </c>
      <c r="H2830" s="51" t="str">
        <f>TEXT(tblLaborEntries[[#This Row],[Work date serial]]-WEEKDAY(tblLaborEntries[[#This Row],[Work date serial]],3),"yyyy-mm-dd")</f>
        <v>2024-09-09</v>
      </c>
      <c r="I2830" s="64">
        <f>DATEVALUE(tblLaborEntries[[#This Row],[Work date]])</f>
        <v>45547.0</v>
      </c>
    </row>
    <row r="2831" spans="1:9" ht="15" x14ac:dyDescent="0.25">
      <c r="A2831" s="53" t="inlineStr">
        <is>
          <t>LAB-002830</t>
        </is>
      </c>
      <c r="B2831" s="53" t="inlineStr">
        <is>
          <t>WP-01245</t>
        </is>
      </c>
      <c r="C2831" s="53" t="inlineStr">
        <is>
          <t>TECH-061</t>
        </is>
      </c>
      <c r="D2831" s="53" t="inlineStr">
        <is>
          <t>Airframe</t>
        </is>
      </c>
      <c r="E2831" s="53" t="inlineStr">
        <is>
          <t>2024-09-13</t>
        </is>
      </c>
      <c r="F2831" s="53">
        <v>2.6</v>
      </c>
      <c r="G2831" s="53">
        <v>0</v>
      </c>
      <c r="H2831" s="51" t="str">
        <f>TEXT(tblLaborEntries[[#This Row],[Work date serial]]-WEEKDAY(tblLaborEntries[[#This Row],[Work date serial]],3),"yyyy-mm-dd")</f>
        <v>2024-09-09</v>
      </c>
      <c r="I2831" s="64">
        <f>DATEVALUE(tblLaborEntries[[#This Row],[Work date]])</f>
        <v>45548.0</v>
      </c>
    </row>
    <row r="2832" spans="1:9" ht="15" x14ac:dyDescent="0.25">
      <c r="A2832" s="53" t="inlineStr">
        <is>
          <t>LAB-002831</t>
        </is>
      </c>
      <c r="B2832" s="53" t="inlineStr">
        <is>
          <t>WP-01246</t>
        </is>
      </c>
      <c r="C2832" s="53" t="inlineStr">
        <is>
          <t>TECH-068</t>
        </is>
      </c>
      <c r="D2832" s="53" t="inlineStr">
        <is>
          <t>Avionics</t>
        </is>
      </c>
      <c r="E2832" s="53" t="inlineStr">
        <is>
          <t>2025-06-03</t>
        </is>
      </c>
      <c r="F2832" s="53">
        <v>2</v>
      </c>
      <c r="G2832" s="53">
        <v>0</v>
      </c>
      <c r="H2832" s="51" t="str">
        <f>TEXT(tblLaborEntries[[#This Row],[Work date serial]]-WEEKDAY(tblLaborEntries[[#This Row],[Work date serial]],3),"yyyy-mm-dd")</f>
        <v>2025-06-02</v>
      </c>
      <c r="I2832" s="64">
        <f>DATEVALUE(tblLaborEntries[[#This Row],[Work date]])</f>
        <v>45811.0</v>
      </c>
    </row>
    <row r="2833" spans="1:9" ht="15" x14ac:dyDescent="0.25">
      <c r="A2833" s="53" t="inlineStr">
        <is>
          <t>LAB-002832</t>
        </is>
      </c>
      <c r="B2833" s="53" t="inlineStr">
        <is>
          <t>WP-01246</t>
        </is>
      </c>
      <c r="C2833" s="53" t="inlineStr">
        <is>
          <t>TECH-062</t>
        </is>
      </c>
      <c r="D2833" s="53" t="inlineStr">
        <is>
          <t>Avionics</t>
        </is>
      </c>
      <c r="E2833" s="53" t="inlineStr">
        <is>
          <t>2025-06-04</t>
        </is>
      </c>
      <c r="F2833" s="53">
        <v>2.2</v>
      </c>
      <c r="G2833" s="53">
        <v>0</v>
      </c>
      <c r="H2833" s="51" t="str">
        <f>TEXT(tblLaborEntries[[#This Row],[Work date serial]]-WEEKDAY(tblLaborEntries[[#This Row],[Work date serial]],3),"yyyy-mm-dd")</f>
        <v>2025-06-02</v>
      </c>
      <c r="I2833" s="64">
        <f>DATEVALUE(tblLaborEntries[[#This Row],[Work date]])</f>
        <v>45812.0</v>
      </c>
    </row>
    <row r="2834" spans="1:9" ht="15" x14ac:dyDescent="0.25">
      <c r="A2834" s="53" t="inlineStr">
        <is>
          <t>LAB-002833</t>
        </is>
      </c>
      <c r="B2834" s="53" t="inlineStr">
        <is>
          <t>WP-01247</t>
        </is>
      </c>
      <c r="C2834" s="53" t="inlineStr">
        <is>
          <t>TECH-001</t>
        </is>
      </c>
      <c r="D2834" s="53" t="inlineStr">
        <is>
          <t>Airframe</t>
        </is>
      </c>
      <c r="E2834" s="53" t="inlineStr">
        <is>
          <t>2024-03-24</t>
        </is>
      </c>
      <c r="F2834" s="53">
        <v>1.6</v>
      </c>
      <c r="G2834" s="53">
        <v>0</v>
      </c>
      <c r="H2834" s="51" t="str">
        <f>TEXT(tblLaborEntries[[#This Row],[Work date serial]]-WEEKDAY(tblLaborEntries[[#This Row],[Work date serial]],3),"yyyy-mm-dd")</f>
        <v>2024-03-18</v>
      </c>
      <c r="I2834" s="64">
        <f>DATEVALUE(tblLaborEntries[[#This Row],[Work date]])</f>
        <v>45375.0</v>
      </c>
    </row>
    <row r="2835" spans="1:9" ht="15" x14ac:dyDescent="0.25">
      <c r="A2835" s="53" t="inlineStr">
        <is>
          <t>LAB-002834</t>
        </is>
      </c>
      <c r="B2835" s="53" t="inlineStr">
        <is>
          <t>WP-01247</t>
        </is>
      </c>
      <c r="C2835" s="53" t="inlineStr">
        <is>
          <t>TECH-049</t>
        </is>
      </c>
      <c r="D2835" s="53" t="inlineStr">
        <is>
          <t>Airframe</t>
        </is>
      </c>
      <c r="E2835" s="53" t="inlineStr">
        <is>
          <t>2024-03-24</t>
        </is>
      </c>
      <c r="F2835" s="53">
        <v>12</v>
      </c>
      <c r="G2835" s="53">
        <v>4</v>
      </c>
      <c r="H2835" s="51" t="str">
        <f>TEXT(tblLaborEntries[[#This Row],[Work date serial]]-WEEKDAY(tblLaborEntries[[#This Row],[Work date serial]],3),"yyyy-mm-dd")</f>
        <v>2024-03-18</v>
      </c>
      <c r="I2835" s="64">
        <f>DATEVALUE(tblLaborEntries[[#This Row],[Work date]])</f>
        <v>45375.0</v>
      </c>
    </row>
    <row r="2836" spans="1:9" ht="15" x14ac:dyDescent="0.25">
      <c r="A2836" s="53" t="inlineStr">
        <is>
          <t>LAB-002835</t>
        </is>
      </c>
      <c r="B2836" s="53" t="inlineStr">
        <is>
          <t>WP-01248</t>
        </is>
      </c>
      <c r="C2836" s="53" t="inlineStr">
        <is>
          <t>TECH-048</t>
        </is>
      </c>
      <c r="D2836" s="53" t="inlineStr">
        <is>
          <t>Powerplant</t>
        </is>
      </c>
      <c r="E2836" s="53" t="inlineStr">
        <is>
          <t>2024-04-06</t>
        </is>
      </c>
      <c r="F2836" s="53">
        <v>6.3</v>
      </c>
      <c r="G2836" s="53">
        <v>0</v>
      </c>
      <c r="H2836" s="51" t="str">
        <f>TEXT(tblLaborEntries[[#This Row],[Work date serial]]-WEEKDAY(tblLaborEntries[[#This Row],[Work date serial]],3),"yyyy-mm-dd")</f>
        <v>2024-04-01</v>
      </c>
      <c r="I2836" s="64">
        <f>DATEVALUE(tblLaborEntries[[#This Row],[Work date]])</f>
        <v>45388.0</v>
      </c>
    </row>
    <row r="2837" spans="1:9" ht="15" x14ac:dyDescent="0.25">
      <c r="A2837" s="53" t="inlineStr">
        <is>
          <t>LAB-002836</t>
        </is>
      </c>
      <c r="B2837" s="53" t="inlineStr">
        <is>
          <t>WP-01249</t>
        </is>
      </c>
      <c r="C2837" s="53" t="inlineStr">
        <is>
          <t>TECH-061</t>
        </is>
      </c>
      <c r="D2837" s="53" t="inlineStr">
        <is>
          <t>Airframe</t>
        </is>
      </c>
      <c r="E2837" s="53" t="inlineStr">
        <is>
          <t>2024-03-27</t>
        </is>
      </c>
      <c r="F2837" s="53">
        <v>7.7</v>
      </c>
      <c r="G2837" s="53">
        <v>0</v>
      </c>
      <c r="H2837" s="51" t="str">
        <f>TEXT(tblLaborEntries[[#This Row],[Work date serial]]-WEEKDAY(tblLaborEntries[[#This Row],[Work date serial]],3),"yyyy-mm-dd")</f>
        <v>2024-03-25</v>
      </c>
      <c r="I2837" s="64">
        <f>DATEVALUE(tblLaborEntries[[#This Row],[Work date]])</f>
        <v>45378.0</v>
      </c>
    </row>
    <row r="2838" spans="1:9" ht="15" x14ac:dyDescent="0.25">
      <c r="A2838" s="53" t="inlineStr">
        <is>
          <t>LAB-002837</t>
        </is>
      </c>
      <c r="B2838" s="53" t="inlineStr">
        <is>
          <t>WP-01250</t>
        </is>
      </c>
      <c r="C2838" s="53" t="inlineStr">
        <is>
          <t>TECH-038</t>
        </is>
      </c>
      <c r="D2838" s="53" t="inlineStr">
        <is>
          <t>Avionics</t>
        </is>
      </c>
      <c r="E2838" s="53" t="inlineStr">
        <is>
          <t>2025-02-15</t>
        </is>
      </c>
      <c r="F2838" s="53">
        <v>4.2</v>
      </c>
      <c r="G2838" s="53">
        <v>0</v>
      </c>
      <c r="H2838" s="51" t="str">
        <f>TEXT(tblLaborEntries[[#This Row],[Work date serial]]-WEEKDAY(tblLaborEntries[[#This Row],[Work date serial]],3),"yyyy-mm-dd")</f>
        <v>2025-02-10</v>
      </c>
      <c r="I2838" s="64">
        <f>DATEVALUE(tblLaborEntries[[#This Row],[Work date]])</f>
        <v>45703.0</v>
      </c>
    </row>
    <row r="2839" spans="1:9" ht="15" x14ac:dyDescent="0.25">
      <c r="A2839" s="53" t="inlineStr">
        <is>
          <t>LAB-002838</t>
        </is>
      </c>
      <c r="B2839" s="53" t="inlineStr">
        <is>
          <t>WP-01250</t>
        </is>
      </c>
      <c r="C2839" s="53" t="inlineStr">
        <is>
          <t>TECH-074</t>
        </is>
      </c>
      <c r="D2839" s="53" t="inlineStr">
        <is>
          <t>Avionics</t>
        </is>
      </c>
      <c r="E2839" s="53" t="inlineStr">
        <is>
          <t>2025-02-16</t>
        </is>
      </c>
      <c r="F2839" s="53">
        <v>4.1</v>
      </c>
      <c r="G2839" s="53">
        <v>3.2</v>
      </c>
      <c r="H2839" s="51" t="str">
        <f>TEXT(tblLaborEntries[[#This Row],[Work date serial]]-WEEKDAY(tblLaborEntries[[#This Row],[Work date serial]],3),"yyyy-mm-dd")</f>
        <v>2025-02-10</v>
      </c>
      <c r="I2839" s="64">
        <f>DATEVALUE(tblLaborEntries[[#This Row],[Work date]])</f>
        <v>45704.0</v>
      </c>
    </row>
    <row r="2840" spans="1:9" ht="15" x14ac:dyDescent="0.25">
      <c r="A2840" s="53" t="inlineStr">
        <is>
          <t>LAB-002839</t>
        </is>
      </c>
      <c r="B2840" s="53" t="inlineStr">
        <is>
          <t>WP-01251</t>
        </is>
      </c>
      <c r="C2840" s="53" t="inlineStr">
        <is>
          <t>TECH-002</t>
        </is>
      </c>
      <c r="D2840" s="53" t="inlineStr">
        <is>
          <t>Avionics</t>
        </is>
      </c>
      <c r="E2840" s="53" t="inlineStr">
        <is>
          <t>2024-02-26</t>
        </is>
      </c>
      <c r="F2840" s="53">
        <v>6</v>
      </c>
      <c r="G2840" s="53">
        <v>0</v>
      </c>
      <c r="H2840" s="51" t="str">
        <f>TEXT(tblLaborEntries[[#This Row],[Work date serial]]-WEEKDAY(tblLaborEntries[[#This Row],[Work date serial]],3),"yyyy-mm-dd")</f>
        <v>2024-02-26</v>
      </c>
      <c r="I2840" s="64">
        <f>DATEVALUE(tblLaborEntries[[#This Row],[Work date]])</f>
        <v>45348.0</v>
      </c>
    </row>
    <row r="2841" spans="1:9" ht="15" x14ac:dyDescent="0.25">
      <c r="A2841" s="53" t="inlineStr">
        <is>
          <t>LAB-002840</t>
        </is>
      </c>
      <c r="B2841" s="53" t="inlineStr">
        <is>
          <t>WP-01251</t>
        </is>
      </c>
      <c r="C2841" s="53" t="inlineStr">
        <is>
          <t>TECH-050</t>
        </is>
      </c>
      <c r="D2841" s="53" t="inlineStr">
        <is>
          <t>Avionics</t>
        </is>
      </c>
      <c r="E2841" s="53" t="inlineStr">
        <is>
          <t>2024-02-26</t>
        </is>
      </c>
      <c r="F2841" s="53">
        <v>6.3</v>
      </c>
      <c r="G2841" s="53">
        <v>4</v>
      </c>
      <c r="H2841" s="51" t="str">
        <f>TEXT(tblLaborEntries[[#This Row],[Work date serial]]-WEEKDAY(tblLaborEntries[[#This Row],[Work date serial]],3),"yyyy-mm-dd")</f>
        <v>2024-02-26</v>
      </c>
      <c r="I2841" s="64">
        <f>DATEVALUE(tblLaborEntries[[#This Row],[Work date]])</f>
        <v>45348.0</v>
      </c>
    </row>
    <row r="2842" spans="1:9" ht="15" x14ac:dyDescent="0.25">
      <c r="A2842" s="53" t="inlineStr">
        <is>
          <t>LAB-002841</t>
        </is>
      </c>
      <c r="B2842" s="53" t="inlineStr">
        <is>
          <t>WP-01252</t>
        </is>
      </c>
      <c r="C2842" s="53" t="inlineStr">
        <is>
          <t>TECH-020</t>
        </is>
      </c>
      <c r="D2842" s="53" t="inlineStr">
        <is>
          <t>Avionics</t>
        </is>
      </c>
      <c r="E2842" s="53" t="inlineStr">
        <is>
          <t>2025-11-16</t>
        </is>
      </c>
      <c r="F2842" s="53">
        <v>3.8</v>
      </c>
      <c r="G2842" s="53">
        <v>0</v>
      </c>
      <c r="H2842" s="51" t="str">
        <f>TEXT(tblLaborEntries[[#This Row],[Work date serial]]-WEEKDAY(tblLaborEntries[[#This Row],[Work date serial]],3),"yyyy-mm-dd")</f>
        <v>2025-11-10</v>
      </c>
      <c r="I2842" s="64">
        <f>DATEVALUE(tblLaborEntries[[#This Row],[Work date]])</f>
        <v>45977.0</v>
      </c>
    </row>
    <row r="2843" spans="1:9" ht="15" x14ac:dyDescent="0.25">
      <c r="A2843" s="53" t="inlineStr">
        <is>
          <t>LAB-002842</t>
        </is>
      </c>
      <c r="B2843" s="53" t="inlineStr">
        <is>
          <t>WP-01252</t>
        </is>
      </c>
      <c r="C2843" s="53" t="inlineStr">
        <is>
          <t>TECH-032</t>
        </is>
      </c>
      <c r="D2843" s="53" t="inlineStr">
        <is>
          <t>Avionics</t>
        </is>
      </c>
      <c r="E2843" s="53" t="inlineStr">
        <is>
          <t>2025-11-17</t>
        </is>
      </c>
      <c r="F2843" s="53">
        <v>4.4</v>
      </c>
      <c r="G2843" s="53">
        <v>0</v>
      </c>
      <c r="H2843" s="51" t="str">
        <f>TEXT(tblLaborEntries[[#This Row],[Work date serial]]-WEEKDAY(tblLaborEntries[[#This Row],[Work date serial]],3),"yyyy-mm-dd")</f>
        <v>2025-11-17</v>
      </c>
      <c r="I2843" s="64">
        <f>DATEVALUE(tblLaborEntries[[#This Row],[Work date]])</f>
        <v>45978.0</v>
      </c>
    </row>
    <row r="2844" spans="1:9" ht="15" x14ac:dyDescent="0.25">
      <c r="A2844" s="53" t="inlineStr">
        <is>
          <t>LAB-002843</t>
        </is>
      </c>
      <c r="B2844" s="53" t="inlineStr">
        <is>
          <t>WP-01252</t>
        </is>
      </c>
      <c r="C2844" s="53" t="inlineStr">
        <is>
          <t>TECH-014</t>
        </is>
      </c>
      <c r="D2844" s="53" t="inlineStr">
        <is>
          <t>Avionics</t>
        </is>
      </c>
      <c r="E2844" s="53" t="inlineStr">
        <is>
          <t>2025-11-18</t>
        </is>
      </c>
      <c r="F2844" s="53">
        <v>3.8</v>
      </c>
      <c r="G2844" s="53">
        <v>0</v>
      </c>
      <c r="H2844" s="51" t="str">
        <f>TEXT(tblLaborEntries[[#This Row],[Work date serial]]-WEEKDAY(tblLaborEntries[[#This Row],[Work date serial]],3),"yyyy-mm-dd")</f>
        <v>2025-11-17</v>
      </c>
      <c r="I2844" s="64">
        <f>DATEVALUE(tblLaborEntries[[#This Row],[Work date]])</f>
        <v>45979.0</v>
      </c>
    </row>
    <row r="2845" spans="1:9" ht="15" x14ac:dyDescent="0.25">
      <c r="A2845" s="53" t="inlineStr">
        <is>
          <t>LAB-002844</t>
        </is>
      </c>
      <c r="B2845" s="53" t="inlineStr">
        <is>
          <t>WP-01253</t>
        </is>
      </c>
      <c r="C2845" s="53" t="inlineStr">
        <is>
          <t>TECH-073</t>
        </is>
      </c>
      <c r="D2845" s="53" t="inlineStr">
        <is>
          <t>Airframe</t>
        </is>
      </c>
      <c r="E2845" s="53" t="inlineStr">
        <is>
          <t>2024-04-20</t>
        </is>
      </c>
      <c r="F2845" s="53">
        <v>0.4</v>
      </c>
      <c r="G2845" s="53">
        <v>0</v>
      </c>
      <c r="H2845" s="51" t="str">
        <f>TEXT(tblLaborEntries[[#This Row],[Work date serial]]-WEEKDAY(tblLaborEntries[[#This Row],[Work date serial]],3),"yyyy-mm-dd")</f>
        <v>2024-04-15</v>
      </c>
      <c r="I2845" s="64">
        <f>DATEVALUE(tblLaborEntries[[#This Row],[Work date]])</f>
        <v>45402.0</v>
      </c>
    </row>
    <row r="2846" spans="1:9" ht="15" x14ac:dyDescent="0.25">
      <c r="A2846" s="53" t="inlineStr">
        <is>
          <t>LAB-002845</t>
        </is>
      </c>
      <c r="B2846" s="53" t="inlineStr">
        <is>
          <t>WP-01253</t>
        </is>
      </c>
      <c r="C2846" s="53" t="inlineStr">
        <is>
          <t>TECH-043</t>
        </is>
      </c>
      <c r="D2846" s="53" t="inlineStr">
        <is>
          <t>Airframe</t>
        </is>
      </c>
      <c r="E2846" s="53" t="inlineStr">
        <is>
          <t>2024-04-21</t>
        </is>
      </c>
      <c r="F2846" s="53">
        <v>0.6</v>
      </c>
      <c r="G2846" s="53">
        <v>0</v>
      </c>
      <c r="H2846" s="51" t="str">
        <f>TEXT(tblLaborEntries[[#This Row],[Work date serial]]-WEEKDAY(tblLaborEntries[[#This Row],[Work date serial]],3),"yyyy-mm-dd")</f>
        <v>2024-04-15</v>
      </c>
      <c r="I2846" s="64">
        <f>DATEVALUE(tblLaborEntries[[#This Row],[Work date]])</f>
        <v>45403.0</v>
      </c>
    </row>
    <row r="2847" spans="1:9" ht="15" x14ac:dyDescent="0.25">
      <c r="A2847" s="53" t="inlineStr">
        <is>
          <t>LAB-002846</t>
        </is>
      </c>
      <c r="B2847" s="53" t="inlineStr">
        <is>
          <t>WP-01253</t>
        </is>
      </c>
      <c r="C2847" s="53" t="inlineStr">
        <is>
          <t>TECH-007</t>
        </is>
      </c>
      <c r="D2847" s="53" t="inlineStr">
        <is>
          <t>Airframe</t>
        </is>
      </c>
      <c r="E2847" s="53" t="inlineStr">
        <is>
          <t>2024-04-22</t>
        </is>
      </c>
      <c r="F2847" s="53">
        <v>0.6</v>
      </c>
      <c r="G2847" s="53">
        <v>0</v>
      </c>
      <c r="H2847" s="51" t="str">
        <f>TEXT(tblLaborEntries[[#This Row],[Work date serial]]-WEEKDAY(tblLaborEntries[[#This Row],[Work date serial]],3),"yyyy-mm-dd")</f>
        <v>2024-04-22</v>
      </c>
      <c r="I2847" s="64">
        <f>DATEVALUE(tblLaborEntries[[#This Row],[Work date]])</f>
        <v>45404.0</v>
      </c>
    </row>
    <row r="2848" spans="1:9" ht="15" x14ac:dyDescent="0.25">
      <c r="A2848" s="53" t="inlineStr">
        <is>
          <t>LAB-002847</t>
        </is>
      </c>
      <c r="B2848" s="53" t="inlineStr">
        <is>
          <t>WP-01254</t>
        </is>
      </c>
      <c r="C2848" s="53" t="inlineStr">
        <is>
          <t>TECH-039</t>
        </is>
      </c>
      <c r="D2848" s="53" t="inlineStr">
        <is>
          <t>Hydraulics</t>
        </is>
      </c>
      <c r="E2848" s="53" t="inlineStr">
        <is>
          <t>2025-01-23</t>
        </is>
      </c>
      <c r="F2848" s="53">
        <v>8.4</v>
      </c>
      <c r="G2848" s="53">
        <v>0.4</v>
      </c>
      <c r="H2848" s="51" t="str">
        <f>TEXT(tblLaborEntries[[#This Row],[Work date serial]]-WEEKDAY(tblLaborEntries[[#This Row],[Work date serial]],3),"yyyy-mm-dd")</f>
        <v>2025-01-20</v>
      </c>
      <c r="I2848" s="64">
        <f>DATEVALUE(tblLaborEntries[[#This Row],[Work date]])</f>
        <v>45680.0</v>
      </c>
    </row>
    <row r="2849" spans="1:9" ht="15" x14ac:dyDescent="0.25">
      <c r="A2849" s="53" t="inlineStr">
        <is>
          <t>LAB-002848</t>
        </is>
      </c>
      <c r="B2849" s="53" t="inlineStr">
        <is>
          <t>WP-01255</t>
        </is>
      </c>
      <c r="C2849" s="53" t="inlineStr">
        <is>
          <t>TECH-001</t>
        </is>
      </c>
      <c r="D2849" s="53" t="inlineStr">
        <is>
          <t>Airframe</t>
        </is>
      </c>
      <c r="E2849" s="53" t="inlineStr">
        <is>
          <t>2025-08-13</t>
        </is>
      </c>
      <c r="F2849" s="53">
        <v>3</v>
      </c>
      <c r="G2849" s="53">
        <v>0</v>
      </c>
      <c r="H2849" s="51" t="str">
        <f>TEXT(tblLaborEntries[[#This Row],[Work date serial]]-WEEKDAY(tblLaborEntries[[#This Row],[Work date serial]],3),"yyyy-mm-dd")</f>
        <v>2025-08-11</v>
      </c>
      <c r="I2849" s="64">
        <f>DATEVALUE(tblLaborEntries[[#This Row],[Work date]])</f>
        <v>45882.0</v>
      </c>
    </row>
    <row r="2850" spans="1:9" ht="15" x14ac:dyDescent="0.25">
      <c r="A2850" s="53" t="inlineStr">
        <is>
          <t>LAB-002849</t>
        </is>
      </c>
      <c r="B2850" s="53" t="inlineStr">
        <is>
          <t>WP-01255</t>
        </is>
      </c>
      <c r="C2850" s="53" t="inlineStr">
        <is>
          <t>TECH-019</t>
        </is>
      </c>
      <c r="D2850" s="53" t="inlineStr">
        <is>
          <t>Airframe</t>
        </is>
      </c>
      <c r="E2850" s="53" t="inlineStr">
        <is>
          <t>2025-08-13</t>
        </is>
      </c>
      <c r="F2850" s="53">
        <v>12</v>
      </c>
      <c r="G2850" s="53">
        <v>4</v>
      </c>
      <c r="H2850" s="51" t="str">
        <f>TEXT(tblLaborEntries[[#This Row],[Work date serial]]-WEEKDAY(tblLaborEntries[[#This Row],[Work date serial]],3),"yyyy-mm-dd")</f>
        <v>2025-08-11</v>
      </c>
      <c r="I2850" s="64">
        <f>DATEVALUE(tblLaborEntries[[#This Row],[Work date]])</f>
        <v>45882.0</v>
      </c>
    </row>
    <row r="2851" spans="1:9" ht="15" x14ac:dyDescent="0.25">
      <c r="A2851" s="53" t="inlineStr">
        <is>
          <t>LAB-002850</t>
        </is>
      </c>
      <c r="B2851" s="53" t="inlineStr">
        <is>
          <t>WP-01256</t>
        </is>
      </c>
      <c r="C2851" s="53" t="inlineStr">
        <is>
          <t>TECH-001</t>
        </is>
      </c>
      <c r="D2851" s="53" t="inlineStr">
        <is>
          <t>Airframe</t>
        </is>
      </c>
      <c r="E2851" s="53" t="inlineStr">
        <is>
          <t>2024-09-10</t>
        </is>
      </c>
      <c r="F2851" s="53">
        <v>6.9</v>
      </c>
      <c r="G2851" s="53">
        <v>0</v>
      </c>
      <c r="H2851" s="51" t="str">
        <f>TEXT(tblLaborEntries[[#This Row],[Work date serial]]-WEEKDAY(tblLaborEntries[[#This Row],[Work date serial]],3),"yyyy-mm-dd")</f>
        <v>2024-09-09</v>
      </c>
      <c r="I2851" s="64">
        <f>DATEVALUE(tblLaborEntries[[#This Row],[Work date]])</f>
        <v>45545.0</v>
      </c>
    </row>
    <row r="2852" spans="1:9" ht="15" x14ac:dyDescent="0.25">
      <c r="A2852" s="53" t="inlineStr">
        <is>
          <t>LAB-002851</t>
        </is>
      </c>
      <c r="B2852" s="53" t="inlineStr">
        <is>
          <t>WP-01256</t>
        </is>
      </c>
      <c r="C2852" s="53" t="inlineStr">
        <is>
          <t>TECH-019</t>
        </is>
      </c>
      <c r="D2852" s="53" t="inlineStr">
        <is>
          <t>Airframe</t>
        </is>
      </c>
      <c r="E2852" s="53" t="inlineStr">
        <is>
          <t>2024-09-11</t>
        </is>
      </c>
      <c r="F2852" s="53">
        <v>5</v>
      </c>
      <c r="G2852" s="53">
        <v>0</v>
      </c>
      <c r="H2852" s="51" t="str">
        <f>TEXT(tblLaborEntries[[#This Row],[Work date serial]]-WEEKDAY(tblLaborEntries[[#This Row],[Work date serial]],3),"yyyy-mm-dd")</f>
        <v>2024-09-09</v>
      </c>
      <c r="I2852" s="64">
        <f>DATEVALUE(tblLaborEntries[[#This Row],[Work date]])</f>
        <v>45546.0</v>
      </c>
    </row>
    <row r="2853" spans="1:9" ht="15" x14ac:dyDescent="0.25">
      <c r="A2853" s="53" t="inlineStr">
        <is>
          <t>LAB-002852</t>
        </is>
      </c>
      <c r="B2853" s="53" t="inlineStr">
        <is>
          <t>WP-01257</t>
        </is>
      </c>
      <c r="C2853" s="53" t="inlineStr">
        <is>
          <t>TECH-008</t>
        </is>
      </c>
      <c r="D2853" s="53" t="inlineStr">
        <is>
          <t>Avionics</t>
        </is>
      </c>
      <c r="E2853" s="53" t="inlineStr">
        <is>
          <t>2025-09-22</t>
        </is>
      </c>
      <c r="F2853" s="53">
        <v>3.2</v>
      </c>
      <c r="G2853" s="53">
        <v>0</v>
      </c>
      <c r="H2853" s="51" t="str">
        <f>TEXT(tblLaborEntries[[#This Row],[Work date serial]]-WEEKDAY(tblLaborEntries[[#This Row],[Work date serial]],3),"yyyy-mm-dd")</f>
        <v>2025-09-22</v>
      </c>
      <c r="I2853" s="64">
        <f>DATEVALUE(tblLaborEntries[[#This Row],[Work date]])</f>
        <v>45922.0</v>
      </c>
    </row>
    <row r="2854" spans="1:9" ht="15" x14ac:dyDescent="0.25">
      <c r="A2854" s="53" t="inlineStr">
        <is>
          <t>LAB-002853</t>
        </is>
      </c>
      <c r="B2854" s="53" t="inlineStr">
        <is>
          <t>WP-01257</t>
        </is>
      </c>
      <c r="C2854" s="53" t="inlineStr">
        <is>
          <t>TECH-002</t>
        </is>
      </c>
      <c r="D2854" s="53" t="inlineStr">
        <is>
          <t>Avionics</t>
        </is>
      </c>
      <c r="E2854" s="53" t="inlineStr">
        <is>
          <t>2025-09-23</t>
        </is>
      </c>
      <c r="F2854" s="53">
        <v>4.7</v>
      </c>
      <c r="G2854" s="53">
        <v>0</v>
      </c>
      <c r="H2854" s="51" t="str">
        <f>TEXT(tblLaborEntries[[#This Row],[Work date serial]]-WEEKDAY(tblLaborEntries[[#This Row],[Work date serial]],3),"yyyy-mm-dd")</f>
        <v>2025-09-22</v>
      </c>
      <c r="I2854" s="64">
        <f>DATEVALUE(tblLaborEntries[[#This Row],[Work date]])</f>
        <v>45923.0</v>
      </c>
    </row>
    <row r="2855" spans="1:9" ht="15" x14ac:dyDescent="0.25">
      <c r="A2855" s="53" t="inlineStr">
        <is>
          <t>LAB-002854</t>
        </is>
      </c>
      <c r="B2855" s="53" t="inlineStr">
        <is>
          <t>WP-01258</t>
        </is>
      </c>
      <c r="C2855" s="53" t="inlineStr">
        <is>
          <t>TECH-004</t>
        </is>
      </c>
      <c r="D2855" s="53" t="inlineStr">
        <is>
          <t>Electrical</t>
        </is>
      </c>
      <c r="E2855" s="53" t="inlineStr">
        <is>
          <t>2025-04-10</t>
        </is>
      </c>
      <c r="F2855" s="53">
        <v>9.9</v>
      </c>
      <c r="G2855" s="53">
        <v>1.9</v>
      </c>
      <c r="H2855" s="51" t="str">
        <f>TEXT(tblLaborEntries[[#This Row],[Work date serial]]-WEEKDAY(tblLaborEntries[[#This Row],[Work date serial]],3),"yyyy-mm-dd")</f>
        <v>2025-04-07</v>
      </c>
      <c r="I2855" s="64">
        <f>DATEVALUE(tblLaborEntries[[#This Row],[Work date]])</f>
        <v>45757.0</v>
      </c>
    </row>
    <row r="2856" spans="1:9" ht="15" x14ac:dyDescent="0.25">
      <c r="A2856" s="53" t="inlineStr">
        <is>
          <t>LAB-002855</t>
        </is>
      </c>
      <c r="B2856" s="53" t="inlineStr">
        <is>
          <t>WP-01258</t>
        </is>
      </c>
      <c r="C2856" s="53" t="inlineStr">
        <is>
          <t>TECH-034</t>
        </is>
      </c>
      <c r="D2856" s="53" t="inlineStr">
        <is>
          <t>Electrical</t>
        </is>
      </c>
      <c r="E2856" s="53" t="inlineStr">
        <is>
          <t>2025-04-10</t>
        </is>
      </c>
      <c r="F2856" s="53">
        <v>12</v>
      </c>
      <c r="G2856" s="53">
        <v>4</v>
      </c>
      <c r="H2856" s="51" t="str">
        <f>TEXT(tblLaborEntries[[#This Row],[Work date serial]]-WEEKDAY(tblLaborEntries[[#This Row],[Work date serial]],3),"yyyy-mm-dd")</f>
        <v>2025-04-07</v>
      </c>
      <c r="I2856" s="64">
        <f>DATEVALUE(tblLaborEntries[[#This Row],[Work date]])</f>
        <v>45757.0</v>
      </c>
    </row>
    <row r="2857" spans="1:9" ht="15" x14ac:dyDescent="0.25">
      <c r="A2857" s="53" t="inlineStr">
        <is>
          <t>LAB-002856</t>
        </is>
      </c>
      <c r="B2857" s="53" t="inlineStr">
        <is>
          <t>WP-01259</t>
        </is>
      </c>
      <c r="C2857" s="53" t="inlineStr">
        <is>
          <t>TECH-006</t>
        </is>
      </c>
      <c r="D2857" s="53" t="inlineStr">
        <is>
          <t>Powerplant</t>
        </is>
      </c>
      <c r="E2857" s="53" t="inlineStr">
        <is>
          <t>2024-06-12</t>
        </is>
      </c>
      <c r="F2857" s="53">
        <v>12</v>
      </c>
      <c r="G2857" s="53">
        <v>4</v>
      </c>
      <c r="H2857" s="51" t="str">
        <f>TEXT(tblLaborEntries[[#This Row],[Work date serial]]-WEEKDAY(tblLaborEntries[[#This Row],[Work date serial]],3),"yyyy-mm-dd")</f>
        <v>2024-06-10</v>
      </c>
      <c r="I2857" s="64">
        <f>DATEVALUE(tblLaborEntries[[#This Row],[Work date]])</f>
        <v>45455.0</v>
      </c>
    </row>
    <row r="2858" spans="1:9" ht="15" x14ac:dyDescent="0.25">
      <c r="A2858" s="53" t="inlineStr">
        <is>
          <t>LAB-002857</t>
        </is>
      </c>
      <c r="B2858" s="53" t="inlineStr">
        <is>
          <t>WP-01259</t>
        </is>
      </c>
      <c r="C2858" s="53" t="inlineStr">
        <is>
          <t>TECH-012</t>
        </is>
      </c>
      <c r="D2858" s="53" t="inlineStr">
        <is>
          <t>Powerplant</t>
        </is>
      </c>
      <c r="E2858" s="53" t="inlineStr">
        <is>
          <t>2024-06-12</t>
        </is>
      </c>
      <c r="F2858" s="53">
        <v>2.2</v>
      </c>
      <c r="G2858" s="53">
        <v>0</v>
      </c>
      <c r="H2858" s="51" t="str">
        <f>TEXT(tblLaborEntries[[#This Row],[Work date serial]]-WEEKDAY(tblLaborEntries[[#This Row],[Work date serial]],3),"yyyy-mm-dd")</f>
        <v>2024-06-10</v>
      </c>
      <c r="I2858" s="64">
        <f>DATEVALUE(tblLaborEntries[[#This Row],[Work date]])</f>
        <v>45455.0</v>
      </c>
    </row>
    <row r="2859" spans="1:9" ht="15" x14ac:dyDescent="0.25">
      <c r="A2859" s="53" t="inlineStr">
        <is>
          <t>LAB-002858</t>
        </is>
      </c>
      <c r="B2859" s="53" t="inlineStr">
        <is>
          <t>WP-01259</t>
        </is>
      </c>
      <c r="C2859" s="53" t="inlineStr">
        <is>
          <t>TECH-042</t>
        </is>
      </c>
      <c r="D2859" s="53" t="inlineStr">
        <is>
          <t>Powerplant</t>
        </is>
      </c>
      <c r="E2859" s="53" t="inlineStr">
        <is>
          <t>2024-06-12</t>
        </is>
      </c>
      <c r="F2859" s="53">
        <v>12</v>
      </c>
      <c r="G2859" s="53">
        <v>4</v>
      </c>
      <c r="H2859" s="51" t="str">
        <f>TEXT(tblLaborEntries[[#This Row],[Work date serial]]-WEEKDAY(tblLaborEntries[[#This Row],[Work date serial]],3),"yyyy-mm-dd")</f>
        <v>2024-06-10</v>
      </c>
      <c r="I2859" s="64">
        <f>DATEVALUE(tblLaborEntries[[#This Row],[Work date]])</f>
        <v>45455.0</v>
      </c>
    </row>
    <row r="2860" spans="1:9" ht="15" x14ac:dyDescent="0.25">
      <c r="A2860" s="53" t="inlineStr">
        <is>
          <t>LAB-002859</t>
        </is>
      </c>
      <c r="B2860" s="53" t="inlineStr">
        <is>
          <t>WP-01260</t>
        </is>
      </c>
      <c r="C2860" s="53" t="inlineStr">
        <is>
          <t>TECH-067</t>
        </is>
      </c>
      <c r="D2860" s="53" t="inlineStr">
        <is>
          <t>Airframe</t>
        </is>
      </c>
      <c r="E2860" s="53" t="inlineStr">
        <is>
          <t>2024-12-18</t>
        </is>
      </c>
      <c r="F2860" s="53">
        <v>1.3</v>
      </c>
      <c r="G2860" s="53">
        <v>0</v>
      </c>
      <c r="H2860" s="51" t="str">
        <f>TEXT(tblLaborEntries[[#This Row],[Work date serial]]-WEEKDAY(tblLaborEntries[[#This Row],[Work date serial]],3),"yyyy-mm-dd")</f>
        <v>2024-12-16</v>
      </c>
      <c r="I2860" s="64">
        <f>DATEVALUE(tblLaborEntries[[#This Row],[Work date]])</f>
        <v>45644.0</v>
      </c>
    </row>
    <row r="2861" spans="1:9" ht="15" x14ac:dyDescent="0.25">
      <c r="A2861" s="53" t="inlineStr">
        <is>
          <t>LAB-002860</t>
        </is>
      </c>
      <c r="B2861" s="53" t="inlineStr">
        <is>
          <t>WP-01260</t>
        </is>
      </c>
      <c r="C2861" s="53" t="inlineStr">
        <is>
          <t>TECH-037</t>
        </is>
      </c>
      <c r="D2861" s="53" t="inlineStr">
        <is>
          <t>Airframe</t>
        </is>
      </c>
      <c r="E2861" s="53" t="inlineStr">
        <is>
          <t>2024-12-19</t>
        </is>
      </c>
      <c r="F2861" s="53">
        <v>1.3</v>
      </c>
      <c r="G2861" s="53">
        <v>0</v>
      </c>
      <c r="H2861" s="51" t="str">
        <f>TEXT(tblLaborEntries[[#This Row],[Work date serial]]-WEEKDAY(tblLaborEntries[[#This Row],[Work date serial]],3),"yyyy-mm-dd")</f>
        <v>2024-12-16</v>
      </c>
      <c r="I2861" s="64">
        <f>DATEVALUE(tblLaborEntries[[#This Row],[Work date]])</f>
        <v>45645.0</v>
      </c>
    </row>
    <row r="2862" spans="1:9" ht="15" x14ac:dyDescent="0.25">
      <c r="A2862" s="53" t="inlineStr">
        <is>
          <t>LAB-002861</t>
        </is>
      </c>
      <c r="B2862" s="53" t="inlineStr">
        <is>
          <t>WP-01260</t>
        </is>
      </c>
      <c r="C2862" s="53" t="inlineStr">
        <is>
          <t>TECH-001</t>
        </is>
      </c>
      <c r="D2862" s="53" t="inlineStr">
        <is>
          <t>Airframe</t>
        </is>
      </c>
      <c r="E2862" s="53" t="inlineStr">
        <is>
          <t>2024-12-20</t>
        </is>
      </c>
      <c r="F2862" s="53">
        <v>1.2</v>
      </c>
      <c r="G2862" s="53">
        <v>0</v>
      </c>
      <c r="H2862" s="51" t="str">
        <f>TEXT(tblLaborEntries[[#This Row],[Work date serial]]-WEEKDAY(tblLaborEntries[[#This Row],[Work date serial]],3),"yyyy-mm-dd")</f>
        <v>2024-12-16</v>
      </c>
      <c r="I2862" s="64">
        <f>DATEVALUE(tblLaborEntries[[#This Row],[Work date]])</f>
        <v>45646.0</v>
      </c>
    </row>
    <row r="2863" spans="1:9" ht="15" x14ac:dyDescent="0.25">
      <c r="A2863" s="53" t="inlineStr">
        <is>
          <t>LAB-002862</t>
        </is>
      </c>
      <c r="B2863" s="53" t="inlineStr">
        <is>
          <t>WP-01261</t>
        </is>
      </c>
      <c r="C2863" s="53" t="inlineStr">
        <is>
          <t>TECH-063</t>
        </is>
      </c>
      <c r="D2863" s="53" t="inlineStr">
        <is>
          <t>Hydraulics</t>
        </is>
      </c>
      <c r="E2863" s="53" t="inlineStr">
        <is>
          <t>2024-02-06</t>
        </is>
      </c>
      <c r="F2863" s="53">
        <v>4</v>
      </c>
      <c r="G2863" s="53">
        <v>0</v>
      </c>
      <c r="H2863" s="51" t="str">
        <f>TEXT(tblLaborEntries[[#This Row],[Work date serial]]-WEEKDAY(tblLaborEntries[[#This Row],[Work date serial]],3),"yyyy-mm-dd")</f>
        <v>2024-02-05</v>
      </c>
      <c r="I2863" s="64">
        <f>DATEVALUE(tblLaborEntries[[#This Row],[Work date]])</f>
        <v>45328.0</v>
      </c>
    </row>
    <row r="2864" spans="1:9" ht="15" x14ac:dyDescent="0.25">
      <c r="A2864" s="53" t="inlineStr">
        <is>
          <t>LAB-002863</t>
        </is>
      </c>
      <c r="B2864" s="53" t="inlineStr">
        <is>
          <t>WP-01261</t>
        </is>
      </c>
      <c r="C2864" s="53" t="inlineStr">
        <is>
          <t>TECH-063</t>
        </is>
      </c>
      <c r="D2864" s="53" t="inlineStr">
        <is>
          <t>Hydraulics</t>
        </is>
      </c>
      <c r="E2864" s="53" t="inlineStr">
        <is>
          <t>2024-02-07</t>
        </is>
      </c>
      <c r="F2864" s="53">
        <v>4.3</v>
      </c>
      <c r="G2864" s="53">
        <v>0</v>
      </c>
      <c r="H2864" s="51" t="str">
        <f>TEXT(tblLaborEntries[[#This Row],[Work date serial]]-WEEKDAY(tblLaborEntries[[#This Row],[Work date serial]],3),"yyyy-mm-dd")</f>
        <v>2024-02-05</v>
      </c>
      <c r="I2864" s="64">
        <f>DATEVALUE(tblLaborEntries[[#This Row],[Work date]])</f>
        <v>45329.0</v>
      </c>
    </row>
    <row r="2865" spans="1:9" ht="15" x14ac:dyDescent="0.25">
      <c r="A2865" s="53" t="inlineStr">
        <is>
          <t>LAB-002864</t>
        </is>
      </c>
      <c r="B2865" s="53" t="inlineStr">
        <is>
          <t>WP-01261</t>
        </is>
      </c>
      <c r="C2865" s="53" t="inlineStr">
        <is>
          <t>TECH-003</t>
        </is>
      </c>
      <c r="D2865" s="53" t="inlineStr">
        <is>
          <t>Hydraulics</t>
        </is>
      </c>
      <c r="E2865" s="53" t="inlineStr">
        <is>
          <t>2024-02-08</t>
        </is>
      </c>
      <c r="F2865" s="53">
        <v>4.4</v>
      </c>
      <c r="G2865" s="53">
        <v>0</v>
      </c>
      <c r="H2865" s="51" t="str">
        <f>TEXT(tblLaborEntries[[#This Row],[Work date serial]]-WEEKDAY(tblLaborEntries[[#This Row],[Work date serial]],3),"yyyy-mm-dd")</f>
        <v>2024-02-05</v>
      </c>
      <c r="I2865" s="64">
        <f>DATEVALUE(tblLaborEntries[[#This Row],[Work date]])</f>
        <v>45330.0</v>
      </c>
    </row>
    <row r="2866" spans="1:9" ht="15" x14ac:dyDescent="0.25">
      <c r="A2866" s="53" t="inlineStr">
        <is>
          <t>LAB-002865</t>
        </is>
      </c>
      <c r="B2866" s="53" t="inlineStr">
        <is>
          <t>WP-01262</t>
        </is>
      </c>
      <c r="C2866" s="53" t="inlineStr">
        <is>
          <t>TECH-040</t>
        </is>
      </c>
      <c r="D2866" s="53" t="inlineStr">
        <is>
          <t>Electrical</t>
        </is>
      </c>
      <c r="E2866" s="53" t="inlineStr">
        <is>
          <t>2026-01-04</t>
        </is>
      </c>
      <c r="F2866" s="53">
        <v>9.6</v>
      </c>
      <c r="G2866" s="53">
        <v>1.6</v>
      </c>
      <c r="H2866" s="51" t="str">
        <f>TEXT(tblLaborEntries[[#This Row],[Work date serial]]-WEEKDAY(tblLaborEntries[[#This Row],[Work date serial]],3),"yyyy-mm-dd")</f>
        <v>2025-12-29</v>
      </c>
      <c r="I2866" s="64">
        <f>DATEVALUE(tblLaborEntries[[#This Row],[Work date]])</f>
        <v>46026.0</v>
      </c>
    </row>
    <row r="2867" spans="1:9" ht="15" x14ac:dyDescent="0.25">
      <c r="A2867" s="53" t="inlineStr">
        <is>
          <t>LAB-002866</t>
        </is>
      </c>
      <c r="B2867" s="53" t="inlineStr">
        <is>
          <t>WP-01263</t>
        </is>
      </c>
      <c r="C2867" s="53" t="inlineStr">
        <is>
          <t>TECH-062</t>
        </is>
      </c>
      <c r="D2867" s="53" t="inlineStr">
        <is>
          <t>Avionics</t>
        </is>
      </c>
      <c r="E2867" s="53" t="inlineStr">
        <is>
          <t>2024-03-09</t>
        </is>
      </c>
      <c r="F2867" s="53">
        <v>1.3</v>
      </c>
      <c r="G2867" s="53">
        <v>0</v>
      </c>
      <c r="H2867" s="51" t="str">
        <f>TEXT(tblLaborEntries[[#This Row],[Work date serial]]-WEEKDAY(tblLaborEntries[[#This Row],[Work date serial]],3),"yyyy-mm-dd")</f>
        <v>2024-03-04</v>
      </c>
      <c r="I2867" s="64">
        <f>DATEVALUE(tblLaborEntries[[#This Row],[Work date]])</f>
        <v>45360.0</v>
      </c>
    </row>
    <row r="2868" spans="1:9" ht="15" x14ac:dyDescent="0.25">
      <c r="A2868" s="53" t="inlineStr">
        <is>
          <t>LAB-002867</t>
        </is>
      </c>
      <c r="B2868" s="53" t="inlineStr">
        <is>
          <t>WP-01263</t>
        </is>
      </c>
      <c r="C2868" s="53" t="inlineStr">
        <is>
          <t>TECH-026</t>
        </is>
      </c>
      <c r="D2868" s="53" t="inlineStr">
        <is>
          <t>Avionics</t>
        </is>
      </c>
      <c r="E2868" s="53" t="inlineStr">
        <is>
          <t>2024-03-10</t>
        </is>
      </c>
      <c r="F2868" s="53">
        <v>1.8</v>
      </c>
      <c r="G2868" s="53">
        <v>0</v>
      </c>
      <c r="H2868" s="51" t="str">
        <f>TEXT(tblLaborEntries[[#This Row],[Work date serial]]-WEEKDAY(tblLaborEntries[[#This Row],[Work date serial]],3),"yyyy-mm-dd")</f>
        <v>2024-03-04</v>
      </c>
      <c r="I2868" s="64">
        <f>DATEVALUE(tblLaborEntries[[#This Row],[Work date]])</f>
        <v>45361.0</v>
      </c>
    </row>
    <row r="2869" spans="1:9" ht="15" x14ac:dyDescent="0.25">
      <c r="A2869" s="53" t="inlineStr">
        <is>
          <t>LAB-002868</t>
        </is>
      </c>
      <c r="B2869" s="53" t="inlineStr">
        <is>
          <t>WP-01263</t>
        </is>
      </c>
      <c r="C2869" s="53" t="inlineStr">
        <is>
          <t>TECH-026</t>
        </is>
      </c>
      <c r="D2869" s="53" t="inlineStr">
        <is>
          <t>Avionics</t>
        </is>
      </c>
      <c r="E2869" s="53" t="inlineStr">
        <is>
          <t>2024-03-11</t>
        </is>
      </c>
      <c r="F2869" s="53">
        <v>1.6</v>
      </c>
      <c r="G2869" s="53">
        <v>0</v>
      </c>
      <c r="H2869" s="51" t="str">
        <f>TEXT(tblLaborEntries[[#This Row],[Work date serial]]-WEEKDAY(tblLaborEntries[[#This Row],[Work date serial]],3),"yyyy-mm-dd")</f>
        <v>2024-03-11</v>
      </c>
      <c r="I2869" s="64">
        <f>DATEVALUE(tblLaborEntries[[#This Row],[Work date]])</f>
        <v>45362.0</v>
      </c>
    </row>
    <row r="2870" spans="1:9" ht="15" x14ac:dyDescent="0.25">
      <c r="A2870" s="53" t="inlineStr">
        <is>
          <t>LAB-002869</t>
        </is>
      </c>
      <c r="B2870" s="53" t="inlineStr">
        <is>
          <t>WP-01264</t>
        </is>
      </c>
      <c r="C2870" s="53" t="inlineStr">
        <is>
          <t>TECH-056</t>
        </is>
      </c>
      <c r="D2870" s="53" t="inlineStr">
        <is>
          <t>Avionics</t>
        </is>
      </c>
      <c r="E2870" s="53" t="inlineStr">
        <is>
          <t>2025-08-16</t>
        </is>
      </c>
      <c r="F2870" s="53">
        <v>2.4</v>
      </c>
      <c r="G2870" s="53">
        <v>0</v>
      </c>
      <c r="H2870" s="51" t="str">
        <f>TEXT(tblLaborEntries[[#This Row],[Work date serial]]-WEEKDAY(tblLaborEntries[[#This Row],[Work date serial]],3),"yyyy-mm-dd")</f>
        <v>2025-08-11</v>
      </c>
      <c r="I2870" s="64">
        <f>DATEVALUE(tblLaborEntries[[#This Row],[Work date]])</f>
        <v>45885.0</v>
      </c>
    </row>
    <row r="2871" spans="1:9" ht="15" x14ac:dyDescent="0.25">
      <c r="A2871" s="53" t="inlineStr">
        <is>
          <t>LAB-002870</t>
        </is>
      </c>
      <c r="B2871" s="53" t="inlineStr">
        <is>
          <t>WP-01264</t>
        </is>
      </c>
      <c r="C2871" s="53" t="inlineStr">
        <is>
          <t>TECH-020</t>
        </is>
      </c>
      <c r="D2871" s="53" t="inlineStr">
        <is>
          <t>Avionics</t>
        </is>
      </c>
      <c r="E2871" s="53" t="inlineStr">
        <is>
          <t>2025-08-17</t>
        </is>
      </c>
      <c r="F2871" s="53">
        <v>2.5</v>
      </c>
      <c r="G2871" s="53">
        <v>0</v>
      </c>
      <c r="H2871" s="51" t="str">
        <f>TEXT(tblLaborEntries[[#This Row],[Work date serial]]-WEEKDAY(tblLaborEntries[[#This Row],[Work date serial]],3),"yyyy-mm-dd")</f>
        <v>2025-08-11</v>
      </c>
      <c r="I2871" s="64">
        <f>DATEVALUE(tblLaborEntries[[#This Row],[Work date]])</f>
        <v>45886.0</v>
      </c>
    </row>
    <row r="2872" spans="1:9" ht="15" x14ac:dyDescent="0.25">
      <c r="A2872" s="53" t="inlineStr">
        <is>
          <t>LAB-002871</t>
        </is>
      </c>
      <c r="B2872" s="53" t="inlineStr">
        <is>
          <t>WP-01265</t>
        </is>
      </c>
      <c r="C2872" s="53" t="inlineStr">
        <is>
          <t>TECH-002</t>
        </is>
      </c>
      <c r="D2872" s="53" t="inlineStr">
        <is>
          <t>Avionics</t>
        </is>
      </c>
      <c r="E2872" s="53" t="inlineStr">
        <is>
          <t>2025-07-12</t>
        </is>
      </c>
      <c r="F2872" s="53">
        <v>12</v>
      </c>
      <c r="G2872" s="53">
        <v>4</v>
      </c>
      <c r="H2872" s="51" t="str">
        <f>TEXT(tblLaborEntries[[#This Row],[Work date serial]]-WEEKDAY(tblLaborEntries[[#This Row],[Work date serial]],3),"yyyy-mm-dd")</f>
        <v>2025-07-07</v>
      </c>
      <c r="I2872" s="64">
        <f>DATEVALUE(tblLaborEntries[[#This Row],[Work date]])</f>
        <v>45850.0</v>
      </c>
    </row>
    <row r="2873" spans="1:9" ht="15" x14ac:dyDescent="0.25">
      <c r="A2873" s="53" t="inlineStr">
        <is>
          <t>LAB-002872</t>
        </is>
      </c>
      <c r="B2873" s="53" t="inlineStr">
        <is>
          <t>WP-01265</t>
        </is>
      </c>
      <c r="C2873" s="53" t="inlineStr">
        <is>
          <t>TECH-008</t>
        </is>
      </c>
      <c r="D2873" s="53" t="inlineStr">
        <is>
          <t>Avionics</t>
        </is>
      </c>
      <c r="E2873" s="53" t="inlineStr">
        <is>
          <t>2025-07-12</t>
        </is>
      </c>
      <c r="F2873" s="53">
        <v>8.5</v>
      </c>
      <c r="G2873" s="53">
        <v>0.5</v>
      </c>
      <c r="H2873" s="51" t="str">
        <f>TEXT(tblLaborEntries[[#This Row],[Work date serial]]-WEEKDAY(tblLaborEntries[[#This Row],[Work date serial]],3),"yyyy-mm-dd")</f>
        <v>2025-07-07</v>
      </c>
      <c r="I2873" s="64">
        <f>DATEVALUE(tblLaborEntries[[#This Row],[Work date]])</f>
        <v>45850.0</v>
      </c>
    </row>
    <row r="2874" spans="1:9" ht="15" x14ac:dyDescent="0.25">
      <c r="A2874" s="53" t="inlineStr">
        <is>
          <t>LAB-002873</t>
        </is>
      </c>
      <c r="B2874" s="53" t="inlineStr">
        <is>
          <t>WP-01265</t>
        </is>
      </c>
      <c r="C2874" s="53" t="inlineStr">
        <is>
          <t>TECH-074</t>
        </is>
      </c>
      <c r="D2874" s="53" t="inlineStr">
        <is>
          <t>Avionics</t>
        </is>
      </c>
      <c r="E2874" s="53" t="inlineStr">
        <is>
          <t>2025-07-12</t>
        </is>
      </c>
      <c r="F2874" s="53">
        <v>12</v>
      </c>
      <c r="G2874" s="53">
        <v>4</v>
      </c>
      <c r="H2874" s="51" t="str">
        <f>TEXT(tblLaborEntries[[#This Row],[Work date serial]]-WEEKDAY(tblLaborEntries[[#This Row],[Work date serial]],3),"yyyy-mm-dd")</f>
        <v>2025-07-07</v>
      </c>
      <c r="I2874" s="64">
        <f>DATEVALUE(tblLaborEntries[[#This Row],[Work date]])</f>
        <v>45850.0</v>
      </c>
    </row>
    <row r="2875" spans="1:9" ht="15" x14ac:dyDescent="0.25">
      <c r="A2875" s="53" t="inlineStr">
        <is>
          <t>LAB-002874</t>
        </is>
      </c>
      <c r="B2875" s="53" t="inlineStr">
        <is>
          <t>WP-01266</t>
        </is>
      </c>
      <c r="C2875" s="53" t="inlineStr">
        <is>
          <t>TECH-006</t>
        </is>
      </c>
      <c r="D2875" s="53" t="inlineStr">
        <is>
          <t>Powerplant</t>
        </is>
      </c>
      <c r="E2875" s="53" t="inlineStr">
        <is>
          <t>2024-10-26</t>
        </is>
      </c>
      <c r="F2875" s="53">
        <v>4.9</v>
      </c>
      <c r="G2875" s="53">
        <v>0</v>
      </c>
      <c r="H2875" s="51" t="str">
        <f>TEXT(tblLaborEntries[[#This Row],[Work date serial]]-WEEKDAY(tblLaborEntries[[#This Row],[Work date serial]],3),"yyyy-mm-dd")</f>
        <v>2024-10-21</v>
      </c>
      <c r="I2875" s="64">
        <f>DATEVALUE(tblLaborEntries[[#This Row],[Work date]])</f>
        <v>45591.0</v>
      </c>
    </row>
    <row r="2876" spans="1:9" ht="15" x14ac:dyDescent="0.25">
      <c r="A2876" s="53" t="inlineStr">
        <is>
          <t>LAB-002875</t>
        </is>
      </c>
      <c r="B2876" s="53" t="inlineStr">
        <is>
          <t>WP-01266</t>
        </is>
      </c>
      <c r="C2876" s="53" t="inlineStr">
        <is>
          <t>TECH-066</t>
        </is>
      </c>
      <c r="D2876" s="53" t="inlineStr">
        <is>
          <t>Powerplant</t>
        </is>
      </c>
      <c r="E2876" s="53" t="inlineStr">
        <is>
          <t>2024-10-26</t>
        </is>
      </c>
      <c r="F2876" s="53">
        <v>12</v>
      </c>
      <c r="G2876" s="53">
        <v>4</v>
      </c>
      <c r="H2876" s="51" t="str">
        <f>TEXT(tblLaborEntries[[#This Row],[Work date serial]]-WEEKDAY(tblLaborEntries[[#This Row],[Work date serial]],3),"yyyy-mm-dd")</f>
        <v>2024-10-21</v>
      </c>
      <c r="I2876" s="64">
        <f>DATEVALUE(tblLaborEntries[[#This Row],[Work date]])</f>
        <v>45591.0</v>
      </c>
    </row>
    <row r="2877" spans="1:9" ht="15" x14ac:dyDescent="0.25">
      <c r="A2877" s="53" t="inlineStr">
        <is>
          <t>LAB-002876</t>
        </is>
      </c>
      <c r="B2877" s="53" t="inlineStr">
        <is>
          <t>WP-01267</t>
        </is>
      </c>
      <c r="C2877" s="53" t="inlineStr">
        <is>
          <t>TECH-025</t>
        </is>
      </c>
      <c r="D2877" s="53" t="inlineStr">
        <is>
          <t>Airframe</t>
        </is>
      </c>
      <c r="E2877" s="53" t="inlineStr">
        <is>
          <t>2025-03-18</t>
        </is>
      </c>
      <c r="F2877" s="53">
        <v>2.5</v>
      </c>
      <c r="G2877" s="53">
        <v>0</v>
      </c>
      <c r="H2877" s="51" t="str">
        <f>TEXT(tblLaborEntries[[#This Row],[Work date serial]]-WEEKDAY(tblLaborEntries[[#This Row],[Work date serial]],3),"yyyy-mm-dd")</f>
        <v>2025-03-17</v>
      </c>
      <c r="I2877" s="64">
        <f>DATEVALUE(tblLaborEntries[[#This Row],[Work date]])</f>
        <v>45734.0</v>
      </c>
    </row>
    <row r="2878" spans="1:9" ht="15" x14ac:dyDescent="0.25">
      <c r="A2878" s="53" t="inlineStr">
        <is>
          <t>LAB-002877</t>
        </is>
      </c>
      <c r="B2878" s="53" t="inlineStr">
        <is>
          <t>WP-01267</t>
        </is>
      </c>
      <c r="C2878" s="53" t="inlineStr">
        <is>
          <t>TECH-067</t>
        </is>
      </c>
      <c r="D2878" s="53" t="inlineStr">
        <is>
          <t>Airframe</t>
        </is>
      </c>
      <c r="E2878" s="53" t="inlineStr">
        <is>
          <t>2025-03-19</t>
        </is>
      </c>
      <c r="F2878" s="53">
        <v>3.1</v>
      </c>
      <c r="G2878" s="53">
        <v>0</v>
      </c>
      <c r="H2878" s="51" t="str">
        <f>TEXT(tblLaborEntries[[#This Row],[Work date serial]]-WEEKDAY(tblLaborEntries[[#This Row],[Work date serial]],3),"yyyy-mm-dd")</f>
        <v>2025-03-17</v>
      </c>
      <c r="I2878" s="64">
        <f>DATEVALUE(tblLaborEntries[[#This Row],[Work date]])</f>
        <v>45735.0</v>
      </c>
    </row>
    <row r="2879" spans="1:9" ht="15" x14ac:dyDescent="0.25">
      <c r="A2879" s="53" t="inlineStr">
        <is>
          <t>LAB-002878</t>
        </is>
      </c>
      <c r="B2879" s="53" t="inlineStr">
        <is>
          <t>WP-01267</t>
        </is>
      </c>
      <c r="C2879" s="53" t="inlineStr">
        <is>
          <t>TECH-013</t>
        </is>
      </c>
      <c r="D2879" s="53" t="inlineStr">
        <is>
          <t>Airframe</t>
        </is>
      </c>
      <c r="E2879" s="53" t="inlineStr">
        <is>
          <t>2025-03-20</t>
        </is>
      </c>
      <c r="F2879" s="53">
        <v>2.3</v>
      </c>
      <c r="G2879" s="53">
        <v>0</v>
      </c>
      <c r="H2879" s="51" t="str">
        <f>TEXT(tblLaborEntries[[#This Row],[Work date serial]]-WEEKDAY(tblLaborEntries[[#This Row],[Work date serial]],3),"yyyy-mm-dd")</f>
        <v>2025-03-17</v>
      </c>
      <c r="I2879" s="64">
        <f>DATEVALUE(tblLaborEntries[[#This Row],[Work date]])</f>
        <v>45736.0</v>
      </c>
    </row>
    <row r="2880" spans="1:9" ht="15" x14ac:dyDescent="0.25">
      <c r="A2880" s="53" t="inlineStr">
        <is>
          <t>LAB-002879</t>
        </is>
      </c>
      <c r="B2880" s="53" t="inlineStr">
        <is>
          <t>WP-01268</t>
        </is>
      </c>
      <c r="C2880" s="53" t="inlineStr">
        <is>
          <t>TECH-004</t>
        </is>
      </c>
      <c r="D2880" s="53" t="inlineStr">
        <is>
          <t>Electrical</t>
        </is>
      </c>
      <c r="E2880" s="53" t="inlineStr">
        <is>
          <t>2024-04-23</t>
        </is>
      </c>
      <c r="F2880" s="53">
        <v>1.7</v>
      </c>
      <c r="G2880" s="53">
        <v>0</v>
      </c>
      <c r="H2880" s="51" t="str">
        <f>TEXT(tblLaborEntries[[#This Row],[Work date serial]]-WEEKDAY(tblLaborEntries[[#This Row],[Work date serial]],3),"yyyy-mm-dd")</f>
        <v>2024-04-22</v>
      </c>
      <c r="I2880" s="64">
        <f>DATEVALUE(tblLaborEntries[[#This Row],[Work date]])</f>
        <v>45405.0</v>
      </c>
    </row>
    <row r="2881" spans="1:9" ht="15" x14ac:dyDescent="0.25">
      <c r="A2881" s="53" t="inlineStr">
        <is>
          <t>LAB-002880</t>
        </is>
      </c>
      <c r="B2881" s="53" t="inlineStr">
        <is>
          <t>WP-01268</t>
        </is>
      </c>
      <c r="C2881" s="53" t="inlineStr">
        <is>
          <t>TECH-052</t>
        </is>
      </c>
      <c r="D2881" s="53" t="inlineStr">
        <is>
          <t>Electrical</t>
        </is>
      </c>
      <c r="E2881" s="53" t="inlineStr">
        <is>
          <t>2024-04-23</t>
        </is>
      </c>
      <c r="F2881" s="53">
        <v>12</v>
      </c>
      <c r="G2881" s="53">
        <v>4</v>
      </c>
      <c r="H2881" s="51" t="str">
        <f>TEXT(tblLaborEntries[[#This Row],[Work date serial]]-WEEKDAY(tblLaborEntries[[#This Row],[Work date serial]],3),"yyyy-mm-dd")</f>
        <v>2024-04-22</v>
      </c>
      <c r="I2881" s="64">
        <f>DATEVALUE(tblLaborEntries[[#This Row],[Work date]])</f>
        <v>45405.0</v>
      </c>
    </row>
    <row r="2882" spans="1:9" ht="15" x14ac:dyDescent="0.25">
      <c r="A2882" s="53" t="inlineStr">
        <is>
          <t>LAB-002881</t>
        </is>
      </c>
      <c r="B2882" s="53" t="inlineStr">
        <is>
          <t>WP-01269</t>
        </is>
      </c>
      <c r="C2882" s="53" t="inlineStr">
        <is>
          <t>TECH-033</t>
        </is>
      </c>
      <c r="D2882" s="53" t="inlineStr">
        <is>
          <t>Hydraulics</t>
        </is>
      </c>
      <c r="E2882" s="53" t="inlineStr">
        <is>
          <t>2025-10-29</t>
        </is>
      </c>
      <c r="F2882" s="53">
        <v>10.6</v>
      </c>
      <c r="G2882" s="53">
        <v>2.6</v>
      </c>
      <c r="H2882" s="51" t="str">
        <f>TEXT(tblLaborEntries[[#This Row],[Work date serial]]-WEEKDAY(tblLaborEntries[[#This Row],[Work date serial]],3),"yyyy-mm-dd")</f>
        <v>2025-10-27</v>
      </c>
      <c r="I2882" s="64">
        <f>DATEVALUE(tblLaborEntries[[#This Row],[Work date]])</f>
        <v>45959.0</v>
      </c>
    </row>
    <row r="2883" spans="1:9" ht="15" x14ac:dyDescent="0.25">
      <c r="A2883" s="53" t="inlineStr">
        <is>
          <t>LAB-002882</t>
        </is>
      </c>
      <c r="B2883" s="53" t="inlineStr">
        <is>
          <t>WP-01270</t>
        </is>
      </c>
      <c r="C2883" s="53" t="inlineStr">
        <is>
          <t>TECH-036</t>
        </is>
      </c>
      <c r="D2883" s="53" t="inlineStr">
        <is>
          <t>Powerplant</t>
        </is>
      </c>
      <c r="E2883" s="53" t="inlineStr">
        <is>
          <t>2024-12-04</t>
        </is>
      </c>
      <c r="F2883" s="53">
        <v>5.1</v>
      </c>
      <c r="G2883" s="53">
        <v>0</v>
      </c>
      <c r="H2883" s="51" t="str">
        <f>TEXT(tblLaborEntries[[#This Row],[Work date serial]]-WEEKDAY(tblLaborEntries[[#This Row],[Work date serial]],3),"yyyy-mm-dd")</f>
        <v>2024-12-02</v>
      </c>
      <c r="I2883" s="64">
        <f>DATEVALUE(tblLaborEntries[[#This Row],[Work date]])</f>
        <v>45630.0</v>
      </c>
    </row>
    <row r="2884" spans="1:9" ht="15" x14ac:dyDescent="0.25">
      <c r="A2884" s="53" t="inlineStr">
        <is>
          <t>LAB-002883</t>
        </is>
      </c>
      <c r="B2884" s="53" t="inlineStr">
        <is>
          <t>WP-01270</t>
        </is>
      </c>
      <c r="C2884" s="53" t="inlineStr">
        <is>
          <t>TECH-024</t>
        </is>
      </c>
      <c r="D2884" s="53" t="inlineStr">
        <is>
          <t>Powerplant</t>
        </is>
      </c>
      <c r="E2884" s="53" t="inlineStr">
        <is>
          <t>2024-12-05</t>
        </is>
      </c>
      <c r="F2884" s="53">
        <v>4.7</v>
      </c>
      <c r="G2884" s="53">
        <v>0</v>
      </c>
      <c r="H2884" s="51" t="str">
        <f>TEXT(tblLaborEntries[[#This Row],[Work date serial]]-WEEKDAY(tblLaborEntries[[#This Row],[Work date serial]],3),"yyyy-mm-dd")</f>
        <v>2024-12-02</v>
      </c>
      <c r="I2884" s="64">
        <f>DATEVALUE(tblLaborEntries[[#This Row],[Work date]])</f>
        <v>45631.0</v>
      </c>
    </row>
    <row r="2885" spans="1:9" ht="15" x14ac:dyDescent="0.25">
      <c r="A2885" s="53" t="inlineStr">
        <is>
          <t>LAB-002884</t>
        </is>
      </c>
      <c r="B2885" s="53" t="inlineStr">
        <is>
          <t>WP-01270</t>
        </is>
      </c>
      <c r="C2885" s="53" t="inlineStr">
        <is>
          <t>TECH-054</t>
        </is>
      </c>
      <c r="D2885" s="53" t="inlineStr">
        <is>
          <t>Powerplant</t>
        </is>
      </c>
      <c r="E2885" s="53" t="inlineStr">
        <is>
          <t>2024-12-06</t>
        </is>
      </c>
      <c r="F2885" s="53">
        <v>3.5</v>
      </c>
      <c r="G2885" s="53">
        <v>0</v>
      </c>
      <c r="H2885" s="51" t="str">
        <f>TEXT(tblLaborEntries[[#This Row],[Work date serial]]-WEEKDAY(tblLaborEntries[[#This Row],[Work date serial]],3),"yyyy-mm-dd")</f>
        <v>2024-12-02</v>
      </c>
      <c r="I2885" s="64">
        <f>DATEVALUE(tblLaborEntries[[#This Row],[Work date]])</f>
        <v>45632.0</v>
      </c>
    </row>
    <row r="2886" spans="1:9" ht="15" x14ac:dyDescent="0.25">
      <c r="A2886" s="53" t="inlineStr">
        <is>
          <t>LAB-002885</t>
        </is>
      </c>
      <c r="B2886" s="53" t="inlineStr">
        <is>
          <t>WP-01271</t>
        </is>
      </c>
      <c r="C2886" s="53" t="inlineStr">
        <is>
          <t>TECH-014</t>
        </is>
      </c>
      <c r="D2886" s="53" t="inlineStr">
        <is>
          <t>Avionics</t>
        </is>
      </c>
      <c r="E2886" s="53" t="inlineStr">
        <is>
          <t>2024-04-29</t>
        </is>
      </c>
      <c r="F2886" s="53">
        <v>3.7</v>
      </c>
      <c r="G2886" s="53">
        <v>0</v>
      </c>
      <c r="H2886" s="51" t="str">
        <f>TEXT(tblLaborEntries[[#This Row],[Work date serial]]-WEEKDAY(tblLaborEntries[[#This Row],[Work date serial]],3),"yyyy-mm-dd")</f>
        <v>2024-04-29</v>
      </c>
      <c r="I2886" s="64">
        <f>DATEVALUE(tblLaborEntries[[#This Row],[Work date]])</f>
        <v>45411.0</v>
      </c>
    </row>
    <row r="2887" spans="1:9" ht="15" x14ac:dyDescent="0.25">
      <c r="A2887" s="53" t="inlineStr">
        <is>
          <t>LAB-002886</t>
        </is>
      </c>
      <c r="B2887" s="53" t="inlineStr">
        <is>
          <t>WP-01271</t>
        </is>
      </c>
      <c r="C2887" s="53" t="inlineStr">
        <is>
          <t>TECH-044</t>
        </is>
      </c>
      <c r="D2887" s="53" t="inlineStr">
        <is>
          <t>Avionics</t>
        </is>
      </c>
      <c r="E2887" s="53" t="inlineStr">
        <is>
          <t>2024-04-30</t>
        </is>
      </c>
      <c r="F2887" s="53">
        <v>3.9</v>
      </c>
      <c r="G2887" s="53">
        <v>0</v>
      </c>
      <c r="H2887" s="51" t="str">
        <f>TEXT(tblLaborEntries[[#This Row],[Work date serial]]-WEEKDAY(tblLaborEntries[[#This Row],[Work date serial]],3),"yyyy-mm-dd")</f>
        <v>2024-04-29</v>
      </c>
      <c r="I2887" s="64">
        <f>DATEVALUE(tblLaborEntries[[#This Row],[Work date]])</f>
        <v>45412.0</v>
      </c>
    </row>
    <row r="2888" spans="1:9" ht="15" x14ac:dyDescent="0.25">
      <c r="A2888" s="53" t="inlineStr">
        <is>
          <t>LAB-002887</t>
        </is>
      </c>
      <c r="B2888" s="53" t="inlineStr">
        <is>
          <t>WP-01272</t>
        </is>
      </c>
      <c r="C2888" s="53" t="inlineStr">
        <is>
          <t>TECH-002</t>
        </is>
      </c>
      <c r="D2888" s="53" t="inlineStr">
        <is>
          <t>Avionics</t>
        </is>
      </c>
      <c r="E2888" s="53" t="inlineStr">
        <is>
          <t>2025-01-17</t>
        </is>
      </c>
      <c r="F2888" s="53">
        <v>1</v>
      </c>
      <c r="G2888" s="53">
        <v>0</v>
      </c>
      <c r="H2888" s="51" t="str">
        <f>TEXT(tblLaborEntries[[#This Row],[Work date serial]]-WEEKDAY(tblLaborEntries[[#This Row],[Work date serial]],3),"yyyy-mm-dd")</f>
        <v>2025-01-13</v>
      </c>
      <c r="I2888" s="64">
        <f>DATEVALUE(tblLaborEntries[[#This Row],[Work date]])</f>
        <v>45674.0</v>
      </c>
    </row>
    <row r="2889" spans="1:9" ht="15" x14ac:dyDescent="0.25">
      <c r="A2889" s="53" t="inlineStr">
        <is>
          <t>LAB-002888</t>
        </is>
      </c>
      <c r="B2889" s="53" t="inlineStr">
        <is>
          <t>WP-01272</t>
        </is>
      </c>
      <c r="C2889" s="53" t="inlineStr">
        <is>
          <t>TECH-044</t>
        </is>
      </c>
      <c r="D2889" s="53" t="inlineStr">
        <is>
          <t>Avionics</t>
        </is>
      </c>
      <c r="E2889" s="53" t="inlineStr">
        <is>
          <t>2025-01-17</t>
        </is>
      </c>
      <c r="F2889" s="53">
        <v>12</v>
      </c>
      <c r="G2889" s="53">
        <v>4</v>
      </c>
      <c r="H2889" s="51" t="str">
        <f>TEXT(tblLaborEntries[[#This Row],[Work date serial]]-WEEKDAY(tblLaborEntries[[#This Row],[Work date serial]],3),"yyyy-mm-dd")</f>
        <v>2025-01-13</v>
      </c>
      <c r="I2889" s="64">
        <f>DATEVALUE(tblLaborEntries[[#This Row],[Work date]])</f>
        <v>45674.0</v>
      </c>
    </row>
    <row r="2890" spans="1:9" ht="15" x14ac:dyDescent="0.25">
      <c r="A2890" s="53" t="inlineStr">
        <is>
          <t>LAB-002889</t>
        </is>
      </c>
      <c r="B2890" s="53" t="inlineStr">
        <is>
          <t>WP-01272</t>
        </is>
      </c>
      <c r="C2890" s="53" t="inlineStr">
        <is>
          <t>TECH-020</t>
        </is>
      </c>
      <c r="D2890" s="53" t="inlineStr">
        <is>
          <t>Avionics</t>
        </is>
      </c>
      <c r="E2890" s="53" t="inlineStr">
        <is>
          <t>2025-01-18</t>
        </is>
      </c>
      <c r="F2890" s="53">
        <v>10.2</v>
      </c>
      <c r="G2890" s="53">
        <v>2.2</v>
      </c>
      <c r="H2890" s="51" t="str">
        <f>TEXT(tblLaborEntries[[#This Row],[Work date serial]]-WEEKDAY(tblLaborEntries[[#This Row],[Work date serial]],3),"yyyy-mm-dd")</f>
        <v>2025-01-13</v>
      </c>
      <c r="I2890" s="64">
        <f>DATEVALUE(tblLaborEntries[[#This Row],[Work date]])</f>
        <v>45675.0</v>
      </c>
    </row>
    <row r="2891" spans="1:9" ht="15" x14ac:dyDescent="0.25">
      <c r="A2891" s="53" t="inlineStr">
        <is>
          <t>LAB-002890</t>
        </is>
      </c>
      <c r="B2891" s="53" t="inlineStr">
        <is>
          <t>WP-01273</t>
        </is>
      </c>
      <c r="C2891" s="53" t="inlineStr">
        <is>
          <t>TECH-074</t>
        </is>
      </c>
      <c r="D2891" s="53" t="inlineStr">
        <is>
          <t>Avionics</t>
        </is>
      </c>
      <c r="E2891" s="53" t="inlineStr">
        <is>
          <t>2025-03-08</t>
        </is>
      </c>
      <c r="F2891" s="53">
        <v>2.6</v>
      </c>
      <c r="G2891" s="53">
        <v>0</v>
      </c>
      <c r="H2891" s="51" t="str">
        <f>TEXT(tblLaborEntries[[#This Row],[Work date serial]]-WEEKDAY(tblLaborEntries[[#This Row],[Work date serial]],3),"yyyy-mm-dd")</f>
        <v>2025-03-03</v>
      </c>
      <c r="I2891" s="64">
        <f>DATEVALUE(tblLaborEntries[[#This Row],[Work date]])</f>
        <v>45724.0</v>
      </c>
    </row>
    <row r="2892" spans="1:9" ht="15" x14ac:dyDescent="0.25">
      <c r="A2892" s="53" t="inlineStr">
        <is>
          <t>LAB-002891</t>
        </is>
      </c>
      <c r="B2892" s="53" t="inlineStr">
        <is>
          <t>WP-01273</t>
        </is>
      </c>
      <c r="C2892" s="53" t="inlineStr">
        <is>
          <t>TECH-026</t>
        </is>
      </c>
      <c r="D2892" s="53" t="inlineStr">
        <is>
          <t>Avionics</t>
        </is>
      </c>
      <c r="E2892" s="53" t="inlineStr">
        <is>
          <t>2025-03-09</t>
        </is>
      </c>
      <c r="F2892" s="53">
        <v>2.7</v>
      </c>
      <c r="G2892" s="53">
        <v>0</v>
      </c>
      <c r="H2892" s="51" t="str">
        <f>TEXT(tblLaborEntries[[#This Row],[Work date serial]]-WEEKDAY(tblLaborEntries[[#This Row],[Work date serial]],3),"yyyy-mm-dd")</f>
        <v>2025-03-03</v>
      </c>
      <c r="I2892" s="64">
        <f>DATEVALUE(tblLaborEntries[[#This Row],[Work date]])</f>
        <v>45725.0</v>
      </c>
    </row>
    <row r="2893" spans="1:9" ht="15" x14ac:dyDescent="0.25">
      <c r="A2893" s="53" t="inlineStr">
        <is>
          <t>LAB-002892</t>
        </is>
      </c>
      <c r="B2893" s="53" t="inlineStr">
        <is>
          <t>WP-01274</t>
        </is>
      </c>
      <c r="C2893" s="53" t="inlineStr">
        <is>
          <t>TECH-057</t>
        </is>
      </c>
      <c r="D2893" s="53" t="inlineStr">
        <is>
          <t>Hydraulics</t>
        </is>
      </c>
      <c r="E2893" s="53" t="inlineStr">
        <is>
          <t>2025-06-24</t>
        </is>
      </c>
      <c r="F2893" s="53">
        <v>3.2</v>
      </c>
      <c r="G2893" s="53">
        <v>0</v>
      </c>
      <c r="H2893" s="51" t="str">
        <f>TEXT(tblLaborEntries[[#This Row],[Work date serial]]-WEEKDAY(tblLaborEntries[[#This Row],[Work date serial]],3),"yyyy-mm-dd")</f>
        <v>2025-06-23</v>
      </c>
      <c r="I2893" s="64">
        <f>DATEVALUE(tblLaborEntries[[#This Row],[Work date]])</f>
        <v>45832.0</v>
      </c>
    </row>
    <row r="2894" spans="1:9" ht="15" x14ac:dyDescent="0.25">
      <c r="A2894" s="53" t="inlineStr">
        <is>
          <t>LAB-002893</t>
        </is>
      </c>
      <c r="B2894" s="53" t="inlineStr">
        <is>
          <t>WP-01274</t>
        </is>
      </c>
      <c r="C2894" s="53" t="inlineStr">
        <is>
          <t>TECH-003</t>
        </is>
      </c>
      <c r="D2894" s="53" t="inlineStr">
        <is>
          <t>Hydraulics</t>
        </is>
      </c>
      <c r="E2894" s="53" t="inlineStr">
        <is>
          <t>2025-06-25</t>
        </is>
      </c>
      <c r="F2894" s="53">
        <v>3.3</v>
      </c>
      <c r="G2894" s="53">
        <v>0</v>
      </c>
      <c r="H2894" s="51" t="str">
        <f>TEXT(tblLaborEntries[[#This Row],[Work date serial]]-WEEKDAY(tblLaborEntries[[#This Row],[Work date serial]],3),"yyyy-mm-dd")</f>
        <v>2025-06-23</v>
      </c>
      <c r="I2894" s="64">
        <f>DATEVALUE(tblLaborEntries[[#This Row],[Work date]])</f>
        <v>45833.0</v>
      </c>
    </row>
    <row r="2895" spans="1:9" ht="15" x14ac:dyDescent="0.25">
      <c r="A2895" s="53" t="inlineStr">
        <is>
          <t>LAB-002894</t>
        </is>
      </c>
      <c r="B2895" s="53" t="inlineStr">
        <is>
          <t>WP-01275</t>
        </is>
      </c>
      <c r="C2895" s="53" t="inlineStr">
        <is>
          <t>TECH-050</t>
        </is>
      </c>
      <c r="D2895" s="53" t="inlineStr">
        <is>
          <t>Avionics</t>
        </is>
      </c>
      <c r="E2895" s="53" t="inlineStr">
        <is>
          <t>2024-03-10</t>
        </is>
      </c>
      <c r="F2895" s="53">
        <v>11.3</v>
      </c>
      <c r="G2895" s="53">
        <v>3.3</v>
      </c>
      <c r="H2895" s="51" t="str">
        <f>TEXT(tblLaborEntries[[#This Row],[Work date serial]]-WEEKDAY(tblLaborEntries[[#This Row],[Work date serial]],3),"yyyy-mm-dd")</f>
        <v>2024-03-04</v>
      </c>
      <c r="I2895" s="64">
        <f>DATEVALUE(tblLaborEntries[[#This Row],[Work date]])</f>
        <v>45361.0</v>
      </c>
    </row>
    <row r="2896" spans="1:9" ht="15" x14ac:dyDescent="0.25">
      <c r="A2896" s="53" t="inlineStr">
        <is>
          <t>LAB-002895</t>
        </is>
      </c>
      <c r="B2896" s="53" t="inlineStr">
        <is>
          <t>WP-01275</t>
        </is>
      </c>
      <c r="C2896" s="53" t="inlineStr">
        <is>
          <t>TECH-002</t>
        </is>
      </c>
      <c r="D2896" s="53" t="inlineStr">
        <is>
          <t>Avionics</t>
        </is>
      </c>
      <c r="E2896" s="53" t="inlineStr">
        <is>
          <t>2024-03-11</t>
        </is>
      </c>
      <c r="F2896" s="53">
        <v>6.4</v>
      </c>
      <c r="G2896" s="53">
        <v>0</v>
      </c>
      <c r="H2896" s="51" t="str">
        <f>TEXT(tblLaborEntries[[#This Row],[Work date serial]]-WEEKDAY(tblLaborEntries[[#This Row],[Work date serial]],3),"yyyy-mm-dd")</f>
        <v>2024-03-11</v>
      </c>
      <c r="I2896" s="64">
        <f>DATEVALUE(tblLaborEntries[[#This Row],[Work date]])</f>
        <v>45362.0</v>
      </c>
    </row>
    <row r="2897" spans="1:9" ht="15" x14ac:dyDescent="0.25">
      <c r="A2897" s="53" t="inlineStr">
        <is>
          <t>LAB-002896</t>
        </is>
      </c>
      <c r="B2897" s="53" t="inlineStr">
        <is>
          <t>WP-01275</t>
        </is>
      </c>
      <c r="C2897" s="53" t="inlineStr">
        <is>
          <t>TECH-044</t>
        </is>
      </c>
      <c r="D2897" s="53" t="inlineStr">
        <is>
          <t>Avionics</t>
        </is>
      </c>
      <c r="E2897" s="53" t="inlineStr">
        <is>
          <t>2024-03-11</t>
        </is>
      </c>
      <c r="F2897" s="53">
        <v>6.3</v>
      </c>
      <c r="G2897" s="53">
        <v>4</v>
      </c>
      <c r="H2897" s="51" t="str">
        <f>TEXT(tblLaborEntries[[#This Row],[Work date serial]]-WEEKDAY(tblLaborEntries[[#This Row],[Work date serial]],3),"yyyy-mm-dd")</f>
        <v>2024-03-11</v>
      </c>
      <c r="I2897" s="64">
        <f>DATEVALUE(tblLaborEntries[[#This Row],[Work date]])</f>
        <v>45362.0</v>
      </c>
    </row>
    <row r="2898" spans="1:9" ht="15" x14ac:dyDescent="0.25">
      <c r="A2898" s="53" t="inlineStr">
        <is>
          <t>LAB-002897</t>
        </is>
      </c>
      <c r="B2898" s="53" t="inlineStr">
        <is>
          <t>WP-01276</t>
        </is>
      </c>
      <c r="C2898" s="53" t="inlineStr">
        <is>
          <t>TECH-072</t>
        </is>
      </c>
      <c r="D2898" s="53" t="inlineStr">
        <is>
          <t>Powerplant</t>
        </is>
      </c>
      <c r="E2898" s="53" t="inlineStr">
        <is>
          <t>2024-07-12</t>
        </is>
      </c>
      <c r="F2898" s="53">
        <v>11.3</v>
      </c>
      <c r="G2898" s="53">
        <v>3.3</v>
      </c>
      <c r="H2898" s="51" t="str">
        <f>TEXT(tblLaborEntries[[#This Row],[Work date serial]]-WEEKDAY(tblLaborEntries[[#This Row],[Work date serial]],3),"yyyy-mm-dd")</f>
        <v>2024-07-08</v>
      </c>
      <c r="I2898" s="64">
        <f>DATEVALUE(tblLaborEntries[[#This Row],[Work date]])</f>
        <v>45485.0</v>
      </c>
    </row>
    <row r="2899" spans="1:9" ht="15" x14ac:dyDescent="0.25">
      <c r="A2899" s="53" t="inlineStr">
        <is>
          <t>LAB-002898</t>
        </is>
      </c>
      <c r="B2899" s="53" t="inlineStr">
        <is>
          <t>WP-01276</t>
        </is>
      </c>
      <c r="C2899" s="53" t="inlineStr">
        <is>
          <t>TECH-006</t>
        </is>
      </c>
      <c r="D2899" s="53" t="inlineStr">
        <is>
          <t>Powerplant</t>
        </is>
      </c>
      <c r="E2899" s="53" t="inlineStr">
        <is>
          <t>2024-07-13</t>
        </is>
      </c>
      <c r="F2899" s="53">
        <v>10</v>
      </c>
      <c r="G2899" s="53">
        <v>2</v>
      </c>
      <c r="H2899" s="51" t="str">
        <f>TEXT(tblLaborEntries[[#This Row],[Work date serial]]-WEEKDAY(tblLaborEntries[[#This Row],[Work date serial]],3),"yyyy-mm-dd")</f>
        <v>2024-07-08</v>
      </c>
      <c r="I2899" s="64">
        <f>DATEVALUE(tblLaborEntries[[#This Row],[Work date]])</f>
        <v>45486.0</v>
      </c>
    </row>
    <row r="2900" spans="1:9" ht="15" x14ac:dyDescent="0.25">
      <c r="A2900" s="53" t="inlineStr">
        <is>
          <t>LAB-002899</t>
        </is>
      </c>
      <c r="B2900" s="53" t="inlineStr">
        <is>
          <t>WP-01276</t>
        </is>
      </c>
      <c r="C2900" s="53" t="inlineStr">
        <is>
          <t>TECH-018</t>
        </is>
      </c>
      <c r="D2900" s="53" t="inlineStr">
        <is>
          <t>Powerplant</t>
        </is>
      </c>
      <c r="E2900" s="53" t="inlineStr">
        <is>
          <t>2024-07-13</t>
        </is>
      </c>
      <c r="F2900" s="53">
        <v>3</v>
      </c>
      <c r="G2900" s="53">
        <v>3</v>
      </c>
      <c r="H2900" s="51" t="str">
        <f>TEXT(tblLaborEntries[[#This Row],[Work date serial]]-WEEKDAY(tblLaborEntries[[#This Row],[Work date serial]],3),"yyyy-mm-dd")</f>
        <v>2024-07-08</v>
      </c>
      <c r="I2900" s="64">
        <f>DATEVALUE(tblLaborEntries[[#This Row],[Work date]])</f>
        <v>45486.0</v>
      </c>
    </row>
    <row r="2901" spans="1:9" ht="15" x14ac:dyDescent="0.25">
      <c r="A2901" s="53" t="inlineStr">
        <is>
          <t>LAB-002900</t>
        </is>
      </c>
      <c r="B2901" s="53" t="inlineStr">
        <is>
          <t>WP-01277</t>
        </is>
      </c>
      <c r="C2901" s="53" t="inlineStr">
        <is>
          <t>TECH-002</t>
        </is>
      </c>
      <c r="D2901" s="53" t="inlineStr">
        <is>
          <t>Avionics</t>
        </is>
      </c>
      <c r="E2901" s="53" t="inlineStr">
        <is>
          <t>2025-11-07</t>
        </is>
      </c>
      <c r="F2901" s="53">
        <v>1.4</v>
      </c>
      <c r="G2901" s="53">
        <v>0</v>
      </c>
      <c r="H2901" s="51" t="str">
        <f>TEXT(tblLaborEntries[[#This Row],[Work date serial]]-WEEKDAY(tblLaborEntries[[#This Row],[Work date serial]],3),"yyyy-mm-dd")</f>
        <v>2025-11-03</v>
      </c>
      <c r="I2901" s="64">
        <f>DATEVALUE(tblLaborEntries[[#This Row],[Work date]])</f>
        <v>45968.0</v>
      </c>
    </row>
    <row r="2902" spans="1:9" ht="15" x14ac:dyDescent="0.25">
      <c r="A2902" s="53" t="inlineStr">
        <is>
          <t>LAB-002901</t>
        </is>
      </c>
      <c r="B2902" s="53" t="inlineStr">
        <is>
          <t>WP-01277</t>
        </is>
      </c>
      <c r="C2902" s="53" t="inlineStr">
        <is>
          <t>TECH-020</t>
        </is>
      </c>
      <c r="D2902" s="53" t="inlineStr">
        <is>
          <t>Avionics</t>
        </is>
      </c>
      <c r="E2902" s="53" t="inlineStr">
        <is>
          <t>2025-11-07</t>
        </is>
      </c>
      <c r="F2902" s="53">
        <v>9.5</v>
      </c>
      <c r="G2902" s="53">
        <v>1.5</v>
      </c>
      <c r="H2902" s="51" t="str">
        <f>TEXT(tblLaborEntries[[#This Row],[Work date serial]]-WEEKDAY(tblLaborEntries[[#This Row],[Work date serial]],3),"yyyy-mm-dd")</f>
        <v>2025-11-03</v>
      </c>
      <c r="I2902" s="64">
        <f>DATEVALUE(tblLaborEntries[[#This Row],[Work date]])</f>
        <v>45968.0</v>
      </c>
    </row>
    <row r="2903" spans="1:9" ht="15" x14ac:dyDescent="0.25">
      <c r="A2903" s="53" t="inlineStr">
        <is>
          <t>LAB-002902</t>
        </is>
      </c>
      <c r="B2903" s="53" t="inlineStr">
        <is>
          <t>WP-01277</t>
        </is>
      </c>
      <c r="C2903" s="53" t="inlineStr">
        <is>
          <t>TECH-008</t>
        </is>
      </c>
      <c r="D2903" s="53" t="inlineStr">
        <is>
          <t>Avionics</t>
        </is>
      </c>
      <c r="E2903" s="53" t="inlineStr">
        <is>
          <t>2025-11-08</t>
        </is>
      </c>
      <c r="F2903" s="53">
        <v>9.3</v>
      </c>
      <c r="G2903" s="53">
        <v>1.3</v>
      </c>
      <c r="H2903" s="51" t="str">
        <f>TEXT(tblLaborEntries[[#This Row],[Work date serial]]-WEEKDAY(tblLaborEntries[[#This Row],[Work date serial]],3),"yyyy-mm-dd")</f>
        <v>2025-11-03</v>
      </c>
      <c r="I2903" s="64">
        <f>DATEVALUE(tblLaborEntries[[#This Row],[Work date]])</f>
        <v>45969.0</v>
      </c>
    </row>
    <row r="2904" spans="1:9" ht="15" x14ac:dyDescent="0.25">
      <c r="A2904" s="53" t="inlineStr">
        <is>
          <t>LAB-002903</t>
        </is>
      </c>
      <c r="B2904" s="53" t="inlineStr">
        <is>
          <t>WP-01278</t>
        </is>
      </c>
      <c r="C2904" s="53" t="inlineStr">
        <is>
          <t>TECH-026</t>
        </is>
      </c>
      <c r="D2904" s="53" t="inlineStr">
        <is>
          <t>Avionics</t>
        </is>
      </c>
      <c r="E2904" s="53" t="inlineStr">
        <is>
          <t>2024-05-24</t>
        </is>
      </c>
      <c r="F2904" s="53">
        <v>10.8</v>
      </c>
      <c r="G2904" s="53">
        <v>2.8</v>
      </c>
      <c r="H2904" s="51" t="str">
        <f>TEXT(tblLaborEntries[[#This Row],[Work date serial]]-WEEKDAY(tblLaborEntries[[#This Row],[Work date serial]],3),"yyyy-mm-dd")</f>
        <v>2024-05-20</v>
      </c>
      <c r="I2904" s="64">
        <f>DATEVALUE(tblLaborEntries[[#This Row],[Work date]])</f>
        <v>45436.0</v>
      </c>
    </row>
    <row r="2905" spans="1:9" ht="15" x14ac:dyDescent="0.25">
      <c r="A2905" s="53" t="inlineStr">
        <is>
          <t>LAB-002904</t>
        </is>
      </c>
      <c r="B2905" s="53" t="inlineStr">
        <is>
          <t>WP-01279</t>
        </is>
      </c>
      <c r="C2905" s="53" t="inlineStr">
        <is>
          <t>TECH-063</t>
        </is>
      </c>
      <c r="D2905" s="53" t="inlineStr">
        <is>
          <t>Hydraulics</t>
        </is>
      </c>
      <c r="E2905" s="53" t="inlineStr">
        <is>
          <t>2025-03-05</t>
        </is>
      </c>
      <c r="F2905" s="53">
        <v>8.3</v>
      </c>
      <c r="G2905" s="53">
        <v>0.3</v>
      </c>
      <c r="H2905" s="51" t="str">
        <f>TEXT(tblLaborEntries[[#This Row],[Work date serial]]-WEEKDAY(tblLaborEntries[[#This Row],[Work date serial]],3),"yyyy-mm-dd")</f>
        <v>2025-03-03</v>
      </c>
      <c r="I2905" s="64">
        <f>DATEVALUE(tblLaborEntries[[#This Row],[Work date]])</f>
        <v>45721.0</v>
      </c>
    </row>
    <row r="2906" spans="1:9" ht="15" x14ac:dyDescent="0.25">
      <c r="A2906" s="53" t="inlineStr">
        <is>
          <t>LAB-002905</t>
        </is>
      </c>
      <c r="B2906" s="53" t="inlineStr">
        <is>
          <t>WP-01279</t>
        </is>
      </c>
      <c r="C2906" s="53" t="inlineStr">
        <is>
          <t>TECH-033</t>
        </is>
      </c>
      <c r="D2906" s="53" t="inlineStr">
        <is>
          <t>Hydraulics</t>
        </is>
      </c>
      <c r="E2906" s="53" t="inlineStr">
        <is>
          <t>2025-03-06</t>
        </is>
      </c>
      <c r="F2906" s="53">
        <v>7.8</v>
      </c>
      <c r="G2906" s="53">
        <v>0</v>
      </c>
      <c r="H2906" s="51" t="str">
        <f>TEXT(tblLaborEntries[[#This Row],[Work date serial]]-WEEKDAY(tblLaborEntries[[#This Row],[Work date serial]],3),"yyyy-mm-dd")</f>
        <v>2025-03-03</v>
      </c>
      <c r="I2906" s="64">
        <f>DATEVALUE(tblLaborEntries[[#This Row],[Work date]])</f>
        <v>45722.0</v>
      </c>
    </row>
    <row r="2907" spans="1:9" ht="15" x14ac:dyDescent="0.25">
      <c r="A2907" s="53" t="inlineStr">
        <is>
          <t>LAB-002906</t>
        </is>
      </c>
      <c r="B2907" s="53" t="inlineStr">
        <is>
          <t>WP-01279</t>
        </is>
      </c>
      <c r="C2907" s="53" t="inlineStr">
        <is>
          <t>TECH-033</t>
        </is>
      </c>
      <c r="D2907" s="53" t="inlineStr">
        <is>
          <t>Hydraulics</t>
        </is>
      </c>
      <c r="E2907" s="53" t="inlineStr">
        <is>
          <t>2025-03-07</t>
        </is>
      </c>
      <c r="F2907" s="53">
        <v>6.3</v>
      </c>
      <c r="G2907" s="53">
        <v>0</v>
      </c>
      <c r="H2907" s="51" t="str">
        <f>TEXT(tblLaborEntries[[#This Row],[Work date serial]]-WEEKDAY(tblLaborEntries[[#This Row],[Work date serial]],3),"yyyy-mm-dd")</f>
        <v>2025-03-03</v>
      </c>
      <c r="I2907" s="64">
        <f>DATEVALUE(tblLaborEntries[[#This Row],[Work date]])</f>
        <v>45723.0</v>
      </c>
    </row>
    <row r="2908" spans="1:9" ht="15" x14ac:dyDescent="0.25">
      <c r="A2908" s="53" t="inlineStr">
        <is>
          <t>LAB-002907</t>
        </is>
      </c>
      <c r="B2908" s="53" t="inlineStr">
        <is>
          <t>WP-01280</t>
        </is>
      </c>
      <c r="C2908" s="53" t="inlineStr">
        <is>
          <t>TECH-055</t>
        </is>
      </c>
      <c r="D2908" s="53" t="inlineStr">
        <is>
          <t>Airframe</t>
        </is>
      </c>
      <c r="E2908" s="53" t="inlineStr">
        <is>
          <t>2024-08-27</t>
        </is>
      </c>
      <c r="F2908" s="53">
        <v>7.6</v>
      </c>
      <c r="G2908" s="53">
        <v>0</v>
      </c>
      <c r="H2908" s="51" t="str">
        <f>TEXT(tblLaborEntries[[#This Row],[Work date serial]]-WEEKDAY(tblLaborEntries[[#This Row],[Work date serial]],3),"yyyy-mm-dd")</f>
        <v>2024-08-26</v>
      </c>
      <c r="I2908" s="64">
        <f>DATEVALUE(tblLaborEntries[[#This Row],[Work date]])</f>
        <v>45531.0</v>
      </c>
    </row>
    <row r="2909" spans="1:9" ht="15" x14ac:dyDescent="0.25">
      <c r="A2909" s="53" t="inlineStr">
        <is>
          <t>LAB-002908</t>
        </is>
      </c>
      <c r="B2909" s="53" t="inlineStr">
        <is>
          <t>WP-01281</t>
        </is>
      </c>
      <c r="C2909" s="53" t="inlineStr">
        <is>
          <t>TECH-006</t>
        </is>
      </c>
      <c r="D2909" s="53" t="inlineStr">
        <is>
          <t>Powerplant</t>
        </is>
      </c>
      <c r="E2909" s="53" t="inlineStr">
        <is>
          <t>2024-09-07</t>
        </is>
      </c>
      <c r="F2909" s="53">
        <v>0.1</v>
      </c>
      <c r="G2909" s="53">
        <v>0</v>
      </c>
      <c r="H2909" s="51" t="str">
        <f>TEXT(tblLaborEntries[[#This Row],[Work date serial]]-WEEKDAY(tblLaborEntries[[#This Row],[Work date serial]],3),"yyyy-mm-dd")</f>
        <v>2024-09-02</v>
      </c>
      <c r="I2909" s="64">
        <f>DATEVALUE(tblLaborEntries[[#This Row],[Work date]])</f>
        <v>45542.0</v>
      </c>
    </row>
    <row r="2910" spans="1:9" ht="15" x14ac:dyDescent="0.25">
      <c r="A2910" s="53" t="inlineStr">
        <is>
          <t>LAB-002909</t>
        </is>
      </c>
      <c r="B2910" s="53" t="inlineStr">
        <is>
          <t>WP-01281</t>
        </is>
      </c>
      <c r="C2910" s="53" t="inlineStr">
        <is>
          <t>TECH-042</t>
        </is>
      </c>
      <c r="D2910" s="53" t="inlineStr">
        <is>
          <t>Powerplant</t>
        </is>
      </c>
      <c r="E2910" s="53" t="inlineStr">
        <is>
          <t>2024-09-07</t>
        </is>
      </c>
      <c r="F2910" s="53">
        <v>12</v>
      </c>
      <c r="G2910" s="53">
        <v>4</v>
      </c>
      <c r="H2910" s="51" t="str">
        <f>TEXT(tblLaborEntries[[#This Row],[Work date serial]]-WEEKDAY(tblLaborEntries[[#This Row],[Work date serial]],3),"yyyy-mm-dd")</f>
        <v>2024-09-02</v>
      </c>
      <c r="I2910" s="64">
        <f>DATEVALUE(tblLaborEntries[[#This Row],[Work date]])</f>
        <v>45542.0</v>
      </c>
    </row>
    <row r="2911" spans="1:9" ht="15" x14ac:dyDescent="0.25">
      <c r="A2911" s="53" t="inlineStr">
        <is>
          <t>LAB-002910</t>
        </is>
      </c>
      <c r="B2911" s="53" t="inlineStr">
        <is>
          <t>WP-01282</t>
        </is>
      </c>
      <c r="C2911" s="53" t="inlineStr">
        <is>
          <t>TECH-066</t>
        </is>
      </c>
      <c r="D2911" s="53" t="inlineStr">
        <is>
          <t>Powerplant</t>
        </is>
      </c>
      <c r="E2911" s="53" t="inlineStr">
        <is>
          <t>2024-04-19</t>
        </is>
      </c>
      <c r="F2911" s="53">
        <v>5.5</v>
      </c>
      <c r="G2911" s="53">
        <v>0</v>
      </c>
      <c r="H2911" s="51" t="str">
        <f>TEXT(tblLaborEntries[[#This Row],[Work date serial]]-WEEKDAY(tblLaborEntries[[#This Row],[Work date serial]],3),"yyyy-mm-dd")</f>
        <v>2024-04-15</v>
      </c>
      <c r="I2911" s="64">
        <f>DATEVALUE(tblLaborEntries[[#This Row],[Work date]])</f>
        <v>45401.0</v>
      </c>
    </row>
    <row r="2912" spans="1:9" ht="15" x14ac:dyDescent="0.25">
      <c r="A2912" s="53" t="inlineStr">
        <is>
          <t>LAB-002911</t>
        </is>
      </c>
      <c r="B2912" s="53" t="inlineStr">
        <is>
          <t>WP-01282</t>
        </is>
      </c>
      <c r="C2912" s="53" t="inlineStr">
        <is>
          <t>TECH-066</t>
        </is>
      </c>
      <c r="D2912" s="53" t="inlineStr">
        <is>
          <t>Powerplant</t>
        </is>
      </c>
      <c r="E2912" s="53" t="inlineStr">
        <is>
          <t>2024-04-20</t>
        </is>
      </c>
      <c r="F2912" s="53">
        <v>4.5</v>
      </c>
      <c r="G2912" s="53">
        <v>0</v>
      </c>
      <c r="H2912" s="51" t="str">
        <f>TEXT(tblLaborEntries[[#This Row],[Work date serial]]-WEEKDAY(tblLaborEntries[[#This Row],[Work date serial]],3),"yyyy-mm-dd")</f>
        <v>2024-04-15</v>
      </c>
      <c r="I2912" s="64">
        <f>DATEVALUE(tblLaborEntries[[#This Row],[Work date]])</f>
        <v>45402.0</v>
      </c>
    </row>
    <row r="2913" spans="1:9" ht="15" x14ac:dyDescent="0.25">
      <c r="A2913" s="53" t="inlineStr">
        <is>
          <t>LAB-002912</t>
        </is>
      </c>
      <c r="B2913" s="53" t="inlineStr">
        <is>
          <t>WP-01282</t>
        </is>
      </c>
      <c r="C2913" s="53" t="inlineStr">
        <is>
          <t>TECH-036</t>
        </is>
      </c>
      <c r="D2913" s="53" t="inlineStr">
        <is>
          <t>Powerplant</t>
        </is>
      </c>
      <c r="E2913" s="53" t="inlineStr">
        <is>
          <t>2024-04-21</t>
        </is>
      </c>
      <c r="F2913" s="53">
        <v>4.5</v>
      </c>
      <c r="G2913" s="53">
        <v>0</v>
      </c>
      <c r="H2913" s="51" t="str">
        <f>TEXT(tblLaborEntries[[#This Row],[Work date serial]]-WEEKDAY(tblLaborEntries[[#This Row],[Work date serial]],3),"yyyy-mm-dd")</f>
        <v>2024-04-15</v>
      </c>
      <c r="I2913" s="64">
        <f>DATEVALUE(tblLaborEntries[[#This Row],[Work date]])</f>
        <v>45403.0</v>
      </c>
    </row>
    <row r="2914" spans="1:9" ht="15" x14ac:dyDescent="0.25">
      <c r="A2914" s="53" t="inlineStr">
        <is>
          <t>LAB-002913</t>
        </is>
      </c>
      <c r="B2914" s="53" t="inlineStr">
        <is>
          <t>WP-01283</t>
        </is>
      </c>
      <c r="C2914" s="53" t="inlineStr">
        <is>
          <t>TECH-042</t>
        </is>
      </c>
      <c r="D2914" s="53" t="inlineStr">
        <is>
          <t>Powerplant</t>
        </is>
      </c>
      <c r="E2914" s="53" t="inlineStr">
        <is>
          <t>2025-11-28</t>
        </is>
      </c>
      <c r="F2914" s="53">
        <v>5.1</v>
      </c>
      <c r="G2914" s="53">
        <v>0</v>
      </c>
      <c r="H2914" s="51" t="str">
        <f>TEXT(tblLaborEntries[[#This Row],[Work date serial]]-WEEKDAY(tblLaborEntries[[#This Row],[Work date serial]],3),"yyyy-mm-dd")</f>
        <v>2025-11-24</v>
      </c>
      <c r="I2914" s="64">
        <f>DATEVALUE(tblLaborEntries[[#This Row],[Work date]])</f>
        <v>45989.0</v>
      </c>
    </row>
    <row r="2915" spans="1:9" ht="15" x14ac:dyDescent="0.25">
      <c r="A2915" s="53" t="inlineStr">
        <is>
          <t>LAB-002914</t>
        </is>
      </c>
      <c r="B2915" s="53" t="inlineStr">
        <is>
          <t>WP-01283</t>
        </is>
      </c>
      <c r="C2915" s="53" t="inlineStr">
        <is>
          <t>TECH-018</t>
        </is>
      </c>
      <c r="D2915" s="53" t="inlineStr">
        <is>
          <t>Powerplant</t>
        </is>
      </c>
      <c r="E2915" s="53" t="inlineStr">
        <is>
          <t>2025-11-29</t>
        </is>
      </c>
      <c r="F2915" s="53">
        <v>3.7</v>
      </c>
      <c r="G2915" s="53">
        <v>0</v>
      </c>
      <c r="H2915" s="51" t="str">
        <f>TEXT(tblLaborEntries[[#This Row],[Work date serial]]-WEEKDAY(tblLaborEntries[[#This Row],[Work date serial]],3),"yyyy-mm-dd")</f>
        <v>2025-11-24</v>
      </c>
      <c r="I2915" s="64">
        <f>DATEVALUE(tblLaborEntries[[#This Row],[Work date]])</f>
        <v>45990.0</v>
      </c>
    </row>
    <row r="2916" spans="1:9" ht="15" x14ac:dyDescent="0.25">
      <c r="A2916" s="53" t="inlineStr">
        <is>
          <t>LAB-002915</t>
        </is>
      </c>
      <c r="B2916" s="53" t="inlineStr">
        <is>
          <t>WP-01284</t>
        </is>
      </c>
      <c r="C2916" s="53" t="inlineStr">
        <is>
          <t>TECH-042</t>
        </is>
      </c>
      <c r="D2916" s="53" t="inlineStr">
        <is>
          <t>Powerplant</t>
        </is>
      </c>
      <c r="E2916" s="53" t="inlineStr">
        <is>
          <t>2025-06-10</t>
        </is>
      </c>
      <c r="F2916" s="53">
        <v>3.4</v>
      </c>
      <c r="G2916" s="53">
        <v>0</v>
      </c>
      <c r="H2916" s="51" t="str">
        <f>TEXT(tblLaborEntries[[#This Row],[Work date serial]]-WEEKDAY(tblLaborEntries[[#This Row],[Work date serial]],3),"yyyy-mm-dd")</f>
        <v>2025-06-09</v>
      </c>
      <c r="I2916" s="64">
        <f>DATEVALUE(tblLaborEntries[[#This Row],[Work date]])</f>
        <v>45818.0</v>
      </c>
    </row>
    <row r="2917" spans="1:9" ht="15" x14ac:dyDescent="0.25">
      <c r="A2917" s="53" t="inlineStr">
        <is>
          <t>LAB-002916</t>
        </is>
      </c>
      <c r="B2917" s="53" t="inlineStr">
        <is>
          <t>WP-01284</t>
        </is>
      </c>
      <c r="C2917" s="53" t="inlineStr">
        <is>
          <t>TECH-018</t>
        </is>
      </c>
      <c r="D2917" s="53" t="inlineStr">
        <is>
          <t>Powerplant</t>
        </is>
      </c>
      <c r="E2917" s="53" t="inlineStr">
        <is>
          <t>2025-06-11</t>
        </is>
      </c>
      <c r="F2917" s="53">
        <v>3.8</v>
      </c>
      <c r="G2917" s="53">
        <v>0</v>
      </c>
      <c r="H2917" s="51" t="str">
        <f>TEXT(tblLaborEntries[[#This Row],[Work date serial]]-WEEKDAY(tblLaborEntries[[#This Row],[Work date serial]],3),"yyyy-mm-dd")</f>
        <v>2025-06-09</v>
      </c>
      <c r="I2917" s="64">
        <f>DATEVALUE(tblLaborEntries[[#This Row],[Work date]])</f>
        <v>45819.0</v>
      </c>
    </row>
    <row r="2918" spans="1:9" ht="15" x14ac:dyDescent="0.25">
      <c r="A2918" s="53" t="inlineStr">
        <is>
          <t>LAB-002917</t>
        </is>
      </c>
      <c r="B2918" s="53" t="inlineStr">
        <is>
          <t>WP-01284</t>
        </is>
      </c>
      <c r="C2918" s="53" t="inlineStr">
        <is>
          <t>TECH-012</t>
        </is>
      </c>
      <c r="D2918" s="53" t="inlineStr">
        <is>
          <t>Powerplant</t>
        </is>
      </c>
      <c r="E2918" s="53" t="inlineStr">
        <is>
          <t>2025-06-12</t>
        </is>
      </c>
      <c r="F2918" s="53">
        <v>3.2</v>
      </c>
      <c r="G2918" s="53">
        <v>0</v>
      </c>
      <c r="H2918" s="51" t="str">
        <f>TEXT(tblLaborEntries[[#This Row],[Work date serial]]-WEEKDAY(tblLaborEntries[[#This Row],[Work date serial]],3),"yyyy-mm-dd")</f>
        <v>2025-06-09</v>
      </c>
      <c r="I2918" s="64">
        <f>DATEVALUE(tblLaborEntries[[#This Row],[Work date]])</f>
        <v>45820.0</v>
      </c>
    </row>
    <row r="2919" spans="1:9" ht="15" x14ac:dyDescent="0.25">
      <c r="A2919" s="53" t="inlineStr">
        <is>
          <t>LAB-002918</t>
        </is>
      </c>
      <c r="B2919" s="53" t="inlineStr">
        <is>
          <t>WP-01285</t>
        </is>
      </c>
      <c r="C2919" s="53" t="inlineStr">
        <is>
          <t>TECH-067</t>
        </is>
      </c>
      <c r="D2919" s="53" t="inlineStr">
        <is>
          <t>Airframe</t>
        </is>
      </c>
      <c r="E2919" s="53" t="inlineStr">
        <is>
          <t>2024-11-15</t>
        </is>
      </c>
      <c r="F2919" s="53">
        <v>6.8</v>
      </c>
      <c r="G2919" s="53">
        <v>0</v>
      </c>
      <c r="H2919" s="51" t="str">
        <f>TEXT(tblLaborEntries[[#This Row],[Work date serial]]-WEEKDAY(tblLaborEntries[[#This Row],[Work date serial]],3),"yyyy-mm-dd")</f>
        <v>2024-11-11</v>
      </c>
      <c r="I2919" s="64">
        <f>DATEVALUE(tblLaborEntries[[#This Row],[Work date]])</f>
        <v>45611.0</v>
      </c>
    </row>
    <row r="2920" spans="1:9" ht="15" x14ac:dyDescent="0.25">
      <c r="A2920" s="53" t="inlineStr">
        <is>
          <t>LAB-002919</t>
        </is>
      </c>
      <c r="B2920" s="53" t="inlineStr">
        <is>
          <t>WP-01285</t>
        </is>
      </c>
      <c r="C2920" s="53" t="inlineStr">
        <is>
          <t>TECH-031</t>
        </is>
      </c>
      <c r="D2920" s="53" t="inlineStr">
        <is>
          <t>Airframe</t>
        </is>
      </c>
      <c r="E2920" s="53" t="inlineStr">
        <is>
          <t>2024-11-16</t>
        </is>
      </c>
      <c r="F2920" s="53">
        <v>5.3</v>
      </c>
      <c r="G2920" s="53">
        <v>0</v>
      </c>
      <c r="H2920" s="51" t="str">
        <f>TEXT(tblLaborEntries[[#This Row],[Work date serial]]-WEEKDAY(tblLaborEntries[[#This Row],[Work date serial]],3),"yyyy-mm-dd")</f>
        <v>2024-11-11</v>
      </c>
      <c r="I2920" s="64">
        <f>DATEVALUE(tblLaborEntries[[#This Row],[Work date]])</f>
        <v>45612.0</v>
      </c>
    </row>
    <row r="2921" spans="1:9" ht="15" x14ac:dyDescent="0.25">
      <c r="A2921" s="53" t="inlineStr">
        <is>
          <t>LAB-002920</t>
        </is>
      </c>
      <c r="B2921" s="53" t="inlineStr">
        <is>
          <t>WP-01286</t>
        </is>
      </c>
      <c r="C2921" s="53" t="inlineStr">
        <is>
          <t>TECH-049</t>
        </is>
      </c>
      <c r="D2921" s="53" t="inlineStr">
        <is>
          <t>Airframe</t>
        </is>
      </c>
      <c r="E2921" s="53" t="inlineStr">
        <is>
          <t>2024-12-31</t>
        </is>
      </c>
      <c r="F2921" s="53">
        <v>2.5</v>
      </c>
      <c r="G2921" s="53">
        <v>0</v>
      </c>
      <c r="H2921" s="51" t="str">
        <f>TEXT(tblLaborEntries[[#This Row],[Work date serial]]-WEEKDAY(tblLaborEntries[[#This Row],[Work date serial]],3),"yyyy-mm-dd")</f>
        <v>2024-12-30</v>
      </c>
      <c r="I2921" s="64">
        <f>DATEVALUE(tblLaborEntries[[#This Row],[Work date]])</f>
        <v>45657.0</v>
      </c>
    </row>
    <row r="2922" spans="1:9" ht="15" x14ac:dyDescent="0.25">
      <c r="A2922" s="53" t="inlineStr">
        <is>
          <t>LAB-002921</t>
        </is>
      </c>
      <c r="B2922" s="53" t="inlineStr">
        <is>
          <t>WP-01286</t>
        </is>
      </c>
      <c r="C2922" s="53" t="inlineStr">
        <is>
          <t>TECH-073</t>
        </is>
      </c>
      <c r="D2922" s="53" t="inlineStr">
        <is>
          <t>Airframe</t>
        </is>
      </c>
      <c r="E2922" s="53" t="inlineStr">
        <is>
          <t>2025-01-01</t>
        </is>
      </c>
      <c r="F2922" s="53">
        <v>2.1</v>
      </c>
      <c r="G2922" s="53">
        <v>0</v>
      </c>
      <c r="H2922" s="51" t="str">
        <f>TEXT(tblLaborEntries[[#This Row],[Work date serial]]-WEEKDAY(tblLaborEntries[[#This Row],[Work date serial]],3),"yyyy-mm-dd")</f>
        <v>2024-12-30</v>
      </c>
      <c r="I2922" s="64">
        <f>DATEVALUE(tblLaborEntries[[#This Row],[Work date]])</f>
        <v>45658.0</v>
      </c>
    </row>
    <row r="2923" spans="1:9" ht="15" x14ac:dyDescent="0.25">
      <c r="A2923" s="53" t="inlineStr">
        <is>
          <t>LAB-002922</t>
        </is>
      </c>
      <c r="B2923" s="53" t="inlineStr">
        <is>
          <t>WP-01287</t>
        </is>
      </c>
      <c r="C2923" s="53" t="inlineStr">
        <is>
          <t>TECH-043</t>
        </is>
      </c>
      <c r="D2923" s="53" t="inlineStr">
        <is>
          <t>Airframe</t>
        </is>
      </c>
      <c r="E2923" s="53" t="inlineStr">
        <is>
          <t>2025-09-23</t>
        </is>
      </c>
      <c r="F2923" s="53">
        <v>5.9</v>
      </c>
      <c r="G2923" s="53">
        <v>0</v>
      </c>
      <c r="H2923" s="51" t="str">
        <f>TEXT(tblLaborEntries[[#This Row],[Work date serial]]-WEEKDAY(tblLaborEntries[[#This Row],[Work date serial]],3),"yyyy-mm-dd")</f>
        <v>2025-09-22</v>
      </c>
      <c r="I2923" s="64">
        <f>DATEVALUE(tblLaborEntries[[#This Row],[Work date]])</f>
        <v>45923.0</v>
      </c>
    </row>
    <row r="2924" spans="1:9" ht="15" x14ac:dyDescent="0.25">
      <c r="A2924" s="53" t="inlineStr">
        <is>
          <t>LAB-002923</t>
        </is>
      </c>
      <c r="B2924" s="53" t="inlineStr">
        <is>
          <t>WP-01287</t>
        </is>
      </c>
      <c r="C2924" s="53" t="inlineStr">
        <is>
          <t>TECH-037</t>
        </is>
      </c>
      <c r="D2924" s="53" t="inlineStr">
        <is>
          <t>Airframe</t>
        </is>
      </c>
      <c r="E2924" s="53" t="inlineStr">
        <is>
          <t>2025-09-24</t>
        </is>
      </c>
      <c r="F2924" s="53">
        <v>4.4</v>
      </c>
      <c r="G2924" s="53">
        <v>0</v>
      </c>
      <c r="H2924" s="51" t="str">
        <f>TEXT(tblLaborEntries[[#This Row],[Work date serial]]-WEEKDAY(tblLaborEntries[[#This Row],[Work date serial]],3),"yyyy-mm-dd")</f>
        <v>2025-09-22</v>
      </c>
      <c r="I2924" s="64">
        <f>DATEVALUE(tblLaborEntries[[#This Row],[Work date]])</f>
        <v>45924.0</v>
      </c>
    </row>
    <row r="2925" spans="1:9" ht="15" x14ac:dyDescent="0.25">
      <c r="A2925" s="53" t="inlineStr">
        <is>
          <t>LAB-002924</t>
        </is>
      </c>
      <c r="B2925" s="53" t="inlineStr">
        <is>
          <t>WP-01288</t>
        </is>
      </c>
      <c r="C2925" s="53" t="inlineStr">
        <is>
          <t>TECH-062</t>
        </is>
      </c>
      <c r="D2925" s="53" t="inlineStr">
        <is>
          <t>Avionics</t>
        </is>
      </c>
      <c r="E2925" s="53" t="inlineStr">
        <is>
          <t>2024-12-07</t>
        </is>
      </c>
      <c r="F2925" s="53">
        <v>11.2</v>
      </c>
      <c r="G2925" s="53">
        <v>3.2</v>
      </c>
      <c r="H2925" s="51" t="str">
        <f>TEXT(tblLaborEntries[[#This Row],[Work date serial]]-WEEKDAY(tblLaborEntries[[#This Row],[Work date serial]],3),"yyyy-mm-dd")</f>
        <v>2024-12-02</v>
      </c>
      <c r="I2925" s="64">
        <f>DATEVALUE(tblLaborEntries[[#This Row],[Work date]])</f>
        <v>45633.0</v>
      </c>
    </row>
    <row r="2926" spans="1:9" ht="15" x14ac:dyDescent="0.25">
      <c r="A2926" s="53" t="inlineStr">
        <is>
          <t>LAB-002925</t>
        </is>
      </c>
      <c r="B2926" s="53" t="inlineStr">
        <is>
          <t>WP-01289</t>
        </is>
      </c>
      <c r="C2926" s="53" t="inlineStr">
        <is>
          <t>TECH-027</t>
        </is>
      </c>
      <c r="D2926" s="53" t="inlineStr">
        <is>
          <t>Hydraulics</t>
        </is>
      </c>
      <c r="E2926" s="53" t="inlineStr">
        <is>
          <t>2026-01-01</t>
        </is>
      </c>
      <c r="F2926" s="53">
        <v>6.9</v>
      </c>
      <c r="G2926" s="53">
        <v>0</v>
      </c>
      <c r="H2926" s="51" t="str">
        <f>TEXT(tblLaborEntries[[#This Row],[Work date serial]]-WEEKDAY(tblLaborEntries[[#This Row],[Work date serial]],3),"yyyy-mm-dd")</f>
        <v>2025-12-29</v>
      </c>
      <c r="I2926" s="64">
        <f>DATEVALUE(tblLaborEntries[[#This Row],[Work date]])</f>
        <v>46023.0</v>
      </c>
    </row>
    <row r="2927" spans="1:9" ht="15" x14ac:dyDescent="0.25">
      <c r="A2927" s="53" t="inlineStr">
        <is>
          <t>LAB-002926</t>
        </is>
      </c>
      <c r="B2927" s="53" t="inlineStr">
        <is>
          <t>WP-01289</t>
        </is>
      </c>
      <c r="C2927" s="53" t="inlineStr">
        <is>
          <t>TECH-039</t>
        </is>
      </c>
      <c r="D2927" s="53" t="inlineStr">
        <is>
          <t>Hydraulics</t>
        </is>
      </c>
      <c r="E2927" s="53" t="inlineStr">
        <is>
          <t>2026-01-02</t>
        </is>
      </c>
      <c r="F2927" s="53">
        <v>8.4</v>
      </c>
      <c r="G2927" s="53">
        <v>0.4</v>
      </c>
      <c r="H2927" s="51" t="str">
        <f>TEXT(tblLaborEntries[[#This Row],[Work date serial]]-WEEKDAY(tblLaborEntries[[#This Row],[Work date serial]],3),"yyyy-mm-dd")</f>
        <v>2025-12-29</v>
      </c>
      <c r="I2927" s="64">
        <f>DATEVALUE(tblLaborEntries[[#This Row],[Work date]])</f>
        <v>46024.0</v>
      </c>
    </row>
    <row r="2928" spans="1:9" ht="15" x14ac:dyDescent="0.25">
      <c r="A2928" s="53" t="inlineStr">
        <is>
          <t>LAB-002927</t>
        </is>
      </c>
      <c r="B2928" s="53" t="inlineStr">
        <is>
          <t>WP-01289</t>
        </is>
      </c>
      <c r="C2928" s="53" t="inlineStr">
        <is>
          <t>TECH-015</t>
        </is>
      </c>
      <c r="D2928" s="53" t="inlineStr">
        <is>
          <t>Hydraulics</t>
        </is>
      </c>
      <c r="E2928" s="53" t="inlineStr">
        <is>
          <t>2026-01-03</t>
        </is>
      </c>
      <c r="F2928" s="53">
        <v>7.8</v>
      </c>
      <c r="G2928" s="53">
        <v>0</v>
      </c>
      <c r="H2928" s="51" t="str">
        <f>TEXT(tblLaborEntries[[#This Row],[Work date serial]]-WEEKDAY(tblLaborEntries[[#This Row],[Work date serial]],3),"yyyy-mm-dd")</f>
        <v>2025-12-29</v>
      </c>
      <c r="I2928" s="64">
        <f>DATEVALUE(tblLaborEntries[[#This Row],[Work date]])</f>
        <v>46025.0</v>
      </c>
    </row>
    <row r="2929" spans="1:9" ht="15" x14ac:dyDescent="0.25">
      <c r="A2929" s="53" t="inlineStr">
        <is>
          <t>LAB-002928</t>
        </is>
      </c>
      <c r="B2929" s="53" t="inlineStr">
        <is>
          <t>WP-01290</t>
        </is>
      </c>
      <c r="C2929" s="53" t="inlineStr">
        <is>
          <t>TECH-073</t>
        </is>
      </c>
      <c r="D2929" s="53" t="inlineStr">
        <is>
          <t>Airframe</t>
        </is>
      </c>
      <c r="E2929" s="53" t="inlineStr">
        <is>
          <t>2025-03-25</t>
        </is>
      </c>
      <c r="F2929" s="53">
        <v>7.7</v>
      </c>
      <c r="G2929" s="53">
        <v>0</v>
      </c>
      <c r="H2929" s="51" t="str">
        <f>TEXT(tblLaborEntries[[#This Row],[Work date serial]]-WEEKDAY(tblLaborEntries[[#This Row],[Work date serial]],3),"yyyy-mm-dd")</f>
        <v>2025-03-24</v>
      </c>
      <c r="I2929" s="64">
        <f>DATEVALUE(tblLaborEntries[[#This Row],[Work date]])</f>
        <v>45741.0</v>
      </c>
    </row>
    <row r="2930" spans="1:9" ht="15" x14ac:dyDescent="0.25">
      <c r="A2930" s="53" t="inlineStr">
        <is>
          <t>LAB-002929</t>
        </is>
      </c>
      <c r="B2930" s="53" t="inlineStr">
        <is>
          <t>WP-01290</t>
        </is>
      </c>
      <c r="C2930" s="53" t="inlineStr">
        <is>
          <t>TECH-001</t>
        </is>
      </c>
      <c r="D2930" s="53" t="inlineStr">
        <is>
          <t>Airframe</t>
        </is>
      </c>
      <c r="E2930" s="53" t="inlineStr">
        <is>
          <t>2025-03-26</t>
        </is>
      </c>
      <c r="F2930" s="53">
        <v>10.3</v>
      </c>
      <c r="G2930" s="53">
        <v>2.3</v>
      </c>
      <c r="H2930" s="51" t="str">
        <f>TEXT(tblLaborEntries[[#This Row],[Work date serial]]-WEEKDAY(tblLaborEntries[[#This Row],[Work date serial]],3),"yyyy-mm-dd")</f>
        <v>2025-03-24</v>
      </c>
      <c r="I2930" s="64">
        <f>DATEVALUE(tblLaborEntries[[#This Row],[Work date]])</f>
        <v>45742.0</v>
      </c>
    </row>
    <row r="2931" spans="1:9" ht="15" x14ac:dyDescent="0.25">
      <c r="A2931" s="53" t="inlineStr">
        <is>
          <t>LAB-002930</t>
        </is>
      </c>
      <c r="B2931" s="53" t="inlineStr">
        <is>
          <t>WP-01291</t>
        </is>
      </c>
      <c r="C2931" s="53" t="inlineStr">
        <is>
          <t>TECH-005</t>
        </is>
      </c>
      <c r="D2931" s="53" t="inlineStr">
        <is>
          <t>Structures</t>
        </is>
      </c>
      <c r="E2931" s="53" t="inlineStr">
        <is>
          <t>2024-08-22</t>
        </is>
      </c>
      <c r="F2931" s="53">
        <v>12</v>
      </c>
      <c r="G2931" s="53">
        <v>4</v>
      </c>
      <c r="H2931" s="51" t="str">
        <f>TEXT(tblLaborEntries[[#This Row],[Work date serial]]-WEEKDAY(tblLaborEntries[[#This Row],[Work date serial]],3),"yyyy-mm-dd")</f>
        <v>2024-08-19</v>
      </c>
      <c r="I2931" s="64">
        <f>DATEVALUE(tblLaborEntries[[#This Row],[Work date]])</f>
        <v>45526.0</v>
      </c>
    </row>
    <row r="2932" spans="1:9" ht="15" x14ac:dyDescent="0.25">
      <c r="A2932" s="53" t="inlineStr">
        <is>
          <t>LAB-002931</t>
        </is>
      </c>
      <c r="B2932" s="53" t="inlineStr">
        <is>
          <t>WP-01291</t>
        </is>
      </c>
      <c r="C2932" s="53" t="inlineStr">
        <is>
          <t>TECH-011</t>
        </is>
      </c>
      <c r="D2932" s="53" t="inlineStr">
        <is>
          <t>Structures</t>
        </is>
      </c>
      <c r="E2932" s="53" t="inlineStr">
        <is>
          <t>2024-08-22</t>
        </is>
      </c>
      <c r="F2932" s="53">
        <v>2.6</v>
      </c>
      <c r="G2932" s="53">
        <v>0</v>
      </c>
      <c r="H2932" s="51" t="str">
        <f>TEXT(tblLaborEntries[[#This Row],[Work date serial]]-WEEKDAY(tblLaborEntries[[#This Row],[Work date serial]],3),"yyyy-mm-dd")</f>
        <v>2024-08-19</v>
      </c>
      <c r="I2932" s="64">
        <f>DATEVALUE(tblLaborEntries[[#This Row],[Work date]])</f>
        <v>45526.0</v>
      </c>
    </row>
    <row r="2933" spans="1:9" ht="15" x14ac:dyDescent="0.25">
      <c r="A2933" s="53" t="inlineStr">
        <is>
          <t>LAB-002932</t>
        </is>
      </c>
      <c r="B2933" s="53" t="inlineStr">
        <is>
          <t>WP-01291</t>
        </is>
      </c>
      <c r="C2933" s="53" t="inlineStr">
        <is>
          <t>TECH-071</t>
        </is>
      </c>
      <c r="D2933" s="53" t="inlineStr">
        <is>
          <t>Structures</t>
        </is>
      </c>
      <c r="E2933" s="53" t="inlineStr">
        <is>
          <t>2024-08-22</t>
        </is>
      </c>
      <c r="F2933" s="53">
        <v>12</v>
      </c>
      <c r="G2933" s="53">
        <v>4</v>
      </c>
      <c r="H2933" s="51" t="str">
        <f>TEXT(tblLaborEntries[[#This Row],[Work date serial]]-WEEKDAY(tblLaborEntries[[#This Row],[Work date serial]],3),"yyyy-mm-dd")</f>
        <v>2024-08-19</v>
      </c>
      <c r="I2933" s="64">
        <f>DATEVALUE(tblLaborEntries[[#This Row],[Work date]])</f>
        <v>45526.0</v>
      </c>
    </row>
    <row r="2934" spans="1:9" ht="15" x14ac:dyDescent="0.25">
      <c r="A2934" s="53" t="inlineStr">
        <is>
          <t>LAB-002933</t>
        </is>
      </c>
      <c r="B2934" s="53" t="inlineStr">
        <is>
          <t>WP-01292</t>
        </is>
      </c>
      <c r="C2934" s="53" t="inlineStr">
        <is>
          <t>TECH-033</t>
        </is>
      </c>
      <c r="D2934" s="53" t="inlineStr">
        <is>
          <t>Hydraulics</t>
        </is>
      </c>
      <c r="E2934" s="53" t="inlineStr">
        <is>
          <t>2025-11-19</t>
        </is>
      </c>
      <c r="F2934" s="53">
        <v>10.6</v>
      </c>
      <c r="G2934" s="53">
        <v>2.6</v>
      </c>
      <c r="H2934" s="51" t="str">
        <f>TEXT(tblLaborEntries[[#This Row],[Work date serial]]-WEEKDAY(tblLaborEntries[[#This Row],[Work date serial]],3),"yyyy-mm-dd")</f>
        <v>2025-11-17</v>
      </c>
      <c r="I2934" s="64">
        <f>DATEVALUE(tblLaborEntries[[#This Row],[Work date]])</f>
        <v>45980.0</v>
      </c>
    </row>
    <row r="2935" spans="1:9" ht="15" x14ac:dyDescent="0.25">
      <c r="A2935" s="53" t="inlineStr">
        <is>
          <t>LAB-002934</t>
        </is>
      </c>
      <c r="B2935" s="53" t="inlineStr">
        <is>
          <t>WP-01292</t>
        </is>
      </c>
      <c r="C2935" s="53" t="inlineStr">
        <is>
          <t>TECH-009</t>
        </is>
      </c>
      <c r="D2935" s="53" t="inlineStr">
        <is>
          <t>Hydraulics</t>
        </is>
      </c>
      <c r="E2935" s="53" t="inlineStr">
        <is>
          <t>2025-11-20</t>
        </is>
      </c>
      <c r="F2935" s="53">
        <v>7.5</v>
      </c>
      <c r="G2935" s="53">
        <v>0</v>
      </c>
      <c r="H2935" s="51" t="str">
        <f>TEXT(tblLaborEntries[[#This Row],[Work date serial]]-WEEKDAY(tblLaborEntries[[#This Row],[Work date serial]],3),"yyyy-mm-dd")</f>
        <v>2025-11-17</v>
      </c>
      <c r="I2935" s="64">
        <f>DATEVALUE(tblLaborEntries[[#This Row],[Work date]])</f>
        <v>45981.0</v>
      </c>
    </row>
    <row r="2936" spans="1:9" ht="15" x14ac:dyDescent="0.25">
      <c r="A2936" s="53" t="inlineStr">
        <is>
          <t>LAB-002935</t>
        </is>
      </c>
      <c r="B2936" s="53" t="inlineStr">
        <is>
          <t>WP-01293</t>
        </is>
      </c>
      <c r="C2936" s="53" t="inlineStr">
        <is>
          <t>TECH-063</t>
        </is>
      </c>
      <c r="D2936" s="53" t="inlineStr">
        <is>
          <t>Hydraulics</t>
        </is>
      </c>
      <c r="E2936" s="53" t="inlineStr">
        <is>
          <t>2025-02-26</t>
        </is>
      </c>
      <c r="F2936" s="53">
        <v>6.7</v>
      </c>
      <c r="G2936" s="53">
        <v>0</v>
      </c>
      <c r="H2936" s="51" t="str">
        <f>TEXT(tblLaborEntries[[#This Row],[Work date serial]]-WEEKDAY(tblLaborEntries[[#This Row],[Work date serial]],3),"yyyy-mm-dd")</f>
        <v>2025-02-24</v>
      </c>
      <c r="I2936" s="64">
        <f>DATEVALUE(tblLaborEntries[[#This Row],[Work date]])</f>
        <v>45714.0</v>
      </c>
    </row>
    <row r="2937" spans="1:9" ht="15" x14ac:dyDescent="0.25">
      <c r="A2937" s="53" t="inlineStr">
        <is>
          <t>LAB-002936</t>
        </is>
      </c>
      <c r="B2937" s="53" t="inlineStr">
        <is>
          <t>WP-01294</t>
        </is>
      </c>
      <c r="C2937" s="53" t="inlineStr">
        <is>
          <t>TECH-062</t>
        </is>
      </c>
      <c r="D2937" s="53" t="inlineStr">
        <is>
          <t>Avionics</t>
        </is>
      </c>
      <c r="E2937" s="53" t="inlineStr">
        <is>
          <t>2024-03-03</t>
        </is>
      </c>
      <c r="F2937" s="53">
        <v>1.3</v>
      </c>
      <c r="G2937" s="53">
        <v>0</v>
      </c>
      <c r="H2937" s="51" t="str">
        <f>TEXT(tblLaborEntries[[#This Row],[Work date serial]]-WEEKDAY(tblLaborEntries[[#This Row],[Work date serial]],3),"yyyy-mm-dd")</f>
        <v>2024-02-26</v>
      </c>
      <c r="I2937" s="64">
        <f>DATEVALUE(tblLaborEntries[[#This Row],[Work date]])</f>
        <v>45354.0</v>
      </c>
    </row>
    <row r="2938" spans="1:9" ht="15" x14ac:dyDescent="0.25">
      <c r="A2938" s="53" t="inlineStr">
        <is>
          <t>LAB-002937</t>
        </is>
      </c>
      <c r="B2938" s="53" t="inlineStr">
        <is>
          <t>WP-01294</t>
        </is>
      </c>
      <c r="C2938" s="53" t="inlineStr">
        <is>
          <t>TECH-014</t>
        </is>
      </c>
      <c r="D2938" s="53" t="inlineStr">
        <is>
          <t>Avionics</t>
        </is>
      </c>
      <c r="E2938" s="53" t="inlineStr">
        <is>
          <t>2024-03-04</t>
        </is>
      </c>
      <c r="F2938" s="53">
        <v>2</v>
      </c>
      <c r="G2938" s="53">
        <v>0</v>
      </c>
      <c r="H2938" s="51" t="str">
        <f>TEXT(tblLaborEntries[[#This Row],[Work date serial]]-WEEKDAY(tblLaborEntries[[#This Row],[Work date serial]],3),"yyyy-mm-dd")</f>
        <v>2024-03-04</v>
      </c>
      <c r="I2938" s="64">
        <f>DATEVALUE(tblLaborEntries[[#This Row],[Work date]])</f>
        <v>45355.0</v>
      </c>
    </row>
    <row r="2939" spans="1:9" ht="15" x14ac:dyDescent="0.25">
      <c r="A2939" s="53" t="inlineStr">
        <is>
          <t>LAB-002938</t>
        </is>
      </c>
      <c r="B2939" s="53" t="inlineStr">
        <is>
          <t>WP-01295</t>
        </is>
      </c>
      <c r="C2939" s="53" t="inlineStr">
        <is>
          <t>TECH-056</t>
        </is>
      </c>
      <c r="D2939" s="53" t="inlineStr">
        <is>
          <t>Avionics</t>
        </is>
      </c>
      <c r="E2939" s="53" t="inlineStr">
        <is>
          <t>2025-09-29</t>
        </is>
      </c>
      <c r="F2939" s="53">
        <v>2.3</v>
      </c>
      <c r="G2939" s="53">
        <v>0</v>
      </c>
      <c r="H2939" s="51" t="str">
        <f>TEXT(tblLaborEntries[[#This Row],[Work date serial]]-WEEKDAY(tblLaborEntries[[#This Row],[Work date serial]],3),"yyyy-mm-dd")</f>
        <v>2025-09-29</v>
      </c>
      <c r="I2939" s="64">
        <f>DATEVALUE(tblLaborEntries[[#This Row],[Work date]])</f>
        <v>45929.0</v>
      </c>
    </row>
    <row r="2940" spans="1:9" ht="15" x14ac:dyDescent="0.25">
      <c r="A2940" s="53" t="inlineStr">
        <is>
          <t>LAB-002939</t>
        </is>
      </c>
      <c r="B2940" s="53" t="inlineStr">
        <is>
          <t>WP-01295</t>
        </is>
      </c>
      <c r="C2940" s="53" t="inlineStr">
        <is>
          <t>TECH-044</t>
        </is>
      </c>
      <c r="D2940" s="53" t="inlineStr">
        <is>
          <t>Avionics</t>
        </is>
      </c>
      <c r="E2940" s="53" t="inlineStr">
        <is>
          <t>2025-09-30</t>
        </is>
      </c>
      <c r="F2940" s="53">
        <v>1.8</v>
      </c>
      <c r="G2940" s="53">
        <v>0</v>
      </c>
      <c r="H2940" s="51" t="str">
        <f>TEXT(tblLaborEntries[[#This Row],[Work date serial]]-WEEKDAY(tblLaborEntries[[#This Row],[Work date serial]],3),"yyyy-mm-dd")</f>
        <v>2025-09-29</v>
      </c>
      <c r="I2940" s="64">
        <f>DATEVALUE(tblLaborEntries[[#This Row],[Work date]])</f>
        <v>45930.0</v>
      </c>
    </row>
    <row r="2941" spans="1:9" ht="15" x14ac:dyDescent="0.25">
      <c r="A2941" s="53" t="inlineStr">
        <is>
          <t>LAB-002940</t>
        </is>
      </c>
      <c r="B2941" s="53" t="inlineStr">
        <is>
          <t>WP-01295</t>
        </is>
      </c>
      <c r="C2941" s="53" t="inlineStr">
        <is>
          <t>TECH-032</t>
        </is>
      </c>
      <c r="D2941" s="53" t="inlineStr">
        <is>
          <t>Avionics</t>
        </is>
      </c>
      <c r="E2941" s="53" t="inlineStr">
        <is>
          <t>2025-10-01</t>
        </is>
      </c>
      <c r="F2941" s="53">
        <v>1.8</v>
      </c>
      <c r="G2941" s="53">
        <v>0</v>
      </c>
      <c r="H2941" s="51" t="str">
        <f>TEXT(tblLaborEntries[[#This Row],[Work date serial]]-WEEKDAY(tblLaborEntries[[#This Row],[Work date serial]],3),"yyyy-mm-dd")</f>
        <v>2025-09-29</v>
      </c>
      <c r="I2941" s="64">
        <f>DATEVALUE(tblLaborEntries[[#This Row],[Work date]])</f>
        <v>45931.0</v>
      </c>
    </row>
    <row r="2942" spans="1:9" ht="15" x14ac:dyDescent="0.25">
      <c r="A2942" s="53" t="inlineStr">
        <is>
          <t>LAB-002941</t>
        </is>
      </c>
      <c r="B2942" s="53" t="inlineStr">
        <is>
          <t>WP-01296</t>
        </is>
      </c>
      <c r="C2942" s="53" t="inlineStr">
        <is>
          <t>TECH-068</t>
        </is>
      </c>
      <c r="D2942" s="53" t="inlineStr">
        <is>
          <t>Avionics</t>
        </is>
      </c>
      <c r="E2942" s="53" t="inlineStr">
        <is>
          <t>2025-07-18</t>
        </is>
      </c>
      <c r="F2942" s="53">
        <v>1.1</v>
      </c>
      <c r="G2942" s="53">
        <v>0</v>
      </c>
      <c r="H2942" s="51" t="str">
        <f>TEXT(tblLaborEntries[[#This Row],[Work date serial]]-WEEKDAY(tblLaborEntries[[#This Row],[Work date serial]],3),"yyyy-mm-dd")</f>
        <v>2025-07-14</v>
      </c>
      <c r="I2942" s="64">
        <f>DATEVALUE(tblLaborEntries[[#This Row],[Work date]])</f>
        <v>45856.0</v>
      </c>
    </row>
    <row r="2943" spans="1:9" ht="15" x14ac:dyDescent="0.25">
      <c r="A2943" s="53" t="inlineStr">
        <is>
          <t>LAB-002942</t>
        </is>
      </c>
      <c r="B2943" s="53" t="inlineStr">
        <is>
          <t>WP-01296</t>
        </is>
      </c>
      <c r="C2943" s="53" t="inlineStr">
        <is>
          <t>TECH-014</t>
        </is>
      </c>
      <c r="D2943" s="53" t="inlineStr">
        <is>
          <t>Avionics</t>
        </is>
      </c>
      <c r="E2943" s="53" t="inlineStr">
        <is>
          <t>2025-07-19</t>
        </is>
      </c>
      <c r="F2943" s="53">
        <v>1.4</v>
      </c>
      <c r="G2943" s="53">
        <v>0</v>
      </c>
      <c r="H2943" s="51" t="str">
        <f>TEXT(tblLaborEntries[[#This Row],[Work date serial]]-WEEKDAY(tblLaborEntries[[#This Row],[Work date serial]],3),"yyyy-mm-dd")</f>
        <v>2025-07-14</v>
      </c>
      <c r="I2943" s="64">
        <f>DATEVALUE(tblLaborEntries[[#This Row],[Work date]])</f>
        <v>45857.0</v>
      </c>
    </row>
    <row r="2944" spans="1:9" ht="15" x14ac:dyDescent="0.25">
      <c r="A2944" s="53" t="inlineStr">
        <is>
          <t>LAB-002943</t>
        </is>
      </c>
      <c r="B2944" s="53" t="inlineStr">
        <is>
          <t>WP-01297</t>
        </is>
      </c>
      <c r="C2944" s="53" t="inlineStr">
        <is>
          <t>TECH-043</t>
        </is>
      </c>
      <c r="D2944" s="53" t="inlineStr">
        <is>
          <t>Airframe</t>
        </is>
      </c>
      <c r="E2944" s="53" t="inlineStr">
        <is>
          <t>2025-04-23</t>
        </is>
      </c>
      <c r="F2944" s="53">
        <v>9.7</v>
      </c>
      <c r="G2944" s="53">
        <v>1.7</v>
      </c>
      <c r="H2944" s="51" t="str">
        <f>TEXT(tblLaborEntries[[#This Row],[Work date serial]]-WEEKDAY(tblLaborEntries[[#This Row],[Work date serial]],3),"yyyy-mm-dd")</f>
        <v>2025-04-21</v>
      </c>
      <c r="I2944" s="64">
        <f>DATEVALUE(tblLaborEntries[[#This Row],[Work date]])</f>
        <v>45770.0</v>
      </c>
    </row>
    <row r="2945" spans="1:9" ht="15" x14ac:dyDescent="0.25">
      <c r="A2945" s="53" t="inlineStr">
        <is>
          <t>LAB-002944</t>
        </is>
      </c>
      <c r="B2945" s="53" t="inlineStr">
        <is>
          <t>WP-01297</t>
        </is>
      </c>
      <c r="C2945" s="53" t="inlineStr">
        <is>
          <t>TECH-007</t>
        </is>
      </c>
      <c r="D2945" s="53" t="inlineStr">
        <is>
          <t>Airframe</t>
        </is>
      </c>
      <c r="E2945" s="53" t="inlineStr">
        <is>
          <t>2025-04-24</t>
        </is>
      </c>
      <c r="F2945" s="53">
        <v>6.9</v>
      </c>
      <c r="G2945" s="53">
        <v>4</v>
      </c>
      <c r="H2945" s="51" t="str">
        <f>TEXT(tblLaborEntries[[#This Row],[Work date serial]]-WEEKDAY(tblLaborEntries[[#This Row],[Work date serial]],3),"yyyy-mm-dd")</f>
        <v>2025-04-21</v>
      </c>
      <c r="I2945" s="64">
        <f>DATEVALUE(tblLaborEntries[[#This Row],[Work date]])</f>
        <v>45771.0</v>
      </c>
    </row>
    <row r="2946" spans="1:9" ht="15" x14ac:dyDescent="0.25">
      <c r="A2946" s="53" t="inlineStr">
        <is>
          <t>LAB-002945</t>
        </is>
      </c>
      <c r="B2946" s="53" t="inlineStr">
        <is>
          <t>WP-01298</t>
        </is>
      </c>
      <c r="C2946" s="53" t="inlineStr">
        <is>
          <t>TECH-052</t>
        </is>
      </c>
      <c r="D2946" s="53" t="inlineStr">
        <is>
          <t>Electrical</t>
        </is>
      </c>
      <c r="E2946" s="53" t="inlineStr">
        <is>
          <t>2025-12-24</t>
        </is>
      </c>
      <c r="F2946" s="53">
        <v>2</v>
      </c>
      <c r="G2946" s="53">
        <v>0</v>
      </c>
      <c r="H2946" s="51" t="str">
        <f>TEXT(tblLaborEntries[[#This Row],[Work date serial]]-WEEKDAY(tblLaborEntries[[#This Row],[Work date serial]],3),"yyyy-mm-dd")</f>
        <v>2025-12-22</v>
      </c>
      <c r="I2946" s="64">
        <f>DATEVALUE(tblLaborEntries[[#This Row],[Work date]])</f>
        <v>46015.0</v>
      </c>
    </row>
    <row r="2947" spans="1:9" ht="15" x14ac:dyDescent="0.25">
      <c r="A2947" s="53" t="inlineStr">
        <is>
          <t>LAB-002946</t>
        </is>
      </c>
      <c r="B2947" s="53" t="inlineStr">
        <is>
          <t>WP-01298</t>
        </is>
      </c>
      <c r="C2947" s="53" t="inlineStr">
        <is>
          <t>TECH-028</t>
        </is>
      </c>
      <c r="D2947" s="53" t="inlineStr">
        <is>
          <t>Electrical</t>
        </is>
      </c>
      <c r="E2947" s="53" t="inlineStr">
        <is>
          <t>2025-12-25</t>
        </is>
      </c>
      <c r="F2947" s="53">
        <v>2.1</v>
      </c>
      <c r="G2947" s="53">
        <v>0</v>
      </c>
      <c r="H2947" s="51" t="str">
        <f>TEXT(tblLaborEntries[[#This Row],[Work date serial]]-WEEKDAY(tblLaborEntries[[#This Row],[Work date serial]],3),"yyyy-mm-dd")</f>
        <v>2025-12-22</v>
      </c>
      <c r="I2947" s="64">
        <f>DATEVALUE(tblLaborEntries[[#This Row],[Work date]])</f>
        <v>46016.0</v>
      </c>
    </row>
    <row r="2948" spans="1:9" ht="15" x14ac:dyDescent="0.25">
      <c r="A2948" s="53" t="inlineStr">
        <is>
          <t>LAB-002947</t>
        </is>
      </c>
      <c r="B2948" s="53" t="inlineStr">
        <is>
          <t>WP-01298</t>
        </is>
      </c>
      <c r="C2948" s="53" t="inlineStr">
        <is>
          <t>TECH-022</t>
        </is>
      </c>
      <c r="D2948" s="53" t="inlineStr">
        <is>
          <t>Electrical</t>
        </is>
      </c>
      <c r="E2948" s="53" t="inlineStr">
        <is>
          <t>2025-12-26</t>
        </is>
      </c>
      <c r="F2948" s="53">
        <v>3.2</v>
      </c>
      <c r="G2948" s="53">
        <v>0</v>
      </c>
      <c r="H2948" s="51" t="str">
        <f>TEXT(tblLaborEntries[[#This Row],[Work date serial]]-WEEKDAY(tblLaborEntries[[#This Row],[Work date serial]],3),"yyyy-mm-dd")</f>
        <v>2025-12-22</v>
      </c>
      <c r="I2948" s="64">
        <f>DATEVALUE(tblLaborEntries[[#This Row],[Work date]])</f>
        <v>46017.0</v>
      </c>
    </row>
    <row r="2949" spans="1:9" ht="15" x14ac:dyDescent="0.25">
      <c r="A2949" s="53" t="inlineStr">
        <is>
          <t>LAB-002948</t>
        </is>
      </c>
      <c r="B2949" s="53" t="inlineStr">
        <is>
          <t>WP-01299</t>
        </is>
      </c>
      <c r="C2949" s="53" t="inlineStr">
        <is>
          <t>TECH-046</t>
        </is>
      </c>
      <c r="D2949" s="53" t="inlineStr">
        <is>
          <t>Electrical</t>
        </is>
      </c>
      <c r="E2949" s="53" t="inlineStr">
        <is>
          <t>2024-10-08</t>
        </is>
      </c>
      <c r="F2949" s="53">
        <v>10.3</v>
      </c>
      <c r="G2949" s="53">
        <v>2.3</v>
      </c>
      <c r="H2949" s="51" t="str">
        <f>TEXT(tblLaborEntries[[#This Row],[Work date serial]]-WEEKDAY(tblLaborEntries[[#This Row],[Work date serial]],3),"yyyy-mm-dd")</f>
        <v>2024-10-07</v>
      </c>
      <c r="I2949" s="64">
        <f>DATEVALUE(tblLaborEntries[[#This Row],[Work date]])</f>
        <v>45573.0</v>
      </c>
    </row>
    <row r="2950" spans="1:9" ht="15" x14ac:dyDescent="0.25">
      <c r="A2950" s="53" t="inlineStr">
        <is>
          <t>LAB-002949</t>
        </is>
      </c>
      <c r="B2950" s="53" t="inlineStr">
        <is>
          <t>WP-01300</t>
        </is>
      </c>
      <c r="C2950" s="53" t="inlineStr">
        <is>
          <t>TECH-023</t>
        </is>
      </c>
      <c r="D2950" s="53" t="inlineStr">
        <is>
          <t>Structures</t>
        </is>
      </c>
      <c r="E2950" s="53" t="inlineStr">
        <is>
          <t>2025-04-22</t>
        </is>
      </c>
      <c r="F2950" s="53">
        <v>10.3</v>
      </c>
      <c r="G2950" s="53">
        <v>2.3</v>
      </c>
      <c r="H2950" s="51" t="str">
        <f>TEXT(tblLaborEntries[[#This Row],[Work date serial]]-WEEKDAY(tblLaborEntries[[#This Row],[Work date serial]],3),"yyyy-mm-dd")</f>
        <v>2025-04-21</v>
      </c>
      <c r="I2950" s="64">
        <f>DATEVALUE(tblLaborEntries[[#This Row],[Work date]])</f>
        <v>45769.0</v>
      </c>
    </row>
    <row r="2951" spans="1:9" ht="15" x14ac:dyDescent="0.25">
      <c r="A2951" s="53" t="inlineStr">
        <is>
          <t>LAB-002950</t>
        </is>
      </c>
      <c r="B2951" s="53" t="inlineStr">
        <is>
          <t>WP-01300</t>
        </is>
      </c>
      <c r="C2951" s="53" t="inlineStr">
        <is>
          <t>TECH-005</t>
        </is>
      </c>
      <c r="D2951" s="53" t="inlineStr">
        <is>
          <t>Structures</t>
        </is>
      </c>
      <c r="E2951" s="53" t="inlineStr">
        <is>
          <t>2025-04-23</t>
        </is>
      </c>
      <c r="F2951" s="53">
        <v>0.6</v>
      </c>
      <c r="G2951" s="53">
        <v>0</v>
      </c>
      <c r="H2951" s="51" t="str">
        <f>TEXT(tblLaborEntries[[#This Row],[Work date serial]]-WEEKDAY(tblLaborEntries[[#This Row],[Work date serial]],3),"yyyy-mm-dd")</f>
        <v>2025-04-21</v>
      </c>
      <c r="I2951" s="64">
        <f>DATEVALUE(tblLaborEntries[[#This Row],[Work date]])</f>
        <v>45770.0</v>
      </c>
    </row>
    <row r="2952" spans="1:9" ht="15" x14ac:dyDescent="0.25">
      <c r="A2952" s="53" t="inlineStr">
        <is>
          <t>LAB-002951</t>
        </is>
      </c>
      <c r="B2952" s="53" t="inlineStr">
        <is>
          <t>WP-01300</t>
        </is>
      </c>
      <c r="C2952" s="53" t="inlineStr">
        <is>
          <t>TECH-047</t>
        </is>
      </c>
      <c r="D2952" s="53" t="inlineStr">
        <is>
          <t>Structures</t>
        </is>
      </c>
      <c r="E2952" s="53" t="inlineStr">
        <is>
          <t>2025-04-23</t>
        </is>
      </c>
      <c r="F2952" s="53">
        <v>12</v>
      </c>
      <c r="G2952" s="53">
        <v>4</v>
      </c>
      <c r="H2952" s="51" t="str">
        <f>TEXT(tblLaborEntries[[#This Row],[Work date serial]]-WEEKDAY(tblLaborEntries[[#This Row],[Work date serial]],3),"yyyy-mm-dd")</f>
        <v>2025-04-21</v>
      </c>
      <c r="I2952" s="64">
        <f>DATEVALUE(tblLaborEntries[[#This Row],[Work date]])</f>
        <v>45770.0</v>
      </c>
    </row>
    <row r="2953" spans="1:9" ht="15" x14ac:dyDescent="0.25">
      <c r="A2953" s="53" t="inlineStr">
        <is>
          <t>LAB-002952</t>
        </is>
      </c>
      <c r="B2953" s="53" t="inlineStr">
        <is>
          <t>WP-01300</t>
        </is>
      </c>
      <c r="C2953" s="53" t="inlineStr">
        <is>
          <t>TECH-011</t>
        </is>
      </c>
      <c r="D2953" s="53" t="inlineStr">
        <is>
          <t>Structures</t>
        </is>
      </c>
      <c r="E2953" s="53" t="inlineStr">
        <is>
          <t>2025-04-24</t>
        </is>
      </c>
      <c r="F2953" s="53">
        <v>1.3</v>
      </c>
      <c r="G2953" s="53">
        <v>0</v>
      </c>
      <c r="H2953" s="51" t="str">
        <f>TEXT(tblLaborEntries[[#This Row],[Work date serial]]-WEEKDAY(tblLaborEntries[[#This Row],[Work date serial]],3),"yyyy-mm-dd")</f>
        <v>2025-04-21</v>
      </c>
      <c r="I2953" s="64">
        <f>DATEVALUE(tblLaborEntries[[#This Row],[Work date]])</f>
        <v>45771.0</v>
      </c>
    </row>
    <row r="2954" spans="1:9" ht="15" x14ac:dyDescent="0.25">
      <c r="A2954" s="53" t="inlineStr">
        <is>
          <t>LAB-002953</t>
        </is>
      </c>
      <c r="B2954" s="53" t="inlineStr">
        <is>
          <t>WP-01300</t>
        </is>
      </c>
      <c r="C2954" s="53" t="inlineStr">
        <is>
          <t>TECH-053</t>
        </is>
      </c>
      <c r="D2954" s="53" t="inlineStr">
        <is>
          <t>Structures</t>
        </is>
      </c>
      <c r="E2954" s="53" t="inlineStr">
        <is>
          <t>2025-04-24</t>
        </is>
      </c>
      <c r="F2954" s="53">
        <v>12</v>
      </c>
      <c r="G2954" s="53">
        <v>4</v>
      </c>
      <c r="H2954" s="51" t="str">
        <f>TEXT(tblLaborEntries[[#This Row],[Work date serial]]-WEEKDAY(tblLaborEntries[[#This Row],[Work date serial]],3),"yyyy-mm-dd")</f>
        <v>2025-04-21</v>
      </c>
      <c r="I2954" s="64">
        <f>DATEVALUE(tblLaborEntries[[#This Row],[Work date]])</f>
        <v>45771.0</v>
      </c>
    </row>
    <row r="2955" spans="1:9" ht="15" x14ac:dyDescent="0.25">
      <c r="A2955" s="53" t="inlineStr">
        <is>
          <t>LAB-002954</t>
        </is>
      </c>
      <c r="B2955" s="53" t="inlineStr">
        <is>
          <t>WP-01301</t>
        </is>
      </c>
      <c r="C2955" s="53" t="inlineStr">
        <is>
          <t>TECH-014</t>
        </is>
      </c>
      <c r="D2955" s="53" t="inlineStr">
        <is>
          <t>Avionics</t>
        </is>
      </c>
      <c r="E2955" s="53" t="inlineStr">
        <is>
          <t>2024-05-31</t>
        </is>
      </c>
      <c r="F2955" s="53">
        <v>9.6</v>
      </c>
      <c r="G2955" s="53">
        <v>1.6</v>
      </c>
      <c r="H2955" s="51" t="str">
        <f>TEXT(tblLaborEntries[[#This Row],[Work date serial]]-WEEKDAY(tblLaborEntries[[#This Row],[Work date serial]],3),"yyyy-mm-dd")</f>
        <v>2024-05-27</v>
      </c>
      <c r="I2955" s="64">
        <f>DATEVALUE(tblLaborEntries[[#This Row],[Work date]])</f>
        <v>45443.0</v>
      </c>
    </row>
    <row r="2956" spans="1:9" ht="15" x14ac:dyDescent="0.25">
      <c r="A2956" s="53" t="inlineStr">
        <is>
          <t>LAB-002955</t>
        </is>
      </c>
      <c r="B2956" s="53" t="inlineStr">
        <is>
          <t>WP-01301</t>
        </is>
      </c>
      <c r="C2956" s="53" t="inlineStr">
        <is>
          <t>TECH-056</t>
        </is>
      </c>
      <c r="D2956" s="53" t="inlineStr">
        <is>
          <t>Avionics</t>
        </is>
      </c>
      <c r="E2956" s="53" t="inlineStr">
        <is>
          <t>2024-06-01</t>
        </is>
      </c>
      <c r="F2956" s="53">
        <v>12</v>
      </c>
      <c r="G2956" s="53">
        <v>4</v>
      </c>
      <c r="H2956" s="51" t="str">
        <f>TEXT(tblLaborEntries[[#This Row],[Work date serial]]-WEEKDAY(tblLaborEntries[[#This Row],[Work date serial]],3),"yyyy-mm-dd")</f>
        <v>2024-05-27</v>
      </c>
      <c r="I2956" s="64">
        <f>DATEVALUE(tblLaborEntries[[#This Row],[Work date]])</f>
        <v>45444.0</v>
      </c>
    </row>
    <row r="2957" spans="1:9" ht="15" x14ac:dyDescent="0.25">
      <c r="A2957" s="53" t="inlineStr">
        <is>
          <t>LAB-002956</t>
        </is>
      </c>
      <c r="B2957" s="53" t="inlineStr">
        <is>
          <t>WP-01302</t>
        </is>
      </c>
      <c r="C2957" s="53" t="inlineStr">
        <is>
          <t>TECH-068</t>
        </is>
      </c>
      <c r="D2957" s="53" t="inlineStr">
        <is>
          <t>Avionics</t>
        </is>
      </c>
      <c r="E2957" s="53" t="inlineStr">
        <is>
          <t>2024-12-17</t>
        </is>
      </c>
      <c r="F2957" s="53">
        <v>3.7</v>
      </c>
      <c r="G2957" s="53">
        <v>0</v>
      </c>
      <c r="H2957" s="51" t="str">
        <f>TEXT(tblLaborEntries[[#This Row],[Work date serial]]-WEEKDAY(tblLaborEntries[[#This Row],[Work date serial]],3),"yyyy-mm-dd")</f>
        <v>2024-12-16</v>
      </c>
      <c r="I2957" s="64">
        <f>DATEVALUE(tblLaborEntries[[#This Row],[Work date]])</f>
        <v>45643.0</v>
      </c>
    </row>
    <row r="2958" spans="1:9" ht="15" x14ac:dyDescent="0.25">
      <c r="A2958" s="53" t="inlineStr">
        <is>
          <t>LAB-002957</t>
        </is>
      </c>
      <c r="B2958" s="53" t="inlineStr">
        <is>
          <t>WP-01302</t>
        </is>
      </c>
      <c r="C2958" s="53" t="inlineStr">
        <is>
          <t>TECH-050</t>
        </is>
      </c>
      <c r="D2958" s="53" t="inlineStr">
        <is>
          <t>Avionics</t>
        </is>
      </c>
      <c r="E2958" s="53" t="inlineStr">
        <is>
          <t>2024-12-18</t>
        </is>
      </c>
      <c r="F2958" s="53">
        <v>3</v>
      </c>
      <c r="G2958" s="53">
        <v>0</v>
      </c>
      <c r="H2958" s="51" t="str">
        <f>TEXT(tblLaborEntries[[#This Row],[Work date serial]]-WEEKDAY(tblLaborEntries[[#This Row],[Work date serial]],3),"yyyy-mm-dd")</f>
        <v>2024-12-16</v>
      </c>
      <c r="I2958" s="64">
        <f>DATEVALUE(tblLaborEntries[[#This Row],[Work date]])</f>
        <v>45644.0</v>
      </c>
    </row>
    <row r="2959" spans="1:9" ht="15" x14ac:dyDescent="0.25">
      <c r="A2959" s="53" t="inlineStr">
        <is>
          <t>LAB-002958</t>
        </is>
      </c>
      <c r="B2959" s="53" t="inlineStr">
        <is>
          <t>WP-01303</t>
        </is>
      </c>
      <c r="C2959" s="53" t="inlineStr">
        <is>
          <t>TECH-067</t>
        </is>
      </c>
      <c r="D2959" s="53" t="inlineStr">
        <is>
          <t>Airframe</t>
        </is>
      </c>
      <c r="E2959" s="53" t="inlineStr">
        <is>
          <t>2024-02-21</t>
        </is>
      </c>
      <c r="F2959" s="53">
        <v>5.7</v>
      </c>
      <c r="G2959" s="53">
        <v>0</v>
      </c>
      <c r="H2959" s="51" t="str">
        <f>TEXT(tblLaborEntries[[#This Row],[Work date serial]]-WEEKDAY(tblLaborEntries[[#This Row],[Work date serial]],3),"yyyy-mm-dd")</f>
        <v>2024-02-19</v>
      </c>
      <c r="I2959" s="64">
        <f>DATEVALUE(tblLaborEntries[[#This Row],[Work date]])</f>
        <v>45343.0</v>
      </c>
    </row>
    <row r="2960" spans="1:9" ht="15" x14ac:dyDescent="0.25">
      <c r="A2960" s="53" t="inlineStr">
        <is>
          <t>LAB-002959</t>
        </is>
      </c>
      <c r="B2960" s="53" t="inlineStr">
        <is>
          <t>WP-01303</t>
        </is>
      </c>
      <c r="C2960" s="53" t="inlineStr">
        <is>
          <t>TECH-031</t>
        </is>
      </c>
      <c r="D2960" s="53" t="inlineStr">
        <is>
          <t>Airframe</t>
        </is>
      </c>
      <c r="E2960" s="53" t="inlineStr">
        <is>
          <t>2024-02-22</t>
        </is>
      </c>
      <c r="F2960" s="53">
        <v>7.5</v>
      </c>
      <c r="G2960" s="53">
        <v>0</v>
      </c>
      <c r="H2960" s="51" t="str">
        <f>TEXT(tblLaborEntries[[#This Row],[Work date serial]]-WEEKDAY(tblLaborEntries[[#This Row],[Work date serial]],3),"yyyy-mm-dd")</f>
        <v>2024-02-19</v>
      </c>
      <c r="I2960" s="64">
        <f>DATEVALUE(tblLaborEntries[[#This Row],[Work date]])</f>
        <v>45344.0</v>
      </c>
    </row>
    <row r="2961" spans="1:9" ht="15" x14ac:dyDescent="0.25">
      <c r="A2961" s="53" t="inlineStr">
        <is>
          <t>LAB-002960</t>
        </is>
      </c>
      <c r="B2961" s="53" t="inlineStr">
        <is>
          <t>WP-01304</t>
        </is>
      </c>
      <c r="C2961" s="53" t="inlineStr">
        <is>
          <t>TECH-073</t>
        </is>
      </c>
      <c r="D2961" s="53" t="inlineStr">
        <is>
          <t>Airframe</t>
        </is>
      </c>
      <c r="E2961" s="53" t="inlineStr">
        <is>
          <t>2024-07-30</t>
        </is>
      </c>
      <c r="F2961" s="53">
        <v>5.4</v>
      </c>
      <c r="G2961" s="53">
        <v>0</v>
      </c>
      <c r="H2961" s="51" t="str">
        <f>TEXT(tblLaborEntries[[#This Row],[Work date serial]]-WEEKDAY(tblLaborEntries[[#This Row],[Work date serial]],3),"yyyy-mm-dd")</f>
        <v>2024-07-29</v>
      </c>
      <c r="I2961" s="64">
        <f>DATEVALUE(tblLaborEntries[[#This Row],[Work date]])</f>
        <v>45503.0</v>
      </c>
    </row>
    <row r="2962" spans="1:9" ht="15" x14ac:dyDescent="0.25">
      <c r="A2962" s="53" t="inlineStr">
        <is>
          <t>LAB-002961</t>
        </is>
      </c>
      <c r="B2962" s="53" t="inlineStr">
        <is>
          <t>WP-01304</t>
        </is>
      </c>
      <c r="C2962" s="53" t="inlineStr">
        <is>
          <t>TECH-067</t>
        </is>
      </c>
      <c r="D2962" s="53" t="inlineStr">
        <is>
          <t>Airframe</t>
        </is>
      </c>
      <c r="E2962" s="53" t="inlineStr">
        <is>
          <t>2024-07-31</t>
        </is>
      </c>
      <c r="F2962" s="53">
        <v>3.9</v>
      </c>
      <c r="G2962" s="53">
        <v>0</v>
      </c>
      <c r="H2962" s="51" t="str">
        <f>TEXT(tblLaborEntries[[#This Row],[Work date serial]]-WEEKDAY(tblLaborEntries[[#This Row],[Work date serial]],3),"yyyy-mm-dd")</f>
        <v>2024-07-29</v>
      </c>
      <c r="I2962" s="64">
        <f>DATEVALUE(tblLaborEntries[[#This Row],[Work date]])</f>
        <v>45504.0</v>
      </c>
    </row>
    <row r="2963" spans="1:9" ht="15" x14ac:dyDescent="0.25">
      <c r="A2963" s="53" t="inlineStr">
        <is>
          <t>LAB-002962</t>
        </is>
      </c>
      <c r="B2963" s="53" t="inlineStr">
        <is>
          <t>WP-01305</t>
        </is>
      </c>
      <c r="C2963" s="53" t="inlineStr">
        <is>
          <t>TECH-053</t>
        </is>
      </c>
      <c r="D2963" s="53" t="inlineStr">
        <is>
          <t>Structures</t>
        </is>
      </c>
      <c r="E2963" s="53" t="inlineStr">
        <is>
          <t>2025-07-14</t>
        </is>
      </c>
      <c r="F2963" s="53">
        <v>10.1</v>
      </c>
      <c r="G2963" s="53">
        <v>2.1</v>
      </c>
      <c r="H2963" s="51" t="str">
        <f>TEXT(tblLaborEntries[[#This Row],[Work date serial]]-WEEKDAY(tblLaborEntries[[#This Row],[Work date serial]],3),"yyyy-mm-dd")</f>
        <v>2025-07-14</v>
      </c>
      <c r="I2963" s="64">
        <f>DATEVALUE(tblLaborEntries[[#This Row],[Work date]])</f>
        <v>45852.0</v>
      </c>
    </row>
    <row r="2964" spans="1:9" ht="15" x14ac:dyDescent="0.25">
      <c r="A2964" s="53" t="inlineStr">
        <is>
          <t>LAB-002963</t>
        </is>
      </c>
      <c r="B2964" s="53" t="inlineStr">
        <is>
          <t>WP-01305</t>
        </is>
      </c>
      <c r="C2964" s="53" t="inlineStr">
        <is>
          <t>TECH-005</t>
        </is>
      </c>
      <c r="D2964" s="53" t="inlineStr">
        <is>
          <t>Structures</t>
        </is>
      </c>
      <c r="E2964" s="53" t="inlineStr">
        <is>
          <t>2025-07-15</t>
        </is>
      </c>
      <c r="F2964" s="53">
        <v>1.3</v>
      </c>
      <c r="G2964" s="53">
        <v>0</v>
      </c>
      <c r="H2964" s="51" t="str">
        <f>TEXT(tblLaborEntries[[#This Row],[Work date serial]]-WEEKDAY(tblLaborEntries[[#This Row],[Work date serial]],3),"yyyy-mm-dd")</f>
        <v>2025-07-14</v>
      </c>
      <c r="I2964" s="64">
        <f>DATEVALUE(tblLaborEntries[[#This Row],[Work date]])</f>
        <v>45853.0</v>
      </c>
    </row>
    <row r="2965" spans="1:9" ht="15" x14ac:dyDescent="0.25">
      <c r="A2965" s="53" t="inlineStr">
        <is>
          <t>LAB-002964</t>
        </is>
      </c>
      <c r="B2965" s="53" t="inlineStr">
        <is>
          <t>WP-01305</t>
        </is>
      </c>
      <c r="C2965" s="53" t="inlineStr">
        <is>
          <t>TECH-017</t>
        </is>
      </c>
      <c r="D2965" s="53" t="inlineStr">
        <is>
          <t>Structures</t>
        </is>
      </c>
      <c r="E2965" s="53" t="inlineStr">
        <is>
          <t>2025-07-15</t>
        </is>
      </c>
      <c r="F2965" s="53">
        <v>12</v>
      </c>
      <c r="G2965" s="53">
        <v>4</v>
      </c>
      <c r="H2965" s="51" t="str">
        <f>TEXT(tblLaborEntries[[#This Row],[Work date serial]]-WEEKDAY(tblLaborEntries[[#This Row],[Work date serial]],3),"yyyy-mm-dd")</f>
        <v>2025-07-14</v>
      </c>
      <c r="I2965" s="64">
        <f>DATEVALUE(tblLaborEntries[[#This Row],[Work date]])</f>
        <v>45853.0</v>
      </c>
    </row>
    <row r="2966" spans="1:9" ht="15" x14ac:dyDescent="0.25">
      <c r="A2966" s="53" t="inlineStr">
        <is>
          <t>LAB-002965</t>
        </is>
      </c>
      <c r="B2966" s="53" t="inlineStr">
        <is>
          <t>WP-01306</t>
        </is>
      </c>
      <c r="C2966" s="53" t="inlineStr">
        <is>
          <t>TECH-044</t>
        </is>
      </c>
      <c r="D2966" s="53" t="inlineStr">
        <is>
          <t>Avionics</t>
        </is>
      </c>
      <c r="E2966" s="53" t="inlineStr">
        <is>
          <t>2024-02-13</t>
        </is>
      </c>
      <c r="F2966" s="53">
        <v>4.7</v>
      </c>
      <c r="G2966" s="53">
        <v>0</v>
      </c>
      <c r="H2966" s="51" t="str">
        <f>TEXT(tblLaborEntries[[#This Row],[Work date serial]]-WEEKDAY(tblLaborEntries[[#This Row],[Work date serial]],3),"yyyy-mm-dd")</f>
        <v>2024-02-12</v>
      </c>
      <c r="I2966" s="64">
        <f>DATEVALUE(tblLaborEntries[[#This Row],[Work date]])</f>
        <v>45335.0</v>
      </c>
    </row>
    <row r="2967" spans="1:9" ht="15" x14ac:dyDescent="0.25">
      <c r="A2967" s="53" t="inlineStr">
        <is>
          <t>LAB-002966</t>
        </is>
      </c>
      <c r="B2967" s="53" t="inlineStr">
        <is>
          <t>WP-01307</t>
        </is>
      </c>
      <c r="C2967" s="53" t="inlineStr">
        <is>
          <t>TECH-067</t>
        </is>
      </c>
      <c r="D2967" s="53" t="inlineStr">
        <is>
          <t>Airframe</t>
        </is>
      </c>
      <c r="E2967" s="53" t="inlineStr">
        <is>
          <t>2024-03-05</t>
        </is>
      </c>
      <c r="F2967" s="53">
        <v>3.2</v>
      </c>
      <c r="G2967" s="53">
        <v>0</v>
      </c>
      <c r="H2967" s="51" t="str">
        <f>TEXT(tblLaborEntries[[#This Row],[Work date serial]]-WEEKDAY(tblLaborEntries[[#This Row],[Work date serial]],3),"yyyy-mm-dd")</f>
        <v>2024-03-04</v>
      </c>
      <c r="I2967" s="64">
        <f>DATEVALUE(tblLaborEntries[[#This Row],[Work date]])</f>
        <v>45356.0</v>
      </c>
    </row>
    <row r="2968" spans="1:9" ht="15" x14ac:dyDescent="0.25">
      <c r="A2968" s="53" t="inlineStr">
        <is>
          <t>LAB-002967</t>
        </is>
      </c>
      <c r="B2968" s="53" t="inlineStr">
        <is>
          <t>WP-01307</t>
        </is>
      </c>
      <c r="C2968" s="53" t="inlineStr">
        <is>
          <t>TECH-031</t>
        </is>
      </c>
      <c r="D2968" s="53" t="inlineStr">
        <is>
          <t>Airframe</t>
        </is>
      </c>
      <c r="E2968" s="53" t="inlineStr">
        <is>
          <t>2024-03-06</t>
        </is>
      </c>
      <c r="F2968" s="53">
        <v>2.9</v>
      </c>
      <c r="G2968" s="53">
        <v>0</v>
      </c>
      <c r="H2968" s="51" t="str">
        <f>TEXT(tblLaborEntries[[#This Row],[Work date serial]]-WEEKDAY(tblLaborEntries[[#This Row],[Work date serial]],3),"yyyy-mm-dd")</f>
        <v>2024-03-04</v>
      </c>
      <c r="I2968" s="64">
        <f>DATEVALUE(tblLaborEntries[[#This Row],[Work date]])</f>
        <v>45357.0</v>
      </c>
    </row>
    <row r="2969" spans="1:9" ht="15" x14ac:dyDescent="0.25">
      <c r="A2969" s="53" t="inlineStr">
        <is>
          <t>LAB-002968</t>
        </is>
      </c>
      <c r="B2969" s="53" t="inlineStr">
        <is>
          <t>WP-01307</t>
        </is>
      </c>
      <c r="C2969" s="53" t="inlineStr">
        <is>
          <t>TECH-001</t>
        </is>
      </c>
      <c r="D2969" s="53" t="inlineStr">
        <is>
          <t>Airframe</t>
        </is>
      </c>
      <c r="E2969" s="53" t="inlineStr">
        <is>
          <t>2024-03-07</t>
        </is>
      </c>
      <c r="F2969" s="53">
        <v>3.1</v>
      </c>
      <c r="G2969" s="53">
        <v>0</v>
      </c>
      <c r="H2969" s="51" t="str">
        <f>TEXT(tblLaborEntries[[#This Row],[Work date serial]]-WEEKDAY(tblLaborEntries[[#This Row],[Work date serial]],3),"yyyy-mm-dd")</f>
        <v>2024-03-04</v>
      </c>
      <c r="I2969" s="64">
        <f>DATEVALUE(tblLaborEntries[[#This Row],[Work date]])</f>
        <v>45358.0</v>
      </c>
    </row>
    <row r="2970" spans="1:9" ht="15" x14ac:dyDescent="0.25">
      <c r="A2970" s="53" t="inlineStr">
        <is>
          <t>LAB-002969</t>
        </is>
      </c>
      <c r="B2970" s="53" t="inlineStr">
        <is>
          <t>WP-01308</t>
        </is>
      </c>
      <c r="C2970" s="53" t="inlineStr">
        <is>
          <t>TECH-043</t>
        </is>
      </c>
      <c r="D2970" s="53" t="inlineStr">
        <is>
          <t>Airframe</t>
        </is>
      </c>
      <c r="E2970" s="53" t="inlineStr">
        <is>
          <t>2024-02-08</t>
        </is>
      </c>
      <c r="F2970" s="53">
        <v>2.2</v>
      </c>
      <c r="G2970" s="53">
        <v>0</v>
      </c>
      <c r="H2970" s="51" t="str">
        <f>TEXT(tblLaborEntries[[#This Row],[Work date serial]]-WEEKDAY(tblLaborEntries[[#This Row],[Work date serial]],3),"yyyy-mm-dd")</f>
        <v>2024-02-05</v>
      </c>
      <c r="I2970" s="64">
        <f>DATEVALUE(tblLaborEntries[[#This Row],[Work date]])</f>
        <v>45330.0</v>
      </c>
    </row>
    <row r="2971" spans="1:9" ht="15" x14ac:dyDescent="0.25">
      <c r="A2971" s="53" t="inlineStr">
        <is>
          <t>LAB-002970</t>
        </is>
      </c>
      <c r="B2971" s="53" t="inlineStr">
        <is>
          <t>WP-01308</t>
        </is>
      </c>
      <c r="C2971" s="53" t="inlineStr">
        <is>
          <t>TECH-049</t>
        </is>
      </c>
      <c r="D2971" s="53" t="inlineStr">
        <is>
          <t>Airframe</t>
        </is>
      </c>
      <c r="E2971" s="53" t="inlineStr">
        <is>
          <t>2024-02-09</t>
        </is>
      </c>
      <c r="F2971" s="53">
        <v>2.7</v>
      </c>
      <c r="G2971" s="53">
        <v>0</v>
      </c>
      <c r="H2971" s="51" t="str">
        <f>TEXT(tblLaborEntries[[#This Row],[Work date serial]]-WEEKDAY(tblLaborEntries[[#This Row],[Work date serial]],3),"yyyy-mm-dd")</f>
        <v>2024-02-05</v>
      </c>
      <c r="I2971" s="64">
        <f>DATEVALUE(tblLaborEntries[[#This Row],[Work date]])</f>
        <v>45331.0</v>
      </c>
    </row>
    <row r="2972" spans="1:9" ht="15" x14ac:dyDescent="0.25">
      <c r="A2972" s="53" t="inlineStr">
        <is>
          <t>LAB-002971</t>
        </is>
      </c>
      <c r="B2972" s="53" t="inlineStr">
        <is>
          <t>WP-01309</t>
        </is>
      </c>
      <c r="C2972" s="53" t="inlineStr">
        <is>
          <t>TECH-071</t>
        </is>
      </c>
      <c r="D2972" s="53" t="inlineStr">
        <is>
          <t>Structures</t>
        </is>
      </c>
      <c r="E2972" s="53" t="inlineStr">
        <is>
          <t>2024-11-27</t>
        </is>
      </c>
      <c r="F2972" s="53">
        <v>7.1</v>
      </c>
      <c r="G2972" s="53">
        <v>0</v>
      </c>
      <c r="H2972" s="51" t="str">
        <f>TEXT(tblLaborEntries[[#This Row],[Work date serial]]-WEEKDAY(tblLaborEntries[[#This Row],[Work date serial]],3),"yyyy-mm-dd")</f>
        <v>2024-11-25</v>
      </c>
      <c r="I2972" s="64">
        <f>DATEVALUE(tblLaborEntries[[#This Row],[Work date]])</f>
        <v>45623.0</v>
      </c>
    </row>
    <row r="2973" spans="1:9" ht="15" x14ac:dyDescent="0.25">
      <c r="A2973" s="53" t="inlineStr">
        <is>
          <t>LAB-002972</t>
        </is>
      </c>
      <c r="B2973" s="53" t="inlineStr">
        <is>
          <t>WP-01309</t>
        </is>
      </c>
      <c r="C2973" s="53" t="inlineStr">
        <is>
          <t>TECH-065</t>
        </is>
      </c>
      <c r="D2973" s="53" t="inlineStr">
        <is>
          <t>Structures</t>
        </is>
      </c>
      <c r="E2973" s="53" t="inlineStr">
        <is>
          <t>2024-11-28</t>
        </is>
      </c>
      <c r="F2973" s="53">
        <v>8.3</v>
      </c>
      <c r="G2973" s="53">
        <v>0.3</v>
      </c>
      <c r="H2973" s="51" t="str">
        <f>TEXT(tblLaborEntries[[#This Row],[Work date serial]]-WEEKDAY(tblLaborEntries[[#This Row],[Work date serial]],3),"yyyy-mm-dd")</f>
        <v>2024-11-25</v>
      </c>
      <c r="I2973" s="64">
        <f>DATEVALUE(tblLaborEntries[[#This Row],[Work date]])</f>
        <v>45624.0</v>
      </c>
    </row>
    <row r="2974" spans="1:9" ht="15" x14ac:dyDescent="0.25">
      <c r="A2974" s="53" t="inlineStr">
        <is>
          <t>LAB-002973</t>
        </is>
      </c>
      <c r="B2974" s="53" t="inlineStr">
        <is>
          <t>WP-01310</t>
        </is>
      </c>
      <c r="C2974" s="53" t="inlineStr">
        <is>
          <t>TECH-002</t>
        </is>
      </c>
      <c r="D2974" s="53" t="inlineStr">
        <is>
          <t>Avionics</t>
        </is>
      </c>
      <c r="E2974" s="53" t="inlineStr">
        <is>
          <t>2025-12-02</t>
        </is>
      </c>
      <c r="F2974" s="53">
        <v>1.6</v>
      </c>
      <c r="G2974" s="53">
        <v>0</v>
      </c>
      <c r="H2974" s="51" t="str">
        <f>TEXT(tblLaborEntries[[#This Row],[Work date serial]]-WEEKDAY(tblLaborEntries[[#This Row],[Work date serial]],3),"yyyy-mm-dd")</f>
        <v>2025-12-01</v>
      </c>
      <c r="I2974" s="64">
        <f>DATEVALUE(tblLaborEntries[[#This Row],[Work date]])</f>
        <v>45993.0</v>
      </c>
    </row>
    <row r="2975" spans="1:9" ht="15" x14ac:dyDescent="0.25">
      <c r="A2975" s="53" t="inlineStr">
        <is>
          <t>LAB-002974</t>
        </is>
      </c>
      <c r="B2975" s="53" t="inlineStr">
        <is>
          <t>WP-01310</t>
        </is>
      </c>
      <c r="C2975" s="53" t="inlineStr">
        <is>
          <t>TECH-038</t>
        </is>
      </c>
      <c r="D2975" s="53" t="inlineStr">
        <is>
          <t>Avionics</t>
        </is>
      </c>
      <c r="E2975" s="53" t="inlineStr">
        <is>
          <t>2025-12-02</t>
        </is>
      </c>
      <c r="F2975" s="53">
        <v>12</v>
      </c>
      <c r="G2975" s="53">
        <v>4</v>
      </c>
      <c r="H2975" s="51" t="str">
        <f>TEXT(tblLaborEntries[[#This Row],[Work date serial]]-WEEKDAY(tblLaborEntries[[#This Row],[Work date serial]],3),"yyyy-mm-dd")</f>
        <v>2025-12-01</v>
      </c>
      <c r="I2975" s="64">
        <f>DATEVALUE(tblLaborEntries[[#This Row],[Work date]])</f>
        <v>45993.0</v>
      </c>
    </row>
    <row r="2976" spans="1:9" ht="15" x14ac:dyDescent="0.25">
      <c r="A2976" s="53" t="inlineStr">
        <is>
          <t>LAB-002975</t>
        </is>
      </c>
      <c r="B2976" s="53" t="inlineStr">
        <is>
          <t>WP-01311</t>
        </is>
      </c>
      <c r="C2976" s="53" t="inlineStr">
        <is>
          <t>TECH-040</t>
        </is>
      </c>
      <c r="D2976" s="53" t="inlineStr">
        <is>
          <t>Electrical</t>
        </is>
      </c>
      <c r="E2976" s="53" t="inlineStr">
        <is>
          <t>2024-08-30</t>
        </is>
      </c>
      <c r="F2976" s="53">
        <v>5.4</v>
      </c>
      <c r="G2976" s="53">
        <v>0</v>
      </c>
      <c r="H2976" s="51" t="str">
        <f>TEXT(tblLaborEntries[[#This Row],[Work date serial]]-WEEKDAY(tblLaborEntries[[#This Row],[Work date serial]],3),"yyyy-mm-dd")</f>
        <v>2024-08-26</v>
      </c>
      <c r="I2976" s="64">
        <f>DATEVALUE(tblLaborEntries[[#This Row],[Work date]])</f>
        <v>45534.0</v>
      </c>
    </row>
    <row r="2977" spans="1:9" ht="15" x14ac:dyDescent="0.25">
      <c r="A2977" s="53" t="inlineStr">
        <is>
          <t>LAB-002976</t>
        </is>
      </c>
      <c r="B2977" s="53" t="inlineStr">
        <is>
          <t>WP-01312</t>
        </is>
      </c>
      <c r="C2977" s="53" t="inlineStr">
        <is>
          <t>TECH-003</t>
        </is>
      </c>
      <c r="D2977" s="53" t="inlineStr">
        <is>
          <t>Hydraulics</t>
        </is>
      </c>
      <c r="E2977" s="53" t="inlineStr">
        <is>
          <t>2025-07-21</t>
        </is>
      </c>
      <c r="F2977" s="53">
        <v>12</v>
      </c>
      <c r="G2977" s="53">
        <v>4</v>
      </c>
      <c r="H2977" s="51" t="str">
        <f>TEXT(tblLaborEntries[[#This Row],[Work date serial]]-WEEKDAY(tblLaborEntries[[#This Row],[Work date serial]],3),"yyyy-mm-dd")</f>
        <v>2025-07-21</v>
      </c>
      <c r="I2977" s="64">
        <f>DATEVALUE(tblLaborEntries[[#This Row],[Work date]])</f>
        <v>45859.0</v>
      </c>
    </row>
    <row r="2978" spans="1:9" ht="15" x14ac:dyDescent="0.25">
      <c r="A2978" s="53" t="inlineStr">
        <is>
          <t>LAB-002977</t>
        </is>
      </c>
      <c r="B2978" s="53" t="inlineStr">
        <is>
          <t>WP-01312</t>
        </is>
      </c>
      <c r="C2978" s="53" t="inlineStr">
        <is>
          <t>TECH-009</t>
        </is>
      </c>
      <c r="D2978" s="53" t="inlineStr">
        <is>
          <t>Hydraulics</t>
        </is>
      </c>
      <c r="E2978" s="53" t="inlineStr">
        <is>
          <t>2025-07-21</t>
        </is>
      </c>
      <c r="F2978" s="53">
        <v>1.9</v>
      </c>
      <c r="G2978" s="53">
        <v>0</v>
      </c>
      <c r="H2978" s="51" t="str">
        <f>TEXT(tblLaborEntries[[#This Row],[Work date serial]]-WEEKDAY(tblLaborEntries[[#This Row],[Work date serial]],3),"yyyy-mm-dd")</f>
        <v>2025-07-21</v>
      </c>
      <c r="I2978" s="64">
        <f>DATEVALUE(tblLaborEntries[[#This Row],[Work date]])</f>
        <v>45859.0</v>
      </c>
    </row>
    <row r="2979" spans="1:9" ht="15" x14ac:dyDescent="0.25">
      <c r="A2979" s="53" t="inlineStr">
        <is>
          <t>LAB-002978</t>
        </is>
      </c>
      <c r="B2979" s="53" t="inlineStr">
        <is>
          <t>WP-01312</t>
        </is>
      </c>
      <c r="C2979" s="53" t="inlineStr">
        <is>
          <t>TECH-039</t>
        </is>
      </c>
      <c r="D2979" s="53" t="inlineStr">
        <is>
          <t>Hydraulics</t>
        </is>
      </c>
      <c r="E2979" s="53" t="inlineStr">
        <is>
          <t>2025-07-21</t>
        </is>
      </c>
      <c r="F2979" s="53">
        <v>12</v>
      </c>
      <c r="G2979" s="53">
        <v>4</v>
      </c>
      <c r="H2979" s="51" t="str">
        <f>TEXT(tblLaborEntries[[#This Row],[Work date serial]]-WEEKDAY(tblLaborEntries[[#This Row],[Work date serial]],3),"yyyy-mm-dd")</f>
        <v>2025-07-21</v>
      </c>
      <c r="I2979" s="64">
        <f>DATEVALUE(tblLaborEntries[[#This Row],[Work date]])</f>
        <v>45859.0</v>
      </c>
    </row>
    <row r="2980" spans="1:9" ht="15" x14ac:dyDescent="0.25">
      <c r="A2980" s="53" t="inlineStr">
        <is>
          <t>LAB-002979</t>
        </is>
      </c>
      <c r="B2980" s="53" t="inlineStr">
        <is>
          <t>WP-01313</t>
        </is>
      </c>
      <c r="C2980" s="53" t="inlineStr">
        <is>
          <t>TECH-007</t>
        </is>
      </c>
      <c r="D2980" s="53" t="inlineStr">
        <is>
          <t>Airframe</t>
        </is>
      </c>
      <c r="E2980" s="53" t="inlineStr">
        <is>
          <t>2025-01-02</t>
        </is>
      </c>
      <c r="F2980" s="53">
        <v>2.1</v>
      </c>
      <c r="G2980" s="53">
        <v>0</v>
      </c>
      <c r="H2980" s="51" t="str">
        <f>TEXT(tblLaborEntries[[#This Row],[Work date serial]]-WEEKDAY(tblLaborEntries[[#This Row],[Work date serial]],3),"yyyy-mm-dd")</f>
        <v>2024-12-30</v>
      </c>
      <c r="I2980" s="64">
        <f>DATEVALUE(tblLaborEntries[[#This Row],[Work date]])</f>
        <v>45659.0</v>
      </c>
    </row>
    <row r="2981" spans="1:9" ht="15" x14ac:dyDescent="0.25">
      <c r="A2981" s="53" t="inlineStr">
        <is>
          <t>LAB-002980</t>
        </is>
      </c>
      <c r="B2981" s="53" t="inlineStr">
        <is>
          <t>WP-01313</t>
        </is>
      </c>
      <c r="C2981" s="53" t="inlineStr">
        <is>
          <t>TECH-061</t>
        </is>
      </c>
      <c r="D2981" s="53" t="inlineStr">
        <is>
          <t>Airframe</t>
        </is>
      </c>
      <c r="E2981" s="53" t="inlineStr">
        <is>
          <t>2025-01-03</t>
        </is>
      </c>
      <c r="F2981" s="53">
        <v>1.8</v>
      </c>
      <c r="G2981" s="53">
        <v>0</v>
      </c>
      <c r="H2981" s="51" t="str">
        <f>TEXT(tblLaborEntries[[#This Row],[Work date serial]]-WEEKDAY(tblLaborEntries[[#This Row],[Work date serial]],3),"yyyy-mm-dd")</f>
        <v>2024-12-30</v>
      </c>
      <c r="I2981" s="64">
        <f>DATEVALUE(tblLaborEntries[[#This Row],[Work date]])</f>
        <v>45660.0</v>
      </c>
    </row>
    <row r="2982" spans="1:9" ht="15" x14ac:dyDescent="0.25">
      <c r="A2982" s="53" t="inlineStr">
        <is>
          <t>LAB-002981</t>
        </is>
      </c>
      <c r="B2982" s="53" t="inlineStr">
        <is>
          <t>WP-01314</t>
        </is>
      </c>
      <c r="C2982" s="53" t="inlineStr">
        <is>
          <t>TECH-067</t>
        </is>
      </c>
      <c r="D2982" s="53" t="inlineStr">
        <is>
          <t>Airframe</t>
        </is>
      </c>
      <c r="E2982" s="53" t="inlineStr">
        <is>
          <t>2025-03-01</t>
        </is>
      </c>
      <c r="F2982" s="53">
        <v>7</v>
      </c>
      <c r="G2982" s="53">
        <v>0</v>
      </c>
      <c r="H2982" s="51" t="str">
        <f>TEXT(tblLaborEntries[[#This Row],[Work date serial]]-WEEKDAY(tblLaborEntries[[#This Row],[Work date serial]],3),"yyyy-mm-dd")</f>
        <v>2025-02-24</v>
      </c>
      <c r="I2982" s="64">
        <f>DATEVALUE(tblLaborEntries[[#This Row],[Work date]])</f>
        <v>45717.0</v>
      </c>
    </row>
    <row r="2983" spans="1:9" ht="15" x14ac:dyDescent="0.25">
      <c r="A2983" s="53" t="inlineStr">
        <is>
          <t>LAB-002982</t>
        </is>
      </c>
      <c r="B2983" s="53" t="inlineStr">
        <is>
          <t>WP-01314</t>
        </is>
      </c>
      <c r="C2983" s="53" t="inlineStr">
        <is>
          <t>TECH-001</t>
        </is>
      </c>
      <c r="D2983" s="53" t="inlineStr">
        <is>
          <t>Airframe</t>
        </is>
      </c>
      <c r="E2983" s="53" t="inlineStr">
        <is>
          <t>2025-03-02</t>
        </is>
      </c>
      <c r="F2983" s="53">
        <v>2</v>
      </c>
      <c r="G2983" s="53">
        <v>0</v>
      </c>
      <c r="H2983" s="51" t="str">
        <f>TEXT(tblLaborEntries[[#This Row],[Work date serial]]-WEEKDAY(tblLaborEntries[[#This Row],[Work date serial]],3),"yyyy-mm-dd")</f>
        <v>2025-02-24</v>
      </c>
      <c r="I2983" s="64">
        <f>DATEVALUE(tblLaborEntries[[#This Row],[Work date]])</f>
        <v>45718.0</v>
      </c>
    </row>
    <row r="2984" spans="1:9" ht="15" x14ac:dyDescent="0.25">
      <c r="A2984" s="53" t="inlineStr">
        <is>
          <t>LAB-002983</t>
        </is>
      </c>
      <c r="B2984" s="53" t="inlineStr">
        <is>
          <t>WP-01314</t>
        </is>
      </c>
      <c r="C2984" s="53" t="inlineStr">
        <is>
          <t>TECH-049</t>
        </is>
      </c>
      <c r="D2984" s="53" t="inlineStr">
        <is>
          <t>Airframe</t>
        </is>
      </c>
      <c r="E2984" s="53" t="inlineStr">
        <is>
          <t>2025-03-02</t>
        </is>
      </c>
      <c r="F2984" s="53">
        <v>8.5</v>
      </c>
      <c r="G2984" s="53">
        <v>4</v>
      </c>
      <c r="H2984" s="51" t="str">
        <f>TEXT(tblLaborEntries[[#This Row],[Work date serial]]-WEEKDAY(tblLaborEntries[[#This Row],[Work date serial]],3),"yyyy-mm-dd")</f>
        <v>2025-02-24</v>
      </c>
      <c r="I2984" s="64">
        <f>DATEVALUE(tblLaborEntries[[#This Row],[Work date]])</f>
        <v>45718.0</v>
      </c>
    </row>
    <row r="2985" spans="1:9" ht="15" x14ac:dyDescent="0.25">
      <c r="A2985" s="53" t="inlineStr">
        <is>
          <t>LAB-002984</t>
        </is>
      </c>
      <c r="B2985" s="53" t="inlineStr">
        <is>
          <t>WP-01315</t>
        </is>
      </c>
      <c r="C2985" s="53" t="inlineStr">
        <is>
          <t>TECH-072</t>
        </is>
      </c>
      <c r="D2985" s="53" t="inlineStr">
        <is>
          <t>Powerplant</t>
        </is>
      </c>
      <c r="E2985" s="53" t="inlineStr">
        <is>
          <t>2025-09-17</t>
        </is>
      </c>
      <c r="F2985" s="53">
        <v>10.5</v>
      </c>
      <c r="G2985" s="53">
        <v>2.5</v>
      </c>
      <c r="H2985" s="51" t="str">
        <f>TEXT(tblLaborEntries[[#This Row],[Work date serial]]-WEEKDAY(tblLaborEntries[[#This Row],[Work date serial]],3),"yyyy-mm-dd")</f>
        <v>2025-09-15</v>
      </c>
      <c r="I2985" s="64">
        <f>DATEVALUE(tblLaborEntries[[#This Row],[Work date]])</f>
        <v>45917.0</v>
      </c>
    </row>
    <row r="2986" spans="1:9" ht="15" x14ac:dyDescent="0.25">
      <c r="A2986" s="53" t="inlineStr">
        <is>
          <t>LAB-002985</t>
        </is>
      </c>
      <c r="B2986" s="53" t="inlineStr">
        <is>
          <t>WP-01316</t>
        </is>
      </c>
      <c r="C2986" s="53" t="inlineStr">
        <is>
          <t>TECH-067</t>
        </is>
      </c>
      <c r="D2986" s="53" t="inlineStr">
        <is>
          <t>Airframe</t>
        </is>
      </c>
      <c r="E2986" s="53" t="inlineStr">
        <is>
          <t>2025-02-03</t>
        </is>
      </c>
      <c r="F2986" s="53">
        <v>1.6</v>
      </c>
      <c r="G2986" s="53">
        <v>0</v>
      </c>
      <c r="H2986" s="51" t="str">
        <f>TEXT(tblLaborEntries[[#This Row],[Work date serial]]-WEEKDAY(tblLaborEntries[[#This Row],[Work date serial]],3),"yyyy-mm-dd")</f>
        <v>2025-02-03</v>
      </c>
      <c r="I2986" s="64">
        <f>DATEVALUE(tblLaborEntries[[#This Row],[Work date]])</f>
        <v>45691.0</v>
      </c>
    </row>
    <row r="2987" spans="1:9" ht="15" x14ac:dyDescent="0.25">
      <c r="A2987" s="53" t="inlineStr">
        <is>
          <t>LAB-002986</t>
        </is>
      </c>
      <c r="B2987" s="53" t="inlineStr">
        <is>
          <t>WP-01316</t>
        </is>
      </c>
      <c r="C2987" s="53" t="inlineStr">
        <is>
          <t>TECH-001</t>
        </is>
      </c>
      <c r="D2987" s="53" t="inlineStr">
        <is>
          <t>Airframe</t>
        </is>
      </c>
      <c r="E2987" s="53" t="inlineStr">
        <is>
          <t>2025-02-04</t>
        </is>
      </c>
      <c r="F2987" s="53">
        <v>1.8</v>
      </c>
      <c r="G2987" s="53">
        <v>0</v>
      </c>
      <c r="H2987" s="51" t="str">
        <f>TEXT(tblLaborEntries[[#This Row],[Work date serial]]-WEEKDAY(tblLaborEntries[[#This Row],[Work date serial]],3),"yyyy-mm-dd")</f>
        <v>2025-02-03</v>
      </c>
      <c r="I2987" s="64">
        <f>DATEVALUE(tblLaborEntries[[#This Row],[Work date]])</f>
        <v>45692.0</v>
      </c>
    </row>
    <row r="2988" spans="1:9" ht="15" x14ac:dyDescent="0.25">
      <c r="A2988" s="53" t="inlineStr">
        <is>
          <t>LAB-002987</t>
        </is>
      </c>
      <c r="B2988" s="53" t="inlineStr">
        <is>
          <t>WP-01316</t>
        </is>
      </c>
      <c r="C2988" s="53" t="inlineStr">
        <is>
          <t>TECH-025</t>
        </is>
      </c>
      <c r="D2988" s="53" t="inlineStr">
        <is>
          <t>Airframe</t>
        </is>
      </c>
      <c r="E2988" s="53" t="inlineStr">
        <is>
          <t>2025-02-05</t>
        </is>
      </c>
      <c r="F2988" s="53">
        <v>1.9</v>
      </c>
      <c r="G2988" s="53">
        <v>0</v>
      </c>
      <c r="H2988" s="51" t="str">
        <f>TEXT(tblLaborEntries[[#This Row],[Work date serial]]-WEEKDAY(tblLaborEntries[[#This Row],[Work date serial]],3),"yyyy-mm-dd")</f>
        <v>2025-02-03</v>
      </c>
      <c r="I2988" s="64">
        <f>DATEVALUE(tblLaborEntries[[#This Row],[Work date]])</f>
        <v>45693.0</v>
      </c>
    </row>
    <row r="2989" spans="1:9" ht="15" x14ac:dyDescent="0.25">
      <c r="A2989" s="53" t="inlineStr">
        <is>
          <t>LAB-002988</t>
        </is>
      </c>
      <c r="B2989" s="53" t="inlineStr">
        <is>
          <t>WP-01317</t>
        </is>
      </c>
      <c r="C2989" s="53" t="inlineStr">
        <is>
          <t>TECH-056</t>
        </is>
      </c>
      <c r="D2989" s="53" t="inlineStr">
        <is>
          <t>Avionics</t>
        </is>
      </c>
      <c r="E2989" s="53" t="inlineStr">
        <is>
          <t>2024-07-01</t>
        </is>
      </c>
      <c r="F2989" s="53">
        <v>4.5</v>
      </c>
      <c r="G2989" s="53">
        <v>0</v>
      </c>
      <c r="H2989" s="51" t="str">
        <f>TEXT(tblLaborEntries[[#This Row],[Work date serial]]-WEEKDAY(tblLaborEntries[[#This Row],[Work date serial]],3),"yyyy-mm-dd")</f>
        <v>2024-07-01</v>
      </c>
      <c r="I2989" s="64">
        <f>DATEVALUE(tblLaborEntries[[#This Row],[Work date]])</f>
        <v>45474.0</v>
      </c>
    </row>
    <row r="2990" spans="1:9" ht="15" x14ac:dyDescent="0.25">
      <c r="A2990" s="53" t="inlineStr">
        <is>
          <t>LAB-002989</t>
        </is>
      </c>
      <c r="B2990" s="53" t="inlineStr">
        <is>
          <t>WP-01317</t>
        </is>
      </c>
      <c r="C2990" s="53" t="inlineStr">
        <is>
          <t>TECH-068</t>
        </is>
      </c>
      <c r="D2990" s="53" t="inlineStr">
        <is>
          <t>Avionics</t>
        </is>
      </c>
      <c r="E2990" s="53" t="inlineStr">
        <is>
          <t>2024-07-02</t>
        </is>
      </c>
      <c r="F2990" s="53">
        <v>5.5</v>
      </c>
      <c r="G2990" s="53">
        <v>1.8</v>
      </c>
      <c r="H2990" s="51" t="str">
        <f>TEXT(tblLaborEntries[[#This Row],[Work date serial]]-WEEKDAY(tblLaborEntries[[#This Row],[Work date serial]],3),"yyyy-mm-dd")</f>
        <v>2024-07-01</v>
      </c>
      <c r="I2990" s="64">
        <f>DATEVALUE(tblLaborEntries[[#This Row],[Work date]])</f>
        <v>45475.0</v>
      </c>
    </row>
    <row r="2991" spans="1:9" ht="15" x14ac:dyDescent="0.25">
      <c r="A2991" s="53" t="inlineStr">
        <is>
          <t>LAB-002990</t>
        </is>
      </c>
      <c r="B2991" s="53" t="inlineStr">
        <is>
          <t>WP-01318</t>
        </is>
      </c>
      <c r="C2991" s="53" t="inlineStr">
        <is>
          <t>TECH-014</t>
        </is>
      </c>
      <c r="D2991" s="53" t="inlineStr">
        <is>
          <t>Avionics</t>
        </is>
      </c>
      <c r="E2991" s="53" t="inlineStr">
        <is>
          <t>2024-09-10</t>
        </is>
      </c>
      <c r="F2991" s="53">
        <v>6.7</v>
      </c>
      <c r="G2991" s="53">
        <v>0</v>
      </c>
      <c r="H2991" s="51" t="str">
        <f>TEXT(tblLaborEntries[[#This Row],[Work date serial]]-WEEKDAY(tblLaborEntries[[#This Row],[Work date serial]],3),"yyyy-mm-dd")</f>
        <v>2024-09-09</v>
      </c>
      <c r="I2991" s="64">
        <f>DATEVALUE(tblLaborEntries[[#This Row],[Work date]])</f>
        <v>45545.0</v>
      </c>
    </row>
    <row r="2992" spans="1:9" ht="15" x14ac:dyDescent="0.25">
      <c r="A2992" s="53" t="inlineStr">
        <is>
          <t>LAB-002991</t>
        </is>
      </c>
      <c r="B2992" s="53" t="inlineStr">
        <is>
          <t>WP-01319</t>
        </is>
      </c>
      <c r="C2992" s="53" t="inlineStr">
        <is>
          <t>TECH-018</t>
        </is>
      </c>
      <c r="D2992" s="53" t="inlineStr">
        <is>
          <t>Powerplant</t>
        </is>
      </c>
      <c r="E2992" s="53" t="inlineStr">
        <is>
          <t>2024-08-06</t>
        </is>
      </c>
      <c r="F2992" s="53">
        <v>3.1</v>
      </c>
      <c r="G2992" s="53">
        <v>0</v>
      </c>
      <c r="H2992" s="51" t="str">
        <f>TEXT(tblLaborEntries[[#This Row],[Work date serial]]-WEEKDAY(tblLaborEntries[[#This Row],[Work date serial]],3),"yyyy-mm-dd")</f>
        <v>2024-08-05</v>
      </c>
      <c r="I2992" s="64">
        <f>DATEVALUE(tblLaborEntries[[#This Row],[Work date]])</f>
        <v>45510.0</v>
      </c>
    </row>
    <row r="2993" spans="1:9" ht="15" x14ac:dyDescent="0.25">
      <c r="A2993" s="53" t="inlineStr">
        <is>
          <t>LAB-002992</t>
        </is>
      </c>
      <c r="B2993" s="53" t="inlineStr">
        <is>
          <t>WP-01319</t>
        </is>
      </c>
      <c r="C2993" s="53" t="inlineStr">
        <is>
          <t>TECH-042</t>
        </is>
      </c>
      <c r="D2993" s="53" t="inlineStr">
        <is>
          <t>Powerplant</t>
        </is>
      </c>
      <c r="E2993" s="53" t="inlineStr">
        <is>
          <t>2024-08-07</t>
        </is>
      </c>
      <c r="F2993" s="53">
        <v>4.2</v>
      </c>
      <c r="G2993" s="53">
        <v>0</v>
      </c>
      <c r="H2993" s="51" t="str">
        <f>TEXT(tblLaborEntries[[#This Row],[Work date serial]]-WEEKDAY(tblLaborEntries[[#This Row],[Work date serial]],3),"yyyy-mm-dd")</f>
        <v>2024-08-05</v>
      </c>
      <c r="I2993" s="64">
        <f>DATEVALUE(tblLaborEntries[[#This Row],[Work date]])</f>
        <v>45511.0</v>
      </c>
    </row>
    <row r="2994" spans="1:9" ht="15" x14ac:dyDescent="0.25">
      <c r="A2994" s="53" t="inlineStr">
        <is>
          <t>LAB-002993</t>
        </is>
      </c>
      <c r="B2994" s="53" t="inlineStr">
        <is>
          <t>WP-01319</t>
        </is>
      </c>
      <c r="C2994" s="53" t="inlineStr">
        <is>
          <t>TECH-054</t>
        </is>
      </c>
      <c r="D2994" s="53" t="inlineStr">
        <is>
          <t>Powerplant</t>
        </is>
      </c>
      <c r="E2994" s="53" t="inlineStr">
        <is>
          <t>2024-08-08</t>
        </is>
      </c>
      <c r="F2994" s="53">
        <v>3.5</v>
      </c>
      <c r="G2994" s="53">
        <v>0</v>
      </c>
      <c r="H2994" s="51" t="str">
        <f>TEXT(tblLaborEntries[[#This Row],[Work date serial]]-WEEKDAY(tblLaborEntries[[#This Row],[Work date serial]],3),"yyyy-mm-dd")</f>
        <v>2024-08-05</v>
      </c>
      <c r="I2994" s="64">
        <f>DATEVALUE(tblLaborEntries[[#This Row],[Work date]])</f>
        <v>45512.0</v>
      </c>
    </row>
    <row r="2995" spans="1:9" ht="15" x14ac:dyDescent="0.25">
      <c r="A2995" s="53" t="inlineStr">
        <is>
          <t>LAB-002994</t>
        </is>
      </c>
      <c r="B2995" s="53" t="inlineStr">
        <is>
          <t>WP-01320</t>
        </is>
      </c>
      <c r="C2995" s="53" t="inlineStr">
        <is>
          <t>TECH-019</t>
        </is>
      </c>
      <c r="D2995" s="53" t="inlineStr">
        <is>
          <t>Airframe</t>
        </is>
      </c>
      <c r="E2995" s="53" t="inlineStr">
        <is>
          <t>2025-02-03</t>
        </is>
      </c>
      <c r="F2995" s="53">
        <v>2.1</v>
      </c>
      <c r="G2995" s="53">
        <v>0.1</v>
      </c>
      <c r="H2995" s="51" t="str">
        <f>TEXT(tblLaborEntries[[#This Row],[Work date serial]]-WEEKDAY(tblLaborEntries[[#This Row],[Work date serial]],3),"yyyy-mm-dd")</f>
        <v>2025-02-03</v>
      </c>
      <c r="I2995" s="64">
        <f>DATEVALUE(tblLaborEntries[[#This Row],[Work date]])</f>
        <v>45691.0</v>
      </c>
    </row>
    <row r="2996" spans="1:9" ht="15" x14ac:dyDescent="0.25">
      <c r="A2996" s="53" t="inlineStr">
        <is>
          <t>LAB-002995</t>
        </is>
      </c>
      <c r="B2996" s="53" t="inlineStr">
        <is>
          <t>WP-01321</t>
        </is>
      </c>
      <c r="C2996" s="53" t="inlineStr">
        <is>
          <t>TECH-063</t>
        </is>
      </c>
      <c r="D2996" s="53" t="inlineStr">
        <is>
          <t>Hydraulics</t>
        </is>
      </c>
      <c r="E2996" s="53" t="inlineStr">
        <is>
          <t>2025-07-21</t>
        </is>
      </c>
      <c r="F2996" s="53">
        <v>8.6</v>
      </c>
      <c r="G2996" s="53">
        <v>0.6</v>
      </c>
      <c r="H2996" s="51" t="str">
        <f>TEXT(tblLaborEntries[[#This Row],[Work date serial]]-WEEKDAY(tblLaborEntries[[#This Row],[Work date serial]],3),"yyyy-mm-dd")</f>
        <v>2025-07-21</v>
      </c>
      <c r="I2996" s="64">
        <f>DATEVALUE(tblLaborEntries[[#This Row],[Work date]])</f>
        <v>45859.0</v>
      </c>
    </row>
    <row r="2997" spans="1:9" ht="15" x14ac:dyDescent="0.25">
      <c r="A2997" s="53" t="inlineStr">
        <is>
          <t>LAB-002996</t>
        </is>
      </c>
      <c r="B2997" s="53" t="inlineStr">
        <is>
          <t>WP-01321</t>
        </is>
      </c>
      <c r="C2997" s="53" t="inlineStr">
        <is>
          <t>TECH-075</t>
        </is>
      </c>
      <c r="D2997" s="53" t="inlineStr">
        <is>
          <t>Hydraulics</t>
        </is>
      </c>
      <c r="E2997" s="53" t="inlineStr">
        <is>
          <t>2025-07-22</t>
        </is>
      </c>
      <c r="F2997" s="53">
        <v>5.3</v>
      </c>
      <c r="G2997" s="53">
        <v>0</v>
      </c>
      <c r="H2997" s="51" t="str">
        <f>TEXT(tblLaborEntries[[#This Row],[Work date serial]]-WEEKDAY(tblLaborEntries[[#This Row],[Work date serial]],3),"yyyy-mm-dd")</f>
        <v>2025-07-21</v>
      </c>
      <c r="I2997" s="64">
        <f>DATEVALUE(tblLaborEntries[[#This Row],[Work date]])</f>
        <v>45860.0</v>
      </c>
    </row>
    <row r="2998" spans="1:9" ht="15" x14ac:dyDescent="0.25">
      <c r="A2998" s="53" t="inlineStr">
        <is>
          <t>LAB-002997</t>
        </is>
      </c>
      <c r="B2998" s="53" t="inlineStr">
        <is>
          <t>WP-01321</t>
        </is>
      </c>
      <c r="C2998" s="53" t="inlineStr">
        <is>
          <t>TECH-003</t>
        </is>
      </c>
      <c r="D2998" s="53" t="inlineStr">
        <is>
          <t>Hydraulics</t>
        </is>
      </c>
      <c r="E2998" s="53" t="inlineStr">
        <is>
          <t>2025-07-23</t>
        </is>
      </c>
      <c r="F2998" s="53">
        <v>8</v>
      </c>
      <c r="G2998" s="53">
        <v>0</v>
      </c>
      <c r="H2998" s="51" t="str">
        <f>TEXT(tblLaborEntries[[#This Row],[Work date serial]]-WEEKDAY(tblLaborEntries[[#This Row],[Work date serial]],3),"yyyy-mm-dd")</f>
        <v>2025-07-21</v>
      </c>
      <c r="I2998" s="64">
        <f>DATEVALUE(tblLaborEntries[[#This Row],[Work date]])</f>
        <v>45861.0</v>
      </c>
    </row>
    <row r="2999" spans="1:9" ht="15" x14ac:dyDescent="0.25">
      <c r="A2999" s="53" t="inlineStr">
        <is>
          <t>LAB-002998</t>
        </is>
      </c>
      <c r="B2999" s="53" t="inlineStr">
        <is>
          <t>WP-01322</t>
        </is>
      </c>
      <c r="C2999" s="53" t="inlineStr">
        <is>
          <t>TECH-024</t>
        </is>
      </c>
      <c r="D2999" s="53" t="inlineStr">
        <is>
          <t>Powerplant</t>
        </is>
      </c>
      <c r="E2999" s="53" t="inlineStr">
        <is>
          <t>2024-03-04</t>
        </is>
      </c>
      <c r="F2999" s="53">
        <v>3.8</v>
      </c>
      <c r="G2999" s="53">
        <v>0</v>
      </c>
      <c r="H2999" s="51" t="str">
        <f>TEXT(tblLaborEntries[[#This Row],[Work date serial]]-WEEKDAY(tblLaborEntries[[#This Row],[Work date serial]],3),"yyyy-mm-dd")</f>
        <v>2024-03-04</v>
      </c>
      <c r="I2999" s="64">
        <f>DATEVALUE(tblLaborEntries[[#This Row],[Work date]])</f>
        <v>45355.0</v>
      </c>
    </row>
    <row r="3000" spans="1:9" ht="15" x14ac:dyDescent="0.25">
      <c r="A3000" s="53" t="inlineStr">
        <is>
          <t>LAB-002999</t>
        </is>
      </c>
      <c r="B3000" s="53" t="inlineStr">
        <is>
          <t>WP-01322</t>
        </is>
      </c>
      <c r="C3000" s="53" t="inlineStr">
        <is>
          <t>TECH-036</t>
        </is>
      </c>
      <c r="D3000" s="53" t="inlineStr">
        <is>
          <t>Powerplant</t>
        </is>
      </c>
      <c r="E3000" s="53" t="inlineStr">
        <is>
          <t>2024-03-05</t>
        </is>
      </c>
      <c r="F3000" s="53">
        <v>3.8</v>
      </c>
      <c r="G3000" s="53">
        <v>0</v>
      </c>
      <c r="H3000" s="51" t="str">
        <f>TEXT(tblLaborEntries[[#This Row],[Work date serial]]-WEEKDAY(tblLaborEntries[[#This Row],[Work date serial]],3),"yyyy-mm-dd")</f>
        <v>2024-03-04</v>
      </c>
      <c r="I3000" s="64">
        <f>DATEVALUE(tblLaborEntries[[#This Row],[Work date]])</f>
        <v>45356.0</v>
      </c>
    </row>
    <row r="3001" spans="1:9" ht="15" x14ac:dyDescent="0.25">
      <c r="A3001" s="53" t="inlineStr">
        <is>
          <t>LAB-003000</t>
        </is>
      </c>
      <c r="B3001" s="53" t="inlineStr">
        <is>
          <t>WP-01322</t>
        </is>
      </c>
      <c r="C3001" s="53" t="inlineStr">
        <is>
          <t>TECH-042</t>
        </is>
      </c>
      <c r="D3001" s="53" t="inlineStr">
        <is>
          <t>Powerplant</t>
        </is>
      </c>
      <c r="E3001" s="53" t="inlineStr">
        <is>
          <t>2024-03-06</t>
        </is>
      </c>
      <c r="F3001" s="53">
        <v>4.5</v>
      </c>
      <c r="G3001" s="53">
        <v>0</v>
      </c>
      <c r="H3001" s="51" t="str">
        <f>TEXT(tblLaborEntries[[#This Row],[Work date serial]]-WEEKDAY(tblLaborEntries[[#This Row],[Work date serial]],3),"yyyy-mm-dd")</f>
        <v>2024-03-04</v>
      </c>
      <c r="I3001" s="64">
        <f>DATEVALUE(tblLaborEntries[[#This Row],[Work date]])</f>
        <v>45357.0</v>
      </c>
    </row>
    <row r="3002" spans="1:9" ht="15" x14ac:dyDescent="0.25">
      <c r="A3002" s="53" t="inlineStr">
        <is>
          <t>LAB-003001</t>
        </is>
      </c>
      <c r="B3002" s="53" t="inlineStr">
        <is>
          <t>WP-01323</t>
        </is>
      </c>
      <c r="C3002" s="53" t="inlineStr">
        <is>
          <t>TECH-005</t>
        </is>
      </c>
      <c r="D3002" s="53" t="inlineStr">
        <is>
          <t>Structures</t>
        </is>
      </c>
      <c r="E3002" s="53" t="inlineStr">
        <is>
          <t>2024-07-09</t>
        </is>
      </c>
      <c r="F3002" s="53">
        <v>9.5</v>
      </c>
      <c r="G3002" s="53">
        <v>1.5</v>
      </c>
      <c r="H3002" s="51" t="str">
        <f>TEXT(tblLaborEntries[[#This Row],[Work date serial]]-WEEKDAY(tblLaborEntries[[#This Row],[Work date serial]],3),"yyyy-mm-dd")</f>
        <v>2024-07-08</v>
      </c>
      <c r="I3002" s="64">
        <f>DATEVALUE(tblLaborEntries[[#This Row],[Work date]])</f>
        <v>45482.0</v>
      </c>
    </row>
    <row r="3003" spans="1:9" ht="15" x14ac:dyDescent="0.25">
      <c r="A3003" s="53" t="inlineStr">
        <is>
          <t>LAB-003002</t>
        </is>
      </c>
      <c r="B3003" s="53" t="inlineStr">
        <is>
          <t>WP-01323</t>
        </is>
      </c>
      <c r="C3003" s="53" t="inlineStr">
        <is>
          <t>TECH-011</t>
        </is>
      </c>
      <c r="D3003" s="53" t="inlineStr">
        <is>
          <t>Structures</t>
        </is>
      </c>
      <c r="E3003" s="53" t="inlineStr">
        <is>
          <t>2024-07-09</t>
        </is>
      </c>
      <c r="F3003" s="53">
        <v>12</v>
      </c>
      <c r="G3003" s="53">
        <v>4</v>
      </c>
      <c r="H3003" s="51" t="str">
        <f>TEXT(tblLaborEntries[[#This Row],[Work date serial]]-WEEKDAY(tblLaborEntries[[#This Row],[Work date serial]],3),"yyyy-mm-dd")</f>
        <v>2024-07-08</v>
      </c>
      <c r="I3003" s="64">
        <f>DATEVALUE(tblLaborEntries[[#This Row],[Work date]])</f>
        <v>45482.0</v>
      </c>
    </row>
    <row r="3004" spans="1:9" ht="15" x14ac:dyDescent="0.25">
      <c r="A3004" s="53" t="inlineStr">
        <is>
          <t>LAB-003003</t>
        </is>
      </c>
      <c r="B3004" s="53" t="inlineStr">
        <is>
          <t>WP-01323</t>
        </is>
      </c>
      <c r="C3004" s="53" t="inlineStr">
        <is>
          <t>TECH-005</t>
        </is>
      </c>
      <c r="D3004" s="53" t="inlineStr">
        <is>
          <t>Structures</t>
        </is>
      </c>
      <c r="E3004" s="53" t="inlineStr">
        <is>
          <t>2024-07-10</t>
        </is>
      </c>
      <c r="F3004" s="53">
        <v>12</v>
      </c>
      <c r="G3004" s="53">
        <v>4</v>
      </c>
      <c r="H3004" s="51" t="str">
        <f>TEXT(tblLaborEntries[[#This Row],[Work date serial]]-WEEKDAY(tblLaborEntries[[#This Row],[Work date serial]],3),"yyyy-mm-dd")</f>
        <v>2024-07-08</v>
      </c>
      <c r="I3004" s="64">
        <f>DATEVALUE(tblLaborEntries[[#This Row],[Work date]])</f>
        <v>45483.0</v>
      </c>
    </row>
    <row r="3005" spans="1:9" ht="15" x14ac:dyDescent="0.25">
      <c r="A3005" s="53" t="inlineStr">
        <is>
          <t>LAB-003004</t>
        </is>
      </c>
      <c r="B3005" s="53" t="inlineStr">
        <is>
          <t>WP-01323</t>
        </is>
      </c>
      <c r="C3005" s="53" t="inlineStr">
        <is>
          <t>TECH-011</t>
        </is>
      </c>
      <c r="D3005" s="53" t="inlineStr">
        <is>
          <t>Structures</t>
        </is>
      </c>
      <c r="E3005" s="53" t="inlineStr">
        <is>
          <t>2024-07-10</t>
        </is>
      </c>
      <c r="F3005" s="53">
        <v>4.2</v>
      </c>
      <c r="G3005" s="53">
        <v>0</v>
      </c>
      <c r="H3005" s="51" t="str">
        <f>TEXT(tblLaborEntries[[#This Row],[Work date serial]]-WEEKDAY(tblLaborEntries[[#This Row],[Work date serial]],3),"yyyy-mm-dd")</f>
        <v>2024-07-08</v>
      </c>
      <c r="I3005" s="64">
        <f>DATEVALUE(tblLaborEntries[[#This Row],[Work date]])</f>
        <v>45483.0</v>
      </c>
    </row>
    <row r="3006" spans="1:9" ht="15" x14ac:dyDescent="0.25">
      <c r="A3006" s="53" t="inlineStr">
        <is>
          <t>LAB-003005</t>
        </is>
      </c>
      <c r="B3006" s="53" t="inlineStr">
        <is>
          <t>WP-01323</t>
        </is>
      </c>
      <c r="C3006" s="53" t="inlineStr">
        <is>
          <t>TECH-041</t>
        </is>
      </c>
      <c r="D3006" s="53" t="inlineStr">
        <is>
          <t>Structures</t>
        </is>
      </c>
      <c r="E3006" s="53" t="inlineStr">
        <is>
          <t>2024-07-10</t>
        </is>
      </c>
      <c r="F3006" s="53">
        <v>12</v>
      </c>
      <c r="G3006" s="53">
        <v>4</v>
      </c>
      <c r="H3006" s="51" t="str">
        <f>TEXT(tblLaborEntries[[#This Row],[Work date serial]]-WEEKDAY(tblLaborEntries[[#This Row],[Work date serial]],3),"yyyy-mm-dd")</f>
        <v>2024-07-08</v>
      </c>
      <c r="I3006" s="64">
        <f>DATEVALUE(tblLaborEntries[[#This Row],[Work date]])</f>
        <v>45483.0</v>
      </c>
    </row>
    <row r="3007" spans="1:9" ht="15" x14ac:dyDescent="0.25">
      <c r="A3007" s="53" t="inlineStr">
        <is>
          <t>LAB-003006</t>
        </is>
      </c>
      <c r="B3007" s="53" t="inlineStr">
        <is>
          <t>WP-01324</t>
        </is>
      </c>
      <c r="C3007" s="53" t="inlineStr">
        <is>
          <t>TECH-025</t>
        </is>
      </c>
      <c r="D3007" s="53" t="inlineStr">
        <is>
          <t>Airframe</t>
        </is>
      </c>
      <c r="E3007" s="53" t="inlineStr">
        <is>
          <t>2024-03-19</t>
        </is>
      </c>
      <c r="F3007" s="53">
        <v>6.6</v>
      </c>
      <c r="G3007" s="53">
        <v>0</v>
      </c>
      <c r="H3007" s="51" t="str">
        <f>TEXT(tblLaborEntries[[#This Row],[Work date serial]]-WEEKDAY(tblLaborEntries[[#This Row],[Work date serial]],3),"yyyy-mm-dd")</f>
        <v>2024-03-18</v>
      </c>
      <c r="I3007" s="64">
        <f>DATEVALUE(tblLaborEntries[[#This Row],[Work date]])</f>
        <v>45370.0</v>
      </c>
    </row>
    <row r="3008" spans="1:9" ht="15" x14ac:dyDescent="0.25">
      <c r="A3008" s="53" t="inlineStr">
        <is>
          <t>LAB-003007</t>
        </is>
      </c>
      <c r="B3008" s="53" t="inlineStr">
        <is>
          <t>WP-01325</t>
        </is>
      </c>
      <c r="C3008" s="53" t="inlineStr">
        <is>
          <t>TECH-017</t>
        </is>
      </c>
      <c r="D3008" s="53" t="inlineStr">
        <is>
          <t>Structures</t>
        </is>
      </c>
      <c r="E3008" s="53" t="inlineStr">
        <is>
          <t>2026-01-22</t>
        </is>
      </c>
      <c r="F3008" s="53">
        <v>6.9</v>
      </c>
      <c r="G3008" s="53">
        <v>0</v>
      </c>
      <c r="H3008" s="51" t="str">
        <f>TEXT(tblLaborEntries[[#This Row],[Work date serial]]-WEEKDAY(tblLaborEntries[[#This Row],[Work date serial]],3),"yyyy-mm-dd")</f>
        <v>2026-01-19</v>
      </c>
      <c r="I3008" s="64">
        <f>DATEVALUE(tblLaborEntries[[#This Row],[Work date]])</f>
        <v>46044.0</v>
      </c>
    </row>
    <row r="3009" spans="1:9" ht="15" x14ac:dyDescent="0.25">
      <c r="A3009" s="53" t="inlineStr">
        <is>
          <t>LAB-003008</t>
        </is>
      </c>
      <c r="B3009" s="53" t="inlineStr">
        <is>
          <t>WP-01325</t>
        </is>
      </c>
      <c r="C3009" s="53" t="inlineStr">
        <is>
          <t>TECH-005</t>
        </is>
      </c>
      <c r="D3009" s="53" t="inlineStr">
        <is>
          <t>Structures</t>
        </is>
      </c>
      <c r="E3009" s="53" t="inlineStr">
        <is>
          <t>2026-01-23</t>
        </is>
      </c>
      <c r="F3009" s="53">
        <v>12</v>
      </c>
      <c r="G3009" s="53">
        <v>4</v>
      </c>
      <c r="H3009" s="51" t="str">
        <f>TEXT(tblLaborEntries[[#This Row],[Work date serial]]-WEEKDAY(tblLaborEntries[[#This Row],[Work date serial]],3),"yyyy-mm-dd")</f>
        <v>2026-01-19</v>
      </c>
      <c r="I3009" s="64">
        <f>DATEVALUE(tblLaborEntries[[#This Row],[Work date]])</f>
        <v>46045.0</v>
      </c>
    </row>
    <row r="3010" spans="1:9" ht="15" x14ac:dyDescent="0.25">
      <c r="A3010" s="53" t="inlineStr">
        <is>
          <t>LAB-003009</t>
        </is>
      </c>
      <c r="B3010" s="53" t="inlineStr">
        <is>
          <t>WP-01325</t>
        </is>
      </c>
      <c r="C3010" s="53" t="inlineStr">
        <is>
          <t>TECH-011</t>
        </is>
      </c>
      <c r="D3010" s="53" t="inlineStr">
        <is>
          <t>Structures</t>
        </is>
      </c>
      <c r="E3010" s="53" t="inlineStr">
        <is>
          <t>2026-01-23</t>
        </is>
      </c>
      <c r="F3010" s="53">
        <v>12</v>
      </c>
      <c r="G3010" s="53">
        <v>4</v>
      </c>
      <c r="H3010" s="51" t="str">
        <f>TEXT(tblLaborEntries[[#This Row],[Work date serial]]-WEEKDAY(tblLaborEntries[[#This Row],[Work date serial]],3),"yyyy-mm-dd")</f>
        <v>2026-01-19</v>
      </c>
      <c r="I3010" s="64">
        <f>DATEVALUE(tblLaborEntries[[#This Row],[Work date]])</f>
        <v>46045.0</v>
      </c>
    </row>
    <row r="3011" spans="1:9" ht="15" x14ac:dyDescent="0.25">
      <c r="A3011" s="53" t="inlineStr">
        <is>
          <t>LAB-003010</t>
        </is>
      </c>
      <c r="B3011" s="53" t="inlineStr">
        <is>
          <t>WP-01325</t>
        </is>
      </c>
      <c r="C3011" s="53" t="inlineStr">
        <is>
          <t>TECH-017</t>
        </is>
      </c>
      <c r="D3011" s="53" t="inlineStr">
        <is>
          <t>Structures</t>
        </is>
      </c>
      <c r="E3011" s="53" t="inlineStr">
        <is>
          <t>2026-01-23</t>
        </is>
      </c>
      <c r="F3011" s="53">
        <v>12</v>
      </c>
      <c r="G3011" s="53">
        <v>4</v>
      </c>
      <c r="H3011" s="51" t="str">
        <f>TEXT(tblLaborEntries[[#This Row],[Work date serial]]-WEEKDAY(tblLaborEntries[[#This Row],[Work date serial]],3),"yyyy-mm-dd")</f>
        <v>2026-01-19</v>
      </c>
      <c r="I3011" s="64">
        <f>DATEVALUE(tblLaborEntries[[#This Row],[Work date]])</f>
        <v>46045.0</v>
      </c>
    </row>
    <row r="3012" spans="1:9" ht="15" x14ac:dyDescent="0.25">
      <c r="A3012" s="53" t="inlineStr">
        <is>
          <t>LAB-003011</t>
        </is>
      </c>
      <c r="B3012" s="53" t="inlineStr">
        <is>
          <t>WP-01326</t>
        </is>
      </c>
      <c r="C3012" s="53" t="inlineStr">
        <is>
          <t>TECH-032</t>
        </is>
      </c>
      <c r="D3012" s="53" t="inlineStr">
        <is>
          <t>Avionics</t>
        </is>
      </c>
      <c r="E3012" s="53" t="inlineStr">
        <is>
          <t>2024-09-24</t>
        </is>
      </c>
      <c r="F3012" s="53">
        <v>7.7</v>
      </c>
      <c r="G3012" s="53">
        <v>0</v>
      </c>
      <c r="H3012" s="51" t="str">
        <f>TEXT(tblLaborEntries[[#This Row],[Work date serial]]-WEEKDAY(tblLaborEntries[[#This Row],[Work date serial]],3),"yyyy-mm-dd")</f>
        <v>2024-09-23</v>
      </c>
      <c r="I3012" s="64">
        <f>DATEVALUE(tblLaborEntries[[#This Row],[Work date]])</f>
        <v>45559.0</v>
      </c>
    </row>
    <row r="3013" spans="1:9" ht="15" x14ac:dyDescent="0.25">
      <c r="A3013" s="53" t="inlineStr">
        <is>
          <t>LAB-003012</t>
        </is>
      </c>
      <c r="B3013" s="53" t="inlineStr">
        <is>
          <t>WP-01327</t>
        </is>
      </c>
      <c r="C3013" s="53" t="inlineStr">
        <is>
          <t>TECH-073</t>
        </is>
      </c>
      <c r="D3013" s="53" t="inlineStr">
        <is>
          <t>Airframe</t>
        </is>
      </c>
      <c r="E3013" s="53" t="inlineStr">
        <is>
          <t>2025-08-23</t>
        </is>
      </c>
      <c r="F3013" s="53">
        <v>1.5</v>
      </c>
      <c r="G3013" s="53">
        <v>0</v>
      </c>
      <c r="H3013" s="51" t="str">
        <f>TEXT(tblLaborEntries[[#This Row],[Work date serial]]-WEEKDAY(tblLaborEntries[[#This Row],[Work date serial]],3),"yyyy-mm-dd")</f>
        <v>2025-08-18</v>
      </c>
      <c r="I3013" s="64">
        <f>DATEVALUE(tblLaborEntries[[#This Row],[Work date]])</f>
        <v>45892.0</v>
      </c>
    </row>
    <row r="3014" spans="1:9" ht="15" x14ac:dyDescent="0.25">
      <c r="A3014" s="53" t="inlineStr">
        <is>
          <t>LAB-003013</t>
        </is>
      </c>
      <c r="B3014" s="53" t="inlineStr">
        <is>
          <t>WP-01327</t>
        </is>
      </c>
      <c r="C3014" s="53" t="inlineStr">
        <is>
          <t>TECH-019</t>
        </is>
      </c>
      <c r="D3014" s="53" t="inlineStr">
        <is>
          <t>Airframe</t>
        </is>
      </c>
      <c r="E3014" s="53" t="inlineStr">
        <is>
          <t>2025-08-24</t>
        </is>
      </c>
      <c r="F3014" s="53">
        <v>1</v>
      </c>
      <c r="G3014" s="53">
        <v>0</v>
      </c>
      <c r="H3014" s="51" t="str">
        <f>TEXT(tblLaborEntries[[#This Row],[Work date serial]]-WEEKDAY(tblLaborEntries[[#This Row],[Work date serial]],3),"yyyy-mm-dd")</f>
        <v>2025-08-18</v>
      </c>
      <c r="I3014" s="64">
        <f>DATEVALUE(tblLaborEntries[[#This Row],[Work date]])</f>
        <v>45893.0</v>
      </c>
    </row>
    <row r="3015" spans="1:9" ht="15" x14ac:dyDescent="0.25">
      <c r="A3015" s="53" t="inlineStr">
        <is>
          <t>LAB-003014</t>
        </is>
      </c>
      <c r="B3015" s="53" t="inlineStr">
        <is>
          <t>WP-01327</t>
        </is>
      </c>
      <c r="C3015" s="53" t="inlineStr">
        <is>
          <t>TECH-061</t>
        </is>
      </c>
      <c r="D3015" s="53" t="inlineStr">
        <is>
          <t>Airframe</t>
        </is>
      </c>
      <c r="E3015" s="53" t="inlineStr">
        <is>
          <t>2025-08-25</t>
        </is>
      </c>
      <c r="F3015" s="53">
        <v>1.4</v>
      </c>
      <c r="G3015" s="53">
        <v>0</v>
      </c>
      <c r="H3015" s="51" t="str">
        <f>TEXT(tblLaborEntries[[#This Row],[Work date serial]]-WEEKDAY(tblLaborEntries[[#This Row],[Work date serial]],3),"yyyy-mm-dd")</f>
        <v>2025-08-25</v>
      </c>
      <c r="I3015" s="64">
        <f>DATEVALUE(tblLaborEntries[[#This Row],[Work date]])</f>
        <v>45894.0</v>
      </c>
    </row>
    <row r="3016" spans="1:9" ht="15" x14ac:dyDescent="0.25">
      <c r="A3016" s="53" t="inlineStr">
        <is>
          <t>LAB-003015</t>
        </is>
      </c>
      <c r="B3016" s="53" t="inlineStr">
        <is>
          <t>WP-01328</t>
        </is>
      </c>
      <c r="C3016" s="53" t="inlineStr">
        <is>
          <t>TECH-003</t>
        </is>
      </c>
      <c r="D3016" s="53" t="inlineStr">
        <is>
          <t>Hydraulics</t>
        </is>
      </c>
      <c r="E3016" s="53" t="inlineStr">
        <is>
          <t>2024-09-29</t>
        </is>
      </c>
      <c r="F3016" s="53">
        <v>5.1</v>
      </c>
      <c r="G3016" s="53">
        <v>0</v>
      </c>
      <c r="H3016" s="51" t="str">
        <f>TEXT(tblLaborEntries[[#This Row],[Work date serial]]-WEEKDAY(tblLaborEntries[[#This Row],[Work date serial]],3),"yyyy-mm-dd")</f>
        <v>2024-09-23</v>
      </c>
      <c r="I3016" s="64">
        <f>DATEVALUE(tblLaborEntries[[#This Row],[Work date]])</f>
        <v>45564.0</v>
      </c>
    </row>
    <row r="3017" spans="1:9" ht="15" x14ac:dyDescent="0.25">
      <c r="A3017" s="53" t="inlineStr">
        <is>
          <t>LAB-003016</t>
        </is>
      </c>
      <c r="B3017" s="53" t="inlineStr">
        <is>
          <t>WP-01328</t>
        </is>
      </c>
      <c r="C3017" s="53" t="inlineStr">
        <is>
          <t>TECH-021</t>
        </is>
      </c>
      <c r="D3017" s="53" t="inlineStr">
        <is>
          <t>Hydraulics</t>
        </is>
      </c>
      <c r="E3017" s="53" t="inlineStr">
        <is>
          <t>2024-09-30</t>
        </is>
      </c>
      <c r="F3017" s="53">
        <v>7.7</v>
      </c>
      <c r="G3017" s="53">
        <v>0</v>
      </c>
      <c r="H3017" s="51" t="str">
        <f>TEXT(tblLaborEntries[[#This Row],[Work date serial]]-WEEKDAY(tblLaborEntries[[#This Row],[Work date serial]],3),"yyyy-mm-dd")</f>
        <v>2024-09-30</v>
      </c>
      <c r="I3017" s="64">
        <f>DATEVALUE(tblLaborEntries[[#This Row],[Work date]])</f>
        <v>45565.0</v>
      </c>
    </row>
    <row r="3018" spans="1:9" ht="15" x14ac:dyDescent="0.25">
      <c r="A3018" s="53" t="inlineStr">
        <is>
          <t>LAB-003017</t>
        </is>
      </c>
      <c r="B3018" s="53" t="inlineStr">
        <is>
          <t>WP-01328</t>
        </is>
      </c>
      <c r="C3018" s="53" t="inlineStr">
        <is>
          <t>TECH-075</t>
        </is>
      </c>
      <c r="D3018" s="53" t="inlineStr">
        <is>
          <t>Hydraulics</t>
        </is>
      </c>
      <c r="E3018" s="53" t="inlineStr">
        <is>
          <t>2024-10-01</t>
        </is>
      </c>
      <c r="F3018" s="53">
        <v>5.8</v>
      </c>
      <c r="G3018" s="53">
        <v>0</v>
      </c>
      <c r="H3018" s="51" t="str">
        <f>TEXT(tblLaborEntries[[#This Row],[Work date serial]]-WEEKDAY(tblLaborEntries[[#This Row],[Work date serial]],3),"yyyy-mm-dd")</f>
        <v>2024-09-30</v>
      </c>
      <c r="I3018" s="64">
        <f>DATEVALUE(tblLaborEntries[[#This Row],[Work date]])</f>
        <v>45566.0</v>
      </c>
    </row>
    <row r="3019" spans="1:9" ht="15" x14ac:dyDescent="0.25">
      <c r="A3019" s="53" t="inlineStr">
        <is>
          <t>LAB-003018</t>
        </is>
      </c>
      <c r="B3019" s="53" t="inlineStr">
        <is>
          <t>WP-01329</t>
        </is>
      </c>
      <c r="C3019" s="53" t="inlineStr">
        <is>
          <t>TECH-026</t>
        </is>
      </c>
      <c r="D3019" s="53" t="inlineStr">
        <is>
          <t>Avionics</t>
        </is>
      </c>
      <c r="E3019" s="53" t="inlineStr">
        <is>
          <t>2024-01-31</t>
        </is>
      </c>
      <c r="F3019" s="53">
        <v>5.2</v>
      </c>
      <c r="G3019" s="53">
        <v>0</v>
      </c>
      <c r="H3019" s="51" t="str">
        <f>TEXT(tblLaborEntries[[#This Row],[Work date serial]]-WEEKDAY(tblLaborEntries[[#This Row],[Work date serial]],3),"yyyy-mm-dd")</f>
        <v>2024-01-29</v>
      </c>
      <c r="I3019" s="64">
        <f>DATEVALUE(tblLaborEntries[[#This Row],[Work date]])</f>
        <v>45322.0</v>
      </c>
    </row>
    <row r="3020" spans="1:9" ht="15" x14ac:dyDescent="0.25">
      <c r="A3020" s="53" t="inlineStr">
        <is>
          <t>LAB-003019</t>
        </is>
      </c>
      <c r="B3020" s="53" t="inlineStr">
        <is>
          <t>WP-01329</t>
        </is>
      </c>
      <c r="C3020" s="53" t="inlineStr">
        <is>
          <t>TECH-056</t>
        </is>
      </c>
      <c r="D3020" s="53" t="inlineStr">
        <is>
          <t>Avionics</t>
        </is>
      </c>
      <c r="E3020" s="53" t="inlineStr">
        <is>
          <t>2024-02-01</t>
        </is>
      </c>
      <c r="F3020" s="53">
        <v>5.6</v>
      </c>
      <c r="G3020" s="53">
        <v>0</v>
      </c>
      <c r="H3020" s="51" t="str">
        <f>TEXT(tblLaborEntries[[#This Row],[Work date serial]]-WEEKDAY(tblLaborEntries[[#This Row],[Work date serial]],3),"yyyy-mm-dd")</f>
        <v>2024-01-29</v>
      </c>
      <c r="I3020" s="64">
        <f>DATEVALUE(tblLaborEntries[[#This Row],[Work date]])</f>
        <v>45323.0</v>
      </c>
    </row>
    <row r="3021" spans="1:9" ht="15" x14ac:dyDescent="0.25">
      <c r="A3021" s="53" t="inlineStr">
        <is>
          <t>LAB-003020</t>
        </is>
      </c>
      <c r="B3021" s="53" t="inlineStr">
        <is>
          <t>WP-01330</t>
        </is>
      </c>
      <c r="C3021" s="53" t="inlineStr">
        <is>
          <t>TECH-049</t>
        </is>
      </c>
      <c r="D3021" s="53" t="inlineStr">
        <is>
          <t>Airframe</t>
        </is>
      </c>
      <c r="E3021" s="53" t="inlineStr">
        <is>
          <t>2025-01-28</t>
        </is>
      </c>
      <c r="F3021" s="53">
        <v>1.7</v>
      </c>
      <c r="G3021" s="53">
        <v>0</v>
      </c>
      <c r="H3021" s="51" t="str">
        <f>TEXT(tblLaborEntries[[#This Row],[Work date serial]]-WEEKDAY(tblLaborEntries[[#This Row],[Work date serial]],3),"yyyy-mm-dd")</f>
        <v>2025-01-27</v>
      </c>
      <c r="I3021" s="64">
        <f>DATEVALUE(tblLaborEntries[[#This Row],[Work date]])</f>
        <v>45685.0</v>
      </c>
    </row>
    <row r="3022" spans="1:9" ht="15" x14ac:dyDescent="0.25">
      <c r="A3022" s="53" t="inlineStr">
        <is>
          <t>LAB-003021</t>
        </is>
      </c>
      <c r="B3022" s="53" t="inlineStr">
        <is>
          <t>WP-01330</t>
        </is>
      </c>
      <c r="C3022" s="53" t="inlineStr">
        <is>
          <t>TECH-025</t>
        </is>
      </c>
      <c r="D3022" s="53" t="inlineStr">
        <is>
          <t>Airframe</t>
        </is>
      </c>
      <c r="E3022" s="53" t="inlineStr">
        <is>
          <t>2025-01-29</t>
        </is>
      </c>
      <c r="F3022" s="53">
        <v>1.2</v>
      </c>
      <c r="G3022" s="53">
        <v>0</v>
      </c>
      <c r="H3022" s="51" t="str">
        <f>TEXT(tblLaborEntries[[#This Row],[Work date serial]]-WEEKDAY(tblLaborEntries[[#This Row],[Work date serial]],3),"yyyy-mm-dd")</f>
        <v>2025-01-27</v>
      </c>
      <c r="I3022" s="64">
        <f>DATEVALUE(tblLaborEntries[[#This Row],[Work date]])</f>
        <v>45686.0</v>
      </c>
    </row>
    <row r="3023" spans="1:9" ht="15" x14ac:dyDescent="0.25">
      <c r="A3023" s="53" t="inlineStr">
        <is>
          <t>LAB-003022</t>
        </is>
      </c>
      <c r="B3023" s="53" t="inlineStr">
        <is>
          <t>WP-01330</t>
        </is>
      </c>
      <c r="C3023" s="53" t="inlineStr">
        <is>
          <t>TECH-025</t>
        </is>
      </c>
      <c r="D3023" s="53" t="inlineStr">
        <is>
          <t>Airframe</t>
        </is>
      </c>
      <c r="E3023" s="53" t="inlineStr">
        <is>
          <t>2025-01-30</t>
        </is>
      </c>
      <c r="F3023" s="53">
        <v>1.7</v>
      </c>
      <c r="G3023" s="53">
        <v>0</v>
      </c>
      <c r="H3023" s="51" t="str">
        <f>TEXT(tblLaborEntries[[#This Row],[Work date serial]]-WEEKDAY(tblLaborEntries[[#This Row],[Work date serial]],3),"yyyy-mm-dd")</f>
        <v>2025-01-27</v>
      </c>
      <c r="I3023" s="64">
        <f>DATEVALUE(tblLaborEntries[[#This Row],[Work date]])</f>
        <v>45687.0</v>
      </c>
    </row>
    <row r="3024" spans="1:9" ht="15" x14ac:dyDescent="0.25">
      <c r="A3024" s="53" t="inlineStr">
        <is>
          <t>LAB-003023</t>
        </is>
      </c>
      <c r="B3024" s="53" t="inlineStr">
        <is>
          <t>WP-01331</t>
        </is>
      </c>
      <c r="C3024" s="53" t="inlineStr">
        <is>
          <t>TECH-008</t>
        </is>
      </c>
      <c r="D3024" s="53" t="inlineStr">
        <is>
          <t>Avionics</t>
        </is>
      </c>
      <c r="E3024" s="53" t="inlineStr">
        <is>
          <t>2024-11-21</t>
        </is>
      </c>
      <c r="F3024" s="53">
        <v>3.1</v>
      </c>
      <c r="G3024" s="53">
        <v>0</v>
      </c>
      <c r="H3024" s="51" t="str">
        <f>TEXT(tblLaborEntries[[#This Row],[Work date serial]]-WEEKDAY(tblLaborEntries[[#This Row],[Work date serial]],3),"yyyy-mm-dd")</f>
        <v>2024-11-18</v>
      </c>
      <c r="I3024" s="64">
        <f>DATEVALUE(tblLaborEntries[[#This Row],[Work date]])</f>
        <v>45617.0</v>
      </c>
    </row>
    <row r="3025" spans="1:9" ht="15" x14ac:dyDescent="0.25">
      <c r="A3025" s="53" t="inlineStr">
        <is>
          <t>LAB-003024</t>
        </is>
      </c>
      <c r="B3025" s="53" t="inlineStr">
        <is>
          <t>WP-01331</t>
        </is>
      </c>
      <c r="C3025" s="53" t="inlineStr">
        <is>
          <t>TECH-062</t>
        </is>
      </c>
      <c r="D3025" s="53" t="inlineStr">
        <is>
          <t>Avionics</t>
        </is>
      </c>
      <c r="E3025" s="53" t="inlineStr">
        <is>
          <t>2024-11-21</t>
        </is>
      </c>
      <c r="F3025" s="53">
        <v>12</v>
      </c>
      <c r="G3025" s="53">
        <v>4</v>
      </c>
      <c r="H3025" s="51" t="str">
        <f>TEXT(tblLaborEntries[[#This Row],[Work date serial]]-WEEKDAY(tblLaborEntries[[#This Row],[Work date serial]],3),"yyyy-mm-dd")</f>
        <v>2024-11-18</v>
      </c>
      <c r="I3025" s="64">
        <f>DATEVALUE(tblLaborEntries[[#This Row],[Work date]])</f>
        <v>45617.0</v>
      </c>
    </row>
    <row r="3026" spans="1:9" ht="15" x14ac:dyDescent="0.25">
      <c r="A3026" s="53" t="inlineStr">
        <is>
          <t>LAB-003025</t>
        </is>
      </c>
      <c r="B3026" s="53" t="inlineStr">
        <is>
          <t>WP-01332</t>
        </is>
      </c>
      <c r="C3026" s="53" t="inlineStr">
        <is>
          <t>TECH-067</t>
        </is>
      </c>
      <c r="D3026" s="53" t="inlineStr">
        <is>
          <t>Airframe</t>
        </is>
      </c>
      <c r="E3026" s="53" t="inlineStr">
        <is>
          <t>2024-03-24</t>
        </is>
      </c>
      <c r="F3026" s="53">
        <v>1.1</v>
      </c>
      <c r="G3026" s="53">
        <v>0</v>
      </c>
      <c r="H3026" s="51" t="str">
        <f>TEXT(tblLaborEntries[[#This Row],[Work date serial]]-WEEKDAY(tblLaborEntries[[#This Row],[Work date serial]],3),"yyyy-mm-dd")</f>
        <v>2024-03-18</v>
      </c>
      <c r="I3026" s="64">
        <f>DATEVALUE(tblLaborEntries[[#This Row],[Work date]])</f>
        <v>45375.0</v>
      </c>
    </row>
    <row r="3027" spans="1:9" ht="15" x14ac:dyDescent="0.25">
      <c r="A3027" s="53" t="inlineStr">
        <is>
          <t>LAB-003026</t>
        </is>
      </c>
      <c r="B3027" s="53" t="inlineStr">
        <is>
          <t>WP-01332</t>
        </is>
      </c>
      <c r="C3027" s="53" t="inlineStr">
        <is>
          <t>TECH-037</t>
        </is>
      </c>
      <c r="D3027" s="53" t="inlineStr">
        <is>
          <t>Airframe</t>
        </is>
      </c>
      <c r="E3027" s="53" t="inlineStr">
        <is>
          <t>2024-03-25</t>
        </is>
      </c>
      <c r="F3027" s="53">
        <v>1.4</v>
      </c>
      <c r="G3027" s="53">
        <v>0</v>
      </c>
      <c r="H3027" s="51" t="str">
        <f>TEXT(tblLaborEntries[[#This Row],[Work date serial]]-WEEKDAY(tblLaborEntries[[#This Row],[Work date serial]],3),"yyyy-mm-dd")</f>
        <v>2024-03-25</v>
      </c>
      <c r="I3027" s="64">
        <f>DATEVALUE(tblLaborEntries[[#This Row],[Work date]])</f>
        <v>45376.0</v>
      </c>
    </row>
    <row r="3028" spans="1:9" ht="15" x14ac:dyDescent="0.25">
      <c r="A3028" s="53" t="inlineStr">
        <is>
          <t>LAB-003027</t>
        </is>
      </c>
      <c r="B3028" s="53" t="inlineStr">
        <is>
          <t>WP-01332</t>
        </is>
      </c>
      <c r="C3028" s="53" t="inlineStr">
        <is>
          <t>TECH-061</t>
        </is>
      </c>
      <c r="D3028" s="53" t="inlineStr">
        <is>
          <t>Airframe</t>
        </is>
      </c>
      <c r="E3028" s="53" t="inlineStr">
        <is>
          <t>2024-03-26</t>
        </is>
      </c>
      <c r="F3028" s="53">
        <v>1.6</v>
      </c>
      <c r="G3028" s="53">
        <v>0</v>
      </c>
      <c r="H3028" s="51" t="str">
        <f>TEXT(tblLaborEntries[[#This Row],[Work date serial]]-WEEKDAY(tblLaborEntries[[#This Row],[Work date serial]],3),"yyyy-mm-dd")</f>
        <v>2024-03-25</v>
      </c>
      <c r="I3028" s="64">
        <f>DATEVALUE(tblLaborEntries[[#This Row],[Work date]])</f>
        <v>45377.0</v>
      </c>
    </row>
    <row r="3029" spans="1:9" ht="15" x14ac:dyDescent="0.25">
      <c r="A3029" s="53" t="inlineStr">
        <is>
          <t>LAB-003028</t>
        </is>
      </c>
      <c r="B3029" s="53" t="inlineStr">
        <is>
          <t>WP-01333</t>
        </is>
      </c>
      <c r="C3029" s="53" t="inlineStr">
        <is>
          <t>TECH-070</t>
        </is>
      </c>
      <c r="D3029" s="53" t="inlineStr">
        <is>
          <t>Electrical</t>
        </is>
      </c>
      <c r="E3029" s="53" t="inlineStr">
        <is>
          <t>2024-12-13</t>
        </is>
      </c>
      <c r="F3029" s="53">
        <v>6</v>
      </c>
      <c r="G3029" s="53">
        <v>0</v>
      </c>
      <c r="H3029" s="51" t="str">
        <f>TEXT(tblLaborEntries[[#This Row],[Work date serial]]-WEEKDAY(tblLaborEntries[[#This Row],[Work date serial]],3),"yyyy-mm-dd")</f>
        <v>2024-12-09</v>
      </c>
      <c r="I3029" s="64">
        <f>DATEVALUE(tblLaborEntries[[#This Row],[Work date]])</f>
        <v>45639.0</v>
      </c>
    </row>
    <row r="3030" spans="1:9" ht="15" x14ac:dyDescent="0.25">
      <c r="A3030" s="53" t="inlineStr">
        <is>
          <t>LAB-003029</t>
        </is>
      </c>
      <c r="B3030" s="53" t="inlineStr">
        <is>
          <t>WP-01333</t>
        </is>
      </c>
      <c r="C3030" s="53" t="inlineStr">
        <is>
          <t>TECH-064</t>
        </is>
      </c>
      <c r="D3030" s="53" t="inlineStr">
        <is>
          <t>Electrical</t>
        </is>
      </c>
      <c r="E3030" s="53" t="inlineStr">
        <is>
          <t>2024-12-14</t>
        </is>
      </c>
      <c r="F3030" s="53">
        <v>6.7</v>
      </c>
      <c r="G3030" s="53">
        <v>0</v>
      </c>
      <c r="H3030" s="51" t="str">
        <f>TEXT(tblLaborEntries[[#This Row],[Work date serial]]-WEEKDAY(tblLaborEntries[[#This Row],[Work date serial]],3),"yyyy-mm-dd")</f>
        <v>2024-12-09</v>
      </c>
      <c r="I3030" s="64">
        <f>DATEVALUE(tblLaborEntries[[#This Row],[Work date]])</f>
        <v>45640.0</v>
      </c>
    </row>
    <row r="3031" spans="1:9" ht="15" x14ac:dyDescent="0.25">
      <c r="A3031" s="53" t="inlineStr">
        <is>
          <t>LAB-003030</t>
        </is>
      </c>
      <c r="B3031" s="53" t="inlineStr">
        <is>
          <t>WP-01333</t>
        </is>
      </c>
      <c r="C3031" s="53" t="inlineStr">
        <is>
          <t>TECH-040</t>
        </is>
      </c>
      <c r="D3031" s="53" t="inlineStr">
        <is>
          <t>Electrical</t>
        </is>
      </c>
      <c r="E3031" s="53" t="inlineStr">
        <is>
          <t>2024-12-15</t>
        </is>
      </c>
      <c r="F3031" s="53">
        <v>7.9</v>
      </c>
      <c r="G3031" s="53">
        <v>0</v>
      </c>
      <c r="H3031" s="51" t="str">
        <f>TEXT(tblLaborEntries[[#This Row],[Work date serial]]-WEEKDAY(tblLaborEntries[[#This Row],[Work date serial]],3),"yyyy-mm-dd")</f>
        <v>2024-12-09</v>
      </c>
      <c r="I3031" s="64">
        <f>DATEVALUE(tblLaborEntries[[#This Row],[Work date]])</f>
        <v>45641.0</v>
      </c>
    </row>
    <row r="3032" spans="1:9" ht="15" x14ac:dyDescent="0.25">
      <c r="A3032" s="53" t="inlineStr">
        <is>
          <t>LAB-003031</t>
        </is>
      </c>
      <c r="B3032" s="53" t="inlineStr">
        <is>
          <t>WP-01334</t>
        </is>
      </c>
      <c r="C3032" s="53" t="inlineStr">
        <is>
          <t>TECH-055</t>
        </is>
      </c>
      <c r="D3032" s="53" t="inlineStr">
        <is>
          <t>Airframe</t>
        </is>
      </c>
      <c r="E3032" s="53" t="inlineStr">
        <is>
          <t>2025-10-20</t>
        </is>
      </c>
      <c r="F3032" s="53">
        <v>10.4</v>
      </c>
      <c r="G3032" s="53">
        <v>2.4</v>
      </c>
      <c r="H3032" s="51" t="str">
        <f>TEXT(tblLaborEntries[[#This Row],[Work date serial]]-WEEKDAY(tblLaborEntries[[#This Row],[Work date serial]],3),"yyyy-mm-dd")</f>
        <v>2025-10-20</v>
      </c>
      <c r="I3032" s="64">
        <f>DATEVALUE(tblLaborEntries[[#This Row],[Work date]])</f>
        <v>45950.0</v>
      </c>
    </row>
    <row r="3033" spans="1:9" ht="15" x14ac:dyDescent="0.25">
      <c r="A3033" s="53" t="inlineStr">
        <is>
          <t>LAB-003032</t>
        </is>
      </c>
      <c r="B3033" s="53" t="inlineStr">
        <is>
          <t>WP-01335</t>
        </is>
      </c>
      <c r="C3033" s="53" t="inlineStr">
        <is>
          <t>TECH-073</t>
        </is>
      </c>
      <c r="D3033" s="53" t="inlineStr">
        <is>
          <t>Airframe</t>
        </is>
      </c>
      <c r="E3033" s="53" t="inlineStr">
        <is>
          <t>2025-05-03</t>
        </is>
      </c>
      <c r="F3033" s="53">
        <v>4.8</v>
      </c>
      <c r="G3033" s="53">
        <v>0</v>
      </c>
      <c r="H3033" s="51" t="str">
        <f>TEXT(tblLaborEntries[[#This Row],[Work date serial]]-WEEKDAY(tblLaborEntries[[#This Row],[Work date serial]],3),"yyyy-mm-dd")</f>
        <v>2025-04-28</v>
      </c>
      <c r="I3033" s="64">
        <f>DATEVALUE(tblLaborEntries[[#This Row],[Work date]])</f>
        <v>45780.0</v>
      </c>
    </row>
    <row r="3034" spans="1:9" ht="15" x14ac:dyDescent="0.25">
      <c r="A3034" s="53" t="inlineStr">
        <is>
          <t>LAB-003033</t>
        </is>
      </c>
      <c r="B3034" s="53" t="inlineStr">
        <is>
          <t>WP-01335</t>
        </is>
      </c>
      <c r="C3034" s="53" t="inlineStr">
        <is>
          <t>TECH-049</t>
        </is>
      </c>
      <c r="D3034" s="53" t="inlineStr">
        <is>
          <t>Airframe</t>
        </is>
      </c>
      <c r="E3034" s="53" t="inlineStr">
        <is>
          <t>2025-05-04</t>
        </is>
      </c>
      <c r="F3034" s="53">
        <v>6.8</v>
      </c>
      <c r="G3034" s="53">
        <v>0</v>
      </c>
      <c r="H3034" s="51" t="str">
        <f>TEXT(tblLaborEntries[[#This Row],[Work date serial]]-WEEKDAY(tblLaborEntries[[#This Row],[Work date serial]],3),"yyyy-mm-dd")</f>
        <v>2025-04-28</v>
      </c>
      <c r="I3034" s="64">
        <f>DATEVALUE(tblLaborEntries[[#This Row],[Work date]])</f>
        <v>45781.0</v>
      </c>
    </row>
    <row r="3035" spans="1:9" ht="15" x14ac:dyDescent="0.25">
      <c r="A3035" s="53" t="inlineStr">
        <is>
          <t>LAB-003034</t>
        </is>
      </c>
      <c r="B3035" s="53" t="inlineStr">
        <is>
          <t>WP-01335</t>
        </is>
      </c>
      <c r="C3035" s="53" t="inlineStr">
        <is>
          <t>TECH-019</t>
        </is>
      </c>
      <c r="D3035" s="53" t="inlineStr">
        <is>
          <t>Airframe</t>
        </is>
      </c>
      <c r="E3035" s="53" t="inlineStr">
        <is>
          <t>2025-05-05</t>
        </is>
      </c>
      <c r="F3035" s="53">
        <v>5.4</v>
      </c>
      <c r="G3035" s="53">
        <v>0</v>
      </c>
      <c r="H3035" s="51" t="str">
        <f>TEXT(tblLaborEntries[[#This Row],[Work date serial]]-WEEKDAY(tblLaborEntries[[#This Row],[Work date serial]],3),"yyyy-mm-dd")</f>
        <v>2025-05-05</v>
      </c>
      <c r="I3035" s="64">
        <f>DATEVALUE(tblLaborEntries[[#This Row],[Work date]])</f>
        <v>45782.0</v>
      </c>
    </row>
    <row r="3036" spans="1:9" ht="15" x14ac:dyDescent="0.25">
      <c r="A3036" s="53" t="inlineStr">
        <is>
          <t>LAB-003035</t>
        </is>
      </c>
      <c r="B3036" s="53" t="inlineStr">
        <is>
          <t>WP-01336</t>
        </is>
      </c>
      <c r="C3036" s="53" t="inlineStr">
        <is>
          <t>TECH-006</t>
        </is>
      </c>
      <c r="D3036" s="53" t="inlineStr">
        <is>
          <t>Powerplant</t>
        </is>
      </c>
      <c r="E3036" s="53" t="inlineStr">
        <is>
          <t>2024-05-16</t>
        </is>
      </c>
      <c r="F3036" s="53">
        <v>4.1</v>
      </c>
      <c r="G3036" s="53">
        <v>0</v>
      </c>
      <c r="H3036" s="51" t="str">
        <f>TEXT(tblLaborEntries[[#This Row],[Work date serial]]-WEEKDAY(tblLaborEntries[[#This Row],[Work date serial]],3),"yyyy-mm-dd")</f>
        <v>2024-05-13</v>
      </c>
      <c r="I3036" s="64">
        <f>DATEVALUE(tblLaborEntries[[#This Row],[Work date]])</f>
        <v>45428.0</v>
      </c>
    </row>
    <row r="3037" spans="1:9" ht="15" x14ac:dyDescent="0.25">
      <c r="A3037" s="53" t="inlineStr">
        <is>
          <t>LAB-003036</t>
        </is>
      </c>
      <c r="B3037" s="53" t="inlineStr">
        <is>
          <t>WP-01336</t>
        </is>
      </c>
      <c r="C3037" s="53" t="inlineStr">
        <is>
          <t>TECH-072</t>
        </is>
      </c>
      <c r="D3037" s="53" t="inlineStr">
        <is>
          <t>Powerplant</t>
        </is>
      </c>
      <c r="E3037" s="53" t="inlineStr">
        <is>
          <t>2024-05-16</t>
        </is>
      </c>
      <c r="F3037" s="53">
        <v>12</v>
      </c>
      <c r="G3037" s="53">
        <v>4</v>
      </c>
      <c r="H3037" s="51" t="str">
        <f>TEXT(tblLaborEntries[[#This Row],[Work date serial]]-WEEKDAY(tblLaborEntries[[#This Row],[Work date serial]],3),"yyyy-mm-dd")</f>
        <v>2024-05-13</v>
      </c>
      <c r="I3037" s="64">
        <f>DATEVALUE(tblLaborEntries[[#This Row],[Work date]])</f>
        <v>45428.0</v>
      </c>
    </row>
    <row r="3038" spans="1:9" ht="15" x14ac:dyDescent="0.25">
      <c r="A3038" s="53" t="inlineStr">
        <is>
          <t>LAB-003037</t>
        </is>
      </c>
      <c r="B3038" s="53" t="inlineStr">
        <is>
          <t>WP-01337</t>
        </is>
      </c>
      <c r="C3038" s="53" t="inlineStr">
        <is>
          <t>TECH-006</t>
        </is>
      </c>
      <c r="D3038" s="53" t="inlineStr">
        <is>
          <t>Powerplant</t>
        </is>
      </c>
      <c r="E3038" s="53" t="inlineStr">
        <is>
          <t>2024-12-14</t>
        </is>
      </c>
      <c r="F3038" s="53">
        <v>6.2</v>
      </c>
      <c r="G3038" s="53">
        <v>0</v>
      </c>
      <c r="H3038" s="51" t="str">
        <f>TEXT(tblLaborEntries[[#This Row],[Work date serial]]-WEEKDAY(tblLaborEntries[[#This Row],[Work date serial]],3),"yyyy-mm-dd")</f>
        <v>2024-12-09</v>
      </c>
      <c r="I3038" s="64">
        <f>DATEVALUE(tblLaborEntries[[#This Row],[Work date]])</f>
        <v>45640.0</v>
      </c>
    </row>
    <row r="3039" spans="1:9" ht="15" x14ac:dyDescent="0.25">
      <c r="A3039" s="53" t="inlineStr">
        <is>
          <t>LAB-003038</t>
        </is>
      </c>
      <c r="B3039" s="53" t="inlineStr">
        <is>
          <t>WP-01337</t>
        </is>
      </c>
      <c r="C3039" s="53" t="inlineStr">
        <is>
          <t>TECH-018</t>
        </is>
      </c>
      <c r="D3039" s="53" t="inlineStr">
        <is>
          <t>Powerplant</t>
        </is>
      </c>
      <c r="E3039" s="53" t="inlineStr">
        <is>
          <t>2024-12-15</t>
        </is>
      </c>
      <c r="F3039" s="53">
        <v>6.6</v>
      </c>
      <c r="G3039" s="53">
        <v>0</v>
      </c>
      <c r="H3039" s="51" t="str">
        <f>TEXT(tblLaborEntries[[#This Row],[Work date serial]]-WEEKDAY(tblLaborEntries[[#This Row],[Work date serial]],3),"yyyy-mm-dd")</f>
        <v>2024-12-09</v>
      </c>
      <c r="I3039" s="64">
        <f>DATEVALUE(tblLaborEntries[[#This Row],[Work date]])</f>
        <v>45641.0</v>
      </c>
    </row>
    <row r="3040" spans="1:9" ht="15" x14ac:dyDescent="0.25">
      <c r="A3040" s="53" t="inlineStr">
        <is>
          <t>LAB-003039</t>
        </is>
      </c>
      <c r="B3040" s="53" t="inlineStr">
        <is>
          <t>WP-01337</t>
        </is>
      </c>
      <c r="C3040" s="53" t="inlineStr">
        <is>
          <t>TECH-018</t>
        </is>
      </c>
      <c r="D3040" s="53" t="inlineStr">
        <is>
          <t>Powerplant</t>
        </is>
      </c>
      <c r="E3040" s="53" t="inlineStr">
        <is>
          <t>2024-12-16</t>
        </is>
      </c>
      <c r="F3040" s="53">
        <v>8.1</v>
      </c>
      <c r="G3040" s="53">
        <v>0.1</v>
      </c>
      <c r="H3040" s="51" t="str">
        <f>TEXT(tblLaborEntries[[#This Row],[Work date serial]]-WEEKDAY(tblLaborEntries[[#This Row],[Work date serial]],3),"yyyy-mm-dd")</f>
        <v>2024-12-16</v>
      </c>
      <c r="I3040" s="64">
        <f>DATEVALUE(tblLaborEntries[[#This Row],[Work date]])</f>
        <v>45642.0</v>
      </c>
    </row>
    <row r="3041" spans="1:9" ht="15" x14ac:dyDescent="0.25">
      <c r="A3041" s="53" t="inlineStr">
        <is>
          <t>LAB-003040</t>
        </is>
      </c>
      <c r="B3041" s="53" t="inlineStr">
        <is>
          <t>WP-01338</t>
        </is>
      </c>
      <c r="C3041" s="53" t="inlineStr">
        <is>
          <t>TECH-043</t>
        </is>
      </c>
      <c r="D3041" s="53" t="inlineStr">
        <is>
          <t>Airframe</t>
        </is>
      </c>
      <c r="E3041" s="53" t="inlineStr">
        <is>
          <t>2025-07-21</t>
        </is>
      </c>
      <c r="F3041" s="53">
        <v>0.8</v>
      </c>
      <c r="G3041" s="53">
        <v>0</v>
      </c>
      <c r="H3041" s="51" t="str">
        <f>TEXT(tblLaborEntries[[#This Row],[Work date serial]]-WEEKDAY(tblLaborEntries[[#This Row],[Work date serial]],3),"yyyy-mm-dd")</f>
        <v>2025-07-21</v>
      </c>
      <c r="I3041" s="64">
        <f>DATEVALUE(tblLaborEntries[[#This Row],[Work date]])</f>
        <v>45859.0</v>
      </c>
    </row>
    <row r="3042" spans="1:9" ht="15" x14ac:dyDescent="0.25">
      <c r="A3042" s="53" t="inlineStr">
        <is>
          <t>LAB-003041</t>
        </is>
      </c>
      <c r="B3042" s="53" t="inlineStr">
        <is>
          <t>WP-01338</t>
        </is>
      </c>
      <c r="C3042" s="53" t="inlineStr">
        <is>
          <t>TECH-037</t>
        </is>
      </c>
      <c r="D3042" s="53" t="inlineStr">
        <is>
          <t>Airframe</t>
        </is>
      </c>
      <c r="E3042" s="53" t="inlineStr">
        <is>
          <t>2025-07-22</t>
        </is>
      </c>
      <c r="F3042" s="53">
        <v>1</v>
      </c>
      <c r="G3042" s="53">
        <v>0</v>
      </c>
      <c r="H3042" s="51" t="str">
        <f>TEXT(tblLaborEntries[[#This Row],[Work date serial]]-WEEKDAY(tblLaborEntries[[#This Row],[Work date serial]],3),"yyyy-mm-dd")</f>
        <v>2025-07-21</v>
      </c>
      <c r="I3042" s="64">
        <f>DATEVALUE(tblLaborEntries[[#This Row],[Work date]])</f>
        <v>45860.0</v>
      </c>
    </row>
    <row r="3043" spans="1:9" ht="15" x14ac:dyDescent="0.25">
      <c r="A3043" s="53" t="inlineStr">
        <is>
          <t>LAB-003042</t>
        </is>
      </c>
      <c r="B3043" s="53" t="inlineStr">
        <is>
          <t>WP-01338</t>
        </is>
      </c>
      <c r="C3043" s="53" t="inlineStr">
        <is>
          <t>TECH-037</t>
        </is>
      </c>
      <c r="D3043" s="53" t="inlineStr">
        <is>
          <t>Airframe</t>
        </is>
      </c>
      <c r="E3043" s="53" t="inlineStr">
        <is>
          <t>2025-07-23</t>
        </is>
      </c>
      <c r="F3043" s="53">
        <v>0.9</v>
      </c>
      <c r="G3043" s="53">
        <v>0</v>
      </c>
      <c r="H3043" s="51" t="str">
        <f>TEXT(tblLaborEntries[[#This Row],[Work date serial]]-WEEKDAY(tblLaborEntries[[#This Row],[Work date serial]],3),"yyyy-mm-dd")</f>
        <v>2025-07-21</v>
      </c>
      <c r="I3043" s="64">
        <f>DATEVALUE(tblLaborEntries[[#This Row],[Work date]])</f>
        <v>45861.0</v>
      </c>
    </row>
    <row r="3044" spans="1:9" ht="15" x14ac:dyDescent="0.25">
      <c r="A3044" s="53" t="inlineStr">
        <is>
          <t>LAB-003043</t>
        </is>
      </c>
      <c r="B3044" s="53" t="inlineStr">
        <is>
          <t>WP-01339</t>
        </is>
      </c>
      <c r="C3044" s="53" t="inlineStr">
        <is>
          <t>TECH-062</t>
        </is>
      </c>
      <c r="D3044" s="53" t="inlineStr">
        <is>
          <t>Avionics</t>
        </is>
      </c>
      <c r="E3044" s="53" t="inlineStr">
        <is>
          <t>2024-11-28</t>
        </is>
      </c>
      <c r="F3044" s="53">
        <v>4.8</v>
      </c>
      <c r="G3044" s="53">
        <v>0</v>
      </c>
      <c r="H3044" s="51" t="str">
        <f>TEXT(tblLaborEntries[[#This Row],[Work date serial]]-WEEKDAY(tblLaborEntries[[#This Row],[Work date serial]],3),"yyyy-mm-dd")</f>
        <v>2024-11-25</v>
      </c>
      <c r="I3044" s="64">
        <f>DATEVALUE(tblLaborEntries[[#This Row],[Work date]])</f>
        <v>45624.0</v>
      </c>
    </row>
    <row r="3045" spans="1:9" ht="15" x14ac:dyDescent="0.25">
      <c r="A3045" s="53" t="inlineStr">
        <is>
          <t>LAB-003044</t>
        </is>
      </c>
      <c r="B3045" s="53" t="inlineStr">
        <is>
          <t>WP-01339</t>
        </is>
      </c>
      <c r="C3045" s="53" t="inlineStr">
        <is>
          <t>TECH-044</t>
        </is>
      </c>
      <c r="D3045" s="53" t="inlineStr">
        <is>
          <t>Avionics</t>
        </is>
      </c>
      <c r="E3045" s="53" t="inlineStr">
        <is>
          <t>2024-11-29</t>
        </is>
      </c>
      <c r="F3045" s="53">
        <v>3.4</v>
      </c>
      <c r="G3045" s="53">
        <v>0</v>
      </c>
      <c r="H3045" s="51" t="str">
        <f>TEXT(tblLaborEntries[[#This Row],[Work date serial]]-WEEKDAY(tblLaborEntries[[#This Row],[Work date serial]],3),"yyyy-mm-dd")</f>
        <v>2024-11-25</v>
      </c>
      <c r="I3045" s="64">
        <f>DATEVALUE(tblLaborEntries[[#This Row],[Work date]])</f>
        <v>45625.0</v>
      </c>
    </row>
    <row r="3046" spans="1:9" ht="15" x14ac:dyDescent="0.25">
      <c r="A3046" s="53" t="inlineStr">
        <is>
          <t>LAB-003045</t>
        </is>
      </c>
      <c r="B3046" s="53" t="inlineStr">
        <is>
          <t>WP-01340</t>
        </is>
      </c>
      <c r="C3046" s="53" t="inlineStr">
        <is>
          <t>TECH-036</t>
        </is>
      </c>
      <c r="D3046" s="53" t="inlineStr">
        <is>
          <t>Powerplant</t>
        </is>
      </c>
      <c r="E3046" s="53" t="inlineStr">
        <is>
          <t>2025-11-10</t>
        </is>
      </c>
      <c r="F3046" s="53">
        <v>6.8</v>
      </c>
      <c r="G3046" s="53">
        <v>0</v>
      </c>
      <c r="H3046" s="51" t="str">
        <f>TEXT(tblLaborEntries[[#This Row],[Work date serial]]-WEEKDAY(tblLaborEntries[[#This Row],[Work date serial]],3),"yyyy-mm-dd")</f>
        <v>2025-11-10</v>
      </c>
      <c r="I3046" s="64">
        <f>DATEVALUE(tblLaborEntries[[#This Row],[Work date]])</f>
        <v>45971.0</v>
      </c>
    </row>
    <row r="3047" spans="1:9" ht="15" x14ac:dyDescent="0.25">
      <c r="A3047" s="53" t="inlineStr">
        <is>
          <t>LAB-003046</t>
        </is>
      </c>
      <c r="B3047" s="53" t="inlineStr">
        <is>
          <t>WP-01341</t>
        </is>
      </c>
      <c r="C3047" s="53" t="inlineStr">
        <is>
          <t>TECH-001</t>
        </is>
      </c>
      <c r="D3047" s="53" t="inlineStr">
        <is>
          <t>Airframe</t>
        </is>
      </c>
      <c r="E3047" s="53" t="inlineStr">
        <is>
          <t>2024-03-31</t>
        </is>
      </c>
      <c r="F3047" s="53">
        <v>8.4</v>
      </c>
      <c r="G3047" s="53">
        <v>0.4</v>
      </c>
      <c r="H3047" s="51" t="str">
        <f>TEXT(tblLaborEntries[[#This Row],[Work date serial]]-WEEKDAY(tblLaborEntries[[#This Row],[Work date serial]],3),"yyyy-mm-dd")</f>
        <v>2024-03-25</v>
      </c>
      <c r="I3047" s="64">
        <f>DATEVALUE(tblLaborEntries[[#This Row],[Work date]])</f>
        <v>45382.0</v>
      </c>
    </row>
    <row r="3048" spans="1:9" ht="15" x14ac:dyDescent="0.25">
      <c r="A3048" s="53" t="inlineStr">
        <is>
          <t>LAB-003047</t>
        </is>
      </c>
      <c r="B3048" s="53" t="inlineStr">
        <is>
          <t>WP-01342</t>
        </is>
      </c>
      <c r="C3048" s="53" t="inlineStr">
        <is>
          <t>TECH-062</t>
        </is>
      </c>
      <c r="D3048" s="53" t="inlineStr">
        <is>
          <t>Avionics</t>
        </is>
      </c>
      <c r="E3048" s="53" t="inlineStr">
        <is>
          <t>2025-09-24</t>
        </is>
      </c>
      <c r="F3048" s="53">
        <v>5.7</v>
      </c>
      <c r="G3048" s="53">
        <v>0</v>
      </c>
      <c r="H3048" s="51" t="str">
        <f>TEXT(tblLaborEntries[[#This Row],[Work date serial]]-WEEKDAY(tblLaborEntries[[#This Row],[Work date serial]],3),"yyyy-mm-dd")</f>
        <v>2025-09-22</v>
      </c>
      <c r="I3048" s="64">
        <f>DATEVALUE(tblLaborEntries[[#This Row],[Work date]])</f>
        <v>45924.0</v>
      </c>
    </row>
    <row r="3049" spans="1:9" ht="15" x14ac:dyDescent="0.25">
      <c r="A3049" s="53" t="inlineStr">
        <is>
          <t>LAB-003048</t>
        </is>
      </c>
      <c r="B3049" s="53" t="inlineStr">
        <is>
          <t>WP-01342</t>
        </is>
      </c>
      <c r="C3049" s="53" t="inlineStr">
        <is>
          <t>TECH-002</t>
        </is>
      </c>
      <c r="D3049" s="53" t="inlineStr">
        <is>
          <t>Avionics</t>
        </is>
      </c>
      <c r="E3049" s="53" t="inlineStr">
        <is>
          <t>2025-09-25</t>
        </is>
      </c>
      <c r="F3049" s="53">
        <v>7</v>
      </c>
      <c r="G3049" s="53">
        <v>0</v>
      </c>
      <c r="H3049" s="51" t="str">
        <f>TEXT(tblLaborEntries[[#This Row],[Work date serial]]-WEEKDAY(tblLaborEntries[[#This Row],[Work date serial]],3),"yyyy-mm-dd")</f>
        <v>2025-09-22</v>
      </c>
      <c r="I3049" s="64">
        <f>DATEVALUE(tblLaborEntries[[#This Row],[Work date]])</f>
        <v>45925.0</v>
      </c>
    </row>
    <row r="3050" spans="1:9" ht="15" x14ac:dyDescent="0.25">
      <c r="A3050" s="53" t="inlineStr">
        <is>
          <t>LAB-003049</t>
        </is>
      </c>
      <c r="B3050" s="53" t="inlineStr">
        <is>
          <t>WP-01342</t>
        </is>
      </c>
      <c r="C3050" s="53" t="inlineStr">
        <is>
          <t>TECH-038</t>
        </is>
      </c>
      <c r="D3050" s="53" t="inlineStr">
        <is>
          <t>Avionics</t>
        </is>
      </c>
      <c r="E3050" s="53" t="inlineStr">
        <is>
          <t>2025-09-26</t>
        </is>
      </c>
      <c r="F3050" s="53">
        <v>5.3</v>
      </c>
      <c r="G3050" s="53">
        <v>0</v>
      </c>
      <c r="H3050" s="51" t="str">
        <f>TEXT(tblLaborEntries[[#This Row],[Work date serial]]-WEEKDAY(tblLaborEntries[[#This Row],[Work date serial]],3),"yyyy-mm-dd")</f>
        <v>2025-09-22</v>
      </c>
      <c r="I3050" s="64">
        <f>DATEVALUE(tblLaborEntries[[#This Row],[Work date]])</f>
        <v>45926.0</v>
      </c>
    </row>
    <row r="3051" spans="1:9" ht="15" x14ac:dyDescent="0.25">
      <c r="A3051" s="53" t="inlineStr">
        <is>
          <t>LAB-003050</t>
        </is>
      </c>
      <c r="B3051" s="53" t="inlineStr">
        <is>
          <t>WP-01343</t>
        </is>
      </c>
      <c r="C3051" s="53" t="inlineStr">
        <is>
          <t>TECH-025</t>
        </is>
      </c>
      <c r="D3051" s="53" t="inlineStr">
        <is>
          <t>Airframe</t>
        </is>
      </c>
      <c r="E3051" s="53" t="inlineStr">
        <is>
          <t>2025-08-06</t>
        </is>
      </c>
      <c r="F3051" s="53">
        <v>2.7</v>
      </c>
      <c r="G3051" s="53">
        <v>0</v>
      </c>
      <c r="H3051" s="51" t="str">
        <f>TEXT(tblLaborEntries[[#This Row],[Work date serial]]-WEEKDAY(tblLaborEntries[[#This Row],[Work date serial]],3),"yyyy-mm-dd")</f>
        <v>2025-08-04</v>
      </c>
      <c r="I3051" s="64">
        <f>DATEVALUE(tblLaborEntries[[#This Row],[Work date]])</f>
        <v>45875.0</v>
      </c>
    </row>
    <row r="3052" spans="1:9" ht="15" x14ac:dyDescent="0.25">
      <c r="A3052" s="53" t="inlineStr">
        <is>
          <t>LAB-003051</t>
        </is>
      </c>
      <c r="B3052" s="53" t="inlineStr">
        <is>
          <t>WP-01343</t>
        </is>
      </c>
      <c r="C3052" s="53" t="inlineStr">
        <is>
          <t>TECH-049</t>
        </is>
      </c>
      <c r="D3052" s="53" t="inlineStr">
        <is>
          <t>Airframe</t>
        </is>
      </c>
      <c r="E3052" s="53" t="inlineStr">
        <is>
          <t>2025-08-07</t>
        </is>
      </c>
      <c r="F3052" s="53">
        <v>4</v>
      </c>
      <c r="G3052" s="53">
        <v>0</v>
      </c>
      <c r="H3052" s="51" t="str">
        <f>TEXT(tblLaborEntries[[#This Row],[Work date serial]]-WEEKDAY(tblLaborEntries[[#This Row],[Work date serial]],3),"yyyy-mm-dd")</f>
        <v>2025-08-04</v>
      </c>
      <c r="I3052" s="64">
        <f>DATEVALUE(tblLaborEntries[[#This Row],[Work date]])</f>
        <v>45876.0</v>
      </c>
    </row>
    <row r="3053" spans="1:9" ht="15" x14ac:dyDescent="0.25">
      <c r="A3053" s="53" t="inlineStr">
        <is>
          <t>LAB-003052</t>
        </is>
      </c>
      <c r="B3053" s="53" t="inlineStr">
        <is>
          <t>WP-01344</t>
        </is>
      </c>
      <c r="C3053" s="53" t="inlineStr">
        <is>
          <t>TECH-055</t>
        </is>
      </c>
      <c r="D3053" s="53" t="inlineStr">
        <is>
          <t>Airframe</t>
        </is>
      </c>
      <c r="E3053" s="53" t="inlineStr">
        <is>
          <t>2026-01-08</t>
        </is>
      </c>
      <c r="F3053" s="53">
        <v>1.1</v>
      </c>
      <c r="G3053" s="53">
        <v>0</v>
      </c>
      <c r="H3053" s="51" t="str">
        <f>TEXT(tblLaborEntries[[#This Row],[Work date serial]]-WEEKDAY(tblLaborEntries[[#This Row],[Work date serial]],3),"yyyy-mm-dd")</f>
        <v>2026-01-05</v>
      </c>
      <c r="I3053" s="64">
        <f>DATEVALUE(tblLaborEntries[[#This Row],[Work date]])</f>
        <v>46030.0</v>
      </c>
    </row>
    <row r="3054" spans="1:9" ht="15" x14ac:dyDescent="0.25">
      <c r="A3054" s="53" t="inlineStr">
        <is>
          <t>LAB-003053</t>
        </is>
      </c>
      <c r="B3054" s="53" t="inlineStr">
        <is>
          <t>WP-01344</t>
        </is>
      </c>
      <c r="C3054" s="53" t="inlineStr">
        <is>
          <t>TECH-067</t>
        </is>
      </c>
      <c r="D3054" s="53" t="inlineStr">
        <is>
          <t>Airframe</t>
        </is>
      </c>
      <c r="E3054" s="53" t="inlineStr">
        <is>
          <t>2026-01-09</t>
        </is>
      </c>
      <c r="F3054" s="53">
        <v>1</v>
      </c>
      <c r="G3054" s="53">
        <v>0</v>
      </c>
      <c r="H3054" s="51" t="str">
        <f>TEXT(tblLaborEntries[[#This Row],[Work date serial]]-WEEKDAY(tblLaborEntries[[#This Row],[Work date serial]],3),"yyyy-mm-dd")</f>
        <v>2026-01-05</v>
      </c>
      <c r="I3054" s="64">
        <f>DATEVALUE(tblLaborEntries[[#This Row],[Work date]])</f>
        <v>46031.0</v>
      </c>
    </row>
    <row r="3055" spans="1:9" ht="15" x14ac:dyDescent="0.25">
      <c r="A3055" s="53" t="inlineStr">
        <is>
          <t>LAB-003054</t>
        </is>
      </c>
      <c r="B3055" s="53" t="inlineStr">
        <is>
          <t>WP-01344</t>
        </is>
      </c>
      <c r="C3055" s="53" t="inlineStr">
        <is>
          <t>TECH-073</t>
        </is>
      </c>
      <c r="D3055" s="53" t="inlineStr">
        <is>
          <t>Airframe</t>
        </is>
      </c>
      <c r="E3055" s="53" t="inlineStr">
        <is>
          <t>2026-01-10</t>
        </is>
      </c>
      <c r="F3055" s="53">
        <v>1.2</v>
      </c>
      <c r="G3055" s="53">
        <v>0</v>
      </c>
      <c r="H3055" s="51" t="str">
        <f>TEXT(tblLaborEntries[[#This Row],[Work date serial]]-WEEKDAY(tblLaborEntries[[#This Row],[Work date serial]],3),"yyyy-mm-dd")</f>
        <v>2026-01-05</v>
      </c>
      <c r="I3055" s="64">
        <f>DATEVALUE(tblLaborEntries[[#This Row],[Work date]])</f>
        <v>46032.0</v>
      </c>
    </row>
    <row r="3056" spans="1:9" ht="15" x14ac:dyDescent="0.25">
      <c r="A3056" s="53" t="inlineStr">
        <is>
          <t>LAB-003055</t>
        </is>
      </c>
      <c r="B3056" s="53" t="inlineStr">
        <is>
          <t>WP-01345</t>
        </is>
      </c>
      <c r="C3056" s="53" t="inlineStr">
        <is>
          <t>TECH-020</t>
        </is>
      </c>
      <c r="D3056" s="53" t="inlineStr">
        <is>
          <t>Avionics</t>
        </is>
      </c>
      <c r="E3056" s="53" t="inlineStr">
        <is>
          <t>2024-06-09</t>
        </is>
      </c>
      <c r="F3056" s="53">
        <v>4.5</v>
      </c>
      <c r="G3056" s="53">
        <v>0</v>
      </c>
      <c r="H3056" s="51" t="str">
        <f>TEXT(tblLaborEntries[[#This Row],[Work date serial]]-WEEKDAY(tblLaborEntries[[#This Row],[Work date serial]],3),"yyyy-mm-dd")</f>
        <v>2024-06-03</v>
      </c>
      <c r="I3056" s="64">
        <f>DATEVALUE(tblLaborEntries[[#This Row],[Work date]])</f>
        <v>45452.0</v>
      </c>
    </row>
    <row r="3057" spans="1:9" ht="15" x14ac:dyDescent="0.25">
      <c r="A3057" s="53" t="inlineStr">
        <is>
          <t>LAB-003056</t>
        </is>
      </c>
      <c r="B3057" s="53" t="inlineStr">
        <is>
          <t>WP-01345</t>
        </is>
      </c>
      <c r="C3057" s="53" t="inlineStr">
        <is>
          <t>TECH-020</t>
        </is>
      </c>
      <c r="D3057" s="53" t="inlineStr">
        <is>
          <t>Avionics</t>
        </is>
      </c>
      <c r="E3057" s="53" t="inlineStr">
        <is>
          <t>2024-06-10</t>
        </is>
      </c>
      <c r="F3057" s="53">
        <v>6.1</v>
      </c>
      <c r="G3057" s="53">
        <v>0</v>
      </c>
      <c r="H3057" s="51" t="str">
        <f>TEXT(tblLaborEntries[[#This Row],[Work date serial]]-WEEKDAY(tblLaborEntries[[#This Row],[Work date serial]],3),"yyyy-mm-dd")</f>
        <v>2024-06-10</v>
      </c>
      <c r="I3057" s="64">
        <f>DATEVALUE(tblLaborEntries[[#This Row],[Work date]])</f>
        <v>45453.0</v>
      </c>
    </row>
    <row r="3058" spans="1:9" ht="15" x14ac:dyDescent="0.25">
      <c r="A3058" s="53" t="inlineStr">
        <is>
          <t>LAB-003057</t>
        </is>
      </c>
      <c r="B3058" s="53" t="inlineStr">
        <is>
          <t>WP-01345</t>
        </is>
      </c>
      <c r="C3058" s="53" t="inlineStr">
        <is>
          <t>TECH-032</t>
        </is>
      </c>
      <c r="D3058" s="53" t="inlineStr">
        <is>
          <t>Avionics</t>
        </is>
      </c>
      <c r="E3058" s="53" t="inlineStr">
        <is>
          <t>2024-06-11</t>
        </is>
      </c>
      <c r="F3058" s="53">
        <v>5.9</v>
      </c>
      <c r="G3058" s="53">
        <v>0</v>
      </c>
      <c r="H3058" s="51" t="str">
        <f>TEXT(tblLaborEntries[[#This Row],[Work date serial]]-WEEKDAY(tblLaborEntries[[#This Row],[Work date serial]],3),"yyyy-mm-dd")</f>
        <v>2024-06-10</v>
      </c>
      <c r="I3058" s="64">
        <f>DATEVALUE(tblLaborEntries[[#This Row],[Work date]])</f>
        <v>45454.0</v>
      </c>
    </row>
    <row r="3059" spans="1:9" ht="15" x14ac:dyDescent="0.25">
      <c r="A3059" s="53" t="inlineStr">
        <is>
          <t>LAB-003058</t>
        </is>
      </c>
      <c r="B3059" s="53" t="inlineStr">
        <is>
          <t>WP-01346</t>
        </is>
      </c>
      <c r="C3059" s="53" t="inlineStr">
        <is>
          <t>TECH-005</t>
        </is>
      </c>
      <c r="D3059" s="53" t="inlineStr">
        <is>
          <t>Structures</t>
        </is>
      </c>
      <c r="E3059" s="53" t="inlineStr">
        <is>
          <t>2025-12-27</t>
        </is>
      </c>
      <c r="F3059" s="53">
        <v>11.2</v>
      </c>
      <c r="G3059" s="53">
        <v>3.2</v>
      </c>
      <c r="H3059" s="51" t="str">
        <f>TEXT(tblLaborEntries[[#This Row],[Work date serial]]-WEEKDAY(tblLaborEntries[[#This Row],[Work date serial]],3),"yyyy-mm-dd")</f>
        <v>2025-12-22</v>
      </c>
      <c r="I3059" s="64">
        <f>DATEVALUE(tblLaborEntries[[#This Row],[Work date]])</f>
        <v>46018.0</v>
      </c>
    </row>
    <row r="3060" spans="1:9" ht="15" x14ac:dyDescent="0.25">
      <c r="A3060" s="53" t="inlineStr">
        <is>
          <t>LAB-003059</t>
        </is>
      </c>
      <c r="B3060" s="53" t="inlineStr">
        <is>
          <t>WP-01346</t>
        </is>
      </c>
      <c r="C3060" s="53" t="inlineStr">
        <is>
          <t>TECH-017</t>
        </is>
      </c>
      <c r="D3060" s="53" t="inlineStr">
        <is>
          <t>Structures</t>
        </is>
      </c>
      <c r="E3060" s="53" t="inlineStr">
        <is>
          <t>2025-12-27</t>
        </is>
      </c>
      <c r="F3060" s="53">
        <v>12</v>
      </c>
      <c r="G3060" s="53">
        <v>4</v>
      </c>
      <c r="H3060" s="51" t="str">
        <f>TEXT(tblLaborEntries[[#This Row],[Work date serial]]-WEEKDAY(tblLaborEntries[[#This Row],[Work date serial]],3),"yyyy-mm-dd")</f>
        <v>2025-12-22</v>
      </c>
      <c r="I3060" s="64">
        <f>DATEVALUE(tblLaborEntries[[#This Row],[Work date]])</f>
        <v>46018.0</v>
      </c>
    </row>
    <row r="3061" spans="1:9" ht="15" x14ac:dyDescent="0.25">
      <c r="A3061" s="53" t="inlineStr">
        <is>
          <t>LAB-003060</t>
        </is>
      </c>
      <c r="B3061" s="53" t="inlineStr">
        <is>
          <t>WP-01347</t>
        </is>
      </c>
      <c r="C3061" s="53" t="inlineStr">
        <is>
          <t>TECH-050</t>
        </is>
      </c>
      <c r="D3061" s="53" t="inlineStr">
        <is>
          <t>Avionics</t>
        </is>
      </c>
      <c r="E3061" s="53" t="inlineStr">
        <is>
          <t>2025-04-10</t>
        </is>
      </c>
      <c r="F3061" s="53">
        <v>8.4</v>
      </c>
      <c r="G3061" s="53">
        <v>0.4</v>
      </c>
      <c r="H3061" s="51" t="str">
        <f>TEXT(tblLaborEntries[[#This Row],[Work date serial]]-WEEKDAY(tblLaborEntries[[#This Row],[Work date serial]],3),"yyyy-mm-dd")</f>
        <v>2025-04-07</v>
      </c>
      <c r="I3061" s="64">
        <f>DATEVALUE(tblLaborEntries[[#This Row],[Work date]])</f>
        <v>45757.0</v>
      </c>
    </row>
    <row r="3062" spans="1:9" ht="15" x14ac:dyDescent="0.25">
      <c r="A3062" s="53" t="inlineStr">
        <is>
          <t>LAB-003061</t>
        </is>
      </c>
      <c r="B3062" s="53" t="inlineStr">
        <is>
          <t>WP-01348</t>
        </is>
      </c>
      <c r="C3062" s="53" t="inlineStr">
        <is>
          <t>TECH-036</t>
        </is>
      </c>
      <c r="D3062" s="53" t="inlineStr">
        <is>
          <t>Powerplant</t>
        </is>
      </c>
      <c r="E3062" s="53" t="inlineStr">
        <is>
          <t>2025-01-19</t>
        </is>
      </c>
      <c r="F3062" s="53">
        <v>4.8</v>
      </c>
      <c r="G3062" s="53">
        <v>0</v>
      </c>
      <c r="H3062" s="51" t="str">
        <f>TEXT(tblLaborEntries[[#This Row],[Work date serial]]-WEEKDAY(tblLaborEntries[[#This Row],[Work date serial]],3),"yyyy-mm-dd")</f>
        <v>2025-01-13</v>
      </c>
      <c r="I3062" s="64">
        <f>DATEVALUE(tblLaborEntries[[#This Row],[Work date]])</f>
        <v>45676.0</v>
      </c>
    </row>
    <row r="3063" spans="1:9" ht="15" x14ac:dyDescent="0.25">
      <c r="A3063" s="53" t="inlineStr">
        <is>
          <t>LAB-003062</t>
        </is>
      </c>
      <c r="B3063" s="53" t="inlineStr">
        <is>
          <t>WP-01348</t>
        </is>
      </c>
      <c r="C3063" s="53" t="inlineStr">
        <is>
          <t>TECH-066</t>
        </is>
      </c>
      <c r="D3063" s="53" t="inlineStr">
        <is>
          <t>Powerplant</t>
        </is>
      </c>
      <c r="E3063" s="53" t="inlineStr">
        <is>
          <t>2025-01-20</t>
        </is>
      </c>
      <c r="F3063" s="53">
        <v>4.6</v>
      </c>
      <c r="G3063" s="53">
        <v>0</v>
      </c>
      <c r="H3063" s="51" t="str">
        <f>TEXT(tblLaborEntries[[#This Row],[Work date serial]]-WEEKDAY(tblLaborEntries[[#This Row],[Work date serial]],3),"yyyy-mm-dd")</f>
        <v>2025-01-20</v>
      </c>
      <c r="I3063" s="64">
        <f>DATEVALUE(tblLaborEntries[[#This Row],[Work date]])</f>
        <v>45677.0</v>
      </c>
    </row>
    <row r="3064" spans="1:9" ht="15" x14ac:dyDescent="0.25">
      <c r="A3064" s="53" t="inlineStr">
        <is>
          <t>LAB-003063</t>
        </is>
      </c>
      <c r="B3064" s="53" t="inlineStr">
        <is>
          <t>WP-01349</t>
        </is>
      </c>
      <c r="C3064" s="53" t="inlineStr">
        <is>
          <t>TECH-009</t>
        </is>
      </c>
      <c r="D3064" s="53" t="inlineStr">
        <is>
          <t>Hydraulics</t>
        </is>
      </c>
      <c r="E3064" s="53" t="inlineStr">
        <is>
          <t>2025-04-04</t>
        </is>
      </c>
      <c r="F3064" s="53">
        <v>4.2</v>
      </c>
      <c r="G3064" s="53">
        <v>0</v>
      </c>
      <c r="H3064" s="51" t="str">
        <f>TEXT(tblLaborEntries[[#This Row],[Work date serial]]-WEEKDAY(tblLaborEntries[[#This Row],[Work date serial]],3),"yyyy-mm-dd")</f>
        <v>2025-03-31</v>
      </c>
      <c r="I3064" s="64">
        <f>DATEVALUE(tblLaborEntries[[#This Row],[Work date]])</f>
        <v>45751.0</v>
      </c>
    </row>
    <row r="3065" spans="1:9" ht="15" x14ac:dyDescent="0.25">
      <c r="A3065" s="53" t="inlineStr">
        <is>
          <t>LAB-003064</t>
        </is>
      </c>
      <c r="B3065" s="53" t="inlineStr">
        <is>
          <t>WP-01349</t>
        </is>
      </c>
      <c r="C3065" s="53" t="inlineStr">
        <is>
          <t>TECH-069</t>
        </is>
      </c>
      <c r="D3065" s="53" t="inlineStr">
        <is>
          <t>Hydraulics</t>
        </is>
      </c>
      <c r="E3065" s="53" t="inlineStr">
        <is>
          <t>2025-04-05</t>
        </is>
      </c>
      <c r="F3065" s="53">
        <v>3.1</v>
      </c>
      <c r="G3065" s="53">
        <v>0</v>
      </c>
      <c r="H3065" s="51" t="str">
        <f>TEXT(tblLaborEntries[[#This Row],[Work date serial]]-WEEKDAY(tblLaborEntries[[#This Row],[Work date serial]],3),"yyyy-mm-dd")</f>
        <v>2025-03-31</v>
      </c>
      <c r="I3065" s="64">
        <f>DATEVALUE(tblLaborEntries[[#This Row],[Work date]])</f>
        <v>45752.0</v>
      </c>
    </row>
    <row r="3066" spans="1:9" ht="15" x14ac:dyDescent="0.25">
      <c r="A3066" s="53" t="inlineStr">
        <is>
          <t>LAB-003065</t>
        </is>
      </c>
      <c r="B3066" s="53" t="inlineStr">
        <is>
          <t>WP-01350</t>
        </is>
      </c>
      <c r="C3066" s="53" t="inlineStr">
        <is>
          <t>TECH-068</t>
        </is>
      </c>
      <c r="D3066" s="53" t="inlineStr">
        <is>
          <t>Avionics</t>
        </is>
      </c>
      <c r="E3066" s="53" t="inlineStr">
        <is>
          <t>2025-04-15</t>
        </is>
      </c>
      <c r="F3066" s="53">
        <v>2.7</v>
      </c>
      <c r="G3066" s="53">
        <v>0</v>
      </c>
      <c r="H3066" s="51" t="str">
        <f>TEXT(tblLaborEntries[[#This Row],[Work date serial]]-WEEKDAY(tblLaborEntries[[#This Row],[Work date serial]],3),"yyyy-mm-dd")</f>
        <v>2025-04-14</v>
      </c>
      <c r="I3066" s="64">
        <f>DATEVALUE(tblLaborEntries[[#This Row],[Work date]])</f>
        <v>45762.0</v>
      </c>
    </row>
    <row r="3067" spans="1:9" ht="15" x14ac:dyDescent="0.25">
      <c r="A3067" s="53" t="inlineStr">
        <is>
          <t>LAB-003066</t>
        </is>
      </c>
      <c r="B3067" s="53" t="inlineStr">
        <is>
          <t>WP-01350</t>
        </is>
      </c>
      <c r="C3067" s="53" t="inlineStr">
        <is>
          <t>TECH-062</t>
        </is>
      </c>
      <c r="D3067" s="53" t="inlineStr">
        <is>
          <t>Avionics</t>
        </is>
      </c>
      <c r="E3067" s="53" t="inlineStr">
        <is>
          <t>2025-04-16</t>
        </is>
      </c>
      <c r="F3067" s="53">
        <v>2.1</v>
      </c>
      <c r="G3067" s="53">
        <v>0</v>
      </c>
      <c r="H3067" s="51" t="str">
        <f>TEXT(tblLaborEntries[[#This Row],[Work date serial]]-WEEKDAY(tblLaborEntries[[#This Row],[Work date serial]],3),"yyyy-mm-dd")</f>
        <v>2025-04-14</v>
      </c>
      <c r="I3067" s="64">
        <f>DATEVALUE(tblLaborEntries[[#This Row],[Work date]])</f>
        <v>45763.0</v>
      </c>
    </row>
    <row r="3068" spans="1:9" ht="15" x14ac:dyDescent="0.25">
      <c r="A3068" s="53" t="inlineStr">
        <is>
          <t>LAB-003067</t>
        </is>
      </c>
      <c r="B3068" s="53" t="inlineStr">
        <is>
          <t>WP-01351</t>
        </is>
      </c>
      <c r="C3068" s="53" t="inlineStr">
        <is>
          <t>TECH-019</t>
        </is>
      </c>
      <c r="D3068" s="53" t="inlineStr">
        <is>
          <t>Airframe</t>
        </is>
      </c>
      <c r="E3068" s="53" t="inlineStr">
        <is>
          <t>2024-05-05</t>
        </is>
      </c>
      <c r="F3068" s="53">
        <v>5.8</v>
      </c>
      <c r="G3068" s="53">
        <v>0</v>
      </c>
      <c r="H3068" s="51" t="str">
        <f>TEXT(tblLaborEntries[[#This Row],[Work date serial]]-WEEKDAY(tblLaborEntries[[#This Row],[Work date serial]],3),"yyyy-mm-dd")</f>
        <v>2024-04-29</v>
      </c>
      <c r="I3068" s="64">
        <f>DATEVALUE(tblLaborEntries[[#This Row],[Work date]])</f>
        <v>45417.0</v>
      </c>
    </row>
    <row r="3069" spans="1:9" ht="15" x14ac:dyDescent="0.25">
      <c r="A3069" s="53" t="inlineStr">
        <is>
          <t>LAB-003068</t>
        </is>
      </c>
      <c r="B3069" s="53" t="inlineStr">
        <is>
          <t>WP-01351</t>
        </is>
      </c>
      <c r="C3069" s="53" t="inlineStr">
        <is>
          <t>TECH-043</t>
        </is>
      </c>
      <c r="D3069" s="53" t="inlineStr">
        <is>
          <t>Airframe</t>
        </is>
      </c>
      <c r="E3069" s="53" t="inlineStr">
        <is>
          <t>2024-05-06</t>
        </is>
      </c>
      <c r="F3069" s="53">
        <v>6.2</v>
      </c>
      <c r="G3069" s="53">
        <v>0</v>
      </c>
      <c r="H3069" s="51" t="str">
        <f>TEXT(tblLaborEntries[[#This Row],[Work date serial]]-WEEKDAY(tblLaborEntries[[#This Row],[Work date serial]],3),"yyyy-mm-dd")</f>
        <v>2024-05-06</v>
      </c>
      <c r="I3069" s="64">
        <f>DATEVALUE(tblLaborEntries[[#This Row],[Work date]])</f>
        <v>45418.0</v>
      </c>
    </row>
    <row r="3070" spans="1:9" ht="15" x14ac:dyDescent="0.25">
      <c r="A3070" s="53" t="inlineStr">
        <is>
          <t>LAB-003069</t>
        </is>
      </c>
      <c r="B3070" s="53" t="inlineStr">
        <is>
          <t>WP-01352</t>
        </is>
      </c>
      <c r="C3070" s="53" t="inlineStr">
        <is>
          <t>TECH-002</t>
        </is>
      </c>
      <c r="D3070" s="53" t="inlineStr">
        <is>
          <t>Avionics</t>
        </is>
      </c>
      <c r="E3070" s="53" t="inlineStr">
        <is>
          <t>2024-12-03</t>
        </is>
      </c>
      <c r="F3070" s="53">
        <v>6.8</v>
      </c>
      <c r="G3070" s="53">
        <v>0</v>
      </c>
      <c r="H3070" s="51" t="str">
        <f>TEXT(tblLaborEntries[[#This Row],[Work date serial]]-WEEKDAY(tblLaborEntries[[#This Row],[Work date serial]],3),"yyyy-mm-dd")</f>
        <v>2024-12-02</v>
      </c>
      <c r="I3070" s="64">
        <f>DATEVALUE(tblLaborEntries[[#This Row],[Work date]])</f>
        <v>45629.0</v>
      </c>
    </row>
    <row r="3071" spans="1:9" ht="15" x14ac:dyDescent="0.25">
      <c r="A3071" s="53" t="inlineStr">
        <is>
          <t>LAB-003070</t>
        </is>
      </c>
      <c r="B3071" s="53" t="inlineStr">
        <is>
          <t>WP-01352</t>
        </is>
      </c>
      <c r="C3071" s="53" t="inlineStr">
        <is>
          <t>TECH-074</t>
        </is>
      </c>
      <c r="D3071" s="53" t="inlineStr">
        <is>
          <t>Avionics</t>
        </is>
      </c>
      <c r="E3071" s="53" t="inlineStr">
        <is>
          <t>2024-12-03</t>
        </is>
      </c>
      <c r="F3071" s="53">
        <v>5.3</v>
      </c>
      <c r="G3071" s="53">
        <v>0</v>
      </c>
      <c r="H3071" s="51" t="str">
        <f>TEXT(tblLaborEntries[[#This Row],[Work date serial]]-WEEKDAY(tblLaborEntries[[#This Row],[Work date serial]],3),"yyyy-mm-dd")</f>
        <v>2024-12-02</v>
      </c>
      <c r="I3071" s="64">
        <f>DATEVALUE(tblLaborEntries[[#This Row],[Work date]])</f>
        <v>45629.0</v>
      </c>
    </row>
    <row r="3072" spans="1:9" ht="15" x14ac:dyDescent="0.25">
      <c r="A3072" s="53" t="inlineStr">
        <is>
          <t>LAB-003071</t>
        </is>
      </c>
      <c r="B3072" s="53" t="inlineStr">
        <is>
          <t>WP-01353</t>
        </is>
      </c>
      <c r="C3072" s="53" t="inlineStr">
        <is>
          <t>TECH-012</t>
        </is>
      </c>
      <c r="D3072" s="53" t="inlineStr">
        <is>
          <t>Powerplant</t>
        </is>
      </c>
      <c r="E3072" s="53" t="inlineStr">
        <is>
          <t>2025-05-28</t>
        </is>
      </c>
      <c r="F3072" s="53">
        <v>5.5</v>
      </c>
      <c r="G3072" s="53">
        <v>0</v>
      </c>
      <c r="H3072" s="51" t="str">
        <f>TEXT(tblLaborEntries[[#This Row],[Work date serial]]-WEEKDAY(tblLaborEntries[[#This Row],[Work date serial]],3),"yyyy-mm-dd")</f>
        <v>2025-05-26</v>
      </c>
      <c r="I3072" s="64">
        <f>DATEVALUE(tblLaborEntries[[#This Row],[Work date]])</f>
        <v>45805.0</v>
      </c>
    </row>
    <row r="3073" spans="1:9" ht="15" x14ac:dyDescent="0.25">
      <c r="A3073" s="53" t="inlineStr">
        <is>
          <t>LAB-003072</t>
        </is>
      </c>
      <c r="B3073" s="53" t="inlineStr">
        <is>
          <t>WP-01353</t>
        </is>
      </c>
      <c r="C3073" s="53" t="inlineStr">
        <is>
          <t>TECH-072</t>
        </is>
      </c>
      <c r="D3073" s="53" t="inlineStr">
        <is>
          <t>Powerplant</t>
        </is>
      </c>
      <c r="E3073" s="53" t="inlineStr">
        <is>
          <t>2025-05-29</t>
        </is>
      </c>
      <c r="F3073" s="53">
        <v>7</v>
      </c>
      <c r="G3073" s="53">
        <v>0</v>
      </c>
      <c r="H3073" s="51" t="str">
        <f>TEXT(tblLaborEntries[[#This Row],[Work date serial]]-WEEKDAY(tblLaborEntries[[#This Row],[Work date serial]],3),"yyyy-mm-dd")</f>
        <v>2025-05-26</v>
      </c>
      <c r="I3073" s="64">
        <f>DATEVALUE(tblLaborEntries[[#This Row],[Work date]])</f>
        <v>45806.0</v>
      </c>
    </row>
    <row r="3074" spans="1:9" ht="15" x14ac:dyDescent="0.25">
      <c r="A3074" s="53" t="inlineStr">
        <is>
          <t>LAB-003073</t>
        </is>
      </c>
      <c r="B3074" s="53" t="inlineStr">
        <is>
          <t>WP-01354</t>
        </is>
      </c>
      <c r="C3074" s="53" t="inlineStr">
        <is>
          <t>TECH-030</t>
        </is>
      </c>
      <c r="D3074" s="53" t="inlineStr">
        <is>
          <t>Powerplant</t>
        </is>
      </c>
      <c r="E3074" s="53" t="inlineStr">
        <is>
          <t>2024-11-06</t>
        </is>
      </c>
      <c r="F3074" s="53">
        <v>9.2</v>
      </c>
      <c r="G3074" s="53">
        <v>1.2</v>
      </c>
      <c r="H3074" s="51" t="str">
        <f>TEXT(tblLaborEntries[[#This Row],[Work date serial]]-WEEKDAY(tblLaborEntries[[#This Row],[Work date serial]],3),"yyyy-mm-dd")</f>
        <v>2024-11-04</v>
      </c>
      <c r="I3074" s="64">
        <f>DATEVALUE(tblLaborEntries[[#This Row],[Work date]])</f>
        <v>45602.0</v>
      </c>
    </row>
    <row r="3075" spans="1:9" ht="15" x14ac:dyDescent="0.25">
      <c r="A3075" s="53" t="inlineStr">
        <is>
          <t>LAB-003074</t>
        </is>
      </c>
      <c r="B3075" s="53" t="inlineStr">
        <is>
          <t>WP-01354</t>
        </is>
      </c>
      <c r="C3075" s="53" t="inlineStr">
        <is>
          <t>TECH-060</t>
        </is>
      </c>
      <c r="D3075" s="53" t="inlineStr">
        <is>
          <t>Powerplant</t>
        </is>
      </c>
      <c r="E3075" s="53" t="inlineStr">
        <is>
          <t>2024-11-07</t>
        </is>
      </c>
      <c r="F3075" s="53">
        <v>6.8</v>
      </c>
      <c r="G3075" s="53">
        <v>0</v>
      </c>
      <c r="H3075" s="51" t="str">
        <f>TEXT(tblLaborEntries[[#This Row],[Work date serial]]-WEEKDAY(tblLaborEntries[[#This Row],[Work date serial]],3),"yyyy-mm-dd")</f>
        <v>2024-11-04</v>
      </c>
      <c r="I3075" s="64">
        <f>DATEVALUE(tblLaborEntries[[#This Row],[Work date]])</f>
        <v>45603.0</v>
      </c>
    </row>
    <row r="3076" spans="1:9" ht="15" x14ac:dyDescent="0.25">
      <c r="A3076" s="53" t="inlineStr">
        <is>
          <t>LAB-003075</t>
        </is>
      </c>
      <c r="B3076" s="53" t="inlineStr">
        <is>
          <t>WP-01354</t>
        </is>
      </c>
      <c r="C3076" s="53" t="inlineStr">
        <is>
          <t>TECH-024</t>
        </is>
      </c>
      <c r="D3076" s="53" t="inlineStr">
        <is>
          <t>Powerplant</t>
        </is>
      </c>
      <c r="E3076" s="53" t="inlineStr">
        <is>
          <t>2024-11-08</t>
        </is>
      </c>
      <c r="F3076" s="53">
        <v>8.5</v>
      </c>
      <c r="G3076" s="53">
        <v>0.5</v>
      </c>
      <c r="H3076" s="51" t="str">
        <f>TEXT(tblLaborEntries[[#This Row],[Work date serial]]-WEEKDAY(tblLaborEntries[[#This Row],[Work date serial]],3),"yyyy-mm-dd")</f>
        <v>2024-11-04</v>
      </c>
      <c r="I3076" s="64">
        <f>DATEVALUE(tblLaborEntries[[#This Row],[Work date]])</f>
        <v>45604.0</v>
      </c>
    </row>
    <row r="3077" spans="1:9" ht="15" x14ac:dyDescent="0.25">
      <c r="A3077" s="53" t="inlineStr">
        <is>
          <t>LAB-003076</t>
        </is>
      </c>
      <c r="B3077" s="53" t="inlineStr">
        <is>
          <t>WP-01355</t>
        </is>
      </c>
      <c r="C3077" s="53" t="inlineStr">
        <is>
          <t>TECH-056</t>
        </is>
      </c>
      <c r="D3077" s="53" t="inlineStr">
        <is>
          <t>Avionics</t>
        </is>
      </c>
      <c r="E3077" s="53" t="inlineStr">
        <is>
          <t>2024-04-06</t>
        </is>
      </c>
      <c r="F3077" s="53">
        <v>3.5</v>
      </c>
      <c r="G3077" s="53">
        <v>0</v>
      </c>
      <c r="H3077" s="51" t="str">
        <f>TEXT(tblLaborEntries[[#This Row],[Work date serial]]-WEEKDAY(tblLaborEntries[[#This Row],[Work date serial]],3),"yyyy-mm-dd")</f>
        <v>2024-04-01</v>
      </c>
      <c r="I3077" s="64">
        <f>DATEVALUE(tblLaborEntries[[#This Row],[Work date]])</f>
        <v>45388.0</v>
      </c>
    </row>
    <row r="3078" spans="1:9" ht="15" x14ac:dyDescent="0.25">
      <c r="A3078" s="53" t="inlineStr">
        <is>
          <t>LAB-003077</t>
        </is>
      </c>
      <c r="B3078" s="53" t="inlineStr">
        <is>
          <t>WP-01355</t>
        </is>
      </c>
      <c r="C3078" s="53" t="inlineStr">
        <is>
          <t>TECH-038</t>
        </is>
      </c>
      <c r="D3078" s="53" t="inlineStr">
        <is>
          <t>Avionics</t>
        </is>
      </c>
      <c r="E3078" s="53" t="inlineStr">
        <is>
          <t>2024-04-07</t>
        </is>
      </c>
      <c r="F3078" s="53">
        <v>4.6</v>
      </c>
      <c r="G3078" s="53">
        <v>0</v>
      </c>
      <c r="H3078" s="51" t="str">
        <f>TEXT(tblLaborEntries[[#This Row],[Work date serial]]-WEEKDAY(tblLaborEntries[[#This Row],[Work date serial]],3),"yyyy-mm-dd")</f>
        <v>2024-04-01</v>
      </c>
      <c r="I3078" s="64">
        <f>DATEVALUE(tblLaborEntries[[#This Row],[Work date]])</f>
        <v>45389.0</v>
      </c>
    </row>
    <row r="3079" spans="1:9" ht="15" x14ac:dyDescent="0.25">
      <c r="A3079" s="53" t="inlineStr">
        <is>
          <t>LAB-003078</t>
        </is>
      </c>
      <c r="B3079" s="53" t="inlineStr">
        <is>
          <t>WP-01356</t>
        </is>
      </c>
      <c r="C3079" s="53" t="inlineStr">
        <is>
          <t>TECH-023</t>
        </is>
      </c>
      <c r="D3079" s="53" t="inlineStr">
        <is>
          <t>Structures</t>
        </is>
      </c>
      <c r="E3079" s="53" t="inlineStr">
        <is>
          <t>2025-12-23</t>
        </is>
      </c>
      <c r="F3079" s="53">
        <v>7.2</v>
      </c>
      <c r="G3079" s="53">
        <v>0</v>
      </c>
      <c r="H3079" s="51" t="str">
        <f>TEXT(tblLaborEntries[[#This Row],[Work date serial]]-WEEKDAY(tblLaborEntries[[#This Row],[Work date serial]],3),"yyyy-mm-dd")</f>
        <v>2025-12-22</v>
      </c>
      <c r="I3079" s="64">
        <f>DATEVALUE(tblLaborEntries[[#This Row],[Work date]])</f>
        <v>46014.0</v>
      </c>
    </row>
    <row r="3080" spans="1:9" ht="15" x14ac:dyDescent="0.25">
      <c r="A3080" s="53" t="inlineStr">
        <is>
          <t>LAB-003079</t>
        </is>
      </c>
      <c r="B3080" s="53" t="inlineStr">
        <is>
          <t>WP-01356</t>
        </is>
      </c>
      <c r="C3080" s="53" t="inlineStr">
        <is>
          <t>TECH-017</t>
        </is>
      </c>
      <c r="D3080" s="53" t="inlineStr">
        <is>
          <t>Structures</t>
        </is>
      </c>
      <c r="E3080" s="53" t="inlineStr">
        <is>
          <t>2025-12-24</t>
        </is>
      </c>
      <c r="F3080" s="53">
        <v>6.7</v>
      </c>
      <c r="G3080" s="53">
        <v>0</v>
      </c>
      <c r="H3080" s="51" t="str">
        <f>TEXT(tblLaborEntries[[#This Row],[Work date serial]]-WEEKDAY(tblLaborEntries[[#This Row],[Work date serial]],3),"yyyy-mm-dd")</f>
        <v>2025-12-22</v>
      </c>
      <c r="I3080" s="64">
        <f>DATEVALUE(tblLaborEntries[[#This Row],[Work date]])</f>
        <v>46015.0</v>
      </c>
    </row>
    <row r="3081" spans="1:9" ht="15" x14ac:dyDescent="0.25">
      <c r="A3081" s="53" t="inlineStr">
        <is>
          <t>LAB-003080</t>
        </is>
      </c>
      <c r="B3081" s="53" t="inlineStr">
        <is>
          <t>WP-01356</t>
        </is>
      </c>
      <c r="C3081" s="53" t="inlineStr">
        <is>
          <t>TECH-023</t>
        </is>
      </c>
      <c r="D3081" s="53" t="inlineStr">
        <is>
          <t>Structures</t>
        </is>
      </c>
      <c r="E3081" s="53" t="inlineStr">
        <is>
          <t>2025-12-25</t>
        </is>
      </c>
      <c r="F3081" s="53">
        <v>5.6</v>
      </c>
      <c r="G3081" s="53">
        <v>0</v>
      </c>
      <c r="H3081" s="51" t="str">
        <f>TEXT(tblLaborEntries[[#This Row],[Work date serial]]-WEEKDAY(tblLaborEntries[[#This Row],[Work date serial]],3),"yyyy-mm-dd")</f>
        <v>2025-12-22</v>
      </c>
      <c r="I3081" s="64">
        <f>DATEVALUE(tblLaborEntries[[#This Row],[Work date]])</f>
        <v>46016.0</v>
      </c>
    </row>
    <row r="3082" spans="1:9" ht="15" x14ac:dyDescent="0.25">
      <c r="A3082" s="53" t="inlineStr">
        <is>
          <t>LAB-003081</t>
        </is>
      </c>
      <c r="B3082" s="53" t="inlineStr">
        <is>
          <t>WP-01357</t>
        </is>
      </c>
      <c r="C3082" s="53" t="inlineStr">
        <is>
          <t>TECH-049</t>
        </is>
      </c>
      <c r="D3082" s="53" t="inlineStr">
        <is>
          <t>Airframe</t>
        </is>
      </c>
      <c r="E3082" s="53" t="inlineStr">
        <is>
          <t>2024-10-29</t>
        </is>
      </c>
      <c r="F3082" s="53">
        <v>4.1</v>
      </c>
      <c r="G3082" s="53">
        <v>0</v>
      </c>
      <c r="H3082" s="51" t="str">
        <f>TEXT(tblLaborEntries[[#This Row],[Work date serial]]-WEEKDAY(tblLaborEntries[[#This Row],[Work date serial]],3),"yyyy-mm-dd")</f>
        <v>2024-10-28</v>
      </c>
      <c r="I3082" s="64">
        <f>DATEVALUE(tblLaborEntries[[#This Row],[Work date]])</f>
        <v>45594.0</v>
      </c>
    </row>
    <row r="3083" spans="1:9" ht="15" x14ac:dyDescent="0.25">
      <c r="A3083" s="53" t="inlineStr">
        <is>
          <t>LAB-003082</t>
        </is>
      </c>
      <c r="B3083" s="53" t="inlineStr">
        <is>
          <t>WP-01358</t>
        </is>
      </c>
      <c r="C3083" s="53" t="inlineStr">
        <is>
          <t>TECH-018</t>
        </is>
      </c>
      <c r="D3083" s="53" t="inlineStr">
        <is>
          <t>Powerplant</t>
        </is>
      </c>
      <c r="E3083" s="53" t="inlineStr">
        <is>
          <t>2025-10-04</t>
        </is>
      </c>
      <c r="F3083" s="53">
        <v>6.1</v>
      </c>
      <c r="G3083" s="53">
        <v>0</v>
      </c>
      <c r="H3083" s="51" t="str">
        <f>TEXT(tblLaborEntries[[#This Row],[Work date serial]]-WEEKDAY(tblLaborEntries[[#This Row],[Work date serial]],3),"yyyy-mm-dd")</f>
        <v>2025-09-29</v>
      </c>
      <c r="I3083" s="64">
        <f>DATEVALUE(tblLaborEntries[[#This Row],[Work date]])</f>
        <v>45934.0</v>
      </c>
    </row>
    <row r="3084" spans="1:9" ht="15" x14ac:dyDescent="0.25">
      <c r="A3084" s="53" t="inlineStr">
        <is>
          <t>LAB-003083</t>
        </is>
      </c>
      <c r="B3084" s="53" t="inlineStr">
        <is>
          <t>WP-01358</t>
        </is>
      </c>
      <c r="C3084" s="53" t="inlineStr">
        <is>
          <t>TECH-054</t>
        </is>
      </c>
      <c r="D3084" s="53" t="inlineStr">
        <is>
          <t>Powerplant</t>
        </is>
      </c>
      <c r="E3084" s="53" t="inlineStr">
        <is>
          <t>2025-10-05</t>
        </is>
      </c>
      <c r="F3084" s="53">
        <v>5.3</v>
      </c>
      <c r="G3084" s="53">
        <v>4</v>
      </c>
      <c r="H3084" s="51" t="str">
        <f>TEXT(tblLaborEntries[[#This Row],[Work date serial]]-WEEKDAY(tblLaborEntries[[#This Row],[Work date serial]],3),"yyyy-mm-dd")</f>
        <v>2025-09-29</v>
      </c>
      <c r="I3084" s="64">
        <f>DATEVALUE(tblLaborEntries[[#This Row],[Work date]])</f>
        <v>45935.0</v>
      </c>
    </row>
    <row r="3085" spans="1:9" ht="15" x14ac:dyDescent="0.25">
      <c r="A3085" s="53" t="inlineStr">
        <is>
          <t>LAB-003084</t>
        </is>
      </c>
      <c r="B3085" s="53" t="inlineStr">
        <is>
          <t>WP-01359</t>
        </is>
      </c>
      <c r="C3085" s="53" t="inlineStr">
        <is>
          <t>TECH-039</t>
        </is>
      </c>
      <c r="D3085" s="53" t="inlineStr">
        <is>
          <t>Hydraulics</t>
        </is>
      </c>
      <c r="E3085" s="53" t="inlineStr">
        <is>
          <t>2024-04-21</t>
        </is>
      </c>
      <c r="F3085" s="53">
        <v>5.5</v>
      </c>
      <c r="G3085" s="53">
        <v>0</v>
      </c>
      <c r="H3085" s="51" t="str">
        <f>TEXT(tblLaborEntries[[#This Row],[Work date serial]]-WEEKDAY(tblLaborEntries[[#This Row],[Work date serial]],3),"yyyy-mm-dd")</f>
        <v>2024-04-15</v>
      </c>
      <c r="I3085" s="64">
        <f>DATEVALUE(tblLaborEntries[[#This Row],[Work date]])</f>
        <v>45403.0</v>
      </c>
    </row>
    <row r="3086" spans="1:9" ht="15" x14ac:dyDescent="0.25">
      <c r="A3086" s="53" t="inlineStr">
        <is>
          <t>LAB-003085</t>
        </is>
      </c>
      <c r="B3086" s="53" t="inlineStr">
        <is>
          <t>WP-01359</t>
        </is>
      </c>
      <c r="C3086" s="53" t="inlineStr">
        <is>
          <t>TECH-003</t>
        </is>
      </c>
      <c r="D3086" s="53" t="inlineStr">
        <is>
          <t>Hydraulics</t>
        </is>
      </c>
      <c r="E3086" s="53" t="inlineStr">
        <is>
          <t>2024-04-22</t>
        </is>
      </c>
      <c r="F3086" s="53">
        <v>7.8</v>
      </c>
      <c r="G3086" s="53">
        <v>2.9</v>
      </c>
      <c r="H3086" s="51" t="str">
        <f>TEXT(tblLaborEntries[[#This Row],[Work date serial]]-WEEKDAY(tblLaborEntries[[#This Row],[Work date serial]],3),"yyyy-mm-dd")</f>
        <v>2024-04-22</v>
      </c>
      <c r="I3086" s="64">
        <f>DATEVALUE(tblLaborEntries[[#This Row],[Work date]])</f>
        <v>45404.0</v>
      </c>
    </row>
    <row r="3087" spans="1:9" ht="15" x14ac:dyDescent="0.25">
      <c r="A3087" s="53" t="inlineStr">
        <is>
          <t>LAB-003086</t>
        </is>
      </c>
      <c r="B3087" s="53" t="inlineStr">
        <is>
          <t>WP-01360</t>
        </is>
      </c>
      <c r="C3087" s="53" t="inlineStr">
        <is>
          <t>TECH-018</t>
        </is>
      </c>
      <c r="D3087" s="53" t="inlineStr">
        <is>
          <t>Powerplant</t>
        </is>
      </c>
      <c r="E3087" s="53" t="inlineStr">
        <is>
          <t>2024-11-06</t>
        </is>
      </c>
      <c r="F3087" s="53">
        <v>4.1</v>
      </c>
      <c r="G3087" s="53">
        <v>0</v>
      </c>
      <c r="H3087" s="51" t="str">
        <f>TEXT(tblLaborEntries[[#This Row],[Work date serial]]-WEEKDAY(tblLaborEntries[[#This Row],[Work date serial]],3),"yyyy-mm-dd")</f>
        <v>2024-11-04</v>
      </c>
      <c r="I3087" s="64">
        <f>DATEVALUE(tblLaborEntries[[#This Row],[Work date]])</f>
        <v>45602.0</v>
      </c>
    </row>
    <row r="3088" spans="1:9" ht="15" x14ac:dyDescent="0.25">
      <c r="A3088" s="53" t="inlineStr">
        <is>
          <t>LAB-003087</t>
        </is>
      </c>
      <c r="B3088" s="53" t="inlineStr">
        <is>
          <t>WP-01360</t>
        </is>
      </c>
      <c r="C3088" s="53" t="inlineStr">
        <is>
          <t>TECH-036</t>
        </is>
      </c>
      <c r="D3088" s="53" t="inlineStr">
        <is>
          <t>Powerplant</t>
        </is>
      </c>
      <c r="E3088" s="53" t="inlineStr">
        <is>
          <t>2024-11-07</t>
        </is>
      </c>
      <c r="F3088" s="53">
        <v>4.5</v>
      </c>
      <c r="G3088" s="53">
        <v>0</v>
      </c>
      <c r="H3088" s="51" t="str">
        <f>TEXT(tblLaborEntries[[#This Row],[Work date serial]]-WEEKDAY(tblLaborEntries[[#This Row],[Work date serial]],3),"yyyy-mm-dd")</f>
        <v>2024-11-04</v>
      </c>
      <c r="I3088" s="64">
        <f>DATEVALUE(tblLaborEntries[[#This Row],[Work date]])</f>
        <v>45603.0</v>
      </c>
    </row>
    <row r="3089" spans="1:9" ht="15" x14ac:dyDescent="0.25">
      <c r="A3089" s="53" t="inlineStr">
        <is>
          <t>LAB-003088</t>
        </is>
      </c>
      <c r="B3089" s="53" t="inlineStr">
        <is>
          <t>WP-01361</t>
        </is>
      </c>
      <c r="C3089" s="53" t="inlineStr">
        <is>
          <t>TECH-032</t>
        </is>
      </c>
      <c r="D3089" s="53" t="inlineStr">
        <is>
          <t>Avionics</t>
        </is>
      </c>
      <c r="E3089" s="53" t="inlineStr">
        <is>
          <t>2024-04-07</t>
        </is>
      </c>
      <c r="F3089" s="53">
        <v>2.2</v>
      </c>
      <c r="G3089" s="53">
        <v>0</v>
      </c>
      <c r="H3089" s="51" t="str">
        <f>TEXT(tblLaborEntries[[#This Row],[Work date serial]]-WEEKDAY(tblLaborEntries[[#This Row],[Work date serial]],3),"yyyy-mm-dd")</f>
        <v>2024-04-01</v>
      </c>
      <c r="I3089" s="64">
        <f>DATEVALUE(tblLaborEntries[[#This Row],[Work date]])</f>
        <v>45389.0</v>
      </c>
    </row>
    <row r="3090" spans="1:9" ht="15" x14ac:dyDescent="0.25">
      <c r="A3090" s="53" t="inlineStr">
        <is>
          <t>LAB-003089</t>
        </is>
      </c>
      <c r="B3090" s="53" t="inlineStr">
        <is>
          <t>WP-01361</t>
        </is>
      </c>
      <c r="C3090" s="53" t="inlineStr">
        <is>
          <t>TECH-050</t>
        </is>
      </c>
      <c r="D3090" s="53" t="inlineStr">
        <is>
          <t>Avionics</t>
        </is>
      </c>
      <c r="E3090" s="53" t="inlineStr">
        <is>
          <t>2024-04-08</t>
        </is>
      </c>
      <c r="F3090" s="53">
        <v>2.3</v>
      </c>
      <c r="G3090" s="53">
        <v>0</v>
      </c>
      <c r="H3090" s="51" t="str">
        <f>TEXT(tblLaborEntries[[#This Row],[Work date serial]]-WEEKDAY(tblLaborEntries[[#This Row],[Work date serial]],3),"yyyy-mm-dd")</f>
        <v>2024-04-08</v>
      </c>
      <c r="I3090" s="64">
        <f>DATEVALUE(tblLaborEntries[[#This Row],[Work date]])</f>
        <v>45390.0</v>
      </c>
    </row>
    <row r="3091" spans="1:9" ht="15" x14ac:dyDescent="0.25">
      <c r="A3091" s="53" t="inlineStr">
        <is>
          <t>LAB-003090</t>
        </is>
      </c>
      <c r="B3091" s="53" t="inlineStr">
        <is>
          <t>WP-01361</t>
        </is>
      </c>
      <c r="C3091" s="53" t="inlineStr">
        <is>
          <t>TECH-074</t>
        </is>
      </c>
      <c r="D3091" s="53" t="inlineStr">
        <is>
          <t>Avionics</t>
        </is>
      </c>
      <c r="E3091" s="53" t="inlineStr">
        <is>
          <t>2024-04-09</t>
        </is>
      </c>
      <c r="F3091" s="53">
        <v>3.6</v>
      </c>
      <c r="G3091" s="53">
        <v>0</v>
      </c>
      <c r="H3091" s="51" t="str">
        <f>TEXT(tblLaborEntries[[#This Row],[Work date serial]]-WEEKDAY(tblLaborEntries[[#This Row],[Work date serial]],3),"yyyy-mm-dd")</f>
        <v>2024-04-08</v>
      </c>
      <c r="I3091" s="64">
        <f>DATEVALUE(tblLaborEntries[[#This Row],[Work date]])</f>
        <v>45391.0</v>
      </c>
    </row>
    <row r="3092" spans="1:9" ht="15" x14ac:dyDescent="0.25">
      <c r="A3092" s="53" t="inlineStr">
        <is>
          <t>LAB-003091</t>
        </is>
      </c>
      <c r="B3092" s="53" t="inlineStr">
        <is>
          <t>WP-01362</t>
        </is>
      </c>
      <c r="C3092" s="53" t="inlineStr">
        <is>
          <t>TECH-066</t>
        </is>
      </c>
      <c r="D3092" s="53" t="inlineStr">
        <is>
          <t>Powerplant</t>
        </is>
      </c>
      <c r="E3092" s="53" t="inlineStr">
        <is>
          <t>2024-02-28</t>
        </is>
      </c>
      <c r="F3092" s="53">
        <v>4.2</v>
      </c>
      <c r="G3092" s="53">
        <v>0</v>
      </c>
      <c r="H3092" s="51" t="str">
        <f>TEXT(tblLaborEntries[[#This Row],[Work date serial]]-WEEKDAY(tblLaborEntries[[#This Row],[Work date serial]],3),"yyyy-mm-dd")</f>
        <v>2024-02-26</v>
      </c>
      <c r="I3092" s="64">
        <f>DATEVALUE(tblLaborEntries[[#This Row],[Work date]])</f>
        <v>45350.0</v>
      </c>
    </row>
    <row r="3093" spans="1:9" ht="15" x14ac:dyDescent="0.25">
      <c r="A3093" s="53" t="inlineStr">
        <is>
          <t>LAB-003092</t>
        </is>
      </c>
      <c r="B3093" s="53" t="inlineStr">
        <is>
          <t>WP-01362</t>
        </is>
      </c>
      <c r="C3093" s="53" t="inlineStr">
        <is>
          <t>TECH-030</t>
        </is>
      </c>
      <c r="D3093" s="53" t="inlineStr">
        <is>
          <t>Powerplant</t>
        </is>
      </c>
      <c r="E3093" s="53" t="inlineStr">
        <is>
          <t>2024-02-29</t>
        </is>
      </c>
      <c r="F3093" s="53">
        <v>5.7</v>
      </c>
      <c r="G3093" s="53">
        <v>0</v>
      </c>
      <c r="H3093" s="51" t="str">
        <f>TEXT(tblLaborEntries[[#This Row],[Work date serial]]-WEEKDAY(tblLaborEntries[[#This Row],[Work date serial]],3),"yyyy-mm-dd")</f>
        <v>2024-02-26</v>
      </c>
      <c r="I3093" s="64">
        <f>DATEVALUE(tblLaborEntries[[#This Row],[Work date]])</f>
        <v>45351.0</v>
      </c>
    </row>
    <row r="3094" spans="1:9" ht="15" x14ac:dyDescent="0.25">
      <c r="A3094" s="53" t="inlineStr">
        <is>
          <t>LAB-003093</t>
        </is>
      </c>
      <c r="B3094" s="53" t="inlineStr">
        <is>
          <t>WP-01363</t>
        </is>
      </c>
      <c r="C3094" s="53" t="inlineStr">
        <is>
          <t>TECH-043</t>
        </is>
      </c>
      <c r="D3094" s="53" t="inlineStr">
        <is>
          <t>Airframe</t>
        </is>
      </c>
      <c r="E3094" s="53" t="inlineStr">
        <is>
          <t>2024-11-20</t>
        </is>
      </c>
      <c r="F3094" s="53">
        <v>3.8</v>
      </c>
      <c r="G3094" s="53">
        <v>0</v>
      </c>
      <c r="H3094" s="51" t="str">
        <f>TEXT(tblLaborEntries[[#This Row],[Work date serial]]-WEEKDAY(tblLaborEntries[[#This Row],[Work date serial]],3),"yyyy-mm-dd")</f>
        <v>2024-11-18</v>
      </c>
      <c r="I3094" s="64">
        <f>DATEVALUE(tblLaborEntries[[#This Row],[Work date]])</f>
        <v>45616.0</v>
      </c>
    </row>
    <row r="3095" spans="1:9" ht="15" x14ac:dyDescent="0.25">
      <c r="A3095" s="53" t="inlineStr">
        <is>
          <t>LAB-003094</t>
        </is>
      </c>
      <c r="B3095" s="53" t="inlineStr">
        <is>
          <t>WP-01364</t>
        </is>
      </c>
      <c r="C3095" s="53" t="inlineStr">
        <is>
          <t>TECH-010</t>
        </is>
      </c>
      <c r="D3095" s="53" t="inlineStr">
        <is>
          <t>Electrical</t>
        </is>
      </c>
      <c r="E3095" s="53" t="inlineStr">
        <is>
          <t>2025-02-12</t>
        </is>
      </c>
      <c r="F3095" s="53">
        <v>7.6</v>
      </c>
      <c r="G3095" s="53">
        <v>0</v>
      </c>
      <c r="H3095" s="51" t="str">
        <f>TEXT(tblLaborEntries[[#This Row],[Work date serial]]-WEEKDAY(tblLaborEntries[[#This Row],[Work date serial]],3),"yyyy-mm-dd")</f>
        <v>2025-02-10</v>
      </c>
      <c r="I3095" s="64">
        <f>DATEVALUE(tblLaborEntries[[#This Row],[Work date]])</f>
        <v>45700.0</v>
      </c>
    </row>
    <row r="3096" spans="1:9" ht="15" x14ac:dyDescent="0.25">
      <c r="A3096" s="53" t="inlineStr">
        <is>
          <t>LAB-003095</t>
        </is>
      </c>
      <c r="B3096" s="53" t="inlineStr">
        <is>
          <t>WP-01364</t>
        </is>
      </c>
      <c r="C3096" s="53" t="inlineStr">
        <is>
          <t>TECH-052</t>
        </is>
      </c>
      <c r="D3096" s="53" t="inlineStr">
        <is>
          <t>Electrical</t>
        </is>
      </c>
      <c r="E3096" s="53" t="inlineStr">
        <is>
          <t>2025-02-13</t>
        </is>
      </c>
      <c r="F3096" s="53">
        <v>8.9</v>
      </c>
      <c r="G3096" s="53">
        <v>0.9</v>
      </c>
      <c r="H3096" s="51" t="str">
        <f>TEXT(tblLaborEntries[[#This Row],[Work date serial]]-WEEKDAY(tblLaborEntries[[#This Row],[Work date serial]],3),"yyyy-mm-dd")</f>
        <v>2025-02-10</v>
      </c>
      <c r="I3096" s="64">
        <f>DATEVALUE(tblLaborEntries[[#This Row],[Work date]])</f>
        <v>45701.0</v>
      </c>
    </row>
    <row r="3097" spans="1:9" ht="15" x14ac:dyDescent="0.25">
      <c r="A3097" s="53" t="inlineStr">
        <is>
          <t>LAB-003096</t>
        </is>
      </c>
      <c r="B3097" s="53" t="inlineStr">
        <is>
          <t>WP-01364</t>
        </is>
      </c>
      <c r="C3097" s="53" t="inlineStr">
        <is>
          <t>TECH-028</t>
        </is>
      </c>
      <c r="D3097" s="53" t="inlineStr">
        <is>
          <t>Electrical</t>
        </is>
      </c>
      <c r="E3097" s="53" t="inlineStr">
        <is>
          <t>2025-02-14</t>
        </is>
      </c>
      <c r="F3097" s="53">
        <v>6.3</v>
      </c>
      <c r="G3097" s="53">
        <v>0</v>
      </c>
      <c r="H3097" s="51" t="str">
        <f>TEXT(tblLaborEntries[[#This Row],[Work date serial]]-WEEKDAY(tblLaborEntries[[#This Row],[Work date serial]],3),"yyyy-mm-dd")</f>
        <v>2025-02-10</v>
      </c>
      <c r="I3097" s="64">
        <f>DATEVALUE(tblLaborEntries[[#This Row],[Work date]])</f>
        <v>45702.0</v>
      </c>
    </row>
    <row r="3098" spans="1:9" ht="15" x14ac:dyDescent="0.25">
      <c r="A3098" s="53" t="inlineStr">
        <is>
          <t>LAB-003097</t>
        </is>
      </c>
      <c r="B3098" s="53" t="inlineStr">
        <is>
          <t>WP-01365</t>
        </is>
      </c>
      <c r="C3098" s="53" t="inlineStr">
        <is>
          <t>TECH-001</t>
        </is>
      </c>
      <c r="D3098" s="53" t="inlineStr">
        <is>
          <t>Airframe</t>
        </is>
      </c>
      <c r="E3098" s="53" t="inlineStr">
        <is>
          <t>2025-07-29</t>
        </is>
      </c>
      <c r="F3098" s="53">
        <v>0.5</v>
      </c>
      <c r="G3098" s="53">
        <v>0</v>
      </c>
      <c r="H3098" s="51" t="str">
        <f>TEXT(tblLaborEntries[[#This Row],[Work date serial]]-WEEKDAY(tblLaborEntries[[#This Row],[Work date serial]],3),"yyyy-mm-dd")</f>
        <v>2025-07-28</v>
      </c>
      <c r="I3098" s="64">
        <f>DATEVALUE(tblLaborEntries[[#This Row],[Work date]])</f>
        <v>45867.0</v>
      </c>
    </row>
    <row r="3099" spans="1:9" ht="15" x14ac:dyDescent="0.25">
      <c r="A3099" s="53" t="inlineStr">
        <is>
          <t>LAB-003098</t>
        </is>
      </c>
      <c r="B3099" s="53" t="inlineStr">
        <is>
          <t>WP-01365</t>
        </is>
      </c>
      <c r="C3099" s="53" t="inlineStr">
        <is>
          <t>TECH-043</t>
        </is>
      </c>
      <c r="D3099" s="53" t="inlineStr">
        <is>
          <t>Airframe</t>
        </is>
      </c>
      <c r="E3099" s="53" t="inlineStr">
        <is>
          <t>2025-07-29</t>
        </is>
      </c>
      <c r="F3099" s="53">
        <v>12</v>
      </c>
      <c r="G3099" s="53">
        <v>4</v>
      </c>
      <c r="H3099" s="51" t="str">
        <f>TEXT(tblLaborEntries[[#This Row],[Work date serial]]-WEEKDAY(tblLaborEntries[[#This Row],[Work date serial]],3),"yyyy-mm-dd")</f>
        <v>2025-07-28</v>
      </c>
      <c r="I3099" s="64">
        <f>DATEVALUE(tblLaborEntries[[#This Row],[Work date]])</f>
        <v>45867.0</v>
      </c>
    </row>
    <row r="3100" spans="1:9" ht="15" x14ac:dyDescent="0.25">
      <c r="A3100" s="53" t="inlineStr">
        <is>
          <t>LAB-003099</t>
        </is>
      </c>
      <c r="B3100" s="53" t="inlineStr">
        <is>
          <t>WP-01366</t>
        </is>
      </c>
      <c r="C3100" s="53" t="inlineStr">
        <is>
          <t>TECH-006</t>
        </is>
      </c>
      <c r="D3100" s="53" t="inlineStr">
        <is>
          <t>Powerplant</t>
        </is>
      </c>
      <c r="E3100" s="53" t="inlineStr">
        <is>
          <t>2025-09-02</t>
        </is>
      </c>
      <c r="F3100" s="53">
        <v>2</v>
      </c>
      <c r="G3100" s="53">
        <v>0</v>
      </c>
      <c r="H3100" s="51" t="str">
        <f>TEXT(tblLaborEntries[[#This Row],[Work date serial]]-WEEKDAY(tblLaborEntries[[#This Row],[Work date serial]],3),"yyyy-mm-dd")</f>
        <v>2025-09-01</v>
      </c>
      <c r="I3100" s="64">
        <f>DATEVALUE(tblLaborEntries[[#This Row],[Work date]])</f>
        <v>45902.0</v>
      </c>
    </row>
    <row r="3101" spans="1:9" ht="15" x14ac:dyDescent="0.25">
      <c r="A3101" s="53" t="inlineStr">
        <is>
          <t>LAB-003100</t>
        </is>
      </c>
      <c r="B3101" s="53" t="inlineStr">
        <is>
          <t>WP-01366</t>
        </is>
      </c>
      <c r="C3101" s="53" t="inlineStr">
        <is>
          <t>TECH-072</t>
        </is>
      </c>
      <c r="D3101" s="53" t="inlineStr">
        <is>
          <t>Powerplant</t>
        </is>
      </c>
      <c r="E3101" s="53" t="inlineStr">
        <is>
          <t>2025-09-02</t>
        </is>
      </c>
      <c r="F3101" s="53">
        <v>12</v>
      </c>
      <c r="G3101" s="53">
        <v>4</v>
      </c>
      <c r="H3101" s="51" t="str">
        <f>TEXT(tblLaborEntries[[#This Row],[Work date serial]]-WEEKDAY(tblLaborEntries[[#This Row],[Work date serial]],3),"yyyy-mm-dd")</f>
        <v>2025-09-01</v>
      </c>
      <c r="I3101" s="64">
        <f>DATEVALUE(tblLaborEntries[[#This Row],[Work date]])</f>
        <v>45902.0</v>
      </c>
    </row>
    <row r="3102" spans="1:9" ht="15" x14ac:dyDescent="0.25">
      <c r="A3102" s="53" t="inlineStr">
        <is>
          <t>LAB-003101</t>
        </is>
      </c>
      <c r="B3102" s="53" t="inlineStr">
        <is>
          <t>WP-01367</t>
        </is>
      </c>
      <c r="C3102" s="53" t="inlineStr">
        <is>
          <t>TECH-025</t>
        </is>
      </c>
      <c r="D3102" s="53" t="inlineStr">
        <is>
          <t>Airframe</t>
        </is>
      </c>
      <c r="E3102" s="53" t="inlineStr">
        <is>
          <t>2025-10-30</t>
        </is>
      </c>
      <c r="F3102" s="53">
        <v>2.7</v>
      </c>
      <c r="G3102" s="53">
        <v>0</v>
      </c>
      <c r="H3102" s="51" t="str">
        <f>TEXT(tblLaborEntries[[#This Row],[Work date serial]]-WEEKDAY(tblLaborEntries[[#This Row],[Work date serial]],3),"yyyy-mm-dd")</f>
        <v>2025-10-27</v>
      </c>
      <c r="I3102" s="64">
        <f>DATEVALUE(tblLaborEntries[[#This Row],[Work date]])</f>
        <v>45960.0</v>
      </c>
    </row>
    <row r="3103" spans="1:9" ht="15" x14ac:dyDescent="0.25">
      <c r="A3103" s="53" t="inlineStr">
        <is>
          <t>LAB-003102</t>
        </is>
      </c>
      <c r="B3103" s="53" t="inlineStr">
        <is>
          <t>WP-01367</t>
        </is>
      </c>
      <c r="C3103" s="53" t="inlineStr">
        <is>
          <t>TECH-055</t>
        </is>
      </c>
      <c r="D3103" s="53" t="inlineStr">
        <is>
          <t>Airframe</t>
        </is>
      </c>
      <c r="E3103" s="53" t="inlineStr">
        <is>
          <t>2025-10-31</t>
        </is>
      </c>
      <c r="F3103" s="53">
        <v>2.5</v>
      </c>
      <c r="G3103" s="53">
        <v>0</v>
      </c>
      <c r="H3103" s="51" t="str">
        <f>TEXT(tblLaborEntries[[#This Row],[Work date serial]]-WEEKDAY(tblLaborEntries[[#This Row],[Work date serial]],3),"yyyy-mm-dd")</f>
        <v>2025-10-27</v>
      </c>
      <c r="I3103" s="64">
        <f>DATEVALUE(tblLaborEntries[[#This Row],[Work date]])</f>
        <v>45961.0</v>
      </c>
    </row>
    <row r="3104" spans="1:9" ht="15" x14ac:dyDescent="0.25">
      <c r="A3104" s="53" t="inlineStr">
        <is>
          <t>LAB-003103</t>
        </is>
      </c>
      <c r="B3104" s="53" t="inlineStr">
        <is>
          <t>WP-01368</t>
        </is>
      </c>
      <c r="C3104" s="53" t="inlineStr">
        <is>
          <t>TECH-048</t>
        </is>
      </c>
      <c r="D3104" s="53" t="inlineStr">
        <is>
          <t>Powerplant</t>
        </is>
      </c>
      <c r="E3104" s="53" t="inlineStr">
        <is>
          <t>2025-10-28</t>
        </is>
      </c>
      <c r="F3104" s="53">
        <v>2.8</v>
      </c>
      <c r="G3104" s="53">
        <v>0</v>
      </c>
      <c r="H3104" s="51" t="str">
        <f>TEXT(tblLaborEntries[[#This Row],[Work date serial]]-WEEKDAY(tblLaborEntries[[#This Row],[Work date serial]],3),"yyyy-mm-dd")</f>
        <v>2025-10-27</v>
      </c>
      <c r="I3104" s="64">
        <f>DATEVALUE(tblLaborEntries[[#This Row],[Work date]])</f>
        <v>45958.0</v>
      </c>
    </row>
    <row r="3105" spans="1:9" ht="15" x14ac:dyDescent="0.25">
      <c r="A3105" s="53" t="inlineStr">
        <is>
          <t>LAB-003104</t>
        </is>
      </c>
      <c r="B3105" s="53" t="inlineStr">
        <is>
          <t>WP-01368</t>
        </is>
      </c>
      <c r="C3105" s="53" t="inlineStr">
        <is>
          <t>TECH-060</t>
        </is>
      </c>
      <c r="D3105" s="53" t="inlineStr">
        <is>
          <t>Powerplant</t>
        </is>
      </c>
      <c r="E3105" s="53" t="inlineStr">
        <is>
          <t>2025-10-29</t>
        </is>
      </c>
      <c r="F3105" s="53">
        <v>3.6</v>
      </c>
      <c r="G3105" s="53">
        <v>0</v>
      </c>
      <c r="H3105" s="51" t="str">
        <f>TEXT(tblLaborEntries[[#This Row],[Work date serial]]-WEEKDAY(tblLaborEntries[[#This Row],[Work date serial]],3),"yyyy-mm-dd")</f>
        <v>2025-10-27</v>
      </c>
      <c r="I3105" s="64">
        <f>DATEVALUE(tblLaborEntries[[#This Row],[Work date]])</f>
        <v>45959.0</v>
      </c>
    </row>
    <row r="3106" spans="1:9" ht="15" x14ac:dyDescent="0.25">
      <c r="A3106" s="53" t="inlineStr">
        <is>
          <t>LAB-003105</t>
        </is>
      </c>
      <c r="B3106" s="53" t="inlineStr">
        <is>
          <t>WP-01369</t>
        </is>
      </c>
      <c r="C3106" s="53" t="inlineStr">
        <is>
          <t>TECH-008</t>
        </is>
      </c>
      <c r="D3106" s="53" t="inlineStr">
        <is>
          <t>Avionics</t>
        </is>
      </c>
      <c r="E3106" s="53" t="inlineStr">
        <is>
          <t>2025-05-29</t>
        </is>
      </c>
      <c r="F3106" s="53">
        <v>1.2</v>
      </c>
      <c r="G3106" s="53">
        <v>0</v>
      </c>
      <c r="H3106" s="51" t="str">
        <f>TEXT(tblLaborEntries[[#This Row],[Work date serial]]-WEEKDAY(tblLaborEntries[[#This Row],[Work date serial]],3),"yyyy-mm-dd")</f>
        <v>2025-05-26</v>
      </c>
      <c r="I3106" s="64">
        <f>DATEVALUE(tblLaborEntries[[#This Row],[Work date]])</f>
        <v>45806.0</v>
      </c>
    </row>
    <row r="3107" spans="1:9" ht="15" x14ac:dyDescent="0.25">
      <c r="A3107" s="53" t="inlineStr">
        <is>
          <t>LAB-003106</t>
        </is>
      </c>
      <c r="B3107" s="53" t="inlineStr">
        <is>
          <t>WP-01369</t>
        </is>
      </c>
      <c r="C3107" s="53" t="inlineStr">
        <is>
          <t>TECH-020</t>
        </is>
      </c>
      <c r="D3107" s="53" t="inlineStr">
        <is>
          <t>Avionics</t>
        </is>
      </c>
      <c r="E3107" s="53" t="inlineStr">
        <is>
          <t>2025-05-29</t>
        </is>
      </c>
      <c r="F3107" s="53">
        <v>9.5</v>
      </c>
      <c r="G3107" s="53">
        <v>1.5</v>
      </c>
      <c r="H3107" s="51" t="str">
        <f>TEXT(tblLaborEntries[[#This Row],[Work date serial]]-WEEKDAY(tblLaborEntries[[#This Row],[Work date serial]],3),"yyyy-mm-dd")</f>
        <v>2025-05-26</v>
      </c>
      <c r="I3107" s="64">
        <f>DATEVALUE(tblLaborEntries[[#This Row],[Work date]])</f>
        <v>45806.0</v>
      </c>
    </row>
    <row r="3108" spans="1:9" ht="15" x14ac:dyDescent="0.25">
      <c r="A3108" s="53" t="inlineStr">
        <is>
          <t>LAB-003107</t>
        </is>
      </c>
      <c r="B3108" s="53" t="inlineStr">
        <is>
          <t>WP-01369</t>
        </is>
      </c>
      <c r="C3108" s="53" t="inlineStr">
        <is>
          <t>TECH-002</t>
        </is>
      </c>
      <c r="D3108" s="53" t="inlineStr">
        <is>
          <t>Avionics</t>
        </is>
      </c>
      <c r="E3108" s="53" t="inlineStr">
        <is>
          <t>2025-05-30</t>
        </is>
      </c>
      <c r="F3108" s="53">
        <v>11.8</v>
      </c>
      <c r="G3108" s="53">
        <v>3.8</v>
      </c>
      <c r="H3108" s="51" t="str">
        <f>TEXT(tblLaborEntries[[#This Row],[Work date serial]]-WEEKDAY(tblLaborEntries[[#This Row],[Work date serial]],3),"yyyy-mm-dd")</f>
        <v>2025-05-26</v>
      </c>
      <c r="I3108" s="64">
        <f>DATEVALUE(tblLaborEntries[[#This Row],[Work date]])</f>
        <v>45807.0</v>
      </c>
    </row>
    <row r="3109" spans="1:9" ht="15" x14ac:dyDescent="0.25">
      <c r="A3109" s="53" t="inlineStr">
        <is>
          <t>LAB-003108</t>
        </is>
      </c>
      <c r="B3109" s="53" t="inlineStr">
        <is>
          <t>WP-01370</t>
        </is>
      </c>
      <c r="C3109" s="53" t="inlineStr">
        <is>
          <t>TECH-010</t>
        </is>
      </c>
      <c r="D3109" s="53" t="inlineStr">
        <is>
          <t>Electrical</t>
        </is>
      </c>
      <c r="E3109" s="53" t="inlineStr">
        <is>
          <t>2025-09-04</t>
        </is>
      </c>
      <c r="F3109" s="53">
        <v>4.2</v>
      </c>
      <c r="G3109" s="53">
        <v>0</v>
      </c>
      <c r="H3109" s="51" t="str">
        <f>TEXT(tblLaborEntries[[#This Row],[Work date serial]]-WEEKDAY(tblLaborEntries[[#This Row],[Work date serial]],3),"yyyy-mm-dd")</f>
        <v>2025-09-01</v>
      </c>
      <c r="I3109" s="64">
        <f>DATEVALUE(tblLaborEntries[[#This Row],[Work date]])</f>
        <v>45904.0</v>
      </c>
    </row>
    <row r="3110" spans="1:9" ht="15" x14ac:dyDescent="0.25">
      <c r="A3110" s="53" t="inlineStr">
        <is>
          <t>LAB-003109</t>
        </is>
      </c>
      <c r="B3110" s="53" t="inlineStr">
        <is>
          <t>WP-01370</t>
        </is>
      </c>
      <c r="C3110" s="53" t="inlineStr">
        <is>
          <t>TECH-058</t>
        </is>
      </c>
      <c r="D3110" s="53" t="inlineStr">
        <is>
          <t>Electrical</t>
        </is>
      </c>
      <c r="E3110" s="53" t="inlineStr">
        <is>
          <t>2025-09-05</t>
        </is>
      </c>
      <c r="F3110" s="53">
        <v>4.4</v>
      </c>
      <c r="G3110" s="53">
        <v>0</v>
      </c>
      <c r="H3110" s="51" t="str">
        <f>TEXT(tblLaborEntries[[#This Row],[Work date serial]]-WEEKDAY(tblLaborEntries[[#This Row],[Work date serial]],3),"yyyy-mm-dd")</f>
        <v>2025-09-01</v>
      </c>
      <c r="I3110" s="64">
        <f>DATEVALUE(tblLaborEntries[[#This Row],[Work date]])</f>
        <v>45905.0</v>
      </c>
    </row>
    <row r="3111" spans="1:9" ht="15" x14ac:dyDescent="0.25">
      <c r="A3111" s="53" t="inlineStr">
        <is>
          <t>LAB-003110</t>
        </is>
      </c>
      <c r="B3111" s="53" t="inlineStr">
        <is>
          <t>WP-01371</t>
        </is>
      </c>
      <c r="C3111" s="53" t="inlineStr">
        <is>
          <t>TECH-001</t>
        </is>
      </c>
      <c r="D3111" s="53" t="inlineStr">
        <is>
          <t>Airframe</t>
        </is>
      </c>
      <c r="E3111" s="53" t="inlineStr">
        <is>
          <t>2025-06-29</t>
        </is>
      </c>
      <c r="F3111" s="53">
        <v>3.8</v>
      </c>
      <c r="G3111" s="53">
        <v>0</v>
      </c>
      <c r="H3111" s="51" t="str">
        <f>TEXT(tblLaborEntries[[#This Row],[Work date serial]]-WEEKDAY(tblLaborEntries[[#This Row],[Work date serial]],3),"yyyy-mm-dd")</f>
        <v>2025-06-23</v>
      </c>
      <c r="I3111" s="64">
        <f>DATEVALUE(tblLaborEntries[[#This Row],[Work date]])</f>
        <v>45837.0</v>
      </c>
    </row>
    <row r="3112" spans="1:9" ht="15" x14ac:dyDescent="0.25">
      <c r="A3112" s="53" t="inlineStr">
        <is>
          <t>LAB-003111</t>
        </is>
      </c>
      <c r="B3112" s="53" t="inlineStr">
        <is>
          <t>WP-01371</t>
        </is>
      </c>
      <c r="C3112" s="53" t="inlineStr">
        <is>
          <t>TECH-013</t>
        </is>
      </c>
      <c r="D3112" s="53" t="inlineStr">
        <is>
          <t>Airframe</t>
        </is>
      </c>
      <c r="E3112" s="53" t="inlineStr">
        <is>
          <t>2025-06-29</t>
        </is>
      </c>
      <c r="F3112" s="53">
        <v>12</v>
      </c>
      <c r="G3112" s="53">
        <v>4</v>
      </c>
      <c r="H3112" s="51" t="str">
        <f>TEXT(tblLaborEntries[[#This Row],[Work date serial]]-WEEKDAY(tblLaborEntries[[#This Row],[Work date serial]],3),"yyyy-mm-dd")</f>
        <v>2025-06-23</v>
      </c>
      <c r="I3112" s="64">
        <f>DATEVALUE(tblLaborEntries[[#This Row],[Work date]])</f>
        <v>45837.0</v>
      </c>
    </row>
    <row r="3113" spans="1:9" ht="15" x14ac:dyDescent="0.25">
      <c r="A3113" s="53" t="inlineStr">
        <is>
          <t>LAB-003112</t>
        </is>
      </c>
      <c r="B3113" s="53" t="inlineStr">
        <is>
          <t>WP-01372</t>
        </is>
      </c>
      <c r="C3113" s="53" t="inlineStr">
        <is>
          <t>TECH-061</t>
        </is>
      </c>
      <c r="D3113" s="53" t="inlineStr">
        <is>
          <t>Airframe</t>
        </is>
      </c>
      <c r="E3113" s="53" t="inlineStr">
        <is>
          <t>2024-10-07</t>
        </is>
      </c>
      <c r="F3113" s="53">
        <v>3.5</v>
      </c>
      <c r="G3113" s="53">
        <v>0</v>
      </c>
      <c r="H3113" s="51" t="str">
        <f>TEXT(tblLaborEntries[[#This Row],[Work date serial]]-WEEKDAY(tblLaborEntries[[#This Row],[Work date serial]],3),"yyyy-mm-dd")</f>
        <v>2024-10-07</v>
      </c>
      <c r="I3113" s="64">
        <f>DATEVALUE(tblLaborEntries[[#This Row],[Work date]])</f>
        <v>45572.0</v>
      </c>
    </row>
    <row r="3114" spans="1:9" ht="15" x14ac:dyDescent="0.25">
      <c r="A3114" s="53" t="inlineStr">
        <is>
          <t>LAB-003113</t>
        </is>
      </c>
      <c r="B3114" s="53" t="inlineStr">
        <is>
          <t>WP-01372</t>
        </is>
      </c>
      <c r="C3114" s="53" t="inlineStr">
        <is>
          <t>TECH-067</t>
        </is>
      </c>
      <c r="D3114" s="53" t="inlineStr">
        <is>
          <t>Airframe</t>
        </is>
      </c>
      <c r="E3114" s="53" t="inlineStr">
        <is>
          <t>2024-10-08</t>
        </is>
      </c>
      <c r="F3114" s="53">
        <v>3.2</v>
      </c>
      <c r="G3114" s="53">
        <v>0</v>
      </c>
      <c r="H3114" s="51" t="str">
        <f>TEXT(tblLaborEntries[[#This Row],[Work date serial]]-WEEKDAY(tblLaborEntries[[#This Row],[Work date serial]],3),"yyyy-mm-dd")</f>
        <v>2024-10-07</v>
      </c>
      <c r="I3114" s="64">
        <f>DATEVALUE(tblLaborEntries[[#This Row],[Work date]])</f>
        <v>45573.0</v>
      </c>
    </row>
    <row r="3115" spans="1:9" ht="15" x14ac:dyDescent="0.25">
      <c r="A3115" s="53" t="inlineStr">
        <is>
          <t>LAB-003114</t>
        </is>
      </c>
      <c r="B3115" s="53" t="inlineStr">
        <is>
          <t>WP-01373</t>
        </is>
      </c>
      <c r="C3115" s="53" t="inlineStr">
        <is>
          <t>TECH-044</t>
        </is>
      </c>
      <c r="D3115" s="53" t="inlineStr">
        <is>
          <t>Avionics</t>
        </is>
      </c>
      <c r="E3115" s="53" t="inlineStr">
        <is>
          <t>2025-04-21</t>
        </is>
      </c>
      <c r="F3115" s="53">
        <v>2.8</v>
      </c>
      <c r="G3115" s="53">
        <v>0</v>
      </c>
      <c r="H3115" s="51" t="str">
        <f>TEXT(tblLaborEntries[[#This Row],[Work date serial]]-WEEKDAY(tblLaborEntries[[#This Row],[Work date serial]],3),"yyyy-mm-dd")</f>
        <v>2025-04-21</v>
      </c>
      <c r="I3115" s="64">
        <f>DATEVALUE(tblLaborEntries[[#This Row],[Work date]])</f>
        <v>45768.0</v>
      </c>
    </row>
    <row r="3116" spans="1:9" ht="15" x14ac:dyDescent="0.25">
      <c r="A3116" s="53" t="inlineStr">
        <is>
          <t>LAB-003115</t>
        </is>
      </c>
      <c r="B3116" s="53" t="inlineStr">
        <is>
          <t>WP-01373</t>
        </is>
      </c>
      <c r="C3116" s="53" t="inlineStr">
        <is>
          <t>TECH-068</t>
        </is>
      </c>
      <c r="D3116" s="53" t="inlineStr">
        <is>
          <t>Avionics</t>
        </is>
      </c>
      <c r="E3116" s="53" t="inlineStr">
        <is>
          <t>2025-04-22</t>
        </is>
      </c>
      <c r="F3116" s="53">
        <v>2.3</v>
      </c>
      <c r="G3116" s="53">
        <v>0</v>
      </c>
      <c r="H3116" s="51" t="str">
        <f>TEXT(tblLaborEntries[[#This Row],[Work date serial]]-WEEKDAY(tblLaborEntries[[#This Row],[Work date serial]],3),"yyyy-mm-dd")</f>
        <v>2025-04-21</v>
      </c>
      <c r="I3116" s="64">
        <f>DATEVALUE(tblLaborEntries[[#This Row],[Work date]])</f>
        <v>45769.0</v>
      </c>
    </row>
    <row r="3117" spans="1:9" ht="15" x14ac:dyDescent="0.25">
      <c r="A3117" s="53" t="inlineStr">
        <is>
          <t>LAB-003116</t>
        </is>
      </c>
      <c r="B3117" s="53" t="inlineStr">
        <is>
          <t>WP-01374</t>
        </is>
      </c>
      <c r="C3117" s="53" t="inlineStr">
        <is>
          <t>TECH-013</t>
        </is>
      </c>
      <c r="D3117" s="53" t="inlineStr">
        <is>
          <t>Airframe</t>
        </is>
      </c>
      <c r="E3117" s="53" t="inlineStr">
        <is>
          <t>2025-11-14</t>
        </is>
      </c>
      <c r="F3117" s="53">
        <v>2.1</v>
      </c>
      <c r="G3117" s="53">
        <v>0</v>
      </c>
      <c r="H3117" s="51" t="str">
        <f>TEXT(tblLaborEntries[[#This Row],[Work date serial]]-WEEKDAY(tblLaborEntries[[#This Row],[Work date serial]],3),"yyyy-mm-dd")</f>
        <v>2025-11-10</v>
      </c>
      <c r="I3117" s="64">
        <f>DATEVALUE(tblLaborEntries[[#This Row],[Work date]])</f>
        <v>45975.0</v>
      </c>
    </row>
    <row r="3118" spans="1:9" ht="15" x14ac:dyDescent="0.25">
      <c r="A3118" s="53" t="inlineStr">
        <is>
          <t>LAB-003117</t>
        </is>
      </c>
      <c r="B3118" s="53" t="inlineStr">
        <is>
          <t>WP-01374</t>
        </is>
      </c>
      <c r="C3118" s="53" t="inlineStr">
        <is>
          <t>TECH-043</t>
        </is>
      </c>
      <c r="D3118" s="53" t="inlineStr">
        <is>
          <t>Airframe</t>
        </is>
      </c>
      <c r="E3118" s="53" t="inlineStr">
        <is>
          <t>2025-11-15</t>
        </is>
      </c>
      <c r="F3118" s="53">
        <v>2.1</v>
      </c>
      <c r="G3118" s="53">
        <v>0</v>
      </c>
      <c r="H3118" s="51" t="str">
        <f>TEXT(tblLaborEntries[[#This Row],[Work date serial]]-WEEKDAY(tblLaborEntries[[#This Row],[Work date serial]],3),"yyyy-mm-dd")</f>
        <v>2025-11-10</v>
      </c>
      <c r="I3118" s="64">
        <f>DATEVALUE(tblLaborEntries[[#This Row],[Work date]])</f>
        <v>45976.0</v>
      </c>
    </row>
    <row r="3119" spans="1:9" ht="15" x14ac:dyDescent="0.25">
      <c r="A3119" s="53" t="inlineStr">
        <is>
          <t>LAB-003118</t>
        </is>
      </c>
      <c r="B3119" s="53" t="inlineStr">
        <is>
          <t>WP-01375</t>
        </is>
      </c>
      <c r="C3119" s="53" t="inlineStr">
        <is>
          <t>TECH-049</t>
        </is>
      </c>
      <c r="D3119" s="53" t="inlineStr">
        <is>
          <t>Airframe</t>
        </is>
      </c>
      <c r="E3119" s="53" t="inlineStr">
        <is>
          <t>2025-06-03</t>
        </is>
      </c>
      <c r="F3119" s="53">
        <v>2.1</v>
      </c>
      <c r="G3119" s="53">
        <v>0</v>
      </c>
      <c r="H3119" s="51" t="str">
        <f>TEXT(tblLaborEntries[[#This Row],[Work date serial]]-WEEKDAY(tblLaborEntries[[#This Row],[Work date serial]],3),"yyyy-mm-dd")</f>
        <v>2025-06-02</v>
      </c>
      <c r="I3119" s="64">
        <f>DATEVALUE(tblLaborEntries[[#This Row],[Work date]])</f>
        <v>45811.0</v>
      </c>
    </row>
    <row r="3120" spans="1:9" ht="15" x14ac:dyDescent="0.25">
      <c r="A3120" s="53" t="inlineStr">
        <is>
          <t>LAB-003119</t>
        </is>
      </c>
      <c r="B3120" s="53" t="inlineStr">
        <is>
          <t>WP-01375</t>
        </is>
      </c>
      <c r="C3120" s="53" t="inlineStr">
        <is>
          <t>TECH-013</t>
        </is>
      </c>
      <c r="D3120" s="53" t="inlineStr">
        <is>
          <t>Airframe</t>
        </is>
      </c>
      <c r="E3120" s="53" t="inlineStr">
        <is>
          <t>2025-06-04</t>
        </is>
      </c>
      <c r="F3120" s="53">
        <v>3.3</v>
      </c>
      <c r="G3120" s="53">
        <v>0</v>
      </c>
      <c r="H3120" s="51" t="str">
        <f>TEXT(tblLaborEntries[[#This Row],[Work date serial]]-WEEKDAY(tblLaborEntries[[#This Row],[Work date serial]],3),"yyyy-mm-dd")</f>
        <v>2025-06-02</v>
      </c>
      <c r="I3120" s="64">
        <f>DATEVALUE(tblLaborEntries[[#This Row],[Work date]])</f>
        <v>45812.0</v>
      </c>
    </row>
    <row r="3121" spans="1:9" ht="15" x14ac:dyDescent="0.25">
      <c r="A3121" s="53" t="inlineStr">
        <is>
          <t>LAB-003120</t>
        </is>
      </c>
      <c r="B3121" s="53" t="inlineStr">
        <is>
          <t>WP-01375</t>
        </is>
      </c>
      <c r="C3121" s="53" t="inlineStr">
        <is>
          <t>TECH-025</t>
        </is>
      </c>
      <c r="D3121" s="53" t="inlineStr">
        <is>
          <t>Airframe</t>
        </is>
      </c>
      <c r="E3121" s="53" t="inlineStr">
        <is>
          <t>2025-06-05</t>
        </is>
      </c>
      <c r="F3121" s="53">
        <v>2.8</v>
      </c>
      <c r="G3121" s="53">
        <v>0</v>
      </c>
      <c r="H3121" s="51" t="str">
        <f>TEXT(tblLaborEntries[[#This Row],[Work date serial]]-WEEKDAY(tblLaborEntries[[#This Row],[Work date serial]],3),"yyyy-mm-dd")</f>
        <v>2025-06-02</v>
      </c>
      <c r="I3121" s="64">
        <f>DATEVALUE(tblLaborEntries[[#This Row],[Work date]])</f>
        <v>45813.0</v>
      </c>
    </row>
    <row r="3122" spans="1:9" ht="15" x14ac:dyDescent="0.25">
      <c r="A3122" s="53" t="inlineStr">
        <is>
          <t>LAB-003121</t>
        </is>
      </c>
      <c r="B3122" s="53" t="inlineStr">
        <is>
          <t>WP-01376</t>
        </is>
      </c>
      <c r="C3122" s="53" t="inlineStr">
        <is>
          <t>TECH-036</t>
        </is>
      </c>
      <c r="D3122" s="53" t="inlineStr">
        <is>
          <t>Powerplant</t>
        </is>
      </c>
      <c r="E3122" s="53" t="inlineStr">
        <is>
          <t>2025-09-01</t>
        </is>
      </c>
      <c r="F3122" s="53">
        <v>2.9</v>
      </c>
      <c r="G3122" s="53">
        <v>0</v>
      </c>
      <c r="H3122" s="51" t="str">
        <f>TEXT(tblLaborEntries[[#This Row],[Work date serial]]-WEEKDAY(tblLaborEntries[[#This Row],[Work date serial]],3),"yyyy-mm-dd")</f>
        <v>2025-09-01</v>
      </c>
      <c r="I3122" s="64">
        <f>DATEVALUE(tblLaborEntries[[#This Row],[Work date]])</f>
        <v>45901.0</v>
      </c>
    </row>
    <row r="3123" spans="1:9" ht="15" x14ac:dyDescent="0.25">
      <c r="A3123" s="53" t="inlineStr">
        <is>
          <t>LAB-003122</t>
        </is>
      </c>
      <c r="B3123" s="53" t="inlineStr">
        <is>
          <t>WP-01376</t>
        </is>
      </c>
      <c r="C3123" s="53" t="inlineStr">
        <is>
          <t>TECH-048</t>
        </is>
      </c>
      <c r="D3123" s="53" t="inlineStr">
        <is>
          <t>Powerplant</t>
        </is>
      </c>
      <c r="E3123" s="53" t="inlineStr">
        <is>
          <t>2025-09-02</t>
        </is>
      </c>
      <c r="F3123" s="53">
        <v>2.8</v>
      </c>
      <c r="G3123" s="53">
        <v>0</v>
      </c>
      <c r="H3123" s="51" t="str">
        <f>TEXT(tblLaborEntries[[#This Row],[Work date serial]]-WEEKDAY(tblLaborEntries[[#This Row],[Work date serial]],3),"yyyy-mm-dd")</f>
        <v>2025-09-01</v>
      </c>
      <c r="I3123" s="64">
        <f>DATEVALUE(tblLaborEntries[[#This Row],[Work date]])</f>
        <v>45902.0</v>
      </c>
    </row>
    <row r="3124" spans="1:9" ht="15" x14ac:dyDescent="0.25">
      <c r="A3124" s="53" t="inlineStr">
        <is>
          <t>LAB-003123</t>
        </is>
      </c>
      <c r="B3124" s="53" t="inlineStr">
        <is>
          <t>WP-01376</t>
        </is>
      </c>
      <c r="C3124" s="53" t="inlineStr">
        <is>
          <t>TECH-018</t>
        </is>
      </c>
      <c r="D3124" s="53" t="inlineStr">
        <is>
          <t>Powerplant</t>
        </is>
      </c>
      <c r="E3124" s="53" t="inlineStr">
        <is>
          <t>2025-09-03</t>
        </is>
      </c>
      <c r="F3124" s="53">
        <v>3.6</v>
      </c>
      <c r="G3124" s="53">
        <v>0</v>
      </c>
      <c r="H3124" s="51" t="str">
        <f>TEXT(tblLaborEntries[[#This Row],[Work date serial]]-WEEKDAY(tblLaborEntries[[#This Row],[Work date serial]],3),"yyyy-mm-dd")</f>
        <v>2025-09-01</v>
      </c>
      <c r="I3124" s="64">
        <f>DATEVALUE(tblLaborEntries[[#This Row],[Work date]])</f>
        <v>45903.0</v>
      </c>
    </row>
    <row r="3125" spans="1:9" ht="15" x14ac:dyDescent="0.25">
      <c r="A3125" s="53" t="inlineStr">
        <is>
          <t>LAB-003124</t>
        </is>
      </c>
      <c r="B3125" s="53" t="inlineStr">
        <is>
          <t>WP-01377</t>
        </is>
      </c>
      <c r="C3125" s="53" t="inlineStr">
        <is>
          <t>TECH-075</t>
        </is>
      </c>
      <c r="D3125" s="53" t="inlineStr">
        <is>
          <t>Hydraulics</t>
        </is>
      </c>
      <c r="E3125" s="53" t="inlineStr">
        <is>
          <t>2024-04-14</t>
        </is>
      </c>
      <c r="F3125" s="53">
        <v>6.1</v>
      </c>
      <c r="G3125" s="53">
        <v>0</v>
      </c>
      <c r="H3125" s="51" t="str">
        <f>TEXT(tblLaborEntries[[#This Row],[Work date serial]]-WEEKDAY(tblLaborEntries[[#This Row],[Work date serial]],3),"yyyy-mm-dd")</f>
        <v>2024-04-08</v>
      </c>
      <c r="I3125" s="64">
        <f>DATEVALUE(tblLaborEntries[[#This Row],[Work date]])</f>
        <v>45396.0</v>
      </c>
    </row>
    <row r="3126" spans="1:9" ht="15" x14ac:dyDescent="0.25">
      <c r="A3126" s="53" t="inlineStr">
        <is>
          <t>LAB-003125</t>
        </is>
      </c>
      <c r="B3126" s="53" t="inlineStr">
        <is>
          <t>WP-01378</t>
        </is>
      </c>
      <c r="C3126" s="53" t="inlineStr">
        <is>
          <t>TECH-031</t>
        </is>
      </c>
      <c r="D3126" s="53" t="inlineStr">
        <is>
          <t>Airframe</t>
        </is>
      </c>
      <c r="E3126" s="53" t="inlineStr">
        <is>
          <t>2024-01-19</t>
        </is>
      </c>
      <c r="F3126" s="53">
        <v>4.2</v>
      </c>
      <c r="G3126" s="53">
        <v>0</v>
      </c>
      <c r="H3126" s="51" t="str">
        <f>TEXT(tblLaborEntries[[#This Row],[Work date serial]]-WEEKDAY(tblLaborEntries[[#This Row],[Work date serial]],3),"yyyy-mm-dd")</f>
        <v>2024-01-15</v>
      </c>
      <c r="I3126" s="64">
        <f>DATEVALUE(tblLaborEntries[[#This Row],[Work date]])</f>
        <v>45310.0</v>
      </c>
    </row>
    <row r="3127" spans="1:9" ht="15" x14ac:dyDescent="0.25">
      <c r="A3127" s="53" t="inlineStr">
        <is>
          <t>LAB-003126</t>
        </is>
      </c>
      <c r="B3127" s="53" t="inlineStr">
        <is>
          <t>WP-01378</t>
        </is>
      </c>
      <c r="C3127" s="53" t="inlineStr">
        <is>
          <t>TECH-061</t>
        </is>
      </c>
      <c r="D3127" s="53" t="inlineStr">
        <is>
          <t>Airframe</t>
        </is>
      </c>
      <c r="E3127" s="53" t="inlineStr">
        <is>
          <t>2024-01-20</t>
        </is>
      </c>
      <c r="F3127" s="53">
        <v>4.7</v>
      </c>
      <c r="G3127" s="53">
        <v>0</v>
      </c>
      <c r="H3127" s="51" t="str">
        <f>TEXT(tblLaborEntries[[#This Row],[Work date serial]]-WEEKDAY(tblLaborEntries[[#This Row],[Work date serial]],3),"yyyy-mm-dd")</f>
        <v>2024-01-15</v>
      </c>
      <c r="I3127" s="64">
        <f>DATEVALUE(tblLaborEntries[[#This Row],[Work date]])</f>
        <v>45311.0</v>
      </c>
    </row>
    <row r="3128" spans="1:9" ht="15" x14ac:dyDescent="0.25">
      <c r="A3128" s="53" t="inlineStr">
        <is>
          <t>LAB-003127</t>
        </is>
      </c>
      <c r="B3128" s="53" t="inlineStr">
        <is>
          <t>WP-01379</t>
        </is>
      </c>
      <c r="C3128" s="53" t="inlineStr">
        <is>
          <t>TECH-020</t>
        </is>
      </c>
      <c r="D3128" s="53" t="inlineStr">
        <is>
          <t>Avionics</t>
        </is>
      </c>
      <c r="E3128" s="53" t="inlineStr">
        <is>
          <t>2024-07-08</t>
        </is>
      </c>
      <c r="F3128" s="53">
        <v>1.9</v>
      </c>
      <c r="G3128" s="53">
        <v>0</v>
      </c>
      <c r="H3128" s="51" t="str">
        <f>TEXT(tblLaborEntries[[#This Row],[Work date serial]]-WEEKDAY(tblLaborEntries[[#This Row],[Work date serial]],3),"yyyy-mm-dd")</f>
        <v>2024-07-08</v>
      </c>
      <c r="I3128" s="64">
        <f>DATEVALUE(tblLaborEntries[[#This Row],[Work date]])</f>
        <v>45481.0</v>
      </c>
    </row>
    <row r="3129" spans="1:9" ht="15" x14ac:dyDescent="0.25">
      <c r="A3129" s="53" t="inlineStr">
        <is>
          <t>LAB-003128</t>
        </is>
      </c>
      <c r="B3129" s="53" t="inlineStr">
        <is>
          <t>WP-01379</t>
        </is>
      </c>
      <c r="C3129" s="53" t="inlineStr">
        <is>
          <t>TECH-050</t>
        </is>
      </c>
      <c r="D3129" s="53" t="inlineStr">
        <is>
          <t>Avionics</t>
        </is>
      </c>
      <c r="E3129" s="53" t="inlineStr">
        <is>
          <t>2024-07-09</t>
        </is>
      </c>
      <c r="F3129" s="53">
        <v>1.7</v>
      </c>
      <c r="G3129" s="53">
        <v>0</v>
      </c>
      <c r="H3129" s="51" t="str">
        <f>TEXT(tblLaborEntries[[#This Row],[Work date serial]]-WEEKDAY(tblLaborEntries[[#This Row],[Work date serial]],3),"yyyy-mm-dd")</f>
        <v>2024-07-08</v>
      </c>
      <c r="I3129" s="64">
        <f>DATEVALUE(tblLaborEntries[[#This Row],[Work date]])</f>
        <v>45482.0</v>
      </c>
    </row>
    <row r="3130" spans="1:9" ht="15" x14ac:dyDescent="0.25">
      <c r="A3130" s="53" t="inlineStr">
        <is>
          <t>LAB-003129</t>
        </is>
      </c>
      <c r="B3130" s="53" t="inlineStr">
        <is>
          <t>WP-01379</t>
        </is>
      </c>
      <c r="C3130" s="53" t="inlineStr">
        <is>
          <t>TECH-074</t>
        </is>
      </c>
      <c r="D3130" s="53" t="inlineStr">
        <is>
          <t>Avionics</t>
        </is>
      </c>
      <c r="E3130" s="53" t="inlineStr">
        <is>
          <t>2024-07-10</t>
        </is>
      </c>
      <c r="F3130" s="53">
        <v>1.7</v>
      </c>
      <c r="G3130" s="53">
        <v>0</v>
      </c>
      <c r="H3130" s="51" t="str">
        <f>TEXT(tblLaborEntries[[#This Row],[Work date serial]]-WEEKDAY(tblLaborEntries[[#This Row],[Work date serial]],3),"yyyy-mm-dd")</f>
        <v>2024-07-08</v>
      </c>
      <c r="I3130" s="64">
        <f>DATEVALUE(tblLaborEntries[[#This Row],[Work date]])</f>
        <v>45483.0</v>
      </c>
    </row>
    <row r="3131" spans="1:9" ht="15" x14ac:dyDescent="0.25">
      <c r="A3131" s="53" t="inlineStr">
        <is>
          <t>LAB-003130</t>
        </is>
      </c>
      <c r="B3131" s="53" t="inlineStr">
        <is>
          <t>WP-01380</t>
        </is>
      </c>
      <c r="C3131" s="53" t="inlineStr">
        <is>
          <t>TECH-028</t>
        </is>
      </c>
      <c r="D3131" s="53" t="inlineStr">
        <is>
          <t>Electrical</t>
        </is>
      </c>
      <c r="E3131" s="53" t="inlineStr">
        <is>
          <t>2024-11-28</t>
        </is>
      </c>
      <c r="F3131" s="53">
        <v>7.3</v>
      </c>
      <c r="G3131" s="53">
        <v>0</v>
      </c>
      <c r="H3131" s="51" t="str">
        <f>TEXT(tblLaborEntries[[#This Row],[Work date serial]]-WEEKDAY(tblLaborEntries[[#This Row],[Work date serial]],3),"yyyy-mm-dd")</f>
        <v>2024-11-25</v>
      </c>
      <c r="I3131" s="64">
        <f>DATEVALUE(tblLaborEntries[[#This Row],[Work date]])</f>
        <v>45624.0</v>
      </c>
    </row>
    <row r="3132" spans="1:9" ht="15" x14ac:dyDescent="0.25">
      <c r="A3132" s="53" t="inlineStr">
        <is>
          <t>LAB-003131</t>
        </is>
      </c>
      <c r="B3132" s="53" t="inlineStr">
        <is>
          <t>WP-01380</t>
        </is>
      </c>
      <c r="C3132" s="53" t="inlineStr">
        <is>
          <t>TECH-052</t>
        </is>
      </c>
      <c r="D3132" s="53" t="inlineStr">
        <is>
          <t>Electrical</t>
        </is>
      </c>
      <c r="E3132" s="53" t="inlineStr">
        <is>
          <t>2024-11-29</t>
        </is>
      </c>
      <c r="F3132" s="53">
        <v>5.1</v>
      </c>
      <c r="G3132" s="53">
        <v>0</v>
      </c>
      <c r="H3132" s="51" t="str">
        <f>TEXT(tblLaborEntries[[#This Row],[Work date serial]]-WEEKDAY(tblLaborEntries[[#This Row],[Work date serial]],3),"yyyy-mm-dd")</f>
        <v>2024-11-25</v>
      </c>
      <c r="I3132" s="64">
        <f>DATEVALUE(tblLaborEntries[[#This Row],[Work date]])</f>
        <v>45625.0</v>
      </c>
    </row>
    <row r="3133" spans="1:9" ht="15" x14ac:dyDescent="0.25">
      <c r="A3133" s="53" t="inlineStr">
        <is>
          <t>LAB-003132</t>
        </is>
      </c>
      <c r="B3133" s="53" t="inlineStr">
        <is>
          <t>WP-01381</t>
        </is>
      </c>
      <c r="C3133" s="53" t="inlineStr">
        <is>
          <t>TECH-054</t>
        </is>
      </c>
      <c r="D3133" s="53" t="inlineStr">
        <is>
          <t>Powerplant</t>
        </is>
      </c>
      <c r="E3133" s="53" t="inlineStr">
        <is>
          <t>2024-08-04</t>
        </is>
      </c>
      <c r="F3133" s="53">
        <v>3.2</v>
      </c>
      <c r="G3133" s="53">
        <v>0</v>
      </c>
      <c r="H3133" s="51" t="str">
        <f>TEXT(tblLaborEntries[[#This Row],[Work date serial]]-WEEKDAY(tblLaborEntries[[#This Row],[Work date serial]],3),"yyyy-mm-dd")</f>
        <v>2024-07-29</v>
      </c>
      <c r="I3133" s="64">
        <f>DATEVALUE(tblLaborEntries[[#This Row],[Work date]])</f>
        <v>45508.0</v>
      </c>
    </row>
    <row r="3134" spans="1:9" ht="15" x14ac:dyDescent="0.25">
      <c r="A3134" s="53" t="inlineStr">
        <is>
          <t>LAB-003133</t>
        </is>
      </c>
      <c r="B3134" s="53" t="inlineStr">
        <is>
          <t>WP-01381</t>
        </is>
      </c>
      <c r="C3134" s="53" t="inlineStr">
        <is>
          <t>TECH-066</t>
        </is>
      </c>
      <c r="D3134" s="53" t="inlineStr">
        <is>
          <t>Powerplant</t>
        </is>
      </c>
      <c r="E3134" s="53" t="inlineStr">
        <is>
          <t>2024-08-05</t>
        </is>
      </c>
      <c r="F3134" s="53">
        <v>4.1</v>
      </c>
      <c r="G3134" s="53">
        <v>0</v>
      </c>
      <c r="H3134" s="51" t="str">
        <f>TEXT(tblLaborEntries[[#This Row],[Work date serial]]-WEEKDAY(tblLaborEntries[[#This Row],[Work date serial]],3),"yyyy-mm-dd")</f>
        <v>2024-08-05</v>
      </c>
      <c r="I3134" s="64">
        <f>DATEVALUE(tblLaborEntries[[#This Row],[Work date]])</f>
        <v>45509.0</v>
      </c>
    </row>
    <row r="3135" spans="1:9" ht="15" x14ac:dyDescent="0.25">
      <c r="A3135" s="53" t="inlineStr">
        <is>
          <t>LAB-003134</t>
        </is>
      </c>
      <c r="B3135" s="53" t="inlineStr">
        <is>
          <t>WP-01382</t>
        </is>
      </c>
      <c r="C3135" s="53" t="inlineStr">
        <is>
          <t>TECH-048</t>
        </is>
      </c>
      <c r="D3135" s="53" t="inlineStr">
        <is>
          <t>Powerplant</t>
        </is>
      </c>
      <c r="E3135" s="53" t="inlineStr">
        <is>
          <t>2025-12-23</t>
        </is>
      </c>
      <c r="F3135" s="53">
        <v>4.6</v>
      </c>
      <c r="G3135" s="53">
        <v>0</v>
      </c>
      <c r="H3135" s="51" t="str">
        <f>TEXT(tblLaborEntries[[#This Row],[Work date serial]]-WEEKDAY(tblLaborEntries[[#This Row],[Work date serial]],3),"yyyy-mm-dd")</f>
        <v>2025-12-22</v>
      </c>
      <c r="I3135" s="64">
        <f>DATEVALUE(tblLaborEntries[[#This Row],[Work date]])</f>
        <v>46014.0</v>
      </c>
    </row>
    <row r="3136" spans="1:9" ht="15" x14ac:dyDescent="0.25">
      <c r="A3136" s="53" t="inlineStr">
        <is>
          <t>LAB-003135</t>
        </is>
      </c>
      <c r="B3136" s="53" t="inlineStr">
        <is>
          <t>WP-01382</t>
        </is>
      </c>
      <c r="C3136" s="53" t="inlineStr">
        <is>
          <t>TECH-024</t>
        </is>
      </c>
      <c r="D3136" s="53" t="inlineStr">
        <is>
          <t>Powerplant</t>
        </is>
      </c>
      <c r="E3136" s="53" t="inlineStr">
        <is>
          <t>2025-12-24</t>
        </is>
      </c>
      <c r="F3136" s="53">
        <v>5.1</v>
      </c>
      <c r="G3136" s="53">
        <v>0</v>
      </c>
      <c r="H3136" s="51" t="str">
        <f>TEXT(tblLaborEntries[[#This Row],[Work date serial]]-WEEKDAY(tblLaborEntries[[#This Row],[Work date serial]],3),"yyyy-mm-dd")</f>
        <v>2025-12-22</v>
      </c>
      <c r="I3136" s="64">
        <f>DATEVALUE(tblLaborEntries[[#This Row],[Work date]])</f>
        <v>46015.0</v>
      </c>
    </row>
    <row r="3137" spans="1:9" ht="15" x14ac:dyDescent="0.25">
      <c r="A3137" s="53" t="inlineStr">
        <is>
          <t>LAB-003136</t>
        </is>
      </c>
      <c r="B3137" s="53" t="inlineStr">
        <is>
          <t>WP-01382</t>
        </is>
      </c>
      <c r="C3137" s="53" t="inlineStr">
        <is>
          <t>TECH-054</t>
        </is>
      </c>
      <c r="D3137" s="53" t="inlineStr">
        <is>
          <t>Powerplant</t>
        </is>
      </c>
      <c r="E3137" s="53" t="inlineStr">
        <is>
          <t>2025-12-25</t>
        </is>
      </c>
      <c r="F3137" s="53">
        <v>3.9</v>
      </c>
      <c r="G3137" s="53">
        <v>0</v>
      </c>
      <c r="H3137" s="51" t="str">
        <f>TEXT(tblLaborEntries[[#This Row],[Work date serial]]-WEEKDAY(tblLaborEntries[[#This Row],[Work date serial]],3),"yyyy-mm-dd")</f>
        <v>2025-12-22</v>
      </c>
      <c r="I3137" s="64">
        <f>DATEVALUE(tblLaborEntries[[#This Row],[Work date]])</f>
        <v>46016.0</v>
      </c>
    </row>
    <row r="3138" spans="1:9" ht="15" x14ac:dyDescent="0.25">
      <c r="A3138" s="53" t="inlineStr">
        <is>
          <t>LAB-003137</t>
        </is>
      </c>
      <c r="B3138" s="53" t="inlineStr">
        <is>
          <t>WP-01383</t>
        </is>
      </c>
      <c r="C3138" s="53" t="inlineStr">
        <is>
          <t>TECH-054</t>
        </is>
      </c>
      <c r="D3138" s="53" t="inlineStr">
        <is>
          <t>Powerplant</t>
        </is>
      </c>
      <c r="E3138" s="53" t="inlineStr">
        <is>
          <t>2024-11-03</t>
        </is>
      </c>
      <c r="F3138" s="53">
        <v>8.6</v>
      </c>
      <c r="G3138" s="53">
        <v>0.6</v>
      </c>
      <c r="H3138" s="51" t="str">
        <f>TEXT(tblLaborEntries[[#This Row],[Work date serial]]-WEEKDAY(tblLaborEntries[[#This Row],[Work date serial]],3),"yyyy-mm-dd")</f>
        <v>2024-10-28</v>
      </c>
      <c r="I3138" s="64">
        <f>DATEVALUE(tblLaborEntries[[#This Row],[Work date]])</f>
        <v>45599.0</v>
      </c>
    </row>
    <row r="3139" spans="1:9" ht="15" x14ac:dyDescent="0.25">
      <c r="A3139" s="53" t="inlineStr">
        <is>
          <t>LAB-003138</t>
        </is>
      </c>
      <c r="B3139" s="53" t="inlineStr">
        <is>
          <t>WP-01384</t>
        </is>
      </c>
      <c r="C3139" s="53" t="inlineStr">
        <is>
          <t>TECH-005</t>
        </is>
      </c>
      <c r="D3139" s="53" t="inlineStr">
        <is>
          <t>Structures</t>
        </is>
      </c>
      <c r="E3139" s="53" t="inlineStr">
        <is>
          <t>2025-10-18</t>
        </is>
      </c>
      <c r="F3139" s="53">
        <v>5.9</v>
      </c>
      <c r="G3139" s="53">
        <v>0</v>
      </c>
      <c r="H3139" s="51" t="str">
        <f>TEXT(tblLaborEntries[[#This Row],[Work date serial]]-WEEKDAY(tblLaborEntries[[#This Row],[Work date serial]],3),"yyyy-mm-dd")</f>
        <v>2025-10-13</v>
      </c>
      <c r="I3139" s="64">
        <f>DATEVALUE(tblLaborEntries[[#This Row],[Work date]])</f>
        <v>45948.0</v>
      </c>
    </row>
    <row r="3140" spans="1:9" ht="15" x14ac:dyDescent="0.25">
      <c r="A3140" s="53" t="inlineStr">
        <is>
          <t>LAB-003139</t>
        </is>
      </c>
      <c r="B3140" s="53" t="inlineStr">
        <is>
          <t>WP-01384</t>
        </is>
      </c>
      <c r="C3140" s="53" t="inlineStr">
        <is>
          <t>TECH-023</t>
        </is>
      </c>
      <c r="D3140" s="53" t="inlineStr">
        <is>
          <t>Structures</t>
        </is>
      </c>
      <c r="E3140" s="53" t="inlineStr">
        <is>
          <t>2025-10-18</t>
        </is>
      </c>
      <c r="F3140" s="53">
        <v>12</v>
      </c>
      <c r="G3140" s="53">
        <v>4</v>
      </c>
      <c r="H3140" s="51" t="str">
        <f>TEXT(tblLaborEntries[[#This Row],[Work date serial]]-WEEKDAY(tblLaborEntries[[#This Row],[Work date serial]],3),"yyyy-mm-dd")</f>
        <v>2025-10-13</v>
      </c>
      <c r="I3140" s="64">
        <f>DATEVALUE(tblLaborEntries[[#This Row],[Work date]])</f>
        <v>45948.0</v>
      </c>
    </row>
    <row r="3141" spans="1:9" ht="15" x14ac:dyDescent="0.25">
      <c r="A3141" s="53" t="inlineStr">
        <is>
          <t>LAB-003140</t>
        </is>
      </c>
      <c r="B3141" s="53" t="inlineStr">
        <is>
          <t>WP-01384</t>
        </is>
      </c>
      <c r="C3141" s="53" t="inlineStr">
        <is>
          <t>TECH-005</t>
        </is>
      </c>
      <c r="D3141" s="53" t="inlineStr">
        <is>
          <t>Structures</t>
        </is>
      </c>
      <c r="E3141" s="53" t="inlineStr">
        <is>
          <t>2025-10-19</t>
        </is>
      </c>
      <c r="F3141" s="53">
        <v>11.4</v>
      </c>
      <c r="G3141" s="53">
        <v>3.4</v>
      </c>
      <c r="H3141" s="51" t="str">
        <f>TEXT(tblLaborEntries[[#This Row],[Work date serial]]-WEEKDAY(tblLaborEntries[[#This Row],[Work date serial]],3),"yyyy-mm-dd")</f>
        <v>2025-10-13</v>
      </c>
      <c r="I3141" s="64">
        <f>DATEVALUE(tblLaborEntries[[#This Row],[Work date]])</f>
        <v>45949.0</v>
      </c>
    </row>
    <row r="3142" spans="1:9" ht="15" x14ac:dyDescent="0.25">
      <c r="A3142" s="53" t="inlineStr">
        <is>
          <t>LAB-003141</t>
        </is>
      </c>
      <c r="B3142" s="53" t="inlineStr">
        <is>
          <t>WP-01384</t>
        </is>
      </c>
      <c r="C3142" s="53" t="inlineStr">
        <is>
          <t>TECH-065</t>
        </is>
      </c>
      <c r="D3142" s="53" t="inlineStr">
        <is>
          <t>Structures</t>
        </is>
      </c>
      <c r="E3142" s="53" t="inlineStr">
        <is>
          <t>2025-10-19</t>
        </is>
      </c>
      <c r="F3142" s="53">
        <v>12</v>
      </c>
      <c r="G3142" s="53">
        <v>4</v>
      </c>
      <c r="H3142" s="51" t="str">
        <f>TEXT(tblLaborEntries[[#This Row],[Work date serial]]-WEEKDAY(tblLaborEntries[[#This Row],[Work date serial]],3),"yyyy-mm-dd")</f>
        <v>2025-10-13</v>
      </c>
      <c r="I3142" s="64">
        <f>DATEVALUE(tblLaborEntries[[#This Row],[Work date]])</f>
        <v>45949.0</v>
      </c>
    </row>
    <row r="3143" spans="1:9" ht="15" x14ac:dyDescent="0.25">
      <c r="A3143" s="53" t="inlineStr">
        <is>
          <t>LAB-003142</t>
        </is>
      </c>
      <c r="B3143" s="53" t="inlineStr">
        <is>
          <t>WP-01385</t>
        </is>
      </c>
      <c r="C3143" s="53" t="inlineStr">
        <is>
          <t>TECH-073</t>
        </is>
      </c>
      <c r="D3143" s="53" t="inlineStr">
        <is>
          <t>Airframe</t>
        </is>
      </c>
      <c r="E3143" s="53" t="inlineStr">
        <is>
          <t>2024-09-01</t>
        </is>
      </c>
      <c r="F3143" s="53">
        <v>4</v>
      </c>
      <c r="G3143" s="53">
        <v>0</v>
      </c>
      <c r="H3143" s="51" t="str">
        <f>TEXT(tblLaborEntries[[#This Row],[Work date serial]]-WEEKDAY(tblLaborEntries[[#This Row],[Work date serial]],3),"yyyy-mm-dd")</f>
        <v>2024-08-26</v>
      </c>
      <c r="I3143" s="64">
        <f>DATEVALUE(tblLaborEntries[[#This Row],[Work date]])</f>
        <v>45536.0</v>
      </c>
    </row>
    <row r="3144" spans="1:9" ht="15" x14ac:dyDescent="0.25">
      <c r="A3144" s="53" t="inlineStr">
        <is>
          <t>LAB-003143</t>
        </is>
      </c>
      <c r="B3144" s="53" t="inlineStr">
        <is>
          <t>WP-01385</t>
        </is>
      </c>
      <c r="C3144" s="53" t="inlineStr">
        <is>
          <t>TECH-001</t>
        </is>
      </c>
      <c r="D3144" s="53" t="inlineStr">
        <is>
          <t>Airframe</t>
        </is>
      </c>
      <c r="E3144" s="53" t="inlineStr">
        <is>
          <t>2024-09-02</t>
        </is>
      </c>
      <c r="F3144" s="53">
        <v>5.4</v>
      </c>
      <c r="G3144" s="53">
        <v>0</v>
      </c>
      <c r="H3144" s="51" t="str">
        <f>TEXT(tblLaborEntries[[#This Row],[Work date serial]]-WEEKDAY(tblLaborEntries[[#This Row],[Work date serial]],3),"yyyy-mm-dd")</f>
        <v>2024-09-02</v>
      </c>
      <c r="I3144" s="64">
        <f>DATEVALUE(tblLaborEntries[[#This Row],[Work date]])</f>
        <v>45537.0</v>
      </c>
    </row>
    <row r="3145" spans="1:9" ht="15" x14ac:dyDescent="0.25">
      <c r="A3145" s="53" t="inlineStr">
        <is>
          <t>LAB-003144</t>
        </is>
      </c>
      <c r="B3145" s="53" t="inlineStr">
        <is>
          <t>WP-01385</t>
        </is>
      </c>
      <c r="C3145" s="53" t="inlineStr">
        <is>
          <t>TECH-031</t>
        </is>
      </c>
      <c r="D3145" s="53" t="inlineStr">
        <is>
          <t>Airframe</t>
        </is>
      </c>
      <c r="E3145" s="53" t="inlineStr">
        <is>
          <t>2024-09-03</t>
        </is>
      </c>
      <c r="F3145" s="53">
        <v>5.1</v>
      </c>
      <c r="G3145" s="53">
        <v>0</v>
      </c>
      <c r="H3145" s="51" t="str">
        <f>TEXT(tblLaborEntries[[#This Row],[Work date serial]]-WEEKDAY(tblLaborEntries[[#This Row],[Work date serial]],3),"yyyy-mm-dd")</f>
        <v>2024-09-02</v>
      </c>
      <c r="I3145" s="64">
        <f>DATEVALUE(tblLaborEntries[[#This Row],[Work date]])</f>
        <v>45538.0</v>
      </c>
    </row>
    <row r="3146" spans="1:9" ht="15" x14ac:dyDescent="0.25">
      <c r="A3146" s="53" t="inlineStr">
        <is>
          <t>LAB-003145</t>
        </is>
      </c>
      <c r="B3146" s="53" t="inlineStr">
        <is>
          <t>WP-01386</t>
        </is>
      </c>
      <c r="C3146" s="53" t="inlineStr">
        <is>
          <t>TECH-049</t>
        </is>
      </c>
      <c r="D3146" s="53" t="inlineStr">
        <is>
          <t>Airframe</t>
        </is>
      </c>
      <c r="E3146" s="53" t="inlineStr">
        <is>
          <t>2025-10-12</t>
        </is>
      </c>
      <c r="F3146" s="53">
        <v>6.6</v>
      </c>
      <c r="G3146" s="53">
        <v>0</v>
      </c>
      <c r="H3146" s="51" t="str">
        <f>TEXT(tblLaborEntries[[#This Row],[Work date serial]]-WEEKDAY(tblLaborEntries[[#This Row],[Work date serial]],3),"yyyy-mm-dd")</f>
        <v>2025-10-06</v>
      </c>
      <c r="I3146" s="64">
        <f>DATEVALUE(tblLaborEntries[[#This Row],[Work date]])</f>
        <v>45942.0</v>
      </c>
    </row>
    <row r="3147" spans="1:9" ht="15" x14ac:dyDescent="0.25">
      <c r="A3147" s="53" t="inlineStr">
        <is>
          <t>LAB-003146</t>
        </is>
      </c>
      <c r="B3147" s="53" t="inlineStr">
        <is>
          <t>WP-01387</t>
        </is>
      </c>
      <c r="C3147" s="53" t="inlineStr">
        <is>
          <t>TECH-044</t>
        </is>
      </c>
      <c r="D3147" s="53" t="inlineStr">
        <is>
          <t>Avionics</t>
        </is>
      </c>
      <c r="E3147" s="53" t="inlineStr">
        <is>
          <t>2025-04-04</t>
        </is>
      </c>
      <c r="F3147" s="53">
        <v>6.6</v>
      </c>
      <c r="G3147" s="53">
        <v>0</v>
      </c>
      <c r="H3147" s="51" t="str">
        <f>TEXT(tblLaborEntries[[#This Row],[Work date serial]]-WEEKDAY(tblLaborEntries[[#This Row],[Work date serial]],3),"yyyy-mm-dd")</f>
        <v>2025-03-31</v>
      </c>
      <c r="I3147" s="64">
        <f>DATEVALUE(tblLaborEntries[[#This Row],[Work date]])</f>
        <v>45751.0</v>
      </c>
    </row>
    <row r="3148" spans="1:9" ht="15" x14ac:dyDescent="0.25">
      <c r="A3148" s="53" t="inlineStr">
        <is>
          <t>LAB-003147</t>
        </is>
      </c>
      <c r="B3148" s="53" t="inlineStr">
        <is>
          <t>WP-01388</t>
        </is>
      </c>
      <c r="C3148" s="53" t="inlineStr">
        <is>
          <t>TECH-044</t>
        </is>
      </c>
      <c r="D3148" s="53" t="inlineStr">
        <is>
          <t>Avionics</t>
        </is>
      </c>
      <c r="E3148" s="53" t="inlineStr">
        <is>
          <t>2025-04-21</t>
        </is>
      </c>
      <c r="F3148" s="53">
        <v>2.2</v>
      </c>
      <c r="G3148" s="53">
        <v>0</v>
      </c>
      <c r="H3148" s="51" t="str">
        <f>TEXT(tblLaborEntries[[#This Row],[Work date serial]]-WEEKDAY(tblLaborEntries[[#This Row],[Work date serial]],3),"yyyy-mm-dd")</f>
        <v>2025-04-21</v>
      </c>
      <c r="I3148" s="64">
        <f>DATEVALUE(tblLaborEntries[[#This Row],[Work date]])</f>
        <v>45768.0</v>
      </c>
    </row>
    <row r="3149" spans="1:9" ht="15" x14ac:dyDescent="0.25">
      <c r="A3149" s="53" t="inlineStr">
        <is>
          <t>LAB-003148</t>
        </is>
      </c>
      <c r="B3149" s="53" t="inlineStr">
        <is>
          <t>WP-01388</t>
        </is>
      </c>
      <c r="C3149" s="53" t="inlineStr">
        <is>
          <t>TECH-050</t>
        </is>
      </c>
      <c r="D3149" s="53" t="inlineStr">
        <is>
          <t>Avionics</t>
        </is>
      </c>
      <c r="E3149" s="53" t="inlineStr">
        <is>
          <t>2025-04-22</t>
        </is>
      </c>
      <c r="F3149" s="53">
        <v>1.9</v>
      </c>
      <c r="G3149" s="53">
        <v>0</v>
      </c>
      <c r="H3149" s="51" t="str">
        <f>TEXT(tblLaborEntries[[#This Row],[Work date serial]]-WEEKDAY(tblLaborEntries[[#This Row],[Work date serial]],3),"yyyy-mm-dd")</f>
        <v>2025-04-21</v>
      </c>
      <c r="I3149" s="64">
        <f>DATEVALUE(tblLaborEntries[[#This Row],[Work date]])</f>
        <v>45769.0</v>
      </c>
    </row>
    <row r="3150" spans="1:9" ht="15" x14ac:dyDescent="0.25">
      <c r="A3150" s="53" t="inlineStr">
        <is>
          <t>LAB-003149</t>
        </is>
      </c>
      <c r="B3150" s="53" t="inlineStr">
        <is>
          <t>WP-01389</t>
        </is>
      </c>
      <c r="C3150" s="53" t="inlineStr">
        <is>
          <t>TECH-040</t>
        </is>
      </c>
      <c r="D3150" s="53" t="inlineStr">
        <is>
          <t>Electrical</t>
        </is>
      </c>
      <c r="E3150" s="53" t="inlineStr">
        <is>
          <t>2025-05-09</t>
        </is>
      </c>
      <c r="F3150" s="53">
        <v>5.7</v>
      </c>
      <c r="G3150" s="53">
        <v>0</v>
      </c>
      <c r="H3150" s="51" t="str">
        <f>TEXT(tblLaborEntries[[#This Row],[Work date serial]]-WEEKDAY(tblLaborEntries[[#This Row],[Work date serial]],3),"yyyy-mm-dd")</f>
        <v>2025-05-05</v>
      </c>
      <c r="I3150" s="64">
        <f>DATEVALUE(tblLaborEntries[[#This Row],[Work date]])</f>
        <v>45786.0</v>
      </c>
    </row>
    <row r="3151" spans="1:9" ht="15" x14ac:dyDescent="0.25">
      <c r="A3151" s="53" t="inlineStr">
        <is>
          <t>LAB-003150</t>
        </is>
      </c>
      <c r="B3151" s="53" t="inlineStr">
        <is>
          <t>WP-01389</t>
        </is>
      </c>
      <c r="C3151" s="53" t="inlineStr">
        <is>
          <t>TECH-040</t>
        </is>
      </c>
      <c r="D3151" s="53" t="inlineStr">
        <is>
          <t>Electrical</t>
        </is>
      </c>
      <c r="E3151" s="53" t="inlineStr">
        <is>
          <t>2025-05-10</t>
        </is>
      </c>
      <c r="F3151" s="53">
        <v>8.6</v>
      </c>
      <c r="G3151" s="53">
        <v>4</v>
      </c>
      <c r="H3151" s="51" t="str">
        <f>TEXT(tblLaborEntries[[#This Row],[Work date serial]]-WEEKDAY(tblLaborEntries[[#This Row],[Work date serial]],3),"yyyy-mm-dd")</f>
        <v>2025-05-05</v>
      </c>
      <c r="I3151" s="64">
        <f>DATEVALUE(tblLaborEntries[[#This Row],[Work date]])</f>
        <v>45787.0</v>
      </c>
    </row>
    <row r="3152" spans="1:9" ht="15" x14ac:dyDescent="0.25">
      <c r="A3152" s="53" t="inlineStr">
        <is>
          <t>LAB-003151</t>
        </is>
      </c>
      <c r="B3152" s="53" t="inlineStr">
        <is>
          <t>WP-01390</t>
        </is>
      </c>
      <c r="C3152" s="53" t="inlineStr">
        <is>
          <t>TECH-031</t>
        </is>
      </c>
      <c r="D3152" s="53" t="inlineStr">
        <is>
          <t>Airframe</t>
        </is>
      </c>
      <c r="E3152" s="53" t="inlineStr">
        <is>
          <t>2025-10-24</t>
        </is>
      </c>
      <c r="F3152" s="53">
        <v>5.9</v>
      </c>
      <c r="G3152" s="53">
        <v>0</v>
      </c>
      <c r="H3152" s="51" t="str">
        <f>TEXT(tblLaborEntries[[#This Row],[Work date serial]]-WEEKDAY(tblLaborEntries[[#This Row],[Work date serial]],3),"yyyy-mm-dd")</f>
        <v>2025-10-20</v>
      </c>
      <c r="I3152" s="64">
        <f>DATEVALUE(tblLaborEntries[[#This Row],[Work date]])</f>
        <v>45954.0</v>
      </c>
    </row>
    <row r="3153" spans="1:9" ht="15" x14ac:dyDescent="0.25">
      <c r="A3153" s="53" t="inlineStr">
        <is>
          <t>LAB-003152</t>
        </is>
      </c>
      <c r="B3153" s="53" t="inlineStr">
        <is>
          <t>WP-01391</t>
        </is>
      </c>
      <c r="C3153" s="53" t="inlineStr">
        <is>
          <t>TECH-060</t>
        </is>
      </c>
      <c r="D3153" s="53" t="inlineStr">
        <is>
          <t>Powerplant</t>
        </is>
      </c>
      <c r="E3153" s="53" t="inlineStr">
        <is>
          <t>2024-08-08</t>
        </is>
      </c>
      <c r="F3153" s="53">
        <v>4.2</v>
      </c>
      <c r="G3153" s="53">
        <v>0</v>
      </c>
      <c r="H3153" s="51" t="str">
        <f>TEXT(tblLaborEntries[[#This Row],[Work date serial]]-WEEKDAY(tblLaborEntries[[#This Row],[Work date serial]],3),"yyyy-mm-dd")</f>
        <v>2024-08-05</v>
      </c>
      <c r="I3153" s="64">
        <f>DATEVALUE(tblLaborEntries[[#This Row],[Work date]])</f>
        <v>45512.0</v>
      </c>
    </row>
    <row r="3154" spans="1:9" ht="15" x14ac:dyDescent="0.25">
      <c r="A3154" s="53" t="inlineStr">
        <is>
          <t>LAB-003153</t>
        </is>
      </c>
      <c r="B3154" s="53" t="inlineStr">
        <is>
          <t>WP-01391</t>
        </is>
      </c>
      <c r="C3154" s="53" t="inlineStr">
        <is>
          <t>TECH-006</t>
        </is>
      </c>
      <c r="D3154" s="53" t="inlineStr">
        <is>
          <t>Powerplant</t>
        </is>
      </c>
      <c r="E3154" s="53" t="inlineStr">
        <is>
          <t>2024-08-09</t>
        </is>
      </c>
      <c r="F3154" s="53">
        <v>4.1</v>
      </c>
      <c r="G3154" s="53">
        <v>0</v>
      </c>
      <c r="H3154" s="51" t="str">
        <f>TEXT(tblLaborEntries[[#This Row],[Work date serial]]-WEEKDAY(tblLaborEntries[[#This Row],[Work date serial]],3),"yyyy-mm-dd")</f>
        <v>2024-08-05</v>
      </c>
      <c r="I3154" s="64">
        <f>DATEVALUE(tblLaborEntries[[#This Row],[Work date]])</f>
        <v>45513.0</v>
      </c>
    </row>
    <row r="3155" spans="1:9" ht="15" x14ac:dyDescent="0.25">
      <c r="A3155" s="53" t="inlineStr">
        <is>
          <t>LAB-003154</t>
        </is>
      </c>
      <c r="B3155" s="53" t="inlineStr">
        <is>
          <t>WP-01391</t>
        </is>
      </c>
      <c r="C3155" s="53" t="inlineStr">
        <is>
          <t>TECH-036</t>
        </is>
      </c>
      <c r="D3155" s="53" t="inlineStr">
        <is>
          <t>Powerplant</t>
        </is>
      </c>
      <c r="E3155" s="53" t="inlineStr">
        <is>
          <t>2024-08-10</t>
        </is>
      </c>
      <c r="F3155" s="53">
        <v>6.3</v>
      </c>
      <c r="G3155" s="53">
        <v>0</v>
      </c>
      <c r="H3155" s="51" t="str">
        <f>TEXT(tblLaborEntries[[#This Row],[Work date serial]]-WEEKDAY(tblLaborEntries[[#This Row],[Work date serial]],3),"yyyy-mm-dd")</f>
        <v>2024-08-05</v>
      </c>
      <c r="I3155" s="64">
        <f>DATEVALUE(tblLaborEntries[[#This Row],[Work date]])</f>
        <v>45514.0</v>
      </c>
    </row>
    <row r="3156" spans="1:9" ht="15" x14ac:dyDescent="0.25">
      <c r="A3156" s="53" t="inlineStr">
        <is>
          <t>LAB-003155</t>
        </is>
      </c>
      <c r="B3156" s="53" t="inlineStr">
        <is>
          <t>WP-01392</t>
        </is>
      </c>
      <c r="C3156" s="53" t="inlineStr">
        <is>
          <t>TECH-005</t>
        </is>
      </c>
      <c r="D3156" s="53" t="inlineStr">
        <is>
          <t>Structures</t>
        </is>
      </c>
      <c r="E3156" s="53" t="inlineStr">
        <is>
          <t>2025-02-07</t>
        </is>
      </c>
      <c r="F3156" s="53">
        <v>0.5</v>
      </c>
      <c r="G3156" s="53">
        <v>0</v>
      </c>
      <c r="H3156" s="51" t="str">
        <f>TEXT(tblLaborEntries[[#This Row],[Work date serial]]-WEEKDAY(tblLaborEntries[[#This Row],[Work date serial]],3),"yyyy-mm-dd")</f>
        <v>2025-02-03</v>
      </c>
      <c r="I3156" s="64">
        <f>DATEVALUE(tblLaborEntries[[#This Row],[Work date]])</f>
        <v>45695.0</v>
      </c>
    </row>
    <row r="3157" spans="1:9" ht="15" x14ac:dyDescent="0.25">
      <c r="A3157" s="53" t="inlineStr">
        <is>
          <t>LAB-003156</t>
        </is>
      </c>
      <c r="B3157" s="53" t="inlineStr">
        <is>
          <t>WP-01392</t>
        </is>
      </c>
      <c r="C3157" s="53" t="inlineStr">
        <is>
          <t>TECH-053</t>
        </is>
      </c>
      <c r="D3157" s="53" t="inlineStr">
        <is>
          <t>Structures</t>
        </is>
      </c>
      <c r="E3157" s="53" t="inlineStr">
        <is>
          <t>2025-02-07</t>
        </is>
      </c>
      <c r="F3157" s="53">
        <v>12</v>
      </c>
      <c r="G3157" s="53">
        <v>4</v>
      </c>
      <c r="H3157" s="51" t="str">
        <f>TEXT(tblLaborEntries[[#This Row],[Work date serial]]-WEEKDAY(tblLaborEntries[[#This Row],[Work date serial]],3),"yyyy-mm-dd")</f>
        <v>2025-02-03</v>
      </c>
      <c r="I3157" s="64">
        <f>DATEVALUE(tblLaborEntries[[#This Row],[Work date]])</f>
        <v>45695.0</v>
      </c>
    </row>
    <row r="3158" spans="1:9" ht="15" x14ac:dyDescent="0.25">
      <c r="A3158" s="53" t="inlineStr">
        <is>
          <t>LAB-003157</t>
        </is>
      </c>
      <c r="B3158" s="53" t="inlineStr">
        <is>
          <t>WP-01392</t>
        </is>
      </c>
      <c r="C3158" s="53" t="inlineStr">
        <is>
          <t>TECH-005</t>
        </is>
      </c>
      <c r="D3158" s="53" t="inlineStr">
        <is>
          <t>Structures</t>
        </is>
      </c>
      <c r="E3158" s="53" t="inlineStr">
        <is>
          <t>2025-02-08</t>
        </is>
      </c>
      <c r="F3158" s="53">
        <v>2.6</v>
      </c>
      <c r="G3158" s="53">
        <v>0</v>
      </c>
      <c r="H3158" s="51" t="str">
        <f>TEXT(tblLaborEntries[[#This Row],[Work date serial]]-WEEKDAY(tblLaborEntries[[#This Row],[Work date serial]],3),"yyyy-mm-dd")</f>
        <v>2025-02-03</v>
      </c>
      <c r="I3158" s="64">
        <f>DATEVALUE(tblLaborEntries[[#This Row],[Work date]])</f>
        <v>45696.0</v>
      </c>
    </row>
    <row r="3159" spans="1:9" ht="15" x14ac:dyDescent="0.25">
      <c r="A3159" s="53" t="inlineStr">
        <is>
          <t>LAB-003158</t>
        </is>
      </c>
      <c r="B3159" s="53" t="inlineStr">
        <is>
          <t>WP-01392</t>
        </is>
      </c>
      <c r="C3159" s="53" t="inlineStr">
        <is>
          <t>TECH-017</t>
        </is>
      </c>
      <c r="D3159" s="53" t="inlineStr">
        <is>
          <t>Structures</t>
        </is>
      </c>
      <c r="E3159" s="53" t="inlineStr">
        <is>
          <t>2025-02-08</t>
        </is>
      </c>
      <c r="F3159" s="53">
        <v>12</v>
      </c>
      <c r="G3159" s="53">
        <v>4</v>
      </c>
      <c r="H3159" s="51" t="str">
        <f>TEXT(tblLaborEntries[[#This Row],[Work date serial]]-WEEKDAY(tblLaborEntries[[#This Row],[Work date serial]],3),"yyyy-mm-dd")</f>
        <v>2025-02-03</v>
      </c>
      <c r="I3159" s="64">
        <f>DATEVALUE(tblLaborEntries[[#This Row],[Work date]])</f>
        <v>45696.0</v>
      </c>
    </row>
    <row r="3160" spans="1:9" ht="15" x14ac:dyDescent="0.25">
      <c r="A3160" s="53" t="inlineStr">
        <is>
          <t>LAB-003159</t>
        </is>
      </c>
      <c r="B3160" s="53" t="inlineStr">
        <is>
          <t>WP-01393</t>
        </is>
      </c>
      <c r="C3160" s="53" t="inlineStr">
        <is>
          <t>TECH-006</t>
        </is>
      </c>
      <c r="D3160" s="53" t="inlineStr">
        <is>
          <t>Powerplant</t>
        </is>
      </c>
      <c r="E3160" s="53" t="inlineStr">
        <is>
          <t>2025-05-31</t>
        </is>
      </c>
      <c r="F3160" s="53">
        <v>7.2</v>
      </c>
      <c r="G3160" s="53">
        <v>0</v>
      </c>
      <c r="H3160" s="51" t="str">
        <f>TEXT(tblLaborEntries[[#This Row],[Work date serial]]-WEEKDAY(tblLaborEntries[[#This Row],[Work date serial]],3),"yyyy-mm-dd")</f>
        <v>2025-05-26</v>
      </c>
      <c r="I3160" s="64">
        <f>DATEVALUE(tblLaborEntries[[#This Row],[Work date]])</f>
        <v>45808.0</v>
      </c>
    </row>
    <row r="3161" spans="1:9" ht="15" x14ac:dyDescent="0.25">
      <c r="A3161" s="53" t="inlineStr">
        <is>
          <t>LAB-003160</t>
        </is>
      </c>
      <c r="B3161" s="53" t="inlineStr">
        <is>
          <t>WP-01393</t>
        </is>
      </c>
      <c r="C3161" s="53" t="inlineStr">
        <is>
          <t>TECH-018</t>
        </is>
      </c>
      <c r="D3161" s="53" t="inlineStr">
        <is>
          <t>Powerplant</t>
        </is>
      </c>
      <c r="E3161" s="53" t="inlineStr">
        <is>
          <t>2025-05-31</t>
        </is>
      </c>
      <c r="F3161" s="53">
        <v>12</v>
      </c>
      <c r="G3161" s="53">
        <v>4</v>
      </c>
      <c r="H3161" s="51" t="str">
        <f>TEXT(tblLaborEntries[[#This Row],[Work date serial]]-WEEKDAY(tblLaborEntries[[#This Row],[Work date serial]],3),"yyyy-mm-dd")</f>
        <v>2025-05-26</v>
      </c>
      <c r="I3161" s="64">
        <f>DATEVALUE(tblLaborEntries[[#This Row],[Work date]])</f>
        <v>45808.0</v>
      </c>
    </row>
    <row r="3162" spans="1:9" ht="15" x14ac:dyDescent="0.25">
      <c r="A3162" s="53" t="inlineStr">
        <is>
          <t>LAB-003161</t>
        </is>
      </c>
      <c r="B3162" s="53" t="inlineStr">
        <is>
          <t>WP-01394</t>
        </is>
      </c>
      <c r="C3162" s="53" t="inlineStr">
        <is>
          <t>TECH-014</t>
        </is>
      </c>
      <c r="D3162" s="53" t="inlineStr">
        <is>
          <t>Avionics</t>
        </is>
      </c>
      <c r="E3162" s="53" t="inlineStr">
        <is>
          <t>2025-12-16</t>
        </is>
      </c>
      <c r="F3162" s="53">
        <v>2.7</v>
      </c>
      <c r="G3162" s="53">
        <v>0</v>
      </c>
      <c r="H3162" s="51" t="str">
        <f>TEXT(tblLaborEntries[[#This Row],[Work date serial]]-WEEKDAY(tblLaborEntries[[#This Row],[Work date serial]],3),"yyyy-mm-dd")</f>
        <v>2025-12-15</v>
      </c>
      <c r="I3162" s="64">
        <f>DATEVALUE(tblLaborEntries[[#This Row],[Work date]])</f>
        <v>46007.0</v>
      </c>
    </row>
    <row r="3163" spans="1:9" ht="15" x14ac:dyDescent="0.25">
      <c r="A3163" s="53" t="inlineStr">
        <is>
          <t>LAB-003162</t>
        </is>
      </c>
      <c r="B3163" s="53" t="inlineStr">
        <is>
          <t>WP-01394</t>
        </is>
      </c>
      <c r="C3163" s="53" t="inlineStr">
        <is>
          <t>TECH-038</t>
        </is>
      </c>
      <c r="D3163" s="53" t="inlineStr">
        <is>
          <t>Avionics</t>
        </is>
      </c>
      <c r="E3163" s="53" t="inlineStr">
        <is>
          <t>2025-12-17</t>
        </is>
      </c>
      <c r="F3163" s="53">
        <v>2.8</v>
      </c>
      <c r="G3163" s="53">
        <v>0</v>
      </c>
      <c r="H3163" s="51" t="str">
        <f>TEXT(tblLaborEntries[[#This Row],[Work date serial]]-WEEKDAY(tblLaborEntries[[#This Row],[Work date serial]],3),"yyyy-mm-dd")</f>
        <v>2025-12-15</v>
      </c>
      <c r="I3163" s="64">
        <f>DATEVALUE(tblLaborEntries[[#This Row],[Work date]])</f>
        <v>46008.0</v>
      </c>
    </row>
    <row r="3164" spans="1:9" ht="15" x14ac:dyDescent="0.25">
      <c r="A3164" s="53" t="inlineStr">
        <is>
          <t>LAB-003163</t>
        </is>
      </c>
      <c r="B3164" s="53" t="inlineStr">
        <is>
          <t>WP-01395</t>
        </is>
      </c>
      <c r="C3164" s="53" t="inlineStr">
        <is>
          <t>TECH-036</t>
        </is>
      </c>
      <c r="D3164" s="53" t="inlineStr">
        <is>
          <t>Powerplant</t>
        </is>
      </c>
      <c r="E3164" s="53" t="inlineStr">
        <is>
          <t>2024-10-29</t>
        </is>
      </c>
      <c r="F3164" s="53">
        <v>1.6</v>
      </c>
      <c r="G3164" s="53">
        <v>0</v>
      </c>
      <c r="H3164" s="51" t="str">
        <f>TEXT(tblLaborEntries[[#This Row],[Work date serial]]-WEEKDAY(tblLaborEntries[[#This Row],[Work date serial]],3),"yyyy-mm-dd")</f>
        <v>2024-10-28</v>
      </c>
      <c r="I3164" s="64">
        <f>DATEVALUE(tblLaborEntries[[#This Row],[Work date]])</f>
        <v>45594.0</v>
      </c>
    </row>
    <row r="3165" spans="1:9" ht="15" x14ac:dyDescent="0.25">
      <c r="A3165" s="53" t="inlineStr">
        <is>
          <t>LAB-003164</t>
        </is>
      </c>
      <c r="B3165" s="53" t="inlineStr">
        <is>
          <t>WP-01395</t>
        </is>
      </c>
      <c r="C3165" s="53" t="inlineStr">
        <is>
          <t>TECH-012</t>
        </is>
      </c>
      <c r="D3165" s="53" t="inlineStr">
        <is>
          <t>Powerplant</t>
        </is>
      </c>
      <c r="E3165" s="53" t="inlineStr">
        <is>
          <t>2024-10-30</t>
        </is>
      </c>
      <c r="F3165" s="53">
        <v>2.1</v>
      </c>
      <c r="G3165" s="53">
        <v>0</v>
      </c>
      <c r="H3165" s="51" t="str">
        <f>TEXT(tblLaborEntries[[#This Row],[Work date serial]]-WEEKDAY(tblLaborEntries[[#This Row],[Work date serial]],3),"yyyy-mm-dd")</f>
        <v>2024-10-28</v>
      </c>
      <c r="I3165" s="64">
        <f>DATEVALUE(tblLaborEntries[[#This Row],[Work date]])</f>
        <v>45595.0</v>
      </c>
    </row>
    <row r="3166" spans="1:9" ht="15" x14ac:dyDescent="0.25">
      <c r="A3166" s="53" t="inlineStr">
        <is>
          <t>LAB-003165</t>
        </is>
      </c>
      <c r="B3166" s="53" t="inlineStr">
        <is>
          <t>WP-01395</t>
        </is>
      </c>
      <c r="C3166" s="53" t="inlineStr">
        <is>
          <t>TECH-042</t>
        </is>
      </c>
      <c r="D3166" s="53" t="inlineStr">
        <is>
          <t>Powerplant</t>
        </is>
      </c>
      <c r="E3166" s="53" t="inlineStr">
        <is>
          <t>2024-10-31</t>
        </is>
      </c>
      <c r="F3166" s="53">
        <v>1.6</v>
      </c>
      <c r="G3166" s="53">
        <v>0</v>
      </c>
      <c r="H3166" s="51" t="str">
        <f>TEXT(tblLaborEntries[[#This Row],[Work date serial]]-WEEKDAY(tblLaborEntries[[#This Row],[Work date serial]],3),"yyyy-mm-dd")</f>
        <v>2024-10-28</v>
      </c>
      <c r="I3166" s="64">
        <f>DATEVALUE(tblLaborEntries[[#This Row],[Work date]])</f>
        <v>45596.0</v>
      </c>
    </row>
    <row r="3167" spans="1:9" ht="15" x14ac:dyDescent="0.25">
      <c r="A3167" s="53" t="inlineStr">
        <is>
          <t>LAB-003166</t>
        </is>
      </c>
      <c r="B3167" s="53" t="inlineStr">
        <is>
          <t>WP-01396</t>
        </is>
      </c>
      <c r="C3167" s="53" t="inlineStr">
        <is>
          <t>TECH-020</t>
        </is>
      </c>
      <c r="D3167" s="53" t="inlineStr">
        <is>
          <t>Avionics</t>
        </is>
      </c>
      <c r="E3167" s="53" t="inlineStr">
        <is>
          <t>2024-08-18</t>
        </is>
      </c>
      <c r="F3167" s="53">
        <v>1.8</v>
      </c>
      <c r="G3167" s="53">
        <v>0</v>
      </c>
      <c r="H3167" s="51" t="str">
        <f>TEXT(tblLaborEntries[[#This Row],[Work date serial]]-WEEKDAY(tblLaborEntries[[#This Row],[Work date serial]],3),"yyyy-mm-dd")</f>
        <v>2024-08-12</v>
      </c>
      <c r="I3167" s="64">
        <f>DATEVALUE(tblLaborEntries[[#This Row],[Work date]])</f>
        <v>45522.0</v>
      </c>
    </row>
    <row r="3168" spans="1:9" ht="15" x14ac:dyDescent="0.25">
      <c r="A3168" s="53" t="inlineStr">
        <is>
          <t>LAB-003167</t>
        </is>
      </c>
      <c r="B3168" s="53" t="inlineStr">
        <is>
          <t>WP-01396</t>
        </is>
      </c>
      <c r="C3168" s="53" t="inlineStr">
        <is>
          <t>TECH-014</t>
        </is>
      </c>
      <c r="D3168" s="53" t="inlineStr">
        <is>
          <t>Avionics</t>
        </is>
      </c>
      <c r="E3168" s="53" t="inlineStr">
        <is>
          <t>2024-08-19</t>
        </is>
      </c>
      <c r="F3168" s="53">
        <v>2.2</v>
      </c>
      <c r="G3168" s="53">
        <v>0</v>
      </c>
      <c r="H3168" s="51" t="str">
        <f>TEXT(tblLaborEntries[[#This Row],[Work date serial]]-WEEKDAY(tblLaborEntries[[#This Row],[Work date serial]],3),"yyyy-mm-dd")</f>
        <v>2024-08-19</v>
      </c>
      <c r="I3168" s="64">
        <f>DATEVALUE(tblLaborEntries[[#This Row],[Work date]])</f>
        <v>45523.0</v>
      </c>
    </row>
    <row r="3169" spans="1:9" ht="15" x14ac:dyDescent="0.25">
      <c r="A3169" s="53" t="inlineStr">
        <is>
          <t>LAB-003168</t>
        </is>
      </c>
      <c r="B3169" s="53" t="inlineStr">
        <is>
          <t>WP-01396</t>
        </is>
      </c>
      <c r="C3169" s="53" t="inlineStr">
        <is>
          <t>TECH-044</t>
        </is>
      </c>
      <c r="D3169" s="53" t="inlineStr">
        <is>
          <t>Avionics</t>
        </is>
      </c>
      <c r="E3169" s="53" t="inlineStr">
        <is>
          <t>2024-08-20</t>
        </is>
      </c>
      <c r="F3169" s="53">
        <v>1.6</v>
      </c>
      <c r="G3169" s="53">
        <v>0</v>
      </c>
      <c r="H3169" s="51" t="str">
        <f>TEXT(tblLaborEntries[[#This Row],[Work date serial]]-WEEKDAY(tblLaborEntries[[#This Row],[Work date serial]],3),"yyyy-mm-dd")</f>
        <v>2024-08-19</v>
      </c>
      <c r="I3169" s="64">
        <f>DATEVALUE(tblLaborEntries[[#This Row],[Work date]])</f>
        <v>45524.0</v>
      </c>
    </row>
    <row r="3170" spans="1:9" ht="15" x14ac:dyDescent="0.25">
      <c r="A3170" s="53" t="inlineStr">
        <is>
          <t>LAB-003169</t>
        </is>
      </c>
      <c r="B3170" s="53" t="inlineStr">
        <is>
          <t>WP-01397</t>
        </is>
      </c>
      <c r="C3170" s="53" t="inlineStr">
        <is>
          <t>TECH-006</t>
        </is>
      </c>
      <c r="D3170" s="53" t="inlineStr">
        <is>
          <t>Powerplant</t>
        </is>
      </c>
      <c r="E3170" s="53" t="inlineStr">
        <is>
          <t>2025-01-19</t>
        </is>
      </c>
      <c r="F3170" s="53">
        <v>11.4</v>
      </c>
      <c r="G3170" s="53">
        <v>3.4</v>
      </c>
      <c r="H3170" s="51" t="str">
        <f>TEXT(tblLaborEntries[[#This Row],[Work date serial]]-WEEKDAY(tblLaborEntries[[#This Row],[Work date serial]],3),"yyyy-mm-dd")</f>
        <v>2025-01-13</v>
      </c>
      <c r="I3170" s="64">
        <f>DATEVALUE(tblLaborEntries[[#This Row],[Work date]])</f>
        <v>45676.0</v>
      </c>
    </row>
    <row r="3171" spans="1:9" ht="15" x14ac:dyDescent="0.25">
      <c r="A3171" s="53" t="inlineStr">
        <is>
          <t>LAB-003170</t>
        </is>
      </c>
      <c r="B3171" s="53" t="inlineStr">
        <is>
          <t>WP-01397</t>
        </is>
      </c>
      <c r="C3171" s="53" t="inlineStr">
        <is>
          <t>TECH-072</t>
        </is>
      </c>
      <c r="D3171" s="53" t="inlineStr">
        <is>
          <t>Powerplant</t>
        </is>
      </c>
      <c r="E3171" s="53" t="inlineStr">
        <is>
          <t>2025-01-19</t>
        </is>
      </c>
      <c r="F3171" s="53">
        <v>4.5</v>
      </c>
      <c r="G3171" s="53">
        <v>4</v>
      </c>
      <c r="H3171" s="51" t="str">
        <f>TEXT(tblLaborEntries[[#This Row],[Work date serial]]-WEEKDAY(tblLaborEntries[[#This Row],[Work date serial]],3),"yyyy-mm-dd")</f>
        <v>2025-01-13</v>
      </c>
      <c r="I3171" s="64">
        <f>DATEVALUE(tblLaborEntries[[#This Row],[Work date]])</f>
        <v>45676.0</v>
      </c>
    </row>
    <row r="3172" spans="1:9" ht="15" x14ac:dyDescent="0.25">
      <c r="A3172" s="53" t="inlineStr">
        <is>
          <t>LAB-003171</t>
        </is>
      </c>
      <c r="B3172" s="53" t="inlineStr">
        <is>
          <t>WP-01398</t>
        </is>
      </c>
      <c r="C3172" s="53" t="inlineStr">
        <is>
          <t>TECH-026</t>
        </is>
      </c>
      <c r="D3172" s="53" t="inlineStr">
        <is>
          <t>Avionics</t>
        </is>
      </c>
      <c r="E3172" s="53" t="inlineStr">
        <is>
          <t>2024-09-02</t>
        </is>
      </c>
      <c r="F3172" s="53">
        <v>9.2</v>
      </c>
      <c r="G3172" s="53">
        <v>1.2</v>
      </c>
      <c r="H3172" s="51" t="str">
        <f>TEXT(tblLaborEntries[[#This Row],[Work date serial]]-WEEKDAY(tblLaborEntries[[#This Row],[Work date serial]],3),"yyyy-mm-dd")</f>
        <v>2024-09-02</v>
      </c>
      <c r="I3172" s="64">
        <f>DATEVALUE(tblLaborEntries[[#This Row],[Work date]])</f>
        <v>45537.0</v>
      </c>
    </row>
    <row r="3173" spans="1:9" ht="15" x14ac:dyDescent="0.25">
      <c r="A3173" s="53" t="inlineStr">
        <is>
          <t>LAB-003172</t>
        </is>
      </c>
      <c r="B3173" s="53" t="inlineStr">
        <is>
          <t>WP-01399</t>
        </is>
      </c>
      <c r="C3173" s="53" t="inlineStr">
        <is>
          <t>TECH-015</t>
        </is>
      </c>
      <c r="D3173" s="53" t="inlineStr">
        <is>
          <t>Hydraulics</t>
        </is>
      </c>
      <c r="E3173" s="53" t="inlineStr">
        <is>
          <t>2024-02-26</t>
        </is>
      </c>
      <c r="F3173" s="53">
        <v>7.3</v>
      </c>
      <c r="G3173" s="53">
        <v>0</v>
      </c>
      <c r="H3173" s="51" t="str">
        <f>TEXT(tblLaborEntries[[#This Row],[Work date serial]]-WEEKDAY(tblLaborEntries[[#This Row],[Work date serial]],3),"yyyy-mm-dd")</f>
        <v>2024-02-26</v>
      </c>
      <c r="I3173" s="64">
        <f>DATEVALUE(tblLaborEntries[[#This Row],[Work date]])</f>
        <v>45348.0</v>
      </c>
    </row>
    <row r="3174" spans="1:9" ht="15" x14ac:dyDescent="0.25">
      <c r="A3174" s="53" t="inlineStr">
        <is>
          <t>LAB-003173</t>
        </is>
      </c>
      <c r="B3174" s="53" t="inlineStr">
        <is>
          <t>WP-01399</t>
        </is>
      </c>
      <c r="C3174" s="53" t="inlineStr">
        <is>
          <t>TECH-057</t>
        </is>
      </c>
      <c r="D3174" s="53" t="inlineStr">
        <is>
          <t>Hydraulics</t>
        </is>
      </c>
      <c r="E3174" s="53" t="inlineStr">
        <is>
          <t>2024-02-27</t>
        </is>
      </c>
      <c r="F3174" s="53">
        <v>7.7</v>
      </c>
      <c r="G3174" s="53">
        <v>0</v>
      </c>
      <c r="H3174" s="51" t="str">
        <f>TEXT(tblLaborEntries[[#This Row],[Work date serial]]-WEEKDAY(tblLaborEntries[[#This Row],[Work date serial]],3),"yyyy-mm-dd")</f>
        <v>2024-02-26</v>
      </c>
      <c r="I3174" s="64">
        <f>DATEVALUE(tblLaborEntries[[#This Row],[Work date]])</f>
        <v>45349.0</v>
      </c>
    </row>
    <row r="3175" spans="1:9" ht="15" x14ac:dyDescent="0.25">
      <c r="A3175" s="53" t="inlineStr">
        <is>
          <t>LAB-003174</t>
        </is>
      </c>
      <c r="B3175" s="53" t="inlineStr">
        <is>
          <t>WP-01399</t>
        </is>
      </c>
      <c r="C3175" s="53" t="inlineStr">
        <is>
          <t>TECH-063</t>
        </is>
      </c>
      <c r="D3175" s="53" t="inlineStr">
        <is>
          <t>Hydraulics</t>
        </is>
      </c>
      <c r="E3175" s="53" t="inlineStr">
        <is>
          <t>2024-02-28</t>
        </is>
      </c>
      <c r="F3175" s="53">
        <v>8.6</v>
      </c>
      <c r="G3175" s="53">
        <v>0.6</v>
      </c>
      <c r="H3175" s="51" t="str">
        <f>TEXT(tblLaborEntries[[#This Row],[Work date serial]]-WEEKDAY(tblLaborEntries[[#This Row],[Work date serial]],3),"yyyy-mm-dd")</f>
        <v>2024-02-26</v>
      </c>
      <c r="I3175" s="64">
        <f>DATEVALUE(tblLaborEntries[[#This Row],[Work date]])</f>
        <v>45350.0</v>
      </c>
    </row>
    <row r="3176" spans="1:9" ht="15" x14ac:dyDescent="0.25">
      <c r="A3176" s="53" t="inlineStr">
        <is>
          <t>LAB-003175</t>
        </is>
      </c>
      <c r="B3176" s="53" t="inlineStr">
        <is>
          <t>WP-01400</t>
        </is>
      </c>
      <c r="C3176" s="53" t="inlineStr">
        <is>
          <t>TECH-002</t>
        </is>
      </c>
      <c r="D3176" s="53" t="inlineStr">
        <is>
          <t>Avionics</t>
        </is>
      </c>
      <c r="E3176" s="53" t="inlineStr">
        <is>
          <t>2024-10-27</t>
        </is>
      </c>
      <c r="F3176" s="53">
        <v>0.5</v>
      </c>
      <c r="G3176" s="53">
        <v>0</v>
      </c>
      <c r="H3176" s="51" t="str">
        <f>TEXT(tblLaborEntries[[#This Row],[Work date serial]]-WEEKDAY(tblLaborEntries[[#This Row],[Work date serial]],3),"yyyy-mm-dd")</f>
        <v>2024-10-21</v>
      </c>
      <c r="I3176" s="64">
        <f>DATEVALUE(tblLaborEntries[[#This Row],[Work date]])</f>
        <v>45592.0</v>
      </c>
    </row>
    <row r="3177" spans="1:9" ht="15" x14ac:dyDescent="0.25">
      <c r="A3177" s="53" t="inlineStr">
        <is>
          <t>LAB-003176</t>
        </is>
      </c>
      <c r="B3177" s="53" t="inlineStr">
        <is>
          <t>WP-01400</t>
        </is>
      </c>
      <c r="C3177" s="53" t="inlineStr">
        <is>
          <t>TECH-032</t>
        </is>
      </c>
      <c r="D3177" s="53" t="inlineStr">
        <is>
          <t>Avionics</t>
        </is>
      </c>
      <c r="E3177" s="53" t="inlineStr">
        <is>
          <t>2024-10-27</t>
        </is>
      </c>
      <c r="F3177" s="53">
        <v>12</v>
      </c>
      <c r="G3177" s="53">
        <v>4</v>
      </c>
      <c r="H3177" s="51" t="str">
        <f>TEXT(tblLaborEntries[[#This Row],[Work date serial]]-WEEKDAY(tblLaborEntries[[#This Row],[Work date serial]],3),"yyyy-mm-dd")</f>
        <v>2024-10-21</v>
      </c>
      <c r="I3177" s="64">
        <f>DATEVALUE(tblLaborEntries[[#This Row],[Work date]])</f>
        <v>45592.0</v>
      </c>
    </row>
    <row r="3178" spans="1:9" ht="15" x14ac:dyDescent="0.25">
      <c r="A3178" s="53" t="inlineStr">
        <is>
          <t>LAB-003177</t>
        </is>
      </c>
      <c r="B3178" s="53" t="inlineStr">
        <is>
          <t>WP-01401</t>
        </is>
      </c>
      <c r="C3178" s="53" t="inlineStr">
        <is>
          <t>TECH-063</t>
        </is>
      </c>
      <c r="D3178" s="53" t="inlineStr">
        <is>
          <t>Hydraulics</t>
        </is>
      </c>
      <c r="E3178" s="53" t="inlineStr">
        <is>
          <t>2024-12-13</t>
        </is>
      </c>
      <c r="F3178" s="53">
        <v>3.4</v>
      </c>
      <c r="G3178" s="53">
        <v>0</v>
      </c>
      <c r="H3178" s="51" t="str">
        <f>TEXT(tblLaborEntries[[#This Row],[Work date serial]]-WEEKDAY(tblLaborEntries[[#This Row],[Work date serial]],3),"yyyy-mm-dd")</f>
        <v>2024-12-09</v>
      </c>
      <c r="I3178" s="64">
        <f>DATEVALUE(tblLaborEntries[[#This Row],[Work date]])</f>
        <v>45639.0</v>
      </c>
    </row>
    <row r="3179" spans="1:9" ht="15" x14ac:dyDescent="0.25">
      <c r="A3179" s="53" t="inlineStr">
        <is>
          <t>LAB-003178</t>
        </is>
      </c>
      <c r="B3179" s="53" t="inlineStr">
        <is>
          <t>WP-01401</t>
        </is>
      </c>
      <c r="C3179" s="53" t="inlineStr">
        <is>
          <t>TECH-069</t>
        </is>
      </c>
      <c r="D3179" s="53" t="inlineStr">
        <is>
          <t>Hydraulics</t>
        </is>
      </c>
      <c r="E3179" s="53" t="inlineStr">
        <is>
          <t>2024-12-14</t>
        </is>
      </c>
      <c r="F3179" s="53">
        <v>2.9</v>
      </c>
      <c r="G3179" s="53">
        <v>0</v>
      </c>
      <c r="H3179" s="51" t="str">
        <f>TEXT(tblLaborEntries[[#This Row],[Work date serial]]-WEEKDAY(tblLaborEntries[[#This Row],[Work date serial]],3),"yyyy-mm-dd")</f>
        <v>2024-12-09</v>
      </c>
      <c r="I3179" s="64">
        <f>DATEVALUE(tblLaborEntries[[#This Row],[Work date]])</f>
        <v>45640.0</v>
      </c>
    </row>
    <row r="3180" spans="1:9" ht="15" x14ac:dyDescent="0.25">
      <c r="A3180" s="53" t="inlineStr">
        <is>
          <t>LAB-003179</t>
        </is>
      </c>
      <c r="B3180" s="53" t="inlineStr">
        <is>
          <t>WP-01402</t>
        </is>
      </c>
      <c r="C3180" s="53" t="inlineStr">
        <is>
          <t>TECH-003</t>
        </is>
      </c>
      <c r="D3180" s="53" t="inlineStr">
        <is>
          <t>Hydraulics</t>
        </is>
      </c>
      <c r="E3180" s="53" t="inlineStr">
        <is>
          <t>2025-06-13</t>
        </is>
      </c>
      <c r="F3180" s="53">
        <v>0.6</v>
      </c>
      <c r="G3180" s="53">
        <v>0</v>
      </c>
      <c r="H3180" s="51" t="str">
        <f>TEXT(tblLaborEntries[[#This Row],[Work date serial]]-WEEKDAY(tblLaborEntries[[#This Row],[Work date serial]],3),"yyyy-mm-dd")</f>
        <v>2025-06-09</v>
      </c>
      <c r="I3180" s="64">
        <f>DATEVALUE(tblLaborEntries[[#This Row],[Work date]])</f>
        <v>45821.0</v>
      </c>
    </row>
    <row r="3181" spans="1:9" ht="15" x14ac:dyDescent="0.25">
      <c r="A3181" s="53" t="inlineStr">
        <is>
          <t>LAB-003180</t>
        </is>
      </c>
      <c r="B3181" s="53" t="inlineStr">
        <is>
          <t>WP-01402</t>
        </is>
      </c>
      <c r="C3181" s="53" t="inlineStr">
        <is>
          <t>TECH-009</t>
        </is>
      </c>
      <c r="D3181" s="53" t="inlineStr">
        <is>
          <t>Hydraulics</t>
        </is>
      </c>
      <c r="E3181" s="53" t="inlineStr">
        <is>
          <t>2025-06-13</t>
        </is>
      </c>
      <c r="F3181" s="53">
        <v>12</v>
      </c>
      <c r="G3181" s="53">
        <v>4</v>
      </c>
      <c r="H3181" s="51" t="str">
        <f>TEXT(tblLaborEntries[[#This Row],[Work date serial]]-WEEKDAY(tblLaborEntries[[#This Row],[Work date serial]],3),"yyyy-mm-dd")</f>
        <v>2025-06-09</v>
      </c>
      <c r="I3181" s="64">
        <f>DATEVALUE(tblLaborEntries[[#This Row],[Work date]])</f>
        <v>45821.0</v>
      </c>
    </row>
    <row r="3182" spans="1:9" ht="15" x14ac:dyDescent="0.25">
      <c r="A3182" s="53" t="inlineStr">
        <is>
          <t>LAB-003181</t>
        </is>
      </c>
      <c r="B3182" s="53" t="inlineStr">
        <is>
          <t>WP-01403</t>
        </is>
      </c>
      <c r="C3182" s="53" t="inlineStr">
        <is>
          <t>TECH-014</t>
        </is>
      </c>
      <c r="D3182" s="53" t="inlineStr">
        <is>
          <t>Avionics</t>
        </is>
      </c>
      <c r="E3182" s="53" t="inlineStr">
        <is>
          <t>2025-06-06</t>
        </is>
      </c>
      <c r="F3182" s="53">
        <v>5.5</v>
      </c>
      <c r="G3182" s="53">
        <v>0</v>
      </c>
      <c r="H3182" s="51" t="str">
        <f>TEXT(tblLaborEntries[[#This Row],[Work date serial]]-WEEKDAY(tblLaborEntries[[#This Row],[Work date serial]],3),"yyyy-mm-dd")</f>
        <v>2025-06-02</v>
      </c>
      <c r="I3182" s="64">
        <f>DATEVALUE(tblLaborEntries[[#This Row],[Work date]])</f>
        <v>45814.0</v>
      </c>
    </row>
    <row r="3183" spans="1:9" ht="15" x14ac:dyDescent="0.25">
      <c r="A3183" s="53" t="inlineStr">
        <is>
          <t>LAB-003182</t>
        </is>
      </c>
      <c r="B3183" s="53" t="inlineStr">
        <is>
          <t>WP-01403</t>
        </is>
      </c>
      <c r="C3183" s="53" t="inlineStr">
        <is>
          <t>TECH-032</t>
        </is>
      </c>
      <c r="D3183" s="53" t="inlineStr">
        <is>
          <t>Avionics</t>
        </is>
      </c>
      <c r="E3183" s="53" t="inlineStr">
        <is>
          <t>2025-06-07</t>
        </is>
      </c>
      <c r="F3183" s="53">
        <v>7.2</v>
      </c>
      <c r="G3183" s="53">
        <v>0</v>
      </c>
      <c r="H3183" s="51" t="str">
        <f>TEXT(tblLaborEntries[[#This Row],[Work date serial]]-WEEKDAY(tblLaborEntries[[#This Row],[Work date serial]],3),"yyyy-mm-dd")</f>
        <v>2025-06-02</v>
      </c>
      <c r="I3183" s="64">
        <f>DATEVALUE(tblLaborEntries[[#This Row],[Work date]])</f>
        <v>45815.0</v>
      </c>
    </row>
    <row r="3184" spans="1:9" ht="15" x14ac:dyDescent="0.25">
      <c r="A3184" s="53" t="inlineStr">
        <is>
          <t>LAB-003183</t>
        </is>
      </c>
      <c r="B3184" s="53" t="inlineStr">
        <is>
          <t>WP-01403</t>
        </is>
      </c>
      <c r="C3184" s="53" t="inlineStr">
        <is>
          <t>TECH-008</t>
        </is>
      </c>
      <c r="D3184" s="53" t="inlineStr">
        <is>
          <t>Avionics</t>
        </is>
      </c>
      <c r="E3184" s="53" t="inlineStr">
        <is>
          <t>2025-06-08</t>
        </is>
      </c>
      <c r="F3184" s="53">
        <v>5.3</v>
      </c>
      <c r="G3184" s="53">
        <v>0</v>
      </c>
      <c r="H3184" s="51" t="str">
        <f>TEXT(tblLaborEntries[[#This Row],[Work date serial]]-WEEKDAY(tblLaborEntries[[#This Row],[Work date serial]],3),"yyyy-mm-dd")</f>
        <v>2025-06-02</v>
      </c>
      <c r="I3184" s="64">
        <f>DATEVALUE(tblLaborEntries[[#This Row],[Work date]])</f>
        <v>45816.0</v>
      </c>
    </row>
    <row r="3185" spans="1:9" ht="15" x14ac:dyDescent="0.25">
      <c r="A3185" s="53" t="inlineStr">
        <is>
          <t>LAB-003184</t>
        </is>
      </c>
      <c r="B3185" s="53" t="inlineStr">
        <is>
          <t>WP-01404</t>
        </is>
      </c>
      <c r="C3185" s="53" t="inlineStr">
        <is>
          <t>TECH-003</t>
        </is>
      </c>
      <c r="D3185" s="53" t="inlineStr">
        <is>
          <t>Hydraulics</t>
        </is>
      </c>
      <c r="E3185" s="53" t="inlineStr">
        <is>
          <t>2024-07-28</t>
        </is>
      </c>
      <c r="F3185" s="53">
        <v>8.6</v>
      </c>
      <c r="G3185" s="53">
        <v>0.6</v>
      </c>
      <c r="H3185" s="51" t="str">
        <f>TEXT(tblLaborEntries[[#This Row],[Work date serial]]-WEEKDAY(tblLaborEntries[[#This Row],[Work date serial]],3),"yyyy-mm-dd")</f>
        <v>2024-07-22</v>
      </c>
      <c r="I3185" s="64">
        <f>DATEVALUE(tblLaborEntries[[#This Row],[Work date]])</f>
        <v>45501.0</v>
      </c>
    </row>
    <row r="3186" spans="1:9" ht="15" x14ac:dyDescent="0.25">
      <c r="A3186" s="53" t="inlineStr">
        <is>
          <t>LAB-003185</t>
        </is>
      </c>
      <c r="B3186" s="53" t="inlineStr">
        <is>
          <t>WP-01404</t>
        </is>
      </c>
      <c r="C3186" s="53" t="inlineStr">
        <is>
          <t>TECH-009</t>
        </is>
      </c>
      <c r="D3186" s="53" t="inlineStr">
        <is>
          <t>Hydraulics</t>
        </is>
      </c>
      <c r="E3186" s="53" t="inlineStr">
        <is>
          <t>2024-07-28</t>
        </is>
      </c>
      <c r="F3186" s="53">
        <v>12</v>
      </c>
      <c r="G3186" s="53">
        <v>4</v>
      </c>
      <c r="H3186" s="51" t="str">
        <f>TEXT(tblLaborEntries[[#This Row],[Work date serial]]-WEEKDAY(tblLaborEntries[[#This Row],[Work date serial]],3),"yyyy-mm-dd")</f>
        <v>2024-07-22</v>
      </c>
      <c r="I3186" s="64">
        <f>DATEVALUE(tblLaborEntries[[#This Row],[Work date]])</f>
        <v>45501.0</v>
      </c>
    </row>
    <row r="3187" spans="1:9" ht="15" x14ac:dyDescent="0.25">
      <c r="A3187" s="53" t="inlineStr">
        <is>
          <t>LAB-003186</t>
        </is>
      </c>
      <c r="B3187" s="53" t="inlineStr">
        <is>
          <t>WP-01405</t>
        </is>
      </c>
      <c r="C3187" s="53" t="inlineStr">
        <is>
          <t>TECH-054</t>
        </is>
      </c>
      <c r="D3187" s="53" t="inlineStr">
        <is>
          <t>Powerplant</t>
        </is>
      </c>
      <c r="E3187" s="53" t="inlineStr">
        <is>
          <t>2024-07-13</t>
        </is>
      </c>
      <c r="F3187" s="53">
        <v>8.6</v>
      </c>
      <c r="G3187" s="53">
        <v>0.6</v>
      </c>
      <c r="H3187" s="51" t="str">
        <f>TEXT(tblLaborEntries[[#This Row],[Work date serial]]-WEEKDAY(tblLaborEntries[[#This Row],[Work date serial]],3),"yyyy-mm-dd")</f>
        <v>2024-07-08</v>
      </c>
      <c r="I3187" s="64">
        <f>DATEVALUE(tblLaborEntries[[#This Row],[Work date]])</f>
        <v>45486.0</v>
      </c>
    </row>
    <row r="3188" spans="1:9" ht="15" x14ac:dyDescent="0.25">
      <c r="A3188" s="53" t="inlineStr">
        <is>
          <t>LAB-003187</t>
        </is>
      </c>
      <c r="B3188" s="53" t="inlineStr">
        <is>
          <t>WP-01406</t>
        </is>
      </c>
      <c r="C3188" s="53" t="inlineStr">
        <is>
          <t>TECH-013</t>
        </is>
      </c>
      <c r="D3188" s="53" t="inlineStr">
        <is>
          <t>Airframe</t>
        </is>
      </c>
      <c r="E3188" s="53" t="inlineStr">
        <is>
          <t>2024-12-14</t>
        </is>
      </c>
      <c r="F3188" s="53">
        <v>1.8</v>
      </c>
      <c r="G3188" s="53">
        <v>0</v>
      </c>
      <c r="H3188" s="51" t="str">
        <f>TEXT(tblLaborEntries[[#This Row],[Work date serial]]-WEEKDAY(tblLaborEntries[[#This Row],[Work date serial]],3),"yyyy-mm-dd")</f>
        <v>2024-12-09</v>
      </c>
      <c r="I3188" s="64">
        <f>DATEVALUE(tblLaborEntries[[#This Row],[Work date]])</f>
        <v>45640.0</v>
      </c>
    </row>
    <row r="3189" spans="1:9" ht="15" x14ac:dyDescent="0.25">
      <c r="A3189" s="53" t="inlineStr">
        <is>
          <t>LAB-003188</t>
        </is>
      </c>
      <c r="B3189" s="53" t="inlineStr">
        <is>
          <t>WP-01406</t>
        </is>
      </c>
      <c r="C3189" s="53" t="inlineStr">
        <is>
          <t>TECH-037</t>
        </is>
      </c>
      <c r="D3189" s="53" t="inlineStr">
        <is>
          <t>Airframe</t>
        </is>
      </c>
      <c r="E3189" s="53" t="inlineStr">
        <is>
          <t>2024-12-15</t>
        </is>
      </c>
      <c r="F3189" s="53">
        <v>1.3</v>
      </c>
      <c r="G3189" s="53">
        <v>0</v>
      </c>
      <c r="H3189" s="51" t="str">
        <f>TEXT(tblLaborEntries[[#This Row],[Work date serial]]-WEEKDAY(tblLaborEntries[[#This Row],[Work date serial]],3),"yyyy-mm-dd")</f>
        <v>2024-12-09</v>
      </c>
      <c r="I3189" s="64">
        <f>DATEVALUE(tblLaborEntries[[#This Row],[Work date]])</f>
        <v>45641.0</v>
      </c>
    </row>
    <row r="3190" spans="1:9" ht="15" x14ac:dyDescent="0.25">
      <c r="A3190" s="53" t="inlineStr">
        <is>
          <t>LAB-003189</t>
        </is>
      </c>
      <c r="B3190" s="53" t="inlineStr">
        <is>
          <t>WP-01407</t>
        </is>
      </c>
      <c r="C3190" s="53" t="inlineStr">
        <is>
          <t>TECH-055</t>
        </is>
      </c>
      <c r="D3190" s="53" t="inlineStr">
        <is>
          <t>Airframe</t>
        </is>
      </c>
      <c r="E3190" s="53" t="inlineStr">
        <is>
          <t>2025-05-14</t>
        </is>
      </c>
      <c r="F3190" s="53">
        <v>4.1</v>
      </c>
      <c r="G3190" s="53">
        <v>0</v>
      </c>
      <c r="H3190" s="51" t="str">
        <f>TEXT(tblLaborEntries[[#This Row],[Work date serial]]-WEEKDAY(tblLaborEntries[[#This Row],[Work date serial]],3),"yyyy-mm-dd")</f>
        <v>2025-05-12</v>
      </c>
      <c r="I3190" s="64">
        <f>DATEVALUE(tblLaborEntries[[#This Row],[Work date]])</f>
        <v>45791.0</v>
      </c>
    </row>
    <row r="3191" spans="1:9" ht="15" x14ac:dyDescent="0.25">
      <c r="A3191" s="53" t="inlineStr">
        <is>
          <t>LAB-003190</t>
        </is>
      </c>
      <c r="B3191" s="53" t="inlineStr">
        <is>
          <t>WP-01408</t>
        </is>
      </c>
      <c r="C3191" s="53" t="inlineStr">
        <is>
          <t>TECH-032</t>
        </is>
      </c>
      <c r="D3191" s="53" t="inlineStr">
        <is>
          <t>Avionics</t>
        </is>
      </c>
      <c r="E3191" s="53" t="inlineStr">
        <is>
          <t>2025-03-16</t>
        </is>
      </c>
      <c r="F3191" s="53">
        <v>3.2</v>
      </c>
      <c r="G3191" s="53">
        <v>0.1</v>
      </c>
      <c r="H3191" s="51" t="str">
        <f>TEXT(tblLaborEntries[[#This Row],[Work date serial]]-WEEKDAY(tblLaborEntries[[#This Row],[Work date serial]],3),"yyyy-mm-dd")</f>
        <v>2025-03-10</v>
      </c>
      <c r="I3191" s="64">
        <f>DATEVALUE(tblLaborEntries[[#This Row],[Work date]])</f>
        <v>45732.0</v>
      </c>
    </row>
    <row r="3192" spans="1:9" ht="15" x14ac:dyDescent="0.25">
      <c r="A3192" s="53" t="inlineStr">
        <is>
          <t>LAB-003191</t>
        </is>
      </c>
      <c r="B3192" s="53" t="inlineStr">
        <is>
          <t>WP-01408</t>
        </is>
      </c>
      <c r="C3192" s="53" t="inlineStr">
        <is>
          <t>TECH-050</t>
        </is>
      </c>
      <c r="D3192" s="53" t="inlineStr">
        <is>
          <t>Avionics</t>
        </is>
      </c>
      <c r="E3192" s="53" t="inlineStr">
        <is>
          <t>2025-03-17</t>
        </is>
      </c>
      <c r="F3192" s="53">
        <v>4</v>
      </c>
      <c r="G3192" s="53">
        <v>0</v>
      </c>
      <c r="H3192" s="51" t="str">
        <f>TEXT(tblLaborEntries[[#This Row],[Work date serial]]-WEEKDAY(tblLaborEntries[[#This Row],[Work date serial]],3),"yyyy-mm-dd")</f>
        <v>2025-03-17</v>
      </c>
      <c r="I3192" s="64">
        <f>DATEVALUE(tblLaborEntries[[#This Row],[Work date]])</f>
        <v>45733.0</v>
      </c>
    </row>
    <row r="3193" spans="1:9" ht="15" x14ac:dyDescent="0.25">
      <c r="A3193" s="53" t="inlineStr">
        <is>
          <t>LAB-003192</t>
        </is>
      </c>
      <c r="B3193" s="53" t="inlineStr">
        <is>
          <t>WP-01408</t>
        </is>
      </c>
      <c r="C3193" s="53" t="inlineStr">
        <is>
          <t>TECH-014</t>
        </is>
      </c>
      <c r="D3193" s="53" t="inlineStr">
        <is>
          <t>Avionics</t>
        </is>
      </c>
      <c r="E3193" s="53" t="inlineStr">
        <is>
          <t>2025-03-18</t>
        </is>
      </c>
      <c r="F3193" s="53">
        <v>5.1</v>
      </c>
      <c r="G3193" s="53">
        <v>1.1</v>
      </c>
      <c r="H3193" s="51" t="str">
        <f>TEXT(tblLaborEntries[[#This Row],[Work date serial]]-WEEKDAY(tblLaborEntries[[#This Row],[Work date serial]],3),"yyyy-mm-dd")</f>
        <v>2025-03-17</v>
      </c>
      <c r="I3193" s="64">
        <f>DATEVALUE(tblLaborEntries[[#This Row],[Work date]])</f>
        <v>45734.0</v>
      </c>
    </row>
    <row r="3194" spans="1:9" ht="15" x14ac:dyDescent="0.25">
      <c r="A3194" s="53" t="inlineStr">
        <is>
          <t>LAB-003193</t>
        </is>
      </c>
      <c r="B3194" s="53" t="inlineStr">
        <is>
          <t>WP-01409</t>
        </is>
      </c>
      <c r="C3194" s="53" t="inlineStr">
        <is>
          <t>TECH-072</t>
        </is>
      </c>
      <c r="D3194" s="53" t="inlineStr">
        <is>
          <t>Powerplant</t>
        </is>
      </c>
      <c r="E3194" s="53" t="inlineStr">
        <is>
          <t>2024-12-09</t>
        </is>
      </c>
      <c r="F3194" s="53">
        <v>4.5</v>
      </c>
      <c r="G3194" s="53">
        <v>0</v>
      </c>
      <c r="H3194" s="51" t="str">
        <f>TEXT(tblLaborEntries[[#This Row],[Work date serial]]-WEEKDAY(tblLaborEntries[[#This Row],[Work date serial]],3),"yyyy-mm-dd")</f>
        <v>2024-12-09</v>
      </c>
      <c r="I3194" s="64">
        <f>DATEVALUE(tblLaborEntries[[#This Row],[Work date]])</f>
        <v>45635.0</v>
      </c>
    </row>
    <row r="3195" spans="1:9" ht="15" x14ac:dyDescent="0.25">
      <c r="A3195" s="53" t="inlineStr">
        <is>
          <t>LAB-003194</t>
        </is>
      </c>
      <c r="B3195" s="53" t="inlineStr">
        <is>
          <t>WP-01409</t>
        </is>
      </c>
      <c r="C3195" s="53" t="inlineStr">
        <is>
          <t>TECH-054</t>
        </is>
      </c>
      <c r="D3195" s="53" t="inlineStr">
        <is>
          <t>Powerplant</t>
        </is>
      </c>
      <c r="E3195" s="53" t="inlineStr">
        <is>
          <t>2024-12-10</t>
        </is>
      </c>
      <c r="F3195" s="53">
        <v>5</v>
      </c>
      <c r="G3195" s="53">
        <v>0</v>
      </c>
      <c r="H3195" s="51" t="str">
        <f>TEXT(tblLaborEntries[[#This Row],[Work date serial]]-WEEKDAY(tblLaborEntries[[#This Row],[Work date serial]],3),"yyyy-mm-dd")</f>
        <v>2024-12-09</v>
      </c>
      <c r="I3195" s="64">
        <f>DATEVALUE(tblLaborEntries[[#This Row],[Work date]])</f>
        <v>45636.0</v>
      </c>
    </row>
    <row r="3196" spans="1:9" ht="15" x14ac:dyDescent="0.25">
      <c r="A3196" s="53" t="inlineStr">
        <is>
          <t>LAB-003195</t>
        </is>
      </c>
      <c r="B3196" s="53" t="inlineStr">
        <is>
          <t>WP-01409</t>
        </is>
      </c>
      <c r="C3196" s="53" t="inlineStr">
        <is>
          <t>TECH-042</t>
        </is>
      </c>
      <c r="D3196" s="53" t="inlineStr">
        <is>
          <t>Powerplant</t>
        </is>
      </c>
      <c r="E3196" s="53" t="inlineStr">
        <is>
          <t>2024-12-11</t>
        </is>
      </c>
      <c r="F3196" s="53">
        <v>4.4</v>
      </c>
      <c r="G3196" s="53">
        <v>0</v>
      </c>
      <c r="H3196" s="51" t="str">
        <f>TEXT(tblLaborEntries[[#This Row],[Work date serial]]-WEEKDAY(tblLaborEntries[[#This Row],[Work date serial]],3),"yyyy-mm-dd")</f>
        <v>2024-12-09</v>
      </c>
      <c r="I3196" s="64">
        <f>DATEVALUE(tblLaborEntries[[#This Row],[Work date]])</f>
        <v>45637.0</v>
      </c>
    </row>
    <row r="3197" spans="1:9" ht="15" x14ac:dyDescent="0.25">
      <c r="A3197" s="53" t="inlineStr">
        <is>
          <t>LAB-003196</t>
        </is>
      </c>
      <c r="B3197" s="53" t="inlineStr">
        <is>
          <t>WP-01410</t>
        </is>
      </c>
      <c r="C3197" s="53" t="inlineStr">
        <is>
          <t>TECH-030</t>
        </is>
      </c>
      <c r="D3197" s="53" t="inlineStr">
        <is>
          <t>Powerplant</t>
        </is>
      </c>
      <c r="E3197" s="53" t="inlineStr">
        <is>
          <t>2024-08-21</t>
        </is>
      </c>
      <c r="F3197" s="53">
        <v>2.6</v>
      </c>
      <c r="G3197" s="53">
        <v>0</v>
      </c>
      <c r="H3197" s="51" t="str">
        <f>TEXT(tblLaborEntries[[#This Row],[Work date serial]]-WEEKDAY(tblLaborEntries[[#This Row],[Work date serial]],3),"yyyy-mm-dd")</f>
        <v>2024-08-19</v>
      </c>
      <c r="I3197" s="64">
        <f>DATEVALUE(tblLaborEntries[[#This Row],[Work date]])</f>
        <v>45525.0</v>
      </c>
    </row>
    <row r="3198" spans="1:9" ht="15" x14ac:dyDescent="0.25">
      <c r="A3198" s="53" t="inlineStr">
        <is>
          <t>LAB-003197</t>
        </is>
      </c>
      <c r="B3198" s="53" t="inlineStr">
        <is>
          <t>WP-01410</t>
        </is>
      </c>
      <c r="C3198" s="53" t="inlineStr">
        <is>
          <t>TECH-012</t>
        </is>
      </c>
      <c r="D3198" s="53" t="inlineStr">
        <is>
          <t>Powerplant</t>
        </is>
      </c>
      <c r="E3198" s="53" t="inlineStr">
        <is>
          <t>2024-08-22</t>
        </is>
      </c>
      <c r="F3198" s="53">
        <v>2.4</v>
      </c>
      <c r="G3198" s="53">
        <v>0</v>
      </c>
      <c r="H3198" s="51" t="str">
        <f>TEXT(tblLaborEntries[[#This Row],[Work date serial]]-WEEKDAY(tblLaborEntries[[#This Row],[Work date serial]],3),"yyyy-mm-dd")</f>
        <v>2024-08-19</v>
      </c>
      <c r="I3198" s="64">
        <f>DATEVALUE(tblLaborEntries[[#This Row],[Work date]])</f>
        <v>45526.0</v>
      </c>
    </row>
    <row r="3199" spans="1:9" ht="15" x14ac:dyDescent="0.25">
      <c r="A3199" s="53" t="inlineStr">
        <is>
          <t>LAB-003198</t>
        </is>
      </c>
      <c r="B3199" s="53" t="inlineStr">
        <is>
          <t>WP-01410</t>
        </is>
      </c>
      <c r="C3199" s="53" t="inlineStr">
        <is>
          <t>TECH-024</t>
        </is>
      </c>
      <c r="D3199" s="53" t="inlineStr">
        <is>
          <t>Powerplant</t>
        </is>
      </c>
      <c r="E3199" s="53" t="inlineStr">
        <is>
          <t>2024-08-23</t>
        </is>
      </c>
      <c r="F3199" s="53">
        <v>1.9</v>
      </c>
      <c r="G3199" s="53">
        <v>0</v>
      </c>
      <c r="H3199" s="51" t="str">
        <f>TEXT(tblLaborEntries[[#This Row],[Work date serial]]-WEEKDAY(tblLaborEntries[[#This Row],[Work date serial]],3),"yyyy-mm-dd")</f>
        <v>2024-08-19</v>
      </c>
      <c r="I3199" s="64">
        <f>DATEVALUE(tblLaborEntries[[#This Row],[Work date]])</f>
        <v>45527.0</v>
      </c>
    </row>
    <row r="3200" spans="1:9" ht="15" x14ac:dyDescent="0.25">
      <c r="A3200" s="53" t="inlineStr">
        <is>
          <t>LAB-003199</t>
        </is>
      </c>
      <c r="B3200" s="53" t="inlineStr">
        <is>
          <t>WP-01411</t>
        </is>
      </c>
      <c r="C3200" s="53" t="inlineStr">
        <is>
          <t>TECH-051</t>
        </is>
      </c>
      <c r="D3200" s="53" t="inlineStr">
        <is>
          <t>Hydraulics</t>
        </is>
      </c>
      <c r="E3200" s="53" t="inlineStr">
        <is>
          <t>2024-02-17</t>
        </is>
      </c>
      <c r="F3200" s="53">
        <v>7.9</v>
      </c>
      <c r="G3200" s="53">
        <v>0</v>
      </c>
      <c r="H3200" s="51" t="str">
        <f>TEXT(tblLaborEntries[[#This Row],[Work date serial]]-WEEKDAY(tblLaborEntries[[#This Row],[Work date serial]],3),"yyyy-mm-dd")</f>
        <v>2024-02-12</v>
      </c>
      <c r="I3200" s="64">
        <f>DATEVALUE(tblLaborEntries[[#This Row],[Work date]])</f>
        <v>45339.0</v>
      </c>
    </row>
    <row r="3201" spans="1:9" ht="15" x14ac:dyDescent="0.25">
      <c r="A3201" s="53" t="inlineStr">
        <is>
          <t>LAB-003200</t>
        </is>
      </c>
      <c r="B3201" s="53" t="inlineStr">
        <is>
          <t>WP-01411</t>
        </is>
      </c>
      <c r="C3201" s="53" t="inlineStr">
        <is>
          <t>TECH-057</t>
        </is>
      </c>
      <c r="D3201" s="53" t="inlineStr">
        <is>
          <t>Hydraulics</t>
        </is>
      </c>
      <c r="E3201" s="53" t="inlineStr">
        <is>
          <t>2024-02-18</t>
        </is>
      </c>
      <c r="F3201" s="53">
        <v>9.9</v>
      </c>
      <c r="G3201" s="53">
        <v>1.9</v>
      </c>
      <c r="H3201" s="51" t="str">
        <f>TEXT(tblLaborEntries[[#This Row],[Work date serial]]-WEEKDAY(tblLaborEntries[[#This Row],[Work date serial]],3),"yyyy-mm-dd")</f>
        <v>2024-02-12</v>
      </c>
      <c r="I3201" s="64">
        <f>DATEVALUE(tblLaborEntries[[#This Row],[Work date]])</f>
        <v>45340.0</v>
      </c>
    </row>
    <row r="3202" spans="1:9" ht="15" x14ac:dyDescent="0.25">
      <c r="A3202" s="53" t="inlineStr">
        <is>
          <t>LAB-003201</t>
        </is>
      </c>
      <c r="B3202" s="53" t="inlineStr">
        <is>
          <t>WP-01412</t>
        </is>
      </c>
      <c r="C3202" s="53" t="inlineStr">
        <is>
          <t>TECH-062</t>
        </is>
      </c>
      <c r="D3202" s="53" t="inlineStr">
        <is>
          <t>Avionics</t>
        </is>
      </c>
      <c r="E3202" s="53" t="inlineStr">
        <is>
          <t>2024-08-25</t>
        </is>
      </c>
      <c r="F3202" s="53">
        <v>9.3</v>
      </c>
      <c r="G3202" s="53">
        <v>1.3</v>
      </c>
      <c r="H3202" s="51" t="str">
        <f>TEXT(tblLaborEntries[[#This Row],[Work date serial]]-WEEKDAY(tblLaborEntries[[#This Row],[Work date serial]],3),"yyyy-mm-dd")</f>
        <v>2024-08-19</v>
      </c>
      <c r="I3202" s="64">
        <f>DATEVALUE(tblLaborEntries[[#This Row],[Work date]])</f>
        <v>45529.0</v>
      </c>
    </row>
    <row r="3203" spans="1:9" ht="15" x14ac:dyDescent="0.25">
      <c r="A3203" s="53" t="inlineStr">
        <is>
          <t>LAB-003202</t>
        </is>
      </c>
      <c r="B3203" s="53" t="inlineStr">
        <is>
          <t>WP-01413</t>
        </is>
      </c>
      <c r="C3203" s="53" t="inlineStr">
        <is>
          <t>TECH-062</t>
        </is>
      </c>
      <c r="D3203" s="53" t="inlineStr">
        <is>
          <t>Avionics</t>
        </is>
      </c>
      <c r="E3203" s="53" t="inlineStr">
        <is>
          <t>2025-08-28</t>
        </is>
      </c>
      <c r="F3203" s="53">
        <v>1.5</v>
      </c>
      <c r="G3203" s="53">
        <v>0</v>
      </c>
      <c r="H3203" s="51" t="str">
        <f>TEXT(tblLaborEntries[[#This Row],[Work date serial]]-WEEKDAY(tblLaborEntries[[#This Row],[Work date serial]],3),"yyyy-mm-dd")</f>
        <v>2025-08-25</v>
      </c>
      <c r="I3203" s="64">
        <f>DATEVALUE(tblLaborEntries[[#This Row],[Work date]])</f>
        <v>45897.0</v>
      </c>
    </row>
    <row r="3204" spans="1:9" ht="15" x14ac:dyDescent="0.25">
      <c r="A3204" s="53" t="inlineStr">
        <is>
          <t>LAB-003203</t>
        </is>
      </c>
      <c r="B3204" s="53" t="inlineStr">
        <is>
          <t>WP-01413</t>
        </is>
      </c>
      <c r="C3204" s="53" t="inlineStr">
        <is>
          <t>TECH-026</t>
        </is>
      </c>
      <c r="D3204" s="53" t="inlineStr">
        <is>
          <t>Avionics</t>
        </is>
      </c>
      <c r="E3204" s="53" t="inlineStr">
        <is>
          <t>2025-08-29</t>
        </is>
      </c>
      <c r="F3204" s="53">
        <v>1.6</v>
      </c>
      <c r="G3204" s="53">
        <v>0</v>
      </c>
      <c r="H3204" s="51" t="str">
        <f>TEXT(tblLaborEntries[[#This Row],[Work date serial]]-WEEKDAY(tblLaborEntries[[#This Row],[Work date serial]],3),"yyyy-mm-dd")</f>
        <v>2025-08-25</v>
      </c>
      <c r="I3204" s="64">
        <f>DATEVALUE(tblLaborEntries[[#This Row],[Work date]])</f>
        <v>45898.0</v>
      </c>
    </row>
    <row r="3205" spans="1:9" ht="15" x14ac:dyDescent="0.25">
      <c r="A3205" s="53" t="inlineStr">
        <is>
          <t>LAB-003204</t>
        </is>
      </c>
      <c r="B3205" s="53" t="inlineStr">
        <is>
          <t>WP-01413</t>
        </is>
      </c>
      <c r="C3205" s="53" t="inlineStr">
        <is>
          <t>TECH-014</t>
        </is>
      </c>
      <c r="D3205" s="53" t="inlineStr">
        <is>
          <t>Avionics</t>
        </is>
      </c>
      <c r="E3205" s="53" t="inlineStr">
        <is>
          <t>2025-08-30</t>
        </is>
      </c>
      <c r="F3205" s="53">
        <v>1.4</v>
      </c>
      <c r="G3205" s="53">
        <v>0</v>
      </c>
      <c r="H3205" s="51" t="str">
        <f>TEXT(tblLaborEntries[[#This Row],[Work date serial]]-WEEKDAY(tblLaborEntries[[#This Row],[Work date serial]],3),"yyyy-mm-dd")</f>
        <v>2025-08-25</v>
      </c>
      <c r="I3205" s="64">
        <f>DATEVALUE(tblLaborEntries[[#This Row],[Work date]])</f>
        <v>45899.0</v>
      </c>
    </row>
    <row r="3206" spans="1:9" ht="15" x14ac:dyDescent="0.25">
      <c r="A3206" s="53" t="inlineStr">
        <is>
          <t>LAB-003205</t>
        </is>
      </c>
      <c r="B3206" s="53" t="inlineStr">
        <is>
          <t>WP-01414</t>
        </is>
      </c>
      <c r="C3206" s="53" t="inlineStr">
        <is>
          <t>TECH-002</t>
        </is>
      </c>
      <c r="D3206" s="53" t="inlineStr">
        <is>
          <t>Avionics</t>
        </is>
      </c>
      <c r="E3206" s="53" t="inlineStr">
        <is>
          <t>2025-04-23</t>
        </is>
      </c>
      <c r="F3206" s="53">
        <v>1.2</v>
      </c>
      <c r="G3206" s="53">
        <v>0</v>
      </c>
      <c r="H3206" s="51" t="str">
        <f>TEXT(tblLaborEntries[[#This Row],[Work date serial]]-WEEKDAY(tblLaborEntries[[#This Row],[Work date serial]],3),"yyyy-mm-dd")</f>
        <v>2025-04-21</v>
      </c>
      <c r="I3206" s="64">
        <f>DATEVALUE(tblLaborEntries[[#This Row],[Work date]])</f>
        <v>45770.0</v>
      </c>
    </row>
    <row r="3207" spans="1:9" ht="15" x14ac:dyDescent="0.25">
      <c r="A3207" s="53" t="inlineStr">
        <is>
          <t>LAB-003206</t>
        </is>
      </c>
      <c r="B3207" s="53" t="inlineStr">
        <is>
          <t>WP-01414</t>
        </is>
      </c>
      <c r="C3207" s="53" t="inlineStr">
        <is>
          <t>TECH-038</t>
        </is>
      </c>
      <c r="D3207" s="53" t="inlineStr">
        <is>
          <t>Avionics</t>
        </is>
      </c>
      <c r="E3207" s="53" t="inlineStr">
        <is>
          <t>2025-04-23</t>
        </is>
      </c>
      <c r="F3207" s="53">
        <v>12</v>
      </c>
      <c r="G3207" s="53">
        <v>4</v>
      </c>
      <c r="H3207" s="51" t="str">
        <f>TEXT(tblLaborEntries[[#This Row],[Work date serial]]-WEEKDAY(tblLaborEntries[[#This Row],[Work date serial]],3),"yyyy-mm-dd")</f>
        <v>2025-04-21</v>
      </c>
      <c r="I3207" s="64">
        <f>DATEVALUE(tblLaborEntries[[#This Row],[Work date]])</f>
        <v>45770.0</v>
      </c>
    </row>
    <row r="3208" spans="1:9" ht="15" x14ac:dyDescent="0.25">
      <c r="A3208" s="53" t="inlineStr">
        <is>
          <t>LAB-003207</t>
        </is>
      </c>
      <c r="B3208" s="53" t="inlineStr">
        <is>
          <t>WP-01414</t>
        </is>
      </c>
      <c r="C3208" s="53" t="inlineStr">
        <is>
          <t>TECH-020</t>
        </is>
      </c>
      <c r="D3208" s="53" t="inlineStr">
        <is>
          <t>Avionics</t>
        </is>
      </c>
      <c r="E3208" s="53" t="inlineStr">
        <is>
          <t>2025-04-24</t>
        </is>
      </c>
      <c r="F3208" s="53">
        <v>9.7</v>
      </c>
      <c r="G3208" s="53">
        <v>1.7</v>
      </c>
      <c r="H3208" s="51" t="str">
        <f>TEXT(tblLaborEntries[[#This Row],[Work date serial]]-WEEKDAY(tblLaborEntries[[#This Row],[Work date serial]],3),"yyyy-mm-dd")</f>
        <v>2025-04-21</v>
      </c>
      <c r="I3208" s="64">
        <f>DATEVALUE(tblLaborEntries[[#This Row],[Work date]])</f>
        <v>45771.0</v>
      </c>
    </row>
    <row r="3209" spans="1:9" ht="15" x14ac:dyDescent="0.25">
      <c r="A3209" s="53" t="inlineStr">
        <is>
          <t>LAB-003208</t>
        </is>
      </c>
      <c r="B3209" s="53" t="inlineStr">
        <is>
          <t>WP-01415</t>
        </is>
      </c>
      <c r="C3209" s="53" t="inlineStr">
        <is>
          <t>TECH-074</t>
        </is>
      </c>
      <c r="D3209" s="53" t="inlineStr">
        <is>
          <t>Avionics</t>
        </is>
      </c>
      <c r="E3209" s="53" t="inlineStr">
        <is>
          <t>2025-10-11</t>
        </is>
      </c>
      <c r="F3209" s="53">
        <v>5.2</v>
      </c>
      <c r="G3209" s="53">
        <v>0</v>
      </c>
      <c r="H3209" s="51" t="str">
        <f>TEXT(tblLaborEntries[[#This Row],[Work date serial]]-WEEKDAY(tblLaborEntries[[#This Row],[Work date serial]],3),"yyyy-mm-dd")</f>
        <v>2025-10-06</v>
      </c>
      <c r="I3209" s="64">
        <f>DATEVALUE(tblLaborEntries[[#This Row],[Work date]])</f>
        <v>45941.0</v>
      </c>
    </row>
    <row r="3210" spans="1:9" ht="15" x14ac:dyDescent="0.25">
      <c r="A3210" s="53" t="inlineStr">
        <is>
          <t>LAB-003209</t>
        </is>
      </c>
      <c r="B3210" s="53" t="inlineStr">
        <is>
          <t>WP-01416</t>
        </is>
      </c>
      <c r="C3210" s="53" t="inlineStr">
        <is>
          <t>TECH-053</t>
        </is>
      </c>
      <c r="D3210" s="53" t="inlineStr">
        <is>
          <t>Structures</t>
        </is>
      </c>
      <c r="E3210" s="53" t="inlineStr">
        <is>
          <t>2025-12-26</t>
        </is>
      </c>
      <c r="F3210" s="53">
        <v>7.2</v>
      </c>
      <c r="G3210" s="53">
        <v>0</v>
      </c>
      <c r="H3210" s="51" t="str">
        <f>TEXT(tblLaborEntries[[#This Row],[Work date serial]]-WEEKDAY(tblLaborEntries[[#This Row],[Work date serial]],3),"yyyy-mm-dd")</f>
        <v>2025-12-22</v>
      </c>
      <c r="I3210" s="64">
        <f>DATEVALUE(tblLaborEntries[[#This Row],[Work date]])</f>
        <v>46017.0</v>
      </c>
    </row>
    <row r="3211" spans="1:9" ht="15" x14ac:dyDescent="0.25">
      <c r="A3211" s="53" t="inlineStr">
        <is>
          <t>LAB-003210</t>
        </is>
      </c>
      <c r="B3211" s="53" t="inlineStr">
        <is>
          <t>WP-01416</t>
        </is>
      </c>
      <c r="C3211" s="53" t="inlineStr">
        <is>
          <t>TECH-035</t>
        </is>
      </c>
      <c r="D3211" s="53" t="inlineStr">
        <is>
          <t>Structures</t>
        </is>
      </c>
      <c r="E3211" s="53" t="inlineStr">
        <is>
          <t>2025-12-27</t>
        </is>
      </c>
      <c r="F3211" s="53">
        <v>7.6</v>
      </c>
      <c r="G3211" s="53">
        <v>0</v>
      </c>
      <c r="H3211" s="51" t="str">
        <f>TEXT(tblLaborEntries[[#This Row],[Work date serial]]-WEEKDAY(tblLaborEntries[[#This Row],[Work date serial]],3),"yyyy-mm-dd")</f>
        <v>2025-12-22</v>
      </c>
      <c r="I3211" s="64">
        <f>DATEVALUE(tblLaborEntries[[#This Row],[Work date]])</f>
        <v>46018.0</v>
      </c>
    </row>
    <row r="3212" spans="1:9" ht="15" x14ac:dyDescent="0.25">
      <c r="A3212" s="53" t="inlineStr">
        <is>
          <t>LAB-003211</t>
        </is>
      </c>
      <c r="B3212" s="53" t="inlineStr">
        <is>
          <t>WP-01416</t>
        </is>
      </c>
      <c r="C3212" s="53" t="inlineStr">
        <is>
          <t>TECH-011</t>
        </is>
      </c>
      <c r="D3212" s="53" t="inlineStr">
        <is>
          <t>Structures</t>
        </is>
      </c>
      <c r="E3212" s="53" t="inlineStr">
        <is>
          <t>2025-12-28</t>
        </is>
      </c>
      <c r="F3212" s="53">
        <v>6</v>
      </c>
      <c r="G3212" s="53">
        <v>0</v>
      </c>
      <c r="H3212" s="51" t="str">
        <f>TEXT(tblLaborEntries[[#This Row],[Work date serial]]-WEEKDAY(tblLaborEntries[[#This Row],[Work date serial]],3),"yyyy-mm-dd")</f>
        <v>2025-12-22</v>
      </c>
      <c r="I3212" s="64">
        <f>DATEVALUE(tblLaborEntries[[#This Row],[Work date]])</f>
        <v>46019.0</v>
      </c>
    </row>
    <row r="3213" spans="1:9" ht="15" x14ac:dyDescent="0.25">
      <c r="A3213" s="53" t="inlineStr">
        <is>
          <t>LAB-003212</t>
        </is>
      </c>
      <c r="B3213" s="53" t="inlineStr">
        <is>
          <t>WP-01417</t>
        </is>
      </c>
      <c r="C3213" s="53" t="inlineStr">
        <is>
          <t>TECH-031</t>
        </is>
      </c>
      <c r="D3213" s="53" t="inlineStr">
        <is>
          <t>Airframe</t>
        </is>
      </c>
      <c r="E3213" s="53" t="inlineStr">
        <is>
          <t>2024-04-03</t>
        </is>
      </c>
      <c r="F3213" s="53">
        <v>3.1</v>
      </c>
      <c r="G3213" s="53">
        <v>0</v>
      </c>
      <c r="H3213" s="51" t="str">
        <f>TEXT(tblLaborEntries[[#This Row],[Work date serial]]-WEEKDAY(tblLaborEntries[[#This Row],[Work date serial]],3),"yyyy-mm-dd")</f>
        <v>2024-04-01</v>
      </c>
      <c r="I3213" s="64">
        <f>DATEVALUE(tblLaborEntries[[#This Row],[Work date]])</f>
        <v>45385.0</v>
      </c>
    </row>
    <row r="3214" spans="1:9" ht="15" x14ac:dyDescent="0.25">
      <c r="A3214" s="53" t="inlineStr">
        <is>
          <t>LAB-003213</t>
        </is>
      </c>
      <c r="B3214" s="53" t="inlineStr">
        <is>
          <t>WP-01417</t>
        </is>
      </c>
      <c r="C3214" s="53" t="inlineStr">
        <is>
          <t>TECH-055</t>
        </is>
      </c>
      <c r="D3214" s="53" t="inlineStr">
        <is>
          <t>Airframe</t>
        </is>
      </c>
      <c r="E3214" s="53" t="inlineStr">
        <is>
          <t>2024-04-04</t>
        </is>
      </c>
      <c r="F3214" s="53">
        <v>3.7</v>
      </c>
      <c r="G3214" s="53">
        <v>0</v>
      </c>
      <c r="H3214" s="51" t="str">
        <f>TEXT(tblLaborEntries[[#This Row],[Work date serial]]-WEEKDAY(tblLaborEntries[[#This Row],[Work date serial]],3),"yyyy-mm-dd")</f>
        <v>2024-04-01</v>
      </c>
      <c r="I3214" s="64">
        <f>DATEVALUE(tblLaborEntries[[#This Row],[Work date]])</f>
        <v>45386.0</v>
      </c>
    </row>
    <row r="3215" spans="1:9" ht="15" x14ac:dyDescent="0.25">
      <c r="A3215" s="53" t="inlineStr">
        <is>
          <t>LAB-003214</t>
        </is>
      </c>
      <c r="B3215" s="53" t="inlineStr">
        <is>
          <t>WP-01417</t>
        </is>
      </c>
      <c r="C3215" s="53" t="inlineStr">
        <is>
          <t>TECH-007</t>
        </is>
      </c>
      <c r="D3215" s="53" t="inlineStr">
        <is>
          <t>Airframe</t>
        </is>
      </c>
      <c r="E3215" s="53" t="inlineStr">
        <is>
          <t>2024-04-05</t>
        </is>
      </c>
      <c r="F3215" s="53">
        <v>3.6</v>
      </c>
      <c r="G3215" s="53">
        <v>0</v>
      </c>
      <c r="H3215" s="51" t="str">
        <f>TEXT(tblLaborEntries[[#This Row],[Work date serial]]-WEEKDAY(tblLaborEntries[[#This Row],[Work date serial]],3),"yyyy-mm-dd")</f>
        <v>2024-04-01</v>
      </c>
      <c r="I3215" s="64">
        <f>DATEVALUE(tblLaborEntries[[#This Row],[Work date]])</f>
        <v>45387.0</v>
      </c>
    </row>
    <row r="3216" spans="1:9" ht="15" x14ac:dyDescent="0.25">
      <c r="A3216" s="53" t="inlineStr">
        <is>
          <t>LAB-003215</t>
        </is>
      </c>
      <c r="B3216" s="53" t="inlineStr">
        <is>
          <t>WP-01418</t>
        </is>
      </c>
      <c r="C3216" s="53" t="inlineStr">
        <is>
          <t>TECH-012</t>
        </is>
      </c>
      <c r="D3216" s="53" t="inlineStr">
        <is>
          <t>Powerplant</t>
        </is>
      </c>
      <c r="E3216" s="53" t="inlineStr">
        <is>
          <t>2024-07-23</t>
        </is>
      </c>
      <c r="F3216" s="53">
        <v>3.4</v>
      </c>
      <c r="G3216" s="53">
        <v>0</v>
      </c>
      <c r="H3216" s="51" t="str">
        <f>TEXT(tblLaborEntries[[#This Row],[Work date serial]]-WEEKDAY(tblLaborEntries[[#This Row],[Work date serial]],3),"yyyy-mm-dd")</f>
        <v>2024-07-22</v>
      </c>
      <c r="I3216" s="64">
        <f>DATEVALUE(tblLaborEntries[[#This Row],[Work date]])</f>
        <v>45496.0</v>
      </c>
    </row>
    <row r="3217" spans="1:9" ht="15" x14ac:dyDescent="0.25">
      <c r="A3217" s="53" t="inlineStr">
        <is>
          <t>LAB-003216</t>
        </is>
      </c>
      <c r="B3217" s="53" t="inlineStr">
        <is>
          <t>WP-01418</t>
        </is>
      </c>
      <c r="C3217" s="53" t="inlineStr">
        <is>
          <t>TECH-018</t>
        </is>
      </c>
      <c r="D3217" s="53" t="inlineStr">
        <is>
          <t>Powerplant</t>
        </is>
      </c>
      <c r="E3217" s="53" t="inlineStr">
        <is>
          <t>2024-07-24</t>
        </is>
      </c>
      <c r="F3217" s="53">
        <v>3.8</v>
      </c>
      <c r="G3217" s="53">
        <v>0</v>
      </c>
      <c r="H3217" s="51" t="str">
        <f>TEXT(tblLaborEntries[[#This Row],[Work date serial]]-WEEKDAY(tblLaborEntries[[#This Row],[Work date serial]],3),"yyyy-mm-dd")</f>
        <v>2024-07-22</v>
      </c>
      <c r="I3217" s="64">
        <f>DATEVALUE(tblLaborEntries[[#This Row],[Work date]])</f>
        <v>45497.0</v>
      </c>
    </row>
    <row r="3218" spans="1:9" ht="15" x14ac:dyDescent="0.25">
      <c r="A3218" s="53" t="inlineStr">
        <is>
          <t>LAB-003217</t>
        </is>
      </c>
      <c r="B3218" s="53" t="inlineStr">
        <is>
          <t>WP-01418</t>
        </is>
      </c>
      <c r="C3218" s="53" t="inlineStr">
        <is>
          <t>TECH-030</t>
        </is>
      </c>
      <c r="D3218" s="53" t="inlineStr">
        <is>
          <t>Powerplant</t>
        </is>
      </c>
      <c r="E3218" s="53" t="inlineStr">
        <is>
          <t>2024-07-25</t>
        </is>
      </c>
      <c r="F3218" s="53">
        <v>2.7</v>
      </c>
      <c r="G3218" s="53">
        <v>0</v>
      </c>
      <c r="H3218" s="51" t="str">
        <f>TEXT(tblLaborEntries[[#This Row],[Work date serial]]-WEEKDAY(tblLaborEntries[[#This Row],[Work date serial]],3),"yyyy-mm-dd")</f>
        <v>2024-07-22</v>
      </c>
      <c r="I3218" s="64">
        <f>DATEVALUE(tblLaborEntries[[#This Row],[Work date]])</f>
        <v>45498.0</v>
      </c>
    </row>
    <row r="3219" spans="1:9" ht="15" x14ac:dyDescent="0.25">
      <c r="A3219" s="53" t="inlineStr">
        <is>
          <t>LAB-003218</t>
        </is>
      </c>
      <c r="B3219" s="53" t="inlineStr">
        <is>
          <t>WP-01419</t>
        </is>
      </c>
      <c r="C3219" s="53" t="inlineStr">
        <is>
          <t>TECH-066</t>
        </is>
      </c>
      <c r="D3219" s="53" t="inlineStr">
        <is>
          <t>Powerplant</t>
        </is>
      </c>
      <c r="E3219" s="53" t="inlineStr">
        <is>
          <t>2024-03-29</t>
        </is>
      </c>
      <c r="F3219" s="53">
        <v>7.4</v>
      </c>
      <c r="G3219" s="53">
        <v>0</v>
      </c>
      <c r="H3219" s="51" t="str">
        <f>TEXT(tblLaborEntries[[#This Row],[Work date serial]]-WEEKDAY(tblLaborEntries[[#This Row],[Work date serial]],3),"yyyy-mm-dd")</f>
        <v>2024-03-25</v>
      </c>
      <c r="I3219" s="64">
        <f>DATEVALUE(tblLaborEntries[[#This Row],[Work date]])</f>
        <v>45380.0</v>
      </c>
    </row>
    <row r="3220" spans="1:9" ht="15" x14ac:dyDescent="0.25">
      <c r="A3220" s="53" t="inlineStr">
        <is>
          <t>LAB-003219</t>
        </is>
      </c>
      <c r="B3220" s="53" t="inlineStr">
        <is>
          <t>WP-01420</t>
        </is>
      </c>
      <c r="C3220" s="53" t="inlineStr">
        <is>
          <t>TECH-064</t>
        </is>
      </c>
      <c r="D3220" s="53" t="inlineStr">
        <is>
          <t>Electrical</t>
        </is>
      </c>
      <c r="E3220" s="53" t="inlineStr">
        <is>
          <t>2024-02-14</t>
        </is>
      </c>
      <c r="F3220" s="53">
        <v>9</v>
      </c>
      <c r="G3220" s="53">
        <v>1</v>
      </c>
      <c r="H3220" s="51" t="str">
        <f>TEXT(tblLaborEntries[[#This Row],[Work date serial]]-WEEKDAY(tblLaborEntries[[#This Row],[Work date serial]],3),"yyyy-mm-dd")</f>
        <v>2024-02-12</v>
      </c>
      <c r="I3220" s="64">
        <f>DATEVALUE(tblLaborEntries[[#This Row],[Work date]])</f>
        <v>45336.0</v>
      </c>
    </row>
    <row r="3221" spans="1:9" ht="15" x14ac:dyDescent="0.25">
      <c r="A3221" s="53" t="inlineStr">
        <is>
          <t>LAB-003220</t>
        </is>
      </c>
      <c r="B3221" s="53" t="inlineStr">
        <is>
          <t>WP-01420</t>
        </is>
      </c>
      <c r="C3221" s="53" t="inlineStr">
        <is>
          <t>TECH-016</t>
        </is>
      </c>
      <c r="D3221" s="53" t="inlineStr">
        <is>
          <t>Electrical</t>
        </is>
      </c>
      <c r="E3221" s="53" t="inlineStr">
        <is>
          <t>2024-02-15</t>
        </is>
      </c>
      <c r="F3221" s="53">
        <v>10.1</v>
      </c>
      <c r="G3221" s="53">
        <v>2.1</v>
      </c>
      <c r="H3221" s="51" t="str">
        <f>TEXT(tblLaborEntries[[#This Row],[Work date serial]]-WEEKDAY(tblLaborEntries[[#This Row],[Work date serial]],3),"yyyy-mm-dd")</f>
        <v>2024-02-12</v>
      </c>
      <c r="I3221" s="64">
        <f>DATEVALUE(tblLaborEntries[[#This Row],[Work date]])</f>
        <v>45337.0</v>
      </c>
    </row>
    <row r="3222" spans="1:9" ht="15" x14ac:dyDescent="0.25">
      <c r="A3222" s="53" t="inlineStr">
        <is>
          <t>LAB-003221</t>
        </is>
      </c>
      <c r="B3222" s="53" t="inlineStr">
        <is>
          <t>WP-01421</t>
        </is>
      </c>
      <c r="C3222" s="53" t="inlineStr">
        <is>
          <t>TECH-060</t>
        </is>
      </c>
      <c r="D3222" s="53" t="inlineStr">
        <is>
          <t>Powerplant</t>
        </is>
      </c>
      <c r="E3222" s="53" t="inlineStr">
        <is>
          <t>2024-11-04</t>
        </is>
      </c>
      <c r="F3222" s="53">
        <v>3.8</v>
      </c>
      <c r="G3222" s="53">
        <v>0</v>
      </c>
      <c r="H3222" s="51" t="str">
        <f>TEXT(tblLaborEntries[[#This Row],[Work date serial]]-WEEKDAY(tblLaborEntries[[#This Row],[Work date serial]],3),"yyyy-mm-dd")</f>
        <v>2024-11-04</v>
      </c>
      <c r="I3222" s="64">
        <f>DATEVALUE(tblLaborEntries[[#This Row],[Work date]])</f>
        <v>45600.0</v>
      </c>
    </row>
    <row r="3223" spans="1:9" ht="15" x14ac:dyDescent="0.25">
      <c r="A3223" s="53" t="inlineStr">
        <is>
          <t>LAB-003222</t>
        </is>
      </c>
      <c r="B3223" s="53" t="inlineStr">
        <is>
          <t>WP-01421</t>
        </is>
      </c>
      <c r="C3223" s="53" t="inlineStr">
        <is>
          <t>TECH-042</t>
        </is>
      </c>
      <c r="D3223" s="53" t="inlineStr">
        <is>
          <t>Powerplant</t>
        </is>
      </c>
      <c r="E3223" s="53" t="inlineStr">
        <is>
          <t>2024-11-05</t>
        </is>
      </c>
      <c r="F3223" s="53">
        <v>4.6</v>
      </c>
      <c r="G3223" s="53">
        <v>0</v>
      </c>
      <c r="H3223" s="51" t="str">
        <f>TEXT(tblLaborEntries[[#This Row],[Work date serial]]-WEEKDAY(tblLaborEntries[[#This Row],[Work date serial]],3),"yyyy-mm-dd")</f>
        <v>2024-11-04</v>
      </c>
      <c r="I3223" s="64">
        <f>DATEVALUE(tblLaborEntries[[#This Row],[Work date]])</f>
        <v>45601.0</v>
      </c>
    </row>
    <row r="3224" spans="1:9" ht="15" x14ac:dyDescent="0.25">
      <c r="A3224" s="53" t="inlineStr">
        <is>
          <t>LAB-003223</t>
        </is>
      </c>
      <c r="B3224" s="53" t="inlineStr">
        <is>
          <t>WP-01421</t>
        </is>
      </c>
      <c r="C3224" s="53" t="inlineStr">
        <is>
          <t>TECH-072</t>
        </is>
      </c>
      <c r="D3224" s="53" t="inlineStr">
        <is>
          <t>Powerplant</t>
        </is>
      </c>
      <c r="E3224" s="53" t="inlineStr">
        <is>
          <t>2024-11-06</t>
        </is>
      </c>
      <c r="F3224" s="53">
        <v>4.6</v>
      </c>
      <c r="G3224" s="53">
        <v>0</v>
      </c>
      <c r="H3224" s="51" t="str">
        <f>TEXT(tblLaborEntries[[#This Row],[Work date serial]]-WEEKDAY(tblLaborEntries[[#This Row],[Work date serial]],3),"yyyy-mm-dd")</f>
        <v>2024-11-04</v>
      </c>
      <c r="I3224" s="64">
        <f>DATEVALUE(tblLaborEntries[[#This Row],[Work date]])</f>
        <v>45602.0</v>
      </c>
    </row>
    <row r="3225" spans="1:9" ht="15" x14ac:dyDescent="0.25">
      <c r="A3225" s="53" t="inlineStr">
        <is>
          <t>LAB-003224</t>
        </is>
      </c>
      <c r="B3225" s="53" t="inlineStr">
        <is>
          <t>WP-01422</t>
        </is>
      </c>
      <c r="C3225" s="53" t="inlineStr">
        <is>
          <t>TECH-012</t>
        </is>
      </c>
      <c r="D3225" s="53" t="inlineStr">
        <is>
          <t>Powerplant</t>
        </is>
      </c>
      <c r="E3225" s="53" t="inlineStr">
        <is>
          <t>2025-09-25</t>
        </is>
      </c>
      <c r="F3225" s="53">
        <v>3.4</v>
      </c>
      <c r="G3225" s="53">
        <v>0</v>
      </c>
      <c r="H3225" s="51" t="str">
        <f>TEXT(tblLaborEntries[[#This Row],[Work date serial]]-WEEKDAY(tblLaborEntries[[#This Row],[Work date serial]],3),"yyyy-mm-dd")</f>
        <v>2025-09-22</v>
      </c>
      <c r="I3225" s="64">
        <f>DATEVALUE(tblLaborEntries[[#This Row],[Work date]])</f>
        <v>45925.0</v>
      </c>
    </row>
    <row r="3226" spans="1:9" ht="15" x14ac:dyDescent="0.25">
      <c r="A3226" s="53" t="inlineStr">
        <is>
          <t>LAB-003225</t>
        </is>
      </c>
      <c r="B3226" s="53" t="inlineStr">
        <is>
          <t>WP-01422</t>
        </is>
      </c>
      <c r="C3226" s="53" t="inlineStr">
        <is>
          <t>TECH-030</t>
        </is>
      </c>
      <c r="D3226" s="53" t="inlineStr">
        <is>
          <t>Powerplant</t>
        </is>
      </c>
      <c r="E3226" s="53" t="inlineStr">
        <is>
          <t>2025-09-26</t>
        </is>
      </c>
      <c r="F3226" s="53">
        <v>4.7</v>
      </c>
      <c r="G3226" s="53">
        <v>0</v>
      </c>
      <c r="H3226" s="51" t="str">
        <f>TEXT(tblLaborEntries[[#This Row],[Work date serial]]-WEEKDAY(tblLaborEntries[[#This Row],[Work date serial]],3),"yyyy-mm-dd")</f>
        <v>2025-09-22</v>
      </c>
      <c r="I3226" s="64">
        <f>DATEVALUE(tblLaborEntries[[#This Row],[Work date]])</f>
        <v>45926.0</v>
      </c>
    </row>
    <row r="3227" spans="1:9" ht="15" x14ac:dyDescent="0.25">
      <c r="A3227" s="53" t="inlineStr">
        <is>
          <t>LAB-003226</t>
        </is>
      </c>
      <c r="B3227" s="53" t="inlineStr">
        <is>
          <t>WP-01423</t>
        </is>
      </c>
      <c r="C3227" s="53" t="inlineStr">
        <is>
          <t>TECH-034</t>
        </is>
      </c>
      <c r="D3227" s="53" t="inlineStr">
        <is>
          <t>Electrical</t>
        </is>
      </c>
      <c r="E3227" s="53" t="inlineStr">
        <is>
          <t>2025-01-28</t>
        </is>
      </c>
      <c r="F3227" s="53">
        <v>7.7</v>
      </c>
      <c r="G3227" s="53">
        <v>0</v>
      </c>
      <c r="H3227" s="51" t="str">
        <f>TEXT(tblLaborEntries[[#This Row],[Work date serial]]-WEEKDAY(tblLaborEntries[[#This Row],[Work date serial]],3),"yyyy-mm-dd")</f>
        <v>2025-01-27</v>
      </c>
      <c r="I3227" s="64">
        <f>DATEVALUE(tblLaborEntries[[#This Row],[Work date]])</f>
        <v>45685.0</v>
      </c>
    </row>
    <row r="3228" spans="1:9" ht="15" x14ac:dyDescent="0.25">
      <c r="A3228" s="53" t="inlineStr">
        <is>
          <t>LAB-003227</t>
        </is>
      </c>
      <c r="B3228" s="53" t="inlineStr">
        <is>
          <t>WP-01423</t>
        </is>
      </c>
      <c r="C3228" s="53" t="inlineStr">
        <is>
          <t>TECH-034</t>
        </is>
      </c>
      <c r="D3228" s="53" t="inlineStr">
        <is>
          <t>Electrical</t>
        </is>
      </c>
      <c r="E3228" s="53" t="inlineStr">
        <is>
          <t>2025-01-29</t>
        </is>
      </c>
      <c r="F3228" s="53">
        <v>7.5</v>
      </c>
      <c r="G3228" s="53">
        <v>0</v>
      </c>
      <c r="H3228" s="51" t="str">
        <f>TEXT(tblLaborEntries[[#This Row],[Work date serial]]-WEEKDAY(tblLaborEntries[[#This Row],[Work date serial]],3),"yyyy-mm-dd")</f>
        <v>2025-01-27</v>
      </c>
      <c r="I3228" s="64">
        <f>DATEVALUE(tblLaborEntries[[#This Row],[Work date]])</f>
        <v>45686.0</v>
      </c>
    </row>
    <row r="3229" spans="1:9" ht="15" x14ac:dyDescent="0.25">
      <c r="A3229" s="53" t="inlineStr">
        <is>
          <t>LAB-003228</t>
        </is>
      </c>
      <c r="B3229" s="53" t="inlineStr">
        <is>
          <t>WP-01424</t>
        </is>
      </c>
      <c r="C3229" s="53" t="inlineStr">
        <is>
          <t>TECH-005</t>
        </is>
      </c>
      <c r="D3229" s="53" t="inlineStr">
        <is>
          <t>Structures</t>
        </is>
      </c>
      <c r="E3229" s="53" t="inlineStr">
        <is>
          <t>2024-10-07</t>
        </is>
      </c>
      <c r="F3229" s="53">
        <v>5.7</v>
      </c>
      <c r="G3229" s="53">
        <v>0</v>
      </c>
      <c r="H3229" s="51" t="str">
        <f>TEXT(tblLaborEntries[[#This Row],[Work date serial]]-WEEKDAY(tblLaborEntries[[#This Row],[Work date serial]],3),"yyyy-mm-dd")</f>
        <v>2024-10-07</v>
      </c>
      <c r="I3229" s="64">
        <f>DATEVALUE(tblLaborEntries[[#This Row],[Work date]])</f>
        <v>45572.0</v>
      </c>
    </row>
    <row r="3230" spans="1:9" ht="15" x14ac:dyDescent="0.25">
      <c r="A3230" s="53" t="inlineStr">
        <is>
          <t>LAB-003229</t>
        </is>
      </c>
      <c r="B3230" s="53" t="inlineStr">
        <is>
          <t>WP-01424</t>
        </is>
      </c>
      <c r="C3230" s="53" t="inlineStr">
        <is>
          <t>TECH-059</t>
        </is>
      </c>
      <c r="D3230" s="53" t="inlineStr">
        <is>
          <t>Structures</t>
        </is>
      </c>
      <c r="E3230" s="53" t="inlineStr">
        <is>
          <t>2024-10-07</t>
        </is>
      </c>
      <c r="F3230" s="53">
        <v>12</v>
      </c>
      <c r="G3230" s="53">
        <v>4</v>
      </c>
      <c r="H3230" s="51" t="str">
        <f>TEXT(tblLaborEntries[[#This Row],[Work date serial]]-WEEKDAY(tblLaborEntries[[#This Row],[Work date serial]],3),"yyyy-mm-dd")</f>
        <v>2024-10-07</v>
      </c>
      <c r="I3230" s="64">
        <f>DATEVALUE(tblLaborEntries[[#This Row],[Work date]])</f>
        <v>45572.0</v>
      </c>
    </row>
    <row r="3231" spans="1:9" ht="15" x14ac:dyDescent="0.25">
      <c r="A3231" s="53" t="inlineStr">
        <is>
          <t>LAB-003230</t>
        </is>
      </c>
      <c r="B3231" s="53" t="inlineStr">
        <is>
          <t>WP-01425</t>
        </is>
      </c>
      <c r="C3231" s="53" t="inlineStr">
        <is>
          <t>TECH-027</t>
        </is>
      </c>
      <c r="D3231" s="53" t="inlineStr">
        <is>
          <t>Hydraulics</t>
        </is>
      </c>
      <c r="E3231" s="53" t="inlineStr">
        <is>
          <t>2025-02-01</t>
        </is>
      </c>
      <c r="F3231" s="53">
        <v>12</v>
      </c>
      <c r="G3231" s="53">
        <v>4</v>
      </c>
      <c r="H3231" s="51" t="str">
        <f>TEXT(tblLaborEntries[[#This Row],[Work date serial]]-WEEKDAY(tblLaborEntries[[#This Row],[Work date serial]],3),"yyyy-mm-dd")</f>
        <v>2025-01-27</v>
      </c>
      <c r="I3231" s="64">
        <f>DATEVALUE(tblLaborEntries[[#This Row],[Work date]])</f>
        <v>45689.0</v>
      </c>
    </row>
    <row r="3232" spans="1:9" ht="15" x14ac:dyDescent="0.25">
      <c r="A3232" s="53" t="inlineStr">
        <is>
          <t>LAB-003231</t>
        </is>
      </c>
      <c r="B3232" s="53" t="inlineStr">
        <is>
          <t>WP-01426</t>
        </is>
      </c>
      <c r="C3232" s="53" t="inlineStr">
        <is>
          <t>TECH-019</t>
        </is>
      </c>
      <c r="D3232" s="53" t="inlineStr">
        <is>
          <t>Airframe</t>
        </is>
      </c>
      <c r="E3232" s="53" t="inlineStr">
        <is>
          <t>2025-12-24</t>
        </is>
      </c>
      <c r="F3232" s="53">
        <v>1.2</v>
      </c>
      <c r="G3232" s="53">
        <v>0</v>
      </c>
      <c r="H3232" s="51" t="str">
        <f>TEXT(tblLaborEntries[[#This Row],[Work date serial]]-WEEKDAY(tblLaborEntries[[#This Row],[Work date serial]],3),"yyyy-mm-dd")</f>
        <v>2025-12-22</v>
      </c>
      <c r="I3232" s="64">
        <f>DATEVALUE(tblLaborEntries[[#This Row],[Work date]])</f>
        <v>46015.0</v>
      </c>
    </row>
    <row r="3233" spans="1:9" ht="15" x14ac:dyDescent="0.25">
      <c r="A3233" s="53" t="inlineStr">
        <is>
          <t>LAB-003232</t>
        </is>
      </c>
      <c r="B3233" s="53" t="inlineStr">
        <is>
          <t>WP-01426</t>
        </is>
      </c>
      <c r="C3233" s="53" t="inlineStr">
        <is>
          <t>TECH-061</t>
        </is>
      </c>
      <c r="D3233" s="53" t="inlineStr">
        <is>
          <t>Airframe</t>
        </is>
      </c>
      <c r="E3233" s="53" t="inlineStr">
        <is>
          <t>2025-12-25</t>
        </is>
      </c>
      <c r="F3233" s="53">
        <v>1.5</v>
      </c>
      <c r="G3233" s="53">
        <v>0</v>
      </c>
      <c r="H3233" s="51" t="str">
        <f>TEXT(tblLaborEntries[[#This Row],[Work date serial]]-WEEKDAY(tblLaborEntries[[#This Row],[Work date serial]],3),"yyyy-mm-dd")</f>
        <v>2025-12-22</v>
      </c>
      <c r="I3233" s="64">
        <f>DATEVALUE(tblLaborEntries[[#This Row],[Work date]])</f>
        <v>46016.0</v>
      </c>
    </row>
    <row r="3234" spans="1:9" ht="15" x14ac:dyDescent="0.25">
      <c r="A3234" s="53" t="inlineStr">
        <is>
          <t>LAB-003233</t>
        </is>
      </c>
      <c r="B3234" s="53" t="inlineStr">
        <is>
          <t>WP-01426</t>
        </is>
      </c>
      <c r="C3234" s="53" t="inlineStr">
        <is>
          <t>TECH-061</t>
        </is>
      </c>
      <c r="D3234" s="53" t="inlineStr">
        <is>
          <t>Airframe</t>
        </is>
      </c>
      <c r="E3234" s="53" t="inlineStr">
        <is>
          <t>2025-12-26</t>
        </is>
      </c>
      <c r="F3234" s="53">
        <v>1.5</v>
      </c>
      <c r="G3234" s="53">
        <v>0</v>
      </c>
      <c r="H3234" s="51" t="str">
        <f>TEXT(tblLaborEntries[[#This Row],[Work date serial]]-WEEKDAY(tblLaborEntries[[#This Row],[Work date serial]],3),"yyyy-mm-dd")</f>
        <v>2025-12-22</v>
      </c>
      <c r="I3234" s="64">
        <f>DATEVALUE(tblLaborEntries[[#This Row],[Work date]])</f>
        <v>46017.0</v>
      </c>
    </row>
    <row r="3235" spans="1:9" ht="15" x14ac:dyDescent="0.25">
      <c r="A3235" s="53" t="inlineStr">
        <is>
          <t>LAB-003234</t>
        </is>
      </c>
      <c r="B3235" s="53" t="inlineStr">
        <is>
          <t>WP-01427</t>
        </is>
      </c>
      <c r="C3235" s="53" t="inlineStr">
        <is>
          <t>TECH-047</t>
        </is>
      </c>
      <c r="D3235" s="53" t="inlineStr">
        <is>
          <t>Structures</t>
        </is>
      </c>
      <c r="E3235" s="53" t="inlineStr">
        <is>
          <t>2025-01-08</t>
        </is>
      </c>
      <c r="F3235" s="53">
        <v>3.4</v>
      </c>
      <c r="G3235" s="53">
        <v>0</v>
      </c>
      <c r="H3235" s="51" t="str">
        <f>TEXT(tblLaborEntries[[#This Row],[Work date serial]]-WEEKDAY(tblLaborEntries[[#This Row],[Work date serial]],3),"yyyy-mm-dd")</f>
        <v>2025-01-06</v>
      </c>
      <c r="I3235" s="64">
        <f>DATEVALUE(tblLaborEntries[[#This Row],[Work date]])</f>
        <v>45665.0</v>
      </c>
    </row>
    <row r="3236" spans="1:9" ht="15" x14ac:dyDescent="0.25">
      <c r="A3236" s="53" t="inlineStr">
        <is>
          <t>LAB-003235</t>
        </is>
      </c>
      <c r="B3236" s="53" t="inlineStr">
        <is>
          <t>WP-01427</t>
        </is>
      </c>
      <c r="C3236" s="53" t="inlineStr">
        <is>
          <t>TECH-017</t>
        </is>
      </c>
      <c r="D3236" s="53" t="inlineStr">
        <is>
          <t>Structures</t>
        </is>
      </c>
      <c r="E3236" s="53" t="inlineStr">
        <is>
          <t>2025-01-09</t>
        </is>
      </c>
      <c r="F3236" s="53">
        <v>3</v>
      </c>
      <c r="G3236" s="53">
        <v>0</v>
      </c>
      <c r="H3236" s="51" t="str">
        <f>TEXT(tblLaborEntries[[#This Row],[Work date serial]]-WEEKDAY(tblLaborEntries[[#This Row],[Work date serial]],3),"yyyy-mm-dd")</f>
        <v>2025-01-06</v>
      </c>
      <c r="I3236" s="64">
        <f>DATEVALUE(tblLaborEntries[[#This Row],[Work date]])</f>
        <v>45666.0</v>
      </c>
    </row>
    <row r="3237" spans="1:9" ht="15" x14ac:dyDescent="0.25">
      <c r="A3237" s="53" t="inlineStr">
        <is>
          <t>LAB-003236</t>
        </is>
      </c>
      <c r="B3237" s="53" t="inlineStr">
        <is>
          <t>WP-01427</t>
        </is>
      </c>
      <c r="C3237" s="53" t="inlineStr">
        <is>
          <t>TECH-059</t>
        </is>
      </c>
      <c r="D3237" s="53" t="inlineStr">
        <is>
          <t>Structures</t>
        </is>
      </c>
      <c r="E3237" s="53" t="inlineStr">
        <is>
          <t>2025-01-10</t>
        </is>
      </c>
      <c r="F3237" s="53">
        <v>3.7</v>
      </c>
      <c r="G3237" s="53">
        <v>0</v>
      </c>
      <c r="H3237" s="51" t="str">
        <f>TEXT(tblLaborEntries[[#This Row],[Work date serial]]-WEEKDAY(tblLaborEntries[[#This Row],[Work date serial]],3),"yyyy-mm-dd")</f>
        <v>2025-01-06</v>
      </c>
      <c r="I3237" s="64">
        <f>DATEVALUE(tblLaborEntries[[#This Row],[Work date]])</f>
        <v>45667.0</v>
      </c>
    </row>
    <row r="3238" spans="1:9" ht="15" x14ac:dyDescent="0.25">
      <c r="A3238" s="53" t="inlineStr">
        <is>
          <t>LAB-003237</t>
        </is>
      </c>
      <c r="B3238" s="53" t="inlineStr">
        <is>
          <t>WP-01428</t>
        </is>
      </c>
      <c r="C3238" s="53" t="inlineStr">
        <is>
          <t>TECH-001</t>
        </is>
      </c>
      <c r="D3238" s="53" t="inlineStr">
        <is>
          <t>Airframe</t>
        </is>
      </c>
      <c r="E3238" s="53" t="inlineStr">
        <is>
          <t>2025-03-06</t>
        </is>
      </c>
      <c r="F3238" s="53">
        <v>2.4</v>
      </c>
      <c r="G3238" s="53">
        <v>0</v>
      </c>
      <c r="H3238" s="51" t="str">
        <f>TEXT(tblLaborEntries[[#This Row],[Work date serial]]-WEEKDAY(tblLaborEntries[[#This Row],[Work date serial]],3),"yyyy-mm-dd")</f>
        <v>2025-03-03</v>
      </c>
      <c r="I3238" s="64">
        <f>DATEVALUE(tblLaborEntries[[#This Row],[Work date]])</f>
        <v>45722.0</v>
      </c>
    </row>
    <row r="3239" spans="1:9" ht="15" x14ac:dyDescent="0.25">
      <c r="A3239" s="53" t="inlineStr">
        <is>
          <t>LAB-003238</t>
        </is>
      </c>
      <c r="B3239" s="53" t="inlineStr">
        <is>
          <t>WP-01428</t>
        </is>
      </c>
      <c r="C3239" s="53" t="inlineStr">
        <is>
          <t>TECH-031</t>
        </is>
      </c>
      <c r="D3239" s="53" t="inlineStr">
        <is>
          <t>Airframe</t>
        </is>
      </c>
      <c r="E3239" s="53" t="inlineStr">
        <is>
          <t>2025-03-07</t>
        </is>
      </c>
      <c r="F3239" s="53">
        <v>2.5</v>
      </c>
      <c r="G3239" s="53">
        <v>0</v>
      </c>
      <c r="H3239" s="51" t="str">
        <f>TEXT(tblLaborEntries[[#This Row],[Work date serial]]-WEEKDAY(tblLaborEntries[[#This Row],[Work date serial]],3),"yyyy-mm-dd")</f>
        <v>2025-03-03</v>
      </c>
      <c r="I3239" s="64">
        <f>DATEVALUE(tblLaborEntries[[#This Row],[Work date]])</f>
        <v>45723.0</v>
      </c>
    </row>
    <row r="3240" spans="1:9" ht="15" x14ac:dyDescent="0.25">
      <c r="A3240" s="53" t="inlineStr">
        <is>
          <t>LAB-003239</t>
        </is>
      </c>
      <c r="B3240" s="53" t="inlineStr">
        <is>
          <t>WP-01428</t>
        </is>
      </c>
      <c r="C3240" s="53" t="inlineStr">
        <is>
          <t>TECH-013</t>
        </is>
      </c>
      <c r="D3240" s="53" t="inlineStr">
        <is>
          <t>Airframe</t>
        </is>
      </c>
      <c r="E3240" s="53" t="inlineStr">
        <is>
          <t>2025-03-08</t>
        </is>
      </c>
      <c r="F3240" s="53">
        <v>1.7</v>
      </c>
      <c r="G3240" s="53">
        <v>0</v>
      </c>
      <c r="H3240" s="51" t="str">
        <f>TEXT(tblLaborEntries[[#This Row],[Work date serial]]-WEEKDAY(tblLaborEntries[[#This Row],[Work date serial]],3),"yyyy-mm-dd")</f>
        <v>2025-03-03</v>
      </c>
      <c r="I3240" s="64">
        <f>DATEVALUE(tblLaborEntries[[#This Row],[Work date]])</f>
        <v>45724.0</v>
      </c>
    </row>
    <row r="3241" spans="1:9" ht="15" x14ac:dyDescent="0.25">
      <c r="A3241" s="53" t="inlineStr">
        <is>
          <t>LAB-003240</t>
        </is>
      </c>
      <c r="B3241" s="53" t="inlineStr">
        <is>
          <t>WP-01429</t>
        </is>
      </c>
      <c r="C3241" s="53" t="inlineStr">
        <is>
          <t>TECH-003</t>
        </is>
      </c>
      <c r="D3241" s="53" t="inlineStr">
        <is>
          <t>Hydraulics</t>
        </is>
      </c>
      <c r="E3241" s="53" t="inlineStr">
        <is>
          <t>2025-02-08</t>
        </is>
      </c>
      <c r="F3241" s="53">
        <v>0.2</v>
      </c>
      <c r="G3241" s="53">
        <v>0</v>
      </c>
      <c r="H3241" s="51" t="str">
        <f>TEXT(tblLaborEntries[[#This Row],[Work date serial]]-WEEKDAY(tblLaborEntries[[#This Row],[Work date serial]],3),"yyyy-mm-dd")</f>
        <v>2025-02-03</v>
      </c>
      <c r="I3241" s="64">
        <f>DATEVALUE(tblLaborEntries[[#This Row],[Work date]])</f>
        <v>45696.0</v>
      </c>
    </row>
    <row r="3242" spans="1:9" ht="15" x14ac:dyDescent="0.25">
      <c r="A3242" s="53" t="inlineStr">
        <is>
          <t>LAB-003241</t>
        </is>
      </c>
      <c r="B3242" s="53" t="inlineStr">
        <is>
          <t>WP-01429</t>
        </is>
      </c>
      <c r="C3242" s="53" t="inlineStr">
        <is>
          <t>TECH-009</t>
        </is>
      </c>
      <c r="D3242" s="53" t="inlineStr">
        <is>
          <t>Hydraulics</t>
        </is>
      </c>
      <c r="E3242" s="53" t="inlineStr">
        <is>
          <t>2025-02-08</t>
        </is>
      </c>
      <c r="F3242" s="53">
        <v>12</v>
      </c>
      <c r="G3242" s="53">
        <v>4</v>
      </c>
      <c r="H3242" s="51" t="str">
        <f>TEXT(tblLaborEntries[[#This Row],[Work date serial]]-WEEKDAY(tblLaborEntries[[#This Row],[Work date serial]],3),"yyyy-mm-dd")</f>
        <v>2025-02-03</v>
      </c>
      <c r="I3242" s="64">
        <f>DATEVALUE(tblLaborEntries[[#This Row],[Work date]])</f>
        <v>45696.0</v>
      </c>
    </row>
    <row r="3243" spans="1:9" ht="15" x14ac:dyDescent="0.25">
      <c r="A3243" s="53" t="inlineStr">
        <is>
          <t>LAB-003242</t>
        </is>
      </c>
      <c r="B3243" s="53" t="inlineStr">
        <is>
          <t>WP-01429</t>
        </is>
      </c>
      <c r="C3243" s="53" t="inlineStr">
        <is>
          <t>TECH-045</t>
        </is>
      </c>
      <c r="D3243" s="53" t="inlineStr">
        <is>
          <t>Hydraulics</t>
        </is>
      </c>
      <c r="E3243" s="53" t="inlineStr">
        <is>
          <t>2025-02-09</t>
        </is>
      </c>
      <c r="F3243" s="53">
        <v>11.1</v>
      </c>
      <c r="G3243" s="53">
        <v>3.1</v>
      </c>
      <c r="H3243" s="51" t="str">
        <f>TEXT(tblLaborEntries[[#This Row],[Work date serial]]-WEEKDAY(tblLaborEntries[[#This Row],[Work date serial]],3),"yyyy-mm-dd")</f>
        <v>2025-02-03</v>
      </c>
      <c r="I3243" s="64">
        <f>DATEVALUE(tblLaborEntries[[#This Row],[Work date]])</f>
        <v>45697.0</v>
      </c>
    </row>
    <row r="3244" spans="1:9" ht="15" x14ac:dyDescent="0.25">
      <c r="A3244" s="53" t="inlineStr">
        <is>
          <t>LAB-003243</t>
        </is>
      </c>
      <c r="B3244" s="53" t="inlineStr">
        <is>
          <t>WP-01430</t>
        </is>
      </c>
      <c r="C3244" s="53" t="inlineStr">
        <is>
          <t>TECH-026</t>
        </is>
      </c>
      <c r="D3244" s="53" t="inlineStr">
        <is>
          <t>Avionics</t>
        </is>
      </c>
      <c r="E3244" s="53" t="inlineStr">
        <is>
          <t>2025-11-26</t>
        </is>
      </c>
      <c r="F3244" s="53">
        <v>4.7</v>
      </c>
      <c r="G3244" s="53">
        <v>0</v>
      </c>
      <c r="H3244" s="51" t="str">
        <f>TEXT(tblLaborEntries[[#This Row],[Work date serial]]-WEEKDAY(tblLaborEntries[[#This Row],[Work date serial]],3),"yyyy-mm-dd")</f>
        <v>2025-11-24</v>
      </c>
      <c r="I3244" s="64">
        <f>DATEVALUE(tblLaborEntries[[#This Row],[Work date]])</f>
        <v>45987.0</v>
      </c>
    </row>
    <row r="3245" spans="1:9" ht="15" x14ac:dyDescent="0.25">
      <c r="A3245" s="53" t="inlineStr">
        <is>
          <t>LAB-003244</t>
        </is>
      </c>
      <c r="B3245" s="53" t="inlineStr">
        <is>
          <t>WP-01430</t>
        </is>
      </c>
      <c r="C3245" s="53" t="inlineStr">
        <is>
          <t>TECH-044</t>
        </is>
      </c>
      <c r="D3245" s="53" t="inlineStr">
        <is>
          <t>Avionics</t>
        </is>
      </c>
      <c r="E3245" s="53" t="inlineStr">
        <is>
          <t>2025-11-27</t>
        </is>
      </c>
      <c r="F3245" s="53">
        <v>4.5</v>
      </c>
      <c r="G3245" s="53">
        <v>0</v>
      </c>
      <c r="H3245" s="51" t="str">
        <f>TEXT(tblLaborEntries[[#This Row],[Work date serial]]-WEEKDAY(tblLaborEntries[[#This Row],[Work date serial]],3),"yyyy-mm-dd")</f>
        <v>2025-11-24</v>
      </c>
      <c r="I3245" s="64">
        <f>DATEVALUE(tblLaborEntries[[#This Row],[Work date]])</f>
        <v>45988.0</v>
      </c>
    </row>
    <row r="3246" spans="1:9" ht="15" x14ac:dyDescent="0.25">
      <c r="A3246" s="53" t="inlineStr">
        <is>
          <t>LAB-003245</t>
        </is>
      </c>
      <c r="B3246" s="53" t="inlineStr">
        <is>
          <t>WP-01430</t>
        </is>
      </c>
      <c r="C3246" s="53" t="inlineStr">
        <is>
          <t>TECH-074</t>
        </is>
      </c>
      <c r="D3246" s="53" t="inlineStr">
        <is>
          <t>Avionics</t>
        </is>
      </c>
      <c r="E3246" s="53" t="inlineStr">
        <is>
          <t>2025-11-28</t>
        </is>
      </c>
      <c r="F3246" s="53">
        <v>5</v>
      </c>
      <c r="G3246" s="53">
        <v>0</v>
      </c>
      <c r="H3246" s="51" t="str">
        <f>TEXT(tblLaborEntries[[#This Row],[Work date serial]]-WEEKDAY(tblLaborEntries[[#This Row],[Work date serial]],3),"yyyy-mm-dd")</f>
        <v>2025-11-24</v>
      </c>
      <c r="I3246" s="64">
        <f>DATEVALUE(tblLaborEntries[[#This Row],[Work date]])</f>
        <v>45989.0</v>
      </c>
    </row>
    <row r="3247" spans="1:9" ht="15" x14ac:dyDescent="0.25">
      <c r="A3247" s="53" t="inlineStr">
        <is>
          <t>LAB-003246</t>
        </is>
      </c>
      <c r="B3247" s="53" t="inlineStr">
        <is>
          <t>WP-01431</t>
        </is>
      </c>
      <c r="C3247" s="53" t="inlineStr">
        <is>
          <t>TECH-068</t>
        </is>
      </c>
      <c r="D3247" s="53" t="inlineStr">
        <is>
          <t>Avionics</t>
        </is>
      </c>
      <c r="E3247" s="53" t="inlineStr">
        <is>
          <t>2025-09-18</t>
        </is>
      </c>
      <c r="F3247" s="53">
        <v>2.7</v>
      </c>
      <c r="G3247" s="53">
        <v>0</v>
      </c>
      <c r="H3247" s="51" t="str">
        <f>TEXT(tblLaborEntries[[#This Row],[Work date serial]]-WEEKDAY(tblLaborEntries[[#This Row],[Work date serial]],3),"yyyy-mm-dd")</f>
        <v>2025-09-15</v>
      </c>
      <c r="I3247" s="64">
        <f>DATEVALUE(tblLaborEntries[[#This Row],[Work date]])</f>
        <v>45918.0</v>
      </c>
    </row>
    <row r="3248" spans="1:9" ht="15" x14ac:dyDescent="0.25">
      <c r="A3248" s="53" t="inlineStr">
        <is>
          <t>LAB-003247</t>
        </is>
      </c>
      <c r="B3248" s="53" t="inlineStr">
        <is>
          <t>WP-01431</t>
        </is>
      </c>
      <c r="C3248" s="53" t="inlineStr">
        <is>
          <t>TECH-032</t>
        </is>
      </c>
      <c r="D3248" s="53" t="inlineStr">
        <is>
          <t>Avionics</t>
        </is>
      </c>
      <c r="E3248" s="53" t="inlineStr">
        <is>
          <t>2025-09-19</t>
        </is>
      </c>
      <c r="F3248" s="53">
        <v>1.9</v>
      </c>
      <c r="G3248" s="53">
        <v>0</v>
      </c>
      <c r="H3248" s="51" t="str">
        <f>TEXT(tblLaborEntries[[#This Row],[Work date serial]]-WEEKDAY(tblLaborEntries[[#This Row],[Work date serial]],3),"yyyy-mm-dd")</f>
        <v>2025-09-15</v>
      </c>
      <c r="I3248" s="64">
        <f>DATEVALUE(tblLaborEntries[[#This Row],[Work date]])</f>
        <v>45919.0</v>
      </c>
    </row>
    <row r="3249" spans="1:9" ht="15" x14ac:dyDescent="0.25">
      <c r="A3249" s="53" t="inlineStr">
        <is>
          <t>LAB-003248</t>
        </is>
      </c>
      <c r="B3249" s="53" t="inlineStr">
        <is>
          <t>WP-01431</t>
        </is>
      </c>
      <c r="C3249" s="53" t="inlineStr">
        <is>
          <t>TECH-044</t>
        </is>
      </c>
      <c r="D3249" s="53" t="inlineStr">
        <is>
          <t>Avionics</t>
        </is>
      </c>
      <c r="E3249" s="53" t="inlineStr">
        <is>
          <t>2025-09-20</t>
        </is>
      </c>
      <c r="F3249" s="53">
        <v>2.4</v>
      </c>
      <c r="G3249" s="53">
        <v>0</v>
      </c>
      <c r="H3249" s="51" t="str">
        <f>TEXT(tblLaborEntries[[#This Row],[Work date serial]]-WEEKDAY(tblLaborEntries[[#This Row],[Work date serial]],3),"yyyy-mm-dd")</f>
        <v>2025-09-15</v>
      </c>
      <c r="I3249" s="64">
        <f>DATEVALUE(tblLaborEntries[[#This Row],[Work date]])</f>
        <v>45920.0</v>
      </c>
    </row>
    <row r="3250" spans="1:9" ht="15" x14ac:dyDescent="0.25">
      <c r="A3250" s="53" t="inlineStr">
        <is>
          <t>LAB-003249</t>
        </is>
      </c>
      <c r="B3250" s="53" t="inlineStr">
        <is>
          <t>WP-01432</t>
        </is>
      </c>
      <c r="C3250" s="53" t="inlineStr">
        <is>
          <t>TECH-038</t>
        </is>
      </c>
      <c r="D3250" s="53" t="inlineStr">
        <is>
          <t>Avionics</t>
        </is>
      </c>
      <c r="E3250" s="53" t="inlineStr">
        <is>
          <t>2025-09-12</t>
        </is>
      </c>
      <c r="F3250" s="53">
        <v>3.6</v>
      </c>
      <c r="G3250" s="53">
        <v>0</v>
      </c>
      <c r="H3250" s="51" t="str">
        <f>TEXT(tblLaborEntries[[#This Row],[Work date serial]]-WEEKDAY(tblLaborEntries[[#This Row],[Work date serial]],3),"yyyy-mm-dd")</f>
        <v>2025-09-08</v>
      </c>
      <c r="I3250" s="64">
        <f>DATEVALUE(tblLaborEntries[[#This Row],[Work date]])</f>
        <v>45912.0</v>
      </c>
    </row>
    <row r="3251" spans="1:9" ht="15" x14ac:dyDescent="0.25">
      <c r="A3251" s="53" t="inlineStr">
        <is>
          <t>LAB-003250</t>
        </is>
      </c>
      <c r="B3251" s="53" t="inlineStr">
        <is>
          <t>WP-01432</t>
        </is>
      </c>
      <c r="C3251" s="53" t="inlineStr">
        <is>
          <t>TECH-050</t>
        </is>
      </c>
      <c r="D3251" s="53" t="inlineStr">
        <is>
          <t>Avionics</t>
        </is>
      </c>
      <c r="E3251" s="53" t="inlineStr">
        <is>
          <t>2025-09-13</t>
        </is>
      </c>
      <c r="F3251" s="53">
        <v>5.1</v>
      </c>
      <c r="G3251" s="53">
        <v>0</v>
      </c>
      <c r="H3251" s="51" t="str">
        <f>TEXT(tblLaborEntries[[#This Row],[Work date serial]]-WEEKDAY(tblLaborEntries[[#This Row],[Work date serial]],3),"yyyy-mm-dd")</f>
        <v>2025-09-08</v>
      </c>
      <c r="I3251" s="64">
        <f>DATEVALUE(tblLaborEntries[[#This Row],[Work date]])</f>
        <v>45913.0</v>
      </c>
    </row>
    <row r="3252" spans="1:9" ht="15" x14ac:dyDescent="0.25">
      <c r="A3252" s="53" t="inlineStr">
        <is>
          <t>LAB-003251</t>
        </is>
      </c>
      <c r="B3252" s="53" t="inlineStr">
        <is>
          <t>WP-01433</t>
        </is>
      </c>
      <c r="C3252" s="53" t="inlineStr">
        <is>
          <t>TECH-007</t>
        </is>
      </c>
      <c r="D3252" s="53" t="inlineStr">
        <is>
          <t>Airframe</t>
        </is>
      </c>
      <c r="E3252" s="53" t="inlineStr">
        <is>
          <t>2024-12-04</t>
        </is>
      </c>
      <c r="F3252" s="53">
        <v>4.2</v>
      </c>
      <c r="G3252" s="53">
        <v>0</v>
      </c>
      <c r="H3252" s="51" t="str">
        <f>TEXT(tblLaborEntries[[#This Row],[Work date serial]]-WEEKDAY(tblLaborEntries[[#This Row],[Work date serial]],3),"yyyy-mm-dd")</f>
        <v>2024-12-02</v>
      </c>
      <c r="I3252" s="64">
        <f>DATEVALUE(tblLaborEntries[[#This Row],[Work date]])</f>
        <v>45630.0</v>
      </c>
    </row>
    <row r="3253" spans="1:9" ht="15" x14ac:dyDescent="0.25">
      <c r="A3253" s="53" t="inlineStr">
        <is>
          <t>LAB-003252</t>
        </is>
      </c>
      <c r="B3253" s="53" t="inlineStr">
        <is>
          <t>WP-01434</t>
        </is>
      </c>
      <c r="C3253" s="53" t="inlineStr">
        <is>
          <t>TECH-037</t>
        </is>
      </c>
      <c r="D3253" s="53" t="inlineStr">
        <is>
          <t>Airframe</t>
        </is>
      </c>
      <c r="E3253" s="53" t="inlineStr">
        <is>
          <t>2025-11-18</t>
        </is>
      </c>
      <c r="F3253" s="53">
        <v>5</v>
      </c>
      <c r="G3253" s="53">
        <v>0</v>
      </c>
      <c r="H3253" s="51" t="str">
        <f>TEXT(tblLaborEntries[[#This Row],[Work date serial]]-WEEKDAY(tblLaborEntries[[#This Row],[Work date serial]],3),"yyyy-mm-dd")</f>
        <v>2025-11-17</v>
      </c>
      <c r="I3253" s="64">
        <f>DATEVALUE(tblLaborEntries[[#This Row],[Work date]])</f>
        <v>45979.0</v>
      </c>
    </row>
    <row r="3254" spans="1:9" ht="15" x14ac:dyDescent="0.25">
      <c r="A3254" s="53" t="inlineStr">
        <is>
          <t>LAB-003253</t>
        </is>
      </c>
      <c r="B3254" s="53" t="inlineStr">
        <is>
          <t>WP-01435</t>
        </is>
      </c>
      <c r="C3254" s="53" t="inlineStr">
        <is>
          <t>TECH-062</t>
        </is>
      </c>
      <c r="D3254" s="53" t="inlineStr">
        <is>
          <t>Avionics</t>
        </is>
      </c>
      <c r="E3254" s="53" t="inlineStr">
        <is>
          <t>2025-08-31</t>
        </is>
      </c>
      <c r="F3254" s="53">
        <v>5.5</v>
      </c>
      <c r="G3254" s="53">
        <v>0</v>
      </c>
      <c r="H3254" s="51" t="str">
        <f>TEXT(tblLaborEntries[[#This Row],[Work date serial]]-WEEKDAY(tblLaborEntries[[#This Row],[Work date serial]],3),"yyyy-mm-dd")</f>
        <v>2025-08-25</v>
      </c>
      <c r="I3254" s="64">
        <f>DATEVALUE(tblLaborEntries[[#This Row],[Work date]])</f>
        <v>45900.0</v>
      </c>
    </row>
    <row r="3255" spans="1:9" ht="15" x14ac:dyDescent="0.25">
      <c r="A3255" s="53" t="inlineStr">
        <is>
          <t>LAB-003254</t>
        </is>
      </c>
      <c r="B3255" s="53" t="inlineStr">
        <is>
          <t>WP-01435</t>
        </is>
      </c>
      <c r="C3255" s="53" t="inlineStr">
        <is>
          <t>TECH-032</t>
        </is>
      </c>
      <c r="D3255" s="53" t="inlineStr">
        <is>
          <t>Avionics</t>
        </is>
      </c>
      <c r="E3255" s="53" t="inlineStr">
        <is>
          <t>2025-09-01</t>
        </is>
      </c>
      <c r="F3255" s="53">
        <v>3.9</v>
      </c>
      <c r="G3255" s="53">
        <v>0</v>
      </c>
      <c r="H3255" s="51" t="str">
        <f>TEXT(tblLaborEntries[[#This Row],[Work date serial]]-WEEKDAY(tblLaborEntries[[#This Row],[Work date serial]],3),"yyyy-mm-dd")</f>
        <v>2025-09-01</v>
      </c>
      <c r="I3255" s="64">
        <f>DATEVALUE(tblLaborEntries[[#This Row],[Work date]])</f>
        <v>45901.0</v>
      </c>
    </row>
    <row r="3256" spans="1:9" ht="15" x14ac:dyDescent="0.25">
      <c r="A3256" s="53" t="inlineStr">
        <is>
          <t>LAB-003255</t>
        </is>
      </c>
      <c r="B3256" s="53" t="inlineStr">
        <is>
          <t>WP-01436</t>
        </is>
      </c>
      <c r="C3256" s="53" t="inlineStr">
        <is>
          <t>TECH-072</t>
        </is>
      </c>
      <c r="D3256" s="53" t="inlineStr">
        <is>
          <t>Powerplant</t>
        </is>
      </c>
      <c r="E3256" s="53" t="inlineStr">
        <is>
          <t>2024-08-09</t>
        </is>
      </c>
      <c r="F3256" s="53">
        <v>7.3</v>
      </c>
      <c r="G3256" s="53">
        <v>0</v>
      </c>
      <c r="H3256" s="51" t="str">
        <f>TEXT(tblLaborEntries[[#This Row],[Work date serial]]-WEEKDAY(tblLaborEntries[[#This Row],[Work date serial]],3),"yyyy-mm-dd")</f>
        <v>2024-08-05</v>
      </c>
      <c r="I3256" s="64">
        <f>DATEVALUE(tblLaborEntries[[#This Row],[Work date]])</f>
        <v>45513.0</v>
      </c>
    </row>
    <row r="3257" spans="1:9" ht="15" x14ac:dyDescent="0.25">
      <c r="A3257" s="53" t="inlineStr">
        <is>
          <t>LAB-003256</t>
        </is>
      </c>
      <c r="B3257" s="53" t="inlineStr">
        <is>
          <t>WP-01436</t>
        </is>
      </c>
      <c r="C3257" s="53" t="inlineStr">
        <is>
          <t>TECH-042</t>
        </is>
      </c>
      <c r="D3257" s="53" t="inlineStr">
        <is>
          <t>Powerplant</t>
        </is>
      </c>
      <c r="E3257" s="53" t="inlineStr">
        <is>
          <t>2024-08-10</t>
        </is>
      </c>
      <c r="F3257" s="53">
        <v>7.3</v>
      </c>
      <c r="G3257" s="53">
        <v>0</v>
      </c>
      <c r="H3257" s="51" t="str">
        <f>TEXT(tblLaborEntries[[#This Row],[Work date serial]]-WEEKDAY(tblLaborEntries[[#This Row],[Work date serial]],3),"yyyy-mm-dd")</f>
        <v>2024-08-05</v>
      </c>
      <c r="I3257" s="64">
        <f>DATEVALUE(tblLaborEntries[[#This Row],[Work date]])</f>
        <v>45514.0</v>
      </c>
    </row>
    <row r="3258" spans="1:9" ht="15" x14ac:dyDescent="0.25">
      <c r="A3258" s="53" t="inlineStr">
        <is>
          <t>LAB-003257</t>
        </is>
      </c>
      <c r="B3258" s="53" t="inlineStr">
        <is>
          <t>WP-01436</t>
        </is>
      </c>
      <c r="C3258" s="53" t="inlineStr">
        <is>
          <t>TECH-072</t>
        </is>
      </c>
      <c r="D3258" s="53" t="inlineStr">
        <is>
          <t>Powerplant</t>
        </is>
      </c>
      <c r="E3258" s="53" t="inlineStr">
        <is>
          <t>2024-08-11</t>
        </is>
      </c>
      <c r="F3258" s="53">
        <v>6.4</v>
      </c>
      <c r="G3258" s="53">
        <v>0</v>
      </c>
      <c r="H3258" s="51" t="str">
        <f>TEXT(tblLaborEntries[[#This Row],[Work date serial]]-WEEKDAY(tblLaborEntries[[#This Row],[Work date serial]],3),"yyyy-mm-dd")</f>
        <v>2024-08-05</v>
      </c>
      <c r="I3258" s="64">
        <f>DATEVALUE(tblLaborEntries[[#This Row],[Work date]])</f>
        <v>45515.0</v>
      </c>
    </row>
    <row r="3259" spans="1:9" ht="15" x14ac:dyDescent="0.25">
      <c r="A3259" s="53" t="inlineStr">
        <is>
          <t>LAB-003258</t>
        </is>
      </c>
      <c r="B3259" s="53" t="inlineStr">
        <is>
          <t>WP-01437</t>
        </is>
      </c>
      <c r="C3259" s="53" t="inlineStr">
        <is>
          <t>TECH-043</t>
        </is>
      </c>
      <c r="D3259" s="53" t="inlineStr">
        <is>
          <t>Airframe</t>
        </is>
      </c>
      <c r="E3259" s="53" t="inlineStr">
        <is>
          <t>2024-10-25</t>
        </is>
      </c>
      <c r="F3259" s="53">
        <v>2.5</v>
      </c>
      <c r="G3259" s="53">
        <v>0</v>
      </c>
      <c r="H3259" s="51" t="str">
        <f>TEXT(tblLaborEntries[[#This Row],[Work date serial]]-WEEKDAY(tblLaborEntries[[#This Row],[Work date serial]],3),"yyyy-mm-dd")</f>
        <v>2024-10-21</v>
      </c>
      <c r="I3259" s="64">
        <f>DATEVALUE(tblLaborEntries[[#This Row],[Work date]])</f>
        <v>45590.0</v>
      </c>
    </row>
    <row r="3260" spans="1:9" ht="15" x14ac:dyDescent="0.25">
      <c r="A3260" s="53" t="inlineStr">
        <is>
          <t>LAB-003259</t>
        </is>
      </c>
      <c r="B3260" s="53" t="inlineStr">
        <is>
          <t>WP-01437</t>
        </is>
      </c>
      <c r="C3260" s="53" t="inlineStr">
        <is>
          <t>TECH-013</t>
        </is>
      </c>
      <c r="D3260" s="53" t="inlineStr">
        <is>
          <t>Airframe</t>
        </is>
      </c>
      <c r="E3260" s="53" t="inlineStr">
        <is>
          <t>2024-10-26</t>
        </is>
      </c>
      <c r="F3260" s="53">
        <v>2.9</v>
      </c>
      <c r="G3260" s="53">
        <v>0</v>
      </c>
      <c r="H3260" s="51" t="str">
        <f>TEXT(tblLaborEntries[[#This Row],[Work date serial]]-WEEKDAY(tblLaborEntries[[#This Row],[Work date serial]],3),"yyyy-mm-dd")</f>
        <v>2024-10-21</v>
      </c>
      <c r="I3260" s="64">
        <f>DATEVALUE(tblLaborEntries[[#This Row],[Work date]])</f>
        <v>45591.0</v>
      </c>
    </row>
    <row r="3261" spans="1:9" ht="15" x14ac:dyDescent="0.25">
      <c r="A3261" s="53" t="inlineStr">
        <is>
          <t>LAB-003260</t>
        </is>
      </c>
      <c r="B3261" s="53" t="inlineStr">
        <is>
          <t>WP-01437</t>
        </is>
      </c>
      <c r="C3261" s="53" t="inlineStr">
        <is>
          <t>TECH-037</t>
        </is>
      </c>
      <c r="D3261" s="53" t="inlineStr">
        <is>
          <t>Airframe</t>
        </is>
      </c>
      <c r="E3261" s="53" t="inlineStr">
        <is>
          <t>2024-10-27</t>
        </is>
      </c>
      <c r="F3261" s="53">
        <v>2.9</v>
      </c>
      <c r="G3261" s="53">
        <v>0</v>
      </c>
      <c r="H3261" s="51" t="str">
        <f>TEXT(tblLaborEntries[[#This Row],[Work date serial]]-WEEKDAY(tblLaborEntries[[#This Row],[Work date serial]],3),"yyyy-mm-dd")</f>
        <v>2024-10-21</v>
      </c>
      <c r="I3261" s="64">
        <f>DATEVALUE(tblLaborEntries[[#This Row],[Work date]])</f>
        <v>45592.0</v>
      </c>
    </row>
    <row r="3262" spans="1:9" ht="15" x14ac:dyDescent="0.25">
      <c r="A3262" s="53" t="inlineStr">
        <is>
          <t>LAB-003261</t>
        </is>
      </c>
      <c r="B3262" s="53" t="inlineStr">
        <is>
          <t>WP-01438</t>
        </is>
      </c>
      <c r="C3262" s="53" t="inlineStr">
        <is>
          <t>TECH-034</t>
        </is>
      </c>
      <c r="D3262" s="53" t="inlineStr">
        <is>
          <t>Electrical</t>
        </is>
      </c>
      <c r="E3262" s="53" t="inlineStr">
        <is>
          <t>2024-01-25</t>
        </is>
      </c>
      <c r="F3262" s="53">
        <v>3.5</v>
      </c>
      <c r="G3262" s="53">
        <v>0</v>
      </c>
      <c r="H3262" s="51" t="str">
        <f>TEXT(tblLaborEntries[[#This Row],[Work date serial]]-WEEKDAY(tblLaborEntries[[#This Row],[Work date serial]],3),"yyyy-mm-dd")</f>
        <v>2024-01-22</v>
      </c>
      <c r="I3262" s="64">
        <f>DATEVALUE(tblLaborEntries[[#This Row],[Work date]])</f>
        <v>45316.0</v>
      </c>
    </row>
    <row r="3263" spans="1:9" ht="15" x14ac:dyDescent="0.25">
      <c r="A3263" s="53" t="inlineStr">
        <is>
          <t>LAB-003262</t>
        </is>
      </c>
      <c r="B3263" s="53" t="inlineStr">
        <is>
          <t>WP-01438</t>
        </is>
      </c>
      <c r="C3263" s="53" t="inlineStr">
        <is>
          <t>TECH-016</t>
        </is>
      </c>
      <c r="D3263" s="53" t="inlineStr">
        <is>
          <t>Electrical</t>
        </is>
      </c>
      <c r="E3263" s="53" t="inlineStr">
        <is>
          <t>2024-01-26</t>
        </is>
      </c>
      <c r="F3263" s="53">
        <v>4.9</v>
      </c>
      <c r="G3263" s="53">
        <v>0</v>
      </c>
      <c r="H3263" s="51" t="str">
        <f>TEXT(tblLaborEntries[[#This Row],[Work date serial]]-WEEKDAY(tblLaborEntries[[#This Row],[Work date serial]],3),"yyyy-mm-dd")</f>
        <v>2024-01-22</v>
      </c>
      <c r="I3263" s="64">
        <f>DATEVALUE(tblLaborEntries[[#This Row],[Work date]])</f>
        <v>45317.0</v>
      </c>
    </row>
    <row r="3264" spans="1:9" ht="15" x14ac:dyDescent="0.25">
      <c r="A3264" s="53" t="inlineStr">
        <is>
          <t>LAB-003263</t>
        </is>
      </c>
      <c r="B3264" s="53" t="inlineStr">
        <is>
          <t>WP-01439</t>
        </is>
      </c>
      <c r="C3264" s="53" t="inlineStr">
        <is>
          <t>TECH-026</t>
        </is>
      </c>
      <c r="D3264" s="53" t="inlineStr">
        <is>
          <t>Avionics</t>
        </is>
      </c>
      <c r="E3264" s="53" t="inlineStr">
        <is>
          <t>2024-12-22</t>
        </is>
      </c>
      <c r="F3264" s="53">
        <v>3.5</v>
      </c>
      <c r="G3264" s="53">
        <v>0</v>
      </c>
      <c r="H3264" s="51" t="str">
        <f>TEXT(tblLaborEntries[[#This Row],[Work date serial]]-WEEKDAY(tblLaborEntries[[#This Row],[Work date serial]],3),"yyyy-mm-dd")</f>
        <v>2024-12-16</v>
      </c>
      <c r="I3264" s="64">
        <f>DATEVALUE(tblLaborEntries[[#This Row],[Work date]])</f>
        <v>45648.0</v>
      </c>
    </row>
    <row r="3265" spans="1:9" ht="15" x14ac:dyDescent="0.25">
      <c r="A3265" s="53" t="inlineStr">
        <is>
          <t>LAB-003264</t>
        </is>
      </c>
      <c r="B3265" s="53" t="inlineStr">
        <is>
          <t>WP-01439</t>
        </is>
      </c>
      <c r="C3265" s="53" t="inlineStr">
        <is>
          <t>TECH-014</t>
        </is>
      </c>
      <c r="D3265" s="53" t="inlineStr">
        <is>
          <t>Avionics</t>
        </is>
      </c>
      <c r="E3265" s="53" t="inlineStr">
        <is>
          <t>2024-12-23</t>
        </is>
      </c>
      <c r="F3265" s="53">
        <v>3.5</v>
      </c>
      <c r="G3265" s="53">
        <v>0</v>
      </c>
      <c r="H3265" s="51" t="str">
        <f>TEXT(tblLaborEntries[[#This Row],[Work date serial]]-WEEKDAY(tblLaborEntries[[#This Row],[Work date serial]],3),"yyyy-mm-dd")</f>
        <v>2024-12-23</v>
      </c>
      <c r="I3265" s="64">
        <f>DATEVALUE(tblLaborEntries[[#This Row],[Work date]])</f>
        <v>45649.0</v>
      </c>
    </row>
    <row r="3266" spans="1:9" ht="15" x14ac:dyDescent="0.25">
      <c r="A3266" s="53" t="inlineStr">
        <is>
          <t>LAB-003265</t>
        </is>
      </c>
      <c r="B3266" s="53" t="inlineStr">
        <is>
          <t>WP-01440</t>
        </is>
      </c>
      <c r="C3266" s="53" t="inlineStr">
        <is>
          <t>TECH-032</t>
        </is>
      </c>
      <c r="D3266" s="53" t="inlineStr">
        <is>
          <t>Avionics</t>
        </is>
      </c>
      <c r="E3266" s="53" t="inlineStr">
        <is>
          <t>2024-12-29</t>
        </is>
      </c>
      <c r="F3266" s="53">
        <v>3.1</v>
      </c>
      <c r="G3266" s="53">
        <v>0</v>
      </c>
      <c r="H3266" s="51" t="str">
        <f>TEXT(tblLaborEntries[[#This Row],[Work date serial]]-WEEKDAY(tblLaborEntries[[#This Row],[Work date serial]],3),"yyyy-mm-dd")</f>
        <v>2024-12-23</v>
      </c>
      <c r="I3266" s="64">
        <f>DATEVALUE(tblLaborEntries[[#This Row],[Work date]])</f>
        <v>45655.0</v>
      </c>
    </row>
    <row r="3267" spans="1:9" ht="15" x14ac:dyDescent="0.25">
      <c r="A3267" s="53" t="inlineStr">
        <is>
          <t>LAB-003266</t>
        </is>
      </c>
      <c r="B3267" s="53" t="inlineStr">
        <is>
          <t>WP-01441</t>
        </is>
      </c>
      <c r="C3267" s="53" t="inlineStr">
        <is>
          <t>TECH-056</t>
        </is>
      </c>
      <c r="D3267" s="53" t="inlineStr">
        <is>
          <t>Avionics</t>
        </is>
      </c>
      <c r="E3267" s="53" t="inlineStr">
        <is>
          <t>2025-03-05</t>
        </is>
      </c>
      <c r="F3267" s="53">
        <v>2.7</v>
      </c>
      <c r="G3267" s="53">
        <v>0</v>
      </c>
      <c r="H3267" s="51" t="str">
        <f>TEXT(tblLaborEntries[[#This Row],[Work date serial]]-WEEKDAY(tblLaborEntries[[#This Row],[Work date serial]],3),"yyyy-mm-dd")</f>
        <v>2025-03-03</v>
      </c>
      <c r="I3267" s="64">
        <f>DATEVALUE(tblLaborEntries[[#This Row],[Work date]])</f>
        <v>45721.0</v>
      </c>
    </row>
    <row r="3268" spans="1:9" ht="15" x14ac:dyDescent="0.25">
      <c r="A3268" s="53" t="inlineStr">
        <is>
          <t>LAB-003267</t>
        </is>
      </c>
      <c r="B3268" s="53" t="inlineStr">
        <is>
          <t>WP-01441</t>
        </is>
      </c>
      <c r="C3268" s="53" t="inlineStr">
        <is>
          <t>TECH-038</t>
        </is>
      </c>
      <c r="D3268" s="53" t="inlineStr">
        <is>
          <t>Avionics</t>
        </is>
      </c>
      <c r="E3268" s="53" t="inlineStr">
        <is>
          <t>2025-03-06</t>
        </is>
      </c>
      <c r="F3268" s="53">
        <v>1.9</v>
      </c>
      <c r="G3268" s="53">
        <v>0</v>
      </c>
      <c r="H3268" s="51" t="str">
        <f>TEXT(tblLaborEntries[[#This Row],[Work date serial]]-WEEKDAY(tblLaborEntries[[#This Row],[Work date serial]],3),"yyyy-mm-dd")</f>
        <v>2025-03-03</v>
      </c>
      <c r="I3268" s="64">
        <f>DATEVALUE(tblLaborEntries[[#This Row],[Work date]])</f>
        <v>45722.0</v>
      </c>
    </row>
    <row r="3269" spans="1:9" ht="15" x14ac:dyDescent="0.25">
      <c r="A3269" s="53" t="inlineStr">
        <is>
          <t>LAB-003268</t>
        </is>
      </c>
      <c r="B3269" s="53" t="inlineStr">
        <is>
          <t>WP-01442</t>
        </is>
      </c>
      <c r="C3269" s="53" t="inlineStr">
        <is>
          <t>TECH-044</t>
        </is>
      </c>
      <c r="D3269" s="53" t="inlineStr">
        <is>
          <t>Avionics</t>
        </is>
      </c>
      <c r="E3269" s="53" t="inlineStr">
        <is>
          <t>2025-05-28</t>
        </is>
      </c>
      <c r="F3269" s="53">
        <v>3.4</v>
      </c>
      <c r="G3269" s="53">
        <v>0</v>
      </c>
      <c r="H3269" s="51" t="str">
        <f>TEXT(tblLaborEntries[[#This Row],[Work date serial]]-WEEKDAY(tblLaborEntries[[#This Row],[Work date serial]],3),"yyyy-mm-dd")</f>
        <v>2025-05-26</v>
      </c>
      <c r="I3269" s="64">
        <f>DATEVALUE(tblLaborEntries[[#This Row],[Work date]])</f>
        <v>45805.0</v>
      </c>
    </row>
    <row r="3270" spans="1:9" ht="15" x14ac:dyDescent="0.25">
      <c r="A3270" s="53" t="inlineStr">
        <is>
          <t>LAB-003269</t>
        </is>
      </c>
      <c r="B3270" s="53" t="inlineStr">
        <is>
          <t>WP-01442</t>
        </is>
      </c>
      <c r="C3270" s="53" t="inlineStr">
        <is>
          <t>TECH-020</t>
        </is>
      </c>
      <c r="D3270" s="53" t="inlineStr">
        <is>
          <t>Avionics</t>
        </is>
      </c>
      <c r="E3270" s="53" t="inlineStr">
        <is>
          <t>2025-05-29</t>
        </is>
      </c>
      <c r="F3270" s="53">
        <v>2.5</v>
      </c>
      <c r="G3270" s="53">
        <v>2.5</v>
      </c>
      <c r="H3270" s="51" t="str">
        <f>TEXT(tblLaborEntries[[#This Row],[Work date serial]]-WEEKDAY(tblLaborEntries[[#This Row],[Work date serial]],3),"yyyy-mm-dd")</f>
        <v>2025-05-26</v>
      </c>
      <c r="I3270" s="64">
        <f>DATEVALUE(tblLaborEntries[[#This Row],[Work date]])</f>
        <v>45806.0</v>
      </c>
    </row>
    <row r="3271" spans="1:9" ht="15" x14ac:dyDescent="0.25">
      <c r="A3271" s="53" t="inlineStr">
        <is>
          <t>LAB-003270</t>
        </is>
      </c>
      <c r="B3271" s="53" t="inlineStr">
        <is>
          <t>WP-01443</t>
        </is>
      </c>
      <c r="C3271" s="53" t="inlineStr">
        <is>
          <t>TECH-073</t>
        </is>
      </c>
      <c r="D3271" s="53" t="inlineStr">
        <is>
          <t>Airframe</t>
        </is>
      </c>
      <c r="E3271" s="53" t="inlineStr">
        <is>
          <t>2025-02-08</t>
        </is>
      </c>
      <c r="F3271" s="53">
        <v>7.5</v>
      </c>
      <c r="G3271" s="53">
        <v>0</v>
      </c>
      <c r="H3271" s="51" t="str">
        <f>TEXT(tblLaborEntries[[#This Row],[Work date serial]]-WEEKDAY(tblLaborEntries[[#This Row],[Work date serial]],3),"yyyy-mm-dd")</f>
        <v>2025-02-03</v>
      </c>
      <c r="I3271" s="64">
        <f>DATEVALUE(tblLaborEntries[[#This Row],[Work date]])</f>
        <v>45696.0</v>
      </c>
    </row>
    <row r="3272" spans="1:9" ht="15" x14ac:dyDescent="0.25">
      <c r="A3272" s="53" t="inlineStr">
        <is>
          <t>LAB-003271</t>
        </is>
      </c>
      <c r="B3272" s="53" t="inlineStr">
        <is>
          <t>WP-01443</t>
        </is>
      </c>
      <c r="C3272" s="53" t="inlineStr">
        <is>
          <t>TECH-025</t>
        </is>
      </c>
      <c r="D3272" s="53" t="inlineStr">
        <is>
          <t>Airframe</t>
        </is>
      </c>
      <c r="E3272" s="53" t="inlineStr">
        <is>
          <t>2025-02-09</t>
        </is>
      </c>
      <c r="F3272" s="53">
        <v>6.4</v>
      </c>
      <c r="G3272" s="53">
        <v>0</v>
      </c>
      <c r="H3272" s="51" t="str">
        <f>TEXT(tblLaborEntries[[#This Row],[Work date serial]]-WEEKDAY(tblLaborEntries[[#This Row],[Work date serial]],3),"yyyy-mm-dd")</f>
        <v>2025-02-03</v>
      </c>
      <c r="I3272" s="64">
        <f>DATEVALUE(tblLaborEntries[[#This Row],[Work date]])</f>
        <v>45697.0</v>
      </c>
    </row>
    <row r="3273" spans="1:9" ht="15" x14ac:dyDescent="0.25">
      <c r="A3273" s="53" t="inlineStr">
        <is>
          <t>LAB-003272</t>
        </is>
      </c>
      <c r="B3273" s="53" t="inlineStr">
        <is>
          <t>WP-01444</t>
        </is>
      </c>
      <c r="C3273" s="53" t="inlineStr">
        <is>
          <t>TECH-074</t>
        </is>
      </c>
      <c r="D3273" s="53" t="inlineStr">
        <is>
          <t>Avionics</t>
        </is>
      </c>
      <c r="E3273" s="53" t="inlineStr">
        <is>
          <t>2025-03-15</t>
        </is>
      </c>
      <c r="F3273" s="53">
        <v>4.5</v>
      </c>
      <c r="G3273" s="53">
        <v>0</v>
      </c>
      <c r="H3273" s="51" t="str">
        <f>TEXT(tblLaborEntries[[#This Row],[Work date serial]]-WEEKDAY(tblLaborEntries[[#This Row],[Work date serial]],3),"yyyy-mm-dd")</f>
        <v>2025-03-10</v>
      </c>
      <c r="I3273" s="64">
        <f>DATEVALUE(tblLaborEntries[[#This Row],[Work date]])</f>
        <v>45731.0</v>
      </c>
    </row>
    <row r="3274" spans="1:9" ht="15" x14ac:dyDescent="0.25">
      <c r="A3274" s="53" t="inlineStr">
        <is>
          <t>LAB-003273</t>
        </is>
      </c>
      <c r="B3274" s="53" t="inlineStr">
        <is>
          <t>WP-01445</t>
        </is>
      </c>
      <c r="C3274" s="53" t="inlineStr">
        <is>
          <t>TECH-028</t>
        </is>
      </c>
      <c r="D3274" s="53" t="inlineStr">
        <is>
          <t>Electrical</t>
        </is>
      </c>
      <c r="E3274" s="53" t="inlineStr">
        <is>
          <t>2025-12-11</t>
        </is>
      </c>
      <c r="F3274" s="53">
        <v>11.3</v>
      </c>
      <c r="G3274" s="53">
        <v>3.3</v>
      </c>
      <c r="H3274" s="51" t="str">
        <f>TEXT(tblLaborEntries[[#This Row],[Work date serial]]-WEEKDAY(tblLaborEntries[[#This Row],[Work date serial]],3),"yyyy-mm-dd")</f>
        <v>2025-12-08</v>
      </c>
      <c r="I3274" s="64">
        <f>DATEVALUE(tblLaborEntries[[#This Row],[Work date]])</f>
        <v>46002.0</v>
      </c>
    </row>
    <row r="3275" spans="1:9" ht="15" x14ac:dyDescent="0.25">
      <c r="A3275" s="53" t="inlineStr">
        <is>
          <t>LAB-003274</t>
        </is>
      </c>
      <c r="B3275" s="53" t="inlineStr">
        <is>
          <t>WP-01446</t>
        </is>
      </c>
      <c r="C3275" s="53" t="inlineStr">
        <is>
          <t>TECH-002</t>
        </is>
      </c>
      <c r="D3275" s="53" t="inlineStr">
        <is>
          <t>Avionics</t>
        </is>
      </c>
      <c r="E3275" s="53" t="inlineStr">
        <is>
          <t>2024-07-29</t>
        </is>
      </c>
      <c r="F3275" s="53">
        <v>12</v>
      </c>
      <c r="G3275" s="53">
        <v>4</v>
      </c>
      <c r="H3275" s="51" t="str">
        <f>TEXT(tblLaborEntries[[#This Row],[Work date serial]]-WEEKDAY(tblLaborEntries[[#This Row],[Work date serial]],3),"yyyy-mm-dd")</f>
        <v>2024-07-29</v>
      </c>
      <c r="I3275" s="64">
        <f>DATEVALUE(tblLaborEntries[[#This Row],[Work date]])</f>
        <v>45502.0</v>
      </c>
    </row>
    <row r="3276" spans="1:9" ht="15" x14ac:dyDescent="0.25">
      <c r="A3276" s="53" t="inlineStr">
        <is>
          <t>LAB-003275</t>
        </is>
      </c>
      <c r="B3276" s="53" t="inlineStr">
        <is>
          <t>WP-01446</t>
        </is>
      </c>
      <c r="C3276" s="53" t="inlineStr">
        <is>
          <t>TECH-008</t>
        </is>
      </c>
      <c r="D3276" s="53" t="inlineStr">
        <is>
          <t>Avionics</t>
        </is>
      </c>
      <c r="E3276" s="53" t="inlineStr">
        <is>
          <t>2024-07-29</t>
        </is>
      </c>
      <c r="F3276" s="53">
        <v>1.9</v>
      </c>
      <c r="G3276" s="53">
        <v>0</v>
      </c>
      <c r="H3276" s="51" t="str">
        <f>TEXT(tblLaborEntries[[#This Row],[Work date serial]]-WEEKDAY(tblLaborEntries[[#This Row],[Work date serial]],3),"yyyy-mm-dd")</f>
        <v>2024-07-29</v>
      </c>
      <c r="I3276" s="64">
        <f>DATEVALUE(tblLaborEntries[[#This Row],[Work date]])</f>
        <v>45502.0</v>
      </c>
    </row>
    <row r="3277" spans="1:9" ht="15" x14ac:dyDescent="0.25">
      <c r="A3277" s="53" t="inlineStr">
        <is>
          <t>LAB-003276</t>
        </is>
      </c>
      <c r="B3277" s="53" t="inlineStr">
        <is>
          <t>WP-01446</t>
        </is>
      </c>
      <c r="C3277" s="53" t="inlineStr">
        <is>
          <t>TECH-014</t>
        </is>
      </c>
      <c r="D3277" s="53" t="inlineStr">
        <is>
          <t>Avionics</t>
        </is>
      </c>
      <c r="E3277" s="53" t="inlineStr">
        <is>
          <t>2024-07-29</t>
        </is>
      </c>
      <c r="F3277" s="53">
        <v>12</v>
      </c>
      <c r="G3277" s="53">
        <v>4</v>
      </c>
      <c r="H3277" s="51" t="str">
        <f>TEXT(tblLaborEntries[[#This Row],[Work date serial]]-WEEKDAY(tblLaborEntries[[#This Row],[Work date serial]],3),"yyyy-mm-dd")</f>
        <v>2024-07-29</v>
      </c>
      <c r="I3277" s="64">
        <f>DATEVALUE(tblLaborEntries[[#This Row],[Work date]])</f>
        <v>45502.0</v>
      </c>
    </row>
    <row r="3278" spans="1:9" ht="15" x14ac:dyDescent="0.25">
      <c r="A3278" s="53" t="inlineStr">
        <is>
          <t>LAB-003277</t>
        </is>
      </c>
      <c r="B3278" s="53" t="inlineStr">
        <is>
          <t>WP-01447</t>
        </is>
      </c>
      <c r="C3278" s="53" t="inlineStr">
        <is>
          <t>TECH-070</t>
        </is>
      </c>
      <c r="D3278" s="53" t="inlineStr">
        <is>
          <t>Electrical</t>
        </is>
      </c>
      <c r="E3278" s="53" t="inlineStr">
        <is>
          <t>2025-12-19</t>
        </is>
      </c>
      <c r="F3278" s="53">
        <v>3.3</v>
      </c>
      <c r="G3278" s="53">
        <v>0</v>
      </c>
      <c r="H3278" s="51" t="str">
        <f>TEXT(tblLaborEntries[[#This Row],[Work date serial]]-WEEKDAY(tblLaborEntries[[#This Row],[Work date serial]],3),"yyyy-mm-dd")</f>
        <v>2025-12-15</v>
      </c>
      <c r="I3278" s="64">
        <f>DATEVALUE(tblLaborEntries[[#This Row],[Work date]])</f>
        <v>46010.0</v>
      </c>
    </row>
    <row r="3279" spans="1:9" ht="15" x14ac:dyDescent="0.25">
      <c r="A3279" s="53" t="inlineStr">
        <is>
          <t>LAB-003278</t>
        </is>
      </c>
      <c r="B3279" s="53" t="inlineStr">
        <is>
          <t>WP-01447</t>
        </is>
      </c>
      <c r="C3279" s="53" t="inlineStr">
        <is>
          <t>TECH-052</t>
        </is>
      </c>
      <c r="D3279" s="53" t="inlineStr">
        <is>
          <t>Electrical</t>
        </is>
      </c>
      <c r="E3279" s="53" t="inlineStr">
        <is>
          <t>2025-12-20</t>
        </is>
      </c>
      <c r="F3279" s="53">
        <v>3.7</v>
      </c>
      <c r="G3279" s="53">
        <v>0</v>
      </c>
      <c r="H3279" s="51" t="str">
        <f>TEXT(tblLaborEntries[[#This Row],[Work date serial]]-WEEKDAY(tblLaborEntries[[#This Row],[Work date serial]],3),"yyyy-mm-dd")</f>
        <v>2025-12-15</v>
      </c>
      <c r="I3279" s="64">
        <f>DATEVALUE(tblLaborEntries[[#This Row],[Work date]])</f>
        <v>46011.0</v>
      </c>
    </row>
    <row r="3280" spans="1:9" ht="15" x14ac:dyDescent="0.25">
      <c r="A3280" s="53" t="inlineStr">
        <is>
          <t>LAB-003279</t>
        </is>
      </c>
      <c r="B3280" s="53" t="inlineStr">
        <is>
          <t>WP-01447</t>
        </is>
      </c>
      <c r="C3280" s="53" t="inlineStr">
        <is>
          <t>TECH-052</t>
        </is>
      </c>
      <c r="D3280" s="53" t="inlineStr">
        <is>
          <t>Electrical</t>
        </is>
      </c>
      <c r="E3280" s="53" t="inlineStr">
        <is>
          <t>2025-12-21</t>
        </is>
      </c>
      <c r="F3280" s="53">
        <v>4.3</v>
      </c>
      <c r="G3280" s="53">
        <v>0</v>
      </c>
      <c r="H3280" s="51" t="str">
        <f>TEXT(tblLaborEntries[[#This Row],[Work date serial]]-WEEKDAY(tblLaborEntries[[#This Row],[Work date serial]],3),"yyyy-mm-dd")</f>
        <v>2025-12-15</v>
      </c>
      <c r="I3280" s="64">
        <f>DATEVALUE(tblLaborEntries[[#This Row],[Work date]])</f>
        <v>46012.0</v>
      </c>
    </row>
    <row r="3281" spans="1:9" ht="15" x14ac:dyDescent="0.25">
      <c r="A3281" s="53" t="inlineStr">
        <is>
          <t>LAB-003280</t>
        </is>
      </c>
      <c r="B3281" s="53" t="inlineStr">
        <is>
          <t>WP-01448</t>
        </is>
      </c>
      <c r="C3281" s="53" t="inlineStr">
        <is>
          <t>TECH-073</t>
        </is>
      </c>
      <c r="D3281" s="53" t="inlineStr">
        <is>
          <t>Airframe</t>
        </is>
      </c>
      <c r="E3281" s="53" t="inlineStr">
        <is>
          <t>2025-05-24</t>
        </is>
      </c>
      <c r="F3281" s="53">
        <v>6.3</v>
      </c>
      <c r="G3281" s="53">
        <v>1.9</v>
      </c>
      <c r="H3281" s="51" t="str">
        <f>TEXT(tblLaborEntries[[#This Row],[Work date serial]]-WEEKDAY(tblLaborEntries[[#This Row],[Work date serial]],3),"yyyy-mm-dd")</f>
        <v>2025-05-19</v>
      </c>
      <c r="I3281" s="64">
        <f>DATEVALUE(tblLaborEntries[[#This Row],[Work date]])</f>
        <v>45801.0</v>
      </c>
    </row>
    <row r="3282" spans="1:9" ht="15" x14ac:dyDescent="0.25">
      <c r="A3282" s="53" t="inlineStr">
        <is>
          <t>LAB-003281</t>
        </is>
      </c>
      <c r="B3282" s="53" t="inlineStr">
        <is>
          <t>WP-01449</t>
        </is>
      </c>
      <c r="C3282" s="53" t="inlineStr">
        <is>
          <t>TECH-043</t>
        </is>
      </c>
      <c r="D3282" s="53" t="inlineStr">
        <is>
          <t>Airframe</t>
        </is>
      </c>
      <c r="E3282" s="53" t="inlineStr">
        <is>
          <t>2025-11-18</t>
        </is>
      </c>
      <c r="F3282" s="53">
        <v>1.6</v>
      </c>
      <c r="G3282" s="53">
        <v>0</v>
      </c>
      <c r="H3282" s="51" t="str">
        <f>TEXT(tblLaborEntries[[#This Row],[Work date serial]]-WEEKDAY(tblLaborEntries[[#This Row],[Work date serial]],3),"yyyy-mm-dd")</f>
        <v>2025-11-17</v>
      </c>
      <c r="I3282" s="64">
        <f>DATEVALUE(tblLaborEntries[[#This Row],[Work date]])</f>
        <v>45979.0</v>
      </c>
    </row>
    <row r="3283" spans="1:9" ht="15" x14ac:dyDescent="0.25">
      <c r="A3283" s="53" t="inlineStr">
        <is>
          <t>LAB-003282</t>
        </is>
      </c>
      <c r="B3283" s="53" t="inlineStr">
        <is>
          <t>WP-01449</t>
        </is>
      </c>
      <c r="C3283" s="53" t="inlineStr">
        <is>
          <t>TECH-025</t>
        </is>
      </c>
      <c r="D3283" s="53" t="inlineStr">
        <is>
          <t>Airframe</t>
        </is>
      </c>
      <c r="E3283" s="53" t="inlineStr">
        <is>
          <t>2025-11-19</t>
        </is>
      </c>
      <c r="F3283" s="53">
        <v>2</v>
      </c>
      <c r="G3283" s="53">
        <v>0</v>
      </c>
      <c r="H3283" s="51" t="str">
        <f>TEXT(tblLaborEntries[[#This Row],[Work date serial]]-WEEKDAY(tblLaborEntries[[#This Row],[Work date serial]],3),"yyyy-mm-dd")</f>
        <v>2025-11-17</v>
      </c>
      <c r="I3283" s="64">
        <f>DATEVALUE(tblLaborEntries[[#This Row],[Work date]])</f>
        <v>45980.0</v>
      </c>
    </row>
    <row r="3284" spans="1:9" ht="15" x14ac:dyDescent="0.25">
      <c r="A3284" s="53" t="inlineStr">
        <is>
          <t>LAB-003283</t>
        </is>
      </c>
      <c r="B3284" s="53" t="inlineStr">
        <is>
          <t>WP-01449</t>
        </is>
      </c>
      <c r="C3284" s="53" t="inlineStr">
        <is>
          <t>TECH-019</t>
        </is>
      </c>
      <c r="D3284" s="53" t="inlineStr">
        <is>
          <t>Airframe</t>
        </is>
      </c>
      <c r="E3284" s="53" t="inlineStr">
        <is>
          <t>2025-11-20</t>
        </is>
      </c>
      <c r="F3284" s="53">
        <v>1.6</v>
      </c>
      <c r="G3284" s="53">
        <v>0</v>
      </c>
      <c r="H3284" s="51" t="str">
        <f>TEXT(tblLaborEntries[[#This Row],[Work date serial]]-WEEKDAY(tblLaborEntries[[#This Row],[Work date serial]],3),"yyyy-mm-dd")</f>
        <v>2025-11-17</v>
      </c>
      <c r="I3284" s="64">
        <f>DATEVALUE(tblLaborEntries[[#This Row],[Work date]])</f>
        <v>45981.0</v>
      </c>
    </row>
    <row r="3285" spans="1:9" ht="15" x14ac:dyDescent="0.25">
      <c r="A3285" s="53" t="inlineStr">
        <is>
          <t>LAB-003284</t>
        </is>
      </c>
      <c r="B3285" s="53" t="inlineStr">
        <is>
          <t>WP-01450</t>
        </is>
      </c>
      <c r="C3285" s="53" t="inlineStr">
        <is>
          <t>TECH-003</t>
        </is>
      </c>
      <c r="D3285" s="53" t="inlineStr">
        <is>
          <t>Hydraulics</t>
        </is>
      </c>
      <c r="E3285" s="53" t="inlineStr">
        <is>
          <t>2025-07-04</t>
        </is>
      </c>
      <c r="F3285" s="53">
        <v>5.2</v>
      </c>
      <c r="G3285" s="53">
        <v>0</v>
      </c>
      <c r="H3285" s="51" t="str">
        <f>TEXT(tblLaborEntries[[#This Row],[Work date serial]]-WEEKDAY(tblLaborEntries[[#This Row],[Work date serial]],3),"yyyy-mm-dd")</f>
        <v>2025-06-30</v>
      </c>
      <c r="I3285" s="64">
        <f>DATEVALUE(tblLaborEntries[[#This Row],[Work date]])</f>
        <v>45842.0</v>
      </c>
    </row>
    <row r="3286" spans="1:9" ht="15" x14ac:dyDescent="0.25">
      <c r="A3286" s="53" t="inlineStr">
        <is>
          <t>LAB-003285</t>
        </is>
      </c>
      <c r="B3286" s="53" t="inlineStr">
        <is>
          <t>WP-01450</t>
        </is>
      </c>
      <c r="C3286" s="53" t="inlineStr">
        <is>
          <t>TECH-039</t>
        </is>
      </c>
      <c r="D3286" s="53" t="inlineStr">
        <is>
          <t>Hydraulics</t>
        </is>
      </c>
      <c r="E3286" s="53" t="inlineStr">
        <is>
          <t>2025-07-04</t>
        </is>
      </c>
      <c r="F3286" s="53">
        <v>12</v>
      </c>
      <c r="G3286" s="53">
        <v>4</v>
      </c>
      <c r="H3286" s="51" t="str">
        <f>TEXT(tblLaborEntries[[#This Row],[Work date serial]]-WEEKDAY(tblLaborEntries[[#This Row],[Work date serial]],3),"yyyy-mm-dd")</f>
        <v>2025-06-30</v>
      </c>
      <c r="I3286" s="64">
        <f>DATEVALUE(tblLaborEntries[[#This Row],[Work date]])</f>
        <v>45842.0</v>
      </c>
    </row>
    <row r="3287" spans="1:9" ht="15" x14ac:dyDescent="0.25">
      <c r="A3287" s="53" t="inlineStr">
        <is>
          <t>LAB-003286</t>
        </is>
      </c>
      <c r="B3287" s="53" t="inlineStr">
        <is>
          <t>WP-01451</t>
        </is>
      </c>
      <c r="C3287" s="53" t="inlineStr">
        <is>
          <t>TECH-068</t>
        </is>
      </c>
      <c r="D3287" s="53" t="inlineStr">
        <is>
          <t>Avionics</t>
        </is>
      </c>
      <c r="E3287" s="53" t="inlineStr">
        <is>
          <t>2024-04-06</t>
        </is>
      </c>
      <c r="F3287" s="53">
        <v>2.7</v>
      </c>
      <c r="G3287" s="53">
        <v>0</v>
      </c>
      <c r="H3287" s="51" t="str">
        <f>TEXT(tblLaborEntries[[#This Row],[Work date serial]]-WEEKDAY(tblLaborEntries[[#This Row],[Work date serial]],3),"yyyy-mm-dd")</f>
        <v>2024-04-01</v>
      </c>
      <c r="I3287" s="64">
        <f>DATEVALUE(tblLaborEntries[[#This Row],[Work date]])</f>
        <v>45388.0</v>
      </c>
    </row>
    <row r="3288" spans="1:9" ht="15" x14ac:dyDescent="0.25">
      <c r="A3288" s="53" t="inlineStr">
        <is>
          <t>LAB-003287</t>
        </is>
      </c>
      <c r="B3288" s="53" t="inlineStr">
        <is>
          <t>WP-01451</t>
        </is>
      </c>
      <c r="C3288" s="53" t="inlineStr">
        <is>
          <t>TECH-020</t>
        </is>
      </c>
      <c r="D3288" s="53" t="inlineStr">
        <is>
          <t>Avionics</t>
        </is>
      </c>
      <c r="E3288" s="53" t="inlineStr">
        <is>
          <t>2024-04-07</t>
        </is>
      </c>
      <c r="F3288" s="53">
        <v>4.4</v>
      </c>
      <c r="G3288" s="53">
        <v>0</v>
      </c>
      <c r="H3288" s="51" t="str">
        <f>TEXT(tblLaborEntries[[#This Row],[Work date serial]]-WEEKDAY(tblLaborEntries[[#This Row],[Work date serial]],3),"yyyy-mm-dd")</f>
        <v>2024-04-01</v>
      </c>
      <c r="I3288" s="64">
        <f>DATEVALUE(tblLaborEntries[[#This Row],[Work date]])</f>
        <v>45389.0</v>
      </c>
    </row>
    <row r="3289" spans="1:9" ht="15" x14ac:dyDescent="0.25">
      <c r="A3289" s="53" t="inlineStr">
        <is>
          <t>LAB-003288</t>
        </is>
      </c>
      <c r="B3289" s="53" t="inlineStr">
        <is>
          <t>WP-01451</t>
        </is>
      </c>
      <c r="C3289" s="53" t="inlineStr">
        <is>
          <t>TECH-032</t>
        </is>
      </c>
      <c r="D3289" s="53" t="inlineStr">
        <is>
          <t>Avionics</t>
        </is>
      </c>
      <c r="E3289" s="53" t="inlineStr">
        <is>
          <t>2024-04-08</t>
        </is>
      </c>
      <c r="F3289" s="53">
        <v>3.1</v>
      </c>
      <c r="G3289" s="53">
        <v>0</v>
      </c>
      <c r="H3289" s="51" t="str">
        <f>TEXT(tblLaborEntries[[#This Row],[Work date serial]]-WEEKDAY(tblLaborEntries[[#This Row],[Work date serial]],3),"yyyy-mm-dd")</f>
        <v>2024-04-08</v>
      </c>
      <c r="I3289" s="64">
        <f>DATEVALUE(tblLaborEntries[[#This Row],[Work date]])</f>
        <v>45390.0</v>
      </c>
    </row>
    <row r="3290" spans="1:9" ht="15" x14ac:dyDescent="0.25">
      <c r="A3290" s="53" t="inlineStr">
        <is>
          <t>LAB-003289</t>
        </is>
      </c>
      <c r="B3290" s="53" t="inlineStr">
        <is>
          <t>WP-01452</t>
        </is>
      </c>
      <c r="C3290" s="53" t="inlineStr">
        <is>
          <t>TECH-051</t>
        </is>
      </c>
      <c r="D3290" s="53" t="inlineStr">
        <is>
          <t>Hydraulics</t>
        </is>
      </c>
      <c r="E3290" s="53" t="inlineStr">
        <is>
          <t>2025-06-06</t>
        </is>
      </c>
      <c r="F3290" s="53">
        <v>11.1</v>
      </c>
      <c r="G3290" s="53">
        <v>3.1</v>
      </c>
      <c r="H3290" s="51" t="str">
        <f>TEXT(tblLaborEntries[[#This Row],[Work date serial]]-WEEKDAY(tblLaborEntries[[#This Row],[Work date serial]],3),"yyyy-mm-dd")</f>
        <v>2025-06-02</v>
      </c>
      <c r="I3290" s="64">
        <f>DATEVALUE(tblLaborEntries[[#This Row],[Work date]])</f>
        <v>45814.0</v>
      </c>
    </row>
    <row r="3291" spans="1:9" ht="15" x14ac:dyDescent="0.25">
      <c r="A3291" s="53" t="inlineStr">
        <is>
          <t>LAB-003290</t>
        </is>
      </c>
      <c r="B3291" s="53" t="inlineStr">
        <is>
          <t>WP-01452</t>
        </is>
      </c>
      <c r="C3291" s="53" t="inlineStr">
        <is>
          <t>TECH-057</t>
        </is>
      </c>
      <c r="D3291" s="53" t="inlineStr">
        <is>
          <t>Hydraulics</t>
        </is>
      </c>
      <c r="E3291" s="53" t="inlineStr">
        <is>
          <t>2025-06-07</t>
        </is>
      </c>
      <c r="F3291" s="53">
        <v>8</v>
      </c>
      <c r="G3291" s="53">
        <v>0</v>
      </c>
      <c r="H3291" s="51" t="str">
        <f>TEXT(tblLaborEntries[[#This Row],[Work date serial]]-WEEKDAY(tblLaborEntries[[#This Row],[Work date serial]],3),"yyyy-mm-dd")</f>
        <v>2025-06-02</v>
      </c>
      <c r="I3291" s="64">
        <f>DATEVALUE(tblLaborEntries[[#This Row],[Work date]])</f>
        <v>45815.0</v>
      </c>
    </row>
    <row r="3292" spans="1:9" ht="15" x14ac:dyDescent="0.25">
      <c r="A3292" s="53" t="inlineStr">
        <is>
          <t>LAB-003291</t>
        </is>
      </c>
      <c r="B3292" s="53" t="inlineStr">
        <is>
          <t>WP-01453</t>
        </is>
      </c>
      <c r="C3292" s="53" t="inlineStr">
        <is>
          <t>TECH-026</t>
        </is>
      </c>
      <c r="D3292" s="53" t="inlineStr">
        <is>
          <t>Avionics</t>
        </is>
      </c>
      <c r="E3292" s="53" t="inlineStr">
        <is>
          <t>2024-02-16</t>
        </is>
      </c>
      <c r="F3292" s="53">
        <v>5.6</v>
      </c>
      <c r="G3292" s="53">
        <v>0</v>
      </c>
      <c r="H3292" s="51" t="str">
        <f>TEXT(tblLaborEntries[[#This Row],[Work date serial]]-WEEKDAY(tblLaborEntries[[#This Row],[Work date serial]],3),"yyyy-mm-dd")</f>
        <v>2024-02-12</v>
      </c>
      <c r="I3292" s="64">
        <f>DATEVALUE(tblLaborEntries[[#This Row],[Work date]])</f>
        <v>45338.0</v>
      </c>
    </row>
    <row r="3293" spans="1:9" ht="15" x14ac:dyDescent="0.25">
      <c r="A3293" s="53" t="inlineStr">
        <is>
          <t>LAB-003292</t>
        </is>
      </c>
      <c r="B3293" s="53" t="inlineStr">
        <is>
          <t>WP-01453</t>
        </is>
      </c>
      <c r="C3293" s="53" t="inlineStr">
        <is>
          <t>TECH-038</t>
        </is>
      </c>
      <c r="D3293" s="53" t="inlineStr">
        <is>
          <t>Avionics</t>
        </is>
      </c>
      <c r="E3293" s="53" t="inlineStr">
        <is>
          <t>2024-02-17</t>
        </is>
      </c>
      <c r="F3293" s="53">
        <v>4</v>
      </c>
      <c r="G3293" s="53">
        <v>0</v>
      </c>
      <c r="H3293" s="51" t="str">
        <f>TEXT(tblLaborEntries[[#This Row],[Work date serial]]-WEEKDAY(tblLaborEntries[[#This Row],[Work date serial]],3),"yyyy-mm-dd")</f>
        <v>2024-02-12</v>
      </c>
      <c r="I3293" s="64">
        <f>DATEVALUE(tblLaborEntries[[#This Row],[Work date]])</f>
        <v>45339.0</v>
      </c>
    </row>
    <row r="3294" spans="1:9" ht="15" x14ac:dyDescent="0.25">
      <c r="A3294" s="53" t="inlineStr">
        <is>
          <t>LAB-003293</t>
        </is>
      </c>
      <c r="B3294" s="53" t="inlineStr">
        <is>
          <t>WP-01454</t>
        </is>
      </c>
      <c r="C3294" s="53" t="inlineStr">
        <is>
          <t>TECH-014</t>
        </is>
      </c>
      <c r="D3294" s="53" t="inlineStr">
        <is>
          <t>Avionics</t>
        </is>
      </c>
      <c r="E3294" s="53" t="inlineStr">
        <is>
          <t>2024-07-12</t>
        </is>
      </c>
      <c r="F3294" s="53">
        <v>6.1</v>
      </c>
      <c r="G3294" s="53">
        <v>0</v>
      </c>
      <c r="H3294" s="51" t="str">
        <f>TEXT(tblLaborEntries[[#This Row],[Work date serial]]-WEEKDAY(tblLaborEntries[[#This Row],[Work date serial]],3),"yyyy-mm-dd")</f>
        <v>2024-07-08</v>
      </c>
      <c r="I3294" s="64">
        <f>DATEVALUE(tblLaborEntries[[#This Row],[Work date]])</f>
        <v>45485.0</v>
      </c>
    </row>
    <row r="3295" spans="1:9" ht="15" x14ac:dyDescent="0.25">
      <c r="A3295" s="53" t="inlineStr">
        <is>
          <t>LAB-003294</t>
        </is>
      </c>
      <c r="B3295" s="53" t="inlineStr">
        <is>
          <t>WP-01454</t>
        </is>
      </c>
      <c r="C3295" s="53" t="inlineStr">
        <is>
          <t>TECH-020</t>
        </is>
      </c>
      <c r="D3295" s="53" t="inlineStr">
        <is>
          <t>Avionics</t>
        </is>
      </c>
      <c r="E3295" s="53" t="inlineStr">
        <is>
          <t>2024-07-13</t>
        </is>
      </c>
      <c r="F3295" s="53">
        <v>8.1</v>
      </c>
      <c r="G3295" s="53">
        <v>0.1</v>
      </c>
      <c r="H3295" s="51" t="str">
        <f>TEXT(tblLaborEntries[[#This Row],[Work date serial]]-WEEKDAY(tblLaborEntries[[#This Row],[Work date serial]],3),"yyyy-mm-dd")</f>
        <v>2024-07-08</v>
      </c>
      <c r="I3295" s="64">
        <f>DATEVALUE(tblLaborEntries[[#This Row],[Work date]])</f>
        <v>45486.0</v>
      </c>
    </row>
    <row r="3296" spans="1:9" ht="15" x14ac:dyDescent="0.25">
      <c r="A3296" s="53" t="inlineStr">
        <is>
          <t>LAB-003295</t>
        </is>
      </c>
      <c r="B3296" s="53" t="inlineStr">
        <is>
          <t>WP-01455</t>
        </is>
      </c>
      <c r="C3296" s="53" t="inlineStr">
        <is>
          <t>TECH-002</t>
        </is>
      </c>
      <c r="D3296" s="53" t="inlineStr">
        <is>
          <t>Avionics</t>
        </is>
      </c>
      <c r="E3296" s="53" t="inlineStr">
        <is>
          <t>2024-02-14</t>
        </is>
      </c>
      <c r="F3296" s="53">
        <v>3.9</v>
      </c>
      <c r="G3296" s="53">
        <v>0</v>
      </c>
      <c r="H3296" s="51" t="str">
        <f>TEXT(tblLaborEntries[[#This Row],[Work date serial]]-WEEKDAY(tblLaborEntries[[#This Row],[Work date serial]],3),"yyyy-mm-dd")</f>
        <v>2024-02-12</v>
      </c>
      <c r="I3296" s="64">
        <f>DATEVALUE(tblLaborEntries[[#This Row],[Work date]])</f>
        <v>45336.0</v>
      </c>
    </row>
    <row r="3297" spans="1:9" ht="15" x14ac:dyDescent="0.25">
      <c r="A3297" s="53" t="inlineStr">
        <is>
          <t>LAB-003296</t>
        </is>
      </c>
      <c r="B3297" s="53" t="inlineStr">
        <is>
          <t>WP-01455</t>
        </is>
      </c>
      <c r="C3297" s="53" t="inlineStr">
        <is>
          <t>TECH-020</t>
        </is>
      </c>
      <c r="D3297" s="53" t="inlineStr">
        <is>
          <t>Avionics</t>
        </is>
      </c>
      <c r="E3297" s="53" t="inlineStr">
        <is>
          <t>2024-02-14</t>
        </is>
      </c>
      <c r="F3297" s="53">
        <v>12</v>
      </c>
      <c r="G3297" s="53">
        <v>4</v>
      </c>
      <c r="H3297" s="51" t="str">
        <f>TEXT(tblLaborEntries[[#This Row],[Work date serial]]-WEEKDAY(tblLaborEntries[[#This Row],[Work date serial]],3),"yyyy-mm-dd")</f>
        <v>2024-02-12</v>
      </c>
      <c r="I3297" s="64">
        <f>DATEVALUE(tblLaborEntries[[#This Row],[Work date]])</f>
        <v>45336.0</v>
      </c>
    </row>
    <row r="3298" spans="1:9" ht="15" x14ac:dyDescent="0.25">
      <c r="A3298" s="53" t="inlineStr">
        <is>
          <t>LAB-003297</t>
        </is>
      </c>
      <c r="B3298" s="53" t="inlineStr">
        <is>
          <t>WP-01455</t>
        </is>
      </c>
      <c r="C3298" s="53" t="inlineStr">
        <is>
          <t>TECH-002</t>
        </is>
      </c>
      <c r="D3298" s="53" t="inlineStr">
        <is>
          <t>Avionics</t>
        </is>
      </c>
      <c r="E3298" s="53" t="inlineStr">
        <is>
          <t>2024-02-15</t>
        </is>
      </c>
      <c r="F3298" s="53">
        <v>2.3</v>
      </c>
      <c r="G3298" s="53">
        <v>0</v>
      </c>
      <c r="H3298" s="51" t="str">
        <f>TEXT(tblLaborEntries[[#This Row],[Work date serial]]-WEEKDAY(tblLaborEntries[[#This Row],[Work date serial]],3),"yyyy-mm-dd")</f>
        <v>2024-02-12</v>
      </c>
      <c r="I3298" s="64">
        <f>DATEVALUE(tblLaborEntries[[#This Row],[Work date]])</f>
        <v>45337.0</v>
      </c>
    </row>
    <row r="3299" spans="1:9" ht="15" x14ac:dyDescent="0.25">
      <c r="A3299" s="53" t="inlineStr">
        <is>
          <t>LAB-003298</t>
        </is>
      </c>
      <c r="B3299" s="53" t="inlineStr">
        <is>
          <t>WP-01455</t>
        </is>
      </c>
      <c r="C3299" s="53" t="inlineStr">
        <is>
          <t>TECH-008</t>
        </is>
      </c>
      <c r="D3299" s="53" t="inlineStr">
        <is>
          <t>Avionics</t>
        </is>
      </c>
      <c r="E3299" s="53" t="inlineStr">
        <is>
          <t>2024-02-15</t>
        </is>
      </c>
      <c r="F3299" s="53">
        <v>12</v>
      </c>
      <c r="G3299" s="53">
        <v>4</v>
      </c>
      <c r="H3299" s="51" t="str">
        <f>TEXT(tblLaborEntries[[#This Row],[Work date serial]]-WEEKDAY(tblLaborEntries[[#This Row],[Work date serial]],3),"yyyy-mm-dd")</f>
        <v>2024-02-12</v>
      </c>
      <c r="I3299" s="64">
        <f>DATEVALUE(tblLaborEntries[[#This Row],[Work date]])</f>
        <v>45337.0</v>
      </c>
    </row>
    <row r="3300" spans="1:9" ht="15" x14ac:dyDescent="0.25">
      <c r="A3300" s="53" t="inlineStr">
        <is>
          <t>LAB-003299</t>
        </is>
      </c>
      <c r="B3300" s="53" t="inlineStr">
        <is>
          <t>WP-01456</t>
        </is>
      </c>
      <c r="C3300" s="53" t="inlineStr">
        <is>
          <t>TECH-066</t>
        </is>
      </c>
      <c r="D3300" s="53" t="inlineStr">
        <is>
          <t>Powerplant</t>
        </is>
      </c>
      <c r="E3300" s="53" t="inlineStr">
        <is>
          <t>2025-07-18</t>
        </is>
      </c>
      <c r="F3300" s="53">
        <v>7.3</v>
      </c>
      <c r="G3300" s="53">
        <v>0</v>
      </c>
      <c r="H3300" s="51" t="str">
        <f>TEXT(tblLaborEntries[[#This Row],[Work date serial]]-WEEKDAY(tblLaborEntries[[#This Row],[Work date serial]],3),"yyyy-mm-dd")</f>
        <v>2025-07-14</v>
      </c>
      <c r="I3300" s="64">
        <f>DATEVALUE(tblLaborEntries[[#This Row],[Work date]])</f>
        <v>45856.0</v>
      </c>
    </row>
    <row r="3301" spans="1:9" ht="15" x14ac:dyDescent="0.25">
      <c r="A3301" s="53" t="inlineStr">
        <is>
          <t>LAB-003300</t>
        </is>
      </c>
      <c r="B3301" s="53" t="inlineStr">
        <is>
          <t>WP-01456</t>
        </is>
      </c>
      <c r="C3301" s="53" t="inlineStr">
        <is>
          <t>TECH-036</t>
        </is>
      </c>
      <c r="D3301" s="53" t="inlineStr">
        <is>
          <t>Powerplant</t>
        </is>
      </c>
      <c r="E3301" s="53" t="inlineStr">
        <is>
          <t>2025-07-19</t>
        </is>
      </c>
      <c r="F3301" s="53">
        <v>7.6</v>
      </c>
      <c r="G3301" s="53">
        <v>0</v>
      </c>
      <c r="H3301" s="51" t="str">
        <f>TEXT(tblLaborEntries[[#This Row],[Work date serial]]-WEEKDAY(tblLaborEntries[[#This Row],[Work date serial]],3),"yyyy-mm-dd")</f>
        <v>2025-07-14</v>
      </c>
      <c r="I3301" s="64">
        <f>DATEVALUE(tblLaborEntries[[#This Row],[Work date]])</f>
        <v>45857.0</v>
      </c>
    </row>
    <row r="3302" spans="1:9" ht="15" x14ac:dyDescent="0.25">
      <c r="A3302" s="53" t="inlineStr">
        <is>
          <t>LAB-003301</t>
        </is>
      </c>
      <c r="B3302" s="53" t="inlineStr">
        <is>
          <t>WP-01457</t>
        </is>
      </c>
      <c r="C3302" s="53" t="inlineStr">
        <is>
          <t>TECH-019</t>
        </is>
      </c>
      <c r="D3302" s="53" t="inlineStr">
        <is>
          <t>Airframe</t>
        </is>
      </c>
      <c r="E3302" s="53" t="inlineStr">
        <is>
          <t>2025-03-30</t>
        </is>
      </c>
      <c r="F3302" s="53">
        <v>1.9</v>
      </c>
      <c r="G3302" s="53">
        <v>0</v>
      </c>
      <c r="H3302" s="51" t="str">
        <f>TEXT(tblLaborEntries[[#This Row],[Work date serial]]-WEEKDAY(tblLaborEntries[[#This Row],[Work date serial]],3),"yyyy-mm-dd")</f>
        <v>2025-03-24</v>
      </c>
      <c r="I3302" s="64">
        <f>DATEVALUE(tblLaborEntries[[#This Row],[Work date]])</f>
        <v>45746.0</v>
      </c>
    </row>
    <row r="3303" spans="1:9" ht="15" x14ac:dyDescent="0.25">
      <c r="A3303" s="53" t="inlineStr">
        <is>
          <t>LAB-003302</t>
        </is>
      </c>
      <c r="B3303" s="53" t="inlineStr">
        <is>
          <t>WP-01457</t>
        </is>
      </c>
      <c r="C3303" s="53" t="inlineStr">
        <is>
          <t>TECH-037</t>
        </is>
      </c>
      <c r="D3303" s="53" t="inlineStr">
        <is>
          <t>Airframe</t>
        </is>
      </c>
      <c r="E3303" s="53" t="inlineStr">
        <is>
          <t>2025-03-31</t>
        </is>
      </c>
      <c r="F3303" s="53">
        <v>2.3</v>
      </c>
      <c r="G3303" s="53">
        <v>0</v>
      </c>
      <c r="H3303" s="51" t="str">
        <f>TEXT(tblLaborEntries[[#This Row],[Work date serial]]-WEEKDAY(tblLaborEntries[[#This Row],[Work date serial]],3),"yyyy-mm-dd")</f>
        <v>2025-03-31</v>
      </c>
      <c r="I3303" s="64">
        <f>DATEVALUE(tblLaborEntries[[#This Row],[Work date]])</f>
        <v>45747.0</v>
      </c>
    </row>
    <row r="3304" spans="1:9" ht="15" x14ac:dyDescent="0.25">
      <c r="A3304" s="53" t="inlineStr">
        <is>
          <t>LAB-003303</t>
        </is>
      </c>
      <c r="B3304" s="53" t="inlineStr">
        <is>
          <t>WP-01458</t>
        </is>
      </c>
      <c r="C3304" s="53" t="inlineStr">
        <is>
          <t>TECH-005</t>
        </is>
      </c>
      <c r="D3304" s="53" t="inlineStr">
        <is>
          <t>Structures</t>
        </is>
      </c>
      <c r="E3304" s="53" t="inlineStr">
        <is>
          <t>2025-09-10</t>
        </is>
      </c>
      <c r="F3304" s="53">
        <v>8</v>
      </c>
      <c r="G3304" s="53">
        <v>0</v>
      </c>
      <c r="H3304" s="51" t="str">
        <f>TEXT(tblLaborEntries[[#This Row],[Work date serial]]-WEEKDAY(tblLaborEntries[[#This Row],[Work date serial]],3),"yyyy-mm-dd")</f>
        <v>2025-09-08</v>
      </c>
      <c r="I3304" s="64">
        <f>DATEVALUE(tblLaborEntries[[#This Row],[Work date]])</f>
        <v>45910.0</v>
      </c>
    </row>
    <row r="3305" spans="1:9" ht="15" x14ac:dyDescent="0.25">
      <c r="A3305" s="53" t="inlineStr">
        <is>
          <t>LAB-003304</t>
        </is>
      </c>
      <c r="B3305" s="53" t="inlineStr">
        <is>
          <t>WP-01458</t>
        </is>
      </c>
      <c r="C3305" s="53" t="inlineStr">
        <is>
          <t>TECH-029</t>
        </is>
      </c>
      <c r="D3305" s="53" t="inlineStr">
        <is>
          <t>Structures</t>
        </is>
      </c>
      <c r="E3305" s="53" t="inlineStr">
        <is>
          <t>2025-09-10</t>
        </is>
      </c>
      <c r="F3305" s="53">
        <v>12</v>
      </c>
      <c r="G3305" s="53">
        <v>4</v>
      </c>
      <c r="H3305" s="51" t="str">
        <f>TEXT(tblLaborEntries[[#This Row],[Work date serial]]-WEEKDAY(tblLaborEntries[[#This Row],[Work date serial]],3),"yyyy-mm-dd")</f>
        <v>2025-09-08</v>
      </c>
      <c r="I3305" s="64">
        <f>DATEVALUE(tblLaborEntries[[#This Row],[Work date]])</f>
        <v>45910.0</v>
      </c>
    </row>
    <row r="3306" spans="1:9" ht="15" x14ac:dyDescent="0.25">
      <c r="A3306" s="53" t="inlineStr">
        <is>
          <t>LAB-003305</t>
        </is>
      </c>
      <c r="B3306" s="53" t="inlineStr">
        <is>
          <t>WP-01458</t>
        </is>
      </c>
      <c r="C3306" s="53" t="inlineStr">
        <is>
          <t>TECH-005</t>
        </is>
      </c>
      <c r="D3306" s="53" t="inlineStr">
        <is>
          <t>Structures</t>
        </is>
      </c>
      <c r="E3306" s="53" t="inlineStr">
        <is>
          <t>2025-09-11</t>
        </is>
      </c>
      <c r="F3306" s="53">
        <v>11.7</v>
      </c>
      <c r="G3306" s="53">
        <v>3.7</v>
      </c>
      <c r="H3306" s="51" t="str">
        <f>TEXT(tblLaborEntries[[#This Row],[Work date serial]]-WEEKDAY(tblLaborEntries[[#This Row],[Work date serial]],3),"yyyy-mm-dd")</f>
        <v>2025-09-08</v>
      </c>
      <c r="I3306" s="64">
        <f>DATEVALUE(tblLaborEntries[[#This Row],[Work date]])</f>
        <v>45911.0</v>
      </c>
    </row>
    <row r="3307" spans="1:9" ht="15" x14ac:dyDescent="0.25">
      <c r="A3307" s="53" t="inlineStr">
        <is>
          <t>LAB-003306</t>
        </is>
      </c>
      <c r="B3307" s="53" t="inlineStr">
        <is>
          <t>WP-01458</t>
        </is>
      </c>
      <c r="C3307" s="53" t="inlineStr">
        <is>
          <t>TECH-065</t>
        </is>
      </c>
      <c r="D3307" s="53" t="inlineStr">
        <is>
          <t>Structures</t>
        </is>
      </c>
      <c r="E3307" s="53" t="inlineStr">
        <is>
          <t>2025-09-11</t>
        </is>
      </c>
      <c r="F3307" s="53">
        <v>12</v>
      </c>
      <c r="G3307" s="53">
        <v>4</v>
      </c>
      <c r="H3307" s="51" t="str">
        <f>TEXT(tblLaborEntries[[#This Row],[Work date serial]]-WEEKDAY(tblLaborEntries[[#This Row],[Work date serial]],3),"yyyy-mm-dd")</f>
        <v>2025-09-08</v>
      </c>
      <c r="I3307" s="64">
        <f>DATEVALUE(tblLaborEntries[[#This Row],[Work date]])</f>
        <v>45911.0</v>
      </c>
    </row>
    <row r="3308" spans="1:9" ht="15" x14ac:dyDescent="0.25">
      <c r="A3308" s="53" t="inlineStr">
        <is>
          <t>LAB-003307</t>
        </is>
      </c>
      <c r="B3308" s="53" t="inlineStr">
        <is>
          <t>WP-01459</t>
        </is>
      </c>
      <c r="C3308" s="53" t="inlineStr">
        <is>
          <t>TECH-037</t>
        </is>
      </c>
      <c r="D3308" s="53" t="inlineStr">
        <is>
          <t>Airframe</t>
        </is>
      </c>
      <c r="E3308" s="53" t="inlineStr">
        <is>
          <t>2025-07-07</t>
        </is>
      </c>
      <c r="F3308" s="53">
        <v>2.8</v>
      </c>
      <c r="G3308" s="53">
        <v>0</v>
      </c>
      <c r="H3308" s="51" t="str">
        <f>TEXT(tblLaborEntries[[#This Row],[Work date serial]]-WEEKDAY(tblLaborEntries[[#This Row],[Work date serial]],3),"yyyy-mm-dd")</f>
        <v>2025-07-07</v>
      </c>
      <c r="I3308" s="64">
        <f>DATEVALUE(tblLaborEntries[[#This Row],[Work date]])</f>
        <v>45845.0</v>
      </c>
    </row>
    <row r="3309" spans="1:9" ht="15" x14ac:dyDescent="0.25">
      <c r="A3309" s="53" t="inlineStr">
        <is>
          <t>LAB-003308</t>
        </is>
      </c>
      <c r="B3309" s="53" t="inlineStr">
        <is>
          <t>WP-01459</t>
        </is>
      </c>
      <c r="C3309" s="53" t="inlineStr">
        <is>
          <t>TECH-055</t>
        </is>
      </c>
      <c r="D3309" s="53" t="inlineStr">
        <is>
          <t>Airframe</t>
        </is>
      </c>
      <c r="E3309" s="53" t="inlineStr">
        <is>
          <t>2025-07-08</t>
        </is>
      </c>
      <c r="F3309" s="53">
        <v>3.6</v>
      </c>
      <c r="G3309" s="53">
        <v>1</v>
      </c>
      <c r="H3309" s="51" t="str">
        <f>TEXT(tblLaborEntries[[#This Row],[Work date serial]]-WEEKDAY(tblLaborEntries[[#This Row],[Work date serial]],3),"yyyy-mm-dd")</f>
        <v>2025-07-07</v>
      </c>
      <c r="I3309" s="64">
        <f>DATEVALUE(tblLaborEntries[[#This Row],[Work date]])</f>
        <v>45846.0</v>
      </c>
    </row>
    <row r="3310" spans="1:9" ht="15" x14ac:dyDescent="0.25">
      <c r="A3310" s="53" t="inlineStr">
        <is>
          <t>LAB-003309</t>
        </is>
      </c>
      <c r="B3310" s="53" t="inlineStr">
        <is>
          <t>WP-01459</t>
        </is>
      </c>
      <c r="C3310" s="53" t="inlineStr">
        <is>
          <t>TECH-049</t>
        </is>
      </c>
      <c r="D3310" s="53" t="inlineStr">
        <is>
          <t>Airframe</t>
        </is>
      </c>
      <c r="E3310" s="53" t="inlineStr">
        <is>
          <t>2025-07-09</t>
        </is>
      </c>
      <c r="F3310" s="53">
        <v>2.9</v>
      </c>
      <c r="G3310" s="53">
        <v>0</v>
      </c>
      <c r="H3310" s="51" t="str">
        <f>TEXT(tblLaborEntries[[#This Row],[Work date serial]]-WEEKDAY(tblLaborEntries[[#This Row],[Work date serial]],3),"yyyy-mm-dd")</f>
        <v>2025-07-07</v>
      </c>
      <c r="I3310" s="64">
        <f>DATEVALUE(tblLaborEntries[[#This Row],[Work date]])</f>
        <v>45847.0</v>
      </c>
    </row>
    <row r="3311" spans="1:9" ht="15" x14ac:dyDescent="0.25">
      <c r="A3311" s="53" t="inlineStr">
        <is>
          <t>LAB-003310</t>
        </is>
      </c>
      <c r="B3311" s="53" t="inlineStr">
        <is>
          <t>WP-01460</t>
        </is>
      </c>
      <c r="C3311" s="53" t="inlineStr">
        <is>
          <t>TECH-062</t>
        </is>
      </c>
      <c r="D3311" s="53" t="inlineStr">
        <is>
          <t>Avionics</t>
        </is>
      </c>
      <c r="E3311" s="53" t="inlineStr">
        <is>
          <t>2025-11-17</t>
        </is>
      </c>
      <c r="F3311" s="53">
        <v>3.6</v>
      </c>
      <c r="G3311" s="53">
        <v>0</v>
      </c>
      <c r="H3311" s="51" t="str">
        <f>TEXT(tblLaborEntries[[#This Row],[Work date serial]]-WEEKDAY(tblLaborEntries[[#This Row],[Work date serial]],3),"yyyy-mm-dd")</f>
        <v>2025-11-17</v>
      </c>
      <c r="I3311" s="64">
        <f>DATEVALUE(tblLaborEntries[[#This Row],[Work date]])</f>
        <v>45978.0</v>
      </c>
    </row>
    <row r="3312" spans="1:9" ht="15" x14ac:dyDescent="0.25">
      <c r="A3312" s="53" t="inlineStr">
        <is>
          <t>LAB-003311</t>
        </is>
      </c>
      <c r="B3312" s="53" t="inlineStr">
        <is>
          <t>WP-01461</t>
        </is>
      </c>
      <c r="C3312" s="53" t="inlineStr">
        <is>
          <t>TECH-044</t>
        </is>
      </c>
      <c r="D3312" s="53" t="inlineStr">
        <is>
          <t>Avionics</t>
        </is>
      </c>
      <c r="E3312" s="53" t="inlineStr">
        <is>
          <t>2025-06-25</t>
        </is>
      </c>
      <c r="F3312" s="53">
        <v>6.3</v>
      </c>
      <c r="G3312" s="53">
        <v>0</v>
      </c>
      <c r="H3312" s="51" t="str">
        <f>TEXT(tblLaborEntries[[#This Row],[Work date serial]]-WEEKDAY(tblLaborEntries[[#This Row],[Work date serial]],3),"yyyy-mm-dd")</f>
        <v>2025-06-23</v>
      </c>
      <c r="I3312" s="64">
        <f>DATEVALUE(tblLaborEntries[[#This Row],[Work date]])</f>
        <v>45833.0</v>
      </c>
    </row>
    <row r="3313" spans="1:9" ht="15" x14ac:dyDescent="0.25">
      <c r="A3313" s="53" t="inlineStr">
        <is>
          <t>LAB-003312</t>
        </is>
      </c>
      <c r="B3313" s="53" t="inlineStr">
        <is>
          <t>WP-01461</t>
        </is>
      </c>
      <c r="C3313" s="53" t="inlineStr">
        <is>
          <t>TECH-062</t>
        </is>
      </c>
      <c r="D3313" s="53" t="inlineStr">
        <is>
          <t>Avionics</t>
        </is>
      </c>
      <c r="E3313" s="53" t="inlineStr">
        <is>
          <t>2025-06-26</t>
        </is>
      </c>
      <c r="F3313" s="53">
        <v>5.5</v>
      </c>
      <c r="G3313" s="53">
        <v>0</v>
      </c>
      <c r="H3313" s="51" t="str">
        <f>TEXT(tblLaborEntries[[#This Row],[Work date serial]]-WEEKDAY(tblLaborEntries[[#This Row],[Work date serial]],3),"yyyy-mm-dd")</f>
        <v>2025-06-23</v>
      </c>
      <c r="I3313" s="64">
        <f>DATEVALUE(tblLaborEntries[[#This Row],[Work date]])</f>
        <v>45834.0</v>
      </c>
    </row>
    <row r="3314" spans="1:9" ht="15" x14ac:dyDescent="0.25">
      <c r="A3314" s="53" t="inlineStr">
        <is>
          <t>LAB-003313</t>
        </is>
      </c>
      <c r="B3314" s="53" t="inlineStr">
        <is>
          <t>WP-01462</t>
        </is>
      </c>
      <c r="C3314" s="53" t="inlineStr">
        <is>
          <t>TECH-005</t>
        </is>
      </c>
      <c r="D3314" s="53" t="inlineStr">
        <is>
          <t>Structures</t>
        </is>
      </c>
      <c r="E3314" s="53" t="inlineStr">
        <is>
          <t>2024-01-28</t>
        </is>
      </c>
      <c r="F3314" s="53">
        <v>1.1</v>
      </c>
      <c r="G3314" s="53">
        <v>0</v>
      </c>
      <c r="H3314" s="51" t="str">
        <f>TEXT(tblLaborEntries[[#This Row],[Work date serial]]-WEEKDAY(tblLaborEntries[[#This Row],[Work date serial]],3),"yyyy-mm-dd")</f>
        <v>2024-01-22</v>
      </c>
      <c r="I3314" s="64">
        <f>DATEVALUE(tblLaborEntries[[#This Row],[Work date]])</f>
        <v>45319.0</v>
      </c>
    </row>
    <row r="3315" spans="1:9" ht="15" x14ac:dyDescent="0.25">
      <c r="A3315" s="53" t="inlineStr">
        <is>
          <t>LAB-003314</t>
        </is>
      </c>
      <c r="B3315" s="53" t="inlineStr">
        <is>
          <t>WP-01462</t>
        </is>
      </c>
      <c r="C3315" s="53" t="inlineStr">
        <is>
          <t>TECH-071</t>
        </is>
      </c>
      <c r="D3315" s="53" t="inlineStr">
        <is>
          <t>Structures</t>
        </is>
      </c>
      <c r="E3315" s="53" t="inlineStr">
        <is>
          <t>2024-01-28</t>
        </is>
      </c>
      <c r="F3315" s="53">
        <v>12</v>
      </c>
      <c r="G3315" s="53">
        <v>4</v>
      </c>
      <c r="H3315" s="51" t="str">
        <f>TEXT(tblLaborEntries[[#This Row],[Work date serial]]-WEEKDAY(tblLaborEntries[[#This Row],[Work date serial]],3),"yyyy-mm-dd")</f>
        <v>2024-01-22</v>
      </c>
      <c r="I3315" s="64">
        <f>DATEVALUE(tblLaborEntries[[#This Row],[Work date]])</f>
        <v>45319.0</v>
      </c>
    </row>
    <row r="3316" spans="1:9" ht="15" x14ac:dyDescent="0.25">
      <c r="A3316" s="53" t="inlineStr">
        <is>
          <t>LAB-003315</t>
        </is>
      </c>
      <c r="B3316" s="53" t="inlineStr">
        <is>
          <t>WP-01462</t>
        </is>
      </c>
      <c r="C3316" s="53" t="inlineStr">
        <is>
          <t>TECH-005</t>
        </is>
      </c>
      <c r="D3316" s="53" t="inlineStr">
        <is>
          <t>Structures</t>
        </is>
      </c>
      <c r="E3316" s="53" t="inlineStr">
        <is>
          <t>2024-01-29</t>
        </is>
      </c>
      <c r="F3316" s="53">
        <v>1.2</v>
      </c>
      <c r="G3316" s="53">
        <v>0</v>
      </c>
      <c r="H3316" s="51" t="str">
        <f>TEXT(tblLaborEntries[[#This Row],[Work date serial]]-WEEKDAY(tblLaborEntries[[#This Row],[Work date serial]],3),"yyyy-mm-dd")</f>
        <v>2024-01-29</v>
      </c>
      <c r="I3316" s="64">
        <f>DATEVALUE(tblLaborEntries[[#This Row],[Work date]])</f>
        <v>45320.0</v>
      </c>
    </row>
    <row r="3317" spans="1:9" ht="15" x14ac:dyDescent="0.25">
      <c r="A3317" s="53" t="inlineStr">
        <is>
          <t>LAB-003316</t>
        </is>
      </c>
      <c r="B3317" s="53" t="inlineStr">
        <is>
          <t>WP-01462</t>
        </is>
      </c>
      <c r="C3317" s="53" t="inlineStr">
        <is>
          <t>TECH-065</t>
        </is>
      </c>
      <c r="D3317" s="53" t="inlineStr">
        <is>
          <t>Structures</t>
        </is>
      </c>
      <c r="E3317" s="53" t="inlineStr">
        <is>
          <t>2024-01-29</t>
        </is>
      </c>
      <c r="F3317" s="53">
        <v>12</v>
      </c>
      <c r="G3317" s="53">
        <v>4</v>
      </c>
      <c r="H3317" s="51" t="str">
        <f>TEXT(tblLaborEntries[[#This Row],[Work date serial]]-WEEKDAY(tblLaborEntries[[#This Row],[Work date serial]],3),"yyyy-mm-dd")</f>
        <v>2024-01-29</v>
      </c>
      <c r="I3317" s="64">
        <f>DATEVALUE(tblLaborEntries[[#This Row],[Work date]])</f>
        <v>45320.0</v>
      </c>
    </row>
    <row r="3318" spans="1:9" ht="15" x14ac:dyDescent="0.25">
      <c r="A3318" s="53" t="inlineStr">
        <is>
          <t>LAB-003317</t>
        </is>
      </c>
      <c r="B3318" s="53" t="inlineStr">
        <is>
          <t>WP-01463</t>
        </is>
      </c>
      <c r="C3318" s="53" t="inlineStr">
        <is>
          <t>TECH-055</t>
        </is>
      </c>
      <c r="D3318" s="53" t="inlineStr">
        <is>
          <t>Airframe</t>
        </is>
      </c>
      <c r="E3318" s="53" t="inlineStr">
        <is>
          <t>2024-05-08</t>
        </is>
      </c>
      <c r="F3318" s="53">
        <v>5.5</v>
      </c>
      <c r="G3318" s="53">
        <v>0</v>
      </c>
      <c r="H3318" s="51" t="str">
        <f>TEXT(tblLaborEntries[[#This Row],[Work date serial]]-WEEKDAY(tblLaborEntries[[#This Row],[Work date serial]],3),"yyyy-mm-dd")</f>
        <v>2024-05-06</v>
      </c>
      <c r="I3318" s="64">
        <f>DATEVALUE(tblLaborEntries[[#This Row],[Work date]])</f>
        <v>45420.0</v>
      </c>
    </row>
    <row r="3319" spans="1:9" ht="15" x14ac:dyDescent="0.25">
      <c r="A3319" s="53" t="inlineStr">
        <is>
          <t>LAB-003318</t>
        </is>
      </c>
      <c r="B3319" s="53" t="inlineStr">
        <is>
          <t>WP-01463</t>
        </is>
      </c>
      <c r="C3319" s="53" t="inlineStr">
        <is>
          <t>TECH-055</t>
        </is>
      </c>
      <c r="D3319" s="53" t="inlineStr">
        <is>
          <t>Airframe</t>
        </is>
      </c>
      <c r="E3319" s="53" t="inlineStr">
        <is>
          <t>2024-05-09</t>
        </is>
      </c>
      <c r="F3319" s="53">
        <v>6</v>
      </c>
      <c r="G3319" s="53">
        <v>0</v>
      </c>
      <c r="H3319" s="51" t="str">
        <f>TEXT(tblLaborEntries[[#This Row],[Work date serial]]-WEEKDAY(tblLaborEntries[[#This Row],[Work date serial]],3),"yyyy-mm-dd")</f>
        <v>2024-05-06</v>
      </c>
      <c r="I3319" s="64">
        <f>DATEVALUE(tblLaborEntries[[#This Row],[Work date]])</f>
        <v>45421.0</v>
      </c>
    </row>
    <row r="3320" spans="1:9" ht="15" x14ac:dyDescent="0.25">
      <c r="A3320" s="53" t="inlineStr">
        <is>
          <t>LAB-003319</t>
        </is>
      </c>
      <c r="B3320" s="53" t="inlineStr">
        <is>
          <t>WP-01464</t>
        </is>
      </c>
      <c r="C3320" s="53" t="inlineStr">
        <is>
          <t>TECH-066</t>
        </is>
      </c>
      <c r="D3320" s="53" t="inlineStr">
        <is>
          <t>Powerplant</t>
        </is>
      </c>
      <c r="E3320" s="53" t="inlineStr">
        <is>
          <t>2024-07-16</t>
        </is>
      </c>
      <c r="F3320" s="53">
        <v>10.8</v>
      </c>
      <c r="G3320" s="53">
        <v>2.8</v>
      </c>
      <c r="H3320" s="51" t="str">
        <f>TEXT(tblLaborEntries[[#This Row],[Work date serial]]-WEEKDAY(tblLaborEntries[[#This Row],[Work date serial]],3),"yyyy-mm-dd")</f>
        <v>2024-07-15</v>
      </c>
      <c r="I3320" s="64">
        <f>DATEVALUE(tblLaborEntries[[#This Row],[Work date]])</f>
        <v>45489.0</v>
      </c>
    </row>
    <row r="3321" spans="1:9" ht="15" x14ac:dyDescent="0.25">
      <c r="A3321" s="53" t="inlineStr">
        <is>
          <t>LAB-003320</t>
        </is>
      </c>
      <c r="B3321" s="53" t="inlineStr">
        <is>
          <t>WP-01465</t>
        </is>
      </c>
      <c r="C3321" s="53" t="inlineStr">
        <is>
          <t>TECH-012</t>
        </is>
      </c>
      <c r="D3321" s="53" t="inlineStr">
        <is>
          <t>Powerplant</t>
        </is>
      </c>
      <c r="E3321" s="53" t="inlineStr">
        <is>
          <t>2024-08-13</t>
        </is>
      </c>
      <c r="F3321" s="53">
        <v>6.1</v>
      </c>
      <c r="G3321" s="53">
        <v>4</v>
      </c>
      <c r="H3321" s="51" t="str">
        <f>TEXT(tblLaborEntries[[#This Row],[Work date serial]]-WEEKDAY(tblLaborEntries[[#This Row],[Work date serial]],3),"yyyy-mm-dd")</f>
        <v>2024-08-12</v>
      </c>
      <c r="I3321" s="64">
        <f>DATEVALUE(tblLaborEntries[[#This Row],[Work date]])</f>
        <v>45517.0</v>
      </c>
    </row>
    <row r="3322" spans="1:9" ht="15" x14ac:dyDescent="0.25">
      <c r="A3322" s="53" t="inlineStr">
        <is>
          <t>LAB-003321</t>
        </is>
      </c>
      <c r="B3322" s="53" t="inlineStr">
        <is>
          <t>WP-01465</t>
        </is>
      </c>
      <c r="C3322" s="53" t="inlineStr">
        <is>
          <t>TECH-060</t>
        </is>
      </c>
      <c r="D3322" s="53" t="inlineStr">
        <is>
          <t>Powerplant</t>
        </is>
      </c>
      <c r="E3322" s="53" t="inlineStr">
        <is>
          <t>2024-08-14</t>
        </is>
      </c>
      <c r="F3322" s="53">
        <v>7.8</v>
      </c>
      <c r="G3322" s="53">
        <v>0</v>
      </c>
      <c r="H3322" s="51" t="str">
        <f>TEXT(tblLaborEntries[[#This Row],[Work date serial]]-WEEKDAY(tblLaborEntries[[#This Row],[Work date serial]],3),"yyyy-mm-dd")</f>
        <v>2024-08-12</v>
      </c>
      <c r="I3322" s="64">
        <f>DATEVALUE(tblLaborEntries[[#This Row],[Work date]])</f>
        <v>45518.0</v>
      </c>
    </row>
    <row r="3323" spans="1:9" ht="15" x14ac:dyDescent="0.25">
      <c r="A3323" s="53" t="inlineStr">
        <is>
          <t>LAB-003322</t>
        </is>
      </c>
      <c r="B3323" s="53" t="inlineStr">
        <is>
          <t>WP-01466</t>
        </is>
      </c>
      <c r="C3323" s="53" t="inlineStr">
        <is>
          <t>TECH-004</t>
        </is>
      </c>
      <c r="D3323" s="53" t="inlineStr">
        <is>
          <t>Electrical</t>
        </is>
      </c>
      <c r="E3323" s="53" t="inlineStr">
        <is>
          <t>2025-01-31</t>
        </is>
      </c>
      <c r="F3323" s="53">
        <v>7.5</v>
      </c>
      <c r="G3323" s="53">
        <v>0</v>
      </c>
      <c r="H3323" s="51" t="str">
        <f>TEXT(tblLaborEntries[[#This Row],[Work date serial]]-WEEKDAY(tblLaborEntries[[#This Row],[Work date serial]],3),"yyyy-mm-dd")</f>
        <v>2025-01-27</v>
      </c>
      <c r="I3323" s="64">
        <f>DATEVALUE(tblLaborEntries[[#This Row],[Work date]])</f>
        <v>45688.0</v>
      </c>
    </row>
    <row r="3324" spans="1:9" ht="15" x14ac:dyDescent="0.25">
      <c r="A3324" s="53" t="inlineStr">
        <is>
          <t>LAB-003323</t>
        </is>
      </c>
      <c r="B3324" s="53" t="inlineStr">
        <is>
          <t>WP-01466</t>
        </is>
      </c>
      <c r="C3324" s="53" t="inlineStr">
        <is>
          <t>TECH-046</t>
        </is>
      </c>
      <c r="D3324" s="53" t="inlineStr">
        <is>
          <t>Electrical</t>
        </is>
      </c>
      <c r="E3324" s="53" t="inlineStr">
        <is>
          <t>2025-01-31</t>
        </is>
      </c>
      <c r="F3324" s="53">
        <v>12</v>
      </c>
      <c r="G3324" s="53">
        <v>4</v>
      </c>
      <c r="H3324" s="51" t="str">
        <f>TEXT(tblLaborEntries[[#This Row],[Work date serial]]-WEEKDAY(tblLaborEntries[[#This Row],[Work date serial]],3),"yyyy-mm-dd")</f>
        <v>2025-01-27</v>
      </c>
      <c r="I3324" s="64">
        <f>DATEVALUE(tblLaborEntries[[#This Row],[Work date]])</f>
        <v>45688.0</v>
      </c>
    </row>
    <row r="3325" spans="1:9" ht="15" x14ac:dyDescent="0.25">
      <c r="A3325" s="53" t="inlineStr">
        <is>
          <t>LAB-003324</t>
        </is>
      </c>
      <c r="B3325" s="53" t="inlineStr">
        <is>
          <t>WP-01467</t>
        </is>
      </c>
      <c r="C3325" s="53" t="inlineStr">
        <is>
          <t>TECH-003</t>
        </is>
      </c>
      <c r="D3325" s="53" t="inlineStr">
        <is>
          <t>Hydraulics</t>
        </is>
      </c>
      <c r="E3325" s="53" t="inlineStr">
        <is>
          <t>2024-11-13</t>
        </is>
      </c>
      <c r="F3325" s="53">
        <v>12</v>
      </c>
      <c r="G3325" s="53">
        <v>4</v>
      </c>
      <c r="H3325" s="51" t="str">
        <f>TEXT(tblLaborEntries[[#This Row],[Work date serial]]-WEEKDAY(tblLaborEntries[[#This Row],[Work date serial]],3),"yyyy-mm-dd")</f>
        <v>2024-11-11</v>
      </c>
      <c r="I3325" s="64">
        <f>DATEVALUE(tblLaborEntries[[#This Row],[Work date]])</f>
        <v>45609.0</v>
      </c>
    </row>
    <row r="3326" spans="1:9" ht="15" x14ac:dyDescent="0.25">
      <c r="A3326" s="53" t="inlineStr">
        <is>
          <t>LAB-003325</t>
        </is>
      </c>
      <c r="B3326" s="53" t="inlineStr">
        <is>
          <t>WP-01467</t>
        </is>
      </c>
      <c r="C3326" s="53" t="inlineStr">
        <is>
          <t>TECH-009</t>
        </is>
      </c>
      <c r="D3326" s="53" t="inlineStr">
        <is>
          <t>Hydraulics</t>
        </is>
      </c>
      <c r="E3326" s="53" t="inlineStr">
        <is>
          <t>2024-11-13</t>
        </is>
      </c>
      <c r="F3326" s="53">
        <v>0.2</v>
      </c>
      <c r="G3326" s="53">
        <v>0</v>
      </c>
      <c r="H3326" s="51" t="str">
        <f>TEXT(tblLaborEntries[[#This Row],[Work date serial]]-WEEKDAY(tblLaborEntries[[#This Row],[Work date serial]],3),"yyyy-mm-dd")</f>
        <v>2024-11-11</v>
      </c>
      <c r="I3326" s="64">
        <f>DATEVALUE(tblLaborEntries[[#This Row],[Work date]])</f>
        <v>45609.0</v>
      </c>
    </row>
    <row r="3327" spans="1:9" ht="15" x14ac:dyDescent="0.25">
      <c r="A3327" s="53" t="inlineStr">
        <is>
          <t>LAB-003326</t>
        </is>
      </c>
      <c r="B3327" s="53" t="inlineStr">
        <is>
          <t>WP-01468</t>
        </is>
      </c>
      <c r="C3327" s="53" t="inlineStr">
        <is>
          <t>TECH-024</t>
        </is>
      </c>
      <c r="D3327" s="53" t="inlineStr">
        <is>
          <t>Powerplant</t>
        </is>
      </c>
      <c r="E3327" s="53" t="inlineStr">
        <is>
          <t>2024-12-21</t>
        </is>
      </c>
      <c r="F3327" s="53">
        <v>2.4</v>
      </c>
      <c r="G3327" s="53">
        <v>0</v>
      </c>
      <c r="H3327" s="51" t="str">
        <f>TEXT(tblLaborEntries[[#This Row],[Work date serial]]-WEEKDAY(tblLaborEntries[[#This Row],[Work date serial]],3),"yyyy-mm-dd")</f>
        <v>2024-12-16</v>
      </c>
      <c r="I3327" s="64">
        <f>DATEVALUE(tblLaborEntries[[#This Row],[Work date]])</f>
        <v>45647.0</v>
      </c>
    </row>
    <row r="3328" spans="1:9" ht="15" x14ac:dyDescent="0.25">
      <c r="A3328" s="53" t="inlineStr">
        <is>
          <t>LAB-003327</t>
        </is>
      </c>
      <c r="B3328" s="53" t="inlineStr">
        <is>
          <t>WP-01468</t>
        </is>
      </c>
      <c r="C3328" s="53" t="inlineStr">
        <is>
          <t>TECH-006</t>
        </is>
      </c>
      <c r="D3328" s="53" t="inlineStr">
        <is>
          <t>Powerplant</t>
        </is>
      </c>
      <c r="E3328" s="53" t="inlineStr">
        <is>
          <t>2024-12-22</t>
        </is>
      </c>
      <c r="F3328" s="53">
        <v>2.7</v>
      </c>
      <c r="G3328" s="53">
        <v>0</v>
      </c>
      <c r="H3328" s="51" t="str">
        <f>TEXT(tblLaborEntries[[#This Row],[Work date serial]]-WEEKDAY(tblLaborEntries[[#This Row],[Work date serial]],3),"yyyy-mm-dd")</f>
        <v>2024-12-16</v>
      </c>
      <c r="I3328" s="64">
        <f>DATEVALUE(tblLaborEntries[[#This Row],[Work date]])</f>
        <v>45648.0</v>
      </c>
    </row>
    <row r="3329" spans="1:9" ht="15" x14ac:dyDescent="0.25">
      <c r="A3329" s="53" t="inlineStr">
        <is>
          <t>LAB-003328</t>
        </is>
      </c>
      <c r="B3329" s="53" t="inlineStr">
        <is>
          <t>WP-01468</t>
        </is>
      </c>
      <c r="C3329" s="53" t="inlineStr">
        <is>
          <t>TECH-042</t>
        </is>
      </c>
      <c r="D3329" s="53" t="inlineStr">
        <is>
          <t>Powerplant</t>
        </is>
      </c>
      <c r="E3329" s="53" t="inlineStr">
        <is>
          <t>2024-12-23</t>
        </is>
      </c>
      <c r="F3329" s="53">
        <v>3.7</v>
      </c>
      <c r="G3329" s="53">
        <v>0</v>
      </c>
      <c r="H3329" s="51" t="str">
        <f>TEXT(tblLaborEntries[[#This Row],[Work date serial]]-WEEKDAY(tblLaborEntries[[#This Row],[Work date serial]],3),"yyyy-mm-dd")</f>
        <v>2024-12-23</v>
      </c>
      <c r="I3329" s="64">
        <f>DATEVALUE(tblLaborEntries[[#This Row],[Work date]])</f>
        <v>45649.0</v>
      </c>
    </row>
    <row r="3330" spans="1:9" ht="15" x14ac:dyDescent="0.25">
      <c r="A3330" s="53" t="inlineStr">
        <is>
          <t>LAB-003329</t>
        </is>
      </c>
      <c r="B3330" s="53" t="inlineStr">
        <is>
          <t>WP-01469</t>
        </is>
      </c>
      <c r="C3330" s="53" t="inlineStr">
        <is>
          <t>TECH-055</t>
        </is>
      </c>
      <c r="D3330" s="53" t="inlineStr">
        <is>
          <t>Airframe</t>
        </is>
      </c>
      <c r="E3330" s="53" t="inlineStr">
        <is>
          <t>2025-10-08</t>
        </is>
      </c>
      <c r="F3330" s="53">
        <v>9.2</v>
      </c>
      <c r="G3330" s="53">
        <v>1.2</v>
      </c>
      <c r="H3330" s="51" t="str">
        <f>TEXT(tblLaborEntries[[#This Row],[Work date serial]]-WEEKDAY(tblLaborEntries[[#This Row],[Work date serial]],3),"yyyy-mm-dd")</f>
        <v>2025-10-06</v>
      </c>
      <c r="I3330" s="64">
        <f>DATEVALUE(tblLaborEntries[[#This Row],[Work date]])</f>
        <v>45938.0</v>
      </c>
    </row>
    <row r="3331" spans="1:9" ht="15" x14ac:dyDescent="0.25">
      <c r="A3331" s="53" t="inlineStr">
        <is>
          <t>LAB-003330</t>
        </is>
      </c>
      <c r="B3331" s="53" t="inlineStr">
        <is>
          <t>WP-01469</t>
        </is>
      </c>
      <c r="C3331" s="53" t="inlineStr">
        <is>
          <t>TECH-037</t>
        </is>
      </c>
      <c r="D3331" s="53" t="inlineStr">
        <is>
          <t>Airframe</t>
        </is>
      </c>
      <c r="E3331" s="53" t="inlineStr">
        <is>
          <t>2025-10-09</t>
        </is>
      </c>
      <c r="F3331" s="53">
        <v>7.2</v>
      </c>
      <c r="G3331" s="53">
        <v>0</v>
      </c>
      <c r="H3331" s="51" t="str">
        <f>TEXT(tblLaborEntries[[#This Row],[Work date serial]]-WEEKDAY(tblLaborEntries[[#This Row],[Work date serial]],3),"yyyy-mm-dd")</f>
        <v>2025-10-06</v>
      </c>
      <c r="I3331" s="64">
        <f>DATEVALUE(tblLaborEntries[[#This Row],[Work date]])</f>
        <v>45939.0</v>
      </c>
    </row>
    <row r="3332" spans="1:9" ht="15" x14ac:dyDescent="0.25">
      <c r="A3332" s="53" t="inlineStr">
        <is>
          <t>LAB-003331</t>
        </is>
      </c>
      <c r="B3332" s="53" t="inlineStr">
        <is>
          <t>WP-01470</t>
        </is>
      </c>
      <c r="C3332" s="53" t="inlineStr">
        <is>
          <t>TECH-044</t>
        </is>
      </c>
      <c r="D3332" s="53" t="inlineStr">
        <is>
          <t>Avionics</t>
        </is>
      </c>
      <c r="E3332" s="53" t="inlineStr">
        <is>
          <t>2025-07-18</t>
        </is>
      </c>
      <c r="F3332" s="53">
        <v>10.5</v>
      </c>
      <c r="G3332" s="53">
        <v>2.5</v>
      </c>
      <c r="H3332" s="51" t="str">
        <f>TEXT(tblLaborEntries[[#This Row],[Work date serial]]-WEEKDAY(tblLaborEntries[[#This Row],[Work date serial]],3),"yyyy-mm-dd")</f>
        <v>2025-07-14</v>
      </c>
      <c r="I3332" s="64">
        <f>DATEVALUE(tblLaborEntries[[#This Row],[Work date]])</f>
        <v>45856.0</v>
      </c>
    </row>
    <row r="3333" spans="1:9" ht="15" x14ac:dyDescent="0.25">
      <c r="A3333" s="53" t="inlineStr">
        <is>
          <t>LAB-003332</t>
        </is>
      </c>
      <c r="B3333" s="53" t="inlineStr">
        <is>
          <t>WP-01470</t>
        </is>
      </c>
      <c r="C3333" s="53" t="inlineStr">
        <is>
          <t>TECH-002</t>
        </is>
      </c>
      <c r="D3333" s="53" t="inlineStr">
        <is>
          <t>Avionics</t>
        </is>
      </c>
      <c r="E3333" s="53" t="inlineStr">
        <is>
          <t>2025-07-19</t>
        </is>
      </c>
      <c r="F3333" s="53">
        <v>4.9</v>
      </c>
      <c r="G3333" s="53">
        <v>0</v>
      </c>
      <c r="H3333" s="51" t="str">
        <f>TEXT(tblLaborEntries[[#This Row],[Work date serial]]-WEEKDAY(tblLaborEntries[[#This Row],[Work date serial]],3),"yyyy-mm-dd")</f>
        <v>2025-07-14</v>
      </c>
      <c r="I3333" s="64">
        <f>DATEVALUE(tblLaborEntries[[#This Row],[Work date]])</f>
        <v>45857.0</v>
      </c>
    </row>
    <row r="3334" spans="1:9" ht="15" x14ac:dyDescent="0.25">
      <c r="A3334" s="53" t="inlineStr">
        <is>
          <t>LAB-003333</t>
        </is>
      </c>
      <c r="B3334" s="53" t="inlineStr">
        <is>
          <t>WP-01470</t>
        </is>
      </c>
      <c r="C3334" s="53" t="inlineStr">
        <is>
          <t>TECH-026</t>
        </is>
      </c>
      <c r="D3334" s="53" t="inlineStr">
        <is>
          <t>Avionics</t>
        </is>
      </c>
      <c r="E3334" s="53" t="inlineStr">
        <is>
          <t>2025-07-19</t>
        </is>
      </c>
      <c r="F3334" s="53">
        <v>8.3</v>
      </c>
      <c r="G3334" s="53">
        <v>4</v>
      </c>
      <c r="H3334" s="51" t="str">
        <f>TEXT(tblLaborEntries[[#This Row],[Work date serial]]-WEEKDAY(tblLaborEntries[[#This Row],[Work date serial]],3),"yyyy-mm-dd")</f>
        <v>2025-07-14</v>
      </c>
      <c r="I3334" s="64">
        <f>DATEVALUE(tblLaborEntries[[#This Row],[Work date]])</f>
        <v>45857.0</v>
      </c>
    </row>
    <row r="3335" spans="1:9" ht="15" x14ac:dyDescent="0.25">
      <c r="A3335" s="53" t="inlineStr">
        <is>
          <t>LAB-003334</t>
        </is>
      </c>
      <c r="B3335" s="53" t="inlineStr">
        <is>
          <t>WP-01470</t>
        </is>
      </c>
      <c r="C3335" s="53" t="inlineStr">
        <is>
          <t>TECH-038</t>
        </is>
      </c>
      <c r="D3335" s="53" t="inlineStr">
        <is>
          <t>Avionics</t>
        </is>
      </c>
      <c r="E3335" s="53" t="inlineStr">
        <is>
          <t>2025-07-20</t>
        </is>
      </c>
      <c r="F3335" s="53">
        <v>10.5</v>
      </c>
      <c r="G3335" s="53">
        <v>2.5</v>
      </c>
      <c r="H3335" s="51" t="str">
        <f>TEXT(tblLaborEntries[[#This Row],[Work date serial]]-WEEKDAY(tblLaborEntries[[#This Row],[Work date serial]],3),"yyyy-mm-dd")</f>
        <v>2025-07-14</v>
      </c>
      <c r="I3335" s="64">
        <f>DATEVALUE(tblLaborEntries[[#This Row],[Work date]])</f>
        <v>45858.0</v>
      </c>
    </row>
    <row r="3336" spans="1:9" ht="15" x14ac:dyDescent="0.25">
      <c r="A3336" s="53" t="inlineStr">
        <is>
          <t>LAB-003335</t>
        </is>
      </c>
      <c r="B3336" s="53" t="inlineStr">
        <is>
          <t>WP-01471</t>
        </is>
      </c>
      <c r="C3336" s="53" t="inlineStr">
        <is>
          <t>TECH-056</t>
        </is>
      </c>
      <c r="D3336" s="53" t="inlineStr">
        <is>
          <t>Avionics</t>
        </is>
      </c>
      <c r="E3336" s="53" t="inlineStr">
        <is>
          <t>2024-07-25</t>
        </is>
      </c>
      <c r="F3336" s="53">
        <v>1.6</v>
      </c>
      <c r="G3336" s="53">
        <v>0</v>
      </c>
      <c r="H3336" s="51" t="str">
        <f>TEXT(tblLaborEntries[[#This Row],[Work date serial]]-WEEKDAY(tblLaborEntries[[#This Row],[Work date serial]],3),"yyyy-mm-dd")</f>
        <v>2024-07-22</v>
      </c>
      <c r="I3336" s="64">
        <f>DATEVALUE(tblLaborEntries[[#This Row],[Work date]])</f>
        <v>45498.0</v>
      </c>
    </row>
    <row r="3337" spans="1:9" ht="15" x14ac:dyDescent="0.25">
      <c r="A3337" s="53" t="inlineStr">
        <is>
          <t>LAB-003336</t>
        </is>
      </c>
      <c r="B3337" s="53" t="inlineStr">
        <is>
          <t>WP-01471</t>
        </is>
      </c>
      <c r="C3337" s="53" t="inlineStr">
        <is>
          <t>TECH-032</t>
        </is>
      </c>
      <c r="D3337" s="53" t="inlineStr">
        <is>
          <t>Avionics</t>
        </is>
      </c>
      <c r="E3337" s="53" t="inlineStr">
        <is>
          <t>2024-07-26</t>
        </is>
      </c>
      <c r="F3337" s="53">
        <v>1.1</v>
      </c>
      <c r="G3337" s="53">
        <v>0</v>
      </c>
      <c r="H3337" s="51" t="str">
        <f>TEXT(tblLaborEntries[[#This Row],[Work date serial]]-WEEKDAY(tblLaborEntries[[#This Row],[Work date serial]],3),"yyyy-mm-dd")</f>
        <v>2024-07-22</v>
      </c>
      <c r="I3337" s="64">
        <f>DATEVALUE(tblLaborEntries[[#This Row],[Work date]])</f>
        <v>45499.0</v>
      </c>
    </row>
    <row r="3338" spans="1:9" ht="15" x14ac:dyDescent="0.25">
      <c r="A3338" s="53" t="inlineStr">
        <is>
          <t>LAB-003337</t>
        </is>
      </c>
      <c r="B3338" s="53" t="inlineStr">
        <is>
          <t>WP-01471</t>
        </is>
      </c>
      <c r="C3338" s="53" t="inlineStr">
        <is>
          <t>TECH-026</t>
        </is>
      </c>
      <c r="D3338" s="53" t="inlineStr">
        <is>
          <t>Avionics</t>
        </is>
      </c>
      <c r="E3338" s="53" t="inlineStr">
        <is>
          <t>2024-07-27</t>
        </is>
      </c>
      <c r="F3338" s="53">
        <v>1.5</v>
      </c>
      <c r="G3338" s="53">
        <v>0</v>
      </c>
      <c r="H3338" s="51" t="str">
        <f>TEXT(tblLaborEntries[[#This Row],[Work date serial]]-WEEKDAY(tblLaborEntries[[#This Row],[Work date serial]],3),"yyyy-mm-dd")</f>
        <v>2024-07-22</v>
      </c>
      <c r="I3338" s="64">
        <f>DATEVALUE(tblLaborEntries[[#This Row],[Work date]])</f>
        <v>45500.0</v>
      </c>
    </row>
    <row r="3339" spans="1:9" ht="15" x14ac:dyDescent="0.25">
      <c r="A3339" s="53" t="inlineStr">
        <is>
          <t>LAB-003338</t>
        </is>
      </c>
      <c r="B3339" s="53" t="inlineStr">
        <is>
          <t>WP-01472</t>
        </is>
      </c>
      <c r="C3339" s="53" t="inlineStr">
        <is>
          <t>TECH-002</t>
        </is>
      </c>
      <c r="D3339" s="53" t="inlineStr">
        <is>
          <t>Avionics</t>
        </is>
      </c>
      <c r="E3339" s="53" t="inlineStr">
        <is>
          <t>2025-10-29</t>
        </is>
      </c>
      <c r="F3339" s="53">
        <v>1.2</v>
      </c>
      <c r="G3339" s="53">
        <v>0</v>
      </c>
      <c r="H3339" s="51" t="str">
        <f>TEXT(tblLaborEntries[[#This Row],[Work date serial]]-WEEKDAY(tblLaborEntries[[#This Row],[Work date serial]],3),"yyyy-mm-dd")</f>
        <v>2025-10-27</v>
      </c>
      <c r="I3339" s="64">
        <f>DATEVALUE(tblLaborEntries[[#This Row],[Work date]])</f>
        <v>45959.0</v>
      </c>
    </row>
    <row r="3340" spans="1:9" ht="15" x14ac:dyDescent="0.25">
      <c r="A3340" s="53" t="inlineStr">
        <is>
          <t>LAB-003339</t>
        </is>
      </c>
      <c r="B3340" s="53" t="inlineStr">
        <is>
          <t>WP-01472</t>
        </is>
      </c>
      <c r="C3340" s="53" t="inlineStr">
        <is>
          <t>TECH-014</t>
        </is>
      </c>
      <c r="D3340" s="53" t="inlineStr">
        <is>
          <t>Avionics</t>
        </is>
      </c>
      <c r="E3340" s="53" t="inlineStr">
        <is>
          <t>2025-10-29</t>
        </is>
      </c>
      <c r="F3340" s="53">
        <v>12</v>
      </c>
      <c r="G3340" s="53">
        <v>4</v>
      </c>
      <c r="H3340" s="51" t="str">
        <f>TEXT(tblLaborEntries[[#This Row],[Work date serial]]-WEEKDAY(tblLaborEntries[[#This Row],[Work date serial]],3),"yyyy-mm-dd")</f>
        <v>2025-10-27</v>
      </c>
      <c r="I3340" s="64">
        <f>DATEVALUE(tblLaborEntries[[#This Row],[Work date]])</f>
        <v>45959.0</v>
      </c>
    </row>
    <row r="3341" spans="1:9" ht="15" x14ac:dyDescent="0.25">
      <c r="A3341" s="53" t="inlineStr">
        <is>
          <t>LAB-003340</t>
        </is>
      </c>
      <c r="B3341" s="53" t="inlineStr">
        <is>
          <t>WP-01473</t>
        </is>
      </c>
      <c r="C3341" s="53" t="inlineStr">
        <is>
          <t>TECH-058</t>
        </is>
      </c>
      <c r="D3341" s="53" t="inlineStr">
        <is>
          <t>Electrical</t>
        </is>
      </c>
      <c r="E3341" s="53" t="inlineStr">
        <is>
          <t>2025-01-22</t>
        </is>
      </c>
      <c r="F3341" s="53">
        <v>4</v>
      </c>
      <c r="G3341" s="53">
        <v>0</v>
      </c>
      <c r="H3341" s="51" t="str">
        <f>TEXT(tblLaborEntries[[#This Row],[Work date serial]]-WEEKDAY(tblLaborEntries[[#This Row],[Work date serial]],3),"yyyy-mm-dd")</f>
        <v>2025-01-20</v>
      </c>
      <c r="I3341" s="64">
        <f>DATEVALUE(tblLaborEntries[[#This Row],[Work date]])</f>
        <v>45679.0</v>
      </c>
    </row>
    <row r="3342" spans="1:9" ht="15" x14ac:dyDescent="0.25">
      <c r="A3342" s="53" t="inlineStr">
        <is>
          <t>LAB-003341</t>
        </is>
      </c>
      <c r="B3342" s="53" t="inlineStr">
        <is>
          <t>WP-01473</t>
        </is>
      </c>
      <c r="C3342" s="53" t="inlineStr">
        <is>
          <t>TECH-028</t>
        </is>
      </c>
      <c r="D3342" s="53" t="inlineStr">
        <is>
          <t>Electrical</t>
        </is>
      </c>
      <c r="E3342" s="53" t="inlineStr">
        <is>
          <t>2025-01-23</t>
        </is>
      </c>
      <c r="F3342" s="53">
        <v>3.1</v>
      </c>
      <c r="G3342" s="53">
        <v>0</v>
      </c>
      <c r="H3342" s="51" t="str">
        <f>TEXT(tblLaborEntries[[#This Row],[Work date serial]]-WEEKDAY(tblLaborEntries[[#This Row],[Work date serial]],3),"yyyy-mm-dd")</f>
        <v>2025-01-20</v>
      </c>
      <c r="I3342" s="64">
        <f>DATEVALUE(tblLaborEntries[[#This Row],[Work date]])</f>
        <v>45680.0</v>
      </c>
    </row>
    <row r="3343" spans="1:9" ht="15" x14ac:dyDescent="0.25">
      <c r="A3343" s="53" t="inlineStr">
        <is>
          <t>LAB-003342</t>
        </is>
      </c>
      <c r="B3343" s="53" t="inlineStr">
        <is>
          <t>WP-01473</t>
        </is>
      </c>
      <c r="C3343" s="53" t="inlineStr">
        <is>
          <t>TECH-046</t>
        </is>
      </c>
      <c r="D3343" s="53" t="inlineStr">
        <is>
          <t>Electrical</t>
        </is>
      </c>
      <c r="E3343" s="53" t="inlineStr">
        <is>
          <t>2025-01-24</t>
        </is>
      </c>
      <c r="F3343" s="53">
        <v>4.1</v>
      </c>
      <c r="G3343" s="53">
        <v>0</v>
      </c>
      <c r="H3343" s="51" t="str">
        <f>TEXT(tblLaborEntries[[#This Row],[Work date serial]]-WEEKDAY(tblLaborEntries[[#This Row],[Work date serial]],3),"yyyy-mm-dd")</f>
        <v>2025-01-20</v>
      </c>
      <c r="I3343" s="64">
        <f>DATEVALUE(tblLaborEntries[[#This Row],[Work date]])</f>
        <v>45681.0</v>
      </c>
    </row>
    <row r="3344" spans="1:9" ht="15" x14ac:dyDescent="0.25">
      <c r="A3344" s="53" t="inlineStr">
        <is>
          <t>LAB-003343</t>
        </is>
      </c>
      <c r="B3344" s="53" t="inlineStr">
        <is>
          <t>WP-01474</t>
        </is>
      </c>
      <c r="C3344" s="53" t="inlineStr">
        <is>
          <t>TECH-014</t>
        </is>
      </c>
      <c r="D3344" s="53" t="inlineStr">
        <is>
          <t>Avionics</t>
        </is>
      </c>
      <c r="E3344" s="53" t="inlineStr">
        <is>
          <t>2025-06-20</t>
        </is>
      </c>
      <c r="F3344" s="53">
        <v>3.8</v>
      </c>
      <c r="G3344" s="53">
        <v>0</v>
      </c>
      <c r="H3344" s="51" t="str">
        <f>TEXT(tblLaborEntries[[#This Row],[Work date serial]]-WEEKDAY(tblLaborEntries[[#This Row],[Work date serial]],3),"yyyy-mm-dd")</f>
        <v>2025-06-16</v>
      </c>
      <c r="I3344" s="64">
        <f>DATEVALUE(tblLaborEntries[[#This Row],[Work date]])</f>
        <v>45828.0</v>
      </c>
    </row>
    <row r="3345" spans="1:9" ht="15" x14ac:dyDescent="0.25">
      <c r="A3345" s="53" t="inlineStr">
        <is>
          <t>LAB-003344</t>
        </is>
      </c>
      <c r="B3345" s="53" t="inlineStr">
        <is>
          <t>WP-01474</t>
        </is>
      </c>
      <c r="C3345" s="53" t="inlineStr">
        <is>
          <t>TECH-038</t>
        </is>
      </c>
      <c r="D3345" s="53" t="inlineStr">
        <is>
          <t>Avionics</t>
        </is>
      </c>
      <c r="E3345" s="53" t="inlineStr">
        <is>
          <t>2025-06-21</t>
        </is>
      </c>
      <c r="F3345" s="53">
        <v>5.4</v>
      </c>
      <c r="G3345" s="53">
        <v>0</v>
      </c>
      <c r="H3345" s="51" t="str">
        <f>TEXT(tblLaborEntries[[#This Row],[Work date serial]]-WEEKDAY(tblLaborEntries[[#This Row],[Work date serial]],3),"yyyy-mm-dd")</f>
        <v>2025-06-16</v>
      </c>
      <c r="I3345" s="64">
        <f>DATEVALUE(tblLaborEntries[[#This Row],[Work date]])</f>
        <v>45829.0</v>
      </c>
    </row>
    <row r="3346" spans="1:9" ht="15" x14ac:dyDescent="0.25">
      <c r="A3346" s="53" t="inlineStr">
        <is>
          <t>LAB-003345</t>
        </is>
      </c>
      <c r="B3346" s="53" t="inlineStr">
        <is>
          <t>WP-01475</t>
        </is>
      </c>
      <c r="C3346" s="53" t="inlineStr">
        <is>
          <t>TECH-001</t>
        </is>
      </c>
      <c r="D3346" s="53" t="inlineStr">
        <is>
          <t>Airframe</t>
        </is>
      </c>
      <c r="E3346" s="53" t="inlineStr">
        <is>
          <t>2025-05-24</t>
        </is>
      </c>
      <c r="F3346" s="53">
        <v>4.3</v>
      </c>
      <c r="G3346" s="53">
        <v>0</v>
      </c>
      <c r="H3346" s="51" t="str">
        <f>TEXT(tblLaborEntries[[#This Row],[Work date serial]]-WEEKDAY(tblLaborEntries[[#This Row],[Work date serial]],3),"yyyy-mm-dd")</f>
        <v>2025-05-19</v>
      </c>
      <c r="I3346" s="64">
        <f>DATEVALUE(tblLaborEntries[[#This Row],[Work date]])</f>
        <v>45801.0</v>
      </c>
    </row>
    <row r="3347" spans="1:9" ht="15" x14ac:dyDescent="0.25">
      <c r="A3347" s="53" t="inlineStr">
        <is>
          <t>LAB-003346</t>
        </is>
      </c>
      <c r="B3347" s="53" t="inlineStr">
        <is>
          <t>WP-01475</t>
        </is>
      </c>
      <c r="C3347" s="53" t="inlineStr">
        <is>
          <t>TECH-031</t>
        </is>
      </c>
      <c r="D3347" s="53" t="inlineStr">
        <is>
          <t>Airframe</t>
        </is>
      </c>
      <c r="E3347" s="53" t="inlineStr">
        <is>
          <t>2025-05-24</t>
        </is>
      </c>
      <c r="F3347" s="53">
        <v>12</v>
      </c>
      <c r="G3347" s="53">
        <v>4</v>
      </c>
      <c r="H3347" s="51" t="str">
        <f>TEXT(tblLaborEntries[[#This Row],[Work date serial]]-WEEKDAY(tblLaborEntries[[#This Row],[Work date serial]],3),"yyyy-mm-dd")</f>
        <v>2025-05-19</v>
      </c>
      <c r="I3347" s="64">
        <f>DATEVALUE(tblLaborEntries[[#This Row],[Work date]])</f>
        <v>45801.0</v>
      </c>
    </row>
    <row r="3348" spans="1:9" ht="15" x14ac:dyDescent="0.25">
      <c r="A3348" s="53" t="inlineStr">
        <is>
          <t>LAB-003347</t>
        </is>
      </c>
      <c r="B3348" s="53" t="inlineStr">
        <is>
          <t>WP-01476</t>
        </is>
      </c>
      <c r="C3348" s="53" t="inlineStr">
        <is>
          <t>TECH-021</t>
        </is>
      </c>
      <c r="D3348" s="53" t="inlineStr">
        <is>
          <t>Hydraulics</t>
        </is>
      </c>
      <c r="E3348" s="53" t="inlineStr">
        <is>
          <t>2024-02-08</t>
        </is>
      </c>
      <c r="F3348" s="53">
        <v>4.9</v>
      </c>
      <c r="G3348" s="53">
        <v>0</v>
      </c>
      <c r="H3348" s="51" t="str">
        <f>TEXT(tblLaborEntries[[#This Row],[Work date serial]]-WEEKDAY(tblLaborEntries[[#This Row],[Work date serial]],3),"yyyy-mm-dd")</f>
        <v>2024-02-05</v>
      </c>
      <c r="I3348" s="64">
        <f>DATEVALUE(tblLaborEntries[[#This Row],[Work date]])</f>
        <v>45330.0</v>
      </c>
    </row>
    <row r="3349" spans="1:9" ht="15" x14ac:dyDescent="0.25">
      <c r="A3349" s="53" t="inlineStr">
        <is>
          <t>LAB-003348</t>
        </is>
      </c>
      <c r="B3349" s="53" t="inlineStr">
        <is>
          <t>WP-01476</t>
        </is>
      </c>
      <c r="C3349" s="53" t="inlineStr">
        <is>
          <t>TECH-057</t>
        </is>
      </c>
      <c r="D3349" s="53" t="inlineStr">
        <is>
          <t>Hydraulics</t>
        </is>
      </c>
      <c r="E3349" s="53" t="inlineStr">
        <is>
          <t>2024-02-09</t>
        </is>
      </c>
      <c r="F3349" s="53">
        <v>4.7</v>
      </c>
      <c r="G3349" s="53">
        <v>0</v>
      </c>
      <c r="H3349" s="51" t="str">
        <f>TEXT(tblLaborEntries[[#This Row],[Work date serial]]-WEEKDAY(tblLaborEntries[[#This Row],[Work date serial]],3),"yyyy-mm-dd")</f>
        <v>2024-02-05</v>
      </c>
      <c r="I3349" s="64">
        <f>DATEVALUE(tblLaborEntries[[#This Row],[Work date]])</f>
        <v>45331.0</v>
      </c>
    </row>
    <row r="3350" spans="1:9" ht="15" x14ac:dyDescent="0.25">
      <c r="A3350" s="53" t="inlineStr">
        <is>
          <t>LAB-003349</t>
        </is>
      </c>
      <c r="B3350" s="53" t="inlineStr">
        <is>
          <t>WP-01476</t>
        </is>
      </c>
      <c r="C3350" s="53" t="inlineStr">
        <is>
          <t>TECH-075</t>
        </is>
      </c>
      <c r="D3350" s="53" t="inlineStr">
        <is>
          <t>Hydraulics</t>
        </is>
      </c>
      <c r="E3350" s="53" t="inlineStr">
        <is>
          <t>2024-02-10</t>
        </is>
      </c>
      <c r="F3350" s="53">
        <v>3.6</v>
      </c>
      <c r="G3350" s="53">
        <v>0</v>
      </c>
      <c r="H3350" s="51" t="str">
        <f>TEXT(tblLaborEntries[[#This Row],[Work date serial]]-WEEKDAY(tblLaborEntries[[#This Row],[Work date serial]],3),"yyyy-mm-dd")</f>
        <v>2024-02-05</v>
      </c>
      <c r="I3350" s="64">
        <f>DATEVALUE(tblLaborEntries[[#This Row],[Work date]])</f>
        <v>45332.0</v>
      </c>
    </row>
    <row r="3351" spans="1:9" ht="15" x14ac:dyDescent="0.25">
      <c r="A3351" s="53" t="inlineStr">
        <is>
          <t>LAB-003350</t>
        </is>
      </c>
      <c r="B3351" s="53" t="inlineStr">
        <is>
          <t>WP-01477</t>
        </is>
      </c>
      <c r="C3351" s="53" t="inlineStr">
        <is>
          <t>TECH-010</t>
        </is>
      </c>
      <c r="D3351" s="53" t="inlineStr">
        <is>
          <t>Electrical</t>
        </is>
      </c>
      <c r="E3351" s="53" t="inlineStr">
        <is>
          <t>2024-06-13</t>
        </is>
      </c>
      <c r="F3351" s="53">
        <v>5.6</v>
      </c>
      <c r="G3351" s="53">
        <v>0</v>
      </c>
      <c r="H3351" s="51" t="str">
        <f>TEXT(tblLaborEntries[[#This Row],[Work date serial]]-WEEKDAY(tblLaborEntries[[#This Row],[Work date serial]],3),"yyyy-mm-dd")</f>
        <v>2024-06-10</v>
      </c>
      <c r="I3351" s="64">
        <f>DATEVALUE(tblLaborEntries[[#This Row],[Work date]])</f>
        <v>45456.0</v>
      </c>
    </row>
    <row r="3352" spans="1:9" ht="15" x14ac:dyDescent="0.25">
      <c r="A3352" s="53" t="inlineStr">
        <is>
          <t>LAB-003351</t>
        </is>
      </c>
      <c r="B3352" s="53" t="inlineStr">
        <is>
          <t>WP-01477</t>
        </is>
      </c>
      <c r="C3352" s="53" t="inlineStr">
        <is>
          <t>TECH-034</t>
        </is>
      </c>
      <c r="D3352" s="53" t="inlineStr">
        <is>
          <t>Electrical</t>
        </is>
      </c>
      <c r="E3352" s="53" t="inlineStr">
        <is>
          <t>2024-06-14</t>
        </is>
      </c>
      <c r="F3352" s="53">
        <v>6.7</v>
      </c>
      <c r="G3352" s="53">
        <v>0</v>
      </c>
      <c r="H3352" s="51" t="str">
        <f>TEXT(tblLaborEntries[[#This Row],[Work date serial]]-WEEKDAY(tblLaborEntries[[#This Row],[Work date serial]],3),"yyyy-mm-dd")</f>
        <v>2024-06-10</v>
      </c>
      <c r="I3352" s="64">
        <f>DATEVALUE(tblLaborEntries[[#This Row],[Work date]])</f>
        <v>45457.0</v>
      </c>
    </row>
    <row r="3353" spans="1:9" ht="15" x14ac:dyDescent="0.25">
      <c r="A3353" s="53" t="inlineStr">
        <is>
          <t>LAB-003352</t>
        </is>
      </c>
      <c r="B3353" s="53" t="inlineStr">
        <is>
          <t>WP-01477</t>
        </is>
      </c>
      <c r="C3353" s="53" t="inlineStr">
        <is>
          <t>TECH-040</t>
        </is>
      </c>
      <c r="D3353" s="53" t="inlineStr">
        <is>
          <t>Electrical</t>
        </is>
      </c>
      <c r="E3353" s="53" t="inlineStr">
        <is>
          <t>2024-06-15</t>
        </is>
      </c>
      <c r="F3353" s="53">
        <v>6.4</v>
      </c>
      <c r="G3353" s="53">
        <v>0</v>
      </c>
      <c r="H3353" s="51" t="str">
        <f>TEXT(tblLaborEntries[[#This Row],[Work date serial]]-WEEKDAY(tblLaborEntries[[#This Row],[Work date serial]],3),"yyyy-mm-dd")</f>
        <v>2024-06-10</v>
      </c>
      <c r="I3353" s="64">
        <f>DATEVALUE(tblLaborEntries[[#This Row],[Work date]])</f>
        <v>45458.0</v>
      </c>
    </row>
    <row r="3354" spans="1:9" ht="15" x14ac:dyDescent="0.25">
      <c r="A3354" s="53" t="inlineStr">
        <is>
          <t>LAB-003353</t>
        </is>
      </c>
      <c r="B3354" s="53" t="inlineStr">
        <is>
          <t>WP-01478</t>
        </is>
      </c>
      <c r="C3354" s="53" t="inlineStr">
        <is>
          <t>TECH-020</t>
        </is>
      </c>
      <c r="D3354" s="53" t="inlineStr">
        <is>
          <t>Avionics</t>
        </is>
      </c>
      <c r="E3354" s="53" t="inlineStr">
        <is>
          <t>2024-08-31</t>
        </is>
      </c>
      <c r="F3354" s="53">
        <v>3.5</v>
      </c>
      <c r="G3354" s="53">
        <v>0</v>
      </c>
      <c r="H3354" s="51" t="str">
        <f>TEXT(tblLaborEntries[[#This Row],[Work date serial]]-WEEKDAY(tblLaborEntries[[#This Row],[Work date serial]],3),"yyyy-mm-dd")</f>
        <v>2024-08-26</v>
      </c>
      <c r="I3354" s="64">
        <f>DATEVALUE(tblLaborEntries[[#This Row],[Work date]])</f>
        <v>45535.0</v>
      </c>
    </row>
    <row r="3355" spans="1:9" ht="15" x14ac:dyDescent="0.25">
      <c r="A3355" s="53" t="inlineStr">
        <is>
          <t>LAB-003354</t>
        </is>
      </c>
      <c r="B3355" s="53" t="inlineStr">
        <is>
          <t>WP-01478</t>
        </is>
      </c>
      <c r="C3355" s="53" t="inlineStr">
        <is>
          <t>TECH-002</t>
        </is>
      </c>
      <c r="D3355" s="53" t="inlineStr">
        <is>
          <t>Avionics</t>
        </is>
      </c>
      <c r="E3355" s="53" t="inlineStr">
        <is>
          <t>2024-09-01</t>
        </is>
      </c>
      <c r="F3355" s="53">
        <v>3.2</v>
      </c>
      <c r="G3355" s="53">
        <v>0</v>
      </c>
      <c r="H3355" s="51" t="str">
        <f>TEXT(tblLaborEntries[[#This Row],[Work date serial]]-WEEKDAY(tblLaborEntries[[#This Row],[Work date serial]],3),"yyyy-mm-dd")</f>
        <v>2024-08-26</v>
      </c>
      <c r="I3355" s="64">
        <f>DATEVALUE(tblLaborEntries[[#This Row],[Work date]])</f>
        <v>45536.0</v>
      </c>
    </row>
    <row r="3356" spans="1:9" ht="15" x14ac:dyDescent="0.25">
      <c r="A3356" s="53" t="inlineStr">
        <is>
          <t>LAB-003355</t>
        </is>
      </c>
      <c r="B3356" s="53" t="inlineStr">
        <is>
          <t>WP-01478</t>
        </is>
      </c>
      <c r="C3356" s="53" t="inlineStr">
        <is>
          <t>TECH-050</t>
        </is>
      </c>
      <c r="D3356" s="53" t="inlineStr">
        <is>
          <t>Avionics</t>
        </is>
      </c>
      <c r="E3356" s="53" t="inlineStr">
        <is>
          <t>2024-09-02</t>
        </is>
      </c>
      <c r="F3356" s="53">
        <v>4.5</v>
      </c>
      <c r="G3356" s="53">
        <v>0</v>
      </c>
      <c r="H3356" s="51" t="str">
        <f>TEXT(tblLaborEntries[[#This Row],[Work date serial]]-WEEKDAY(tblLaborEntries[[#This Row],[Work date serial]],3),"yyyy-mm-dd")</f>
        <v>2024-09-02</v>
      </c>
      <c r="I3356" s="64">
        <f>DATEVALUE(tblLaborEntries[[#This Row],[Work date]])</f>
        <v>45537.0</v>
      </c>
    </row>
    <row r="3357" spans="1:9" ht="15" x14ac:dyDescent="0.25">
      <c r="A3357" s="53" t="inlineStr">
        <is>
          <t>LAB-003356</t>
        </is>
      </c>
      <c r="B3357" s="53" t="inlineStr">
        <is>
          <t>WP-01479</t>
        </is>
      </c>
      <c r="C3357" s="53" t="inlineStr">
        <is>
          <t>TECH-074</t>
        </is>
      </c>
      <c r="D3357" s="53" t="inlineStr">
        <is>
          <t>Avionics</t>
        </is>
      </c>
      <c r="E3357" s="53" t="inlineStr">
        <is>
          <t>2024-04-09</t>
        </is>
      </c>
      <c r="F3357" s="53">
        <v>6.3</v>
      </c>
      <c r="G3357" s="53">
        <v>1.9</v>
      </c>
      <c r="H3357" s="51" t="str">
        <f>TEXT(tblLaborEntries[[#This Row],[Work date serial]]-WEEKDAY(tblLaborEntries[[#This Row],[Work date serial]],3),"yyyy-mm-dd")</f>
        <v>2024-04-08</v>
      </c>
      <c r="I3357" s="64">
        <f>DATEVALUE(tblLaborEntries[[#This Row],[Work date]])</f>
        <v>45391.0</v>
      </c>
    </row>
    <row r="3358" spans="1:9" ht="15" x14ac:dyDescent="0.25">
      <c r="A3358" s="53" t="inlineStr">
        <is>
          <t>LAB-003357</t>
        </is>
      </c>
      <c r="B3358" s="53" t="inlineStr">
        <is>
          <t>WP-01479</t>
        </is>
      </c>
      <c r="C3358" s="53" t="inlineStr">
        <is>
          <t>TECH-056</t>
        </is>
      </c>
      <c r="D3358" s="53" t="inlineStr">
        <is>
          <t>Avionics</t>
        </is>
      </c>
      <c r="E3358" s="53" t="inlineStr">
        <is>
          <t>2024-04-10</t>
        </is>
      </c>
      <c r="F3358" s="53">
        <v>5.4</v>
      </c>
      <c r="G3358" s="53">
        <v>0</v>
      </c>
      <c r="H3358" s="51" t="str">
        <f>TEXT(tblLaborEntries[[#This Row],[Work date serial]]-WEEKDAY(tblLaborEntries[[#This Row],[Work date serial]],3),"yyyy-mm-dd")</f>
        <v>2024-04-08</v>
      </c>
      <c r="I3358" s="64">
        <f>DATEVALUE(tblLaborEntries[[#This Row],[Work date]])</f>
        <v>45392.0</v>
      </c>
    </row>
    <row r="3359" spans="1:9" ht="15" x14ac:dyDescent="0.25">
      <c r="A3359" s="53" t="inlineStr">
        <is>
          <t>LAB-003358</t>
        </is>
      </c>
      <c r="B3359" s="53" t="inlineStr">
        <is>
          <t>WP-01480</t>
        </is>
      </c>
      <c r="C3359" s="53" t="inlineStr">
        <is>
          <t>TECH-052</t>
        </is>
      </c>
      <c r="D3359" s="53" t="inlineStr">
        <is>
          <t>Electrical</t>
        </is>
      </c>
      <c r="E3359" s="53" t="inlineStr">
        <is>
          <t>2025-10-01</t>
        </is>
      </c>
      <c r="F3359" s="53">
        <v>8.3</v>
      </c>
      <c r="G3359" s="53">
        <v>0.3</v>
      </c>
      <c r="H3359" s="51" t="str">
        <f>TEXT(tblLaborEntries[[#This Row],[Work date serial]]-WEEKDAY(tblLaborEntries[[#This Row],[Work date serial]],3),"yyyy-mm-dd")</f>
        <v>2025-09-29</v>
      </c>
      <c r="I3359" s="64">
        <f>DATEVALUE(tblLaborEntries[[#This Row],[Work date]])</f>
        <v>45931.0</v>
      </c>
    </row>
    <row r="3360" spans="1:9" ht="15" x14ac:dyDescent="0.25">
      <c r="A3360" s="53" t="inlineStr">
        <is>
          <t>LAB-003359</t>
        </is>
      </c>
      <c r="B3360" s="53" t="inlineStr">
        <is>
          <t>WP-01481</t>
        </is>
      </c>
      <c r="C3360" s="53" t="inlineStr">
        <is>
          <t>TECH-009</t>
        </is>
      </c>
      <c r="D3360" s="53" t="inlineStr">
        <is>
          <t>Hydraulics</t>
        </is>
      </c>
      <c r="E3360" s="53" t="inlineStr">
        <is>
          <t>2024-07-04</t>
        </is>
      </c>
      <c r="F3360" s="53">
        <v>7.7</v>
      </c>
      <c r="G3360" s="53">
        <v>0</v>
      </c>
      <c r="H3360" s="51" t="str">
        <f>TEXT(tblLaborEntries[[#This Row],[Work date serial]]-WEEKDAY(tblLaborEntries[[#This Row],[Work date serial]],3),"yyyy-mm-dd")</f>
        <v>2024-07-01</v>
      </c>
      <c r="I3360" s="64">
        <f>DATEVALUE(tblLaborEntries[[#This Row],[Work date]])</f>
        <v>45477.0</v>
      </c>
    </row>
    <row r="3361" spans="1:9" ht="15" x14ac:dyDescent="0.25">
      <c r="A3361" s="53" t="inlineStr">
        <is>
          <t>LAB-003360</t>
        </is>
      </c>
      <c r="B3361" s="53" t="inlineStr">
        <is>
          <t>WP-01481</t>
        </is>
      </c>
      <c r="C3361" s="53" t="inlineStr">
        <is>
          <t>TECH-069</t>
        </is>
      </c>
      <c r="D3361" s="53" t="inlineStr">
        <is>
          <t>Hydraulics</t>
        </is>
      </c>
      <c r="E3361" s="53" t="inlineStr">
        <is>
          <t>2024-07-05</t>
        </is>
      </c>
      <c r="F3361" s="53">
        <v>6.1</v>
      </c>
      <c r="G3361" s="53">
        <v>0</v>
      </c>
      <c r="H3361" s="51" t="str">
        <f>TEXT(tblLaborEntries[[#This Row],[Work date serial]]-WEEKDAY(tblLaborEntries[[#This Row],[Work date serial]],3),"yyyy-mm-dd")</f>
        <v>2024-07-01</v>
      </c>
      <c r="I3361" s="64">
        <f>DATEVALUE(tblLaborEntries[[#This Row],[Work date]])</f>
        <v>45478.0</v>
      </c>
    </row>
    <row r="3362" spans="1:9" ht="15" x14ac:dyDescent="0.25">
      <c r="A3362" s="53" t="inlineStr">
        <is>
          <t>LAB-003361</t>
        </is>
      </c>
      <c r="B3362" s="53" t="inlineStr">
        <is>
          <t>WP-01481</t>
        </is>
      </c>
      <c r="C3362" s="53" t="inlineStr">
        <is>
          <t>TECH-051</t>
        </is>
      </c>
      <c r="D3362" s="53" t="inlineStr">
        <is>
          <t>Hydraulics</t>
        </is>
      </c>
      <c r="E3362" s="53" t="inlineStr">
        <is>
          <t>2024-07-06</t>
        </is>
      </c>
      <c r="F3362" s="53">
        <v>6.1</v>
      </c>
      <c r="G3362" s="53">
        <v>0</v>
      </c>
      <c r="H3362" s="51" t="str">
        <f>TEXT(tblLaborEntries[[#This Row],[Work date serial]]-WEEKDAY(tblLaborEntries[[#This Row],[Work date serial]],3),"yyyy-mm-dd")</f>
        <v>2024-07-01</v>
      </c>
      <c r="I3362" s="64">
        <f>DATEVALUE(tblLaborEntries[[#This Row],[Work date]])</f>
        <v>45479.0</v>
      </c>
    </row>
    <row r="3363" spans="1:9" ht="15" x14ac:dyDescent="0.25">
      <c r="A3363" s="53" t="inlineStr">
        <is>
          <t>LAB-003362</t>
        </is>
      </c>
      <c r="B3363" s="53" t="inlineStr">
        <is>
          <t>WP-01482</t>
        </is>
      </c>
      <c r="C3363" s="53" t="inlineStr">
        <is>
          <t>TECH-007</t>
        </is>
      </c>
      <c r="D3363" s="53" t="inlineStr">
        <is>
          <t>Airframe</t>
        </is>
      </c>
      <c r="E3363" s="53" t="inlineStr">
        <is>
          <t>2025-04-04</t>
        </is>
      </c>
      <c r="F3363" s="53">
        <v>3.5</v>
      </c>
      <c r="G3363" s="53">
        <v>0</v>
      </c>
      <c r="H3363" s="51" t="str">
        <f>TEXT(tblLaborEntries[[#This Row],[Work date serial]]-WEEKDAY(tblLaborEntries[[#This Row],[Work date serial]],3),"yyyy-mm-dd")</f>
        <v>2025-03-31</v>
      </c>
      <c r="I3363" s="64">
        <f>DATEVALUE(tblLaborEntries[[#This Row],[Work date]])</f>
        <v>45751.0</v>
      </c>
    </row>
    <row r="3364" spans="1:9" ht="15" x14ac:dyDescent="0.25">
      <c r="A3364" s="53" t="inlineStr">
        <is>
          <t>LAB-003363</t>
        </is>
      </c>
      <c r="B3364" s="53" t="inlineStr">
        <is>
          <t>WP-01483</t>
        </is>
      </c>
      <c r="C3364" s="53" t="inlineStr">
        <is>
          <t>TECH-075</t>
        </is>
      </c>
      <c r="D3364" s="53" t="inlineStr">
        <is>
          <t>Hydraulics</t>
        </is>
      </c>
      <c r="E3364" s="53" t="inlineStr">
        <is>
          <t>2025-05-24</t>
        </is>
      </c>
      <c r="F3364" s="53">
        <v>4.1</v>
      </c>
      <c r="G3364" s="53">
        <v>0</v>
      </c>
      <c r="H3364" s="51" t="str">
        <f>TEXT(tblLaborEntries[[#This Row],[Work date serial]]-WEEKDAY(tblLaborEntries[[#This Row],[Work date serial]],3),"yyyy-mm-dd")</f>
        <v>2025-05-19</v>
      </c>
      <c r="I3364" s="64">
        <f>DATEVALUE(tblLaborEntries[[#This Row],[Work date]])</f>
        <v>45801.0</v>
      </c>
    </row>
    <row r="3365" spans="1:9" ht="15" x14ac:dyDescent="0.25">
      <c r="A3365" s="53" t="inlineStr">
        <is>
          <t>LAB-003364</t>
        </is>
      </c>
      <c r="B3365" s="53" t="inlineStr">
        <is>
          <t>WP-01483</t>
        </is>
      </c>
      <c r="C3365" s="53" t="inlineStr">
        <is>
          <t>TECH-069</t>
        </is>
      </c>
      <c r="D3365" s="53" t="inlineStr">
        <is>
          <t>Hydraulics</t>
        </is>
      </c>
      <c r="E3365" s="53" t="inlineStr">
        <is>
          <t>2025-05-25</t>
        </is>
      </c>
      <c r="F3365" s="53">
        <v>4.4</v>
      </c>
      <c r="G3365" s="53">
        <v>0</v>
      </c>
      <c r="H3365" s="51" t="str">
        <f>TEXT(tblLaborEntries[[#This Row],[Work date serial]]-WEEKDAY(tblLaborEntries[[#This Row],[Work date serial]],3),"yyyy-mm-dd")</f>
        <v>2025-05-19</v>
      </c>
      <c r="I3365" s="64">
        <f>DATEVALUE(tblLaborEntries[[#This Row],[Work date]])</f>
        <v>45802.0</v>
      </c>
    </row>
    <row r="3366" spans="1:9" ht="15" x14ac:dyDescent="0.25">
      <c r="A3366" s="53" t="inlineStr">
        <is>
          <t>LAB-003365</t>
        </is>
      </c>
      <c r="B3366" s="53" t="inlineStr">
        <is>
          <t>WP-01484</t>
        </is>
      </c>
      <c r="C3366" s="53" t="inlineStr">
        <is>
          <t>TECH-031</t>
        </is>
      </c>
      <c r="D3366" s="53" t="inlineStr">
        <is>
          <t>Airframe</t>
        </is>
      </c>
      <c r="E3366" s="53" t="inlineStr">
        <is>
          <t>2025-07-16</t>
        </is>
      </c>
      <c r="F3366" s="53">
        <v>2.3</v>
      </c>
      <c r="G3366" s="53">
        <v>0</v>
      </c>
      <c r="H3366" s="51" t="str">
        <f>TEXT(tblLaborEntries[[#This Row],[Work date serial]]-WEEKDAY(tblLaborEntries[[#This Row],[Work date serial]],3),"yyyy-mm-dd")</f>
        <v>2025-07-14</v>
      </c>
      <c r="I3366" s="64">
        <f>DATEVALUE(tblLaborEntries[[#This Row],[Work date]])</f>
        <v>45854.0</v>
      </c>
    </row>
    <row r="3367" spans="1:9" ht="15" x14ac:dyDescent="0.25">
      <c r="A3367" s="53" t="inlineStr">
        <is>
          <t>LAB-003366</t>
        </is>
      </c>
      <c r="B3367" s="53" t="inlineStr">
        <is>
          <t>WP-01485</t>
        </is>
      </c>
      <c r="C3367" s="53" t="inlineStr">
        <is>
          <t>TECH-056</t>
        </is>
      </c>
      <c r="D3367" s="53" t="inlineStr">
        <is>
          <t>Avionics</t>
        </is>
      </c>
      <c r="E3367" s="53" t="inlineStr">
        <is>
          <t>2024-06-08</t>
        </is>
      </c>
      <c r="F3367" s="53">
        <v>6.5</v>
      </c>
      <c r="G3367" s="53">
        <v>0</v>
      </c>
      <c r="H3367" s="51" t="str">
        <f>TEXT(tblLaborEntries[[#This Row],[Work date serial]]-WEEKDAY(tblLaborEntries[[#This Row],[Work date serial]],3),"yyyy-mm-dd")</f>
        <v>2024-06-03</v>
      </c>
      <c r="I3367" s="64">
        <f>DATEVALUE(tblLaborEntries[[#This Row],[Work date]])</f>
        <v>45451.0</v>
      </c>
    </row>
    <row r="3368" spans="1:9" ht="15" x14ac:dyDescent="0.25">
      <c r="A3368" s="53" t="inlineStr">
        <is>
          <t>LAB-003367</t>
        </is>
      </c>
      <c r="B3368" s="53" t="inlineStr">
        <is>
          <t>WP-01486</t>
        </is>
      </c>
      <c r="C3368" s="53" t="inlineStr">
        <is>
          <t>TECH-006</t>
        </is>
      </c>
      <c r="D3368" s="53" t="inlineStr">
        <is>
          <t>Powerplant</t>
        </is>
      </c>
      <c r="E3368" s="53" t="inlineStr">
        <is>
          <t>2025-03-16</t>
        </is>
      </c>
      <c r="F3368" s="53">
        <v>6.8</v>
      </c>
      <c r="G3368" s="53">
        <v>0</v>
      </c>
      <c r="H3368" s="51" t="str">
        <f>TEXT(tblLaborEntries[[#This Row],[Work date serial]]-WEEKDAY(tblLaborEntries[[#This Row],[Work date serial]],3),"yyyy-mm-dd")</f>
        <v>2025-03-10</v>
      </c>
      <c r="I3368" s="64">
        <f>DATEVALUE(tblLaborEntries[[#This Row],[Work date]])</f>
        <v>45732.0</v>
      </c>
    </row>
    <row r="3369" spans="1:9" ht="15" x14ac:dyDescent="0.25">
      <c r="A3369" s="53" t="inlineStr">
        <is>
          <t>LAB-003368</t>
        </is>
      </c>
      <c r="B3369" s="53" t="inlineStr">
        <is>
          <t>WP-01486</t>
        </is>
      </c>
      <c r="C3369" s="53" t="inlineStr">
        <is>
          <t>TECH-048</t>
        </is>
      </c>
      <c r="D3369" s="53" t="inlineStr">
        <is>
          <t>Powerplant</t>
        </is>
      </c>
      <c r="E3369" s="53" t="inlineStr">
        <is>
          <t>2025-03-16</t>
        </is>
      </c>
      <c r="F3369" s="53">
        <v>12</v>
      </c>
      <c r="G3369" s="53">
        <v>4</v>
      </c>
      <c r="H3369" s="51" t="str">
        <f>TEXT(tblLaborEntries[[#This Row],[Work date serial]]-WEEKDAY(tblLaborEntries[[#This Row],[Work date serial]],3),"yyyy-mm-dd")</f>
        <v>2025-03-10</v>
      </c>
      <c r="I3369" s="64">
        <f>DATEVALUE(tblLaborEntries[[#This Row],[Work date]])</f>
        <v>45732.0</v>
      </c>
    </row>
    <row r="3370" spans="1:9" ht="15" x14ac:dyDescent="0.25">
      <c r="A3370" s="53" t="inlineStr">
        <is>
          <t>LAB-003369</t>
        </is>
      </c>
      <c r="B3370" s="53" t="inlineStr">
        <is>
          <t>WP-01487</t>
        </is>
      </c>
      <c r="C3370" s="53" t="inlineStr">
        <is>
          <t>TECH-046</t>
        </is>
      </c>
      <c r="D3370" s="53" t="inlineStr">
        <is>
          <t>Electrical</t>
        </is>
      </c>
      <c r="E3370" s="53" t="inlineStr">
        <is>
          <t>2025-04-30</t>
        </is>
      </c>
      <c r="F3370" s="53">
        <v>4.2</v>
      </c>
      <c r="G3370" s="53">
        <v>0</v>
      </c>
      <c r="H3370" s="51" t="str">
        <f>TEXT(tblLaborEntries[[#This Row],[Work date serial]]-WEEKDAY(tblLaborEntries[[#This Row],[Work date serial]],3),"yyyy-mm-dd")</f>
        <v>2025-04-28</v>
      </c>
      <c r="I3370" s="64">
        <f>DATEVALUE(tblLaborEntries[[#This Row],[Work date]])</f>
        <v>45777.0</v>
      </c>
    </row>
    <row r="3371" spans="1:9" ht="15" x14ac:dyDescent="0.25">
      <c r="A3371" s="53" t="inlineStr">
        <is>
          <t>LAB-003370</t>
        </is>
      </c>
      <c r="B3371" s="53" t="inlineStr">
        <is>
          <t>WP-01487</t>
        </is>
      </c>
      <c r="C3371" s="53" t="inlineStr">
        <is>
          <t>TECH-004</t>
        </is>
      </c>
      <c r="D3371" s="53" t="inlineStr">
        <is>
          <t>Electrical</t>
        </is>
      </c>
      <c r="E3371" s="53" t="inlineStr">
        <is>
          <t>2025-05-01</t>
        </is>
      </c>
      <c r="F3371" s="53">
        <v>3.4</v>
      </c>
      <c r="G3371" s="53">
        <v>0</v>
      </c>
      <c r="H3371" s="51" t="str">
        <f>TEXT(tblLaborEntries[[#This Row],[Work date serial]]-WEEKDAY(tblLaborEntries[[#This Row],[Work date serial]],3),"yyyy-mm-dd")</f>
        <v>2025-04-28</v>
      </c>
      <c r="I3371" s="64">
        <f>DATEVALUE(tblLaborEntries[[#This Row],[Work date]])</f>
        <v>45778.0</v>
      </c>
    </row>
    <row r="3372" spans="1:9" ht="15" x14ac:dyDescent="0.25">
      <c r="A3372" s="53" t="inlineStr">
        <is>
          <t>LAB-003371</t>
        </is>
      </c>
      <c r="B3372" s="53" t="inlineStr">
        <is>
          <t>WP-01487</t>
        </is>
      </c>
      <c r="C3372" s="53" t="inlineStr">
        <is>
          <t>TECH-016</t>
        </is>
      </c>
      <c r="D3372" s="53" t="inlineStr">
        <is>
          <t>Electrical</t>
        </is>
      </c>
      <c r="E3372" s="53" t="inlineStr">
        <is>
          <t>2025-05-02</t>
        </is>
      </c>
      <c r="F3372" s="53">
        <v>3.6</v>
      </c>
      <c r="G3372" s="53">
        <v>0</v>
      </c>
      <c r="H3372" s="51" t="str">
        <f>TEXT(tblLaborEntries[[#This Row],[Work date serial]]-WEEKDAY(tblLaborEntries[[#This Row],[Work date serial]],3),"yyyy-mm-dd")</f>
        <v>2025-04-28</v>
      </c>
      <c r="I3372" s="64">
        <f>DATEVALUE(tblLaborEntries[[#This Row],[Work date]])</f>
        <v>45779.0</v>
      </c>
    </row>
    <row r="3373" spans="1:9" ht="15" x14ac:dyDescent="0.25">
      <c r="A3373" s="53" t="inlineStr">
        <is>
          <t>LAB-003372</t>
        </is>
      </c>
      <c r="B3373" s="53" t="inlineStr">
        <is>
          <t>WP-01488</t>
        </is>
      </c>
      <c r="C3373" s="53" t="inlineStr">
        <is>
          <t>TECH-010</t>
        </is>
      </c>
      <c r="D3373" s="53" t="inlineStr">
        <is>
          <t>Electrical</t>
        </is>
      </c>
      <c r="E3373" s="53" t="inlineStr">
        <is>
          <t>2024-04-23</t>
        </is>
      </c>
      <c r="F3373" s="53">
        <v>0.2</v>
      </c>
      <c r="G3373" s="53">
        <v>0</v>
      </c>
      <c r="H3373" s="51" t="str">
        <f>TEXT(tblLaborEntries[[#This Row],[Work date serial]]-WEEKDAY(tblLaborEntries[[#This Row],[Work date serial]],3),"yyyy-mm-dd")</f>
        <v>2024-04-22</v>
      </c>
      <c r="I3373" s="64">
        <f>DATEVALUE(tblLaborEntries[[#This Row],[Work date]])</f>
        <v>45405.0</v>
      </c>
    </row>
    <row r="3374" spans="1:9" ht="15" x14ac:dyDescent="0.25">
      <c r="A3374" s="53" t="inlineStr">
        <is>
          <t>LAB-003373</t>
        </is>
      </c>
      <c r="B3374" s="53" t="inlineStr">
        <is>
          <t>WP-01488</t>
        </is>
      </c>
      <c r="C3374" s="53" t="inlineStr">
        <is>
          <t>TECH-034</t>
        </is>
      </c>
      <c r="D3374" s="53" t="inlineStr">
        <is>
          <t>Electrical</t>
        </is>
      </c>
      <c r="E3374" s="53" t="inlineStr">
        <is>
          <t>2024-04-23</t>
        </is>
      </c>
      <c r="F3374" s="53">
        <v>12</v>
      </c>
      <c r="G3374" s="53">
        <v>4</v>
      </c>
      <c r="H3374" s="51" t="str">
        <f>TEXT(tblLaborEntries[[#This Row],[Work date serial]]-WEEKDAY(tblLaborEntries[[#This Row],[Work date serial]],3),"yyyy-mm-dd")</f>
        <v>2024-04-22</v>
      </c>
      <c r="I3374" s="64">
        <f>DATEVALUE(tblLaborEntries[[#This Row],[Work date]])</f>
        <v>45405.0</v>
      </c>
    </row>
    <row r="3375" spans="1:9" ht="15" x14ac:dyDescent="0.25">
      <c r="A3375" s="53" t="inlineStr">
        <is>
          <t>LAB-003374</t>
        </is>
      </c>
      <c r="B3375" s="53" t="inlineStr">
        <is>
          <t>WP-01489</t>
        </is>
      </c>
      <c r="C3375" s="53" t="inlineStr">
        <is>
          <t>TECH-023</t>
        </is>
      </c>
      <c r="D3375" s="53" t="inlineStr">
        <is>
          <t>Structures</t>
        </is>
      </c>
      <c r="E3375" s="53" t="inlineStr">
        <is>
          <t>2025-06-19</t>
        </is>
      </c>
      <c r="F3375" s="53">
        <v>10.1</v>
      </c>
      <c r="G3375" s="53">
        <v>2.1</v>
      </c>
      <c r="H3375" s="51" t="str">
        <f>TEXT(tblLaborEntries[[#This Row],[Work date serial]]-WEEKDAY(tblLaborEntries[[#This Row],[Work date serial]],3),"yyyy-mm-dd")</f>
        <v>2025-06-16</v>
      </c>
      <c r="I3375" s="64">
        <f>DATEVALUE(tblLaborEntries[[#This Row],[Work date]])</f>
        <v>45827.0</v>
      </c>
    </row>
    <row r="3376" spans="1:9" ht="15" x14ac:dyDescent="0.25">
      <c r="A3376" s="53" t="inlineStr">
        <is>
          <t>LAB-003375</t>
        </is>
      </c>
      <c r="B3376" s="53" t="inlineStr">
        <is>
          <t>WP-01489</t>
        </is>
      </c>
      <c r="C3376" s="53" t="inlineStr">
        <is>
          <t>TECH-011</t>
        </is>
      </c>
      <c r="D3376" s="53" t="inlineStr">
        <is>
          <t>Structures</t>
        </is>
      </c>
      <c r="E3376" s="53" t="inlineStr">
        <is>
          <t>2025-06-20</t>
        </is>
      </c>
      <c r="F3376" s="53">
        <v>8.4</v>
      </c>
      <c r="G3376" s="53">
        <v>0.4</v>
      </c>
      <c r="H3376" s="51" t="str">
        <f>TEXT(tblLaborEntries[[#This Row],[Work date serial]]-WEEKDAY(tblLaborEntries[[#This Row],[Work date serial]],3),"yyyy-mm-dd")</f>
        <v>2025-06-16</v>
      </c>
      <c r="I3376" s="64">
        <f>DATEVALUE(tblLaborEntries[[#This Row],[Work date]])</f>
        <v>45828.0</v>
      </c>
    </row>
    <row r="3377" spans="1:9" ht="15" x14ac:dyDescent="0.25">
      <c r="A3377" s="53" t="inlineStr">
        <is>
          <t>LAB-003376</t>
        </is>
      </c>
      <c r="B3377" s="53" t="inlineStr">
        <is>
          <t>WP-01489</t>
        </is>
      </c>
      <c r="C3377" s="53" t="inlineStr">
        <is>
          <t>TECH-011</t>
        </is>
      </c>
      <c r="D3377" s="53" t="inlineStr">
        <is>
          <t>Structures</t>
        </is>
      </c>
      <c r="E3377" s="53" t="inlineStr">
        <is>
          <t>2025-06-21</t>
        </is>
      </c>
      <c r="F3377" s="53">
        <v>9.6</v>
      </c>
      <c r="G3377" s="53">
        <v>1.6</v>
      </c>
      <c r="H3377" s="51" t="str">
        <f>TEXT(tblLaborEntries[[#This Row],[Work date serial]]-WEEKDAY(tblLaborEntries[[#This Row],[Work date serial]],3),"yyyy-mm-dd")</f>
        <v>2025-06-16</v>
      </c>
      <c r="I3377" s="64">
        <f>DATEVALUE(tblLaborEntries[[#This Row],[Work date]])</f>
        <v>45829.0</v>
      </c>
    </row>
    <row r="3378" spans="1:9" ht="15" x14ac:dyDescent="0.25">
      <c r="A3378" s="53" t="inlineStr">
        <is>
          <t>LAB-003377</t>
        </is>
      </c>
      <c r="B3378" s="53" t="inlineStr">
        <is>
          <t>WP-01490</t>
        </is>
      </c>
      <c r="C3378" s="53" t="inlineStr">
        <is>
          <t>TECH-056</t>
        </is>
      </c>
      <c r="D3378" s="53" t="inlineStr">
        <is>
          <t>Avionics</t>
        </is>
      </c>
      <c r="E3378" s="53" t="inlineStr">
        <is>
          <t>2024-11-19</t>
        </is>
      </c>
      <c r="F3378" s="53">
        <v>1.8</v>
      </c>
      <c r="G3378" s="53">
        <v>0</v>
      </c>
      <c r="H3378" s="51" t="str">
        <f>TEXT(tblLaborEntries[[#This Row],[Work date serial]]-WEEKDAY(tblLaborEntries[[#This Row],[Work date serial]],3),"yyyy-mm-dd")</f>
        <v>2024-11-18</v>
      </c>
      <c r="I3378" s="64">
        <f>DATEVALUE(tblLaborEntries[[#This Row],[Work date]])</f>
        <v>45615.0</v>
      </c>
    </row>
    <row r="3379" spans="1:9" ht="15" x14ac:dyDescent="0.25">
      <c r="A3379" s="53" t="inlineStr">
        <is>
          <t>LAB-003378</t>
        </is>
      </c>
      <c r="B3379" s="53" t="inlineStr">
        <is>
          <t>WP-01490</t>
        </is>
      </c>
      <c r="C3379" s="53" t="inlineStr">
        <is>
          <t>TECH-002</t>
        </is>
      </c>
      <c r="D3379" s="53" t="inlineStr">
        <is>
          <t>Avionics</t>
        </is>
      </c>
      <c r="E3379" s="53" t="inlineStr">
        <is>
          <t>2024-11-20</t>
        </is>
      </c>
      <c r="F3379" s="53">
        <v>1.5</v>
      </c>
      <c r="G3379" s="53">
        <v>0</v>
      </c>
      <c r="H3379" s="51" t="str">
        <f>TEXT(tblLaborEntries[[#This Row],[Work date serial]]-WEEKDAY(tblLaborEntries[[#This Row],[Work date serial]],3),"yyyy-mm-dd")</f>
        <v>2024-11-18</v>
      </c>
      <c r="I3379" s="64">
        <f>DATEVALUE(tblLaborEntries[[#This Row],[Work date]])</f>
        <v>45616.0</v>
      </c>
    </row>
    <row r="3380" spans="1:9" ht="15" x14ac:dyDescent="0.25">
      <c r="A3380" s="53" t="inlineStr">
        <is>
          <t>LAB-003379</t>
        </is>
      </c>
      <c r="B3380" s="53" t="inlineStr">
        <is>
          <t>WP-01490</t>
        </is>
      </c>
      <c r="C3380" s="53" t="inlineStr">
        <is>
          <t>TECH-002</t>
        </is>
      </c>
      <c r="D3380" s="53" t="inlineStr">
        <is>
          <t>Avionics</t>
        </is>
      </c>
      <c r="E3380" s="53" t="inlineStr">
        <is>
          <t>2024-11-21</t>
        </is>
      </c>
      <c r="F3380" s="53">
        <v>2.1</v>
      </c>
      <c r="G3380" s="53">
        <v>0</v>
      </c>
      <c r="H3380" s="51" t="str">
        <f>TEXT(tblLaborEntries[[#This Row],[Work date serial]]-WEEKDAY(tblLaborEntries[[#This Row],[Work date serial]],3),"yyyy-mm-dd")</f>
        <v>2024-11-18</v>
      </c>
      <c r="I3380" s="64">
        <f>DATEVALUE(tblLaborEntries[[#This Row],[Work date]])</f>
        <v>45617.0</v>
      </c>
    </row>
    <row r="3381" spans="1:9" ht="15" x14ac:dyDescent="0.25">
      <c r="A3381" s="53" t="inlineStr">
        <is>
          <t>LAB-003380</t>
        </is>
      </c>
      <c r="B3381" s="53" t="inlineStr">
        <is>
          <t>WP-01491</t>
        </is>
      </c>
      <c r="C3381" s="53" t="inlineStr">
        <is>
          <t>TECH-056</t>
        </is>
      </c>
      <c r="D3381" s="53" t="inlineStr">
        <is>
          <t>Avionics</t>
        </is>
      </c>
      <c r="E3381" s="53" t="inlineStr">
        <is>
          <t>2024-12-21</t>
        </is>
      </c>
      <c r="F3381" s="53">
        <v>7.4</v>
      </c>
      <c r="G3381" s="53">
        <v>0</v>
      </c>
      <c r="H3381" s="51" t="str">
        <f>TEXT(tblLaborEntries[[#This Row],[Work date serial]]-WEEKDAY(tblLaborEntries[[#This Row],[Work date serial]],3),"yyyy-mm-dd")</f>
        <v>2024-12-16</v>
      </c>
      <c r="I3381" s="64">
        <f>DATEVALUE(tblLaborEntries[[#This Row],[Work date]])</f>
        <v>45647.0</v>
      </c>
    </row>
    <row r="3382" spans="1:9" ht="15" x14ac:dyDescent="0.25">
      <c r="A3382" s="53" t="inlineStr">
        <is>
          <t>LAB-003381</t>
        </is>
      </c>
      <c r="B3382" s="53" t="inlineStr">
        <is>
          <t>WP-01491</t>
        </is>
      </c>
      <c r="C3382" s="53" t="inlineStr">
        <is>
          <t>TECH-050</t>
        </is>
      </c>
      <c r="D3382" s="53" t="inlineStr">
        <is>
          <t>Avionics</t>
        </is>
      </c>
      <c r="E3382" s="53" t="inlineStr">
        <is>
          <t>2024-12-22</t>
        </is>
      </c>
      <c r="F3382" s="53">
        <v>8.7</v>
      </c>
      <c r="G3382" s="53">
        <v>0.7</v>
      </c>
      <c r="H3382" s="51" t="str">
        <f>TEXT(tblLaborEntries[[#This Row],[Work date serial]]-WEEKDAY(tblLaborEntries[[#This Row],[Work date serial]],3),"yyyy-mm-dd")</f>
        <v>2024-12-16</v>
      </c>
      <c r="I3382" s="64">
        <f>DATEVALUE(tblLaborEntries[[#This Row],[Work date]])</f>
        <v>45648.0</v>
      </c>
    </row>
    <row r="3383" spans="1:9" ht="15" x14ac:dyDescent="0.25">
      <c r="A3383" s="53" t="inlineStr">
        <is>
          <t>LAB-003382</t>
        </is>
      </c>
      <c r="B3383" s="53" t="inlineStr">
        <is>
          <t>WP-01492</t>
        </is>
      </c>
      <c r="C3383" s="53" t="inlineStr">
        <is>
          <t>TECH-001</t>
        </is>
      </c>
      <c r="D3383" s="53" t="inlineStr">
        <is>
          <t>Airframe</t>
        </is>
      </c>
      <c r="E3383" s="53" t="inlineStr">
        <is>
          <t>2025-12-26</t>
        </is>
      </c>
      <c r="F3383" s="53">
        <v>9.4</v>
      </c>
      <c r="G3383" s="53">
        <v>1.4</v>
      </c>
      <c r="H3383" s="51" t="str">
        <f>TEXT(tblLaborEntries[[#This Row],[Work date serial]]-WEEKDAY(tblLaborEntries[[#This Row],[Work date serial]],3),"yyyy-mm-dd")</f>
        <v>2025-12-22</v>
      </c>
      <c r="I3383" s="64">
        <f>DATEVALUE(tblLaborEntries[[#This Row],[Work date]])</f>
        <v>46017.0</v>
      </c>
    </row>
    <row r="3384" spans="1:9" ht="15" x14ac:dyDescent="0.25">
      <c r="A3384" s="53" t="inlineStr">
        <is>
          <t>LAB-003383</t>
        </is>
      </c>
      <c r="B3384" s="53" t="inlineStr">
        <is>
          <t>WP-01493</t>
        </is>
      </c>
      <c r="C3384" s="53" t="inlineStr">
        <is>
          <t>TECH-073</t>
        </is>
      </c>
      <c r="D3384" s="53" t="inlineStr">
        <is>
          <t>Airframe</t>
        </is>
      </c>
      <c r="E3384" s="53" t="inlineStr">
        <is>
          <t>2024-06-24</t>
        </is>
      </c>
      <c r="F3384" s="53">
        <v>2.6</v>
      </c>
      <c r="G3384" s="53">
        <v>0</v>
      </c>
      <c r="H3384" s="51" t="str">
        <f>TEXT(tblLaborEntries[[#This Row],[Work date serial]]-WEEKDAY(tblLaborEntries[[#This Row],[Work date serial]],3),"yyyy-mm-dd")</f>
        <v>2024-06-24</v>
      </c>
      <c r="I3384" s="64">
        <f>DATEVALUE(tblLaborEntries[[#This Row],[Work date]])</f>
        <v>45467.0</v>
      </c>
    </row>
    <row r="3385" spans="1:9" ht="15" x14ac:dyDescent="0.25">
      <c r="A3385" s="53" t="inlineStr">
        <is>
          <t>LAB-003384</t>
        </is>
      </c>
      <c r="B3385" s="53" t="inlineStr">
        <is>
          <t>WP-01493</t>
        </is>
      </c>
      <c r="C3385" s="53" t="inlineStr">
        <is>
          <t>TECH-025</t>
        </is>
      </c>
      <c r="D3385" s="53" t="inlineStr">
        <is>
          <t>Airframe</t>
        </is>
      </c>
      <c r="E3385" s="53" t="inlineStr">
        <is>
          <t>2024-06-25</t>
        </is>
      </c>
      <c r="F3385" s="53">
        <v>3.3</v>
      </c>
      <c r="G3385" s="53">
        <v>0</v>
      </c>
      <c r="H3385" s="51" t="str">
        <f>TEXT(tblLaborEntries[[#This Row],[Work date serial]]-WEEKDAY(tblLaborEntries[[#This Row],[Work date serial]],3),"yyyy-mm-dd")</f>
        <v>2024-06-24</v>
      </c>
      <c r="I3385" s="64">
        <f>DATEVALUE(tblLaborEntries[[#This Row],[Work date]])</f>
        <v>45468.0</v>
      </c>
    </row>
    <row r="3386" spans="1:9" ht="15" x14ac:dyDescent="0.25">
      <c r="A3386" s="53" t="inlineStr">
        <is>
          <t>LAB-003385</t>
        </is>
      </c>
      <c r="B3386" s="53" t="inlineStr">
        <is>
          <t>WP-01494</t>
        </is>
      </c>
      <c r="C3386" s="53" t="inlineStr">
        <is>
          <t>TECH-068</t>
        </is>
      </c>
      <c r="D3386" s="53" t="inlineStr">
        <is>
          <t>Avionics</t>
        </is>
      </c>
      <c r="E3386" s="53" t="inlineStr">
        <is>
          <t>2024-12-18</t>
        </is>
      </c>
      <c r="F3386" s="53">
        <v>1</v>
      </c>
      <c r="G3386" s="53">
        <v>0</v>
      </c>
      <c r="H3386" s="51" t="str">
        <f>TEXT(tblLaborEntries[[#This Row],[Work date serial]]-WEEKDAY(tblLaborEntries[[#This Row],[Work date serial]],3),"yyyy-mm-dd")</f>
        <v>2024-12-16</v>
      </c>
      <c r="I3386" s="64">
        <f>DATEVALUE(tblLaborEntries[[#This Row],[Work date]])</f>
        <v>45644.0</v>
      </c>
    </row>
    <row r="3387" spans="1:9" ht="15" x14ac:dyDescent="0.25">
      <c r="A3387" s="53" t="inlineStr">
        <is>
          <t>LAB-003386</t>
        </is>
      </c>
      <c r="B3387" s="53" t="inlineStr">
        <is>
          <t>WP-01494</t>
        </is>
      </c>
      <c r="C3387" s="53" t="inlineStr">
        <is>
          <t>TECH-032</t>
        </is>
      </c>
      <c r="D3387" s="53" t="inlineStr">
        <is>
          <t>Avionics</t>
        </is>
      </c>
      <c r="E3387" s="53" t="inlineStr">
        <is>
          <t>2024-12-19</t>
        </is>
      </c>
      <c r="F3387" s="53">
        <v>1.2</v>
      </c>
      <c r="G3387" s="53">
        <v>0</v>
      </c>
      <c r="H3387" s="51" t="str">
        <f>TEXT(tblLaborEntries[[#This Row],[Work date serial]]-WEEKDAY(tblLaborEntries[[#This Row],[Work date serial]],3),"yyyy-mm-dd")</f>
        <v>2024-12-16</v>
      </c>
      <c r="I3387" s="64">
        <f>DATEVALUE(tblLaborEntries[[#This Row],[Work date]])</f>
        <v>45645.0</v>
      </c>
    </row>
    <row r="3388" spans="1:9" ht="15" x14ac:dyDescent="0.25">
      <c r="A3388" s="53" t="inlineStr">
        <is>
          <t>LAB-003387</t>
        </is>
      </c>
      <c r="B3388" s="53" t="inlineStr">
        <is>
          <t>WP-01494</t>
        </is>
      </c>
      <c r="C3388" s="53" t="inlineStr">
        <is>
          <t>TECH-026</t>
        </is>
      </c>
      <c r="D3388" s="53" t="inlineStr">
        <is>
          <t>Avionics</t>
        </is>
      </c>
      <c r="E3388" s="53" t="inlineStr">
        <is>
          <t>2024-12-20</t>
        </is>
      </c>
      <c r="F3388" s="53">
        <v>1.2</v>
      </c>
      <c r="G3388" s="53">
        <v>0</v>
      </c>
      <c r="H3388" s="51" t="str">
        <f>TEXT(tblLaborEntries[[#This Row],[Work date serial]]-WEEKDAY(tblLaborEntries[[#This Row],[Work date serial]],3),"yyyy-mm-dd")</f>
        <v>2024-12-16</v>
      </c>
      <c r="I3388" s="64">
        <f>DATEVALUE(tblLaborEntries[[#This Row],[Work date]])</f>
        <v>45646.0</v>
      </c>
    </row>
    <row r="3389" spans="1:9" ht="15" x14ac:dyDescent="0.25">
      <c r="A3389" s="53" t="inlineStr">
        <is>
          <t>LAB-003388</t>
        </is>
      </c>
      <c r="B3389" s="53" t="inlineStr">
        <is>
          <t>WP-01495</t>
        </is>
      </c>
      <c r="C3389" s="53" t="inlineStr">
        <is>
          <t>TECH-061</t>
        </is>
      </c>
      <c r="D3389" s="53" t="inlineStr">
        <is>
          <t>Airframe</t>
        </is>
      </c>
      <c r="E3389" s="53" t="inlineStr">
        <is>
          <t>2025-10-23</t>
        </is>
      </c>
      <c r="F3389" s="53">
        <v>2</v>
      </c>
      <c r="G3389" s="53">
        <v>0</v>
      </c>
      <c r="H3389" s="51" t="str">
        <f>TEXT(tblLaborEntries[[#This Row],[Work date serial]]-WEEKDAY(tblLaborEntries[[#This Row],[Work date serial]],3),"yyyy-mm-dd")</f>
        <v>2025-10-20</v>
      </c>
      <c r="I3389" s="64">
        <f>DATEVALUE(tblLaborEntries[[#This Row],[Work date]])</f>
        <v>45953.0</v>
      </c>
    </row>
    <row r="3390" spans="1:9" ht="15" x14ac:dyDescent="0.25">
      <c r="A3390" s="53" t="inlineStr">
        <is>
          <t>LAB-003389</t>
        </is>
      </c>
      <c r="B3390" s="53" t="inlineStr">
        <is>
          <t>WP-01496</t>
        </is>
      </c>
      <c r="C3390" s="53" t="inlineStr">
        <is>
          <t>TECH-014</t>
        </is>
      </c>
      <c r="D3390" s="53" t="inlineStr">
        <is>
          <t>Avionics</t>
        </is>
      </c>
      <c r="E3390" s="53" t="inlineStr">
        <is>
          <t>2024-05-18</t>
        </is>
      </c>
      <c r="F3390" s="53">
        <v>3.4</v>
      </c>
      <c r="G3390" s="53">
        <v>0</v>
      </c>
      <c r="H3390" s="51" t="str">
        <f>TEXT(tblLaborEntries[[#This Row],[Work date serial]]-WEEKDAY(tblLaborEntries[[#This Row],[Work date serial]],3),"yyyy-mm-dd")</f>
        <v>2024-05-13</v>
      </c>
      <c r="I3390" s="64">
        <f>DATEVALUE(tblLaborEntries[[#This Row],[Work date]])</f>
        <v>45430.0</v>
      </c>
    </row>
    <row r="3391" spans="1:9" ht="15" x14ac:dyDescent="0.25">
      <c r="A3391" s="53" t="inlineStr">
        <is>
          <t>LAB-003390</t>
        </is>
      </c>
      <c r="B3391" s="53" t="inlineStr">
        <is>
          <t>WP-01496</t>
        </is>
      </c>
      <c r="C3391" s="53" t="inlineStr">
        <is>
          <t>TECH-044</t>
        </is>
      </c>
      <c r="D3391" s="53" t="inlineStr">
        <is>
          <t>Avionics</t>
        </is>
      </c>
      <c r="E3391" s="53" t="inlineStr">
        <is>
          <t>2024-05-19</t>
        </is>
      </c>
      <c r="F3391" s="53">
        <v>3.5</v>
      </c>
      <c r="G3391" s="53">
        <v>0</v>
      </c>
      <c r="H3391" s="51" t="str">
        <f>TEXT(tblLaborEntries[[#This Row],[Work date serial]]-WEEKDAY(tblLaborEntries[[#This Row],[Work date serial]],3),"yyyy-mm-dd")</f>
        <v>2024-05-13</v>
      </c>
      <c r="I3391" s="64">
        <f>DATEVALUE(tblLaborEntries[[#This Row],[Work date]])</f>
        <v>45431.0</v>
      </c>
    </row>
    <row r="3392" spans="1:9" ht="15" x14ac:dyDescent="0.25">
      <c r="A3392" s="53" t="inlineStr">
        <is>
          <t>LAB-003391</t>
        </is>
      </c>
      <c r="B3392" s="53" t="inlineStr">
        <is>
          <t>WP-01496</t>
        </is>
      </c>
      <c r="C3392" s="53" t="inlineStr">
        <is>
          <t>TECH-074</t>
        </is>
      </c>
      <c r="D3392" s="53" t="inlineStr">
        <is>
          <t>Avionics</t>
        </is>
      </c>
      <c r="E3392" s="53" t="inlineStr">
        <is>
          <t>2024-05-20</t>
        </is>
      </c>
      <c r="F3392" s="53">
        <v>3.2</v>
      </c>
      <c r="G3392" s="53">
        <v>0</v>
      </c>
      <c r="H3392" s="51" t="str">
        <f>TEXT(tblLaborEntries[[#This Row],[Work date serial]]-WEEKDAY(tblLaborEntries[[#This Row],[Work date serial]],3),"yyyy-mm-dd")</f>
        <v>2024-05-20</v>
      </c>
      <c r="I3392" s="64">
        <f>DATEVALUE(tblLaborEntries[[#This Row],[Work date]])</f>
        <v>45432.0</v>
      </c>
    </row>
    <row r="3393" spans="1:9" ht="15" x14ac:dyDescent="0.25">
      <c r="A3393" s="53" t="inlineStr">
        <is>
          <t>LAB-003392</t>
        </is>
      </c>
      <c r="B3393" s="53" t="inlineStr">
        <is>
          <t>WP-01497</t>
        </is>
      </c>
      <c r="C3393" s="53" t="inlineStr">
        <is>
          <t>TECH-044</t>
        </is>
      </c>
      <c r="D3393" s="53" t="inlineStr">
        <is>
          <t>Avionics</t>
        </is>
      </c>
      <c r="E3393" s="53" t="inlineStr">
        <is>
          <t>2025-08-09</t>
        </is>
      </c>
      <c r="F3393" s="53">
        <v>3</v>
      </c>
      <c r="G3393" s="53">
        <v>0</v>
      </c>
      <c r="H3393" s="51" t="str">
        <f>TEXT(tblLaborEntries[[#This Row],[Work date serial]]-WEEKDAY(tblLaborEntries[[#This Row],[Work date serial]],3),"yyyy-mm-dd")</f>
        <v>2025-08-04</v>
      </c>
      <c r="I3393" s="64">
        <f>DATEVALUE(tblLaborEntries[[#This Row],[Work date]])</f>
        <v>45878.0</v>
      </c>
    </row>
    <row r="3394" spans="1:9" ht="15" x14ac:dyDescent="0.25">
      <c r="A3394" s="53" t="inlineStr">
        <is>
          <t>LAB-003393</t>
        </is>
      </c>
      <c r="B3394" s="53" t="inlineStr">
        <is>
          <t>WP-01498</t>
        </is>
      </c>
      <c r="C3394" s="53" t="inlineStr">
        <is>
          <t>TECH-020</t>
        </is>
      </c>
      <c r="D3394" s="53" t="inlineStr">
        <is>
          <t>Avionics</t>
        </is>
      </c>
      <c r="E3394" s="53" t="inlineStr">
        <is>
          <t>2024-10-09</t>
        </is>
      </c>
      <c r="F3394" s="53">
        <v>8.2</v>
      </c>
      <c r="G3394" s="53">
        <v>0.2</v>
      </c>
      <c r="H3394" s="51" t="str">
        <f>TEXT(tblLaborEntries[[#This Row],[Work date serial]]-WEEKDAY(tblLaborEntries[[#This Row],[Work date serial]],3),"yyyy-mm-dd")</f>
        <v>2024-10-07</v>
      </c>
      <c r="I3394" s="64">
        <f>DATEVALUE(tblLaborEntries[[#This Row],[Work date]])</f>
        <v>45574.0</v>
      </c>
    </row>
    <row r="3395" spans="1:9" ht="15" x14ac:dyDescent="0.25">
      <c r="A3395" s="53" t="inlineStr">
        <is>
          <t>LAB-003394</t>
        </is>
      </c>
      <c r="B3395" s="53" t="inlineStr">
        <is>
          <t>WP-01498</t>
        </is>
      </c>
      <c r="C3395" s="53" t="inlineStr">
        <is>
          <t>TECH-044</t>
        </is>
      </c>
      <c r="D3395" s="53" t="inlineStr">
        <is>
          <t>Avionics</t>
        </is>
      </c>
      <c r="E3395" s="53" t="inlineStr">
        <is>
          <t>2024-10-10</t>
        </is>
      </c>
      <c r="F3395" s="53">
        <v>6.6</v>
      </c>
      <c r="G3395" s="53">
        <v>0</v>
      </c>
      <c r="H3395" s="51" t="str">
        <f>TEXT(tblLaborEntries[[#This Row],[Work date serial]]-WEEKDAY(tblLaborEntries[[#This Row],[Work date serial]],3),"yyyy-mm-dd")</f>
        <v>2024-10-07</v>
      </c>
      <c r="I3395" s="64">
        <f>DATEVALUE(tblLaborEntries[[#This Row],[Work date]])</f>
        <v>45575.0</v>
      </c>
    </row>
    <row r="3396" spans="1:9" ht="15" x14ac:dyDescent="0.25">
      <c r="A3396" s="53" t="inlineStr">
        <is>
          <t>LAB-003395</t>
        </is>
      </c>
      <c r="B3396" s="53" t="inlineStr">
        <is>
          <t>WP-01498</t>
        </is>
      </c>
      <c r="C3396" s="53" t="inlineStr">
        <is>
          <t>TECH-074</t>
        </is>
      </c>
      <c r="D3396" s="53" t="inlineStr">
        <is>
          <t>Avionics</t>
        </is>
      </c>
      <c r="E3396" s="53" t="inlineStr">
        <is>
          <t>2024-10-11</t>
        </is>
      </c>
      <c r="F3396" s="53">
        <v>10.1</v>
      </c>
      <c r="G3396" s="53">
        <v>2.1</v>
      </c>
      <c r="H3396" s="51" t="str">
        <f>TEXT(tblLaborEntries[[#This Row],[Work date serial]]-WEEKDAY(tblLaborEntries[[#This Row],[Work date serial]],3),"yyyy-mm-dd")</f>
        <v>2024-10-07</v>
      </c>
      <c r="I3396" s="64">
        <f>DATEVALUE(tblLaborEntries[[#This Row],[Work date]])</f>
        <v>45576.0</v>
      </c>
    </row>
    <row r="3397" spans="1:9" ht="15" x14ac:dyDescent="0.25">
      <c r="A3397" s="53" t="inlineStr">
        <is>
          <t>LAB-003396</t>
        </is>
      </c>
      <c r="B3397" s="53" t="inlineStr">
        <is>
          <t>WP-01499</t>
        </is>
      </c>
      <c r="C3397" s="53" t="inlineStr">
        <is>
          <t>TECH-006</t>
        </is>
      </c>
      <c r="D3397" s="53" t="inlineStr">
        <is>
          <t>Powerplant</t>
        </is>
      </c>
      <c r="E3397" s="53" t="inlineStr">
        <is>
          <t>2025-04-09</t>
        </is>
      </c>
      <c r="F3397" s="53">
        <v>3.2</v>
      </c>
      <c r="G3397" s="53">
        <v>0</v>
      </c>
      <c r="H3397" s="51" t="str">
        <f>TEXT(tblLaborEntries[[#This Row],[Work date serial]]-WEEKDAY(tblLaborEntries[[#This Row],[Work date serial]],3),"yyyy-mm-dd")</f>
        <v>2025-04-07</v>
      </c>
      <c r="I3397" s="64">
        <f>DATEVALUE(tblLaborEntries[[#This Row],[Work date]])</f>
        <v>45756.0</v>
      </c>
    </row>
    <row r="3398" spans="1:9" ht="15" x14ac:dyDescent="0.25">
      <c r="A3398" s="53" t="inlineStr">
        <is>
          <t>LAB-003397</t>
        </is>
      </c>
      <c r="B3398" s="53" t="inlineStr">
        <is>
          <t>WP-01499</t>
        </is>
      </c>
      <c r="C3398" s="53" t="inlineStr">
        <is>
          <t>TECH-042</t>
        </is>
      </c>
      <c r="D3398" s="53" t="inlineStr">
        <is>
          <t>Powerplant</t>
        </is>
      </c>
      <c r="E3398" s="53" t="inlineStr">
        <is>
          <t>2025-04-09</t>
        </is>
      </c>
      <c r="F3398" s="53">
        <v>12</v>
      </c>
      <c r="G3398" s="53">
        <v>4</v>
      </c>
      <c r="H3398" s="51" t="str">
        <f>TEXT(tblLaborEntries[[#This Row],[Work date serial]]-WEEKDAY(tblLaborEntries[[#This Row],[Work date serial]],3),"yyyy-mm-dd")</f>
        <v>2025-04-07</v>
      </c>
      <c r="I3398" s="64">
        <f>DATEVALUE(tblLaborEntries[[#This Row],[Work date]])</f>
        <v>45756.0</v>
      </c>
    </row>
    <row r="3399" spans="1:9" ht="15" x14ac:dyDescent="0.25">
      <c r="A3399" s="53" t="inlineStr">
        <is>
          <t>LAB-003398</t>
        </is>
      </c>
      <c r="B3399" s="53" t="inlineStr">
        <is>
          <t>WP-01500</t>
        </is>
      </c>
      <c r="C3399" s="53" t="inlineStr">
        <is>
          <t>TECH-043</t>
        </is>
      </c>
      <c r="D3399" s="53" t="inlineStr">
        <is>
          <t>Airframe</t>
        </is>
      </c>
      <c r="E3399" s="53" t="inlineStr">
        <is>
          <t>2024-01-10</t>
        </is>
      </c>
      <c r="F3399" s="53">
        <v>3.8</v>
      </c>
      <c r="G3399" s="53">
        <v>0</v>
      </c>
      <c r="H3399" s="51" t="str">
        <f>TEXT(tblLaborEntries[[#This Row],[Work date serial]]-WEEKDAY(tblLaborEntries[[#This Row],[Work date serial]],3),"yyyy-mm-dd")</f>
        <v>2024-01-08</v>
      </c>
      <c r="I3399" s="64">
        <f>DATEVALUE(tblLaborEntries[[#This Row],[Work date]])</f>
        <v>45301.0</v>
      </c>
    </row>
    <row r="3400" spans="1:9" ht="15" x14ac:dyDescent="0.25">
      <c r="A3400" s="53" t="inlineStr">
        <is>
          <t>LAB-003399</t>
        </is>
      </c>
      <c r="B3400" s="53" t="inlineStr">
        <is>
          <t>WP-01500</t>
        </is>
      </c>
      <c r="C3400" s="53" t="inlineStr">
        <is>
          <t>TECH-019</t>
        </is>
      </c>
      <c r="D3400" s="53" t="inlineStr">
        <is>
          <t>Airframe</t>
        </is>
      </c>
      <c r="E3400" s="53" t="inlineStr">
        <is>
          <t>2024-01-11</t>
        </is>
      </c>
      <c r="F3400" s="53">
        <v>5.5</v>
      </c>
      <c r="G3400" s="53">
        <v>0</v>
      </c>
      <c r="H3400" s="51" t="str">
        <f>TEXT(tblLaborEntries[[#This Row],[Work date serial]]-WEEKDAY(tblLaborEntries[[#This Row],[Work date serial]],3),"yyyy-mm-dd")</f>
        <v>2024-01-08</v>
      </c>
      <c r="I3400" s="64">
        <f>DATEVALUE(tblLaborEntries[[#This Row],[Work date]])</f>
        <v>45302.0</v>
      </c>
    </row>
    <row r="3401" spans="1:9" ht="15" x14ac:dyDescent="0.25">
      <c r="A3401" s="53" t="inlineStr">
        <is>
          <t>LAB-003400</t>
        </is>
      </c>
      <c r="B3401" s="53" t="inlineStr">
        <is>
          <t>WP-01501</t>
        </is>
      </c>
      <c r="C3401" s="53" t="inlineStr">
        <is>
          <t>TECH-005</t>
        </is>
      </c>
      <c r="D3401" s="53" t="inlineStr">
        <is>
          <t>Structures</t>
        </is>
      </c>
      <c r="E3401" s="53" t="inlineStr">
        <is>
          <t>2024-03-01</t>
        </is>
      </c>
      <c r="F3401" s="53">
        <v>1</v>
      </c>
      <c r="G3401" s="53">
        <v>0</v>
      </c>
      <c r="H3401" s="51" t="str">
        <f>TEXT(tblLaborEntries[[#This Row],[Work date serial]]-WEEKDAY(tblLaborEntries[[#This Row],[Work date serial]],3),"yyyy-mm-dd")</f>
        <v>2024-02-26</v>
      </c>
      <c r="I3401" s="64">
        <f>DATEVALUE(tblLaborEntries[[#This Row],[Work date]])</f>
        <v>45352.0</v>
      </c>
    </row>
    <row r="3402" spans="1:9" ht="15" x14ac:dyDescent="0.25">
      <c r="A3402" s="53" t="inlineStr">
        <is>
          <t>LAB-003401</t>
        </is>
      </c>
      <c r="B3402" s="53" t="inlineStr">
        <is>
          <t>WP-01501</t>
        </is>
      </c>
      <c r="C3402" s="53" t="inlineStr">
        <is>
          <t>TECH-035</t>
        </is>
      </c>
      <c r="D3402" s="53" t="inlineStr">
        <is>
          <t>Structures</t>
        </is>
      </c>
      <c r="E3402" s="53" t="inlineStr">
        <is>
          <t>2024-03-01</t>
        </is>
      </c>
      <c r="F3402" s="53">
        <v>12</v>
      </c>
      <c r="G3402" s="53">
        <v>4</v>
      </c>
      <c r="H3402" s="51" t="str">
        <f>TEXT(tblLaborEntries[[#This Row],[Work date serial]]-WEEKDAY(tblLaborEntries[[#This Row],[Work date serial]],3),"yyyy-mm-dd")</f>
        <v>2024-02-26</v>
      </c>
      <c r="I3402" s="64">
        <f>DATEVALUE(tblLaborEntries[[#This Row],[Work date]])</f>
        <v>45352.0</v>
      </c>
    </row>
    <row r="3403" spans="1:9" ht="15" x14ac:dyDescent="0.25">
      <c r="A3403" s="53" t="inlineStr">
        <is>
          <t>LAB-003402</t>
        </is>
      </c>
      <c r="B3403" s="53" t="inlineStr">
        <is>
          <t>WP-01501</t>
        </is>
      </c>
      <c r="C3403" s="53" t="inlineStr">
        <is>
          <t>TECH-035</t>
        </is>
      </c>
      <c r="D3403" s="53" t="inlineStr">
        <is>
          <t>Structures</t>
        </is>
      </c>
      <c r="E3403" s="53" t="inlineStr">
        <is>
          <t>2024-03-02</t>
        </is>
      </c>
      <c r="F3403" s="53">
        <v>11.4</v>
      </c>
      <c r="G3403" s="53">
        <v>3.4</v>
      </c>
      <c r="H3403" s="51" t="str">
        <f>TEXT(tblLaborEntries[[#This Row],[Work date serial]]-WEEKDAY(tblLaborEntries[[#This Row],[Work date serial]],3),"yyyy-mm-dd")</f>
        <v>2024-02-26</v>
      </c>
      <c r="I3403" s="64">
        <f>DATEVALUE(tblLaborEntries[[#This Row],[Work date]])</f>
        <v>45353.0</v>
      </c>
    </row>
    <row r="3404" spans="1:9" ht="15" x14ac:dyDescent="0.25">
      <c r="A3404" s="53" t="inlineStr">
        <is>
          <t>LAB-003403</t>
        </is>
      </c>
      <c r="B3404" s="53" t="inlineStr">
        <is>
          <t>WP-01501</t>
        </is>
      </c>
      <c r="C3404" s="53" t="inlineStr">
        <is>
          <t>TECH-059</t>
        </is>
      </c>
      <c r="D3404" s="53" t="inlineStr">
        <is>
          <t>Structures</t>
        </is>
      </c>
      <c r="E3404" s="53" t="inlineStr">
        <is>
          <t>2024-03-03</t>
        </is>
      </c>
      <c r="F3404" s="53">
        <v>10.5</v>
      </c>
      <c r="G3404" s="53">
        <v>2.5</v>
      </c>
      <c r="H3404" s="51" t="str">
        <f>TEXT(tblLaborEntries[[#This Row],[Work date serial]]-WEEKDAY(tblLaborEntries[[#This Row],[Work date serial]],3),"yyyy-mm-dd")</f>
        <v>2024-02-26</v>
      </c>
      <c r="I3404" s="64">
        <f>DATEVALUE(tblLaborEntries[[#This Row],[Work date]])</f>
        <v>45354.0</v>
      </c>
    </row>
    <row r="3405" spans="1:9" ht="15" x14ac:dyDescent="0.25">
      <c r="A3405" s="53" t="inlineStr">
        <is>
          <t>LAB-003404</t>
        </is>
      </c>
      <c r="B3405" s="53" t="inlineStr">
        <is>
          <t>WP-01502</t>
        </is>
      </c>
      <c r="C3405" s="53" t="inlineStr">
        <is>
          <t>TECH-001</t>
        </is>
      </c>
      <c r="D3405" s="53" t="inlineStr">
        <is>
          <t>Airframe</t>
        </is>
      </c>
      <c r="E3405" s="53" t="inlineStr">
        <is>
          <t>2024-11-07</t>
        </is>
      </c>
      <c r="F3405" s="53">
        <v>3</v>
      </c>
      <c r="G3405" s="53">
        <v>0</v>
      </c>
      <c r="H3405" s="51" t="str">
        <f>TEXT(tblLaborEntries[[#This Row],[Work date serial]]-WEEKDAY(tblLaborEntries[[#This Row],[Work date serial]],3),"yyyy-mm-dd")</f>
        <v>2024-11-04</v>
      </c>
      <c r="I3405" s="64">
        <f>DATEVALUE(tblLaborEntries[[#This Row],[Work date]])</f>
        <v>45603.0</v>
      </c>
    </row>
    <row r="3406" spans="1:9" ht="15" x14ac:dyDescent="0.25">
      <c r="A3406" s="53" t="inlineStr">
        <is>
          <t>LAB-003405</t>
        </is>
      </c>
      <c r="B3406" s="53" t="inlineStr">
        <is>
          <t>WP-01503</t>
        </is>
      </c>
      <c r="C3406" s="53" t="inlineStr">
        <is>
          <t>TECH-037</t>
        </is>
      </c>
      <c r="D3406" s="53" t="inlineStr">
        <is>
          <t>Airframe</t>
        </is>
      </c>
      <c r="E3406" s="53" t="inlineStr">
        <is>
          <t>2025-01-03</t>
        </is>
      </c>
      <c r="F3406" s="53">
        <v>1.6</v>
      </c>
      <c r="G3406" s="53">
        <v>0</v>
      </c>
      <c r="H3406" s="51" t="str">
        <f>TEXT(tblLaborEntries[[#This Row],[Work date serial]]-WEEKDAY(tblLaborEntries[[#This Row],[Work date serial]],3),"yyyy-mm-dd")</f>
        <v>2024-12-30</v>
      </c>
      <c r="I3406" s="64">
        <f>DATEVALUE(tblLaborEntries[[#This Row],[Work date]])</f>
        <v>45660.0</v>
      </c>
    </row>
    <row r="3407" spans="1:9" ht="15" x14ac:dyDescent="0.25">
      <c r="A3407" s="53" t="inlineStr">
        <is>
          <t>LAB-003406</t>
        </is>
      </c>
      <c r="B3407" s="53" t="inlineStr">
        <is>
          <t>WP-01503</t>
        </is>
      </c>
      <c r="C3407" s="53" t="inlineStr">
        <is>
          <t>TECH-037</t>
        </is>
      </c>
      <c r="D3407" s="53" t="inlineStr">
        <is>
          <t>Airframe</t>
        </is>
      </c>
      <c r="E3407" s="53" t="inlineStr">
        <is>
          <t>2025-01-04</t>
        </is>
      </c>
      <c r="F3407" s="53">
        <v>2.3</v>
      </c>
      <c r="G3407" s="53">
        <v>0</v>
      </c>
      <c r="H3407" s="51" t="str">
        <f>TEXT(tblLaborEntries[[#This Row],[Work date serial]]-WEEKDAY(tblLaborEntries[[#This Row],[Work date serial]],3),"yyyy-mm-dd")</f>
        <v>2024-12-30</v>
      </c>
      <c r="I3407" s="64">
        <f>DATEVALUE(tblLaborEntries[[#This Row],[Work date]])</f>
        <v>45661.0</v>
      </c>
    </row>
    <row r="3408" spans="1:9" ht="15" x14ac:dyDescent="0.25">
      <c r="A3408" s="53" t="inlineStr">
        <is>
          <t>LAB-003407</t>
        </is>
      </c>
      <c r="B3408" s="53" t="inlineStr">
        <is>
          <t>WP-01503</t>
        </is>
      </c>
      <c r="C3408" s="53" t="inlineStr">
        <is>
          <t>TECH-049</t>
        </is>
      </c>
      <c r="D3408" s="53" t="inlineStr">
        <is>
          <t>Airframe</t>
        </is>
      </c>
      <c r="E3408" s="53" t="inlineStr">
        <is>
          <t>2025-01-05</t>
        </is>
      </c>
      <c r="F3408" s="53">
        <v>1.7</v>
      </c>
      <c r="G3408" s="53">
        <v>0</v>
      </c>
      <c r="H3408" s="51" t="str">
        <f>TEXT(tblLaborEntries[[#This Row],[Work date serial]]-WEEKDAY(tblLaborEntries[[#This Row],[Work date serial]],3),"yyyy-mm-dd")</f>
        <v>2024-12-30</v>
      </c>
      <c r="I3408" s="64">
        <f>DATEVALUE(tblLaborEntries[[#This Row],[Work date]])</f>
        <v>45662.0</v>
      </c>
    </row>
    <row r="3409" spans="1:9" ht="15" x14ac:dyDescent="0.25">
      <c r="A3409" s="53" t="inlineStr">
        <is>
          <t>LAB-003408</t>
        </is>
      </c>
      <c r="B3409" s="53" t="inlineStr">
        <is>
          <t>WP-01504</t>
        </is>
      </c>
      <c r="C3409" s="53" t="inlineStr">
        <is>
          <t>TECH-001</t>
        </is>
      </c>
      <c r="D3409" s="53" t="inlineStr">
        <is>
          <t>Airframe</t>
        </is>
      </c>
      <c r="E3409" s="53" t="inlineStr">
        <is>
          <t>2025-06-26</t>
        </is>
      </c>
      <c r="F3409" s="53">
        <v>2.1</v>
      </c>
      <c r="G3409" s="53">
        <v>0</v>
      </c>
      <c r="H3409" s="51" t="str">
        <f>TEXT(tblLaborEntries[[#This Row],[Work date serial]]-WEEKDAY(tblLaborEntries[[#This Row],[Work date serial]],3),"yyyy-mm-dd")</f>
        <v>2025-06-23</v>
      </c>
      <c r="I3409" s="64">
        <f>DATEVALUE(tblLaborEntries[[#This Row],[Work date]])</f>
        <v>45834.0</v>
      </c>
    </row>
    <row r="3410" spans="1:9" ht="15" x14ac:dyDescent="0.25">
      <c r="A3410" s="53" t="inlineStr">
        <is>
          <t>LAB-003409</t>
        </is>
      </c>
      <c r="B3410" s="53" t="inlineStr">
        <is>
          <t>WP-01504</t>
        </is>
      </c>
      <c r="C3410" s="53" t="inlineStr">
        <is>
          <t>TECH-037</t>
        </is>
      </c>
      <c r="D3410" s="53" t="inlineStr">
        <is>
          <t>Airframe</t>
        </is>
      </c>
      <c r="E3410" s="53" t="inlineStr">
        <is>
          <t>2025-06-27</t>
        </is>
      </c>
      <c r="F3410" s="53">
        <v>2.8</v>
      </c>
      <c r="G3410" s="53">
        <v>0</v>
      </c>
      <c r="H3410" s="51" t="str">
        <f>TEXT(tblLaborEntries[[#This Row],[Work date serial]]-WEEKDAY(tblLaborEntries[[#This Row],[Work date serial]],3),"yyyy-mm-dd")</f>
        <v>2025-06-23</v>
      </c>
      <c r="I3410" s="64">
        <f>DATEVALUE(tblLaborEntries[[#This Row],[Work date]])</f>
        <v>45835.0</v>
      </c>
    </row>
    <row r="3411" spans="1:9" ht="15" x14ac:dyDescent="0.25">
      <c r="A3411" s="53" t="inlineStr">
        <is>
          <t>LAB-003410</t>
        </is>
      </c>
      <c r="B3411" s="53" t="inlineStr">
        <is>
          <t>WP-01505</t>
        </is>
      </c>
      <c r="C3411" s="53" t="inlineStr">
        <is>
          <t>TECH-018</t>
        </is>
      </c>
      <c r="D3411" s="53" t="inlineStr">
        <is>
          <t>Powerplant</t>
        </is>
      </c>
      <c r="E3411" s="53" t="inlineStr">
        <is>
          <t>2025-07-25</t>
        </is>
      </c>
      <c r="F3411" s="53">
        <v>6.6</v>
      </c>
      <c r="G3411" s="53">
        <v>0</v>
      </c>
      <c r="H3411" s="51" t="str">
        <f>TEXT(tblLaborEntries[[#This Row],[Work date serial]]-WEEKDAY(tblLaborEntries[[#This Row],[Work date serial]],3),"yyyy-mm-dd")</f>
        <v>2025-07-21</v>
      </c>
      <c r="I3411" s="64">
        <f>DATEVALUE(tblLaborEntries[[#This Row],[Work date]])</f>
        <v>45863.0</v>
      </c>
    </row>
    <row r="3412" spans="1:9" ht="15" x14ac:dyDescent="0.25">
      <c r="A3412" s="53" t="inlineStr">
        <is>
          <t>LAB-003411</t>
        </is>
      </c>
      <c r="B3412" s="53" t="inlineStr">
        <is>
          <t>WP-01505</t>
        </is>
      </c>
      <c r="C3412" s="53" t="inlineStr">
        <is>
          <t>TECH-030</t>
        </is>
      </c>
      <c r="D3412" s="53" t="inlineStr">
        <is>
          <t>Powerplant</t>
        </is>
      </c>
      <c r="E3412" s="53" t="inlineStr">
        <is>
          <t>2025-07-26</t>
        </is>
      </c>
      <c r="F3412" s="53">
        <v>7.3</v>
      </c>
      <c r="G3412" s="53">
        <v>0</v>
      </c>
      <c r="H3412" s="51" t="str">
        <f>TEXT(tblLaborEntries[[#This Row],[Work date serial]]-WEEKDAY(tblLaborEntries[[#This Row],[Work date serial]],3),"yyyy-mm-dd")</f>
        <v>2025-07-21</v>
      </c>
      <c r="I3412" s="64">
        <f>DATEVALUE(tblLaborEntries[[#This Row],[Work date]])</f>
        <v>45864.0</v>
      </c>
    </row>
    <row r="3413" spans="1:9" ht="15" x14ac:dyDescent="0.25">
      <c r="A3413" s="53" t="inlineStr">
        <is>
          <t>LAB-003412</t>
        </is>
      </c>
      <c r="B3413" s="53" t="inlineStr">
        <is>
          <t>WP-01505</t>
        </is>
      </c>
      <c r="C3413" s="53" t="inlineStr">
        <is>
          <t>TECH-030</t>
        </is>
      </c>
      <c r="D3413" s="53" t="inlineStr">
        <is>
          <t>Powerplant</t>
        </is>
      </c>
      <c r="E3413" s="53" t="inlineStr">
        <is>
          <t>2025-07-27</t>
        </is>
      </c>
      <c r="F3413" s="53">
        <v>7.9</v>
      </c>
      <c r="G3413" s="53">
        <v>0</v>
      </c>
      <c r="H3413" s="51" t="str">
        <f>TEXT(tblLaborEntries[[#This Row],[Work date serial]]-WEEKDAY(tblLaborEntries[[#This Row],[Work date serial]],3),"yyyy-mm-dd")</f>
        <v>2025-07-21</v>
      </c>
      <c r="I3413" s="64">
        <f>DATEVALUE(tblLaborEntries[[#This Row],[Work date]])</f>
        <v>45865.0</v>
      </c>
    </row>
    <row r="3414" spans="1:9" ht="15" x14ac:dyDescent="0.25">
      <c r="A3414" s="53" t="inlineStr">
        <is>
          <t>LAB-003413</t>
        </is>
      </c>
      <c r="B3414" s="53" t="inlineStr">
        <is>
          <t>WP-01506</t>
        </is>
      </c>
      <c r="C3414" s="53" t="inlineStr">
        <is>
          <t>TECH-028</t>
        </is>
      </c>
      <c r="D3414" s="53" t="inlineStr">
        <is>
          <t>Electrical</t>
        </is>
      </c>
      <c r="E3414" s="53" t="inlineStr">
        <is>
          <t>2024-02-06</t>
        </is>
      </c>
      <c r="F3414" s="53">
        <v>3.7</v>
      </c>
      <c r="G3414" s="53">
        <v>0</v>
      </c>
      <c r="H3414" s="51" t="str">
        <f>TEXT(tblLaborEntries[[#This Row],[Work date serial]]-WEEKDAY(tblLaborEntries[[#This Row],[Work date serial]],3),"yyyy-mm-dd")</f>
        <v>2024-02-05</v>
      </c>
      <c r="I3414" s="64">
        <f>DATEVALUE(tblLaborEntries[[#This Row],[Work date]])</f>
        <v>45328.0</v>
      </c>
    </row>
    <row r="3415" spans="1:9" ht="15" x14ac:dyDescent="0.25">
      <c r="A3415" s="53" t="inlineStr">
        <is>
          <t>LAB-003414</t>
        </is>
      </c>
      <c r="B3415" s="53" t="inlineStr">
        <is>
          <t>WP-01506</t>
        </is>
      </c>
      <c r="C3415" s="53" t="inlineStr">
        <is>
          <t>TECH-022</t>
        </is>
      </c>
      <c r="D3415" s="53" t="inlineStr">
        <is>
          <t>Electrical</t>
        </is>
      </c>
      <c r="E3415" s="53" t="inlineStr">
        <is>
          <t>2024-02-07</t>
        </is>
      </c>
      <c r="F3415" s="53">
        <v>4.1</v>
      </c>
      <c r="G3415" s="53">
        <v>0</v>
      </c>
      <c r="H3415" s="51" t="str">
        <f>TEXT(tblLaborEntries[[#This Row],[Work date serial]]-WEEKDAY(tblLaborEntries[[#This Row],[Work date serial]],3),"yyyy-mm-dd")</f>
        <v>2024-02-05</v>
      </c>
      <c r="I3415" s="64">
        <f>DATEVALUE(tblLaborEntries[[#This Row],[Work date]])</f>
        <v>45329.0</v>
      </c>
    </row>
    <row r="3416" spans="1:9" ht="15" x14ac:dyDescent="0.25">
      <c r="A3416" s="53" t="inlineStr">
        <is>
          <t>LAB-003415</t>
        </is>
      </c>
      <c r="B3416" s="53" t="inlineStr">
        <is>
          <t>WP-01506</t>
        </is>
      </c>
      <c r="C3416" s="53" t="inlineStr">
        <is>
          <t>TECH-046</t>
        </is>
      </c>
      <c r="D3416" s="53" t="inlineStr">
        <is>
          <t>Electrical</t>
        </is>
      </c>
      <c r="E3416" s="53" t="inlineStr">
        <is>
          <t>2024-02-08</t>
        </is>
      </c>
      <c r="F3416" s="53">
        <v>4.3</v>
      </c>
      <c r="G3416" s="53">
        <v>0</v>
      </c>
      <c r="H3416" s="51" t="str">
        <f>TEXT(tblLaborEntries[[#This Row],[Work date serial]]-WEEKDAY(tblLaborEntries[[#This Row],[Work date serial]],3),"yyyy-mm-dd")</f>
        <v>2024-02-05</v>
      </c>
      <c r="I3416" s="64">
        <f>DATEVALUE(tblLaborEntries[[#This Row],[Work date]])</f>
        <v>45330.0</v>
      </c>
    </row>
    <row r="3417" spans="1:9" ht="15" x14ac:dyDescent="0.25">
      <c r="A3417" s="53" t="inlineStr">
        <is>
          <t>LAB-003416</t>
        </is>
      </c>
      <c r="B3417" s="53" t="inlineStr">
        <is>
          <t>WP-01507</t>
        </is>
      </c>
      <c r="C3417" s="53" t="inlineStr">
        <is>
          <t>TECH-032</t>
        </is>
      </c>
      <c r="D3417" s="53" t="inlineStr">
        <is>
          <t>Avionics</t>
        </is>
      </c>
      <c r="E3417" s="53" t="inlineStr">
        <is>
          <t>2025-09-09</t>
        </is>
      </c>
      <c r="F3417" s="53">
        <v>2</v>
      </c>
      <c r="G3417" s="53">
        <v>0</v>
      </c>
      <c r="H3417" s="51" t="str">
        <f>TEXT(tblLaborEntries[[#This Row],[Work date serial]]-WEEKDAY(tblLaborEntries[[#This Row],[Work date serial]],3),"yyyy-mm-dd")</f>
        <v>2025-09-08</v>
      </c>
      <c r="I3417" s="64">
        <f>DATEVALUE(tblLaborEntries[[#This Row],[Work date]])</f>
        <v>45909.0</v>
      </c>
    </row>
    <row r="3418" spans="1:9" ht="15" x14ac:dyDescent="0.25">
      <c r="A3418" s="53" t="inlineStr">
        <is>
          <t>LAB-003417</t>
        </is>
      </c>
      <c r="B3418" s="53" t="inlineStr">
        <is>
          <t>WP-01507</t>
        </is>
      </c>
      <c r="C3418" s="53" t="inlineStr">
        <is>
          <t>TECH-056</t>
        </is>
      </c>
      <c r="D3418" s="53" t="inlineStr">
        <is>
          <t>Avionics</t>
        </is>
      </c>
      <c r="E3418" s="53" t="inlineStr">
        <is>
          <t>2025-09-10</t>
        </is>
      </c>
      <c r="F3418" s="53">
        <v>1.6</v>
      </c>
      <c r="G3418" s="53">
        <v>0</v>
      </c>
      <c r="H3418" s="51" t="str">
        <f>TEXT(tblLaborEntries[[#This Row],[Work date serial]]-WEEKDAY(tblLaborEntries[[#This Row],[Work date serial]],3),"yyyy-mm-dd")</f>
        <v>2025-09-08</v>
      </c>
      <c r="I3418" s="64">
        <f>DATEVALUE(tblLaborEntries[[#This Row],[Work date]])</f>
        <v>45910.0</v>
      </c>
    </row>
    <row r="3419" spans="1:9" ht="15" x14ac:dyDescent="0.25">
      <c r="A3419" s="53" t="inlineStr">
        <is>
          <t>LAB-003418</t>
        </is>
      </c>
      <c r="B3419" s="53" t="inlineStr">
        <is>
          <t>WP-01508</t>
        </is>
      </c>
      <c r="C3419" s="53" t="inlineStr">
        <is>
          <t>TECH-005</t>
        </is>
      </c>
      <c r="D3419" s="53" t="inlineStr">
        <is>
          <t>Structures</t>
        </is>
      </c>
      <c r="E3419" s="53" t="inlineStr">
        <is>
          <t>2025-12-23</t>
        </is>
      </c>
      <c r="F3419" s="53">
        <v>4.7</v>
      </c>
      <c r="G3419" s="53">
        <v>0</v>
      </c>
      <c r="H3419" s="51" t="str">
        <f>TEXT(tblLaborEntries[[#This Row],[Work date serial]]-WEEKDAY(tblLaborEntries[[#This Row],[Work date serial]],3),"yyyy-mm-dd")</f>
        <v>2025-12-22</v>
      </c>
      <c r="I3419" s="64">
        <f>DATEVALUE(tblLaborEntries[[#This Row],[Work date]])</f>
        <v>46014.0</v>
      </c>
    </row>
    <row r="3420" spans="1:9" ht="15" x14ac:dyDescent="0.25">
      <c r="A3420" s="53" t="inlineStr">
        <is>
          <t>LAB-003419</t>
        </is>
      </c>
      <c r="B3420" s="53" t="inlineStr">
        <is>
          <t>WP-01508</t>
        </is>
      </c>
      <c r="C3420" s="53" t="inlineStr">
        <is>
          <t>TECH-023</t>
        </is>
      </c>
      <c r="D3420" s="53" t="inlineStr">
        <is>
          <t>Structures</t>
        </is>
      </c>
      <c r="E3420" s="53" t="inlineStr">
        <is>
          <t>2025-12-23</t>
        </is>
      </c>
      <c r="F3420" s="53">
        <v>4.8</v>
      </c>
      <c r="G3420" s="53">
        <v>4</v>
      </c>
      <c r="H3420" s="51" t="str">
        <f>TEXT(tblLaborEntries[[#This Row],[Work date serial]]-WEEKDAY(tblLaborEntries[[#This Row],[Work date serial]],3),"yyyy-mm-dd")</f>
        <v>2025-12-22</v>
      </c>
      <c r="I3420" s="64">
        <f>DATEVALUE(tblLaborEntries[[#This Row],[Work date]])</f>
        <v>46014.0</v>
      </c>
    </row>
    <row r="3421" spans="1:9" ht="15" x14ac:dyDescent="0.25">
      <c r="A3421" s="53" t="inlineStr">
        <is>
          <t>LAB-003420</t>
        </is>
      </c>
      <c r="B3421" s="53" t="inlineStr">
        <is>
          <t>WP-01509</t>
        </is>
      </c>
      <c r="C3421" s="53" t="inlineStr">
        <is>
          <t>TECH-028</t>
        </is>
      </c>
      <c r="D3421" s="53" t="inlineStr">
        <is>
          <t>Electrical</t>
        </is>
      </c>
      <c r="E3421" s="53" t="inlineStr">
        <is>
          <t>2025-09-10</t>
        </is>
      </c>
      <c r="F3421" s="53">
        <v>7.3</v>
      </c>
      <c r="G3421" s="53">
        <v>0</v>
      </c>
      <c r="H3421" s="51" t="str">
        <f>TEXT(tblLaborEntries[[#This Row],[Work date serial]]-WEEKDAY(tblLaborEntries[[#This Row],[Work date serial]],3),"yyyy-mm-dd")</f>
        <v>2025-09-08</v>
      </c>
      <c r="I3421" s="64">
        <f>DATEVALUE(tblLaborEntries[[#This Row],[Work date]])</f>
        <v>45910.0</v>
      </c>
    </row>
    <row r="3422" spans="1:9" ht="15" x14ac:dyDescent="0.25">
      <c r="A3422" s="53" t="inlineStr">
        <is>
          <t>LAB-003421</t>
        </is>
      </c>
      <c r="B3422" s="53" t="inlineStr">
        <is>
          <t>WP-01510</t>
        </is>
      </c>
      <c r="C3422" s="53" t="inlineStr">
        <is>
          <t>TECH-002</t>
        </is>
      </c>
      <c r="D3422" s="53" t="inlineStr">
        <is>
          <t>Avionics</t>
        </is>
      </c>
      <c r="E3422" s="53" t="inlineStr">
        <is>
          <t>2025-04-06</t>
        </is>
      </c>
      <c r="F3422" s="53">
        <v>4</v>
      </c>
      <c r="G3422" s="53">
        <v>0</v>
      </c>
      <c r="H3422" s="51" t="str">
        <f>TEXT(tblLaborEntries[[#This Row],[Work date serial]]-WEEKDAY(tblLaborEntries[[#This Row],[Work date serial]],3),"yyyy-mm-dd")</f>
        <v>2025-03-31</v>
      </c>
      <c r="I3422" s="64">
        <f>DATEVALUE(tblLaborEntries[[#This Row],[Work date]])</f>
        <v>45753.0</v>
      </c>
    </row>
    <row r="3423" spans="1:9" ht="15" x14ac:dyDescent="0.25">
      <c r="A3423" s="53" t="inlineStr">
        <is>
          <t>LAB-003422</t>
        </is>
      </c>
      <c r="B3423" s="53" t="inlineStr">
        <is>
          <t>WP-01510</t>
        </is>
      </c>
      <c r="C3423" s="53" t="inlineStr">
        <is>
          <t>TECH-056</t>
        </is>
      </c>
      <c r="D3423" s="53" t="inlineStr">
        <is>
          <t>Avionics</t>
        </is>
      </c>
      <c r="E3423" s="53" t="inlineStr">
        <is>
          <t>2025-04-06</t>
        </is>
      </c>
      <c r="F3423" s="53">
        <v>12</v>
      </c>
      <c r="G3423" s="53">
        <v>4</v>
      </c>
      <c r="H3423" s="51" t="str">
        <f>TEXT(tblLaborEntries[[#This Row],[Work date serial]]-WEEKDAY(tblLaborEntries[[#This Row],[Work date serial]],3),"yyyy-mm-dd")</f>
        <v>2025-03-31</v>
      </c>
      <c r="I3423" s="64">
        <f>DATEVALUE(tblLaborEntries[[#This Row],[Work date]])</f>
        <v>45753.0</v>
      </c>
    </row>
    <row r="3424" spans="1:9" ht="15" x14ac:dyDescent="0.25">
      <c r="A3424" s="53" t="inlineStr">
        <is>
          <t>LAB-003423</t>
        </is>
      </c>
      <c r="B3424" s="53" t="inlineStr">
        <is>
          <t>WP-01510</t>
        </is>
      </c>
      <c r="C3424" s="53" t="inlineStr">
        <is>
          <t>TECH-002</t>
        </is>
      </c>
      <c r="D3424" s="53" t="inlineStr">
        <is>
          <t>Avionics</t>
        </is>
      </c>
      <c r="E3424" s="53" t="inlineStr">
        <is>
          <t>2025-04-07</t>
        </is>
      </c>
      <c r="F3424" s="53">
        <v>10</v>
      </c>
      <c r="G3424" s="53">
        <v>2</v>
      </c>
      <c r="H3424" s="51" t="str">
        <f>TEXT(tblLaborEntries[[#This Row],[Work date serial]]-WEEKDAY(tblLaborEntries[[#This Row],[Work date serial]],3),"yyyy-mm-dd")</f>
        <v>2025-04-07</v>
      </c>
      <c r="I3424" s="64">
        <f>DATEVALUE(tblLaborEntries[[#This Row],[Work date]])</f>
        <v>45754.0</v>
      </c>
    </row>
    <row r="3425" spans="1:9" ht="15" x14ac:dyDescent="0.25">
      <c r="A3425" s="53" t="inlineStr">
        <is>
          <t>LAB-003424</t>
        </is>
      </c>
      <c r="B3425" s="53" t="inlineStr">
        <is>
          <t>WP-01510</t>
        </is>
      </c>
      <c r="C3425" s="53" t="inlineStr">
        <is>
          <t>TECH-044</t>
        </is>
      </c>
      <c r="D3425" s="53" t="inlineStr">
        <is>
          <t>Avionics</t>
        </is>
      </c>
      <c r="E3425" s="53" t="inlineStr">
        <is>
          <t>2025-04-07</t>
        </is>
      </c>
      <c r="F3425" s="53">
        <v>12</v>
      </c>
      <c r="G3425" s="53">
        <v>4</v>
      </c>
      <c r="H3425" s="51" t="str">
        <f>TEXT(tblLaborEntries[[#This Row],[Work date serial]]-WEEKDAY(tblLaborEntries[[#This Row],[Work date serial]],3),"yyyy-mm-dd")</f>
        <v>2025-04-07</v>
      </c>
      <c r="I3425" s="64">
        <f>DATEVALUE(tblLaborEntries[[#This Row],[Work date]])</f>
        <v>45754.0</v>
      </c>
    </row>
    <row r="3426" spans="1:9" ht="15" x14ac:dyDescent="0.25">
      <c r="A3426" s="53" t="inlineStr">
        <is>
          <t>LAB-003425</t>
        </is>
      </c>
      <c r="B3426" s="53" t="inlineStr">
        <is>
          <t>WP-01511</t>
        </is>
      </c>
      <c r="C3426" s="53" t="inlineStr">
        <is>
          <t>TECH-037</t>
        </is>
      </c>
      <c r="D3426" s="53" t="inlineStr">
        <is>
          <t>Airframe</t>
        </is>
      </c>
      <c r="E3426" s="53" t="inlineStr">
        <is>
          <t>2025-06-08</t>
        </is>
      </c>
      <c r="F3426" s="53">
        <v>6.6</v>
      </c>
      <c r="G3426" s="53">
        <v>0</v>
      </c>
      <c r="H3426" s="51" t="str">
        <f>TEXT(tblLaborEntries[[#This Row],[Work date serial]]-WEEKDAY(tblLaborEntries[[#This Row],[Work date serial]],3),"yyyy-mm-dd")</f>
        <v>2025-06-02</v>
      </c>
      <c r="I3426" s="64">
        <f>DATEVALUE(tblLaborEntries[[#This Row],[Work date]])</f>
        <v>45816.0</v>
      </c>
    </row>
    <row r="3427" spans="1:9" ht="15" x14ac:dyDescent="0.25">
      <c r="A3427" s="53" t="inlineStr">
        <is>
          <t>LAB-003426</t>
        </is>
      </c>
      <c r="B3427" s="53" t="inlineStr">
        <is>
          <t>WP-01512</t>
        </is>
      </c>
      <c r="C3427" s="53" t="inlineStr">
        <is>
          <t>TECH-040</t>
        </is>
      </c>
      <c r="D3427" s="53" t="inlineStr">
        <is>
          <t>Electrical</t>
        </is>
      </c>
      <c r="E3427" s="53" t="inlineStr">
        <is>
          <t>2025-04-25</t>
        </is>
      </c>
      <c r="F3427" s="53">
        <v>5.8</v>
      </c>
      <c r="G3427" s="53">
        <v>0</v>
      </c>
      <c r="H3427" s="51" t="str">
        <f>TEXT(tblLaborEntries[[#This Row],[Work date serial]]-WEEKDAY(tblLaborEntries[[#This Row],[Work date serial]],3),"yyyy-mm-dd")</f>
        <v>2025-04-21</v>
      </c>
      <c r="I3427" s="64">
        <f>DATEVALUE(tblLaborEntries[[#This Row],[Work date]])</f>
        <v>45772.0</v>
      </c>
    </row>
    <row r="3428" spans="1:9" ht="15" x14ac:dyDescent="0.25">
      <c r="A3428" s="53" t="inlineStr">
        <is>
          <t>LAB-003427</t>
        </is>
      </c>
      <c r="B3428" s="53" t="inlineStr">
        <is>
          <t>WP-01512</t>
        </is>
      </c>
      <c r="C3428" s="53" t="inlineStr">
        <is>
          <t>TECH-004</t>
        </is>
      </c>
      <c r="D3428" s="53" t="inlineStr">
        <is>
          <t>Electrical</t>
        </is>
      </c>
      <c r="E3428" s="53" t="inlineStr">
        <is>
          <t>2025-04-26</t>
        </is>
      </c>
      <c r="F3428" s="53">
        <v>7.5</v>
      </c>
      <c r="G3428" s="53">
        <v>0</v>
      </c>
      <c r="H3428" s="51" t="str">
        <f>TEXT(tblLaborEntries[[#This Row],[Work date serial]]-WEEKDAY(tblLaborEntries[[#This Row],[Work date serial]],3),"yyyy-mm-dd")</f>
        <v>2025-04-21</v>
      </c>
      <c r="I3428" s="64">
        <f>DATEVALUE(tblLaborEntries[[#This Row],[Work date]])</f>
        <v>45773.0</v>
      </c>
    </row>
    <row r="3429" spans="1:9" ht="15" x14ac:dyDescent="0.25">
      <c r="A3429" s="53" t="inlineStr">
        <is>
          <t>LAB-003428</t>
        </is>
      </c>
      <c r="B3429" s="53" t="inlineStr">
        <is>
          <t>WP-01512</t>
        </is>
      </c>
      <c r="C3429" s="53" t="inlineStr">
        <is>
          <t>TECH-016</t>
        </is>
      </c>
      <c r="D3429" s="53" t="inlineStr">
        <is>
          <t>Electrical</t>
        </is>
      </c>
      <c r="E3429" s="53" t="inlineStr">
        <is>
          <t>2025-04-27</t>
        </is>
      </c>
      <c r="F3429" s="53">
        <v>6.9</v>
      </c>
      <c r="G3429" s="53">
        <v>0</v>
      </c>
      <c r="H3429" s="51" t="str">
        <f>TEXT(tblLaborEntries[[#This Row],[Work date serial]]-WEEKDAY(tblLaborEntries[[#This Row],[Work date serial]],3),"yyyy-mm-dd")</f>
        <v>2025-04-21</v>
      </c>
      <c r="I3429" s="64">
        <f>DATEVALUE(tblLaborEntries[[#This Row],[Work date]])</f>
        <v>45774.0</v>
      </c>
    </row>
    <row r="3430" spans="1:9" ht="15" x14ac:dyDescent="0.25">
      <c r="A3430" s="53" t="inlineStr">
        <is>
          <t>LAB-003429</t>
        </is>
      </c>
      <c r="B3430" s="53" t="inlineStr">
        <is>
          <t>WP-01513</t>
        </is>
      </c>
      <c r="C3430" s="53" t="inlineStr">
        <is>
          <t>TECH-062</t>
        </is>
      </c>
      <c r="D3430" s="53" t="inlineStr">
        <is>
          <t>Avionics</t>
        </is>
      </c>
      <c r="E3430" s="53" t="inlineStr">
        <is>
          <t>2025-06-07</t>
        </is>
      </c>
      <c r="F3430" s="53">
        <v>4.9</v>
      </c>
      <c r="G3430" s="53">
        <v>0</v>
      </c>
      <c r="H3430" s="51" t="str">
        <f>TEXT(tblLaborEntries[[#This Row],[Work date serial]]-WEEKDAY(tblLaborEntries[[#This Row],[Work date serial]],3),"yyyy-mm-dd")</f>
        <v>2025-06-02</v>
      </c>
      <c r="I3430" s="64">
        <f>DATEVALUE(tblLaborEntries[[#This Row],[Work date]])</f>
        <v>45815.0</v>
      </c>
    </row>
    <row r="3431" spans="1:9" ht="15" x14ac:dyDescent="0.25">
      <c r="A3431" s="53" t="inlineStr">
        <is>
          <t>LAB-003430</t>
        </is>
      </c>
      <c r="B3431" s="53" t="inlineStr">
        <is>
          <t>WP-01513</t>
        </is>
      </c>
      <c r="C3431" s="53" t="inlineStr">
        <is>
          <t>TECH-062</t>
        </is>
      </c>
      <c r="D3431" s="53" t="inlineStr">
        <is>
          <t>Avionics</t>
        </is>
      </c>
      <c r="E3431" s="53" t="inlineStr">
        <is>
          <t>2025-06-08</t>
        </is>
      </c>
      <c r="F3431" s="53">
        <v>3.8</v>
      </c>
      <c r="G3431" s="53">
        <v>0</v>
      </c>
      <c r="H3431" s="51" t="str">
        <f>TEXT(tblLaborEntries[[#This Row],[Work date serial]]-WEEKDAY(tblLaborEntries[[#This Row],[Work date serial]],3),"yyyy-mm-dd")</f>
        <v>2025-06-02</v>
      </c>
      <c r="I3431" s="64">
        <f>DATEVALUE(tblLaborEntries[[#This Row],[Work date]])</f>
        <v>45816.0</v>
      </c>
    </row>
    <row r="3432" spans="1:9" ht="15" x14ac:dyDescent="0.25">
      <c r="A3432" s="53" t="inlineStr">
        <is>
          <t>LAB-003431</t>
        </is>
      </c>
      <c r="B3432" s="53" t="inlineStr">
        <is>
          <t>WP-01513</t>
        </is>
      </c>
      <c r="C3432" s="53" t="inlineStr">
        <is>
          <t>TECH-074</t>
        </is>
      </c>
      <c r="D3432" s="53" t="inlineStr">
        <is>
          <t>Avionics</t>
        </is>
      </c>
      <c r="E3432" s="53" t="inlineStr">
        <is>
          <t>2025-06-09</t>
        </is>
      </c>
      <c r="F3432" s="53">
        <v>4.4</v>
      </c>
      <c r="G3432" s="53">
        <v>0</v>
      </c>
      <c r="H3432" s="51" t="str">
        <f>TEXT(tblLaborEntries[[#This Row],[Work date serial]]-WEEKDAY(tblLaborEntries[[#This Row],[Work date serial]],3),"yyyy-mm-dd")</f>
        <v>2025-06-09</v>
      </c>
      <c r="I3432" s="64">
        <f>DATEVALUE(tblLaborEntries[[#This Row],[Work date]])</f>
        <v>45817.0</v>
      </c>
    </row>
    <row r="3433" spans="1:9" ht="15" x14ac:dyDescent="0.25">
      <c r="A3433" s="53" t="inlineStr">
        <is>
          <t>LAB-003432</t>
        </is>
      </c>
      <c r="B3433" s="53" t="inlineStr">
        <is>
          <t>WP-01514</t>
        </is>
      </c>
      <c r="C3433" s="53" t="inlineStr">
        <is>
          <t>TECH-055</t>
        </is>
      </c>
      <c r="D3433" s="53" t="inlineStr">
        <is>
          <t>Airframe</t>
        </is>
      </c>
      <c r="E3433" s="53" t="inlineStr">
        <is>
          <t>2025-09-01</t>
        </is>
      </c>
      <c r="F3433" s="53">
        <v>1.1</v>
      </c>
      <c r="G3433" s="53">
        <v>0</v>
      </c>
      <c r="H3433" s="51" t="str">
        <f>TEXT(tblLaborEntries[[#This Row],[Work date serial]]-WEEKDAY(tblLaborEntries[[#This Row],[Work date serial]],3),"yyyy-mm-dd")</f>
        <v>2025-09-01</v>
      </c>
      <c r="I3433" s="64">
        <f>DATEVALUE(tblLaborEntries[[#This Row],[Work date]])</f>
        <v>45901.0</v>
      </c>
    </row>
    <row r="3434" spans="1:9" ht="15" x14ac:dyDescent="0.25">
      <c r="A3434" s="53" t="inlineStr">
        <is>
          <t>LAB-003433</t>
        </is>
      </c>
      <c r="B3434" s="53" t="inlineStr">
        <is>
          <t>WP-01514</t>
        </is>
      </c>
      <c r="C3434" s="53" t="inlineStr">
        <is>
          <t>TECH-049</t>
        </is>
      </c>
      <c r="D3434" s="53" t="inlineStr">
        <is>
          <t>Airframe</t>
        </is>
      </c>
      <c r="E3434" s="53" t="inlineStr">
        <is>
          <t>2025-09-02</t>
        </is>
      </c>
      <c r="F3434" s="53">
        <v>0.8</v>
      </c>
      <c r="G3434" s="53">
        <v>0</v>
      </c>
      <c r="H3434" s="51" t="str">
        <f>TEXT(tblLaborEntries[[#This Row],[Work date serial]]-WEEKDAY(tblLaborEntries[[#This Row],[Work date serial]],3),"yyyy-mm-dd")</f>
        <v>2025-09-01</v>
      </c>
      <c r="I3434" s="64">
        <f>DATEVALUE(tblLaborEntries[[#This Row],[Work date]])</f>
        <v>45902.0</v>
      </c>
    </row>
    <row r="3435" spans="1:9" ht="15" x14ac:dyDescent="0.25">
      <c r="A3435" s="53" t="inlineStr">
        <is>
          <t>LAB-003434</t>
        </is>
      </c>
      <c r="B3435" s="53" t="inlineStr">
        <is>
          <t>WP-01515</t>
        </is>
      </c>
      <c r="C3435" s="53" t="inlineStr">
        <is>
          <t>TECH-050</t>
        </is>
      </c>
      <c r="D3435" s="53" t="inlineStr">
        <is>
          <t>Avionics</t>
        </is>
      </c>
      <c r="E3435" s="53" t="inlineStr">
        <is>
          <t>2025-01-27</t>
        </is>
      </c>
      <c r="F3435" s="53">
        <v>2.1</v>
      </c>
      <c r="G3435" s="53">
        <v>0</v>
      </c>
      <c r="H3435" s="51" t="str">
        <f>TEXT(tblLaborEntries[[#This Row],[Work date serial]]-WEEKDAY(tblLaborEntries[[#This Row],[Work date serial]],3),"yyyy-mm-dd")</f>
        <v>2025-01-27</v>
      </c>
      <c r="I3435" s="64">
        <f>DATEVALUE(tblLaborEntries[[#This Row],[Work date]])</f>
        <v>45684.0</v>
      </c>
    </row>
    <row r="3436" spans="1:9" ht="15" x14ac:dyDescent="0.25">
      <c r="A3436" s="53" t="inlineStr">
        <is>
          <t>LAB-003435</t>
        </is>
      </c>
      <c r="B3436" s="53" t="inlineStr">
        <is>
          <t>WP-01515</t>
        </is>
      </c>
      <c r="C3436" s="53" t="inlineStr">
        <is>
          <t>TECH-038</t>
        </is>
      </c>
      <c r="D3436" s="53" t="inlineStr">
        <is>
          <t>Avionics</t>
        </is>
      </c>
      <c r="E3436" s="53" t="inlineStr">
        <is>
          <t>2025-01-28</t>
        </is>
      </c>
      <c r="F3436" s="53">
        <v>1.6</v>
      </c>
      <c r="G3436" s="53">
        <v>0</v>
      </c>
      <c r="H3436" s="51" t="str">
        <f>TEXT(tblLaborEntries[[#This Row],[Work date serial]]-WEEKDAY(tblLaborEntries[[#This Row],[Work date serial]],3),"yyyy-mm-dd")</f>
        <v>2025-01-27</v>
      </c>
      <c r="I3436" s="64">
        <f>DATEVALUE(tblLaborEntries[[#This Row],[Work date]])</f>
        <v>45685.0</v>
      </c>
    </row>
    <row r="3437" spans="1:9" ht="15" x14ac:dyDescent="0.25">
      <c r="A3437" s="53" t="inlineStr">
        <is>
          <t>LAB-003436</t>
        </is>
      </c>
      <c r="B3437" s="53" t="inlineStr">
        <is>
          <t>WP-01516</t>
        </is>
      </c>
      <c r="C3437" s="53" t="inlineStr">
        <is>
          <t>TECH-052</t>
        </is>
      </c>
      <c r="D3437" s="53" t="inlineStr">
        <is>
          <t>Electrical</t>
        </is>
      </c>
      <c r="E3437" s="53" t="inlineStr">
        <is>
          <t>2025-03-04</t>
        </is>
      </c>
      <c r="F3437" s="53">
        <v>10.1</v>
      </c>
      <c r="G3437" s="53">
        <v>2.1</v>
      </c>
      <c r="H3437" s="51" t="str">
        <f>TEXT(tblLaborEntries[[#This Row],[Work date serial]]-WEEKDAY(tblLaborEntries[[#This Row],[Work date serial]],3),"yyyy-mm-dd")</f>
        <v>2025-03-03</v>
      </c>
      <c r="I3437" s="64">
        <f>DATEVALUE(tblLaborEntries[[#This Row],[Work date]])</f>
        <v>45720.0</v>
      </c>
    </row>
    <row r="3438" spans="1:9" ht="15" x14ac:dyDescent="0.25">
      <c r="A3438" s="53" t="inlineStr">
        <is>
          <t>LAB-003437</t>
        </is>
      </c>
      <c r="B3438" s="53" t="inlineStr">
        <is>
          <t>WP-01517</t>
        </is>
      </c>
      <c r="C3438" s="53" t="inlineStr">
        <is>
          <t>TECH-001</t>
        </is>
      </c>
      <c r="D3438" s="53" t="inlineStr">
        <is>
          <t>Airframe</t>
        </is>
      </c>
      <c r="E3438" s="53" t="inlineStr">
        <is>
          <t>2025-10-23</t>
        </is>
      </c>
      <c r="F3438" s="53">
        <v>6.2</v>
      </c>
      <c r="G3438" s="53">
        <v>0</v>
      </c>
      <c r="H3438" s="51" t="str">
        <f>TEXT(tblLaborEntries[[#This Row],[Work date serial]]-WEEKDAY(tblLaborEntries[[#This Row],[Work date serial]],3),"yyyy-mm-dd")</f>
        <v>2025-10-20</v>
      </c>
      <c r="I3438" s="64">
        <f>DATEVALUE(tblLaborEntries[[#This Row],[Work date]])</f>
        <v>45953.0</v>
      </c>
    </row>
    <row r="3439" spans="1:9" ht="15" x14ac:dyDescent="0.25">
      <c r="A3439" s="53" t="inlineStr">
        <is>
          <t>LAB-003438</t>
        </is>
      </c>
      <c r="B3439" s="53" t="inlineStr">
        <is>
          <t>WP-01517</t>
        </is>
      </c>
      <c r="C3439" s="53" t="inlineStr">
        <is>
          <t>TECH-061</t>
        </is>
      </c>
      <c r="D3439" s="53" t="inlineStr">
        <is>
          <t>Airframe</t>
        </is>
      </c>
      <c r="E3439" s="53" t="inlineStr">
        <is>
          <t>2025-10-23</t>
        </is>
      </c>
      <c r="F3439" s="53">
        <v>10</v>
      </c>
      <c r="G3439" s="53">
        <v>4</v>
      </c>
      <c r="H3439" s="51" t="str">
        <f>TEXT(tblLaborEntries[[#This Row],[Work date serial]]-WEEKDAY(tblLaborEntries[[#This Row],[Work date serial]],3),"yyyy-mm-dd")</f>
        <v>2025-10-20</v>
      </c>
      <c r="I3439" s="64">
        <f>DATEVALUE(tblLaborEntries[[#This Row],[Work date]])</f>
        <v>45953.0</v>
      </c>
    </row>
    <row r="3440" spans="1:9" ht="15" x14ac:dyDescent="0.25">
      <c r="A3440" s="53" t="inlineStr">
        <is>
          <t>LAB-003439</t>
        </is>
      </c>
      <c r="B3440" s="53" t="inlineStr">
        <is>
          <t>WP-01518</t>
        </is>
      </c>
      <c r="C3440" s="53" t="inlineStr">
        <is>
          <t>TECH-073</t>
        </is>
      </c>
      <c r="D3440" s="53" t="inlineStr">
        <is>
          <t>Airframe</t>
        </is>
      </c>
      <c r="E3440" s="53" t="inlineStr">
        <is>
          <t>2025-02-04</t>
        </is>
      </c>
      <c r="F3440" s="53">
        <v>2</v>
      </c>
      <c r="G3440" s="53">
        <v>0</v>
      </c>
      <c r="H3440" s="51" t="str">
        <f>TEXT(tblLaborEntries[[#This Row],[Work date serial]]-WEEKDAY(tblLaborEntries[[#This Row],[Work date serial]],3),"yyyy-mm-dd")</f>
        <v>2025-02-03</v>
      </c>
      <c r="I3440" s="64">
        <f>DATEVALUE(tblLaborEntries[[#This Row],[Work date]])</f>
        <v>45692.0</v>
      </c>
    </row>
    <row r="3441" spans="1:9" ht="15" x14ac:dyDescent="0.25">
      <c r="A3441" s="53" t="inlineStr">
        <is>
          <t>LAB-003440</t>
        </is>
      </c>
      <c r="B3441" s="53" t="inlineStr">
        <is>
          <t>WP-01518</t>
        </is>
      </c>
      <c r="C3441" s="53" t="inlineStr">
        <is>
          <t>TECH-013</t>
        </is>
      </c>
      <c r="D3441" s="53" t="inlineStr">
        <is>
          <t>Airframe</t>
        </is>
      </c>
      <c r="E3441" s="53" t="inlineStr">
        <is>
          <t>2025-02-05</t>
        </is>
      </c>
      <c r="F3441" s="53">
        <v>2.1</v>
      </c>
      <c r="G3441" s="53">
        <v>0</v>
      </c>
      <c r="H3441" s="51" t="str">
        <f>TEXT(tblLaborEntries[[#This Row],[Work date serial]]-WEEKDAY(tblLaborEntries[[#This Row],[Work date serial]],3),"yyyy-mm-dd")</f>
        <v>2025-02-03</v>
      </c>
      <c r="I3441" s="64">
        <f>DATEVALUE(tblLaborEntries[[#This Row],[Work date]])</f>
        <v>45693.0</v>
      </c>
    </row>
    <row r="3442" spans="1:9" ht="15" x14ac:dyDescent="0.25">
      <c r="A3442" s="53" t="inlineStr">
        <is>
          <t>LAB-003441</t>
        </is>
      </c>
      <c r="B3442" s="53" t="inlineStr">
        <is>
          <t>WP-01518</t>
        </is>
      </c>
      <c r="C3442" s="53" t="inlineStr">
        <is>
          <t>TECH-001</t>
        </is>
      </c>
      <c r="D3442" s="53" t="inlineStr">
        <is>
          <t>Airframe</t>
        </is>
      </c>
      <c r="E3442" s="53" t="inlineStr">
        <is>
          <t>2025-02-06</t>
        </is>
      </c>
      <c r="F3442" s="53">
        <v>2.3</v>
      </c>
      <c r="G3442" s="53">
        <v>0</v>
      </c>
      <c r="H3442" s="51" t="str">
        <f>TEXT(tblLaborEntries[[#This Row],[Work date serial]]-WEEKDAY(tblLaborEntries[[#This Row],[Work date serial]],3),"yyyy-mm-dd")</f>
        <v>2025-02-03</v>
      </c>
      <c r="I3442" s="64">
        <f>DATEVALUE(tblLaborEntries[[#This Row],[Work date]])</f>
        <v>45694.0</v>
      </c>
    </row>
    <row r="3443" spans="1:9" ht="15" x14ac:dyDescent="0.25">
      <c r="A3443" s="53" t="inlineStr">
        <is>
          <t>LAB-003442</t>
        </is>
      </c>
      <c r="B3443" s="53" t="inlineStr">
        <is>
          <t>WP-01519</t>
        </is>
      </c>
      <c r="C3443" s="53" t="inlineStr">
        <is>
          <t>TECH-056</t>
        </is>
      </c>
      <c r="D3443" s="53" t="inlineStr">
        <is>
          <t>Avionics</t>
        </is>
      </c>
      <c r="E3443" s="53" t="inlineStr">
        <is>
          <t>2024-12-10</t>
        </is>
      </c>
      <c r="F3443" s="53">
        <v>8.4</v>
      </c>
      <c r="G3443" s="53">
        <v>0.4</v>
      </c>
      <c r="H3443" s="51" t="str">
        <f>TEXT(tblLaborEntries[[#This Row],[Work date serial]]-WEEKDAY(tblLaborEntries[[#This Row],[Work date serial]],3),"yyyy-mm-dd")</f>
        <v>2024-12-09</v>
      </c>
      <c r="I3443" s="64">
        <f>DATEVALUE(tblLaborEntries[[#This Row],[Work date]])</f>
        <v>45636.0</v>
      </c>
    </row>
    <row r="3444" spans="1:9" ht="15" x14ac:dyDescent="0.25">
      <c r="A3444" s="53" t="inlineStr">
        <is>
          <t>LAB-003443</t>
        </is>
      </c>
      <c r="B3444" s="53" t="inlineStr">
        <is>
          <t>WP-01520</t>
        </is>
      </c>
      <c r="C3444" s="53" t="inlineStr">
        <is>
          <t>TECH-001</t>
        </is>
      </c>
      <c r="D3444" s="53" t="inlineStr">
        <is>
          <t>Airframe</t>
        </is>
      </c>
      <c r="E3444" s="53" t="inlineStr">
        <is>
          <t>2024-04-22</t>
        </is>
      </c>
      <c r="F3444" s="53">
        <v>1</v>
      </c>
      <c r="G3444" s="53">
        <v>0</v>
      </c>
      <c r="H3444" s="51" t="str">
        <f>TEXT(tblLaborEntries[[#This Row],[Work date serial]]-WEEKDAY(tblLaborEntries[[#This Row],[Work date serial]],3),"yyyy-mm-dd")</f>
        <v>2024-04-22</v>
      </c>
      <c r="I3444" s="64">
        <f>DATEVALUE(tblLaborEntries[[#This Row],[Work date]])</f>
        <v>45404.0</v>
      </c>
    </row>
    <row r="3445" spans="1:9" ht="15" x14ac:dyDescent="0.25">
      <c r="A3445" s="53" t="inlineStr">
        <is>
          <t>LAB-003444</t>
        </is>
      </c>
      <c r="B3445" s="53" t="inlineStr">
        <is>
          <t>WP-01520</t>
        </is>
      </c>
      <c r="C3445" s="53" t="inlineStr">
        <is>
          <t>TECH-019</t>
        </is>
      </c>
      <c r="D3445" s="53" t="inlineStr">
        <is>
          <t>Airframe</t>
        </is>
      </c>
      <c r="E3445" s="53" t="inlineStr">
        <is>
          <t>2024-04-22</t>
        </is>
      </c>
      <c r="F3445" s="53">
        <v>10.6</v>
      </c>
      <c r="G3445" s="53">
        <v>2.6</v>
      </c>
      <c r="H3445" s="51" t="str">
        <f>TEXT(tblLaborEntries[[#This Row],[Work date serial]]-WEEKDAY(tblLaborEntries[[#This Row],[Work date serial]],3),"yyyy-mm-dd")</f>
        <v>2024-04-22</v>
      </c>
      <c r="I3445" s="64">
        <f>DATEVALUE(tblLaborEntries[[#This Row],[Work date]])</f>
        <v>45404.0</v>
      </c>
    </row>
    <row r="3446" spans="1:9" ht="15" x14ac:dyDescent="0.25">
      <c r="A3446" s="53" t="inlineStr">
        <is>
          <t>LAB-003445</t>
        </is>
      </c>
      <c r="B3446" s="53" t="inlineStr">
        <is>
          <t>WP-01521</t>
        </is>
      </c>
      <c r="C3446" s="53" t="inlineStr">
        <is>
          <t>TECH-038</t>
        </is>
      </c>
      <c r="D3446" s="53" t="inlineStr">
        <is>
          <t>Avionics</t>
        </is>
      </c>
      <c r="E3446" s="53" t="inlineStr">
        <is>
          <t>2025-06-04</t>
        </is>
      </c>
      <c r="F3446" s="53">
        <v>6.8</v>
      </c>
      <c r="G3446" s="53">
        <v>0</v>
      </c>
      <c r="H3446" s="51" t="str">
        <f>TEXT(tblLaborEntries[[#This Row],[Work date serial]]-WEEKDAY(tblLaborEntries[[#This Row],[Work date serial]],3),"yyyy-mm-dd")</f>
        <v>2025-06-02</v>
      </c>
      <c r="I3446" s="64">
        <f>DATEVALUE(tblLaborEntries[[#This Row],[Work date]])</f>
        <v>45812.0</v>
      </c>
    </row>
    <row r="3447" spans="1:9" ht="15" x14ac:dyDescent="0.25">
      <c r="A3447" s="53" t="inlineStr">
        <is>
          <t>LAB-003446</t>
        </is>
      </c>
      <c r="B3447" s="53" t="inlineStr">
        <is>
          <t>WP-01522</t>
        </is>
      </c>
      <c r="C3447" s="53" t="inlineStr">
        <is>
          <t>TECH-008</t>
        </is>
      </c>
      <c r="D3447" s="53" t="inlineStr">
        <is>
          <t>Avionics</t>
        </is>
      </c>
      <c r="E3447" s="53" t="inlineStr">
        <is>
          <t>2024-04-17</t>
        </is>
      </c>
      <c r="F3447" s="53">
        <v>3.6</v>
      </c>
      <c r="G3447" s="53">
        <v>0</v>
      </c>
      <c r="H3447" s="51" t="str">
        <f>TEXT(tblLaborEntries[[#This Row],[Work date serial]]-WEEKDAY(tblLaborEntries[[#This Row],[Work date serial]],3),"yyyy-mm-dd")</f>
        <v>2024-04-15</v>
      </c>
      <c r="I3447" s="64">
        <f>DATEVALUE(tblLaborEntries[[#This Row],[Work date]])</f>
        <v>45399.0</v>
      </c>
    </row>
    <row r="3448" spans="1:9" ht="15" x14ac:dyDescent="0.25">
      <c r="A3448" s="53" t="inlineStr">
        <is>
          <t>LAB-003447</t>
        </is>
      </c>
      <c r="B3448" s="53" t="inlineStr">
        <is>
          <t>WP-01522</t>
        </is>
      </c>
      <c r="C3448" s="53" t="inlineStr">
        <is>
          <t>TECH-050</t>
        </is>
      </c>
      <c r="D3448" s="53" t="inlineStr">
        <is>
          <t>Avionics</t>
        </is>
      </c>
      <c r="E3448" s="53" t="inlineStr">
        <is>
          <t>2024-04-18</t>
        </is>
      </c>
      <c r="F3448" s="53">
        <v>2.6</v>
      </c>
      <c r="G3448" s="53">
        <v>0</v>
      </c>
      <c r="H3448" s="51" t="str">
        <f>TEXT(tblLaborEntries[[#This Row],[Work date serial]]-WEEKDAY(tblLaborEntries[[#This Row],[Work date serial]],3),"yyyy-mm-dd")</f>
        <v>2024-04-15</v>
      </c>
      <c r="I3448" s="64">
        <f>DATEVALUE(tblLaborEntries[[#This Row],[Work date]])</f>
        <v>45400.0</v>
      </c>
    </row>
    <row r="3449" spans="1:9" ht="15" x14ac:dyDescent="0.25">
      <c r="A3449" s="53" t="inlineStr">
        <is>
          <t>LAB-003448</t>
        </is>
      </c>
      <c r="B3449" s="53" t="inlineStr">
        <is>
          <t>WP-01523</t>
        </is>
      </c>
      <c r="C3449" s="53" t="inlineStr">
        <is>
          <t>TECH-012</t>
        </is>
      </c>
      <c r="D3449" s="53" t="inlineStr">
        <is>
          <t>Powerplant</t>
        </is>
      </c>
      <c r="E3449" s="53" t="inlineStr">
        <is>
          <t>2024-01-26</t>
        </is>
      </c>
      <c r="F3449" s="53">
        <v>9.7</v>
      </c>
      <c r="G3449" s="53">
        <v>1.7</v>
      </c>
      <c r="H3449" s="51" t="str">
        <f>TEXT(tblLaborEntries[[#This Row],[Work date serial]]-WEEKDAY(tblLaborEntries[[#This Row],[Work date serial]],3),"yyyy-mm-dd")</f>
        <v>2024-01-22</v>
      </c>
      <c r="I3449" s="64">
        <f>DATEVALUE(tblLaborEntries[[#This Row],[Work date]])</f>
        <v>45317.0</v>
      </c>
    </row>
    <row r="3450" spans="1:9" ht="15" x14ac:dyDescent="0.25">
      <c r="A3450" s="53" t="inlineStr">
        <is>
          <t>LAB-003449</t>
        </is>
      </c>
      <c r="B3450" s="53" t="inlineStr">
        <is>
          <t>WP-01523</t>
        </is>
      </c>
      <c r="C3450" s="53" t="inlineStr">
        <is>
          <t>TECH-018</t>
        </is>
      </c>
      <c r="D3450" s="53" t="inlineStr">
        <is>
          <t>Powerplant</t>
        </is>
      </c>
      <c r="E3450" s="53" t="inlineStr">
        <is>
          <t>2024-01-27</t>
        </is>
      </c>
      <c r="F3450" s="53">
        <v>7.8</v>
      </c>
      <c r="G3450" s="53">
        <v>0</v>
      </c>
      <c r="H3450" s="51" t="str">
        <f>TEXT(tblLaborEntries[[#This Row],[Work date serial]]-WEEKDAY(tblLaborEntries[[#This Row],[Work date serial]],3),"yyyy-mm-dd")</f>
        <v>2024-01-22</v>
      </c>
      <c r="I3450" s="64">
        <f>DATEVALUE(tblLaborEntries[[#This Row],[Work date]])</f>
        <v>45318.0</v>
      </c>
    </row>
    <row r="3451" spans="1:9" ht="15" x14ac:dyDescent="0.25">
      <c r="A3451" s="53" t="inlineStr">
        <is>
          <t>LAB-003450</t>
        </is>
      </c>
      <c r="B3451" s="53" t="inlineStr">
        <is>
          <t>WP-01524</t>
        </is>
      </c>
      <c r="C3451" s="53" t="inlineStr">
        <is>
          <t>TECH-004</t>
        </is>
      </c>
      <c r="D3451" s="53" t="inlineStr">
        <is>
          <t>Electrical</t>
        </is>
      </c>
      <c r="E3451" s="53" t="inlineStr">
        <is>
          <t>2025-03-25</t>
        </is>
      </c>
      <c r="F3451" s="53">
        <v>3.4</v>
      </c>
      <c r="G3451" s="53">
        <v>0</v>
      </c>
      <c r="H3451" s="51" t="str">
        <f>TEXT(tblLaborEntries[[#This Row],[Work date serial]]-WEEKDAY(tblLaborEntries[[#This Row],[Work date serial]],3),"yyyy-mm-dd")</f>
        <v>2025-03-24</v>
      </c>
      <c r="I3451" s="64">
        <f>DATEVALUE(tblLaborEntries[[#This Row],[Work date]])</f>
        <v>45741.0</v>
      </c>
    </row>
    <row r="3452" spans="1:9" ht="15" x14ac:dyDescent="0.25">
      <c r="A3452" s="53" t="inlineStr">
        <is>
          <t>LAB-003451</t>
        </is>
      </c>
      <c r="B3452" s="53" t="inlineStr">
        <is>
          <t>WP-01524</t>
        </is>
      </c>
      <c r="C3452" s="53" t="inlineStr">
        <is>
          <t>TECH-016</t>
        </is>
      </c>
      <c r="D3452" s="53" t="inlineStr">
        <is>
          <t>Electrical</t>
        </is>
      </c>
      <c r="E3452" s="53" t="inlineStr">
        <is>
          <t>2025-03-25</t>
        </is>
      </c>
      <c r="F3452" s="53">
        <v>12</v>
      </c>
      <c r="G3452" s="53">
        <v>4</v>
      </c>
      <c r="H3452" s="51" t="str">
        <f>TEXT(tblLaborEntries[[#This Row],[Work date serial]]-WEEKDAY(tblLaborEntries[[#This Row],[Work date serial]],3),"yyyy-mm-dd")</f>
        <v>2025-03-24</v>
      </c>
      <c r="I3452" s="64">
        <f>DATEVALUE(tblLaborEntries[[#This Row],[Work date]])</f>
        <v>45741.0</v>
      </c>
    </row>
    <row r="3453" spans="1:9" ht="15" x14ac:dyDescent="0.25">
      <c r="A3453" s="53" t="inlineStr">
        <is>
          <t>LAB-003452</t>
        </is>
      </c>
      <c r="B3453" s="53" t="inlineStr">
        <is>
          <t>WP-01525</t>
        </is>
      </c>
      <c r="C3453" s="53" t="inlineStr">
        <is>
          <t>TECH-002</t>
        </is>
      </c>
      <c r="D3453" s="53" t="inlineStr">
        <is>
          <t>Avionics</t>
        </is>
      </c>
      <c r="E3453" s="53" t="inlineStr">
        <is>
          <t>2024-03-24</t>
        </is>
      </c>
      <c r="F3453" s="53">
        <v>4.1</v>
      </c>
      <c r="G3453" s="53">
        <v>0</v>
      </c>
      <c r="H3453" s="51" t="str">
        <f>TEXT(tblLaborEntries[[#This Row],[Work date serial]]-WEEKDAY(tblLaborEntries[[#This Row],[Work date serial]],3),"yyyy-mm-dd")</f>
        <v>2024-03-18</v>
      </c>
      <c r="I3453" s="64">
        <f>DATEVALUE(tblLaborEntries[[#This Row],[Work date]])</f>
        <v>45375.0</v>
      </c>
    </row>
    <row r="3454" spans="1:9" ht="15" x14ac:dyDescent="0.25">
      <c r="A3454" s="53" t="inlineStr">
        <is>
          <t>LAB-003453</t>
        </is>
      </c>
      <c r="B3454" s="53" t="inlineStr">
        <is>
          <t>WP-01525</t>
        </is>
      </c>
      <c r="C3454" s="53" t="inlineStr">
        <is>
          <t>TECH-044</t>
        </is>
      </c>
      <c r="D3454" s="53" t="inlineStr">
        <is>
          <t>Avionics</t>
        </is>
      </c>
      <c r="E3454" s="53" t="inlineStr">
        <is>
          <t>2024-03-25</t>
        </is>
      </c>
      <c r="F3454" s="53">
        <v>4.5</v>
      </c>
      <c r="G3454" s="53">
        <v>0</v>
      </c>
      <c r="H3454" s="51" t="str">
        <f>TEXT(tblLaborEntries[[#This Row],[Work date serial]]-WEEKDAY(tblLaborEntries[[#This Row],[Work date serial]],3),"yyyy-mm-dd")</f>
        <v>2024-03-25</v>
      </c>
      <c r="I3454" s="64">
        <f>DATEVALUE(tblLaborEntries[[#This Row],[Work date]])</f>
        <v>45376.0</v>
      </c>
    </row>
    <row r="3455" spans="1:9" ht="15" x14ac:dyDescent="0.25">
      <c r="A3455" s="53" t="inlineStr">
        <is>
          <t>LAB-003454</t>
        </is>
      </c>
      <c r="B3455" s="53" t="inlineStr">
        <is>
          <t>WP-01526</t>
        </is>
      </c>
      <c r="C3455" s="53" t="inlineStr">
        <is>
          <t>TECH-038</t>
        </is>
      </c>
      <c r="D3455" s="53" t="inlineStr">
        <is>
          <t>Avionics</t>
        </is>
      </c>
      <c r="E3455" s="53" t="inlineStr">
        <is>
          <t>2025-09-15</t>
        </is>
      </c>
      <c r="F3455" s="53">
        <v>6.6</v>
      </c>
      <c r="G3455" s="53">
        <v>0</v>
      </c>
      <c r="H3455" s="51" t="str">
        <f>TEXT(tblLaborEntries[[#This Row],[Work date serial]]-WEEKDAY(tblLaborEntries[[#This Row],[Work date serial]],3),"yyyy-mm-dd")</f>
        <v>2025-09-15</v>
      </c>
      <c r="I3455" s="64">
        <f>DATEVALUE(tblLaborEntries[[#This Row],[Work date]])</f>
        <v>45915.0</v>
      </c>
    </row>
    <row r="3456" spans="1:9" ht="15" x14ac:dyDescent="0.25">
      <c r="A3456" s="53" t="inlineStr">
        <is>
          <t>LAB-003455</t>
        </is>
      </c>
      <c r="B3456" s="53" t="inlineStr">
        <is>
          <t>WP-01526</t>
        </is>
      </c>
      <c r="C3456" s="53" t="inlineStr">
        <is>
          <t>TECH-068</t>
        </is>
      </c>
      <c r="D3456" s="53" t="inlineStr">
        <is>
          <t>Avionics</t>
        </is>
      </c>
      <c r="E3456" s="53" t="inlineStr">
        <is>
          <t>2025-09-16</t>
        </is>
      </c>
      <c r="F3456" s="53">
        <v>5</v>
      </c>
      <c r="G3456" s="53">
        <v>4</v>
      </c>
      <c r="H3456" s="51" t="str">
        <f>TEXT(tblLaborEntries[[#This Row],[Work date serial]]-WEEKDAY(tblLaborEntries[[#This Row],[Work date serial]],3),"yyyy-mm-dd")</f>
        <v>2025-09-15</v>
      </c>
      <c r="I3456" s="64">
        <f>DATEVALUE(tblLaborEntries[[#This Row],[Work date]])</f>
        <v>45916.0</v>
      </c>
    </row>
    <row r="3457" spans="1:9" ht="15" x14ac:dyDescent="0.25">
      <c r="A3457" s="53" t="inlineStr">
        <is>
          <t>LAB-003456</t>
        </is>
      </c>
      <c r="B3457" s="53" t="inlineStr">
        <is>
          <t>WP-01527</t>
        </is>
      </c>
      <c r="C3457" s="53" t="inlineStr">
        <is>
          <t>TECH-032</t>
        </is>
      </c>
      <c r="D3457" s="53" t="inlineStr">
        <is>
          <t>Avionics</t>
        </is>
      </c>
      <c r="E3457" s="53" t="inlineStr">
        <is>
          <t>2024-07-21</t>
        </is>
      </c>
      <c r="F3457" s="53">
        <v>3.5</v>
      </c>
      <c r="G3457" s="53">
        <v>0</v>
      </c>
      <c r="H3457" s="51" t="str">
        <f>TEXT(tblLaborEntries[[#This Row],[Work date serial]]-WEEKDAY(tblLaborEntries[[#This Row],[Work date serial]],3),"yyyy-mm-dd")</f>
        <v>2024-07-15</v>
      </c>
      <c r="I3457" s="64">
        <f>DATEVALUE(tblLaborEntries[[#This Row],[Work date]])</f>
        <v>45494.0</v>
      </c>
    </row>
    <row r="3458" spans="1:9" ht="15" x14ac:dyDescent="0.25">
      <c r="A3458" s="53" t="inlineStr">
        <is>
          <t>LAB-003457</t>
        </is>
      </c>
      <c r="B3458" s="53" t="inlineStr">
        <is>
          <t>WP-01527</t>
        </is>
      </c>
      <c r="C3458" s="53" t="inlineStr">
        <is>
          <t>TECH-050</t>
        </is>
      </c>
      <c r="D3458" s="53" t="inlineStr">
        <is>
          <t>Avionics</t>
        </is>
      </c>
      <c r="E3458" s="53" t="inlineStr">
        <is>
          <t>2024-07-22</t>
        </is>
      </c>
      <c r="F3458" s="53">
        <v>2.7</v>
      </c>
      <c r="G3458" s="53">
        <v>0</v>
      </c>
      <c r="H3458" s="51" t="str">
        <f>TEXT(tblLaborEntries[[#This Row],[Work date serial]]-WEEKDAY(tblLaborEntries[[#This Row],[Work date serial]],3),"yyyy-mm-dd")</f>
        <v>2024-07-22</v>
      </c>
      <c r="I3458" s="64">
        <f>DATEVALUE(tblLaborEntries[[#This Row],[Work date]])</f>
        <v>45495.0</v>
      </c>
    </row>
    <row r="3459" spans="1:9" ht="15" x14ac:dyDescent="0.25">
      <c r="A3459" s="53" t="inlineStr">
        <is>
          <t>LAB-003458</t>
        </is>
      </c>
      <c r="B3459" s="53" t="inlineStr">
        <is>
          <t>WP-01527</t>
        </is>
      </c>
      <c r="C3459" s="53" t="inlineStr">
        <is>
          <t>TECH-032</t>
        </is>
      </c>
      <c r="D3459" s="53" t="inlineStr">
        <is>
          <t>Avionics</t>
        </is>
      </c>
      <c r="E3459" s="53" t="inlineStr">
        <is>
          <t>2024-07-23</t>
        </is>
      </c>
      <c r="F3459" s="53">
        <v>3.1</v>
      </c>
      <c r="G3459" s="53">
        <v>0</v>
      </c>
      <c r="H3459" s="51" t="str">
        <f>TEXT(tblLaborEntries[[#This Row],[Work date serial]]-WEEKDAY(tblLaborEntries[[#This Row],[Work date serial]],3),"yyyy-mm-dd")</f>
        <v>2024-07-22</v>
      </c>
      <c r="I3459" s="64">
        <f>DATEVALUE(tblLaborEntries[[#This Row],[Work date]])</f>
        <v>45496.0</v>
      </c>
    </row>
    <row r="3460" spans="1:9" ht="15" x14ac:dyDescent="0.25">
      <c r="A3460" s="53" t="inlineStr">
        <is>
          <t>LAB-003459</t>
        </is>
      </c>
      <c r="B3460" s="53" t="inlineStr">
        <is>
          <t>WP-01528</t>
        </is>
      </c>
      <c r="C3460" s="53" t="inlineStr">
        <is>
          <t>TECH-067</t>
        </is>
      </c>
      <c r="D3460" s="53" t="inlineStr">
        <is>
          <t>Airframe</t>
        </is>
      </c>
      <c r="E3460" s="53" t="inlineStr">
        <is>
          <t>2024-10-24</t>
        </is>
      </c>
      <c r="F3460" s="53">
        <v>1.2</v>
      </c>
      <c r="G3460" s="53">
        <v>0</v>
      </c>
      <c r="H3460" s="51" t="str">
        <f>TEXT(tblLaborEntries[[#This Row],[Work date serial]]-WEEKDAY(tblLaborEntries[[#This Row],[Work date serial]],3),"yyyy-mm-dd")</f>
        <v>2024-10-21</v>
      </c>
      <c r="I3460" s="64">
        <f>DATEVALUE(tblLaborEntries[[#This Row],[Work date]])</f>
        <v>45589.0</v>
      </c>
    </row>
    <row r="3461" spans="1:9" ht="15" x14ac:dyDescent="0.25">
      <c r="A3461" s="53" t="inlineStr">
        <is>
          <t>LAB-003460</t>
        </is>
      </c>
      <c r="B3461" s="53" t="inlineStr">
        <is>
          <t>WP-01528</t>
        </is>
      </c>
      <c r="C3461" s="53" t="inlineStr">
        <is>
          <t>TECH-055</t>
        </is>
      </c>
      <c r="D3461" s="53" t="inlineStr">
        <is>
          <t>Airframe</t>
        </is>
      </c>
      <c r="E3461" s="53" t="inlineStr">
        <is>
          <t>2024-10-25</t>
        </is>
      </c>
      <c r="F3461" s="53">
        <v>1.1</v>
      </c>
      <c r="G3461" s="53">
        <v>0</v>
      </c>
      <c r="H3461" s="51" t="str">
        <f>TEXT(tblLaborEntries[[#This Row],[Work date serial]]-WEEKDAY(tblLaborEntries[[#This Row],[Work date serial]],3),"yyyy-mm-dd")</f>
        <v>2024-10-21</v>
      </c>
      <c r="I3461" s="64">
        <f>DATEVALUE(tblLaborEntries[[#This Row],[Work date]])</f>
        <v>45590.0</v>
      </c>
    </row>
    <row r="3462" spans="1:9" ht="15" x14ac:dyDescent="0.25">
      <c r="A3462" s="53" t="inlineStr">
        <is>
          <t>LAB-003461</t>
        </is>
      </c>
      <c r="B3462" s="53" t="inlineStr">
        <is>
          <t>WP-01529</t>
        </is>
      </c>
      <c r="C3462" s="53" t="inlineStr">
        <is>
          <t>TECH-003</t>
        </is>
      </c>
      <c r="D3462" s="53" t="inlineStr">
        <is>
          <t>Hydraulics</t>
        </is>
      </c>
      <c r="E3462" s="53" t="inlineStr">
        <is>
          <t>2024-11-06</t>
        </is>
      </c>
      <c r="F3462" s="53">
        <v>2.7</v>
      </c>
      <c r="G3462" s="53">
        <v>0</v>
      </c>
      <c r="H3462" s="51" t="str">
        <f>TEXT(tblLaborEntries[[#This Row],[Work date serial]]-WEEKDAY(tblLaborEntries[[#This Row],[Work date serial]],3),"yyyy-mm-dd")</f>
        <v>2024-11-04</v>
      </c>
      <c r="I3462" s="64">
        <f>DATEVALUE(tblLaborEntries[[#This Row],[Work date]])</f>
        <v>45602.0</v>
      </c>
    </row>
    <row r="3463" spans="1:9" ht="15" x14ac:dyDescent="0.25">
      <c r="A3463" s="53" t="inlineStr">
        <is>
          <t>LAB-003462</t>
        </is>
      </c>
      <c r="B3463" s="53" t="inlineStr">
        <is>
          <t>WP-01529</t>
        </is>
      </c>
      <c r="C3463" s="53" t="inlineStr">
        <is>
          <t>TECH-027</t>
        </is>
      </c>
      <c r="D3463" s="53" t="inlineStr">
        <is>
          <t>Hydraulics</t>
        </is>
      </c>
      <c r="E3463" s="53" t="inlineStr">
        <is>
          <t>2024-11-06</t>
        </is>
      </c>
      <c r="F3463" s="53">
        <v>12</v>
      </c>
      <c r="G3463" s="53">
        <v>4</v>
      </c>
      <c r="H3463" s="51" t="str">
        <f>TEXT(tblLaborEntries[[#This Row],[Work date serial]]-WEEKDAY(tblLaborEntries[[#This Row],[Work date serial]],3),"yyyy-mm-dd")</f>
        <v>2024-11-04</v>
      </c>
      <c r="I3463" s="64">
        <f>DATEVALUE(tblLaborEntries[[#This Row],[Work date]])</f>
        <v>45602.0</v>
      </c>
    </row>
    <row r="3464" spans="1:9" ht="15" x14ac:dyDescent="0.25">
      <c r="A3464" s="53" t="inlineStr">
        <is>
          <t>LAB-003463</t>
        </is>
      </c>
      <c r="B3464" s="53" t="inlineStr">
        <is>
          <t>WP-01530</t>
        </is>
      </c>
      <c r="C3464" s="53" t="inlineStr">
        <is>
          <t>TECH-003</t>
        </is>
      </c>
      <c r="D3464" s="53" t="inlineStr">
        <is>
          <t>Hydraulics</t>
        </is>
      </c>
      <c r="E3464" s="53" t="inlineStr">
        <is>
          <t>2024-01-28</t>
        </is>
      </c>
      <c r="F3464" s="53">
        <v>2</v>
      </c>
      <c r="G3464" s="53">
        <v>0</v>
      </c>
      <c r="H3464" s="51" t="str">
        <f>TEXT(tblLaborEntries[[#This Row],[Work date serial]]-WEEKDAY(tblLaborEntries[[#This Row],[Work date serial]],3),"yyyy-mm-dd")</f>
        <v>2024-01-22</v>
      </c>
      <c r="I3464" s="64">
        <f>DATEVALUE(tblLaborEntries[[#This Row],[Work date]])</f>
        <v>45319.0</v>
      </c>
    </row>
    <row r="3465" spans="1:9" ht="15" x14ac:dyDescent="0.25">
      <c r="A3465" s="53" t="inlineStr">
        <is>
          <t>LAB-003464</t>
        </is>
      </c>
      <c r="B3465" s="53" t="inlineStr">
        <is>
          <t>WP-01530</t>
        </is>
      </c>
      <c r="C3465" s="53" t="inlineStr">
        <is>
          <t>TECH-033</t>
        </is>
      </c>
      <c r="D3465" s="53" t="inlineStr">
        <is>
          <t>Hydraulics</t>
        </is>
      </c>
      <c r="E3465" s="53" t="inlineStr">
        <is>
          <t>2024-01-28</t>
        </is>
      </c>
      <c r="F3465" s="53">
        <v>12</v>
      </c>
      <c r="G3465" s="53">
        <v>4</v>
      </c>
      <c r="H3465" s="51" t="str">
        <f>TEXT(tblLaborEntries[[#This Row],[Work date serial]]-WEEKDAY(tblLaborEntries[[#This Row],[Work date serial]],3),"yyyy-mm-dd")</f>
        <v>2024-01-22</v>
      </c>
      <c r="I3465" s="64">
        <f>DATEVALUE(tblLaborEntries[[#This Row],[Work date]])</f>
        <v>45319.0</v>
      </c>
    </row>
    <row r="3466" spans="1:9" ht="15" x14ac:dyDescent="0.25">
      <c r="A3466" s="53" t="inlineStr">
        <is>
          <t>LAB-003465</t>
        </is>
      </c>
      <c r="B3466" s="53" t="inlineStr">
        <is>
          <t>WP-01531</t>
        </is>
      </c>
      <c r="C3466" s="53" t="inlineStr">
        <is>
          <t>TECH-050</t>
        </is>
      </c>
      <c r="D3466" s="53" t="inlineStr">
        <is>
          <t>Avionics</t>
        </is>
      </c>
      <c r="E3466" s="53" t="inlineStr">
        <is>
          <t>2025-10-17</t>
        </is>
      </c>
      <c r="F3466" s="53">
        <v>2.3</v>
      </c>
      <c r="G3466" s="53">
        <v>0</v>
      </c>
      <c r="H3466" s="51" t="str">
        <f>TEXT(tblLaborEntries[[#This Row],[Work date serial]]-WEEKDAY(tblLaborEntries[[#This Row],[Work date serial]],3),"yyyy-mm-dd")</f>
        <v>2025-10-13</v>
      </c>
      <c r="I3466" s="64">
        <f>DATEVALUE(tblLaborEntries[[#This Row],[Work date]])</f>
        <v>45947.0</v>
      </c>
    </row>
    <row r="3467" spans="1:9" ht="15" x14ac:dyDescent="0.25">
      <c r="A3467" s="53" t="inlineStr">
        <is>
          <t>LAB-003466</t>
        </is>
      </c>
      <c r="B3467" s="53" t="inlineStr">
        <is>
          <t>WP-01531</t>
        </is>
      </c>
      <c r="C3467" s="53" t="inlineStr">
        <is>
          <t>TECH-038</t>
        </is>
      </c>
      <c r="D3467" s="53" t="inlineStr">
        <is>
          <t>Avionics</t>
        </is>
      </c>
      <c r="E3467" s="53" t="inlineStr">
        <is>
          <t>2025-10-18</t>
        </is>
      </c>
      <c r="F3467" s="53">
        <v>2.4</v>
      </c>
      <c r="G3467" s="53">
        <v>0.9</v>
      </c>
      <c r="H3467" s="51" t="str">
        <f>TEXT(tblLaborEntries[[#This Row],[Work date serial]]-WEEKDAY(tblLaborEntries[[#This Row],[Work date serial]],3),"yyyy-mm-dd")</f>
        <v>2025-10-13</v>
      </c>
      <c r="I3467" s="64">
        <f>DATEVALUE(tblLaborEntries[[#This Row],[Work date]])</f>
        <v>45948.0</v>
      </c>
    </row>
    <row r="3468" spans="1:9" ht="15" x14ac:dyDescent="0.25">
      <c r="A3468" s="53" t="inlineStr">
        <is>
          <t>LAB-003467</t>
        </is>
      </c>
      <c r="B3468" s="53" t="inlineStr">
        <is>
          <t>WP-01531</t>
        </is>
      </c>
      <c r="C3468" s="53" t="inlineStr">
        <is>
          <t>TECH-068</t>
        </is>
      </c>
      <c r="D3468" s="53" t="inlineStr">
        <is>
          <t>Avionics</t>
        </is>
      </c>
      <c r="E3468" s="53" t="inlineStr">
        <is>
          <t>2025-10-19</t>
        </is>
      </c>
      <c r="F3468" s="53">
        <v>2.8</v>
      </c>
      <c r="G3468" s="53">
        <v>0</v>
      </c>
      <c r="H3468" s="51" t="str">
        <f>TEXT(tblLaborEntries[[#This Row],[Work date serial]]-WEEKDAY(tblLaborEntries[[#This Row],[Work date serial]],3),"yyyy-mm-dd")</f>
        <v>2025-10-13</v>
      </c>
      <c r="I3468" s="64">
        <f>DATEVALUE(tblLaborEntries[[#This Row],[Work date]])</f>
        <v>45949.0</v>
      </c>
    </row>
    <row r="3469" spans="1:9" ht="15" x14ac:dyDescent="0.25">
      <c r="A3469" s="53" t="inlineStr">
        <is>
          <t>LAB-003468</t>
        </is>
      </c>
      <c r="B3469" s="53" t="inlineStr">
        <is>
          <t>WP-01532</t>
        </is>
      </c>
      <c r="C3469" s="53" t="inlineStr">
        <is>
          <t>TECH-015</t>
        </is>
      </c>
      <c r="D3469" s="53" t="inlineStr">
        <is>
          <t>Hydraulics</t>
        </is>
      </c>
      <c r="E3469" s="53" t="inlineStr">
        <is>
          <t>2025-06-02</t>
        </is>
      </c>
      <c r="F3469" s="53">
        <v>10.3</v>
      </c>
      <c r="G3469" s="53">
        <v>2.3</v>
      </c>
      <c r="H3469" s="51" t="str">
        <f>TEXT(tblLaborEntries[[#This Row],[Work date serial]]-WEEKDAY(tblLaborEntries[[#This Row],[Work date serial]],3),"yyyy-mm-dd")</f>
        <v>2025-06-02</v>
      </c>
      <c r="I3469" s="64">
        <f>DATEVALUE(tblLaborEntries[[#This Row],[Work date]])</f>
        <v>45810.0</v>
      </c>
    </row>
    <row r="3470" spans="1:9" ht="15" x14ac:dyDescent="0.25">
      <c r="A3470" s="53" t="inlineStr">
        <is>
          <t>LAB-003469</t>
        </is>
      </c>
      <c r="B3470" s="53" t="inlineStr">
        <is>
          <t>WP-01533</t>
        </is>
      </c>
      <c r="C3470" s="53" t="inlineStr">
        <is>
          <t>TECH-037</t>
        </is>
      </c>
      <c r="D3470" s="53" t="inlineStr">
        <is>
          <t>Airframe</t>
        </is>
      </c>
      <c r="E3470" s="53" t="inlineStr">
        <is>
          <t>2025-12-09</t>
        </is>
      </c>
      <c r="F3470" s="53">
        <v>4.8</v>
      </c>
      <c r="G3470" s="53">
        <v>0</v>
      </c>
      <c r="H3470" s="51" t="str">
        <f>TEXT(tblLaborEntries[[#This Row],[Work date serial]]-WEEKDAY(tblLaborEntries[[#This Row],[Work date serial]],3),"yyyy-mm-dd")</f>
        <v>2025-12-08</v>
      </c>
      <c r="I3470" s="64">
        <f>DATEVALUE(tblLaborEntries[[#This Row],[Work date]])</f>
        <v>46000.0</v>
      </c>
    </row>
    <row r="3471" spans="1:9" ht="15" x14ac:dyDescent="0.25">
      <c r="A3471" s="53" t="inlineStr">
        <is>
          <t>LAB-003470</t>
        </is>
      </c>
      <c r="B3471" s="53" t="inlineStr">
        <is>
          <t>WP-01533</t>
        </is>
      </c>
      <c r="C3471" s="53" t="inlineStr">
        <is>
          <t>TECH-073</t>
        </is>
      </c>
      <c r="D3471" s="53" t="inlineStr">
        <is>
          <t>Airframe</t>
        </is>
      </c>
      <c r="E3471" s="53" t="inlineStr">
        <is>
          <t>2025-12-10</t>
        </is>
      </c>
      <c r="F3471" s="53">
        <v>4.6</v>
      </c>
      <c r="G3471" s="53">
        <v>0</v>
      </c>
      <c r="H3471" s="51" t="str">
        <f>TEXT(tblLaborEntries[[#This Row],[Work date serial]]-WEEKDAY(tblLaborEntries[[#This Row],[Work date serial]],3),"yyyy-mm-dd")</f>
        <v>2025-12-08</v>
      </c>
      <c r="I3471" s="64">
        <f>DATEVALUE(tblLaborEntries[[#This Row],[Work date]])</f>
        <v>46001.0</v>
      </c>
    </row>
    <row r="3472" spans="1:9" ht="15" x14ac:dyDescent="0.25">
      <c r="A3472" s="53" t="inlineStr">
        <is>
          <t>LAB-003471</t>
        </is>
      </c>
      <c r="B3472" s="53" t="inlineStr">
        <is>
          <t>WP-01534</t>
        </is>
      </c>
      <c r="C3472" s="53" t="inlineStr">
        <is>
          <t>TECH-022</t>
        </is>
      </c>
      <c r="D3472" s="53" t="inlineStr">
        <is>
          <t>Electrical</t>
        </is>
      </c>
      <c r="E3472" s="53" t="inlineStr">
        <is>
          <t>2025-06-20</t>
        </is>
      </c>
      <c r="F3472" s="53">
        <v>10.4</v>
      </c>
      <c r="G3472" s="53">
        <v>2.4</v>
      </c>
      <c r="H3472" s="51" t="str">
        <f>TEXT(tblLaborEntries[[#This Row],[Work date serial]]-WEEKDAY(tblLaborEntries[[#This Row],[Work date serial]],3),"yyyy-mm-dd")</f>
        <v>2025-06-16</v>
      </c>
      <c r="I3472" s="64">
        <f>DATEVALUE(tblLaborEntries[[#This Row],[Work date]])</f>
        <v>45828.0</v>
      </c>
    </row>
    <row r="3473" spans="1:9" ht="15" x14ac:dyDescent="0.25">
      <c r="A3473" s="53" t="inlineStr">
        <is>
          <t>LAB-003472</t>
        </is>
      </c>
      <c r="B3473" s="53" t="inlineStr">
        <is>
          <t>WP-01535</t>
        </is>
      </c>
      <c r="C3473" s="53" t="inlineStr">
        <is>
          <t>TECH-032</t>
        </is>
      </c>
      <c r="D3473" s="53" t="inlineStr">
        <is>
          <t>Avionics</t>
        </is>
      </c>
      <c r="E3473" s="53" t="inlineStr">
        <is>
          <t>2024-06-24</t>
        </is>
      </c>
      <c r="F3473" s="53">
        <v>9.8</v>
      </c>
      <c r="G3473" s="53">
        <v>1.8</v>
      </c>
      <c r="H3473" s="51" t="str">
        <f>TEXT(tblLaborEntries[[#This Row],[Work date serial]]-WEEKDAY(tblLaborEntries[[#This Row],[Work date serial]],3),"yyyy-mm-dd")</f>
        <v>2024-06-24</v>
      </c>
      <c r="I3473" s="64">
        <f>DATEVALUE(tblLaborEntries[[#This Row],[Work date]])</f>
        <v>45467.0</v>
      </c>
    </row>
    <row r="3474" spans="1:9" ht="15" x14ac:dyDescent="0.25">
      <c r="A3474" s="53" t="inlineStr">
        <is>
          <t>LAB-003473</t>
        </is>
      </c>
      <c r="B3474" s="53" t="inlineStr">
        <is>
          <t>WP-01536</t>
        </is>
      </c>
      <c r="C3474" s="53" t="inlineStr">
        <is>
          <t>TECH-016</t>
        </is>
      </c>
      <c r="D3474" s="53" t="inlineStr">
        <is>
          <t>Electrical</t>
        </is>
      </c>
      <c r="E3474" s="53" t="inlineStr">
        <is>
          <t>2024-06-21</t>
        </is>
      </c>
      <c r="F3474" s="53">
        <v>9.3</v>
      </c>
      <c r="G3474" s="53">
        <v>1.3</v>
      </c>
      <c r="H3474" s="51" t="str">
        <f>TEXT(tblLaborEntries[[#This Row],[Work date serial]]-WEEKDAY(tblLaborEntries[[#This Row],[Work date serial]],3),"yyyy-mm-dd")</f>
        <v>2024-06-17</v>
      </c>
      <c r="I3474" s="64">
        <f>DATEVALUE(tblLaborEntries[[#This Row],[Work date]])</f>
        <v>45464.0</v>
      </c>
    </row>
    <row r="3475" spans="1:9" ht="15" x14ac:dyDescent="0.25">
      <c r="A3475" s="53" t="inlineStr">
        <is>
          <t>LAB-003474</t>
        </is>
      </c>
      <c r="B3475" s="53" t="inlineStr">
        <is>
          <t>WP-01537</t>
        </is>
      </c>
      <c r="C3475" s="53" t="inlineStr">
        <is>
          <t>TECH-061</t>
        </is>
      </c>
      <c r="D3475" s="53" t="inlineStr">
        <is>
          <t>Airframe</t>
        </is>
      </c>
      <c r="E3475" s="53" t="inlineStr">
        <is>
          <t>2024-03-06</t>
        </is>
      </c>
      <c r="F3475" s="53">
        <v>0.9</v>
      </c>
      <c r="G3475" s="53">
        <v>0</v>
      </c>
      <c r="H3475" s="51" t="str">
        <f>TEXT(tblLaborEntries[[#This Row],[Work date serial]]-WEEKDAY(tblLaborEntries[[#This Row],[Work date serial]],3),"yyyy-mm-dd")</f>
        <v>2024-03-04</v>
      </c>
      <c r="I3475" s="64">
        <f>DATEVALUE(tblLaborEntries[[#This Row],[Work date]])</f>
        <v>45357.0</v>
      </c>
    </row>
    <row r="3476" spans="1:9" ht="15" x14ac:dyDescent="0.25">
      <c r="A3476" s="53" t="inlineStr">
        <is>
          <t>LAB-003475</t>
        </is>
      </c>
      <c r="B3476" s="53" t="inlineStr">
        <is>
          <t>WP-01537</t>
        </is>
      </c>
      <c r="C3476" s="53" t="inlineStr">
        <is>
          <t>TECH-025</t>
        </is>
      </c>
      <c r="D3476" s="53" t="inlineStr">
        <is>
          <t>Airframe</t>
        </is>
      </c>
      <c r="E3476" s="53" t="inlineStr">
        <is>
          <t>2024-03-07</t>
        </is>
      </c>
      <c r="F3476" s="53">
        <v>0.7</v>
      </c>
      <c r="G3476" s="53">
        <v>0</v>
      </c>
      <c r="H3476" s="51" t="str">
        <f>TEXT(tblLaborEntries[[#This Row],[Work date serial]]-WEEKDAY(tblLaborEntries[[#This Row],[Work date serial]],3),"yyyy-mm-dd")</f>
        <v>2024-03-04</v>
      </c>
      <c r="I3476" s="64">
        <f>DATEVALUE(tblLaborEntries[[#This Row],[Work date]])</f>
        <v>45358.0</v>
      </c>
    </row>
    <row r="3477" spans="1:9" ht="15" x14ac:dyDescent="0.25">
      <c r="A3477" s="53" t="inlineStr">
        <is>
          <t>LAB-003476</t>
        </is>
      </c>
      <c r="B3477" s="53" t="inlineStr">
        <is>
          <t>WP-01537</t>
        </is>
      </c>
      <c r="C3477" s="53" t="inlineStr">
        <is>
          <t>TECH-061</t>
        </is>
      </c>
      <c r="D3477" s="53" t="inlineStr">
        <is>
          <t>Airframe</t>
        </is>
      </c>
      <c r="E3477" s="53" t="inlineStr">
        <is>
          <t>2024-03-08</t>
        </is>
      </c>
      <c r="F3477" s="53">
        <v>0.9</v>
      </c>
      <c r="G3477" s="53">
        <v>0</v>
      </c>
      <c r="H3477" s="51" t="str">
        <f>TEXT(tblLaborEntries[[#This Row],[Work date serial]]-WEEKDAY(tblLaborEntries[[#This Row],[Work date serial]],3),"yyyy-mm-dd")</f>
        <v>2024-03-04</v>
      </c>
      <c r="I3477" s="64">
        <f>DATEVALUE(tblLaborEntries[[#This Row],[Work date]])</f>
        <v>45359.0</v>
      </c>
    </row>
    <row r="3478" spans="1:9" ht="15" x14ac:dyDescent="0.25">
      <c r="A3478" s="53" t="inlineStr">
        <is>
          <t>LAB-003477</t>
        </is>
      </c>
      <c r="B3478" s="53" t="inlineStr">
        <is>
          <t>WP-01538</t>
        </is>
      </c>
      <c r="C3478" s="53" t="inlineStr">
        <is>
          <t>TECH-019</t>
        </is>
      </c>
      <c r="D3478" s="53" t="inlineStr">
        <is>
          <t>Airframe</t>
        </is>
      </c>
      <c r="E3478" s="53" t="inlineStr">
        <is>
          <t>2024-12-08</t>
        </is>
      </c>
      <c r="F3478" s="53">
        <v>3.9</v>
      </c>
      <c r="G3478" s="53">
        <v>0</v>
      </c>
      <c r="H3478" s="51" t="str">
        <f>TEXT(tblLaborEntries[[#This Row],[Work date serial]]-WEEKDAY(tblLaborEntries[[#This Row],[Work date serial]],3),"yyyy-mm-dd")</f>
        <v>2024-12-02</v>
      </c>
      <c r="I3478" s="64">
        <f>DATEVALUE(tblLaborEntries[[#This Row],[Work date]])</f>
        <v>45634.0</v>
      </c>
    </row>
    <row r="3479" spans="1:9" ht="15" x14ac:dyDescent="0.25">
      <c r="A3479" s="53" t="inlineStr">
        <is>
          <t>LAB-003478</t>
        </is>
      </c>
      <c r="B3479" s="53" t="inlineStr">
        <is>
          <t>WP-01538</t>
        </is>
      </c>
      <c r="C3479" s="53" t="inlineStr">
        <is>
          <t>TECH-067</t>
        </is>
      </c>
      <c r="D3479" s="53" t="inlineStr">
        <is>
          <t>Airframe</t>
        </is>
      </c>
      <c r="E3479" s="53" t="inlineStr">
        <is>
          <t>2024-12-09</t>
        </is>
      </c>
      <c r="F3479" s="53">
        <v>3.6</v>
      </c>
      <c r="G3479" s="53">
        <v>0</v>
      </c>
      <c r="H3479" s="51" t="str">
        <f>TEXT(tblLaborEntries[[#This Row],[Work date serial]]-WEEKDAY(tblLaborEntries[[#This Row],[Work date serial]],3),"yyyy-mm-dd")</f>
        <v>2024-12-09</v>
      </c>
      <c r="I3479" s="64">
        <f>DATEVALUE(tblLaborEntries[[#This Row],[Work date]])</f>
        <v>45635.0</v>
      </c>
    </row>
    <row r="3480" spans="1:9" ht="15" x14ac:dyDescent="0.25">
      <c r="A3480" s="53" t="inlineStr">
        <is>
          <t>LAB-003479</t>
        </is>
      </c>
      <c r="B3480" s="53" t="inlineStr">
        <is>
          <t>WP-01539</t>
        </is>
      </c>
      <c r="C3480" s="53" t="inlineStr">
        <is>
          <t>TECH-001</t>
        </is>
      </c>
      <c r="D3480" s="53" t="inlineStr">
        <is>
          <t>Airframe</t>
        </is>
      </c>
      <c r="E3480" s="53" t="inlineStr">
        <is>
          <t>2024-10-11</t>
        </is>
      </c>
      <c r="F3480" s="53">
        <v>0.6</v>
      </c>
      <c r="G3480" s="53">
        <v>0</v>
      </c>
      <c r="H3480" s="51" t="str">
        <f>TEXT(tblLaborEntries[[#This Row],[Work date serial]]-WEEKDAY(tblLaborEntries[[#This Row],[Work date serial]],3),"yyyy-mm-dd")</f>
        <v>2024-10-07</v>
      </c>
      <c r="I3480" s="64">
        <f>DATEVALUE(tblLaborEntries[[#This Row],[Work date]])</f>
        <v>45576.0</v>
      </c>
    </row>
    <row r="3481" spans="1:9" ht="15" x14ac:dyDescent="0.25">
      <c r="A3481" s="53" t="inlineStr">
        <is>
          <t>LAB-003480</t>
        </is>
      </c>
      <c r="B3481" s="53" t="inlineStr">
        <is>
          <t>WP-01539</t>
        </is>
      </c>
      <c r="C3481" s="53" t="inlineStr">
        <is>
          <t>TECH-073</t>
        </is>
      </c>
      <c r="D3481" s="53" t="inlineStr">
        <is>
          <t>Airframe</t>
        </is>
      </c>
      <c r="E3481" s="53" t="inlineStr">
        <is>
          <t>2024-10-12</t>
        </is>
      </c>
      <c r="F3481" s="53">
        <v>0.7</v>
      </c>
      <c r="G3481" s="53">
        <v>0</v>
      </c>
      <c r="H3481" s="51" t="str">
        <f>TEXT(tblLaborEntries[[#This Row],[Work date serial]]-WEEKDAY(tblLaborEntries[[#This Row],[Work date serial]],3),"yyyy-mm-dd")</f>
        <v>2024-10-07</v>
      </c>
      <c r="I3481" s="64">
        <f>DATEVALUE(tblLaborEntries[[#This Row],[Work date]])</f>
        <v>45577.0</v>
      </c>
    </row>
    <row r="3482" spans="1:9" ht="15" x14ac:dyDescent="0.25">
      <c r="A3482" s="53" t="inlineStr">
        <is>
          <t>LAB-003481</t>
        </is>
      </c>
      <c r="B3482" s="53" t="inlineStr">
        <is>
          <t>WP-01539</t>
        </is>
      </c>
      <c r="C3482" s="53" t="inlineStr">
        <is>
          <t>TECH-013</t>
        </is>
      </c>
      <c r="D3482" s="53" t="inlineStr">
        <is>
          <t>Airframe</t>
        </is>
      </c>
      <c r="E3482" s="53" t="inlineStr">
        <is>
          <t>2024-10-13</t>
        </is>
      </c>
      <c r="F3482" s="53">
        <v>0.7</v>
      </c>
      <c r="G3482" s="53">
        <v>0</v>
      </c>
      <c r="H3482" s="51" t="str">
        <f>TEXT(tblLaborEntries[[#This Row],[Work date serial]]-WEEKDAY(tblLaborEntries[[#This Row],[Work date serial]],3),"yyyy-mm-dd")</f>
        <v>2024-10-07</v>
      </c>
      <c r="I3482" s="64">
        <f>DATEVALUE(tblLaborEntries[[#This Row],[Work date]])</f>
        <v>45578.0</v>
      </c>
    </row>
    <row r="3483" spans="1:9" ht="15" x14ac:dyDescent="0.25">
      <c r="A3483" s="53" t="inlineStr">
        <is>
          <t>LAB-003482</t>
        </is>
      </c>
      <c r="B3483" s="53" t="inlineStr">
        <is>
          <t>WP-01540</t>
        </is>
      </c>
      <c r="C3483" s="53" t="inlineStr">
        <is>
          <t>TECH-055</t>
        </is>
      </c>
      <c r="D3483" s="53" t="inlineStr">
        <is>
          <t>Airframe</t>
        </is>
      </c>
      <c r="E3483" s="53" t="inlineStr">
        <is>
          <t>2025-03-22</t>
        </is>
      </c>
      <c r="F3483" s="53">
        <v>3.5</v>
      </c>
      <c r="G3483" s="53">
        <v>0</v>
      </c>
      <c r="H3483" s="51" t="str">
        <f>TEXT(tblLaborEntries[[#This Row],[Work date serial]]-WEEKDAY(tblLaborEntries[[#This Row],[Work date serial]],3),"yyyy-mm-dd")</f>
        <v>2025-03-17</v>
      </c>
      <c r="I3483" s="64">
        <f>DATEVALUE(tblLaborEntries[[#This Row],[Work date]])</f>
        <v>45738.0</v>
      </c>
    </row>
    <row r="3484" spans="1:9" ht="15" x14ac:dyDescent="0.25">
      <c r="A3484" s="53" t="inlineStr">
        <is>
          <t>LAB-003483</t>
        </is>
      </c>
      <c r="B3484" s="53" t="inlineStr">
        <is>
          <t>WP-01540</t>
        </is>
      </c>
      <c r="C3484" s="53" t="inlineStr">
        <is>
          <t>TECH-031</t>
        </is>
      </c>
      <c r="D3484" s="53" t="inlineStr">
        <is>
          <t>Airframe</t>
        </is>
      </c>
      <c r="E3484" s="53" t="inlineStr">
        <is>
          <t>2025-03-23</t>
        </is>
      </c>
      <c r="F3484" s="53">
        <v>2.5</v>
      </c>
      <c r="G3484" s="53">
        <v>0</v>
      </c>
      <c r="H3484" s="51" t="str">
        <f>TEXT(tblLaborEntries[[#This Row],[Work date serial]]-WEEKDAY(tblLaborEntries[[#This Row],[Work date serial]],3),"yyyy-mm-dd")</f>
        <v>2025-03-17</v>
      </c>
      <c r="I3484" s="64">
        <f>DATEVALUE(tblLaborEntries[[#This Row],[Work date]])</f>
        <v>45739.0</v>
      </c>
    </row>
    <row r="3485" spans="1:9" ht="15" x14ac:dyDescent="0.25">
      <c r="A3485" s="53" t="inlineStr">
        <is>
          <t>LAB-003484</t>
        </is>
      </c>
      <c r="B3485" s="53" t="inlineStr">
        <is>
          <t>WP-01541</t>
        </is>
      </c>
      <c r="C3485" s="53" t="inlineStr">
        <is>
          <t>TECH-068</t>
        </is>
      </c>
      <c r="D3485" s="53" t="inlineStr">
        <is>
          <t>Avionics</t>
        </is>
      </c>
      <c r="E3485" s="53" t="inlineStr">
        <is>
          <t>2025-01-29</t>
        </is>
      </c>
      <c r="F3485" s="53">
        <v>4</v>
      </c>
      <c r="G3485" s="53">
        <v>0</v>
      </c>
      <c r="H3485" s="51" t="str">
        <f>TEXT(tblLaborEntries[[#This Row],[Work date serial]]-WEEKDAY(tblLaborEntries[[#This Row],[Work date serial]],3),"yyyy-mm-dd")</f>
        <v>2025-01-27</v>
      </c>
      <c r="I3485" s="64">
        <f>DATEVALUE(tblLaborEntries[[#This Row],[Work date]])</f>
        <v>45686.0</v>
      </c>
    </row>
    <row r="3486" spans="1:9" ht="15" x14ac:dyDescent="0.25">
      <c r="A3486" s="53" t="inlineStr">
        <is>
          <t>LAB-003485</t>
        </is>
      </c>
      <c r="B3486" s="53" t="inlineStr">
        <is>
          <t>WP-01541</t>
        </is>
      </c>
      <c r="C3486" s="53" t="inlineStr">
        <is>
          <t>TECH-020</t>
        </is>
      </c>
      <c r="D3486" s="53" t="inlineStr">
        <is>
          <t>Avionics</t>
        </is>
      </c>
      <c r="E3486" s="53" t="inlineStr">
        <is>
          <t>2025-01-30</t>
        </is>
      </c>
      <c r="F3486" s="53">
        <v>5.4</v>
      </c>
      <c r="G3486" s="53">
        <v>0</v>
      </c>
      <c r="H3486" s="51" t="str">
        <f>TEXT(tblLaborEntries[[#This Row],[Work date serial]]-WEEKDAY(tblLaborEntries[[#This Row],[Work date serial]],3),"yyyy-mm-dd")</f>
        <v>2025-01-27</v>
      </c>
      <c r="I3486" s="64">
        <f>DATEVALUE(tblLaborEntries[[#This Row],[Work date]])</f>
        <v>45687.0</v>
      </c>
    </row>
    <row r="3487" spans="1:9" ht="15" x14ac:dyDescent="0.25">
      <c r="A3487" s="53" t="inlineStr">
        <is>
          <t>LAB-003486</t>
        </is>
      </c>
      <c r="B3487" s="53" t="inlineStr">
        <is>
          <t>WP-01541</t>
        </is>
      </c>
      <c r="C3487" s="53" t="inlineStr">
        <is>
          <t>TECH-074</t>
        </is>
      </c>
      <c r="D3487" s="53" t="inlineStr">
        <is>
          <t>Avionics</t>
        </is>
      </c>
      <c r="E3487" s="53" t="inlineStr">
        <is>
          <t>2025-01-31</t>
        </is>
      </c>
      <c r="F3487" s="53">
        <v>4.3</v>
      </c>
      <c r="G3487" s="53">
        <v>0</v>
      </c>
      <c r="H3487" s="51" t="str">
        <f>TEXT(tblLaborEntries[[#This Row],[Work date serial]]-WEEKDAY(tblLaborEntries[[#This Row],[Work date serial]],3),"yyyy-mm-dd")</f>
        <v>2025-01-27</v>
      </c>
      <c r="I3487" s="64">
        <f>DATEVALUE(tblLaborEntries[[#This Row],[Work date]])</f>
        <v>45688.0</v>
      </c>
    </row>
    <row r="3488" spans="1:9" ht="15" x14ac:dyDescent="0.25">
      <c r="A3488" s="53" t="inlineStr">
        <is>
          <t>LAB-003487</t>
        </is>
      </c>
      <c r="B3488" s="53" t="inlineStr">
        <is>
          <t>WP-01542</t>
        </is>
      </c>
      <c r="C3488" s="53" t="inlineStr">
        <is>
          <t>TECH-056</t>
        </is>
      </c>
      <c r="D3488" s="53" t="inlineStr">
        <is>
          <t>Avionics</t>
        </is>
      </c>
      <c r="E3488" s="53" t="inlineStr">
        <is>
          <t>2024-09-14</t>
        </is>
      </c>
      <c r="F3488" s="53">
        <v>1.4</v>
      </c>
      <c r="G3488" s="53">
        <v>0</v>
      </c>
      <c r="H3488" s="51" t="str">
        <f>TEXT(tblLaborEntries[[#This Row],[Work date serial]]-WEEKDAY(tblLaborEntries[[#This Row],[Work date serial]],3),"yyyy-mm-dd")</f>
        <v>2024-09-09</v>
      </c>
      <c r="I3488" s="64">
        <f>DATEVALUE(tblLaborEntries[[#This Row],[Work date]])</f>
        <v>45549.0</v>
      </c>
    </row>
    <row r="3489" spans="1:9" ht="15" x14ac:dyDescent="0.25">
      <c r="A3489" s="53" t="inlineStr">
        <is>
          <t>LAB-003488</t>
        </is>
      </c>
      <c r="B3489" s="53" t="inlineStr">
        <is>
          <t>WP-01542</t>
        </is>
      </c>
      <c r="C3489" s="53" t="inlineStr">
        <is>
          <t>TECH-026</t>
        </is>
      </c>
      <c r="D3489" s="53" t="inlineStr">
        <is>
          <t>Avionics</t>
        </is>
      </c>
      <c r="E3489" s="53" t="inlineStr">
        <is>
          <t>2024-09-15</t>
        </is>
      </c>
      <c r="F3489" s="53">
        <v>0.9</v>
      </c>
      <c r="G3489" s="53">
        <v>0</v>
      </c>
      <c r="H3489" s="51" t="str">
        <f>TEXT(tblLaborEntries[[#This Row],[Work date serial]]-WEEKDAY(tblLaborEntries[[#This Row],[Work date serial]],3),"yyyy-mm-dd")</f>
        <v>2024-09-09</v>
      </c>
      <c r="I3489" s="64">
        <f>DATEVALUE(tblLaborEntries[[#This Row],[Work date]])</f>
        <v>45550.0</v>
      </c>
    </row>
    <row r="3490" spans="1:9" ht="15" x14ac:dyDescent="0.25">
      <c r="A3490" s="53" t="inlineStr">
        <is>
          <t>LAB-003489</t>
        </is>
      </c>
      <c r="B3490" s="53" t="inlineStr">
        <is>
          <t>WP-01542</t>
        </is>
      </c>
      <c r="C3490" s="53" t="inlineStr">
        <is>
          <t>TECH-026</t>
        </is>
      </c>
      <c r="D3490" s="53" t="inlineStr">
        <is>
          <t>Avionics</t>
        </is>
      </c>
      <c r="E3490" s="53" t="inlineStr">
        <is>
          <t>2024-09-16</t>
        </is>
      </c>
      <c r="F3490" s="53">
        <v>1.4</v>
      </c>
      <c r="G3490" s="53">
        <v>0</v>
      </c>
      <c r="H3490" s="51" t="str">
        <f>TEXT(tblLaborEntries[[#This Row],[Work date serial]]-WEEKDAY(tblLaborEntries[[#This Row],[Work date serial]],3),"yyyy-mm-dd")</f>
        <v>2024-09-16</v>
      </c>
      <c r="I3490" s="64">
        <f>DATEVALUE(tblLaborEntries[[#This Row],[Work date]])</f>
        <v>45551.0</v>
      </c>
    </row>
    <row r="3491" spans="1:9" ht="15" x14ac:dyDescent="0.25">
      <c r="A3491" s="53" t="inlineStr">
        <is>
          <t>LAB-003490</t>
        </is>
      </c>
      <c r="B3491" s="53" t="inlineStr">
        <is>
          <t>WP-01543</t>
        </is>
      </c>
      <c r="C3491" s="53" t="inlineStr">
        <is>
          <t>TECH-001</t>
        </is>
      </c>
      <c r="D3491" s="53" t="inlineStr">
        <is>
          <t>Airframe</t>
        </is>
      </c>
      <c r="E3491" s="53" t="inlineStr">
        <is>
          <t>2024-02-05</t>
        </is>
      </c>
      <c r="F3491" s="53">
        <v>4.2</v>
      </c>
      <c r="G3491" s="53">
        <v>0</v>
      </c>
      <c r="H3491" s="51" t="str">
        <f>TEXT(tblLaborEntries[[#This Row],[Work date serial]]-WEEKDAY(tblLaborEntries[[#This Row],[Work date serial]],3),"yyyy-mm-dd")</f>
        <v>2024-02-05</v>
      </c>
      <c r="I3491" s="64">
        <f>DATEVALUE(tblLaborEntries[[#This Row],[Work date]])</f>
        <v>45327.0</v>
      </c>
    </row>
    <row r="3492" spans="1:9" ht="15" x14ac:dyDescent="0.25">
      <c r="A3492" s="53" t="inlineStr">
        <is>
          <t>LAB-003491</t>
        </is>
      </c>
      <c r="B3492" s="53" t="inlineStr">
        <is>
          <t>WP-01543</t>
        </is>
      </c>
      <c r="C3492" s="53" t="inlineStr">
        <is>
          <t>TECH-019</t>
        </is>
      </c>
      <c r="D3492" s="53" t="inlineStr">
        <is>
          <t>Airframe</t>
        </is>
      </c>
      <c r="E3492" s="53" t="inlineStr">
        <is>
          <t>2024-02-06</t>
        </is>
      </c>
      <c r="F3492" s="53">
        <v>5.9</v>
      </c>
      <c r="G3492" s="53">
        <v>0</v>
      </c>
      <c r="H3492" s="51" t="str">
        <f>TEXT(tblLaborEntries[[#This Row],[Work date serial]]-WEEKDAY(tblLaborEntries[[#This Row],[Work date serial]],3),"yyyy-mm-dd")</f>
        <v>2024-02-05</v>
      </c>
      <c r="I3492" s="64">
        <f>DATEVALUE(tblLaborEntries[[#This Row],[Work date]])</f>
        <v>45328.0</v>
      </c>
    </row>
    <row r="3493" spans="1:9" ht="15" x14ac:dyDescent="0.25">
      <c r="A3493" s="53" t="inlineStr">
        <is>
          <t>LAB-003492</t>
        </is>
      </c>
      <c r="B3493" s="53" t="inlineStr">
        <is>
          <t>WP-01544</t>
        </is>
      </c>
      <c r="C3493" s="53" t="inlineStr">
        <is>
          <t>TECH-002</t>
        </is>
      </c>
      <c r="D3493" s="53" t="inlineStr">
        <is>
          <t>Avionics</t>
        </is>
      </c>
      <c r="E3493" s="53" t="inlineStr">
        <is>
          <t>2024-02-03</t>
        </is>
      </c>
      <c r="F3493" s="53">
        <v>0.2</v>
      </c>
      <c r="G3493" s="53">
        <v>0</v>
      </c>
      <c r="H3493" s="51" t="str">
        <f>TEXT(tblLaborEntries[[#This Row],[Work date serial]]-WEEKDAY(tblLaborEntries[[#This Row],[Work date serial]],3),"yyyy-mm-dd")</f>
        <v>2024-01-29</v>
      </c>
      <c r="I3493" s="64">
        <f>DATEVALUE(tblLaborEntries[[#This Row],[Work date]])</f>
        <v>45325.0</v>
      </c>
    </row>
    <row r="3494" spans="1:9" ht="15" x14ac:dyDescent="0.25">
      <c r="A3494" s="53" t="inlineStr">
        <is>
          <t>LAB-003493</t>
        </is>
      </c>
      <c r="B3494" s="53" t="inlineStr">
        <is>
          <t>WP-01544</t>
        </is>
      </c>
      <c r="C3494" s="53" t="inlineStr">
        <is>
          <t>TECH-062</t>
        </is>
      </c>
      <c r="D3494" s="53" t="inlineStr">
        <is>
          <t>Avionics</t>
        </is>
      </c>
      <c r="E3494" s="53" t="inlineStr">
        <is>
          <t>2024-02-03</t>
        </is>
      </c>
      <c r="F3494" s="53">
        <v>12</v>
      </c>
      <c r="G3494" s="53">
        <v>4</v>
      </c>
      <c r="H3494" s="51" t="str">
        <f>TEXT(tblLaborEntries[[#This Row],[Work date serial]]-WEEKDAY(tblLaborEntries[[#This Row],[Work date serial]],3),"yyyy-mm-dd")</f>
        <v>2024-01-29</v>
      </c>
      <c r="I3494" s="64">
        <f>DATEVALUE(tblLaborEntries[[#This Row],[Work date]])</f>
        <v>45325.0</v>
      </c>
    </row>
    <row r="3495" spans="1:9" ht="15" x14ac:dyDescent="0.25">
      <c r="A3495" s="53" t="inlineStr">
        <is>
          <t>LAB-003494</t>
        </is>
      </c>
      <c r="B3495" s="53" t="inlineStr">
        <is>
          <t>WP-01545</t>
        </is>
      </c>
      <c r="C3495" s="53" t="inlineStr">
        <is>
          <t>TECH-031</t>
        </is>
      </c>
      <c r="D3495" s="53" t="inlineStr">
        <is>
          <t>Airframe</t>
        </is>
      </c>
      <c r="E3495" s="53" t="inlineStr">
        <is>
          <t>2025-10-29</t>
        </is>
      </c>
      <c r="F3495" s="53">
        <v>1.5</v>
      </c>
      <c r="G3495" s="53">
        <v>0</v>
      </c>
      <c r="H3495" s="51" t="str">
        <f>TEXT(tblLaborEntries[[#This Row],[Work date serial]]-WEEKDAY(tblLaborEntries[[#This Row],[Work date serial]],3),"yyyy-mm-dd")</f>
        <v>2025-10-27</v>
      </c>
      <c r="I3495" s="64">
        <f>DATEVALUE(tblLaborEntries[[#This Row],[Work date]])</f>
        <v>45959.0</v>
      </c>
    </row>
    <row r="3496" spans="1:9" ht="15" x14ac:dyDescent="0.25">
      <c r="A3496" s="53" t="inlineStr">
        <is>
          <t>LAB-003495</t>
        </is>
      </c>
      <c r="B3496" s="53" t="inlineStr">
        <is>
          <t>WP-01545</t>
        </is>
      </c>
      <c r="C3496" s="53" t="inlineStr">
        <is>
          <t>TECH-055</t>
        </is>
      </c>
      <c r="D3496" s="53" t="inlineStr">
        <is>
          <t>Airframe</t>
        </is>
      </c>
      <c r="E3496" s="53" t="inlineStr">
        <is>
          <t>2025-10-30</t>
        </is>
      </c>
      <c r="F3496" s="53">
        <v>1.6</v>
      </c>
      <c r="G3496" s="53">
        <v>0</v>
      </c>
      <c r="H3496" s="51" t="str">
        <f>TEXT(tblLaborEntries[[#This Row],[Work date serial]]-WEEKDAY(tblLaborEntries[[#This Row],[Work date serial]],3),"yyyy-mm-dd")</f>
        <v>2025-10-27</v>
      </c>
      <c r="I3496" s="64">
        <f>DATEVALUE(tblLaborEntries[[#This Row],[Work date]])</f>
        <v>45960.0</v>
      </c>
    </row>
    <row r="3497" spans="1:9" ht="15" x14ac:dyDescent="0.25">
      <c r="A3497" s="53" t="inlineStr">
        <is>
          <t>LAB-003496</t>
        </is>
      </c>
      <c r="B3497" s="53" t="inlineStr">
        <is>
          <t>WP-01546</t>
        </is>
      </c>
      <c r="C3497" s="53" t="inlineStr">
        <is>
          <t>TECH-006</t>
        </is>
      </c>
      <c r="D3497" s="53" t="inlineStr">
        <is>
          <t>Powerplant</t>
        </is>
      </c>
      <c r="E3497" s="53" t="inlineStr">
        <is>
          <t>2024-08-02</t>
        </is>
      </c>
      <c r="F3497" s="53">
        <v>7.6</v>
      </c>
      <c r="G3497" s="53">
        <v>0</v>
      </c>
      <c r="H3497" s="51" t="str">
        <f>TEXT(tblLaborEntries[[#This Row],[Work date serial]]-WEEKDAY(tblLaborEntries[[#This Row],[Work date serial]],3),"yyyy-mm-dd")</f>
        <v>2024-07-29</v>
      </c>
      <c r="I3497" s="64">
        <f>DATEVALUE(tblLaborEntries[[#This Row],[Work date]])</f>
        <v>45506.0</v>
      </c>
    </row>
    <row r="3498" spans="1:9" ht="15" x14ac:dyDescent="0.25">
      <c r="A3498" s="53" t="inlineStr">
        <is>
          <t>LAB-003497</t>
        </is>
      </c>
      <c r="B3498" s="53" t="inlineStr">
        <is>
          <t>WP-01546</t>
        </is>
      </c>
      <c r="C3498" s="53" t="inlineStr">
        <is>
          <t>TECH-030</t>
        </is>
      </c>
      <c r="D3498" s="53" t="inlineStr">
        <is>
          <t>Powerplant</t>
        </is>
      </c>
      <c r="E3498" s="53" t="inlineStr">
        <is>
          <t>2024-08-03</t>
        </is>
      </c>
      <c r="F3498" s="53">
        <v>7.9</v>
      </c>
      <c r="G3498" s="53">
        <v>0</v>
      </c>
      <c r="H3498" s="51" t="str">
        <f>TEXT(tblLaborEntries[[#This Row],[Work date serial]]-WEEKDAY(tblLaborEntries[[#This Row],[Work date serial]],3),"yyyy-mm-dd")</f>
        <v>2024-07-29</v>
      </c>
      <c r="I3498" s="64">
        <f>DATEVALUE(tblLaborEntries[[#This Row],[Work date]])</f>
        <v>45507.0</v>
      </c>
    </row>
    <row r="3499" spans="1:9" ht="15" x14ac:dyDescent="0.25">
      <c r="A3499" s="53" t="inlineStr">
        <is>
          <t>LAB-003498</t>
        </is>
      </c>
      <c r="B3499" s="53" t="inlineStr">
        <is>
          <t>WP-01546</t>
        </is>
      </c>
      <c r="C3499" s="53" t="inlineStr">
        <is>
          <t>TECH-024</t>
        </is>
      </c>
      <c r="D3499" s="53" t="inlineStr">
        <is>
          <t>Powerplant</t>
        </is>
      </c>
      <c r="E3499" s="53" t="inlineStr">
        <is>
          <t>2024-08-04</t>
        </is>
      </c>
      <c r="F3499" s="53">
        <v>5.7</v>
      </c>
      <c r="G3499" s="53">
        <v>0</v>
      </c>
      <c r="H3499" s="51" t="str">
        <f>TEXT(tblLaborEntries[[#This Row],[Work date serial]]-WEEKDAY(tblLaborEntries[[#This Row],[Work date serial]],3),"yyyy-mm-dd")</f>
        <v>2024-07-29</v>
      </c>
      <c r="I3499" s="64">
        <f>DATEVALUE(tblLaborEntries[[#This Row],[Work date]])</f>
        <v>45508.0</v>
      </c>
    </row>
    <row r="3500" spans="1:9" ht="15" x14ac:dyDescent="0.25">
      <c r="A3500" s="53" t="inlineStr">
        <is>
          <t>LAB-003499</t>
        </is>
      </c>
      <c r="B3500" s="53" t="inlineStr">
        <is>
          <t>WP-01547</t>
        </is>
      </c>
      <c r="C3500" s="53" t="inlineStr">
        <is>
          <t>TECH-035</t>
        </is>
      </c>
      <c r="D3500" s="53" t="inlineStr">
        <is>
          <t>Structures</t>
        </is>
      </c>
      <c r="E3500" s="53" t="inlineStr">
        <is>
          <t>2025-01-13</t>
        </is>
      </c>
      <c r="F3500" s="53">
        <v>7.7</v>
      </c>
      <c r="G3500" s="53">
        <v>0</v>
      </c>
      <c r="H3500" s="51" t="str">
        <f>TEXT(tblLaborEntries[[#This Row],[Work date serial]]-WEEKDAY(tblLaborEntries[[#This Row],[Work date serial]],3),"yyyy-mm-dd")</f>
        <v>2025-01-13</v>
      </c>
      <c r="I3500" s="64">
        <f>DATEVALUE(tblLaborEntries[[#This Row],[Work date]])</f>
        <v>45670.0</v>
      </c>
    </row>
    <row r="3501" spans="1:9" ht="15" x14ac:dyDescent="0.25">
      <c r="A3501" s="53" t="inlineStr">
        <is>
          <t>LAB-003500</t>
        </is>
      </c>
      <c r="B3501" s="53" t="inlineStr">
        <is>
          <t>WP-01547</t>
        </is>
      </c>
      <c r="C3501" s="53" t="inlineStr">
        <is>
          <t>TECH-011</t>
        </is>
      </c>
      <c r="D3501" s="53" t="inlineStr">
        <is>
          <t>Structures</t>
        </is>
      </c>
      <c r="E3501" s="53" t="inlineStr">
        <is>
          <t>2025-01-14</t>
        </is>
      </c>
      <c r="F3501" s="53">
        <v>10.8</v>
      </c>
      <c r="G3501" s="53">
        <v>2.8</v>
      </c>
      <c r="H3501" s="51" t="str">
        <f>TEXT(tblLaborEntries[[#This Row],[Work date serial]]-WEEKDAY(tblLaborEntries[[#This Row],[Work date serial]],3),"yyyy-mm-dd")</f>
        <v>2025-01-13</v>
      </c>
      <c r="I3501" s="64">
        <f>DATEVALUE(tblLaborEntries[[#This Row],[Work date]])</f>
        <v>45671.0</v>
      </c>
    </row>
    <row r="3502" spans="1:9" ht="15" x14ac:dyDescent="0.25">
      <c r="A3502" s="53" t="inlineStr">
        <is>
          <t>LAB-003501</t>
        </is>
      </c>
      <c r="B3502" s="53" t="inlineStr">
        <is>
          <t>WP-01548</t>
        </is>
      </c>
      <c r="C3502" s="53" t="inlineStr">
        <is>
          <t>TECH-062</t>
        </is>
      </c>
      <c r="D3502" s="53" t="inlineStr">
        <is>
          <t>Avionics</t>
        </is>
      </c>
      <c r="E3502" s="53" t="inlineStr">
        <is>
          <t>2025-08-25</t>
        </is>
      </c>
      <c r="F3502" s="53">
        <v>3.7</v>
      </c>
      <c r="G3502" s="53">
        <v>0</v>
      </c>
      <c r="H3502" s="51" t="str">
        <f>TEXT(tblLaborEntries[[#This Row],[Work date serial]]-WEEKDAY(tblLaborEntries[[#This Row],[Work date serial]],3),"yyyy-mm-dd")</f>
        <v>2025-08-25</v>
      </c>
      <c r="I3502" s="64">
        <f>DATEVALUE(tblLaborEntries[[#This Row],[Work date]])</f>
        <v>45894.0</v>
      </c>
    </row>
    <row r="3503" spans="1:9" ht="15" x14ac:dyDescent="0.25">
      <c r="A3503" s="53" t="inlineStr">
        <is>
          <t>LAB-003502</t>
        </is>
      </c>
      <c r="B3503" s="53" t="inlineStr">
        <is>
          <t>WP-01548</t>
        </is>
      </c>
      <c r="C3503" s="53" t="inlineStr">
        <is>
          <t>TECH-002</t>
        </is>
      </c>
      <c r="D3503" s="53" t="inlineStr">
        <is>
          <t>Avionics</t>
        </is>
      </c>
      <c r="E3503" s="53" t="inlineStr">
        <is>
          <t>2025-08-26</t>
        </is>
      </c>
      <c r="F3503" s="53">
        <v>3.1</v>
      </c>
      <c r="G3503" s="53">
        <v>0</v>
      </c>
      <c r="H3503" s="51" t="str">
        <f>TEXT(tblLaborEntries[[#This Row],[Work date serial]]-WEEKDAY(tblLaborEntries[[#This Row],[Work date serial]],3),"yyyy-mm-dd")</f>
        <v>2025-08-25</v>
      </c>
      <c r="I3503" s="64">
        <f>DATEVALUE(tblLaborEntries[[#This Row],[Work date]])</f>
        <v>45895.0</v>
      </c>
    </row>
    <row r="3504" spans="1:9" ht="15" x14ac:dyDescent="0.25">
      <c r="A3504" s="53" t="inlineStr">
        <is>
          <t>LAB-003503</t>
        </is>
      </c>
      <c r="B3504" s="53" t="inlineStr">
        <is>
          <t>WP-01548</t>
        </is>
      </c>
      <c r="C3504" s="53" t="inlineStr">
        <is>
          <t>TECH-062</t>
        </is>
      </c>
      <c r="D3504" s="53" t="inlineStr">
        <is>
          <t>Avionics</t>
        </is>
      </c>
      <c r="E3504" s="53" t="inlineStr">
        <is>
          <t>2025-08-27</t>
        </is>
      </c>
      <c r="F3504" s="53">
        <v>4.6</v>
      </c>
      <c r="G3504" s="53">
        <v>0</v>
      </c>
      <c r="H3504" s="51" t="str">
        <f>TEXT(tblLaborEntries[[#This Row],[Work date serial]]-WEEKDAY(tblLaborEntries[[#This Row],[Work date serial]],3),"yyyy-mm-dd")</f>
        <v>2025-08-25</v>
      </c>
      <c r="I3504" s="64">
        <f>DATEVALUE(tblLaborEntries[[#This Row],[Work date]])</f>
        <v>45896.0</v>
      </c>
    </row>
    <row r="3505" spans="1:9" ht="15" x14ac:dyDescent="0.25">
      <c r="A3505" s="53" t="inlineStr">
        <is>
          <t>LAB-003504</t>
        </is>
      </c>
      <c r="B3505" s="53" t="inlineStr">
        <is>
          <t>WP-01549</t>
        </is>
      </c>
      <c r="C3505" s="53" t="inlineStr">
        <is>
          <t>TECH-072</t>
        </is>
      </c>
      <c r="D3505" s="53" t="inlineStr">
        <is>
          <t>Powerplant</t>
        </is>
      </c>
      <c r="E3505" s="53" t="inlineStr">
        <is>
          <t>2024-11-04</t>
        </is>
      </c>
      <c r="F3505" s="53">
        <v>4.6</v>
      </c>
      <c r="G3505" s="53">
        <v>0</v>
      </c>
      <c r="H3505" s="51" t="str">
        <f>TEXT(tblLaborEntries[[#This Row],[Work date serial]]-WEEKDAY(tblLaborEntries[[#This Row],[Work date serial]],3),"yyyy-mm-dd")</f>
        <v>2024-11-04</v>
      </c>
      <c r="I3505" s="64">
        <f>DATEVALUE(tblLaborEntries[[#This Row],[Work date]])</f>
        <v>45600.0</v>
      </c>
    </row>
    <row r="3506" spans="1:9" ht="15" x14ac:dyDescent="0.25">
      <c r="A3506" s="53" t="inlineStr">
        <is>
          <t>LAB-003505</t>
        </is>
      </c>
      <c r="B3506" s="53" t="inlineStr">
        <is>
          <t>WP-01549</t>
        </is>
      </c>
      <c r="C3506" s="53" t="inlineStr">
        <is>
          <t>TECH-048</t>
        </is>
      </c>
      <c r="D3506" s="53" t="inlineStr">
        <is>
          <t>Powerplant</t>
        </is>
      </c>
      <c r="E3506" s="53" t="inlineStr">
        <is>
          <t>2024-11-05</t>
        </is>
      </c>
      <c r="F3506" s="53">
        <v>4</v>
      </c>
      <c r="G3506" s="53">
        <v>0</v>
      </c>
      <c r="H3506" s="51" t="str">
        <f>TEXT(tblLaborEntries[[#This Row],[Work date serial]]-WEEKDAY(tblLaborEntries[[#This Row],[Work date serial]],3),"yyyy-mm-dd")</f>
        <v>2024-11-04</v>
      </c>
      <c r="I3506" s="64">
        <f>DATEVALUE(tblLaborEntries[[#This Row],[Work date]])</f>
        <v>45601.0</v>
      </c>
    </row>
    <row r="3507" spans="1:9" ht="15" x14ac:dyDescent="0.25">
      <c r="A3507" s="53" t="inlineStr">
        <is>
          <t>LAB-003506</t>
        </is>
      </c>
      <c r="B3507" s="53" t="inlineStr">
        <is>
          <t>WP-01550</t>
        </is>
      </c>
      <c r="C3507" s="53" t="inlineStr">
        <is>
          <t>TECH-055</t>
        </is>
      </c>
      <c r="D3507" s="53" t="inlineStr">
        <is>
          <t>Airframe</t>
        </is>
      </c>
      <c r="E3507" s="53" t="inlineStr">
        <is>
          <t>2024-06-24</t>
        </is>
      </c>
      <c r="F3507" s="53">
        <v>1.6</v>
      </c>
      <c r="G3507" s="53">
        <v>0</v>
      </c>
      <c r="H3507" s="51" t="str">
        <f>TEXT(tblLaborEntries[[#This Row],[Work date serial]]-WEEKDAY(tblLaborEntries[[#This Row],[Work date serial]],3),"yyyy-mm-dd")</f>
        <v>2024-06-24</v>
      </c>
      <c r="I3507" s="64">
        <f>DATEVALUE(tblLaborEntries[[#This Row],[Work date]])</f>
        <v>45467.0</v>
      </c>
    </row>
    <row r="3508" spans="1:9" ht="15" x14ac:dyDescent="0.25">
      <c r="A3508" s="53" t="inlineStr">
        <is>
          <t>LAB-003507</t>
        </is>
      </c>
      <c r="B3508" s="53" t="inlineStr">
        <is>
          <t>WP-01550</t>
        </is>
      </c>
      <c r="C3508" s="53" t="inlineStr">
        <is>
          <t>TECH-007</t>
        </is>
      </c>
      <c r="D3508" s="53" t="inlineStr">
        <is>
          <t>Airframe</t>
        </is>
      </c>
      <c r="E3508" s="53" t="inlineStr">
        <is>
          <t>2024-06-25</t>
        </is>
      </c>
      <c r="F3508" s="53">
        <v>1.2</v>
      </c>
      <c r="G3508" s="53">
        <v>0</v>
      </c>
      <c r="H3508" s="51" t="str">
        <f>TEXT(tblLaborEntries[[#This Row],[Work date serial]]-WEEKDAY(tblLaborEntries[[#This Row],[Work date serial]],3),"yyyy-mm-dd")</f>
        <v>2024-06-24</v>
      </c>
      <c r="I3508" s="64">
        <f>DATEVALUE(tblLaborEntries[[#This Row],[Work date]])</f>
        <v>45468.0</v>
      </c>
    </row>
    <row r="3509" spans="1:9" ht="15" x14ac:dyDescent="0.25">
      <c r="A3509" s="53" t="inlineStr">
        <is>
          <t>LAB-003508</t>
        </is>
      </c>
      <c r="B3509" s="53" t="inlineStr">
        <is>
          <t>WP-01551</t>
        </is>
      </c>
      <c r="C3509" s="53" t="inlineStr">
        <is>
          <t>TECH-013</t>
        </is>
      </c>
      <c r="D3509" s="53" t="inlineStr">
        <is>
          <t>Airframe</t>
        </is>
      </c>
      <c r="E3509" s="53" t="inlineStr">
        <is>
          <t>2025-08-02</t>
        </is>
      </c>
      <c r="F3509" s="53">
        <v>3</v>
      </c>
      <c r="G3509" s="53">
        <v>0</v>
      </c>
      <c r="H3509" s="51" t="str">
        <f>TEXT(tblLaborEntries[[#This Row],[Work date serial]]-WEEKDAY(tblLaborEntries[[#This Row],[Work date serial]],3),"yyyy-mm-dd")</f>
        <v>2025-07-28</v>
      </c>
      <c r="I3509" s="64">
        <f>DATEVALUE(tblLaborEntries[[#This Row],[Work date]])</f>
        <v>45871.0</v>
      </c>
    </row>
    <row r="3510" spans="1:9" ht="15" x14ac:dyDescent="0.25">
      <c r="A3510" s="53" t="inlineStr">
        <is>
          <t>LAB-003509</t>
        </is>
      </c>
      <c r="B3510" s="53" t="inlineStr">
        <is>
          <t>WP-01551</t>
        </is>
      </c>
      <c r="C3510" s="53" t="inlineStr">
        <is>
          <t>TECH-037</t>
        </is>
      </c>
      <c r="D3510" s="53" t="inlineStr">
        <is>
          <t>Airframe</t>
        </is>
      </c>
      <c r="E3510" s="53" t="inlineStr">
        <is>
          <t>2025-08-03</t>
        </is>
      </c>
      <c r="F3510" s="53">
        <v>2.9</v>
      </c>
      <c r="G3510" s="53">
        <v>0</v>
      </c>
      <c r="H3510" s="51" t="str">
        <f>TEXT(tblLaborEntries[[#This Row],[Work date serial]]-WEEKDAY(tblLaborEntries[[#This Row],[Work date serial]],3),"yyyy-mm-dd")</f>
        <v>2025-07-28</v>
      </c>
      <c r="I3510" s="64">
        <f>DATEVALUE(tblLaborEntries[[#This Row],[Work date]])</f>
        <v>45872.0</v>
      </c>
    </row>
    <row r="3511" spans="1:9" ht="15" x14ac:dyDescent="0.25">
      <c r="A3511" s="53" t="inlineStr">
        <is>
          <t>LAB-003510</t>
        </is>
      </c>
      <c r="B3511" s="53" t="inlineStr">
        <is>
          <t>WP-01551</t>
        </is>
      </c>
      <c r="C3511" s="53" t="inlineStr">
        <is>
          <t>TECH-061</t>
        </is>
      </c>
      <c r="D3511" s="53" t="inlineStr">
        <is>
          <t>Airframe</t>
        </is>
      </c>
      <c r="E3511" s="53" t="inlineStr">
        <is>
          <t>2025-08-04</t>
        </is>
      </c>
      <c r="F3511" s="53">
        <v>2.6</v>
      </c>
      <c r="G3511" s="53">
        <v>0</v>
      </c>
      <c r="H3511" s="51" t="str">
        <f>TEXT(tblLaborEntries[[#This Row],[Work date serial]]-WEEKDAY(tblLaborEntries[[#This Row],[Work date serial]],3),"yyyy-mm-dd")</f>
        <v>2025-08-04</v>
      </c>
      <c r="I3511" s="64">
        <f>DATEVALUE(tblLaborEntries[[#This Row],[Work date]])</f>
        <v>45873.0</v>
      </c>
    </row>
    <row r="3512" spans="1:9" ht="15" x14ac:dyDescent="0.25">
      <c r="A3512" s="53" t="inlineStr">
        <is>
          <t>LAB-003511</t>
        </is>
      </c>
      <c r="B3512" s="53" t="inlineStr">
        <is>
          <t>WP-01552</t>
        </is>
      </c>
      <c r="C3512" s="53" t="inlineStr">
        <is>
          <t>TECH-020</t>
        </is>
      </c>
      <c r="D3512" s="53" t="inlineStr">
        <is>
          <t>Avionics</t>
        </is>
      </c>
      <c r="E3512" s="53" t="inlineStr">
        <is>
          <t>2025-02-26</t>
        </is>
      </c>
      <c r="F3512" s="53">
        <v>5.6</v>
      </c>
      <c r="G3512" s="53">
        <v>0</v>
      </c>
      <c r="H3512" s="51" t="str">
        <f>TEXT(tblLaborEntries[[#This Row],[Work date serial]]-WEEKDAY(tblLaborEntries[[#This Row],[Work date serial]],3),"yyyy-mm-dd")</f>
        <v>2025-02-24</v>
      </c>
      <c r="I3512" s="64">
        <f>DATEVALUE(tblLaborEntries[[#This Row],[Work date]])</f>
        <v>45714.0</v>
      </c>
    </row>
    <row r="3513" spans="1:9" ht="15" x14ac:dyDescent="0.25">
      <c r="A3513" s="53" t="inlineStr">
        <is>
          <t>LAB-003512</t>
        </is>
      </c>
      <c r="B3513" s="53" t="inlineStr">
        <is>
          <t>WP-01553</t>
        </is>
      </c>
      <c r="C3513" s="53" t="inlineStr">
        <is>
          <t>TECH-068</t>
        </is>
      </c>
      <c r="D3513" s="53" t="inlineStr">
        <is>
          <t>Avionics</t>
        </is>
      </c>
      <c r="E3513" s="53" t="inlineStr">
        <is>
          <t>2025-12-09</t>
        </is>
      </c>
      <c r="F3513" s="53">
        <v>4.2</v>
      </c>
      <c r="G3513" s="53">
        <v>0</v>
      </c>
      <c r="H3513" s="51" t="str">
        <f>TEXT(tblLaborEntries[[#This Row],[Work date serial]]-WEEKDAY(tblLaborEntries[[#This Row],[Work date serial]],3),"yyyy-mm-dd")</f>
        <v>2025-12-08</v>
      </c>
      <c r="I3513" s="64">
        <f>DATEVALUE(tblLaborEntries[[#This Row],[Work date]])</f>
        <v>46000.0</v>
      </c>
    </row>
    <row r="3514" spans="1:9" ht="15" x14ac:dyDescent="0.25">
      <c r="A3514" s="53" t="inlineStr">
        <is>
          <t>LAB-003513</t>
        </is>
      </c>
      <c r="B3514" s="53" t="inlineStr">
        <is>
          <t>WP-01553</t>
        </is>
      </c>
      <c r="C3514" s="53" t="inlineStr">
        <is>
          <t>TECH-032</t>
        </is>
      </c>
      <c r="D3514" s="53" t="inlineStr">
        <is>
          <t>Avionics</t>
        </is>
      </c>
      <c r="E3514" s="53" t="inlineStr">
        <is>
          <t>2025-12-10</t>
        </is>
      </c>
      <c r="F3514" s="53">
        <v>3.7</v>
      </c>
      <c r="G3514" s="53">
        <v>0</v>
      </c>
      <c r="H3514" s="51" t="str">
        <f>TEXT(tblLaborEntries[[#This Row],[Work date serial]]-WEEKDAY(tblLaborEntries[[#This Row],[Work date serial]],3),"yyyy-mm-dd")</f>
        <v>2025-12-08</v>
      </c>
      <c r="I3514" s="64">
        <f>DATEVALUE(tblLaborEntries[[#This Row],[Work date]])</f>
        <v>46001.0</v>
      </c>
    </row>
    <row r="3515" spans="1:9" ht="15" x14ac:dyDescent="0.25">
      <c r="A3515" s="53" t="inlineStr">
        <is>
          <t>LAB-003514</t>
        </is>
      </c>
      <c r="B3515" s="53" t="inlineStr">
        <is>
          <t>WP-01554</t>
        </is>
      </c>
      <c r="C3515" s="53" t="inlineStr">
        <is>
          <t>TECH-072</t>
        </is>
      </c>
      <c r="D3515" s="53" t="inlineStr">
        <is>
          <t>Powerplant</t>
        </is>
      </c>
      <c r="E3515" s="53" t="inlineStr">
        <is>
          <t>2025-10-15</t>
        </is>
      </c>
      <c r="F3515" s="53">
        <v>5.9</v>
      </c>
      <c r="G3515" s="53">
        <v>0</v>
      </c>
      <c r="H3515" s="51" t="str">
        <f>TEXT(tblLaborEntries[[#This Row],[Work date serial]]-WEEKDAY(tblLaborEntries[[#This Row],[Work date serial]],3),"yyyy-mm-dd")</f>
        <v>2025-10-13</v>
      </c>
      <c r="I3515" s="64">
        <f>DATEVALUE(tblLaborEntries[[#This Row],[Work date]])</f>
        <v>45945.0</v>
      </c>
    </row>
    <row r="3516" spans="1:9" ht="15" x14ac:dyDescent="0.25">
      <c r="A3516" s="53" t="inlineStr">
        <is>
          <t>LAB-003515</t>
        </is>
      </c>
      <c r="B3516" s="53" t="inlineStr">
        <is>
          <t>WP-01555</t>
        </is>
      </c>
      <c r="C3516" s="53" t="inlineStr">
        <is>
          <t>TECH-074</t>
        </is>
      </c>
      <c r="D3516" s="53" t="inlineStr">
        <is>
          <t>Avionics</t>
        </is>
      </c>
      <c r="E3516" s="53" t="inlineStr">
        <is>
          <t>2024-10-24</t>
        </is>
      </c>
      <c r="F3516" s="53">
        <v>7.5</v>
      </c>
      <c r="G3516" s="53">
        <v>0</v>
      </c>
      <c r="H3516" s="51" t="str">
        <f>TEXT(tblLaborEntries[[#This Row],[Work date serial]]-WEEKDAY(tblLaborEntries[[#This Row],[Work date serial]],3),"yyyy-mm-dd")</f>
        <v>2024-10-21</v>
      </c>
      <c r="I3516" s="64">
        <f>DATEVALUE(tblLaborEntries[[#This Row],[Work date]])</f>
        <v>45589.0</v>
      </c>
    </row>
    <row r="3517" spans="1:9" ht="15" x14ac:dyDescent="0.25">
      <c r="A3517" s="53" t="inlineStr">
        <is>
          <t>LAB-003516</t>
        </is>
      </c>
      <c r="B3517" s="53" t="inlineStr">
        <is>
          <t>WP-01555</t>
        </is>
      </c>
      <c r="C3517" s="53" t="inlineStr">
        <is>
          <t>TECH-050</t>
        </is>
      </c>
      <c r="D3517" s="53" t="inlineStr">
        <is>
          <t>Avionics</t>
        </is>
      </c>
      <c r="E3517" s="53" t="inlineStr">
        <is>
          <t>2024-10-25</t>
        </is>
      </c>
      <c r="F3517" s="53">
        <v>7.9</v>
      </c>
      <c r="G3517" s="53">
        <v>0</v>
      </c>
      <c r="H3517" s="51" t="str">
        <f>TEXT(tblLaborEntries[[#This Row],[Work date serial]]-WEEKDAY(tblLaborEntries[[#This Row],[Work date serial]],3),"yyyy-mm-dd")</f>
        <v>2024-10-21</v>
      </c>
      <c r="I3517" s="64">
        <f>DATEVALUE(tblLaborEntries[[#This Row],[Work date]])</f>
        <v>45590.0</v>
      </c>
    </row>
    <row r="3518" spans="1:9" ht="15" x14ac:dyDescent="0.25">
      <c r="A3518" s="53" t="inlineStr">
        <is>
          <t>LAB-003517</t>
        </is>
      </c>
      <c r="B3518" s="53" t="inlineStr">
        <is>
          <t>WP-01555</t>
        </is>
      </c>
      <c r="C3518" s="53" t="inlineStr">
        <is>
          <t>TECH-014</t>
        </is>
      </c>
      <c r="D3518" s="53" t="inlineStr">
        <is>
          <t>Avionics</t>
        </is>
      </c>
      <c r="E3518" s="53" t="inlineStr">
        <is>
          <t>2024-10-26</t>
        </is>
      </c>
      <c r="F3518" s="53">
        <v>6</v>
      </c>
      <c r="G3518" s="53">
        <v>0</v>
      </c>
      <c r="H3518" s="51" t="str">
        <f>TEXT(tblLaborEntries[[#This Row],[Work date serial]]-WEEKDAY(tblLaborEntries[[#This Row],[Work date serial]],3),"yyyy-mm-dd")</f>
        <v>2024-10-21</v>
      </c>
      <c r="I3518" s="64">
        <f>DATEVALUE(tblLaborEntries[[#This Row],[Work date]])</f>
        <v>45591.0</v>
      </c>
    </row>
    <row r="3519" spans="1:9" ht="15" x14ac:dyDescent="0.25">
      <c r="A3519" s="53" t="inlineStr">
        <is>
          <t>LAB-003518</t>
        </is>
      </c>
      <c r="B3519" s="53" t="inlineStr">
        <is>
          <t>WP-01556</t>
        </is>
      </c>
      <c r="C3519" s="53" t="inlineStr">
        <is>
          <t>TECH-052</t>
        </is>
      </c>
      <c r="D3519" s="53" t="inlineStr">
        <is>
          <t>Electrical</t>
        </is>
      </c>
      <c r="E3519" s="53" t="inlineStr">
        <is>
          <t>2025-05-30</t>
        </is>
      </c>
      <c r="F3519" s="53">
        <v>8</v>
      </c>
      <c r="G3519" s="53">
        <v>0</v>
      </c>
      <c r="H3519" s="51" t="str">
        <f>TEXT(tblLaborEntries[[#This Row],[Work date serial]]-WEEKDAY(tblLaborEntries[[#This Row],[Work date serial]],3),"yyyy-mm-dd")</f>
        <v>2025-05-26</v>
      </c>
      <c r="I3519" s="64">
        <f>DATEVALUE(tblLaborEntries[[#This Row],[Work date]])</f>
        <v>45807.0</v>
      </c>
    </row>
    <row r="3520" spans="1:9" ht="15" x14ac:dyDescent="0.25">
      <c r="A3520" s="53" t="inlineStr">
        <is>
          <t>LAB-003519</t>
        </is>
      </c>
      <c r="B3520" s="53" t="inlineStr">
        <is>
          <t>WP-01556</t>
        </is>
      </c>
      <c r="C3520" s="53" t="inlineStr">
        <is>
          <t>TECH-004</t>
        </is>
      </c>
      <c r="D3520" s="53" t="inlineStr">
        <is>
          <t>Electrical</t>
        </is>
      </c>
      <c r="E3520" s="53" t="inlineStr">
        <is>
          <t>2025-05-31</t>
        </is>
      </c>
      <c r="F3520" s="53">
        <v>7.3</v>
      </c>
      <c r="G3520" s="53">
        <v>0</v>
      </c>
      <c r="H3520" s="51" t="str">
        <f>TEXT(tblLaborEntries[[#This Row],[Work date serial]]-WEEKDAY(tblLaborEntries[[#This Row],[Work date serial]],3),"yyyy-mm-dd")</f>
        <v>2025-05-26</v>
      </c>
      <c r="I3520" s="64">
        <f>DATEVALUE(tblLaborEntries[[#This Row],[Work date]])</f>
        <v>45808.0</v>
      </c>
    </row>
    <row r="3521" spans="1:9" ht="15" x14ac:dyDescent="0.25">
      <c r="A3521" s="53" t="inlineStr">
        <is>
          <t>LAB-003520</t>
        </is>
      </c>
      <c r="B3521" s="53" t="inlineStr">
        <is>
          <t>WP-01556</t>
        </is>
      </c>
      <c r="C3521" s="53" t="inlineStr">
        <is>
          <t>TECH-070</t>
        </is>
      </c>
      <c r="D3521" s="53" t="inlineStr">
        <is>
          <t>Electrical</t>
        </is>
      </c>
      <c r="E3521" s="53" t="inlineStr">
        <is>
          <t>2025-06-01</t>
        </is>
      </c>
      <c r="F3521" s="53">
        <v>7.5</v>
      </c>
      <c r="G3521" s="53">
        <v>0</v>
      </c>
      <c r="H3521" s="51" t="str">
        <f>TEXT(tblLaborEntries[[#This Row],[Work date serial]]-WEEKDAY(tblLaborEntries[[#This Row],[Work date serial]],3),"yyyy-mm-dd")</f>
        <v>2025-05-26</v>
      </c>
      <c r="I3521" s="64">
        <f>DATEVALUE(tblLaborEntries[[#This Row],[Work date]])</f>
        <v>45809.0</v>
      </c>
    </row>
    <row r="3522" spans="1:9" ht="15" x14ac:dyDescent="0.25">
      <c r="A3522" s="53" t="inlineStr">
        <is>
          <t>LAB-003521</t>
        </is>
      </c>
      <c r="B3522" s="53" t="inlineStr">
        <is>
          <t>WP-01557</t>
        </is>
      </c>
      <c r="C3522" s="53" t="inlineStr">
        <is>
          <t>TECH-067</t>
        </is>
      </c>
      <c r="D3522" s="53" t="inlineStr">
        <is>
          <t>Airframe</t>
        </is>
      </c>
      <c r="E3522" s="53" t="inlineStr">
        <is>
          <t>2025-12-24</t>
        </is>
      </c>
      <c r="F3522" s="53">
        <v>2.2</v>
      </c>
      <c r="G3522" s="53">
        <v>0</v>
      </c>
      <c r="H3522" s="51" t="str">
        <f>TEXT(tblLaborEntries[[#This Row],[Work date serial]]-WEEKDAY(tblLaborEntries[[#This Row],[Work date serial]],3),"yyyy-mm-dd")</f>
        <v>2025-12-22</v>
      </c>
      <c r="I3522" s="64">
        <f>DATEVALUE(tblLaborEntries[[#This Row],[Work date]])</f>
        <v>46015.0</v>
      </c>
    </row>
    <row r="3523" spans="1:9" ht="15" x14ac:dyDescent="0.25">
      <c r="A3523" s="53" t="inlineStr">
        <is>
          <t>LAB-003522</t>
        </is>
      </c>
      <c r="B3523" s="53" t="inlineStr">
        <is>
          <t>WP-01557</t>
        </is>
      </c>
      <c r="C3523" s="53" t="inlineStr">
        <is>
          <t>TECH-025</t>
        </is>
      </c>
      <c r="D3523" s="53" t="inlineStr">
        <is>
          <t>Airframe</t>
        </is>
      </c>
      <c r="E3523" s="53" t="inlineStr">
        <is>
          <t>2025-12-25</t>
        </is>
      </c>
      <c r="F3523" s="53">
        <v>1.9</v>
      </c>
      <c r="G3523" s="53">
        <v>0</v>
      </c>
      <c r="H3523" s="51" t="str">
        <f>TEXT(tblLaborEntries[[#This Row],[Work date serial]]-WEEKDAY(tblLaborEntries[[#This Row],[Work date serial]],3),"yyyy-mm-dd")</f>
        <v>2025-12-22</v>
      </c>
      <c r="I3523" s="64">
        <f>DATEVALUE(tblLaborEntries[[#This Row],[Work date]])</f>
        <v>46016.0</v>
      </c>
    </row>
    <row r="3524" spans="1:9" ht="15" x14ac:dyDescent="0.25">
      <c r="A3524" s="53" t="inlineStr">
        <is>
          <t>LAB-003523</t>
        </is>
      </c>
      <c r="B3524" s="53" t="inlineStr">
        <is>
          <t>WP-01557</t>
        </is>
      </c>
      <c r="C3524" s="53" t="inlineStr">
        <is>
          <t>TECH-055</t>
        </is>
      </c>
      <c r="D3524" s="53" t="inlineStr">
        <is>
          <t>Airframe</t>
        </is>
      </c>
      <c r="E3524" s="53" t="inlineStr">
        <is>
          <t>2025-12-26</t>
        </is>
      </c>
      <c r="F3524" s="53">
        <v>2</v>
      </c>
      <c r="G3524" s="53">
        <v>0</v>
      </c>
      <c r="H3524" s="51" t="str">
        <f>TEXT(tblLaborEntries[[#This Row],[Work date serial]]-WEEKDAY(tblLaborEntries[[#This Row],[Work date serial]],3),"yyyy-mm-dd")</f>
        <v>2025-12-22</v>
      </c>
      <c r="I3524" s="64">
        <f>DATEVALUE(tblLaborEntries[[#This Row],[Work date]])</f>
        <v>46017.0</v>
      </c>
    </row>
    <row r="3525" spans="1:9" ht="15" x14ac:dyDescent="0.25">
      <c r="A3525" s="53" t="inlineStr">
        <is>
          <t>LAB-003524</t>
        </is>
      </c>
      <c r="B3525" s="53" t="inlineStr">
        <is>
          <t>WP-01558</t>
        </is>
      </c>
      <c r="C3525" s="53" t="inlineStr">
        <is>
          <t>TECH-005</t>
        </is>
      </c>
      <c r="D3525" s="53" t="inlineStr">
        <is>
          <t>Structures</t>
        </is>
      </c>
      <c r="E3525" s="53" t="inlineStr">
        <is>
          <t>2025-11-14</t>
        </is>
      </c>
      <c r="F3525" s="53">
        <v>0.9</v>
      </c>
      <c r="G3525" s="53">
        <v>0</v>
      </c>
      <c r="H3525" s="51" t="str">
        <f>TEXT(tblLaborEntries[[#This Row],[Work date serial]]-WEEKDAY(tblLaborEntries[[#This Row],[Work date serial]],3),"yyyy-mm-dd")</f>
        <v>2025-11-10</v>
      </c>
      <c r="I3525" s="64">
        <f>DATEVALUE(tblLaborEntries[[#This Row],[Work date]])</f>
        <v>45975.0</v>
      </c>
    </row>
    <row r="3526" spans="1:9" ht="15" x14ac:dyDescent="0.25">
      <c r="A3526" s="53" t="inlineStr">
        <is>
          <t>LAB-003525</t>
        </is>
      </c>
      <c r="B3526" s="53" t="inlineStr">
        <is>
          <t>WP-01558</t>
        </is>
      </c>
      <c r="C3526" s="53" t="inlineStr">
        <is>
          <t>TECH-017</t>
        </is>
      </c>
      <c r="D3526" s="53" t="inlineStr">
        <is>
          <t>Structures</t>
        </is>
      </c>
      <c r="E3526" s="53" t="inlineStr">
        <is>
          <t>2025-11-14</t>
        </is>
      </c>
      <c r="F3526" s="53">
        <v>12</v>
      </c>
      <c r="G3526" s="53">
        <v>4</v>
      </c>
      <c r="H3526" s="51" t="str">
        <f>TEXT(tblLaborEntries[[#This Row],[Work date serial]]-WEEKDAY(tblLaborEntries[[#This Row],[Work date serial]],3),"yyyy-mm-dd")</f>
        <v>2025-11-10</v>
      </c>
      <c r="I3526" s="64">
        <f>DATEVALUE(tblLaborEntries[[#This Row],[Work date]])</f>
        <v>45975.0</v>
      </c>
    </row>
    <row r="3527" spans="1:9" ht="15" x14ac:dyDescent="0.25">
      <c r="A3527" s="53" t="inlineStr">
        <is>
          <t>LAB-003526</t>
        </is>
      </c>
      <c r="B3527" s="53" t="inlineStr">
        <is>
          <t>WP-01558</t>
        </is>
      </c>
      <c r="C3527" s="53" t="inlineStr">
        <is>
          <t>TECH-065</t>
        </is>
      </c>
      <c r="D3527" s="53" t="inlineStr">
        <is>
          <t>Structures</t>
        </is>
      </c>
      <c r="E3527" s="53" t="inlineStr">
        <is>
          <t>2025-11-15</t>
        </is>
      </c>
      <c r="F3527" s="53">
        <v>9.1</v>
      </c>
      <c r="G3527" s="53">
        <v>1.1</v>
      </c>
      <c r="H3527" s="51" t="str">
        <f>TEXT(tblLaborEntries[[#This Row],[Work date serial]]-WEEKDAY(tblLaborEntries[[#This Row],[Work date serial]],3),"yyyy-mm-dd")</f>
        <v>2025-11-10</v>
      </c>
      <c r="I3527" s="64">
        <f>DATEVALUE(tblLaborEntries[[#This Row],[Work date]])</f>
        <v>45976.0</v>
      </c>
    </row>
    <row r="3528" spans="1:9" ht="15" x14ac:dyDescent="0.25">
      <c r="A3528" s="53" t="inlineStr">
        <is>
          <t>LAB-003527</t>
        </is>
      </c>
      <c r="B3528" s="53" t="inlineStr">
        <is>
          <t>WP-01559</t>
        </is>
      </c>
      <c r="C3528" s="53" t="inlineStr">
        <is>
          <t>TECH-024</t>
        </is>
      </c>
      <c r="D3528" s="53" t="inlineStr">
        <is>
          <t>Powerplant</t>
        </is>
      </c>
      <c r="E3528" s="53" t="inlineStr">
        <is>
          <t>2025-01-16</t>
        </is>
      </c>
      <c r="F3528" s="53">
        <v>6</v>
      </c>
      <c r="G3528" s="53">
        <v>0</v>
      </c>
      <c r="H3528" s="51" t="str">
        <f>TEXT(tblLaborEntries[[#This Row],[Work date serial]]-WEEKDAY(tblLaborEntries[[#This Row],[Work date serial]],3),"yyyy-mm-dd")</f>
        <v>2025-01-13</v>
      </c>
      <c r="I3528" s="64">
        <f>DATEVALUE(tblLaborEntries[[#This Row],[Work date]])</f>
        <v>45673.0</v>
      </c>
    </row>
    <row r="3529" spans="1:9" ht="15" x14ac:dyDescent="0.25">
      <c r="A3529" s="53" t="inlineStr">
        <is>
          <t>LAB-003528</t>
        </is>
      </c>
      <c r="B3529" s="53" t="inlineStr">
        <is>
          <t>WP-01559</t>
        </is>
      </c>
      <c r="C3529" s="53" t="inlineStr">
        <is>
          <t>TECH-030</t>
        </is>
      </c>
      <c r="D3529" s="53" t="inlineStr">
        <is>
          <t>Powerplant</t>
        </is>
      </c>
      <c r="E3529" s="53" t="inlineStr">
        <is>
          <t>2025-01-17</t>
        </is>
      </c>
      <c r="F3529" s="53">
        <v>6.3</v>
      </c>
      <c r="G3529" s="53">
        <v>0</v>
      </c>
      <c r="H3529" s="51" t="str">
        <f>TEXT(tblLaborEntries[[#This Row],[Work date serial]]-WEEKDAY(tblLaborEntries[[#This Row],[Work date serial]],3),"yyyy-mm-dd")</f>
        <v>2025-01-13</v>
      </c>
      <c r="I3529" s="64">
        <f>DATEVALUE(tblLaborEntries[[#This Row],[Work date]])</f>
        <v>45674.0</v>
      </c>
    </row>
    <row r="3530" spans="1:9" ht="15" x14ac:dyDescent="0.25">
      <c r="A3530" s="53" t="inlineStr">
        <is>
          <t>LAB-003529</t>
        </is>
      </c>
      <c r="B3530" s="53" t="inlineStr">
        <is>
          <t>WP-01559</t>
        </is>
      </c>
      <c r="C3530" s="53" t="inlineStr">
        <is>
          <t>TECH-060</t>
        </is>
      </c>
      <c r="D3530" s="53" t="inlineStr">
        <is>
          <t>Powerplant</t>
        </is>
      </c>
      <c r="E3530" s="53" t="inlineStr">
        <is>
          <t>2025-01-18</t>
        </is>
      </c>
      <c r="F3530" s="53">
        <v>7</v>
      </c>
      <c r="G3530" s="53">
        <v>0</v>
      </c>
      <c r="H3530" s="51" t="str">
        <f>TEXT(tblLaborEntries[[#This Row],[Work date serial]]-WEEKDAY(tblLaborEntries[[#This Row],[Work date serial]],3),"yyyy-mm-dd")</f>
        <v>2025-01-13</v>
      </c>
      <c r="I3530" s="64">
        <f>DATEVALUE(tblLaborEntries[[#This Row],[Work date]])</f>
        <v>45675.0</v>
      </c>
    </row>
    <row r="3531" spans="1:9" ht="15" x14ac:dyDescent="0.25">
      <c r="A3531" s="53" t="inlineStr">
        <is>
          <t>LAB-003530</t>
        </is>
      </c>
      <c r="B3531" s="53" t="inlineStr">
        <is>
          <t>WP-01560</t>
        </is>
      </c>
      <c r="C3531" s="53" t="inlineStr">
        <is>
          <t>TECH-068</t>
        </is>
      </c>
      <c r="D3531" s="53" t="inlineStr">
        <is>
          <t>Avionics</t>
        </is>
      </c>
      <c r="E3531" s="53" t="inlineStr">
        <is>
          <t>2024-05-30</t>
        </is>
      </c>
      <c r="F3531" s="53">
        <v>2.9</v>
      </c>
      <c r="G3531" s="53">
        <v>0</v>
      </c>
      <c r="H3531" s="51" t="str">
        <f>TEXT(tblLaborEntries[[#This Row],[Work date serial]]-WEEKDAY(tblLaborEntries[[#This Row],[Work date serial]],3),"yyyy-mm-dd")</f>
        <v>2024-05-27</v>
      </c>
      <c r="I3531" s="64">
        <f>DATEVALUE(tblLaborEntries[[#This Row],[Work date]])</f>
        <v>45442.0</v>
      </c>
    </row>
    <row r="3532" spans="1:9" ht="15" x14ac:dyDescent="0.25">
      <c r="A3532" s="53" t="inlineStr">
        <is>
          <t>LAB-003531</t>
        </is>
      </c>
      <c r="B3532" s="53" t="inlineStr">
        <is>
          <t>WP-01560</t>
        </is>
      </c>
      <c r="C3532" s="53" t="inlineStr">
        <is>
          <t>TECH-044</t>
        </is>
      </c>
      <c r="D3532" s="53" t="inlineStr">
        <is>
          <t>Avionics</t>
        </is>
      </c>
      <c r="E3532" s="53" t="inlineStr">
        <is>
          <t>2024-05-31</t>
        </is>
      </c>
      <c r="F3532" s="53">
        <v>3.2</v>
      </c>
      <c r="G3532" s="53">
        <v>0</v>
      </c>
      <c r="H3532" s="51" t="str">
        <f>TEXT(tblLaborEntries[[#This Row],[Work date serial]]-WEEKDAY(tblLaborEntries[[#This Row],[Work date serial]],3),"yyyy-mm-dd")</f>
        <v>2024-05-27</v>
      </c>
      <c r="I3532" s="64">
        <f>DATEVALUE(tblLaborEntries[[#This Row],[Work date]])</f>
        <v>45443.0</v>
      </c>
    </row>
    <row r="3533" spans="1:9" ht="15" x14ac:dyDescent="0.25">
      <c r="A3533" s="53" t="inlineStr">
        <is>
          <t>LAB-003532</t>
        </is>
      </c>
      <c r="B3533" s="53" t="inlineStr">
        <is>
          <t>WP-01560</t>
        </is>
      </c>
      <c r="C3533" s="53" t="inlineStr">
        <is>
          <t>TECH-008</t>
        </is>
      </c>
      <c r="D3533" s="53" t="inlineStr">
        <is>
          <t>Avionics</t>
        </is>
      </c>
      <c r="E3533" s="53" t="inlineStr">
        <is>
          <t>2024-06-01</t>
        </is>
      </c>
      <c r="F3533" s="53">
        <v>3.3</v>
      </c>
      <c r="G3533" s="53">
        <v>0</v>
      </c>
      <c r="H3533" s="51" t="str">
        <f>TEXT(tblLaborEntries[[#This Row],[Work date serial]]-WEEKDAY(tblLaborEntries[[#This Row],[Work date serial]],3),"yyyy-mm-dd")</f>
        <v>2024-05-27</v>
      </c>
      <c r="I3533" s="64">
        <f>DATEVALUE(tblLaborEntries[[#This Row],[Work date]])</f>
        <v>45444.0</v>
      </c>
    </row>
    <row r="3534" spans="1:9" ht="15" x14ac:dyDescent="0.25">
      <c r="A3534" s="53" t="inlineStr">
        <is>
          <t>LAB-003533</t>
        </is>
      </c>
      <c r="B3534" s="53" t="inlineStr">
        <is>
          <t>WP-01561</t>
        </is>
      </c>
      <c r="C3534" s="53" t="inlineStr">
        <is>
          <t>TECH-006</t>
        </is>
      </c>
      <c r="D3534" s="53" t="inlineStr">
        <is>
          <t>Powerplant</t>
        </is>
      </c>
      <c r="E3534" s="53" t="inlineStr">
        <is>
          <t>2025-04-04</t>
        </is>
      </c>
      <c r="F3534" s="53">
        <v>3.7</v>
      </c>
      <c r="G3534" s="53">
        <v>0</v>
      </c>
      <c r="H3534" s="51" t="str">
        <f>TEXT(tblLaborEntries[[#This Row],[Work date serial]]-WEEKDAY(tblLaborEntries[[#This Row],[Work date serial]],3),"yyyy-mm-dd")</f>
        <v>2025-03-31</v>
      </c>
      <c r="I3534" s="64">
        <f>DATEVALUE(tblLaborEntries[[#This Row],[Work date]])</f>
        <v>45751.0</v>
      </c>
    </row>
    <row r="3535" spans="1:9" ht="15" x14ac:dyDescent="0.25">
      <c r="A3535" s="53" t="inlineStr">
        <is>
          <t>LAB-003534</t>
        </is>
      </c>
      <c r="B3535" s="53" t="inlineStr">
        <is>
          <t>WP-01561</t>
        </is>
      </c>
      <c r="C3535" s="53" t="inlineStr">
        <is>
          <t>TECH-036</t>
        </is>
      </c>
      <c r="D3535" s="53" t="inlineStr">
        <is>
          <t>Powerplant</t>
        </is>
      </c>
      <c r="E3535" s="53" t="inlineStr">
        <is>
          <t>2025-04-05</t>
        </is>
      </c>
      <c r="F3535" s="53">
        <v>5.5</v>
      </c>
      <c r="G3535" s="53">
        <v>0</v>
      </c>
      <c r="H3535" s="51" t="str">
        <f>TEXT(tblLaborEntries[[#This Row],[Work date serial]]-WEEKDAY(tblLaborEntries[[#This Row],[Work date serial]],3),"yyyy-mm-dd")</f>
        <v>2025-03-31</v>
      </c>
      <c r="I3535" s="64">
        <f>DATEVALUE(tblLaborEntries[[#This Row],[Work date]])</f>
        <v>45752.0</v>
      </c>
    </row>
    <row r="3536" spans="1:9" ht="15" x14ac:dyDescent="0.25">
      <c r="A3536" s="53" t="inlineStr">
        <is>
          <t>LAB-003535</t>
        </is>
      </c>
      <c r="B3536" s="53" t="inlineStr">
        <is>
          <t>WP-01562</t>
        </is>
      </c>
      <c r="C3536" s="53" t="inlineStr">
        <is>
          <t>TECH-012</t>
        </is>
      </c>
      <c r="D3536" s="53" t="inlineStr">
        <is>
          <t>Powerplant</t>
        </is>
      </c>
      <c r="E3536" s="53" t="inlineStr">
        <is>
          <t>2024-05-04</t>
        </is>
      </c>
      <c r="F3536" s="53">
        <v>7.7</v>
      </c>
      <c r="G3536" s="53">
        <v>0</v>
      </c>
      <c r="H3536" s="51" t="str">
        <f>TEXT(tblLaborEntries[[#This Row],[Work date serial]]-WEEKDAY(tblLaborEntries[[#This Row],[Work date serial]],3),"yyyy-mm-dd")</f>
        <v>2024-04-29</v>
      </c>
      <c r="I3536" s="64">
        <f>DATEVALUE(tblLaborEntries[[#This Row],[Work date]])</f>
        <v>45416.0</v>
      </c>
    </row>
    <row r="3537" spans="1:9" ht="15" x14ac:dyDescent="0.25">
      <c r="A3537" s="53" t="inlineStr">
        <is>
          <t>LAB-003536</t>
        </is>
      </c>
      <c r="B3537" s="53" t="inlineStr">
        <is>
          <t>WP-01562</t>
        </is>
      </c>
      <c r="C3537" s="53" t="inlineStr">
        <is>
          <t>TECH-006</t>
        </is>
      </c>
      <c r="D3537" s="53" t="inlineStr">
        <is>
          <t>Powerplant</t>
        </is>
      </c>
      <c r="E3537" s="53" t="inlineStr">
        <is>
          <t>2024-05-05</t>
        </is>
      </c>
      <c r="F3537" s="53">
        <v>0.4</v>
      </c>
      <c r="G3537" s="53">
        <v>0</v>
      </c>
      <c r="H3537" s="51" t="str">
        <f>TEXT(tblLaborEntries[[#This Row],[Work date serial]]-WEEKDAY(tblLaborEntries[[#This Row],[Work date serial]],3),"yyyy-mm-dd")</f>
        <v>2024-04-29</v>
      </c>
      <c r="I3537" s="64">
        <f>DATEVALUE(tblLaborEntries[[#This Row],[Work date]])</f>
        <v>45417.0</v>
      </c>
    </row>
    <row r="3538" spans="1:9" ht="15" x14ac:dyDescent="0.25">
      <c r="A3538" s="53" t="inlineStr">
        <is>
          <t>LAB-003537</t>
        </is>
      </c>
      <c r="B3538" s="53" t="inlineStr">
        <is>
          <t>WP-01562</t>
        </is>
      </c>
      <c r="C3538" s="53" t="inlineStr">
        <is>
          <t>TECH-048</t>
        </is>
      </c>
      <c r="D3538" s="53" t="inlineStr">
        <is>
          <t>Powerplant</t>
        </is>
      </c>
      <c r="E3538" s="53" t="inlineStr">
        <is>
          <t>2024-05-05</t>
        </is>
      </c>
      <c r="F3538" s="53">
        <v>12</v>
      </c>
      <c r="G3538" s="53">
        <v>4</v>
      </c>
      <c r="H3538" s="51" t="str">
        <f>TEXT(tblLaborEntries[[#This Row],[Work date serial]]-WEEKDAY(tblLaborEntries[[#This Row],[Work date serial]],3),"yyyy-mm-dd")</f>
        <v>2024-04-29</v>
      </c>
      <c r="I3538" s="64">
        <f>DATEVALUE(tblLaborEntries[[#This Row],[Work date]])</f>
        <v>45417.0</v>
      </c>
    </row>
    <row r="3539" spans="1:9" ht="15" x14ac:dyDescent="0.25">
      <c r="A3539" s="53" t="inlineStr">
        <is>
          <t>LAB-003538</t>
        </is>
      </c>
      <c r="B3539" s="53" t="inlineStr">
        <is>
          <t>WP-01562</t>
        </is>
      </c>
      <c r="C3539" s="53" t="inlineStr">
        <is>
          <t>TECH-072</t>
        </is>
      </c>
      <c r="D3539" s="53" t="inlineStr">
        <is>
          <t>Powerplant</t>
        </is>
      </c>
      <c r="E3539" s="53" t="inlineStr">
        <is>
          <t>2024-05-06</t>
        </is>
      </c>
      <c r="F3539" s="53">
        <v>9.3</v>
      </c>
      <c r="G3539" s="53">
        <v>1.3</v>
      </c>
      <c r="H3539" s="51" t="str">
        <f>TEXT(tblLaborEntries[[#This Row],[Work date serial]]-WEEKDAY(tblLaborEntries[[#This Row],[Work date serial]],3),"yyyy-mm-dd")</f>
        <v>2024-05-06</v>
      </c>
      <c r="I3539" s="64">
        <f>DATEVALUE(tblLaborEntries[[#This Row],[Work date]])</f>
        <v>45418.0</v>
      </c>
    </row>
    <row r="3540" spans="1:9" ht="15" x14ac:dyDescent="0.25">
      <c r="A3540" s="53" t="inlineStr">
        <is>
          <t>LAB-003539</t>
        </is>
      </c>
      <c r="B3540" s="53" t="inlineStr">
        <is>
          <t>WP-01563</t>
        </is>
      </c>
      <c r="C3540" s="53" t="inlineStr">
        <is>
          <t>TECH-007</t>
        </is>
      </c>
      <c r="D3540" s="53" t="inlineStr">
        <is>
          <t>Airframe</t>
        </is>
      </c>
      <c r="E3540" s="53" t="inlineStr">
        <is>
          <t>2025-05-13</t>
        </is>
      </c>
      <c r="F3540" s="53">
        <v>7.2</v>
      </c>
      <c r="G3540" s="53">
        <v>0</v>
      </c>
      <c r="H3540" s="51" t="str">
        <f>TEXT(tblLaborEntries[[#This Row],[Work date serial]]-WEEKDAY(tblLaborEntries[[#This Row],[Work date serial]],3),"yyyy-mm-dd")</f>
        <v>2025-05-12</v>
      </c>
      <c r="I3540" s="64">
        <f>DATEVALUE(tblLaborEntries[[#This Row],[Work date]])</f>
        <v>45790.0</v>
      </c>
    </row>
    <row r="3541" spans="1:9" ht="15" x14ac:dyDescent="0.25">
      <c r="A3541" s="53" t="inlineStr">
        <is>
          <t>LAB-003540</t>
        </is>
      </c>
      <c r="B3541" s="53" t="inlineStr">
        <is>
          <t>WP-01563</t>
        </is>
      </c>
      <c r="C3541" s="53" t="inlineStr">
        <is>
          <t>TECH-019</t>
        </is>
      </c>
      <c r="D3541" s="53" t="inlineStr">
        <is>
          <t>Airframe</t>
        </is>
      </c>
      <c r="E3541" s="53" t="inlineStr">
        <is>
          <t>2025-05-14</t>
        </is>
      </c>
      <c r="F3541" s="53">
        <v>6.3</v>
      </c>
      <c r="G3541" s="53">
        <v>0</v>
      </c>
      <c r="H3541" s="51" t="str">
        <f>TEXT(tblLaborEntries[[#This Row],[Work date serial]]-WEEKDAY(tblLaborEntries[[#This Row],[Work date serial]],3),"yyyy-mm-dd")</f>
        <v>2025-05-12</v>
      </c>
      <c r="I3541" s="64">
        <f>DATEVALUE(tblLaborEntries[[#This Row],[Work date]])</f>
        <v>45791.0</v>
      </c>
    </row>
    <row r="3542" spans="1:9" ht="15" x14ac:dyDescent="0.25">
      <c r="A3542" s="53" t="inlineStr">
        <is>
          <t>LAB-003541</t>
        </is>
      </c>
      <c r="B3542" s="53" t="inlineStr">
        <is>
          <t>WP-01564</t>
        </is>
      </c>
      <c r="C3542" s="53" t="inlineStr">
        <is>
          <t>TECH-044</t>
        </is>
      </c>
      <c r="D3542" s="53" t="inlineStr">
        <is>
          <t>Avionics</t>
        </is>
      </c>
      <c r="E3542" s="53" t="inlineStr">
        <is>
          <t>2025-05-21</t>
        </is>
      </c>
      <c r="F3542" s="53">
        <v>3.6</v>
      </c>
      <c r="G3542" s="53">
        <v>0</v>
      </c>
      <c r="H3542" s="51" t="str">
        <f>TEXT(tblLaborEntries[[#This Row],[Work date serial]]-WEEKDAY(tblLaborEntries[[#This Row],[Work date serial]],3),"yyyy-mm-dd")</f>
        <v>2025-05-19</v>
      </c>
      <c r="I3542" s="64">
        <f>DATEVALUE(tblLaborEntries[[#This Row],[Work date]])</f>
        <v>45798.0</v>
      </c>
    </row>
    <row r="3543" spans="1:9" ht="15" x14ac:dyDescent="0.25">
      <c r="A3543" s="53" t="inlineStr">
        <is>
          <t>LAB-003542</t>
        </is>
      </c>
      <c r="B3543" s="53" t="inlineStr">
        <is>
          <t>WP-01564</t>
        </is>
      </c>
      <c r="C3543" s="53" t="inlineStr">
        <is>
          <t>TECH-020</t>
        </is>
      </c>
      <c r="D3543" s="53" t="inlineStr">
        <is>
          <t>Avionics</t>
        </is>
      </c>
      <c r="E3543" s="53" t="inlineStr">
        <is>
          <t>2025-05-22</t>
        </is>
      </c>
      <c r="F3543" s="53">
        <v>4.3</v>
      </c>
      <c r="G3543" s="53">
        <v>0</v>
      </c>
      <c r="H3543" s="51" t="str">
        <f>TEXT(tblLaborEntries[[#This Row],[Work date serial]]-WEEKDAY(tblLaborEntries[[#This Row],[Work date serial]],3),"yyyy-mm-dd")</f>
        <v>2025-05-19</v>
      </c>
      <c r="I3543" s="64">
        <f>DATEVALUE(tblLaborEntries[[#This Row],[Work date]])</f>
        <v>45799.0</v>
      </c>
    </row>
    <row r="3544" spans="1:9" ht="15" x14ac:dyDescent="0.25">
      <c r="A3544" s="53" t="inlineStr">
        <is>
          <t>LAB-003543</t>
        </is>
      </c>
      <c r="B3544" s="53" t="inlineStr">
        <is>
          <t>WP-01564</t>
        </is>
      </c>
      <c r="C3544" s="53" t="inlineStr">
        <is>
          <t>TECH-038</t>
        </is>
      </c>
      <c r="D3544" s="53" t="inlineStr">
        <is>
          <t>Avionics</t>
        </is>
      </c>
      <c r="E3544" s="53" t="inlineStr">
        <is>
          <t>2025-05-23</t>
        </is>
      </c>
      <c r="F3544" s="53">
        <v>4.4</v>
      </c>
      <c r="G3544" s="53">
        <v>0</v>
      </c>
      <c r="H3544" s="51" t="str">
        <f>TEXT(tblLaborEntries[[#This Row],[Work date serial]]-WEEKDAY(tblLaborEntries[[#This Row],[Work date serial]],3),"yyyy-mm-dd")</f>
        <v>2025-05-19</v>
      </c>
      <c r="I3544" s="64">
        <f>DATEVALUE(tblLaborEntries[[#This Row],[Work date]])</f>
        <v>45800.0</v>
      </c>
    </row>
    <row r="3545" spans="1:9" ht="15" x14ac:dyDescent="0.25">
      <c r="A3545" s="53" t="inlineStr">
        <is>
          <t>LAB-003544</t>
        </is>
      </c>
      <c r="B3545" s="53" t="inlineStr">
        <is>
          <t>WP-01565</t>
        </is>
      </c>
      <c r="C3545" s="53" t="inlineStr">
        <is>
          <t>TECH-038</t>
        </is>
      </c>
      <c r="D3545" s="53" t="inlineStr">
        <is>
          <t>Avionics</t>
        </is>
      </c>
      <c r="E3545" s="53" t="inlineStr">
        <is>
          <t>2025-09-26</t>
        </is>
      </c>
      <c r="F3545" s="53">
        <v>3.3</v>
      </c>
      <c r="G3545" s="53">
        <v>0.6</v>
      </c>
      <c r="H3545" s="51" t="str">
        <f>TEXT(tblLaborEntries[[#This Row],[Work date serial]]-WEEKDAY(tblLaborEntries[[#This Row],[Work date serial]],3),"yyyy-mm-dd")</f>
        <v>2025-09-22</v>
      </c>
      <c r="I3545" s="64">
        <f>DATEVALUE(tblLaborEntries[[#This Row],[Work date]])</f>
        <v>45926.0</v>
      </c>
    </row>
    <row r="3546" spans="1:9" ht="15" x14ac:dyDescent="0.25">
      <c r="A3546" s="53" t="inlineStr">
        <is>
          <t>LAB-003545</t>
        </is>
      </c>
      <c r="B3546" s="53" t="inlineStr">
        <is>
          <t>WP-01565</t>
        </is>
      </c>
      <c r="C3546" s="53" t="inlineStr">
        <is>
          <t>TECH-068</t>
        </is>
      </c>
      <c r="D3546" s="53" t="inlineStr">
        <is>
          <t>Avionics</t>
        </is>
      </c>
      <c r="E3546" s="53" t="inlineStr">
        <is>
          <t>2025-09-27</t>
        </is>
      </c>
      <c r="F3546" s="53">
        <v>5</v>
      </c>
      <c r="G3546" s="53">
        <v>0</v>
      </c>
      <c r="H3546" s="51" t="str">
        <f>TEXT(tblLaborEntries[[#This Row],[Work date serial]]-WEEKDAY(tblLaborEntries[[#This Row],[Work date serial]],3),"yyyy-mm-dd")</f>
        <v>2025-09-22</v>
      </c>
      <c r="I3546" s="64">
        <f>DATEVALUE(tblLaborEntries[[#This Row],[Work date]])</f>
        <v>45927.0</v>
      </c>
    </row>
    <row r="3547" spans="1:9" ht="15" x14ac:dyDescent="0.25">
      <c r="A3547" s="53" t="inlineStr">
        <is>
          <t>LAB-003546</t>
        </is>
      </c>
      <c r="B3547" s="53" t="inlineStr">
        <is>
          <t>WP-01566</t>
        </is>
      </c>
      <c r="C3547" s="53" t="inlineStr">
        <is>
          <t>TECH-056</t>
        </is>
      </c>
      <c r="D3547" s="53" t="inlineStr">
        <is>
          <t>Avionics</t>
        </is>
      </c>
      <c r="E3547" s="53" t="inlineStr">
        <is>
          <t>2024-07-23</t>
        </is>
      </c>
      <c r="F3547" s="53">
        <v>0.9</v>
      </c>
      <c r="G3547" s="53">
        <v>0</v>
      </c>
      <c r="H3547" s="51" t="str">
        <f>TEXT(tblLaborEntries[[#This Row],[Work date serial]]-WEEKDAY(tblLaborEntries[[#This Row],[Work date serial]],3),"yyyy-mm-dd")</f>
        <v>2024-07-22</v>
      </c>
      <c r="I3547" s="64">
        <f>DATEVALUE(tblLaborEntries[[#This Row],[Work date]])</f>
        <v>45496.0</v>
      </c>
    </row>
    <row r="3548" spans="1:9" ht="15" x14ac:dyDescent="0.25">
      <c r="A3548" s="53" t="inlineStr">
        <is>
          <t>LAB-003547</t>
        </is>
      </c>
      <c r="B3548" s="53" t="inlineStr">
        <is>
          <t>WP-01566</t>
        </is>
      </c>
      <c r="C3548" s="53" t="inlineStr">
        <is>
          <t>TECH-026</t>
        </is>
      </c>
      <c r="D3548" s="53" t="inlineStr">
        <is>
          <t>Avionics</t>
        </is>
      </c>
      <c r="E3548" s="53" t="inlineStr">
        <is>
          <t>2024-07-24</t>
        </is>
      </c>
      <c r="F3548" s="53">
        <v>1</v>
      </c>
      <c r="G3548" s="53">
        <v>0</v>
      </c>
      <c r="H3548" s="51" t="str">
        <f>TEXT(tblLaborEntries[[#This Row],[Work date serial]]-WEEKDAY(tblLaborEntries[[#This Row],[Work date serial]],3),"yyyy-mm-dd")</f>
        <v>2024-07-22</v>
      </c>
      <c r="I3548" s="64">
        <f>DATEVALUE(tblLaborEntries[[#This Row],[Work date]])</f>
        <v>45497.0</v>
      </c>
    </row>
    <row r="3549" spans="1:9" ht="15" x14ac:dyDescent="0.25">
      <c r="A3549" s="53" t="inlineStr">
        <is>
          <t>LAB-003548</t>
        </is>
      </c>
      <c r="B3549" s="53" t="inlineStr">
        <is>
          <t>WP-01566</t>
        </is>
      </c>
      <c r="C3549" s="53" t="inlineStr">
        <is>
          <t>TECH-038</t>
        </is>
      </c>
      <c r="D3549" s="53" t="inlineStr">
        <is>
          <t>Avionics</t>
        </is>
      </c>
      <c r="E3549" s="53" t="inlineStr">
        <is>
          <t>2024-07-25</t>
        </is>
      </c>
      <c r="F3549" s="53">
        <v>1.3</v>
      </c>
      <c r="G3549" s="53">
        <v>0</v>
      </c>
      <c r="H3549" s="51" t="str">
        <f>TEXT(tblLaborEntries[[#This Row],[Work date serial]]-WEEKDAY(tblLaborEntries[[#This Row],[Work date serial]],3),"yyyy-mm-dd")</f>
        <v>2024-07-22</v>
      </c>
      <c r="I3549" s="64">
        <f>DATEVALUE(tblLaborEntries[[#This Row],[Work date]])</f>
        <v>45498.0</v>
      </c>
    </row>
    <row r="3550" spans="1:9" ht="15" x14ac:dyDescent="0.25">
      <c r="A3550" s="53" t="inlineStr">
        <is>
          <t>LAB-003549</t>
        </is>
      </c>
      <c r="B3550" s="53" t="inlineStr">
        <is>
          <t>WP-01567</t>
        </is>
      </c>
      <c r="C3550" s="53" t="inlineStr">
        <is>
          <t>TECH-075</t>
        </is>
      </c>
      <c r="D3550" s="53" t="inlineStr">
        <is>
          <t>Hydraulics</t>
        </is>
      </c>
      <c r="E3550" s="53" t="inlineStr">
        <is>
          <t>2025-08-09</t>
        </is>
      </c>
      <c r="F3550" s="53">
        <v>5.3</v>
      </c>
      <c r="G3550" s="53">
        <v>0</v>
      </c>
      <c r="H3550" s="51" t="str">
        <f>TEXT(tblLaborEntries[[#This Row],[Work date serial]]-WEEKDAY(tblLaborEntries[[#This Row],[Work date serial]],3),"yyyy-mm-dd")</f>
        <v>2025-08-04</v>
      </c>
      <c r="I3550" s="64">
        <f>DATEVALUE(tblLaborEntries[[#This Row],[Work date]])</f>
        <v>45878.0</v>
      </c>
    </row>
    <row r="3551" spans="1:9" ht="15" x14ac:dyDescent="0.25">
      <c r="A3551" s="53" t="inlineStr">
        <is>
          <t>LAB-003550</t>
        </is>
      </c>
      <c r="B3551" s="53" t="inlineStr">
        <is>
          <t>WP-01567</t>
        </is>
      </c>
      <c r="C3551" s="53" t="inlineStr">
        <is>
          <t>TECH-063</t>
        </is>
      </c>
      <c r="D3551" s="53" t="inlineStr">
        <is>
          <t>Hydraulics</t>
        </is>
      </c>
      <c r="E3551" s="53" t="inlineStr">
        <is>
          <t>2025-08-10</t>
        </is>
      </c>
      <c r="F3551" s="53">
        <v>5.8</v>
      </c>
      <c r="G3551" s="53">
        <v>0</v>
      </c>
      <c r="H3551" s="51" t="str">
        <f>TEXT(tblLaborEntries[[#This Row],[Work date serial]]-WEEKDAY(tblLaborEntries[[#This Row],[Work date serial]],3),"yyyy-mm-dd")</f>
        <v>2025-08-04</v>
      </c>
      <c r="I3551" s="64">
        <f>DATEVALUE(tblLaborEntries[[#This Row],[Work date]])</f>
        <v>45879.0</v>
      </c>
    </row>
    <row r="3552" spans="1:9" ht="15" x14ac:dyDescent="0.25">
      <c r="A3552" s="53" t="inlineStr">
        <is>
          <t>LAB-003551</t>
        </is>
      </c>
      <c r="B3552" s="53" t="inlineStr">
        <is>
          <t>WP-01567</t>
        </is>
      </c>
      <c r="C3552" s="53" t="inlineStr">
        <is>
          <t>TECH-057</t>
        </is>
      </c>
      <c r="D3552" s="53" t="inlineStr">
        <is>
          <t>Hydraulics</t>
        </is>
      </c>
      <c r="E3552" s="53" t="inlineStr">
        <is>
          <t>2025-08-11</t>
        </is>
      </c>
      <c r="F3552" s="53">
        <v>6.9</v>
      </c>
      <c r="G3552" s="53">
        <v>0</v>
      </c>
      <c r="H3552" s="51" t="str">
        <f>TEXT(tblLaborEntries[[#This Row],[Work date serial]]-WEEKDAY(tblLaborEntries[[#This Row],[Work date serial]],3),"yyyy-mm-dd")</f>
        <v>2025-08-11</v>
      </c>
      <c r="I3552" s="64">
        <f>DATEVALUE(tblLaborEntries[[#This Row],[Work date]])</f>
        <v>45880.0</v>
      </c>
    </row>
    <row r="3553" spans="1:9" ht="15" x14ac:dyDescent="0.25">
      <c r="A3553" s="53" t="inlineStr">
        <is>
          <t>LAB-003552</t>
        </is>
      </c>
      <c r="B3553" s="53" t="inlineStr">
        <is>
          <t>WP-01568</t>
        </is>
      </c>
      <c r="C3553" s="53" t="inlineStr">
        <is>
          <t>TECH-055</t>
        </is>
      </c>
      <c r="D3553" s="53" t="inlineStr">
        <is>
          <t>Airframe</t>
        </is>
      </c>
      <c r="E3553" s="53" t="inlineStr">
        <is>
          <t>2024-01-16</t>
        </is>
      </c>
      <c r="F3553" s="53">
        <v>5.6</v>
      </c>
      <c r="G3553" s="53">
        <v>0</v>
      </c>
      <c r="H3553" s="51" t="str">
        <f>TEXT(tblLaborEntries[[#This Row],[Work date serial]]-WEEKDAY(tblLaborEntries[[#This Row],[Work date serial]],3),"yyyy-mm-dd")</f>
        <v>2024-01-15</v>
      </c>
      <c r="I3553" s="64">
        <f>DATEVALUE(tblLaborEntries[[#This Row],[Work date]])</f>
        <v>45307.0</v>
      </c>
    </row>
    <row r="3554" spans="1:9" ht="15" x14ac:dyDescent="0.25">
      <c r="A3554" s="53" t="inlineStr">
        <is>
          <t>LAB-003553</t>
        </is>
      </c>
      <c r="B3554" s="53" t="inlineStr">
        <is>
          <t>WP-01568</t>
        </is>
      </c>
      <c r="C3554" s="53" t="inlineStr">
        <is>
          <t>TECH-055</t>
        </is>
      </c>
      <c r="D3554" s="53" t="inlineStr">
        <is>
          <t>Airframe</t>
        </is>
      </c>
      <c r="E3554" s="53" t="inlineStr">
        <is>
          <t>2024-01-17</t>
        </is>
      </c>
      <c r="F3554" s="53">
        <v>3.9</v>
      </c>
      <c r="G3554" s="53">
        <v>0</v>
      </c>
      <c r="H3554" s="51" t="str">
        <f>TEXT(tblLaborEntries[[#This Row],[Work date serial]]-WEEKDAY(tblLaborEntries[[#This Row],[Work date serial]],3),"yyyy-mm-dd")</f>
        <v>2024-01-15</v>
      </c>
      <c r="I3554" s="64">
        <f>DATEVALUE(tblLaborEntries[[#This Row],[Work date]])</f>
        <v>45308.0</v>
      </c>
    </row>
    <row r="3555" spans="1:9" ht="15" x14ac:dyDescent="0.25">
      <c r="A3555" s="53" t="inlineStr">
        <is>
          <t>LAB-003554</t>
        </is>
      </c>
      <c r="B3555" s="53" t="inlineStr">
        <is>
          <t>WP-01569</t>
        </is>
      </c>
      <c r="C3555" s="53" t="inlineStr">
        <is>
          <t>TECH-014</t>
        </is>
      </c>
      <c r="D3555" s="53" t="inlineStr">
        <is>
          <t>Avionics</t>
        </is>
      </c>
      <c r="E3555" s="53" t="inlineStr">
        <is>
          <t>2024-07-09</t>
        </is>
      </c>
      <c r="F3555" s="53">
        <v>4.4</v>
      </c>
      <c r="G3555" s="53">
        <v>0</v>
      </c>
      <c r="H3555" s="51" t="str">
        <f>TEXT(tblLaborEntries[[#This Row],[Work date serial]]-WEEKDAY(tblLaborEntries[[#This Row],[Work date serial]],3),"yyyy-mm-dd")</f>
        <v>2024-07-08</v>
      </c>
      <c r="I3555" s="64">
        <f>DATEVALUE(tblLaborEntries[[#This Row],[Work date]])</f>
        <v>45482.0</v>
      </c>
    </row>
    <row r="3556" spans="1:9" ht="15" x14ac:dyDescent="0.25">
      <c r="A3556" s="53" t="inlineStr">
        <is>
          <t>LAB-003555</t>
        </is>
      </c>
      <c r="B3556" s="53" t="inlineStr">
        <is>
          <t>WP-01570</t>
        </is>
      </c>
      <c r="C3556" s="53" t="inlineStr">
        <is>
          <t>TECH-070</t>
        </is>
      </c>
      <c r="D3556" s="53" t="inlineStr">
        <is>
          <t>Electrical</t>
        </is>
      </c>
      <c r="E3556" s="53" t="inlineStr">
        <is>
          <t>2024-08-22</t>
        </is>
      </c>
      <c r="F3556" s="53">
        <v>7.1</v>
      </c>
      <c r="G3556" s="53">
        <v>0</v>
      </c>
      <c r="H3556" s="51" t="str">
        <f>TEXT(tblLaborEntries[[#This Row],[Work date serial]]-WEEKDAY(tblLaborEntries[[#This Row],[Work date serial]],3),"yyyy-mm-dd")</f>
        <v>2024-08-19</v>
      </c>
      <c r="I3556" s="64">
        <f>DATEVALUE(tblLaborEntries[[#This Row],[Work date]])</f>
        <v>45526.0</v>
      </c>
    </row>
    <row r="3557" spans="1:9" ht="15" x14ac:dyDescent="0.25">
      <c r="A3557" s="53" t="inlineStr">
        <is>
          <t>LAB-003556</t>
        </is>
      </c>
      <c r="B3557" s="53" t="inlineStr">
        <is>
          <t>WP-01570</t>
        </is>
      </c>
      <c r="C3557" s="53" t="inlineStr">
        <is>
          <t>TECH-046</t>
        </is>
      </c>
      <c r="D3557" s="53" t="inlineStr">
        <is>
          <t>Electrical</t>
        </is>
      </c>
      <c r="E3557" s="53" t="inlineStr">
        <is>
          <t>2024-08-23</t>
        </is>
      </c>
      <c r="F3557" s="53">
        <v>10.1</v>
      </c>
      <c r="G3557" s="53">
        <v>2.1</v>
      </c>
      <c r="H3557" s="51" t="str">
        <f>TEXT(tblLaborEntries[[#This Row],[Work date serial]]-WEEKDAY(tblLaborEntries[[#This Row],[Work date serial]],3),"yyyy-mm-dd")</f>
        <v>2024-08-19</v>
      </c>
      <c r="I3557" s="64">
        <f>DATEVALUE(tblLaborEntries[[#This Row],[Work date]])</f>
        <v>45527.0</v>
      </c>
    </row>
    <row r="3558" spans="1:9" ht="15" x14ac:dyDescent="0.25">
      <c r="A3558" s="53" t="inlineStr">
        <is>
          <t>LAB-003557</t>
        </is>
      </c>
      <c r="B3558" s="53" t="inlineStr">
        <is>
          <t>WP-01571</t>
        </is>
      </c>
      <c r="C3558" s="53" t="inlineStr">
        <is>
          <t>TECH-056</t>
        </is>
      </c>
      <c r="D3558" s="53" t="inlineStr">
        <is>
          <t>Avionics</t>
        </is>
      </c>
      <c r="E3558" s="53" t="inlineStr">
        <is>
          <t>2024-03-09</t>
        </is>
      </c>
      <c r="F3558" s="53">
        <v>2</v>
      </c>
      <c r="G3558" s="53">
        <v>0</v>
      </c>
      <c r="H3558" s="51" t="str">
        <f>TEXT(tblLaborEntries[[#This Row],[Work date serial]]-WEEKDAY(tblLaborEntries[[#This Row],[Work date serial]],3),"yyyy-mm-dd")</f>
        <v>2024-03-04</v>
      </c>
      <c r="I3558" s="64">
        <f>DATEVALUE(tblLaborEntries[[#This Row],[Work date]])</f>
        <v>45360.0</v>
      </c>
    </row>
    <row r="3559" spans="1:9" ht="15" x14ac:dyDescent="0.25">
      <c r="A3559" s="53" t="inlineStr">
        <is>
          <t>LAB-003558</t>
        </is>
      </c>
      <c r="B3559" s="53" t="inlineStr">
        <is>
          <t>WP-01571</t>
        </is>
      </c>
      <c r="C3559" s="53" t="inlineStr">
        <is>
          <t>TECH-014</t>
        </is>
      </c>
      <c r="D3559" s="53" t="inlineStr">
        <is>
          <t>Avionics</t>
        </is>
      </c>
      <c r="E3559" s="53" t="inlineStr">
        <is>
          <t>2024-03-10</t>
        </is>
      </c>
      <c r="F3559" s="53">
        <v>3.1</v>
      </c>
      <c r="G3559" s="53">
        <v>0</v>
      </c>
      <c r="H3559" s="51" t="str">
        <f>TEXT(tblLaborEntries[[#This Row],[Work date serial]]-WEEKDAY(tblLaborEntries[[#This Row],[Work date serial]],3),"yyyy-mm-dd")</f>
        <v>2024-03-04</v>
      </c>
      <c r="I3559" s="64">
        <f>DATEVALUE(tblLaborEntries[[#This Row],[Work date]])</f>
        <v>45361.0</v>
      </c>
    </row>
    <row r="3560" spans="1:9" ht="15" x14ac:dyDescent="0.25">
      <c r="A3560" s="53" t="inlineStr">
        <is>
          <t>LAB-003559</t>
        </is>
      </c>
      <c r="B3560" s="53" t="inlineStr">
        <is>
          <t>WP-01572</t>
        </is>
      </c>
      <c r="C3560" s="53" t="inlineStr">
        <is>
          <t>TECH-050</t>
        </is>
      </c>
      <c r="D3560" s="53" t="inlineStr">
        <is>
          <t>Avionics</t>
        </is>
      </c>
      <c r="E3560" s="53" t="inlineStr">
        <is>
          <t>2025-05-18</t>
        </is>
      </c>
      <c r="F3560" s="53">
        <v>6.8</v>
      </c>
      <c r="G3560" s="53">
        <v>0</v>
      </c>
      <c r="H3560" s="51" t="str">
        <f>TEXT(tblLaborEntries[[#This Row],[Work date serial]]-WEEKDAY(tblLaborEntries[[#This Row],[Work date serial]],3),"yyyy-mm-dd")</f>
        <v>2025-05-12</v>
      </c>
      <c r="I3560" s="64">
        <f>DATEVALUE(tblLaborEntries[[#This Row],[Work date]])</f>
        <v>45795.0</v>
      </c>
    </row>
    <row r="3561" spans="1:9" ht="15" x14ac:dyDescent="0.25">
      <c r="A3561" s="53" t="inlineStr">
        <is>
          <t>LAB-003560</t>
        </is>
      </c>
      <c r="B3561" s="53" t="inlineStr">
        <is>
          <t>WP-01572</t>
        </is>
      </c>
      <c r="C3561" s="53" t="inlineStr">
        <is>
          <t>TECH-062</t>
        </is>
      </c>
      <c r="D3561" s="53" t="inlineStr">
        <is>
          <t>Avionics</t>
        </is>
      </c>
      <c r="E3561" s="53" t="inlineStr">
        <is>
          <t>2025-05-19</t>
        </is>
      </c>
      <c r="F3561" s="53">
        <v>5.7</v>
      </c>
      <c r="G3561" s="53">
        <v>0</v>
      </c>
      <c r="H3561" s="51" t="str">
        <f>TEXT(tblLaborEntries[[#This Row],[Work date serial]]-WEEKDAY(tblLaborEntries[[#This Row],[Work date serial]],3),"yyyy-mm-dd")</f>
        <v>2025-05-19</v>
      </c>
      <c r="I3561" s="64">
        <f>DATEVALUE(tblLaborEntries[[#This Row],[Work date]])</f>
        <v>45796.0</v>
      </c>
    </row>
    <row r="3562" spans="1:9" ht="15" x14ac:dyDescent="0.25">
      <c r="A3562" s="53" t="inlineStr">
        <is>
          <t>LAB-003561</t>
        </is>
      </c>
      <c r="B3562" s="53" t="inlineStr">
        <is>
          <t>WP-01573</t>
        </is>
      </c>
      <c r="C3562" s="53" t="inlineStr">
        <is>
          <t>TECH-043</t>
        </is>
      </c>
      <c r="D3562" s="53" t="inlineStr">
        <is>
          <t>Airframe</t>
        </is>
      </c>
      <c r="E3562" s="53" t="inlineStr">
        <is>
          <t>2025-05-23</t>
        </is>
      </c>
      <c r="F3562" s="53">
        <v>4.1</v>
      </c>
      <c r="G3562" s="53">
        <v>0</v>
      </c>
      <c r="H3562" s="51" t="str">
        <f>TEXT(tblLaborEntries[[#This Row],[Work date serial]]-WEEKDAY(tblLaborEntries[[#This Row],[Work date serial]],3),"yyyy-mm-dd")</f>
        <v>2025-05-19</v>
      </c>
      <c r="I3562" s="64">
        <f>DATEVALUE(tblLaborEntries[[#This Row],[Work date]])</f>
        <v>45800.0</v>
      </c>
    </row>
    <row r="3563" spans="1:9" ht="15" x14ac:dyDescent="0.25">
      <c r="A3563" s="53" t="inlineStr">
        <is>
          <t>LAB-003562</t>
        </is>
      </c>
      <c r="B3563" s="53" t="inlineStr">
        <is>
          <t>WP-01574</t>
        </is>
      </c>
      <c r="C3563" s="53" t="inlineStr">
        <is>
          <t>TECH-001</t>
        </is>
      </c>
      <c r="D3563" s="53" t="inlineStr">
        <is>
          <t>Airframe</t>
        </is>
      </c>
      <c r="E3563" s="53" t="inlineStr">
        <is>
          <t>2024-09-03</t>
        </is>
      </c>
      <c r="F3563" s="53">
        <v>1.8</v>
      </c>
      <c r="G3563" s="53">
        <v>0</v>
      </c>
      <c r="H3563" s="51" t="str">
        <f>TEXT(tblLaborEntries[[#This Row],[Work date serial]]-WEEKDAY(tblLaborEntries[[#This Row],[Work date serial]],3),"yyyy-mm-dd")</f>
        <v>2024-09-02</v>
      </c>
      <c r="I3563" s="64">
        <f>DATEVALUE(tblLaborEntries[[#This Row],[Work date]])</f>
        <v>45538.0</v>
      </c>
    </row>
    <row r="3564" spans="1:9" ht="15" x14ac:dyDescent="0.25">
      <c r="A3564" s="53" t="inlineStr">
        <is>
          <t>LAB-003563</t>
        </is>
      </c>
      <c r="B3564" s="53" t="inlineStr">
        <is>
          <t>WP-01574</t>
        </is>
      </c>
      <c r="C3564" s="53" t="inlineStr">
        <is>
          <t>TECH-055</t>
        </is>
      </c>
      <c r="D3564" s="53" t="inlineStr">
        <is>
          <t>Airframe</t>
        </is>
      </c>
      <c r="E3564" s="53" t="inlineStr">
        <is>
          <t>2024-09-03</t>
        </is>
      </c>
      <c r="F3564" s="53">
        <v>12</v>
      </c>
      <c r="G3564" s="53">
        <v>4</v>
      </c>
      <c r="H3564" s="51" t="str">
        <f>TEXT(tblLaborEntries[[#This Row],[Work date serial]]-WEEKDAY(tblLaborEntries[[#This Row],[Work date serial]],3),"yyyy-mm-dd")</f>
        <v>2024-09-02</v>
      </c>
      <c r="I3564" s="64">
        <f>DATEVALUE(tblLaborEntries[[#This Row],[Work date]])</f>
        <v>45538.0</v>
      </c>
    </row>
    <row r="3565" spans="1:9" ht="15" x14ac:dyDescent="0.25">
      <c r="A3565" s="53" t="inlineStr">
        <is>
          <t>LAB-003564</t>
        </is>
      </c>
      <c r="B3565" s="53" t="inlineStr">
        <is>
          <t>WP-01575</t>
        </is>
      </c>
      <c r="C3565" s="53" t="inlineStr">
        <is>
          <t>TECH-032</t>
        </is>
      </c>
      <c r="D3565" s="53" t="inlineStr">
        <is>
          <t>Avionics</t>
        </is>
      </c>
      <c r="E3565" s="53" t="inlineStr">
        <is>
          <t>2025-03-26</t>
        </is>
      </c>
      <c r="F3565" s="53">
        <v>4.7</v>
      </c>
      <c r="G3565" s="53">
        <v>0</v>
      </c>
      <c r="H3565" s="51" t="str">
        <f>TEXT(tblLaborEntries[[#This Row],[Work date serial]]-WEEKDAY(tblLaborEntries[[#This Row],[Work date serial]],3),"yyyy-mm-dd")</f>
        <v>2025-03-24</v>
      </c>
      <c r="I3565" s="64">
        <f>DATEVALUE(tblLaborEntries[[#This Row],[Work date]])</f>
        <v>45742.0</v>
      </c>
    </row>
    <row r="3566" spans="1:9" ht="15" x14ac:dyDescent="0.25">
      <c r="A3566" s="53" t="inlineStr">
        <is>
          <t>LAB-003565</t>
        </is>
      </c>
      <c r="B3566" s="53" t="inlineStr">
        <is>
          <t>WP-01575</t>
        </is>
      </c>
      <c r="C3566" s="53" t="inlineStr">
        <is>
          <t>TECH-044</t>
        </is>
      </c>
      <c r="D3566" s="53" t="inlineStr">
        <is>
          <t>Avionics</t>
        </is>
      </c>
      <c r="E3566" s="53" t="inlineStr">
        <is>
          <t>2025-03-27</t>
        </is>
      </c>
      <c r="F3566" s="53">
        <v>5.9</v>
      </c>
      <c r="G3566" s="53">
        <v>0</v>
      </c>
      <c r="H3566" s="51" t="str">
        <f>TEXT(tblLaborEntries[[#This Row],[Work date serial]]-WEEKDAY(tblLaborEntries[[#This Row],[Work date serial]],3),"yyyy-mm-dd")</f>
        <v>2025-03-24</v>
      </c>
      <c r="I3566" s="64">
        <f>DATEVALUE(tblLaborEntries[[#This Row],[Work date]])</f>
        <v>45743.0</v>
      </c>
    </row>
    <row r="3567" spans="1:9" ht="15" x14ac:dyDescent="0.25">
      <c r="A3567" s="53" t="inlineStr">
        <is>
          <t>LAB-003566</t>
        </is>
      </c>
      <c r="B3567" s="53" t="inlineStr">
        <is>
          <t>WP-01575</t>
        </is>
      </c>
      <c r="C3567" s="53" t="inlineStr">
        <is>
          <t>TECH-056</t>
        </is>
      </c>
      <c r="D3567" s="53" t="inlineStr">
        <is>
          <t>Avionics</t>
        </is>
      </c>
      <c r="E3567" s="53" t="inlineStr">
        <is>
          <t>2025-03-28</t>
        </is>
      </c>
      <c r="F3567" s="53">
        <v>6</v>
      </c>
      <c r="G3567" s="53">
        <v>0</v>
      </c>
      <c r="H3567" s="51" t="str">
        <f>TEXT(tblLaborEntries[[#This Row],[Work date serial]]-WEEKDAY(tblLaborEntries[[#This Row],[Work date serial]],3),"yyyy-mm-dd")</f>
        <v>2025-03-24</v>
      </c>
      <c r="I3567" s="64">
        <f>DATEVALUE(tblLaborEntries[[#This Row],[Work date]])</f>
        <v>45744.0</v>
      </c>
    </row>
    <row r="3568" spans="1:9" ht="15" x14ac:dyDescent="0.25">
      <c r="A3568" s="53" t="inlineStr">
        <is>
          <t>LAB-003567</t>
        </is>
      </c>
      <c r="B3568" s="53" t="inlineStr">
        <is>
          <t>WP-01576</t>
        </is>
      </c>
      <c r="C3568" s="53" t="inlineStr">
        <is>
          <t>TECH-025</t>
        </is>
      </c>
      <c r="D3568" s="53" t="inlineStr">
        <is>
          <t>Airframe</t>
        </is>
      </c>
      <c r="E3568" s="53" t="inlineStr">
        <is>
          <t>2025-12-24</t>
        </is>
      </c>
      <c r="F3568" s="53">
        <v>2.2</v>
      </c>
      <c r="G3568" s="53">
        <v>0</v>
      </c>
      <c r="H3568" s="51" t="str">
        <f>TEXT(tblLaborEntries[[#This Row],[Work date serial]]-WEEKDAY(tblLaborEntries[[#This Row],[Work date serial]],3),"yyyy-mm-dd")</f>
        <v>2025-12-22</v>
      </c>
      <c r="I3568" s="64">
        <f>DATEVALUE(tblLaborEntries[[#This Row],[Work date]])</f>
        <v>46015.0</v>
      </c>
    </row>
    <row r="3569" spans="1:9" ht="15" x14ac:dyDescent="0.25">
      <c r="A3569" s="53" t="inlineStr">
        <is>
          <t>LAB-003568</t>
        </is>
      </c>
      <c r="B3569" s="53" t="inlineStr">
        <is>
          <t>WP-01576</t>
        </is>
      </c>
      <c r="C3569" s="53" t="inlineStr">
        <is>
          <t>TECH-073</t>
        </is>
      </c>
      <c r="D3569" s="53" t="inlineStr">
        <is>
          <t>Airframe</t>
        </is>
      </c>
      <c r="E3569" s="53" t="inlineStr">
        <is>
          <t>2025-12-25</t>
        </is>
      </c>
      <c r="F3569" s="53">
        <v>3.5</v>
      </c>
      <c r="G3569" s="53">
        <v>0</v>
      </c>
      <c r="H3569" s="51" t="str">
        <f>TEXT(tblLaborEntries[[#This Row],[Work date serial]]-WEEKDAY(tblLaborEntries[[#This Row],[Work date serial]],3),"yyyy-mm-dd")</f>
        <v>2025-12-22</v>
      </c>
      <c r="I3569" s="64">
        <f>DATEVALUE(tblLaborEntries[[#This Row],[Work date]])</f>
        <v>46016.0</v>
      </c>
    </row>
    <row r="3570" spans="1:9" ht="15" x14ac:dyDescent="0.25">
      <c r="A3570" s="53" t="inlineStr">
        <is>
          <t>LAB-003569</t>
        </is>
      </c>
      <c r="B3570" s="53" t="inlineStr">
        <is>
          <t>WP-01577</t>
        </is>
      </c>
      <c r="C3570" s="53" t="inlineStr">
        <is>
          <t>TECH-036</t>
        </is>
      </c>
      <c r="D3570" s="53" t="inlineStr">
        <is>
          <t>Powerplant</t>
        </is>
      </c>
      <c r="E3570" s="53" t="inlineStr">
        <is>
          <t>2024-09-11</t>
        </is>
      </c>
      <c r="F3570" s="53">
        <v>2.8</v>
      </c>
      <c r="G3570" s="53">
        <v>0</v>
      </c>
      <c r="H3570" s="51" t="str">
        <f>TEXT(tblLaborEntries[[#This Row],[Work date serial]]-WEEKDAY(tblLaborEntries[[#This Row],[Work date serial]],3),"yyyy-mm-dd")</f>
        <v>2024-09-09</v>
      </c>
      <c r="I3570" s="64">
        <f>DATEVALUE(tblLaborEntries[[#This Row],[Work date]])</f>
        <v>45546.0</v>
      </c>
    </row>
    <row r="3571" spans="1:9" ht="15" x14ac:dyDescent="0.25">
      <c r="A3571" s="53" t="inlineStr">
        <is>
          <t>LAB-003570</t>
        </is>
      </c>
      <c r="B3571" s="53" t="inlineStr">
        <is>
          <t>WP-01577</t>
        </is>
      </c>
      <c r="C3571" s="53" t="inlineStr">
        <is>
          <t>TECH-060</t>
        </is>
      </c>
      <c r="D3571" s="53" t="inlineStr">
        <is>
          <t>Powerplant</t>
        </is>
      </c>
      <c r="E3571" s="53" t="inlineStr">
        <is>
          <t>2024-09-12</t>
        </is>
      </c>
      <c r="F3571" s="53">
        <v>2.4</v>
      </c>
      <c r="G3571" s="53">
        <v>0</v>
      </c>
      <c r="H3571" s="51" t="str">
        <f>TEXT(tblLaborEntries[[#This Row],[Work date serial]]-WEEKDAY(tblLaborEntries[[#This Row],[Work date serial]],3),"yyyy-mm-dd")</f>
        <v>2024-09-09</v>
      </c>
      <c r="I3571" s="64">
        <f>DATEVALUE(tblLaborEntries[[#This Row],[Work date]])</f>
        <v>45547.0</v>
      </c>
    </row>
    <row r="3572" spans="1:9" ht="15" x14ac:dyDescent="0.25">
      <c r="A3572" s="53" t="inlineStr">
        <is>
          <t>LAB-003571</t>
        </is>
      </c>
      <c r="B3572" s="53" t="inlineStr">
        <is>
          <t>WP-01577</t>
        </is>
      </c>
      <c r="C3572" s="53" t="inlineStr">
        <is>
          <t>TECH-048</t>
        </is>
      </c>
      <c r="D3572" s="53" t="inlineStr">
        <is>
          <t>Powerplant</t>
        </is>
      </c>
      <c r="E3572" s="53" t="inlineStr">
        <is>
          <t>2024-09-13</t>
        </is>
      </c>
      <c r="F3572" s="53">
        <v>3.3</v>
      </c>
      <c r="G3572" s="53">
        <v>0</v>
      </c>
      <c r="H3572" s="51" t="str">
        <f>TEXT(tblLaborEntries[[#This Row],[Work date serial]]-WEEKDAY(tblLaborEntries[[#This Row],[Work date serial]],3),"yyyy-mm-dd")</f>
        <v>2024-09-09</v>
      </c>
      <c r="I3572" s="64">
        <f>DATEVALUE(tblLaborEntries[[#This Row],[Work date]])</f>
        <v>45548.0</v>
      </c>
    </row>
    <row r="3573" spans="1:9" ht="15" x14ac:dyDescent="0.25">
      <c r="A3573" s="53" t="inlineStr">
        <is>
          <t>LAB-003572</t>
        </is>
      </c>
      <c r="B3573" s="53" t="inlineStr">
        <is>
          <t>WP-01578</t>
        </is>
      </c>
      <c r="C3573" s="53" t="inlineStr">
        <is>
          <t>TECH-044</t>
        </is>
      </c>
      <c r="D3573" s="53" t="inlineStr">
        <is>
          <t>Avionics</t>
        </is>
      </c>
      <c r="E3573" s="53" t="inlineStr">
        <is>
          <t>2025-02-19</t>
        </is>
      </c>
      <c r="F3573" s="53">
        <v>4.7</v>
      </c>
      <c r="G3573" s="53">
        <v>0</v>
      </c>
      <c r="H3573" s="51" t="str">
        <f>TEXT(tblLaborEntries[[#This Row],[Work date serial]]-WEEKDAY(tblLaborEntries[[#This Row],[Work date serial]],3),"yyyy-mm-dd")</f>
        <v>2025-02-17</v>
      </c>
      <c r="I3573" s="64">
        <f>DATEVALUE(tblLaborEntries[[#This Row],[Work date]])</f>
        <v>45707.0</v>
      </c>
    </row>
    <row r="3574" spans="1:9" ht="15" x14ac:dyDescent="0.25">
      <c r="A3574" s="53" t="inlineStr">
        <is>
          <t>LAB-003573</t>
        </is>
      </c>
      <c r="B3574" s="53" t="inlineStr">
        <is>
          <t>WP-01578</t>
        </is>
      </c>
      <c r="C3574" s="53" t="inlineStr">
        <is>
          <t>TECH-032</t>
        </is>
      </c>
      <c r="D3574" s="53" t="inlineStr">
        <is>
          <t>Avionics</t>
        </is>
      </c>
      <c r="E3574" s="53" t="inlineStr">
        <is>
          <t>2025-02-20</t>
        </is>
      </c>
      <c r="F3574" s="53">
        <v>7</v>
      </c>
      <c r="G3574" s="53">
        <v>0</v>
      </c>
      <c r="H3574" s="51" t="str">
        <f>TEXT(tblLaborEntries[[#This Row],[Work date serial]]-WEEKDAY(tblLaborEntries[[#This Row],[Work date serial]],3),"yyyy-mm-dd")</f>
        <v>2025-02-17</v>
      </c>
      <c r="I3574" s="64">
        <f>DATEVALUE(tblLaborEntries[[#This Row],[Work date]])</f>
        <v>45708.0</v>
      </c>
    </row>
    <row r="3575" spans="1:9" ht="15" x14ac:dyDescent="0.25">
      <c r="A3575" s="53" t="inlineStr">
        <is>
          <t>LAB-003574</t>
        </is>
      </c>
      <c r="B3575" s="53" t="inlineStr">
        <is>
          <t>WP-01579</t>
        </is>
      </c>
      <c r="C3575" s="53" t="inlineStr">
        <is>
          <t>TECH-006</t>
        </is>
      </c>
      <c r="D3575" s="53" t="inlineStr">
        <is>
          <t>Powerplant</t>
        </is>
      </c>
      <c r="E3575" s="53" t="inlineStr">
        <is>
          <t>2024-12-30</t>
        </is>
      </c>
      <c r="F3575" s="53">
        <v>3.7</v>
      </c>
      <c r="G3575" s="53">
        <v>0</v>
      </c>
      <c r="H3575" s="51" t="str">
        <f>TEXT(tblLaborEntries[[#This Row],[Work date serial]]-WEEKDAY(tblLaborEntries[[#This Row],[Work date serial]],3),"yyyy-mm-dd")</f>
        <v>2024-12-30</v>
      </c>
      <c r="I3575" s="64">
        <f>DATEVALUE(tblLaborEntries[[#This Row],[Work date]])</f>
        <v>45656.0</v>
      </c>
    </row>
    <row r="3576" spans="1:9" ht="15" x14ac:dyDescent="0.25">
      <c r="A3576" s="53" t="inlineStr">
        <is>
          <t>LAB-003575</t>
        </is>
      </c>
      <c r="B3576" s="53" t="inlineStr">
        <is>
          <t>WP-01579</t>
        </is>
      </c>
      <c r="C3576" s="53" t="inlineStr">
        <is>
          <t>TECH-066</t>
        </is>
      </c>
      <c r="D3576" s="53" t="inlineStr">
        <is>
          <t>Powerplant</t>
        </is>
      </c>
      <c r="E3576" s="53" t="inlineStr">
        <is>
          <t>2024-12-31</t>
        </is>
      </c>
      <c r="F3576" s="53">
        <v>4.3</v>
      </c>
      <c r="G3576" s="53">
        <v>0</v>
      </c>
      <c r="H3576" s="51" t="str">
        <f>TEXT(tblLaborEntries[[#This Row],[Work date serial]]-WEEKDAY(tblLaborEntries[[#This Row],[Work date serial]],3),"yyyy-mm-dd")</f>
        <v>2024-12-30</v>
      </c>
      <c r="I3576" s="64">
        <f>DATEVALUE(tblLaborEntries[[#This Row],[Work date]])</f>
        <v>45657.0</v>
      </c>
    </row>
    <row r="3577" spans="1:9" ht="15" x14ac:dyDescent="0.25">
      <c r="A3577" s="53" t="inlineStr">
        <is>
          <t>LAB-003576</t>
        </is>
      </c>
      <c r="B3577" s="53" t="inlineStr">
        <is>
          <t>WP-01579</t>
        </is>
      </c>
      <c r="C3577" s="53" t="inlineStr">
        <is>
          <t>TECH-036</t>
        </is>
      </c>
      <c r="D3577" s="53" t="inlineStr">
        <is>
          <t>Powerplant</t>
        </is>
      </c>
      <c r="E3577" s="53" t="inlineStr">
        <is>
          <t>2025-01-01</t>
        </is>
      </c>
      <c r="F3577" s="53">
        <v>6.2</v>
      </c>
      <c r="G3577" s="53">
        <v>0</v>
      </c>
      <c r="H3577" s="51" t="str">
        <f>TEXT(tblLaborEntries[[#This Row],[Work date serial]]-WEEKDAY(tblLaborEntries[[#This Row],[Work date serial]],3),"yyyy-mm-dd")</f>
        <v>2024-12-30</v>
      </c>
      <c r="I3577" s="64">
        <f>DATEVALUE(tblLaborEntries[[#This Row],[Work date]])</f>
        <v>45658.0</v>
      </c>
    </row>
    <row r="3578" spans="1:9" ht="15" x14ac:dyDescent="0.25">
      <c r="A3578" s="53" t="inlineStr">
        <is>
          <t>LAB-003577</t>
        </is>
      </c>
      <c r="B3578" s="53" t="inlineStr">
        <is>
          <t>WP-01580</t>
        </is>
      </c>
      <c r="C3578" s="53" t="inlineStr">
        <is>
          <t>TECH-012</t>
        </is>
      </c>
      <c r="D3578" s="53" t="inlineStr">
        <is>
          <t>Powerplant</t>
        </is>
      </c>
      <c r="E3578" s="53" t="inlineStr">
        <is>
          <t>2025-03-29</t>
        </is>
      </c>
      <c r="F3578" s="53">
        <v>1</v>
      </c>
      <c r="G3578" s="53">
        <v>0</v>
      </c>
      <c r="H3578" s="51" t="str">
        <f>TEXT(tblLaborEntries[[#This Row],[Work date serial]]-WEEKDAY(tblLaborEntries[[#This Row],[Work date serial]],3),"yyyy-mm-dd")</f>
        <v>2025-03-24</v>
      </c>
      <c r="I3578" s="64">
        <f>DATEVALUE(tblLaborEntries[[#This Row],[Work date]])</f>
        <v>45745.0</v>
      </c>
    </row>
    <row r="3579" spans="1:9" ht="15" x14ac:dyDescent="0.25">
      <c r="A3579" s="53" t="inlineStr">
        <is>
          <t>LAB-003578</t>
        </is>
      </c>
      <c r="B3579" s="53" t="inlineStr">
        <is>
          <t>WP-01580</t>
        </is>
      </c>
      <c r="C3579" s="53" t="inlineStr">
        <is>
          <t>TECH-030</t>
        </is>
      </c>
      <c r="D3579" s="53" t="inlineStr">
        <is>
          <t>Powerplant</t>
        </is>
      </c>
      <c r="E3579" s="53" t="inlineStr">
        <is>
          <t>2025-03-29</t>
        </is>
      </c>
      <c r="F3579" s="53">
        <v>12</v>
      </c>
      <c r="G3579" s="53">
        <v>4</v>
      </c>
      <c r="H3579" s="51" t="str">
        <f>TEXT(tblLaborEntries[[#This Row],[Work date serial]]-WEEKDAY(tblLaborEntries[[#This Row],[Work date serial]],3),"yyyy-mm-dd")</f>
        <v>2025-03-24</v>
      </c>
      <c r="I3579" s="64">
        <f>DATEVALUE(tblLaborEntries[[#This Row],[Work date]])</f>
        <v>45745.0</v>
      </c>
    </row>
    <row r="3580" spans="1:9" ht="15" x14ac:dyDescent="0.25">
      <c r="A3580" s="53" t="inlineStr">
        <is>
          <t>LAB-003579</t>
        </is>
      </c>
      <c r="B3580" s="53" t="inlineStr">
        <is>
          <t>WP-01581</t>
        </is>
      </c>
      <c r="C3580" s="53" t="inlineStr">
        <is>
          <t>TECH-006</t>
        </is>
      </c>
      <c r="D3580" s="53" t="inlineStr">
        <is>
          <t>Powerplant</t>
        </is>
      </c>
      <c r="E3580" s="53" t="inlineStr">
        <is>
          <t>2025-08-13</t>
        </is>
      </c>
      <c r="F3580" s="53">
        <v>2</v>
      </c>
      <c r="G3580" s="53">
        <v>0</v>
      </c>
      <c r="H3580" s="51" t="str">
        <f>TEXT(tblLaborEntries[[#This Row],[Work date serial]]-WEEKDAY(tblLaborEntries[[#This Row],[Work date serial]],3),"yyyy-mm-dd")</f>
        <v>2025-08-11</v>
      </c>
      <c r="I3580" s="64">
        <f>DATEVALUE(tblLaborEntries[[#This Row],[Work date]])</f>
        <v>45882.0</v>
      </c>
    </row>
    <row r="3581" spans="1:9" ht="15" x14ac:dyDescent="0.25">
      <c r="A3581" s="53" t="inlineStr">
        <is>
          <t>LAB-003580</t>
        </is>
      </c>
      <c r="B3581" s="53" t="inlineStr">
        <is>
          <t>WP-01581</t>
        </is>
      </c>
      <c r="C3581" s="53" t="inlineStr">
        <is>
          <t>TECH-024</t>
        </is>
      </c>
      <c r="D3581" s="53" t="inlineStr">
        <is>
          <t>Powerplant</t>
        </is>
      </c>
      <c r="E3581" s="53" t="inlineStr">
        <is>
          <t>2025-08-13</t>
        </is>
      </c>
      <c r="F3581" s="53">
        <v>12</v>
      </c>
      <c r="G3581" s="53">
        <v>4</v>
      </c>
      <c r="H3581" s="51" t="str">
        <f>TEXT(tblLaborEntries[[#This Row],[Work date serial]]-WEEKDAY(tblLaborEntries[[#This Row],[Work date serial]],3),"yyyy-mm-dd")</f>
        <v>2025-08-11</v>
      </c>
      <c r="I3581" s="64">
        <f>DATEVALUE(tblLaborEntries[[#This Row],[Work date]])</f>
        <v>45882.0</v>
      </c>
    </row>
    <row r="3582" spans="1:9" ht="15" x14ac:dyDescent="0.25">
      <c r="A3582" s="53" t="inlineStr">
        <is>
          <t>LAB-003581</t>
        </is>
      </c>
      <c r="B3582" s="53" t="inlineStr">
        <is>
          <t>WP-01582</t>
        </is>
      </c>
      <c r="C3582" s="53" t="inlineStr">
        <is>
          <t>TECH-050</t>
        </is>
      </c>
      <c r="D3582" s="53" t="inlineStr">
        <is>
          <t>Avionics</t>
        </is>
      </c>
      <c r="E3582" s="53" t="inlineStr">
        <is>
          <t>2024-06-24</t>
        </is>
      </c>
      <c r="F3582" s="53">
        <v>4.4</v>
      </c>
      <c r="G3582" s="53">
        <v>0</v>
      </c>
      <c r="H3582" s="51" t="str">
        <f>TEXT(tblLaborEntries[[#This Row],[Work date serial]]-WEEKDAY(tblLaborEntries[[#This Row],[Work date serial]],3),"yyyy-mm-dd")</f>
        <v>2024-06-24</v>
      </c>
      <c r="I3582" s="64">
        <f>DATEVALUE(tblLaborEntries[[#This Row],[Work date]])</f>
        <v>45467.0</v>
      </c>
    </row>
    <row r="3583" spans="1:9" ht="15" x14ac:dyDescent="0.25">
      <c r="A3583" s="53" t="inlineStr">
        <is>
          <t>LAB-003582</t>
        </is>
      </c>
      <c r="B3583" s="53" t="inlineStr">
        <is>
          <t>WP-01582</t>
        </is>
      </c>
      <c r="C3583" s="53" t="inlineStr">
        <is>
          <t>TECH-014</t>
        </is>
      </c>
      <c r="D3583" s="53" t="inlineStr">
        <is>
          <t>Avionics</t>
        </is>
      </c>
      <c r="E3583" s="53" t="inlineStr">
        <is>
          <t>2024-06-25</t>
        </is>
      </c>
      <c r="F3583" s="53">
        <v>4.6</v>
      </c>
      <c r="G3583" s="53">
        <v>0</v>
      </c>
      <c r="H3583" s="51" t="str">
        <f>TEXT(tblLaborEntries[[#This Row],[Work date serial]]-WEEKDAY(tblLaborEntries[[#This Row],[Work date serial]],3),"yyyy-mm-dd")</f>
        <v>2024-06-24</v>
      </c>
      <c r="I3583" s="64">
        <f>DATEVALUE(tblLaborEntries[[#This Row],[Work date]])</f>
        <v>45468.0</v>
      </c>
    </row>
    <row r="3584" spans="1:9" ht="15" x14ac:dyDescent="0.25">
      <c r="A3584" s="53" t="inlineStr">
        <is>
          <t>LAB-003583</t>
        </is>
      </c>
      <c r="B3584" s="53" t="inlineStr">
        <is>
          <t>WP-01582</t>
        </is>
      </c>
      <c r="C3584" s="53" t="inlineStr">
        <is>
          <t>TECH-068</t>
        </is>
      </c>
      <c r="D3584" s="53" t="inlineStr">
        <is>
          <t>Avionics</t>
        </is>
      </c>
      <c r="E3584" s="53" t="inlineStr">
        <is>
          <t>2024-06-26</t>
        </is>
      </c>
      <c r="F3584" s="53">
        <v>6.3</v>
      </c>
      <c r="G3584" s="53">
        <v>0</v>
      </c>
      <c r="H3584" s="51" t="str">
        <f>TEXT(tblLaborEntries[[#This Row],[Work date serial]]-WEEKDAY(tblLaborEntries[[#This Row],[Work date serial]],3),"yyyy-mm-dd")</f>
        <v>2024-06-24</v>
      </c>
      <c r="I3584" s="64">
        <f>DATEVALUE(tblLaborEntries[[#This Row],[Work date]])</f>
        <v>45469.0</v>
      </c>
    </row>
    <row r="3585" spans="1:9" ht="15" x14ac:dyDescent="0.25">
      <c r="A3585" s="53" t="inlineStr">
        <is>
          <t>LAB-003584</t>
        </is>
      </c>
      <c r="B3585" s="53" t="inlineStr">
        <is>
          <t>WP-01583</t>
        </is>
      </c>
      <c r="C3585" s="53" t="inlineStr">
        <is>
          <t>TECH-055</t>
        </is>
      </c>
      <c r="D3585" s="53" t="inlineStr">
        <is>
          <t>Airframe</t>
        </is>
      </c>
      <c r="E3585" s="53" t="inlineStr">
        <is>
          <t>2024-10-03</t>
        </is>
      </c>
      <c r="F3585" s="53">
        <v>5</v>
      </c>
      <c r="G3585" s="53">
        <v>0</v>
      </c>
      <c r="H3585" s="51" t="str">
        <f>TEXT(tblLaborEntries[[#This Row],[Work date serial]]-WEEKDAY(tblLaborEntries[[#This Row],[Work date serial]],3),"yyyy-mm-dd")</f>
        <v>2024-09-30</v>
      </c>
      <c r="I3585" s="64">
        <f>DATEVALUE(tblLaborEntries[[#This Row],[Work date]])</f>
        <v>45568.0</v>
      </c>
    </row>
    <row r="3586" spans="1:9" ht="15" x14ac:dyDescent="0.25">
      <c r="A3586" s="53" t="inlineStr">
        <is>
          <t>LAB-003585</t>
        </is>
      </c>
      <c r="B3586" s="53" t="inlineStr">
        <is>
          <t>WP-01584</t>
        </is>
      </c>
      <c r="C3586" s="53" t="inlineStr">
        <is>
          <t>TECH-042</t>
        </is>
      </c>
      <c r="D3586" s="53" t="inlineStr">
        <is>
          <t>Powerplant</t>
        </is>
      </c>
      <c r="E3586" s="53" t="inlineStr">
        <is>
          <t>2025-08-29</t>
        </is>
      </c>
      <c r="F3586" s="53">
        <v>2.7</v>
      </c>
      <c r="G3586" s="53">
        <v>0</v>
      </c>
      <c r="H3586" s="51" t="str">
        <f>TEXT(tblLaborEntries[[#This Row],[Work date serial]]-WEEKDAY(tblLaborEntries[[#This Row],[Work date serial]],3),"yyyy-mm-dd")</f>
        <v>2025-08-25</v>
      </c>
      <c r="I3586" s="64">
        <f>DATEVALUE(tblLaborEntries[[#This Row],[Work date]])</f>
        <v>45898.0</v>
      </c>
    </row>
    <row r="3587" spans="1:9" ht="15" x14ac:dyDescent="0.25">
      <c r="A3587" s="53" t="inlineStr">
        <is>
          <t>LAB-003586</t>
        </is>
      </c>
      <c r="B3587" s="53" t="inlineStr">
        <is>
          <t>WP-01584</t>
        </is>
      </c>
      <c r="C3587" s="53" t="inlineStr">
        <is>
          <t>TECH-072</t>
        </is>
      </c>
      <c r="D3587" s="53" t="inlineStr">
        <is>
          <t>Powerplant</t>
        </is>
      </c>
      <c r="E3587" s="53" t="inlineStr">
        <is>
          <t>2025-08-30</t>
        </is>
      </c>
      <c r="F3587" s="53">
        <v>3.5</v>
      </c>
      <c r="G3587" s="53">
        <v>0</v>
      </c>
      <c r="H3587" s="51" t="str">
        <f>TEXT(tblLaborEntries[[#This Row],[Work date serial]]-WEEKDAY(tblLaborEntries[[#This Row],[Work date serial]],3),"yyyy-mm-dd")</f>
        <v>2025-08-25</v>
      </c>
      <c r="I3587" s="64">
        <f>DATEVALUE(tblLaborEntries[[#This Row],[Work date]])</f>
        <v>45899.0</v>
      </c>
    </row>
    <row r="3588" spans="1:9" ht="15" x14ac:dyDescent="0.25">
      <c r="A3588" s="53" t="inlineStr">
        <is>
          <t>LAB-003587</t>
        </is>
      </c>
      <c r="B3588" s="53" t="inlineStr">
        <is>
          <t>WP-01584</t>
        </is>
      </c>
      <c r="C3588" s="53" t="inlineStr">
        <is>
          <t>TECH-072</t>
        </is>
      </c>
      <c r="D3588" s="53" t="inlineStr">
        <is>
          <t>Powerplant</t>
        </is>
      </c>
      <c r="E3588" s="53" t="inlineStr">
        <is>
          <t>2025-08-31</t>
        </is>
      </c>
      <c r="F3588" s="53">
        <v>2.6</v>
      </c>
      <c r="G3588" s="53">
        <v>0</v>
      </c>
      <c r="H3588" s="51" t="str">
        <f>TEXT(tblLaborEntries[[#This Row],[Work date serial]]-WEEKDAY(tblLaborEntries[[#This Row],[Work date serial]],3),"yyyy-mm-dd")</f>
        <v>2025-08-25</v>
      </c>
      <c r="I3588" s="64">
        <f>DATEVALUE(tblLaborEntries[[#This Row],[Work date]])</f>
        <v>45900.0</v>
      </c>
    </row>
    <row r="3589" spans="1:9" ht="15" x14ac:dyDescent="0.25">
      <c r="A3589" s="53" t="inlineStr">
        <is>
          <t>LAB-003588</t>
        </is>
      </c>
      <c r="B3589" s="53" t="inlineStr">
        <is>
          <t>WP-01585</t>
        </is>
      </c>
      <c r="C3589" s="53" t="inlineStr">
        <is>
          <t>TECH-007</t>
        </is>
      </c>
      <c r="D3589" s="53" t="inlineStr">
        <is>
          <t>Airframe</t>
        </is>
      </c>
      <c r="E3589" s="53" t="inlineStr">
        <is>
          <t>2025-03-30</t>
        </is>
      </c>
      <c r="F3589" s="53">
        <v>1.3</v>
      </c>
      <c r="G3589" s="53">
        <v>0</v>
      </c>
      <c r="H3589" s="51" t="str">
        <f>TEXT(tblLaborEntries[[#This Row],[Work date serial]]-WEEKDAY(tblLaborEntries[[#This Row],[Work date serial]],3),"yyyy-mm-dd")</f>
        <v>2025-03-24</v>
      </c>
      <c r="I3589" s="64">
        <f>DATEVALUE(tblLaborEntries[[#This Row],[Work date]])</f>
        <v>45746.0</v>
      </c>
    </row>
    <row r="3590" spans="1:9" ht="15" x14ac:dyDescent="0.25">
      <c r="A3590" s="53" t="inlineStr">
        <is>
          <t>LAB-003589</t>
        </is>
      </c>
      <c r="B3590" s="53" t="inlineStr">
        <is>
          <t>WP-01585</t>
        </is>
      </c>
      <c r="C3590" s="53" t="inlineStr">
        <is>
          <t>TECH-031</t>
        </is>
      </c>
      <c r="D3590" s="53" t="inlineStr">
        <is>
          <t>Airframe</t>
        </is>
      </c>
      <c r="E3590" s="53" t="inlineStr">
        <is>
          <t>2025-03-31</t>
        </is>
      </c>
      <c r="F3590" s="53">
        <v>0.9</v>
      </c>
      <c r="G3590" s="53">
        <v>0</v>
      </c>
      <c r="H3590" s="51" t="str">
        <f>TEXT(tblLaborEntries[[#This Row],[Work date serial]]-WEEKDAY(tblLaborEntries[[#This Row],[Work date serial]],3),"yyyy-mm-dd")</f>
        <v>2025-03-31</v>
      </c>
      <c r="I3590" s="64">
        <f>DATEVALUE(tblLaborEntries[[#This Row],[Work date]])</f>
        <v>45747.0</v>
      </c>
    </row>
    <row r="3591" spans="1:9" ht="15" x14ac:dyDescent="0.25">
      <c r="A3591" s="53" t="inlineStr">
        <is>
          <t>LAB-003590</t>
        </is>
      </c>
      <c r="B3591" s="53" t="inlineStr">
        <is>
          <t>WP-01585</t>
        </is>
      </c>
      <c r="C3591" s="53" t="inlineStr">
        <is>
          <t>TECH-055</t>
        </is>
      </c>
      <c r="D3591" s="53" t="inlineStr">
        <is>
          <t>Airframe</t>
        </is>
      </c>
      <c r="E3591" s="53" t="inlineStr">
        <is>
          <t>2025-04-01</t>
        </is>
      </c>
      <c r="F3591" s="53">
        <v>1.2</v>
      </c>
      <c r="G3591" s="53">
        <v>0</v>
      </c>
      <c r="H3591" s="51" t="str">
        <f>TEXT(tblLaborEntries[[#This Row],[Work date serial]]-WEEKDAY(tblLaborEntries[[#This Row],[Work date serial]],3),"yyyy-mm-dd")</f>
        <v>2025-03-31</v>
      </c>
      <c r="I3591" s="64">
        <f>DATEVALUE(tblLaborEntries[[#This Row],[Work date]])</f>
        <v>45748.0</v>
      </c>
    </row>
    <row r="3592" spans="1:9" ht="15" x14ac:dyDescent="0.25">
      <c r="A3592" s="53" t="inlineStr">
        <is>
          <t>LAB-003591</t>
        </is>
      </c>
      <c r="B3592" s="53" t="inlineStr">
        <is>
          <t>WP-01586</t>
        </is>
      </c>
      <c r="C3592" s="53" t="inlineStr">
        <is>
          <t>TECH-006</t>
        </is>
      </c>
      <c r="D3592" s="53" t="inlineStr">
        <is>
          <t>Powerplant</t>
        </is>
      </c>
      <c r="E3592" s="53" t="inlineStr">
        <is>
          <t>2025-08-10</t>
        </is>
      </c>
      <c r="F3592" s="53">
        <v>12</v>
      </c>
      <c r="G3592" s="53">
        <v>4</v>
      </c>
      <c r="H3592" s="51" t="str">
        <f>TEXT(tblLaborEntries[[#This Row],[Work date serial]]-WEEKDAY(tblLaborEntries[[#This Row],[Work date serial]],3),"yyyy-mm-dd")</f>
        <v>2025-08-04</v>
      </c>
      <c r="I3592" s="64">
        <f>DATEVALUE(tblLaborEntries[[#This Row],[Work date]])</f>
        <v>45879.0</v>
      </c>
    </row>
    <row r="3593" spans="1:9" ht="15" x14ac:dyDescent="0.25">
      <c r="A3593" s="53" t="inlineStr">
        <is>
          <t>LAB-003592</t>
        </is>
      </c>
      <c r="B3593" s="53" t="inlineStr">
        <is>
          <t>WP-01586</t>
        </is>
      </c>
      <c r="C3593" s="53" t="inlineStr">
        <is>
          <t>TECH-012</t>
        </is>
      </c>
      <c r="D3593" s="53" t="inlineStr">
        <is>
          <t>Powerplant</t>
        </is>
      </c>
      <c r="E3593" s="53" t="inlineStr">
        <is>
          <t>2025-08-10</t>
        </is>
      </c>
      <c r="F3593" s="53">
        <v>0.8</v>
      </c>
      <c r="G3593" s="53">
        <v>0</v>
      </c>
      <c r="H3593" s="51" t="str">
        <f>TEXT(tblLaborEntries[[#This Row],[Work date serial]]-WEEKDAY(tblLaborEntries[[#This Row],[Work date serial]],3),"yyyy-mm-dd")</f>
        <v>2025-08-04</v>
      </c>
      <c r="I3593" s="64">
        <f>DATEVALUE(tblLaborEntries[[#This Row],[Work date]])</f>
        <v>45879.0</v>
      </c>
    </row>
    <row r="3594" spans="1:9" ht="15" x14ac:dyDescent="0.25">
      <c r="A3594" s="53" t="inlineStr">
        <is>
          <t>LAB-003593</t>
        </is>
      </c>
      <c r="B3594" s="53" t="inlineStr">
        <is>
          <t>WP-01586</t>
        </is>
      </c>
      <c r="C3594" s="53" t="inlineStr">
        <is>
          <t>TECH-024</t>
        </is>
      </c>
      <c r="D3594" s="53" t="inlineStr">
        <is>
          <t>Powerplant</t>
        </is>
      </c>
      <c r="E3594" s="53" t="inlineStr">
        <is>
          <t>2025-08-10</t>
        </is>
      </c>
      <c r="F3594" s="53">
        <v>12</v>
      </c>
      <c r="G3594" s="53">
        <v>4</v>
      </c>
      <c r="H3594" s="51" t="str">
        <f>TEXT(tblLaborEntries[[#This Row],[Work date serial]]-WEEKDAY(tblLaborEntries[[#This Row],[Work date serial]],3),"yyyy-mm-dd")</f>
        <v>2025-08-04</v>
      </c>
      <c r="I3594" s="64">
        <f>DATEVALUE(tblLaborEntries[[#This Row],[Work date]])</f>
        <v>45879.0</v>
      </c>
    </row>
    <row r="3595" spans="1:9" ht="15" x14ac:dyDescent="0.25">
      <c r="A3595" s="53" t="inlineStr">
        <is>
          <t>LAB-003594</t>
        </is>
      </c>
      <c r="B3595" s="53" t="inlineStr">
        <is>
          <t>WP-01587</t>
        </is>
      </c>
      <c r="C3595" s="53" t="inlineStr">
        <is>
          <t>TECH-044</t>
        </is>
      </c>
      <c r="D3595" s="53" t="inlineStr">
        <is>
          <t>Avionics</t>
        </is>
      </c>
      <c r="E3595" s="53" t="inlineStr">
        <is>
          <t>2024-11-27</t>
        </is>
      </c>
      <c r="F3595" s="53">
        <v>5.5</v>
      </c>
      <c r="G3595" s="53">
        <v>0</v>
      </c>
      <c r="H3595" s="51" t="str">
        <f>TEXT(tblLaborEntries[[#This Row],[Work date serial]]-WEEKDAY(tblLaborEntries[[#This Row],[Work date serial]],3),"yyyy-mm-dd")</f>
        <v>2024-11-25</v>
      </c>
      <c r="I3595" s="64">
        <f>DATEVALUE(tblLaborEntries[[#This Row],[Work date]])</f>
        <v>45623.0</v>
      </c>
    </row>
    <row r="3596" spans="1:9" ht="15" x14ac:dyDescent="0.25">
      <c r="A3596" s="53" t="inlineStr">
        <is>
          <t>LAB-003595</t>
        </is>
      </c>
      <c r="B3596" s="53" t="inlineStr">
        <is>
          <t>WP-01588</t>
        </is>
      </c>
      <c r="C3596" s="53" t="inlineStr">
        <is>
          <t>TECH-041</t>
        </is>
      </c>
      <c r="D3596" s="53" t="inlineStr">
        <is>
          <t>Structures</t>
        </is>
      </c>
      <c r="E3596" s="53" t="inlineStr">
        <is>
          <t>2024-11-21</t>
        </is>
      </c>
      <c r="F3596" s="53">
        <v>6.4</v>
      </c>
      <c r="G3596" s="53">
        <v>0</v>
      </c>
      <c r="H3596" s="51" t="str">
        <f>TEXT(tblLaborEntries[[#This Row],[Work date serial]]-WEEKDAY(tblLaborEntries[[#This Row],[Work date serial]],3),"yyyy-mm-dd")</f>
        <v>2024-11-18</v>
      </c>
      <c r="I3596" s="64">
        <f>DATEVALUE(tblLaborEntries[[#This Row],[Work date]])</f>
        <v>45617.0</v>
      </c>
    </row>
    <row r="3597" spans="1:9" ht="15" x14ac:dyDescent="0.25">
      <c r="A3597" s="53" t="inlineStr">
        <is>
          <t>LAB-003596</t>
        </is>
      </c>
      <c r="B3597" s="53" t="inlineStr">
        <is>
          <t>WP-01588</t>
        </is>
      </c>
      <c r="C3597" s="53" t="inlineStr">
        <is>
          <t>TECH-053</t>
        </is>
      </c>
      <c r="D3597" s="53" t="inlineStr">
        <is>
          <t>Structures</t>
        </is>
      </c>
      <c r="E3597" s="53" t="inlineStr">
        <is>
          <t>2024-11-22</t>
        </is>
      </c>
      <c r="F3597" s="53">
        <v>6.2</v>
      </c>
      <c r="G3597" s="53">
        <v>0</v>
      </c>
      <c r="H3597" s="51" t="str">
        <f>TEXT(tblLaborEntries[[#This Row],[Work date serial]]-WEEKDAY(tblLaborEntries[[#This Row],[Work date serial]],3),"yyyy-mm-dd")</f>
        <v>2024-11-18</v>
      </c>
      <c r="I3597" s="64">
        <f>DATEVALUE(tblLaborEntries[[#This Row],[Work date]])</f>
        <v>45618.0</v>
      </c>
    </row>
    <row r="3598" spans="1:9" ht="15" x14ac:dyDescent="0.25">
      <c r="A3598" s="53" t="inlineStr">
        <is>
          <t>LAB-003597</t>
        </is>
      </c>
      <c r="B3598" s="53" t="inlineStr">
        <is>
          <t>WP-01589</t>
        </is>
      </c>
      <c r="C3598" s="53" t="inlineStr">
        <is>
          <t>TECH-025</t>
        </is>
      </c>
      <c r="D3598" s="53" t="inlineStr">
        <is>
          <t>Airframe</t>
        </is>
      </c>
      <c r="E3598" s="53" t="inlineStr">
        <is>
          <t>2025-11-26</t>
        </is>
      </c>
      <c r="F3598" s="53">
        <v>2.8</v>
      </c>
      <c r="G3598" s="53">
        <v>0</v>
      </c>
      <c r="H3598" s="51" t="str">
        <f>TEXT(tblLaborEntries[[#This Row],[Work date serial]]-WEEKDAY(tblLaborEntries[[#This Row],[Work date serial]],3),"yyyy-mm-dd")</f>
        <v>2025-11-24</v>
      </c>
      <c r="I3598" s="64">
        <f>DATEVALUE(tblLaborEntries[[#This Row],[Work date]])</f>
        <v>45987.0</v>
      </c>
    </row>
    <row r="3599" spans="1:9" ht="15" x14ac:dyDescent="0.25">
      <c r="A3599" s="53" t="inlineStr">
        <is>
          <t>LAB-003598</t>
        </is>
      </c>
      <c r="B3599" s="53" t="inlineStr">
        <is>
          <t>WP-01590</t>
        </is>
      </c>
      <c r="C3599" s="53" t="inlineStr">
        <is>
          <t>TECH-024</t>
        </is>
      </c>
      <c r="D3599" s="53" t="inlineStr">
        <is>
          <t>Powerplant</t>
        </is>
      </c>
      <c r="E3599" s="53" t="inlineStr">
        <is>
          <t>2025-05-18</t>
        </is>
      </c>
      <c r="F3599" s="53">
        <v>7</v>
      </c>
      <c r="G3599" s="53">
        <v>0</v>
      </c>
      <c r="H3599" s="51" t="str">
        <f>TEXT(tblLaborEntries[[#This Row],[Work date serial]]-WEEKDAY(tblLaborEntries[[#This Row],[Work date serial]],3),"yyyy-mm-dd")</f>
        <v>2025-05-12</v>
      </c>
      <c r="I3599" s="64">
        <f>DATEVALUE(tblLaborEntries[[#This Row],[Work date]])</f>
        <v>45795.0</v>
      </c>
    </row>
    <row r="3600" spans="1:9" ht="15" x14ac:dyDescent="0.25">
      <c r="A3600" s="53" t="inlineStr">
        <is>
          <t>LAB-003599</t>
        </is>
      </c>
      <c r="B3600" s="53" t="inlineStr">
        <is>
          <t>WP-01590</t>
        </is>
      </c>
      <c r="C3600" s="53" t="inlineStr">
        <is>
          <t>TECH-018</t>
        </is>
      </c>
      <c r="D3600" s="53" t="inlineStr">
        <is>
          <t>Powerplant</t>
        </is>
      </c>
      <c r="E3600" s="53" t="inlineStr">
        <is>
          <t>2025-05-19</t>
        </is>
      </c>
      <c r="F3600" s="53">
        <v>5.7</v>
      </c>
      <c r="G3600" s="53">
        <v>0</v>
      </c>
      <c r="H3600" s="51" t="str">
        <f>TEXT(tblLaborEntries[[#This Row],[Work date serial]]-WEEKDAY(tblLaborEntries[[#This Row],[Work date serial]],3),"yyyy-mm-dd")</f>
        <v>2025-05-19</v>
      </c>
      <c r="I3600" s="64">
        <f>DATEVALUE(tblLaborEntries[[#This Row],[Work date]])</f>
        <v>45796.0</v>
      </c>
    </row>
    <row r="3601" spans="1:9" ht="15" x14ac:dyDescent="0.25">
      <c r="A3601" s="53" t="inlineStr">
        <is>
          <t>LAB-003600</t>
        </is>
      </c>
      <c r="B3601" s="53" t="inlineStr">
        <is>
          <t>WP-01591</t>
        </is>
      </c>
      <c r="C3601" s="53" t="inlineStr">
        <is>
          <t>TECH-001</t>
        </is>
      </c>
      <c r="D3601" s="53" t="inlineStr">
        <is>
          <t>Airframe</t>
        </is>
      </c>
      <c r="E3601" s="53" t="inlineStr">
        <is>
          <t>2024-11-22</t>
        </is>
      </c>
      <c r="F3601" s="53">
        <v>1.3</v>
      </c>
      <c r="G3601" s="53">
        <v>0</v>
      </c>
      <c r="H3601" s="51" t="str">
        <f>TEXT(tblLaborEntries[[#This Row],[Work date serial]]-WEEKDAY(tblLaborEntries[[#This Row],[Work date serial]],3),"yyyy-mm-dd")</f>
        <v>2024-11-18</v>
      </c>
      <c r="I3601" s="64">
        <f>DATEVALUE(tblLaborEntries[[#This Row],[Work date]])</f>
        <v>45618.0</v>
      </c>
    </row>
    <row r="3602" spans="1:9" ht="15" x14ac:dyDescent="0.25">
      <c r="A3602" s="53" t="inlineStr">
        <is>
          <t>LAB-003601</t>
        </is>
      </c>
      <c r="B3602" s="53" t="inlineStr">
        <is>
          <t>WP-01591</t>
        </is>
      </c>
      <c r="C3602" s="53" t="inlineStr">
        <is>
          <t>TECH-043</t>
        </is>
      </c>
      <c r="D3602" s="53" t="inlineStr">
        <is>
          <t>Airframe</t>
        </is>
      </c>
      <c r="E3602" s="53" t="inlineStr">
        <is>
          <t>2024-11-23</t>
        </is>
      </c>
      <c r="F3602" s="53">
        <v>1.8</v>
      </c>
      <c r="G3602" s="53">
        <v>0</v>
      </c>
      <c r="H3602" s="51" t="str">
        <f>TEXT(tblLaborEntries[[#This Row],[Work date serial]]-WEEKDAY(tblLaborEntries[[#This Row],[Work date serial]],3),"yyyy-mm-dd")</f>
        <v>2024-11-18</v>
      </c>
      <c r="I3602" s="64">
        <f>DATEVALUE(tblLaborEntries[[#This Row],[Work date]])</f>
        <v>45619.0</v>
      </c>
    </row>
    <row r="3603" spans="1:9" ht="15" x14ac:dyDescent="0.25">
      <c r="A3603" s="53" t="inlineStr">
        <is>
          <t>LAB-003602</t>
        </is>
      </c>
      <c r="B3603" s="53" t="inlineStr">
        <is>
          <t>WP-01591</t>
        </is>
      </c>
      <c r="C3603" s="53" t="inlineStr">
        <is>
          <t>TECH-037</t>
        </is>
      </c>
      <c r="D3603" s="53" t="inlineStr">
        <is>
          <t>Airframe</t>
        </is>
      </c>
      <c r="E3603" s="53" t="inlineStr">
        <is>
          <t>2024-11-24</t>
        </is>
      </c>
      <c r="F3603" s="53">
        <v>1.3</v>
      </c>
      <c r="G3603" s="53">
        <v>0</v>
      </c>
      <c r="H3603" s="51" t="str">
        <f>TEXT(tblLaborEntries[[#This Row],[Work date serial]]-WEEKDAY(tblLaborEntries[[#This Row],[Work date serial]],3),"yyyy-mm-dd")</f>
        <v>2024-11-18</v>
      </c>
      <c r="I3603" s="64">
        <f>DATEVALUE(tblLaborEntries[[#This Row],[Work date]])</f>
        <v>45620.0</v>
      </c>
    </row>
    <row r="3604" spans="1:9" ht="15" x14ac:dyDescent="0.25">
      <c r="A3604" s="53" t="inlineStr">
        <is>
          <t>LAB-003603</t>
        </is>
      </c>
      <c r="B3604" s="53" t="inlineStr">
        <is>
          <t>WP-01592</t>
        </is>
      </c>
      <c r="C3604" s="53" t="inlineStr">
        <is>
          <t>TECH-005</t>
        </is>
      </c>
      <c r="D3604" s="53" t="inlineStr">
        <is>
          <t>Structures</t>
        </is>
      </c>
      <c r="E3604" s="53" t="inlineStr">
        <is>
          <t>2025-03-04</t>
        </is>
      </c>
      <c r="F3604" s="53">
        <v>12</v>
      </c>
      <c r="G3604" s="53">
        <v>4</v>
      </c>
      <c r="H3604" s="51" t="str">
        <f>TEXT(tblLaborEntries[[#This Row],[Work date serial]]-WEEKDAY(tblLaborEntries[[#This Row],[Work date serial]],3),"yyyy-mm-dd")</f>
        <v>2025-03-03</v>
      </c>
      <c r="I3604" s="64">
        <f>DATEVALUE(tblLaborEntries[[#This Row],[Work date]])</f>
        <v>45720.0</v>
      </c>
    </row>
    <row r="3605" spans="1:9" ht="15" x14ac:dyDescent="0.25">
      <c r="A3605" s="53" t="inlineStr">
        <is>
          <t>LAB-003604</t>
        </is>
      </c>
      <c r="B3605" s="53" t="inlineStr">
        <is>
          <t>WP-01592</t>
        </is>
      </c>
      <c r="C3605" s="53" t="inlineStr">
        <is>
          <t>TECH-011</t>
        </is>
      </c>
      <c r="D3605" s="53" t="inlineStr">
        <is>
          <t>Structures</t>
        </is>
      </c>
      <c r="E3605" s="53" t="inlineStr">
        <is>
          <t>2025-03-04</t>
        </is>
      </c>
      <c r="F3605" s="53">
        <v>1.7</v>
      </c>
      <c r="G3605" s="53">
        <v>0</v>
      </c>
      <c r="H3605" s="51" t="str">
        <f>TEXT(tblLaborEntries[[#This Row],[Work date serial]]-WEEKDAY(tblLaborEntries[[#This Row],[Work date serial]],3),"yyyy-mm-dd")</f>
        <v>2025-03-03</v>
      </c>
      <c r="I3605" s="64">
        <f>DATEVALUE(tblLaborEntries[[#This Row],[Work date]])</f>
        <v>45720.0</v>
      </c>
    </row>
    <row r="3606" spans="1:9" ht="15" x14ac:dyDescent="0.25">
      <c r="A3606" s="53" t="inlineStr">
        <is>
          <t>LAB-003605</t>
        </is>
      </c>
      <c r="B3606" s="53" t="inlineStr">
        <is>
          <t>WP-01592</t>
        </is>
      </c>
      <c r="C3606" s="53" t="inlineStr">
        <is>
          <t>TECH-035</t>
        </is>
      </c>
      <c r="D3606" s="53" t="inlineStr">
        <is>
          <t>Structures</t>
        </is>
      </c>
      <c r="E3606" s="53" t="inlineStr">
        <is>
          <t>2025-03-04</t>
        </is>
      </c>
      <c r="F3606" s="53">
        <v>12</v>
      </c>
      <c r="G3606" s="53">
        <v>4</v>
      </c>
      <c r="H3606" s="51" t="str">
        <f>TEXT(tblLaborEntries[[#This Row],[Work date serial]]-WEEKDAY(tblLaborEntries[[#This Row],[Work date serial]],3),"yyyy-mm-dd")</f>
        <v>2025-03-03</v>
      </c>
      <c r="I3606" s="64">
        <f>DATEVALUE(tblLaborEntries[[#This Row],[Work date]])</f>
        <v>45720.0</v>
      </c>
    </row>
    <row r="3607" spans="1:9" ht="15" x14ac:dyDescent="0.25">
      <c r="A3607" s="53" t="inlineStr">
        <is>
          <t>LAB-003606</t>
        </is>
      </c>
      <c r="B3607" s="53" t="inlineStr">
        <is>
          <t>WP-01592</t>
        </is>
      </c>
      <c r="C3607" s="53" t="inlineStr">
        <is>
          <t>TECH-011</t>
        </is>
      </c>
      <c r="D3607" s="53" t="inlineStr">
        <is>
          <t>Structures</t>
        </is>
      </c>
      <c r="E3607" s="53" t="inlineStr">
        <is>
          <t>2025-03-05</t>
        </is>
      </c>
      <c r="F3607" s="53">
        <v>12</v>
      </c>
      <c r="G3607" s="53">
        <v>4</v>
      </c>
      <c r="H3607" s="51" t="str">
        <f>TEXT(tblLaborEntries[[#This Row],[Work date serial]]-WEEKDAY(tblLaborEntries[[#This Row],[Work date serial]],3),"yyyy-mm-dd")</f>
        <v>2025-03-03</v>
      </c>
      <c r="I3607" s="64">
        <f>DATEVALUE(tblLaborEntries[[#This Row],[Work date]])</f>
        <v>45721.0</v>
      </c>
    </row>
    <row r="3608" spans="1:9" ht="15" x14ac:dyDescent="0.25">
      <c r="A3608" s="53" t="inlineStr">
        <is>
          <t>LAB-003607</t>
        </is>
      </c>
      <c r="B3608" s="53" t="inlineStr">
        <is>
          <t>WP-01592</t>
        </is>
      </c>
      <c r="C3608" s="53" t="inlineStr">
        <is>
          <t>TECH-017</t>
        </is>
      </c>
      <c r="D3608" s="53" t="inlineStr">
        <is>
          <t>Structures</t>
        </is>
      </c>
      <c r="E3608" s="53" t="inlineStr">
        <is>
          <t>2025-03-05</t>
        </is>
      </c>
      <c r="F3608" s="53">
        <v>1.4</v>
      </c>
      <c r="G3608" s="53">
        <v>0</v>
      </c>
      <c r="H3608" s="51" t="str">
        <f>TEXT(tblLaborEntries[[#This Row],[Work date serial]]-WEEKDAY(tblLaborEntries[[#This Row],[Work date serial]],3),"yyyy-mm-dd")</f>
        <v>2025-03-03</v>
      </c>
      <c r="I3608" s="64">
        <f>DATEVALUE(tblLaborEntries[[#This Row],[Work date]])</f>
        <v>45721.0</v>
      </c>
    </row>
    <row r="3609" spans="1:9" ht="15" x14ac:dyDescent="0.25">
      <c r="A3609" s="53" t="inlineStr">
        <is>
          <t>LAB-003608</t>
        </is>
      </c>
      <c r="B3609" s="53" t="inlineStr">
        <is>
          <t>WP-01592</t>
        </is>
      </c>
      <c r="C3609" s="53" t="inlineStr">
        <is>
          <t>TECH-071</t>
        </is>
      </c>
      <c r="D3609" s="53" t="inlineStr">
        <is>
          <t>Structures</t>
        </is>
      </c>
      <c r="E3609" s="53" t="inlineStr">
        <is>
          <t>2025-03-05</t>
        </is>
      </c>
      <c r="F3609" s="53">
        <v>12</v>
      </c>
      <c r="G3609" s="53">
        <v>4</v>
      </c>
      <c r="H3609" s="51" t="str">
        <f>TEXT(tblLaborEntries[[#This Row],[Work date serial]]-WEEKDAY(tblLaborEntries[[#This Row],[Work date serial]],3),"yyyy-mm-dd")</f>
        <v>2025-03-03</v>
      </c>
      <c r="I3609" s="64">
        <f>DATEVALUE(tblLaborEntries[[#This Row],[Work date]])</f>
        <v>45721.0</v>
      </c>
    </row>
    <row r="3610" spans="1:9" ht="15" x14ac:dyDescent="0.25">
      <c r="A3610" s="53" t="inlineStr">
        <is>
          <t>LAB-003609</t>
        </is>
      </c>
      <c r="B3610" s="53" t="inlineStr">
        <is>
          <t>WP-01593</t>
        </is>
      </c>
      <c r="C3610" s="53" t="inlineStr">
        <is>
          <t>TECH-007</t>
        </is>
      </c>
      <c r="D3610" s="53" t="inlineStr">
        <is>
          <t>Airframe</t>
        </is>
      </c>
      <c r="E3610" s="53" t="inlineStr">
        <is>
          <t>2025-07-26</t>
        </is>
      </c>
      <c r="F3610" s="53">
        <v>6.1</v>
      </c>
      <c r="G3610" s="53">
        <v>0</v>
      </c>
      <c r="H3610" s="51" t="str">
        <f>TEXT(tblLaborEntries[[#This Row],[Work date serial]]-WEEKDAY(tblLaborEntries[[#This Row],[Work date serial]],3),"yyyy-mm-dd")</f>
        <v>2025-07-21</v>
      </c>
      <c r="I3610" s="64">
        <f>DATEVALUE(tblLaborEntries[[#This Row],[Work date]])</f>
        <v>45864.0</v>
      </c>
    </row>
    <row r="3611" spans="1:9" ht="15" x14ac:dyDescent="0.25">
      <c r="A3611" s="53" t="inlineStr">
        <is>
          <t>LAB-003610</t>
        </is>
      </c>
      <c r="B3611" s="53" t="inlineStr">
        <is>
          <t>WP-01593</t>
        </is>
      </c>
      <c r="C3611" s="53" t="inlineStr">
        <is>
          <t>TECH-043</t>
        </is>
      </c>
      <c r="D3611" s="53" t="inlineStr">
        <is>
          <t>Airframe</t>
        </is>
      </c>
      <c r="E3611" s="53" t="inlineStr">
        <is>
          <t>2025-07-27</t>
        </is>
      </c>
      <c r="F3611" s="53">
        <v>9.4</v>
      </c>
      <c r="G3611" s="53">
        <v>1.4</v>
      </c>
      <c r="H3611" s="51" t="str">
        <f>TEXT(tblLaborEntries[[#This Row],[Work date serial]]-WEEKDAY(tblLaborEntries[[#This Row],[Work date serial]],3),"yyyy-mm-dd")</f>
        <v>2025-07-21</v>
      </c>
      <c r="I3611" s="64">
        <f>DATEVALUE(tblLaborEntries[[#This Row],[Work date]])</f>
        <v>45865.0</v>
      </c>
    </row>
    <row r="3612" spans="1:9" ht="15" x14ac:dyDescent="0.25">
      <c r="A3612" s="53" t="inlineStr">
        <is>
          <t>LAB-003611</t>
        </is>
      </c>
      <c r="B3612" s="53" t="inlineStr">
        <is>
          <t>WP-01594</t>
        </is>
      </c>
      <c r="C3612" s="53" t="inlineStr">
        <is>
          <t>TECH-044</t>
        </is>
      </c>
      <c r="D3612" s="53" t="inlineStr">
        <is>
          <t>Avionics</t>
        </is>
      </c>
      <c r="E3612" s="53" t="inlineStr">
        <is>
          <t>2025-12-29</t>
        </is>
      </c>
      <c r="F3612" s="53">
        <v>9.4</v>
      </c>
      <c r="G3612" s="53">
        <v>1.4</v>
      </c>
      <c r="H3612" s="51" t="str">
        <f>TEXT(tblLaborEntries[[#This Row],[Work date serial]]-WEEKDAY(tblLaborEntries[[#This Row],[Work date serial]],3),"yyyy-mm-dd")</f>
        <v>2025-12-29</v>
      </c>
      <c r="I3612" s="64">
        <f>DATEVALUE(tblLaborEntries[[#This Row],[Work date]])</f>
        <v>46020.0</v>
      </c>
    </row>
    <row r="3613" spans="1:9" ht="15" x14ac:dyDescent="0.25">
      <c r="A3613" s="53" t="inlineStr">
        <is>
          <t>LAB-003612</t>
        </is>
      </c>
      <c r="B3613" s="53" t="inlineStr">
        <is>
          <t>WP-01594</t>
        </is>
      </c>
      <c r="C3613" s="53" t="inlineStr">
        <is>
          <t>TECH-044</t>
        </is>
      </c>
      <c r="D3613" s="53" t="inlineStr">
        <is>
          <t>Avionics</t>
        </is>
      </c>
      <c r="E3613" s="53" t="inlineStr">
        <is>
          <t>2025-12-30</t>
        </is>
      </c>
      <c r="F3613" s="53">
        <v>8.2</v>
      </c>
      <c r="G3613" s="53">
        <v>0.2</v>
      </c>
      <c r="H3613" s="51" t="str">
        <f>TEXT(tblLaborEntries[[#This Row],[Work date serial]]-WEEKDAY(tblLaborEntries[[#This Row],[Work date serial]],3),"yyyy-mm-dd")</f>
        <v>2025-12-29</v>
      </c>
      <c r="I3613" s="64">
        <f>DATEVALUE(tblLaborEntries[[#This Row],[Work date]])</f>
        <v>46021.0</v>
      </c>
    </row>
    <row r="3614" spans="1:9" ht="15" x14ac:dyDescent="0.25">
      <c r="A3614" s="53" t="inlineStr">
        <is>
          <t>LAB-003613</t>
        </is>
      </c>
      <c r="B3614" s="53" t="inlineStr">
        <is>
          <t>WP-01594</t>
        </is>
      </c>
      <c r="C3614" s="53" t="inlineStr">
        <is>
          <t>TECH-050</t>
        </is>
      </c>
      <c r="D3614" s="53" t="inlineStr">
        <is>
          <t>Avionics</t>
        </is>
      </c>
      <c r="E3614" s="53" t="inlineStr">
        <is>
          <t>2025-12-31</t>
        </is>
      </c>
      <c r="F3614" s="53">
        <v>11</v>
      </c>
      <c r="G3614" s="53">
        <v>3</v>
      </c>
      <c r="H3614" s="51" t="str">
        <f>TEXT(tblLaborEntries[[#This Row],[Work date serial]]-WEEKDAY(tblLaborEntries[[#This Row],[Work date serial]],3),"yyyy-mm-dd")</f>
        <v>2025-12-29</v>
      </c>
      <c r="I3614" s="64">
        <f>DATEVALUE(tblLaborEntries[[#This Row],[Work date]])</f>
        <v>46022.0</v>
      </c>
    </row>
    <row r="3615" spans="1:9" ht="15" x14ac:dyDescent="0.25">
      <c r="A3615" s="53" t="inlineStr">
        <is>
          <t>LAB-003614</t>
        </is>
      </c>
      <c r="B3615" s="53" t="inlineStr">
        <is>
          <t>WP-01595</t>
        </is>
      </c>
      <c r="C3615" s="53" t="inlineStr">
        <is>
          <t>TECH-061</t>
        </is>
      </c>
      <c r="D3615" s="53" t="inlineStr">
        <is>
          <t>Airframe</t>
        </is>
      </c>
      <c r="E3615" s="53" t="inlineStr">
        <is>
          <t>2025-05-30</t>
        </is>
      </c>
      <c r="F3615" s="53">
        <v>3.1</v>
      </c>
      <c r="G3615" s="53">
        <v>0</v>
      </c>
      <c r="H3615" s="51" t="str">
        <f>TEXT(tblLaborEntries[[#This Row],[Work date serial]]-WEEKDAY(tblLaborEntries[[#This Row],[Work date serial]],3),"yyyy-mm-dd")</f>
        <v>2025-05-26</v>
      </c>
      <c r="I3615" s="64">
        <f>DATEVALUE(tblLaborEntries[[#This Row],[Work date]])</f>
        <v>45807.0</v>
      </c>
    </row>
    <row r="3616" spans="1:9" ht="15" x14ac:dyDescent="0.25">
      <c r="A3616" s="53" t="inlineStr">
        <is>
          <t>LAB-003615</t>
        </is>
      </c>
      <c r="B3616" s="53" t="inlineStr">
        <is>
          <t>WP-01595</t>
        </is>
      </c>
      <c r="C3616" s="53" t="inlineStr">
        <is>
          <t>TECH-061</t>
        </is>
      </c>
      <c r="D3616" s="53" t="inlineStr">
        <is>
          <t>Airframe</t>
        </is>
      </c>
      <c r="E3616" s="53" t="inlineStr">
        <is>
          <t>2025-05-31</t>
        </is>
      </c>
      <c r="F3616" s="53">
        <v>2.4</v>
      </c>
      <c r="G3616" s="53">
        <v>0</v>
      </c>
      <c r="H3616" s="51" t="str">
        <f>TEXT(tblLaborEntries[[#This Row],[Work date serial]]-WEEKDAY(tblLaborEntries[[#This Row],[Work date serial]],3),"yyyy-mm-dd")</f>
        <v>2025-05-26</v>
      </c>
      <c r="I3616" s="64">
        <f>DATEVALUE(tblLaborEntries[[#This Row],[Work date]])</f>
        <v>45808.0</v>
      </c>
    </row>
    <row r="3617" spans="1:9" ht="15" x14ac:dyDescent="0.25">
      <c r="A3617" s="53" t="inlineStr">
        <is>
          <t>LAB-003616</t>
        </is>
      </c>
      <c r="B3617" s="53" t="inlineStr">
        <is>
          <t>WP-01596</t>
        </is>
      </c>
      <c r="C3617" s="53" t="inlineStr">
        <is>
          <t>TECH-055</t>
        </is>
      </c>
      <c r="D3617" s="53" t="inlineStr">
        <is>
          <t>Airframe</t>
        </is>
      </c>
      <c r="E3617" s="53" t="inlineStr">
        <is>
          <t>2025-01-14</t>
        </is>
      </c>
      <c r="F3617" s="53">
        <v>4.1</v>
      </c>
      <c r="G3617" s="53">
        <v>0</v>
      </c>
      <c r="H3617" s="51" t="str">
        <f>TEXT(tblLaborEntries[[#This Row],[Work date serial]]-WEEKDAY(tblLaborEntries[[#This Row],[Work date serial]],3),"yyyy-mm-dd")</f>
        <v>2025-01-13</v>
      </c>
      <c r="I3617" s="64">
        <f>DATEVALUE(tblLaborEntries[[#This Row],[Work date]])</f>
        <v>45671.0</v>
      </c>
    </row>
    <row r="3618" spans="1:9" ht="15" x14ac:dyDescent="0.25">
      <c r="A3618" s="53" t="inlineStr">
        <is>
          <t>LAB-003617</t>
        </is>
      </c>
      <c r="B3618" s="53" t="inlineStr">
        <is>
          <t>WP-01596</t>
        </is>
      </c>
      <c r="C3618" s="53" t="inlineStr">
        <is>
          <t>TECH-007</t>
        </is>
      </c>
      <c r="D3618" s="53" t="inlineStr">
        <is>
          <t>Airframe</t>
        </is>
      </c>
      <c r="E3618" s="53" t="inlineStr">
        <is>
          <t>2025-01-15</t>
        </is>
      </c>
      <c r="F3618" s="53">
        <v>5.1</v>
      </c>
      <c r="G3618" s="53">
        <v>0</v>
      </c>
      <c r="H3618" s="51" t="str">
        <f>TEXT(tblLaborEntries[[#This Row],[Work date serial]]-WEEKDAY(tblLaborEntries[[#This Row],[Work date serial]],3),"yyyy-mm-dd")</f>
        <v>2025-01-13</v>
      </c>
      <c r="I3618" s="64">
        <f>DATEVALUE(tblLaborEntries[[#This Row],[Work date]])</f>
        <v>45672.0</v>
      </c>
    </row>
    <row r="3619" spans="1:9" ht="15" x14ac:dyDescent="0.25">
      <c r="A3619" s="53" t="inlineStr">
        <is>
          <t>LAB-003618</t>
        </is>
      </c>
      <c r="B3619" s="53" t="inlineStr">
        <is>
          <t>WP-01596</t>
        </is>
      </c>
      <c r="C3619" s="53" t="inlineStr">
        <is>
          <t>TECH-043</t>
        </is>
      </c>
      <c r="D3619" s="53" t="inlineStr">
        <is>
          <t>Airframe</t>
        </is>
      </c>
      <c r="E3619" s="53" t="inlineStr">
        <is>
          <t>2025-01-16</t>
        </is>
      </c>
      <c r="F3619" s="53">
        <v>5.4</v>
      </c>
      <c r="G3619" s="53">
        <v>0</v>
      </c>
      <c r="H3619" s="51" t="str">
        <f>TEXT(tblLaborEntries[[#This Row],[Work date serial]]-WEEKDAY(tblLaborEntries[[#This Row],[Work date serial]],3),"yyyy-mm-dd")</f>
        <v>2025-01-13</v>
      </c>
      <c r="I3619" s="64">
        <f>DATEVALUE(tblLaborEntries[[#This Row],[Work date]])</f>
        <v>45673.0</v>
      </c>
    </row>
    <row r="3620" spans="1:9" ht="15" x14ac:dyDescent="0.25">
      <c r="A3620" s="53" t="inlineStr">
        <is>
          <t>LAB-003619</t>
        </is>
      </c>
      <c r="B3620" s="53" t="inlineStr">
        <is>
          <t>WP-01597</t>
        </is>
      </c>
      <c r="C3620" s="53" t="inlineStr">
        <is>
          <t>TECH-010</t>
        </is>
      </c>
      <c r="D3620" s="53" t="inlineStr">
        <is>
          <t>Electrical</t>
        </is>
      </c>
      <c r="E3620" s="53" t="inlineStr">
        <is>
          <t>2025-07-30</t>
        </is>
      </c>
      <c r="F3620" s="53">
        <v>4</v>
      </c>
      <c r="G3620" s="53">
        <v>0</v>
      </c>
      <c r="H3620" s="51" t="str">
        <f>TEXT(tblLaborEntries[[#This Row],[Work date serial]]-WEEKDAY(tblLaborEntries[[#This Row],[Work date serial]],3),"yyyy-mm-dd")</f>
        <v>2025-07-28</v>
      </c>
      <c r="I3620" s="64">
        <f>DATEVALUE(tblLaborEntries[[#This Row],[Work date]])</f>
        <v>45868.0</v>
      </c>
    </row>
    <row r="3621" spans="1:9" ht="15" x14ac:dyDescent="0.25">
      <c r="A3621" s="53" t="inlineStr">
        <is>
          <t>LAB-003620</t>
        </is>
      </c>
      <c r="B3621" s="53" t="inlineStr">
        <is>
          <t>WP-01597</t>
        </is>
      </c>
      <c r="C3621" s="53" t="inlineStr">
        <is>
          <t>TECH-028</t>
        </is>
      </c>
      <c r="D3621" s="53" t="inlineStr">
        <is>
          <t>Electrical</t>
        </is>
      </c>
      <c r="E3621" s="53" t="inlineStr">
        <is>
          <t>2025-07-31</t>
        </is>
      </c>
      <c r="F3621" s="53">
        <v>5.1</v>
      </c>
      <c r="G3621" s="53">
        <v>0</v>
      </c>
      <c r="H3621" s="51" t="str">
        <f>TEXT(tblLaborEntries[[#This Row],[Work date serial]]-WEEKDAY(tblLaborEntries[[#This Row],[Work date serial]],3),"yyyy-mm-dd")</f>
        <v>2025-07-28</v>
      </c>
      <c r="I3621" s="64">
        <f>DATEVALUE(tblLaborEntries[[#This Row],[Work date]])</f>
        <v>45869.0</v>
      </c>
    </row>
    <row r="3622" spans="1:9" ht="15" x14ac:dyDescent="0.25">
      <c r="A3622" s="53" t="inlineStr">
        <is>
          <t>LAB-003621</t>
        </is>
      </c>
      <c r="B3622" s="53" t="inlineStr">
        <is>
          <t>WP-01598</t>
        </is>
      </c>
      <c r="C3622" s="53" t="inlineStr">
        <is>
          <t>TECH-019</t>
        </is>
      </c>
      <c r="D3622" s="53" t="inlineStr">
        <is>
          <t>Airframe</t>
        </is>
      </c>
      <c r="E3622" s="53" t="inlineStr">
        <is>
          <t>2024-01-10</t>
        </is>
      </c>
      <c r="F3622" s="53">
        <v>1.5</v>
      </c>
      <c r="G3622" s="53">
        <v>0</v>
      </c>
      <c r="H3622" s="51" t="str">
        <f>TEXT(tblLaborEntries[[#This Row],[Work date serial]]-WEEKDAY(tblLaborEntries[[#This Row],[Work date serial]],3),"yyyy-mm-dd")</f>
        <v>2024-01-08</v>
      </c>
      <c r="I3622" s="64">
        <f>DATEVALUE(tblLaborEntries[[#This Row],[Work date]])</f>
        <v>45301.0</v>
      </c>
    </row>
    <row r="3623" spans="1:9" ht="15" x14ac:dyDescent="0.25">
      <c r="A3623" s="53" t="inlineStr">
        <is>
          <t>LAB-003622</t>
        </is>
      </c>
      <c r="B3623" s="53" t="inlineStr">
        <is>
          <t>WP-01598</t>
        </is>
      </c>
      <c r="C3623" s="53" t="inlineStr">
        <is>
          <t>TECH-031</t>
        </is>
      </c>
      <c r="D3623" s="53" t="inlineStr">
        <is>
          <t>Airframe</t>
        </is>
      </c>
      <c r="E3623" s="53" t="inlineStr">
        <is>
          <t>2024-01-11</t>
        </is>
      </c>
      <c r="F3623" s="53">
        <v>1.9</v>
      </c>
      <c r="G3623" s="53">
        <v>0</v>
      </c>
      <c r="H3623" s="51" t="str">
        <f>TEXT(tblLaborEntries[[#This Row],[Work date serial]]-WEEKDAY(tblLaborEntries[[#This Row],[Work date serial]],3),"yyyy-mm-dd")</f>
        <v>2024-01-08</v>
      </c>
      <c r="I3623" s="64">
        <f>DATEVALUE(tblLaborEntries[[#This Row],[Work date]])</f>
        <v>45302.0</v>
      </c>
    </row>
    <row r="3624" spans="1:9" ht="15" x14ac:dyDescent="0.25">
      <c r="A3624" s="53" t="inlineStr">
        <is>
          <t>LAB-003623</t>
        </is>
      </c>
      <c r="B3624" s="53" t="inlineStr">
        <is>
          <t>WP-01598</t>
        </is>
      </c>
      <c r="C3624" s="53" t="inlineStr">
        <is>
          <t>TECH-073</t>
        </is>
      </c>
      <c r="D3624" s="53" t="inlineStr">
        <is>
          <t>Airframe</t>
        </is>
      </c>
      <c r="E3624" s="53" t="inlineStr">
        <is>
          <t>2024-01-12</t>
        </is>
      </c>
      <c r="F3624" s="53">
        <v>2.2</v>
      </c>
      <c r="G3624" s="53">
        <v>0</v>
      </c>
      <c r="H3624" s="51" t="str">
        <f>TEXT(tblLaborEntries[[#This Row],[Work date serial]]-WEEKDAY(tblLaborEntries[[#This Row],[Work date serial]],3),"yyyy-mm-dd")</f>
        <v>2024-01-08</v>
      </c>
      <c r="I3624" s="64">
        <f>DATEVALUE(tblLaborEntries[[#This Row],[Work date]])</f>
        <v>45303.0</v>
      </c>
    </row>
    <row r="3625" spans="1:9" ht="15" x14ac:dyDescent="0.25">
      <c r="A3625" s="53" t="inlineStr">
        <is>
          <t>LAB-003624</t>
        </is>
      </c>
      <c r="B3625" s="53" t="inlineStr">
        <is>
          <t>WP-01599</t>
        </is>
      </c>
      <c r="C3625" s="53" t="inlineStr">
        <is>
          <t>TECH-014</t>
        </is>
      </c>
      <c r="D3625" s="53" t="inlineStr">
        <is>
          <t>Avionics</t>
        </is>
      </c>
      <c r="E3625" s="53" t="inlineStr">
        <is>
          <t>2025-04-15</t>
        </is>
      </c>
      <c r="F3625" s="53">
        <v>3</v>
      </c>
      <c r="G3625" s="53">
        <v>0</v>
      </c>
      <c r="H3625" s="51" t="str">
        <f>TEXT(tblLaborEntries[[#This Row],[Work date serial]]-WEEKDAY(tblLaborEntries[[#This Row],[Work date serial]],3),"yyyy-mm-dd")</f>
        <v>2025-04-14</v>
      </c>
      <c r="I3625" s="64">
        <f>DATEVALUE(tblLaborEntries[[#This Row],[Work date]])</f>
        <v>45762.0</v>
      </c>
    </row>
    <row r="3626" spans="1:9" ht="15" x14ac:dyDescent="0.25">
      <c r="A3626" s="53" t="inlineStr">
        <is>
          <t>LAB-003625</t>
        </is>
      </c>
      <c r="B3626" s="53" t="inlineStr">
        <is>
          <t>WP-01599</t>
        </is>
      </c>
      <c r="C3626" s="53" t="inlineStr">
        <is>
          <t>TECH-068</t>
        </is>
      </c>
      <c r="D3626" s="53" t="inlineStr">
        <is>
          <t>Avionics</t>
        </is>
      </c>
      <c r="E3626" s="53" t="inlineStr">
        <is>
          <t>2025-04-16</t>
        </is>
      </c>
      <c r="F3626" s="53">
        <v>4.3</v>
      </c>
      <c r="G3626" s="53">
        <v>0</v>
      </c>
      <c r="H3626" s="51" t="str">
        <f>TEXT(tblLaborEntries[[#This Row],[Work date serial]]-WEEKDAY(tblLaborEntries[[#This Row],[Work date serial]],3),"yyyy-mm-dd")</f>
        <v>2025-04-14</v>
      </c>
      <c r="I3626" s="64">
        <f>DATEVALUE(tblLaborEntries[[#This Row],[Work date]])</f>
        <v>45763.0</v>
      </c>
    </row>
    <row r="3627" spans="1:9" ht="15" x14ac:dyDescent="0.25">
      <c r="A3627" s="53" t="inlineStr">
        <is>
          <t>LAB-003626</t>
        </is>
      </c>
      <c r="B3627" s="53" t="inlineStr">
        <is>
          <t>WP-01600</t>
        </is>
      </c>
      <c r="C3627" s="53" t="inlineStr">
        <is>
          <t>TECH-020</t>
        </is>
      </c>
      <c r="D3627" s="53" t="inlineStr">
        <is>
          <t>Avionics</t>
        </is>
      </c>
      <c r="E3627" s="53" t="inlineStr">
        <is>
          <t>2024-04-23</t>
        </is>
      </c>
      <c r="F3627" s="53">
        <v>6.3</v>
      </c>
      <c r="G3627" s="53">
        <v>0</v>
      </c>
      <c r="H3627" s="51" t="str">
        <f>TEXT(tblLaborEntries[[#This Row],[Work date serial]]-WEEKDAY(tblLaborEntries[[#This Row],[Work date serial]],3),"yyyy-mm-dd")</f>
        <v>2024-04-22</v>
      </c>
      <c r="I3627" s="64">
        <f>DATEVALUE(tblLaborEntries[[#This Row],[Work date]])</f>
        <v>45405.0</v>
      </c>
    </row>
    <row r="3628" spans="1:9" ht="15" x14ac:dyDescent="0.25">
      <c r="A3628" s="53" t="inlineStr">
        <is>
          <t>LAB-003627</t>
        </is>
      </c>
      <c r="B3628" s="53" t="inlineStr">
        <is>
          <t>WP-01600</t>
        </is>
      </c>
      <c r="C3628" s="53" t="inlineStr">
        <is>
          <t>TECH-008</t>
        </is>
      </c>
      <c r="D3628" s="53" t="inlineStr">
        <is>
          <t>Avionics</t>
        </is>
      </c>
      <c r="E3628" s="53" t="inlineStr">
        <is>
          <t>2024-04-24</t>
        </is>
      </c>
      <c r="F3628" s="53">
        <v>6.9</v>
      </c>
      <c r="G3628" s="53">
        <v>0</v>
      </c>
      <c r="H3628" s="51" t="str">
        <f>TEXT(tblLaborEntries[[#This Row],[Work date serial]]-WEEKDAY(tblLaborEntries[[#This Row],[Work date serial]],3),"yyyy-mm-dd")</f>
        <v>2024-04-22</v>
      </c>
      <c r="I3628" s="64">
        <f>DATEVALUE(tblLaborEntries[[#This Row],[Work date]])</f>
        <v>45406.0</v>
      </c>
    </row>
    <row r="3629" spans="1:9" ht="15" x14ac:dyDescent="0.25">
      <c r="A3629" s="53" t="inlineStr">
        <is>
          <t>LAB-003628</t>
        </is>
      </c>
      <c r="B3629" s="53" t="inlineStr">
        <is>
          <t>WP-01600</t>
        </is>
      </c>
      <c r="C3629" s="53" t="inlineStr">
        <is>
          <t>TECH-044</t>
        </is>
      </c>
      <c r="D3629" s="53" t="inlineStr">
        <is>
          <t>Avionics</t>
        </is>
      </c>
      <c r="E3629" s="53" t="inlineStr">
        <is>
          <t>2024-04-25</t>
        </is>
      </c>
      <c r="F3629" s="53">
        <v>9.8</v>
      </c>
      <c r="G3629" s="53">
        <v>1.8</v>
      </c>
      <c r="H3629" s="51" t="str">
        <f>TEXT(tblLaborEntries[[#This Row],[Work date serial]]-WEEKDAY(tblLaborEntries[[#This Row],[Work date serial]],3),"yyyy-mm-dd")</f>
        <v>2024-04-22</v>
      </c>
      <c r="I3629" s="64">
        <f>DATEVALUE(tblLaborEntries[[#This Row],[Work date]])</f>
        <v>45407.0</v>
      </c>
    </row>
    <row r="3630" spans="1:9" ht="15" x14ac:dyDescent="0.25">
      <c r="A3630" s="53" t="inlineStr">
        <is>
          <t>LAB-003629</t>
        </is>
      </c>
      <c r="B3630" s="53" t="inlineStr">
        <is>
          <t>WP-01601</t>
        </is>
      </c>
      <c r="C3630" s="53" t="inlineStr">
        <is>
          <t>TECH-067</t>
        </is>
      </c>
      <c r="D3630" s="53" t="inlineStr">
        <is>
          <t>Airframe</t>
        </is>
      </c>
      <c r="E3630" s="53" t="inlineStr">
        <is>
          <t>2025-11-01</t>
        </is>
      </c>
      <c r="F3630" s="53">
        <v>0.5</v>
      </c>
      <c r="G3630" s="53">
        <v>0</v>
      </c>
      <c r="H3630" s="51" t="str">
        <f>TEXT(tblLaborEntries[[#This Row],[Work date serial]]-WEEKDAY(tblLaborEntries[[#This Row],[Work date serial]],3),"yyyy-mm-dd")</f>
        <v>2025-10-27</v>
      </c>
      <c r="I3630" s="64">
        <f>DATEVALUE(tblLaborEntries[[#This Row],[Work date]])</f>
        <v>45962.0</v>
      </c>
    </row>
    <row r="3631" spans="1:9" ht="15" x14ac:dyDescent="0.25">
      <c r="A3631" s="53" t="inlineStr">
        <is>
          <t>LAB-003630</t>
        </is>
      </c>
      <c r="B3631" s="53" t="inlineStr">
        <is>
          <t>WP-01601</t>
        </is>
      </c>
      <c r="C3631" s="53" t="inlineStr">
        <is>
          <t>TECH-067</t>
        </is>
      </c>
      <c r="D3631" s="53" t="inlineStr">
        <is>
          <t>Airframe</t>
        </is>
      </c>
      <c r="E3631" s="53" t="inlineStr">
        <is>
          <t>2025-11-02</t>
        </is>
      </c>
      <c r="F3631" s="53">
        <v>0.6</v>
      </c>
      <c r="G3631" s="53">
        <v>0</v>
      </c>
      <c r="H3631" s="51" t="str">
        <f>TEXT(tblLaborEntries[[#This Row],[Work date serial]]-WEEKDAY(tblLaborEntries[[#This Row],[Work date serial]],3),"yyyy-mm-dd")</f>
        <v>2025-10-27</v>
      </c>
      <c r="I3631" s="64">
        <f>DATEVALUE(tblLaborEntries[[#This Row],[Work date]])</f>
        <v>45963.0</v>
      </c>
    </row>
    <row r="3632" spans="1:9" ht="15" x14ac:dyDescent="0.25">
      <c r="A3632" s="53" t="inlineStr">
        <is>
          <t>LAB-003631</t>
        </is>
      </c>
      <c r="B3632" s="53" t="inlineStr">
        <is>
          <t>WP-01601</t>
        </is>
      </c>
      <c r="C3632" s="53" t="inlineStr">
        <is>
          <t>TECH-043</t>
        </is>
      </c>
      <c r="D3632" s="53" t="inlineStr">
        <is>
          <t>Airframe</t>
        </is>
      </c>
      <c r="E3632" s="53" t="inlineStr">
        <is>
          <t>2025-11-03</t>
        </is>
      </c>
      <c r="F3632" s="53">
        <v>0.4</v>
      </c>
      <c r="G3632" s="53">
        <v>0</v>
      </c>
      <c r="H3632" s="51" t="str">
        <f>TEXT(tblLaborEntries[[#This Row],[Work date serial]]-WEEKDAY(tblLaborEntries[[#This Row],[Work date serial]],3),"yyyy-mm-dd")</f>
        <v>2025-11-03</v>
      </c>
      <c r="I3632" s="64">
        <f>DATEVALUE(tblLaborEntries[[#This Row],[Work date]])</f>
        <v>45964.0</v>
      </c>
    </row>
    <row r="3633" spans="1:9" ht="15" x14ac:dyDescent="0.25">
      <c r="A3633" s="53" t="inlineStr">
        <is>
          <t>LAB-003632</t>
        </is>
      </c>
      <c r="B3633" s="53" t="inlineStr">
        <is>
          <t>WP-01602</t>
        </is>
      </c>
      <c r="C3633" s="53" t="inlineStr">
        <is>
          <t>TECH-006</t>
        </is>
      </c>
      <c r="D3633" s="53" t="inlineStr">
        <is>
          <t>Powerplant</t>
        </is>
      </c>
      <c r="E3633" s="53" t="inlineStr">
        <is>
          <t>2025-12-07</t>
        </is>
      </c>
      <c r="F3633" s="53">
        <v>0.3</v>
      </c>
      <c r="G3633" s="53">
        <v>0</v>
      </c>
      <c r="H3633" s="51" t="str">
        <f>TEXT(tblLaborEntries[[#This Row],[Work date serial]]-WEEKDAY(tblLaborEntries[[#This Row],[Work date serial]],3),"yyyy-mm-dd")</f>
        <v>2025-12-01</v>
      </c>
      <c r="I3633" s="64">
        <f>DATEVALUE(tblLaborEntries[[#This Row],[Work date]])</f>
        <v>45998.0</v>
      </c>
    </row>
    <row r="3634" spans="1:9" ht="15" x14ac:dyDescent="0.25">
      <c r="A3634" s="53" t="inlineStr">
        <is>
          <t>LAB-003633</t>
        </is>
      </c>
      <c r="B3634" s="53" t="inlineStr">
        <is>
          <t>WP-01602</t>
        </is>
      </c>
      <c r="C3634" s="53" t="inlineStr">
        <is>
          <t>TECH-036</t>
        </is>
      </c>
      <c r="D3634" s="53" t="inlineStr">
        <is>
          <t>Powerplant</t>
        </is>
      </c>
      <c r="E3634" s="53" t="inlineStr">
        <is>
          <t>2025-12-07</t>
        </is>
      </c>
      <c r="F3634" s="53">
        <v>12</v>
      </c>
      <c r="G3634" s="53">
        <v>4</v>
      </c>
      <c r="H3634" s="51" t="str">
        <f>TEXT(tblLaborEntries[[#This Row],[Work date serial]]-WEEKDAY(tblLaborEntries[[#This Row],[Work date serial]],3),"yyyy-mm-dd")</f>
        <v>2025-12-01</v>
      </c>
      <c r="I3634" s="64">
        <f>DATEVALUE(tblLaborEntries[[#This Row],[Work date]])</f>
        <v>45998.0</v>
      </c>
    </row>
    <row r="3635" spans="1:9" ht="15" x14ac:dyDescent="0.25">
      <c r="A3635" s="53" t="inlineStr">
        <is>
          <t>LAB-003634</t>
        </is>
      </c>
      <c r="B3635" s="53" t="inlineStr">
        <is>
          <t>WP-01603</t>
        </is>
      </c>
      <c r="C3635" s="53" t="inlineStr">
        <is>
          <t>TECH-013</t>
        </is>
      </c>
      <c r="D3635" s="53" t="inlineStr">
        <is>
          <t>Airframe</t>
        </is>
      </c>
      <c r="E3635" s="53" t="inlineStr">
        <is>
          <t>2025-12-29</t>
        </is>
      </c>
      <c r="F3635" s="53">
        <v>3.1</v>
      </c>
      <c r="G3635" s="53">
        <v>0</v>
      </c>
      <c r="H3635" s="51" t="str">
        <f>TEXT(tblLaborEntries[[#This Row],[Work date serial]]-WEEKDAY(tblLaborEntries[[#This Row],[Work date serial]],3),"yyyy-mm-dd")</f>
        <v>2025-12-29</v>
      </c>
      <c r="I3635" s="64">
        <f>DATEVALUE(tblLaborEntries[[#This Row],[Work date]])</f>
        <v>46020.0</v>
      </c>
    </row>
    <row r="3636" spans="1:9" ht="15" x14ac:dyDescent="0.25">
      <c r="A3636" s="53" t="inlineStr">
        <is>
          <t>LAB-003635</t>
        </is>
      </c>
      <c r="B3636" s="53" t="inlineStr">
        <is>
          <t>WP-01603</t>
        </is>
      </c>
      <c r="C3636" s="53" t="inlineStr">
        <is>
          <t>TECH-025</t>
        </is>
      </c>
      <c r="D3636" s="53" t="inlineStr">
        <is>
          <t>Airframe</t>
        </is>
      </c>
      <c r="E3636" s="53" t="inlineStr">
        <is>
          <t>2025-12-30</t>
        </is>
      </c>
      <c r="F3636" s="53">
        <v>2.6</v>
      </c>
      <c r="G3636" s="53">
        <v>0</v>
      </c>
      <c r="H3636" s="51" t="str">
        <f>TEXT(tblLaborEntries[[#This Row],[Work date serial]]-WEEKDAY(tblLaborEntries[[#This Row],[Work date serial]],3),"yyyy-mm-dd")</f>
        <v>2025-12-29</v>
      </c>
      <c r="I3636" s="64">
        <f>DATEVALUE(tblLaborEntries[[#This Row],[Work date]])</f>
        <v>46021.0</v>
      </c>
    </row>
    <row r="3637" spans="1:9" ht="15" x14ac:dyDescent="0.25">
      <c r="A3637" s="53" t="inlineStr">
        <is>
          <t>LAB-003636</t>
        </is>
      </c>
      <c r="B3637" s="53" t="inlineStr">
        <is>
          <t>WP-01603</t>
        </is>
      </c>
      <c r="C3637" s="53" t="inlineStr">
        <is>
          <t>TECH-055</t>
        </is>
      </c>
      <c r="D3637" s="53" t="inlineStr">
        <is>
          <t>Airframe</t>
        </is>
      </c>
      <c r="E3637" s="53" t="inlineStr">
        <is>
          <t>2025-12-31</t>
        </is>
      </c>
      <c r="F3637" s="53">
        <v>3.3</v>
      </c>
      <c r="G3637" s="53">
        <v>0</v>
      </c>
      <c r="H3637" s="51" t="str">
        <f>TEXT(tblLaborEntries[[#This Row],[Work date serial]]-WEEKDAY(tblLaborEntries[[#This Row],[Work date serial]],3),"yyyy-mm-dd")</f>
        <v>2025-12-29</v>
      </c>
      <c r="I3637" s="64">
        <f>DATEVALUE(tblLaborEntries[[#This Row],[Work date]])</f>
        <v>46022.0</v>
      </c>
    </row>
    <row r="3638" spans="1:9" ht="15" x14ac:dyDescent="0.25">
      <c r="A3638" s="53" t="inlineStr">
        <is>
          <t>LAB-003637</t>
        </is>
      </c>
      <c r="B3638" s="53" t="inlineStr">
        <is>
          <t>WP-01604</t>
        </is>
      </c>
      <c r="C3638" s="53" t="inlineStr">
        <is>
          <t>TECH-056</t>
        </is>
      </c>
      <c r="D3638" s="53" t="inlineStr">
        <is>
          <t>Avionics</t>
        </is>
      </c>
      <c r="E3638" s="53" t="inlineStr">
        <is>
          <t>2025-08-18</t>
        </is>
      </c>
      <c r="F3638" s="53">
        <v>2.3</v>
      </c>
      <c r="G3638" s="53">
        <v>0</v>
      </c>
      <c r="H3638" s="51" t="str">
        <f>TEXT(tblLaborEntries[[#This Row],[Work date serial]]-WEEKDAY(tblLaborEntries[[#This Row],[Work date serial]],3),"yyyy-mm-dd")</f>
        <v>2025-08-18</v>
      </c>
      <c r="I3638" s="64">
        <f>DATEVALUE(tblLaborEntries[[#This Row],[Work date]])</f>
        <v>45887.0</v>
      </c>
    </row>
    <row r="3639" spans="1:9" ht="15" x14ac:dyDescent="0.25">
      <c r="A3639" s="53" t="inlineStr">
        <is>
          <t>LAB-003638</t>
        </is>
      </c>
      <c r="B3639" s="53" t="inlineStr">
        <is>
          <t>WP-01604</t>
        </is>
      </c>
      <c r="C3639" s="53" t="inlineStr">
        <is>
          <t>TECH-020</t>
        </is>
      </c>
      <c r="D3639" s="53" t="inlineStr">
        <is>
          <t>Avionics</t>
        </is>
      </c>
      <c r="E3639" s="53" t="inlineStr">
        <is>
          <t>2025-08-19</t>
        </is>
      </c>
      <c r="F3639" s="53">
        <v>2.3</v>
      </c>
      <c r="G3639" s="53">
        <v>0</v>
      </c>
      <c r="H3639" s="51" t="str">
        <f>TEXT(tblLaborEntries[[#This Row],[Work date serial]]-WEEKDAY(tblLaborEntries[[#This Row],[Work date serial]],3),"yyyy-mm-dd")</f>
        <v>2025-08-18</v>
      </c>
      <c r="I3639" s="64">
        <f>DATEVALUE(tblLaborEntries[[#This Row],[Work date]])</f>
        <v>45888.0</v>
      </c>
    </row>
    <row r="3640" spans="1:9" ht="15" x14ac:dyDescent="0.25">
      <c r="A3640" s="53" t="inlineStr">
        <is>
          <t>LAB-003639</t>
        </is>
      </c>
      <c r="B3640" s="53" t="inlineStr">
        <is>
          <t>WP-01604</t>
        </is>
      </c>
      <c r="C3640" s="53" t="inlineStr">
        <is>
          <t>TECH-074</t>
        </is>
      </c>
      <c r="D3640" s="53" t="inlineStr">
        <is>
          <t>Avionics</t>
        </is>
      </c>
      <c r="E3640" s="53" t="inlineStr">
        <is>
          <t>2025-08-20</t>
        </is>
      </c>
      <c r="F3640" s="53">
        <v>2.1</v>
      </c>
      <c r="G3640" s="53">
        <v>0</v>
      </c>
      <c r="H3640" s="51" t="str">
        <f>TEXT(tblLaborEntries[[#This Row],[Work date serial]]-WEEKDAY(tblLaborEntries[[#This Row],[Work date serial]],3),"yyyy-mm-dd")</f>
        <v>2025-08-18</v>
      </c>
      <c r="I3640" s="64">
        <f>DATEVALUE(tblLaborEntries[[#This Row],[Work date]])</f>
        <v>45889.0</v>
      </c>
    </row>
    <row r="3641" spans="1:9" ht="15" x14ac:dyDescent="0.25">
      <c r="A3641" s="53" t="inlineStr">
        <is>
          <t>LAB-003640</t>
        </is>
      </c>
      <c r="B3641" s="53" t="inlineStr">
        <is>
          <t>WP-01605</t>
        </is>
      </c>
      <c r="C3641" s="53" t="inlineStr">
        <is>
          <t>TECH-032</t>
        </is>
      </c>
      <c r="D3641" s="53" t="inlineStr">
        <is>
          <t>Avionics</t>
        </is>
      </c>
      <c r="E3641" s="53" t="inlineStr">
        <is>
          <t>2024-06-21</t>
        </is>
      </c>
      <c r="F3641" s="53">
        <v>3.8</v>
      </c>
      <c r="G3641" s="53">
        <v>0</v>
      </c>
      <c r="H3641" s="51" t="str">
        <f>TEXT(tblLaborEntries[[#This Row],[Work date serial]]-WEEKDAY(tblLaborEntries[[#This Row],[Work date serial]],3),"yyyy-mm-dd")</f>
        <v>2024-06-17</v>
      </c>
      <c r="I3641" s="64">
        <f>DATEVALUE(tblLaborEntries[[#This Row],[Work date]])</f>
        <v>45464.0</v>
      </c>
    </row>
    <row r="3642" spans="1:9" ht="15" x14ac:dyDescent="0.25">
      <c r="A3642" s="53" t="inlineStr">
        <is>
          <t>LAB-003641</t>
        </is>
      </c>
      <c r="B3642" s="53" t="inlineStr">
        <is>
          <t>WP-01605</t>
        </is>
      </c>
      <c r="C3642" s="53" t="inlineStr">
        <is>
          <t>TECH-062</t>
        </is>
      </c>
      <c r="D3642" s="53" t="inlineStr">
        <is>
          <t>Avionics</t>
        </is>
      </c>
      <c r="E3642" s="53" t="inlineStr">
        <is>
          <t>2024-06-22</t>
        </is>
      </c>
      <c r="F3642" s="53">
        <v>4.9</v>
      </c>
      <c r="G3642" s="53">
        <v>0</v>
      </c>
      <c r="H3642" s="51" t="str">
        <f>TEXT(tblLaborEntries[[#This Row],[Work date serial]]-WEEKDAY(tblLaborEntries[[#This Row],[Work date serial]],3),"yyyy-mm-dd")</f>
        <v>2024-06-17</v>
      </c>
      <c r="I3642" s="64">
        <f>DATEVALUE(tblLaborEntries[[#This Row],[Work date]])</f>
        <v>45465.0</v>
      </c>
    </row>
    <row r="3643" spans="1:9" ht="15" x14ac:dyDescent="0.25">
      <c r="A3643" s="53" t="inlineStr">
        <is>
          <t>LAB-003642</t>
        </is>
      </c>
      <c r="B3643" s="53" t="inlineStr">
        <is>
          <t>WP-01605</t>
        </is>
      </c>
      <c r="C3643" s="53" t="inlineStr">
        <is>
          <t>TECH-032</t>
        </is>
      </c>
      <c r="D3643" s="53" t="inlineStr">
        <is>
          <t>Avionics</t>
        </is>
      </c>
      <c r="E3643" s="53" t="inlineStr">
        <is>
          <t>2024-06-23</t>
        </is>
      </c>
      <c r="F3643" s="53">
        <v>3.5</v>
      </c>
      <c r="G3643" s="53">
        <v>0</v>
      </c>
      <c r="H3643" s="51" t="str">
        <f>TEXT(tblLaborEntries[[#This Row],[Work date serial]]-WEEKDAY(tblLaborEntries[[#This Row],[Work date serial]],3),"yyyy-mm-dd")</f>
        <v>2024-06-17</v>
      </c>
      <c r="I3643" s="64">
        <f>DATEVALUE(tblLaborEntries[[#This Row],[Work date]])</f>
        <v>45466.0</v>
      </c>
    </row>
    <row r="3644" spans="1:9" ht="15" x14ac:dyDescent="0.25">
      <c r="A3644" s="53" t="inlineStr">
        <is>
          <t>LAB-003643</t>
        </is>
      </c>
      <c r="B3644" s="53" t="inlineStr">
        <is>
          <t>WP-01606</t>
        </is>
      </c>
      <c r="C3644" s="53" t="inlineStr">
        <is>
          <t>TECH-002</t>
        </is>
      </c>
      <c r="D3644" s="53" t="inlineStr">
        <is>
          <t>Avionics</t>
        </is>
      </c>
      <c r="E3644" s="53" t="inlineStr">
        <is>
          <t>2025-03-09</t>
        </is>
      </c>
      <c r="F3644" s="53">
        <v>5</v>
      </c>
      <c r="G3644" s="53">
        <v>0</v>
      </c>
      <c r="H3644" s="51" t="str">
        <f>TEXT(tblLaborEntries[[#This Row],[Work date serial]]-WEEKDAY(tblLaborEntries[[#This Row],[Work date serial]],3),"yyyy-mm-dd")</f>
        <v>2025-03-03</v>
      </c>
      <c r="I3644" s="64">
        <f>DATEVALUE(tblLaborEntries[[#This Row],[Work date]])</f>
        <v>45725.0</v>
      </c>
    </row>
    <row r="3645" spans="1:9" ht="15" x14ac:dyDescent="0.25">
      <c r="A3645" s="53" t="inlineStr">
        <is>
          <t>LAB-003644</t>
        </is>
      </c>
      <c r="B3645" s="53" t="inlineStr">
        <is>
          <t>WP-01606</t>
        </is>
      </c>
      <c r="C3645" s="53" t="inlineStr">
        <is>
          <t>TECH-032</t>
        </is>
      </c>
      <c r="D3645" s="53" t="inlineStr">
        <is>
          <t>Avionics</t>
        </is>
      </c>
      <c r="E3645" s="53" t="inlineStr">
        <is>
          <t>2025-03-09</t>
        </is>
      </c>
      <c r="F3645" s="53">
        <v>6.8</v>
      </c>
      <c r="G3645" s="53">
        <v>0</v>
      </c>
      <c r="H3645" s="51" t="str">
        <f>TEXT(tblLaborEntries[[#This Row],[Work date serial]]-WEEKDAY(tblLaborEntries[[#This Row],[Work date serial]],3),"yyyy-mm-dd")</f>
        <v>2025-03-03</v>
      </c>
      <c r="I3645" s="64">
        <f>DATEVALUE(tblLaborEntries[[#This Row],[Work date]])</f>
        <v>45725.0</v>
      </c>
    </row>
    <row r="3646" spans="1:9" ht="15" x14ac:dyDescent="0.25">
      <c r="A3646" s="53" t="inlineStr">
        <is>
          <t>LAB-003645</t>
        </is>
      </c>
      <c r="B3646" s="53" t="inlineStr">
        <is>
          <t>WP-01606</t>
        </is>
      </c>
      <c r="C3646" s="53" t="inlineStr">
        <is>
          <t>TECH-002</t>
        </is>
      </c>
      <c r="D3646" s="53" t="inlineStr">
        <is>
          <t>Avionics</t>
        </is>
      </c>
      <c r="E3646" s="53" t="inlineStr">
        <is>
          <t>2025-03-10</t>
        </is>
      </c>
      <c r="F3646" s="53">
        <v>0.7</v>
      </c>
      <c r="G3646" s="53">
        <v>0</v>
      </c>
      <c r="H3646" s="51" t="str">
        <f>TEXT(tblLaborEntries[[#This Row],[Work date serial]]-WEEKDAY(tblLaborEntries[[#This Row],[Work date serial]],3),"yyyy-mm-dd")</f>
        <v>2025-03-10</v>
      </c>
      <c r="I3646" s="64">
        <f>DATEVALUE(tblLaborEntries[[#This Row],[Work date]])</f>
        <v>45726.0</v>
      </c>
    </row>
    <row r="3647" spans="1:9" ht="15" x14ac:dyDescent="0.25">
      <c r="A3647" s="53" t="inlineStr">
        <is>
          <t>LAB-003646</t>
        </is>
      </c>
      <c r="B3647" s="53" t="inlineStr">
        <is>
          <t>WP-01606</t>
        </is>
      </c>
      <c r="C3647" s="53" t="inlineStr">
        <is>
          <t>TECH-026</t>
        </is>
      </c>
      <c r="D3647" s="53" t="inlineStr">
        <is>
          <t>Avionics</t>
        </is>
      </c>
      <c r="E3647" s="53" t="inlineStr">
        <is>
          <t>2025-03-10</t>
        </is>
      </c>
      <c r="F3647" s="53">
        <v>12</v>
      </c>
      <c r="G3647" s="53">
        <v>4</v>
      </c>
      <c r="H3647" s="51" t="str">
        <f>TEXT(tblLaborEntries[[#This Row],[Work date serial]]-WEEKDAY(tblLaborEntries[[#This Row],[Work date serial]],3),"yyyy-mm-dd")</f>
        <v>2025-03-10</v>
      </c>
      <c r="I3647" s="64">
        <f>DATEVALUE(tblLaborEntries[[#This Row],[Work date]])</f>
        <v>45726.0</v>
      </c>
    </row>
    <row r="3648" spans="1:9" ht="15" x14ac:dyDescent="0.25">
      <c r="A3648" s="53" t="inlineStr">
        <is>
          <t>LAB-003647</t>
        </is>
      </c>
      <c r="B3648" s="53" t="inlineStr">
        <is>
          <t>WP-01606</t>
        </is>
      </c>
      <c r="C3648" s="53" t="inlineStr">
        <is>
          <t>TECH-038</t>
        </is>
      </c>
      <c r="D3648" s="53" t="inlineStr">
        <is>
          <t>Avionics</t>
        </is>
      </c>
      <c r="E3648" s="53" t="inlineStr">
        <is>
          <t>2025-03-11</t>
        </is>
      </c>
      <c r="F3648" s="53">
        <v>11.8</v>
      </c>
      <c r="G3648" s="53">
        <v>3.8</v>
      </c>
      <c r="H3648" s="51" t="str">
        <f>TEXT(tblLaborEntries[[#This Row],[Work date serial]]-WEEKDAY(tblLaborEntries[[#This Row],[Work date serial]],3),"yyyy-mm-dd")</f>
        <v>2025-03-10</v>
      </c>
      <c r="I3648" s="64">
        <f>DATEVALUE(tblLaborEntries[[#This Row],[Work date]])</f>
        <v>45727.0</v>
      </c>
    </row>
    <row r="3649" spans="1:9" ht="15" x14ac:dyDescent="0.25">
      <c r="A3649" s="53" t="inlineStr">
        <is>
          <t>LAB-003648</t>
        </is>
      </c>
      <c r="B3649" s="53" t="inlineStr">
        <is>
          <t>WP-01607</t>
        </is>
      </c>
      <c r="C3649" s="53" t="inlineStr">
        <is>
          <t>TECH-056</t>
        </is>
      </c>
      <c r="D3649" s="53" t="inlineStr">
        <is>
          <t>Avionics</t>
        </is>
      </c>
      <c r="E3649" s="53" t="inlineStr">
        <is>
          <t>2025-04-30</t>
        </is>
      </c>
      <c r="F3649" s="53">
        <v>1.7</v>
      </c>
      <c r="G3649" s="53">
        <v>0</v>
      </c>
      <c r="H3649" s="51" t="str">
        <f>TEXT(tblLaborEntries[[#This Row],[Work date serial]]-WEEKDAY(tblLaborEntries[[#This Row],[Work date serial]],3),"yyyy-mm-dd")</f>
        <v>2025-04-28</v>
      </c>
      <c r="I3649" s="64">
        <f>DATEVALUE(tblLaborEntries[[#This Row],[Work date]])</f>
        <v>45777.0</v>
      </c>
    </row>
    <row r="3650" spans="1:9" ht="15" x14ac:dyDescent="0.25">
      <c r="A3650" s="53" t="inlineStr">
        <is>
          <t>LAB-003649</t>
        </is>
      </c>
      <c r="B3650" s="53" t="inlineStr">
        <is>
          <t>WP-01607</t>
        </is>
      </c>
      <c r="C3650" s="53" t="inlineStr">
        <is>
          <t>TECH-074</t>
        </is>
      </c>
      <c r="D3650" s="53" t="inlineStr">
        <is>
          <t>Avionics</t>
        </is>
      </c>
      <c r="E3650" s="53" t="inlineStr">
        <is>
          <t>2025-05-01</t>
        </is>
      </c>
      <c r="F3650" s="53">
        <v>2.6</v>
      </c>
      <c r="G3650" s="53">
        <v>0</v>
      </c>
      <c r="H3650" s="51" t="str">
        <f>TEXT(tblLaborEntries[[#This Row],[Work date serial]]-WEEKDAY(tblLaborEntries[[#This Row],[Work date serial]],3),"yyyy-mm-dd")</f>
        <v>2025-04-28</v>
      </c>
      <c r="I3650" s="64">
        <f>DATEVALUE(tblLaborEntries[[#This Row],[Work date]])</f>
        <v>45778.0</v>
      </c>
    </row>
    <row r="3651" spans="1:9" ht="15" x14ac:dyDescent="0.25">
      <c r="A3651" s="53" t="inlineStr">
        <is>
          <t>LAB-003650</t>
        </is>
      </c>
      <c r="B3651" s="53" t="inlineStr">
        <is>
          <t>WP-01608</t>
        </is>
      </c>
      <c r="C3651" s="53" t="inlineStr">
        <is>
          <t>TECH-001</t>
        </is>
      </c>
      <c r="D3651" s="53" t="inlineStr">
        <is>
          <t>Airframe</t>
        </is>
      </c>
      <c r="E3651" s="53" t="inlineStr">
        <is>
          <t>2024-06-15</t>
        </is>
      </c>
      <c r="F3651" s="53">
        <v>1.1</v>
      </c>
      <c r="G3651" s="53">
        <v>0</v>
      </c>
      <c r="H3651" s="51" t="str">
        <f>TEXT(tblLaborEntries[[#This Row],[Work date serial]]-WEEKDAY(tblLaborEntries[[#This Row],[Work date serial]],3),"yyyy-mm-dd")</f>
        <v>2024-06-10</v>
      </c>
      <c r="I3651" s="64">
        <f>DATEVALUE(tblLaborEntries[[#This Row],[Work date]])</f>
        <v>45458.0</v>
      </c>
    </row>
    <row r="3652" spans="1:9" ht="15" x14ac:dyDescent="0.25">
      <c r="A3652" s="53" t="inlineStr">
        <is>
          <t>LAB-003651</t>
        </is>
      </c>
      <c r="B3652" s="53" t="inlineStr">
        <is>
          <t>WP-01608</t>
        </is>
      </c>
      <c r="C3652" s="53" t="inlineStr">
        <is>
          <t>TECH-049</t>
        </is>
      </c>
      <c r="D3652" s="53" t="inlineStr">
        <is>
          <t>Airframe</t>
        </is>
      </c>
      <c r="E3652" s="53" t="inlineStr">
        <is>
          <t>2024-06-15</t>
        </is>
      </c>
      <c r="F3652" s="53">
        <v>12</v>
      </c>
      <c r="G3652" s="53">
        <v>4</v>
      </c>
      <c r="H3652" s="51" t="str">
        <f>TEXT(tblLaborEntries[[#This Row],[Work date serial]]-WEEKDAY(tblLaborEntries[[#This Row],[Work date serial]],3),"yyyy-mm-dd")</f>
        <v>2024-06-10</v>
      </c>
      <c r="I3652" s="64">
        <f>DATEVALUE(tblLaborEntries[[#This Row],[Work date]])</f>
        <v>45458.0</v>
      </c>
    </row>
    <row r="3653" spans="1:9" ht="15" x14ac:dyDescent="0.25">
      <c r="A3653" s="53" t="inlineStr">
        <is>
          <t>LAB-003652</t>
        </is>
      </c>
      <c r="B3653" s="53" t="inlineStr">
        <is>
          <t>WP-01609</t>
        </is>
      </c>
      <c r="C3653" s="53" t="inlineStr">
        <is>
          <t>TECH-007</t>
        </is>
      </c>
      <c r="D3653" s="53" t="inlineStr">
        <is>
          <t>Airframe</t>
        </is>
      </c>
      <c r="E3653" s="53" t="inlineStr">
        <is>
          <t>2024-08-17</t>
        </is>
      </c>
      <c r="F3653" s="53">
        <v>1.7</v>
      </c>
      <c r="G3653" s="53">
        <v>0</v>
      </c>
      <c r="H3653" s="51" t="str">
        <f>TEXT(tblLaborEntries[[#This Row],[Work date serial]]-WEEKDAY(tblLaborEntries[[#This Row],[Work date serial]],3),"yyyy-mm-dd")</f>
        <v>2024-08-12</v>
      </c>
      <c r="I3653" s="64">
        <f>DATEVALUE(tblLaborEntries[[#This Row],[Work date]])</f>
        <v>45521.0</v>
      </c>
    </row>
    <row r="3654" spans="1:9" ht="15" x14ac:dyDescent="0.25">
      <c r="A3654" s="53" t="inlineStr">
        <is>
          <t>LAB-003653</t>
        </is>
      </c>
      <c r="B3654" s="53" t="inlineStr">
        <is>
          <t>WP-01609</t>
        </is>
      </c>
      <c r="C3654" s="53" t="inlineStr">
        <is>
          <t>TECH-067</t>
        </is>
      </c>
      <c r="D3654" s="53" t="inlineStr">
        <is>
          <t>Airframe</t>
        </is>
      </c>
      <c r="E3654" s="53" t="inlineStr">
        <is>
          <t>2024-08-18</t>
        </is>
      </c>
      <c r="F3654" s="53">
        <v>2.5</v>
      </c>
      <c r="G3654" s="53">
        <v>0</v>
      </c>
      <c r="H3654" s="51" t="str">
        <f>TEXT(tblLaborEntries[[#This Row],[Work date serial]]-WEEKDAY(tblLaborEntries[[#This Row],[Work date serial]],3),"yyyy-mm-dd")</f>
        <v>2024-08-12</v>
      </c>
      <c r="I3654" s="64">
        <f>DATEVALUE(tblLaborEntries[[#This Row],[Work date]])</f>
        <v>45522.0</v>
      </c>
    </row>
    <row r="3655" spans="1:9" ht="15" x14ac:dyDescent="0.25">
      <c r="A3655" s="53" t="inlineStr">
        <is>
          <t>LAB-003654</t>
        </is>
      </c>
      <c r="B3655" s="53" t="inlineStr">
        <is>
          <t>WP-01609</t>
        </is>
      </c>
      <c r="C3655" s="53" t="inlineStr">
        <is>
          <t>TECH-013</t>
        </is>
      </c>
      <c r="D3655" s="53" t="inlineStr">
        <is>
          <t>Airframe</t>
        </is>
      </c>
      <c r="E3655" s="53" t="inlineStr">
        <is>
          <t>2024-08-19</t>
        </is>
      </c>
      <c r="F3655" s="53">
        <v>2</v>
      </c>
      <c r="G3655" s="53">
        <v>0</v>
      </c>
      <c r="H3655" s="51" t="str">
        <f>TEXT(tblLaborEntries[[#This Row],[Work date serial]]-WEEKDAY(tblLaborEntries[[#This Row],[Work date serial]],3),"yyyy-mm-dd")</f>
        <v>2024-08-19</v>
      </c>
      <c r="I3655" s="64">
        <f>DATEVALUE(tblLaborEntries[[#This Row],[Work date]])</f>
        <v>45523.0</v>
      </c>
    </row>
    <row r="3656" spans="1:9" ht="15" x14ac:dyDescent="0.25">
      <c r="A3656" s="53" t="inlineStr">
        <is>
          <t>LAB-003655</t>
        </is>
      </c>
      <c r="B3656" s="53" t="inlineStr">
        <is>
          <t>WP-01610</t>
        </is>
      </c>
      <c r="C3656" s="53" t="inlineStr">
        <is>
          <t>TECH-013</t>
        </is>
      </c>
      <c r="D3656" s="53" t="inlineStr">
        <is>
          <t>Airframe</t>
        </is>
      </c>
      <c r="E3656" s="53" t="inlineStr">
        <is>
          <t>2024-12-10</t>
        </is>
      </c>
      <c r="F3656" s="53">
        <v>6.1</v>
      </c>
      <c r="G3656" s="53">
        <v>0</v>
      </c>
      <c r="H3656" s="51" t="str">
        <f>TEXT(tblLaborEntries[[#This Row],[Work date serial]]-WEEKDAY(tblLaborEntries[[#This Row],[Work date serial]],3),"yyyy-mm-dd")</f>
        <v>2024-12-09</v>
      </c>
      <c r="I3656" s="64">
        <f>DATEVALUE(tblLaborEntries[[#This Row],[Work date]])</f>
        <v>45636.0</v>
      </c>
    </row>
    <row r="3657" spans="1:9" ht="15" x14ac:dyDescent="0.25">
      <c r="A3657" s="53" t="inlineStr">
        <is>
          <t>LAB-003656</t>
        </is>
      </c>
      <c r="B3657" s="53" t="inlineStr">
        <is>
          <t>WP-01611</t>
        </is>
      </c>
      <c r="C3657" s="53" t="inlineStr">
        <is>
          <t>TECH-032</t>
        </is>
      </c>
      <c r="D3657" s="53" t="inlineStr">
        <is>
          <t>Avionics</t>
        </is>
      </c>
      <c r="E3657" s="53" t="inlineStr">
        <is>
          <t>2025-02-25</t>
        </is>
      </c>
      <c r="F3657" s="53">
        <v>3.7</v>
      </c>
      <c r="G3657" s="53">
        <v>0</v>
      </c>
      <c r="H3657" s="51" t="str">
        <f>TEXT(tblLaborEntries[[#This Row],[Work date serial]]-WEEKDAY(tblLaborEntries[[#This Row],[Work date serial]],3),"yyyy-mm-dd")</f>
        <v>2025-02-24</v>
      </c>
      <c r="I3657" s="64">
        <f>DATEVALUE(tblLaborEntries[[#This Row],[Work date]])</f>
        <v>45713.0</v>
      </c>
    </row>
    <row r="3658" spans="1:9" ht="15" x14ac:dyDescent="0.25">
      <c r="A3658" s="53" t="inlineStr">
        <is>
          <t>LAB-003657</t>
        </is>
      </c>
      <c r="B3658" s="53" t="inlineStr">
        <is>
          <t>WP-01611</t>
        </is>
      </c>
      <c r="C3658" s="53" t="inlineStr">
        <is>
          <t>TECH-020</t>
        </is>
      </c>
      <c r="D3658" s="53" t="inlineStr">
        <is>
          <t>Avionics</t>
        </is>
      </c>
      <c r="E3658" s="53" t="inlineStr">
        <is>
          <t>2025-02-26</t>
        </is>
      </c>
      <c r="F3658" s="53">
        <v>2.9</v>
      </c>
      <c r="G3658" s="53">
        <v>0.5</v>
      </c>
      <c r="H3658" s="51" t="str">
        <f>TEXT(tblLaborEntries[[#This Row],[Work date serial]]-WEEKDAY(tblLaborEntries[[#This Row],[Work date serial]],3),"yyyy-mm-dd")</f>
        <v>2025-02-24</v>
      </c>
      <c r="I3658" s="64">
        <f>DATEVALUE(tblLaborEntries[[#This Row],[Work date]])</f>
        <v>45714.0</v>
      </c>
    </row>
    <row r="3659" spans="1:9" ht="15" x14ac:dyDescent="0.25">
      <c r="A3659" s="53" t="inlineStr">
        <is>
          <t>LAB-003658</t>
        </is>
      </c>
      <c r="B3659" s="53" t="inlineStr">
        <is>
          <t>WP-01612</t>
        </is>
      </c>
      <c r="C3659" s="53" t="inlineStr">
        <is>
          <t>TECH-001</t>
        </is>
      </c>
      <c r="D3659" s="53" t="inlineStr">
        <is>
          <t>Airframe</t>
        </is>
      </c>
      <c r="E3659" s="53" t="inlineStr">
        <is>
          <t>2024-04-03</t>
        </is>
      </c>
      <c r="F3659" s="53">
        <v>4</v>
      </c>
      <c r="G3659" s="53">
        <v>0</v>
      </c>
      <c r="H3659" s="51" t="str">
        <f>TEXT(tblLaborEntries[[#This Row],[Work date serial]]-WEEKDAY(tblLaborEntries[[#This Row],[Work date serial]],3),"yyyy-mm-dd")</f>
        <v>2024-04-01</v>
      </c>
      <c r="I3659" s="64">
        <f>DATEVALUE(tblLaborEntries[[#This Row],[Work date]])</f>
        <v>45385.0</v>
      </c>
    </row>
    <row r="3660" spans="1:9" ht="15" x14ac:dyDescent="0.25">
      <c r="A3660" s="53" t="inlineStr">
        <is>
          <t>LAB-003659</t>
        </is>
      </c>
      <c r="B3660" s="53" t="inlineStr">
        <is>
          <t>WP-01612</t>
        </is>
      </c>
      <c r="C3660" s="53" t="inlineStr">
        <is>
          <t>TECH-013</t>
        </is>
      </c>
      <c r="D3660" s="53" t="inlineStr">
        <is>
          <t>Airframe</t>
        </is>
      </c>
      <c r="E3660" s="53" t="inlineStr">
        <is>
          <t>2024-04-03</t>
        </is>
      </c>
      <c r="F3660" s="53">
        <v>12</v>
      </c>
      <c r="G3660" s="53">
        <v>4</v>
      </c>
      <c r="H3660" s="51" t="str">
        <f>TEXT(tblLaborEntries[[#This Row],[Work date serial]]-WEEKDAY(tblLaborEntries[[#This Row],[Work date serial]],3),"yyyy-mm-dd")</f>
        <v>2024-04-01</v>
      </c>
      <c r="I3660" s="64">
        <f>DATEVALUE(tblLaborEntries[[#This Row],[Work date]])</f>
        <v>45385.0</v>
      </c>
    </row>
    <row r="3661" spans="1:9" ht="15" x14ac:dyDescent="0.25">
      <c r="A3661" s="53" t="inlineStr">
        <is>
          <t>LAB-003660</t>
        </is>
      </c>
      <c r="B3661" s="53" t="inlineStr">
        <is>
          <t>WP-01613</t>
        </is>
      </c>
      <c r="C3661" s="53" t="inlineStr">
        <is>
          <t>TECH-061</t>
        </is>
      </c>
      <c r="D3661" s="53" t="inlineStr">
        <is>
          <t>Airframe</t>
        </is>
      </c>
      <c r="E3661" s="53" t="inlineStr">
        <is>
          <t>2024-04-05</t>
        </is>
      </c>
      <c r="F3661" s="53">
        <v>4.6</v>
      </c>
      <c r="G3661" s="53">
        <v>0</v>
      </c>
      <c r="H3661" s="51" t="str">
        <f>TEXT(tblLaborEntries[[#This Row],[Work date serial]]-WEEKDAY(tblLaborEntries[[#This Row],[Work date serial]],3),"yyyy-mm-dd")</f>
        <v>2024-04-01</v>
      </c>
      <c r="I3661" s="64">
        <f>DATEVALUE(tblLaborEntries[[#This Row],[Work date]])</f>
        <v>45387.0</v>
      </c>
    </row>
    <row r="3662" spans="1:9" ht="15" x14ac:dyDescent="0.25">
      <c r="A3662" s="53" t="inlineStr">
        <is>
          <t>LAB-003661</t>
        </is>
      </c>
      <c r="B3662" s="53" t="inlineStr">
        <is>
          <t>WP-01613</t>
        </is>
      </c>
      <c r="C3662" s="53" t="inlineStr">
        <is>
          <t>TECH-019</t>
        </is>
      </c>
      <c r="D3662" s="53" t="inlineStr">
        <is>
          <t>Airframe</t>
        </is>
      </c>
      <c r="E3662" s="53" t="inlineStr">
        <is>
          <t>2024-04-06</t>
        </is>
      </c>
      <c r="F3662" s="53">
        <v>4.1</v>
      </c>
      <c r="G3662" s="53">
        <v>0</v>
      </c>
      <c r="H3662" s="51" t="str">
        <f>TEXT(tblLaborEntries[[#This Row],[Work date serial]]-WEEKDAY(tblLaborEntries[[#This Row],[Work date serial]],3),"yyyy-mm-dd")</f>
        <v>2024-04-01</v>
      </c>
      <c r="I3662" s="64">
        <f>DATEVALUE(tblLaborEntries[[#This Row],[Work date]])</f>
        <v>45388.0</v>
      </c>
    </row>
    <row r="3663" spans="1:9" ht="15" x14ac:dyDescent="0.25">
      <c r="A3663" s="53" t="inlineStr">
        <is>
          <t>LAB-003662</t>
        </is>
      </c>
      <c r="B3663" s="53" t="inlineStr">
        <is>
          <t>WP-01614</t>
        </is>
      </c>
      <c r="C3663" s="53" t="inlineStr">
        <is>
          <t>TECH-068</t>
        </is>
      </c>
      <c r="D3663" s="53" t="inlineStr">
        <is>
          <t>Avionics</t>
        </is>
      </c>
      <c r="E3663" s="53" t="inlineStr">
        <is>
          <t>2025-07-05</t>
        </is>
      </c>
      <c r="F3663" s="53">
        <v>2.5</v>
      </c>
      <c r="G3663" s="53">
        <v>0</v>
      </c>
      <c r="H3663" s="51" t="str">
        <f>TEXT(tblLaborEntries[[#This Row],[Work date serial]]-WEEKDAY(tblLaborEntries[[#This Row],[Work date serial]],3),"yyyy-mm-dd")</f>
        <v>2025-06-30</v>
      </c>
      <c r="I3663" s="64">
        <f>DATEVALUE(tblLaborEntries[[#This Row],[Work date]])</f>
        <v>45843.0</v>
      </c>
    </row>
    <row r="3664" spans="1:9" ht="15" x14ac:dyDescent="0.25">
      <c r="A3664" s="53" t="inlineStr">
        <is>
          <t>LAB-003663</t>
        </is>
      </c>
      <c r="B3664" s="53" t="inlineStr">
        <is>
          <t>WP-01614</t>
        </is>
      </c>
      <c r="C3664" s="53" t="inlineStr">
        <is>
          <t>TECH-062</t>
        </is>
      </c>
      <c r="D3664" s="53" t="inlineStr">
        <is>
          <t>Avionics</t>
        </is>
      </c>
      <c r="E3664" s="53" t="inlineStr">
        <is>
          <t>2025-07-06</t>
        </is>
      </c>
      <c r="F3664" s="53">
        <v>1.9</v>
      </c>
      <c r="G3664" s="53">
        <v>0</v>
      </c>
      <c r="H3664" s="51" t="str">
        <f>TEXT(tblLaborEntries[[#This Row],[Work date serial]]-WEEKDAY(tblLaborEntries[[#This Row],[Work date serial]],3),"yyyy-mm-dd")</f>
        <v>2025-06-30</v>
      </c>
      <c r="I3664" s="64">
        <f>DATEVALUE(tblLaborEntries[[#This Row],[Work date]])</f>
        <v>45844.0</v>
      </c>
    </row>
    <row r="3665" spans="1:9" ht="15" x14ac:dyDescent="0.25">
      <c r="A3665" s="53" t="inlineStr">
        <is>
          <t>LAB-003664</t>
        </is>
      </c>
      <c r="B3665" s="53" t="inlineStr">
        <is>
          <t>WP-01615</t>
        </is>
      </c>
      <c r="C3665" s="53" t="inlineStr">
        <is>
          <t>TECH-057</t>
        </is>
      </c>
      <c r="D3665" s="53" t="inlineStr">
        <is>
          <t>Hydraulics</t>
        </is>
      </c>
      <c r="E3665" s="53" t="inlineStr">
        <is>
          <t>2025-06-03</t>
        </is>
      </c>
      <c r="F3665" s="53">
        <v>7.7</v>
      </c>
      <c r="G3665" s="53">
        <v>0</v>
      </c>
      <c r="H3665" s="51" t="str">
        <f>TEXT(tblLaborEntries[[#This Row],[Work date serial]]-WEEKDAY(tblLaborEntries[[#This Row],[Work date serial]],3),"yyyy-mm-dd")</f>
        <v>2025-06-02</v>
      </c>
      <c r="I3665" s="64">
        <f>DATEVALUE(tblLaborEntries[[#This Row],[Work date]])</f>
        <v>45811.0</v>
      </c>
    </row>
    <row r="3666" spans="1:9" ht="15" x14ac:dyDescent="0.25">
      <c r="A3666" s="53" t="inlineStr">
        <is>
          <t>LAB-003665</t>
        </is>
      </c>
      <c r="B3666" s="53" t="inlineStr">
        <is>
          <t>WP-01615</t>
        </is>
      </c>
      <c r="C3666" s="53" t="inlineStr">
        <is>
          <t>TECH-057</t>
        </is>
      </c>
      <c r="D3666" s="53" t="inlineStr">
        <is>
          <t>Hydraulics</t>
        </is>
      </c>
      <c r="E3666" s="53" t="inlineStr">
        <is>
          <t>2025-06-04</t>
        </is>
      </c>
      <c r="F3666" s="53">
        <v>9.5</v>
      </c>
      <c r="G3666" s="53">
        <v>1.5</v>
      </c>
      <c r="H3666" s="51" t="str">
        <f>TEXT(tblLaborEntries[[#This Row],[Work date serial]]-WEEKDAY(tblLaborEntries[[#This Row],[Work date serial]],3),"yyyy-mm-dd")</f>
        <v>2025-06-02</v>
      </c>
      <c r="I3666" s="64">
        <f>DATEVALUE(tblLaborEntries[[#This Row],[Work date]])</f>
        <v>45812.0</v>
      </c>
    </row>
    <row r="3667" spans="1:9" ht="15" x14ac:dyDescent="0.25">
      <c r="A3667" s="53" t="inlineStr">
        <is>
          <t>LAB-003666</t>
        </is>
      </c>
      <c r="B3667" s="53" t="inlineStr">
        <is>
          <t>WP-01616</t>
        </is>
      </c>
      <c r="C3667" s="53" t="inlineStr">
        <is>
          <t>TECH-036</t>
        </is>
      </c>
      <c r="D3667" s="53" t="inlineStr">
        <is>
          <t>Powerplant</t>
        </is>
      </c>
      <c r="E3667" s="53" t="inlineStr">
        <is>
          <t>2025-08-04</t>
        </is>
      </c>
      <c r="F3667" s="53">
        <v>10</v>
      </c>
      <c r="G3667" s="53">
        <v>2</v>
      </c>
      <c r="H3667" s="51" t="str">
        <f>TEXT(tblLaborEntries[[#This Row],[Work date serial]]-WEEKDAY(tblLaborEntries[[#This Row],[Work date serial]],3),"yyyy-mm-dd")</f>
        <v>2025-08-04</v>
      </c>
      <c r="I3667" s="64">
        <f>DATEVALUE(tblLaborEntries[[#This Row],[Work date]])</f>
        <v>45873.0</v>
      </c>
    </row>
    <row r="3668" spans="1:9" ht="15" x14ac:dyDescent="0.25">
      <c r="A3668" s="53" t="inlineStr">
        <is>
          <t>LAB-003667</t>
        </is>
      </c>
      <c r="B3668" s="53" t="inlineStr">
        <is>
          <t>WP-01616</t>
        </is>
      </c>
      <c r="C3668" s="53" t="inlineStr">
        <is>
          <t>TECH-012</t>
        </is>
      </c>
      <c r="D3668" s="53" t="inlineStr">
        <is>
          <t>Powerplant</t>
        </is>
      </c>
      <c r="E3668" s="53" t="inlineStr">
        <is>
          <t>2025-08-05</t>
        </is>
      </c>
      <c r="F3668" s="53">
        <v>10.5</v>
      </c>
      <c r="G3668" s="53">
        <v>2.5</v>
      </c>
      <c r="H3668" s="51" t="str">
        <f>TEXT(tblLaborEntries[[#This Row],[Work date serial]]-WEEKDAY(tblLaborEntries[[#This Row],[Work date serial]],3),"yyyy-mm-dd")</f>
        <v>2025-08-04</v>
      </c>
      <c r="I3668" s="64">
        <f>DATEVALUE(tblLaborEntries[[#This Row],[Work date]])</f>
        <v>45874.0</v>
      </c>
    </row>
    <row r="3669" spans="1:9" ht="15" x14ac:dyDescent="0.25">
      <c r="A3669" s="53" t="inlineStr">
        <is>
          <t>LAB-003668</t>
        </is>
      </c>
      <c r="B3669" s="53" t="inlineStr">
        <is>
          <t>WP-01617</t>
        </is>
      </c>
      <c r="C3669" s="53" t="inlineStr">
        <is>
          <t>TECH-012</t>
        </is>
      </c>
      <c r="D3669" s="53" t="inlineStr">
        <is>
          <t>Powerplant</t>
        </is>
      </c>
      <c r="E3669" s="53" t="inlineStr">
        <is>
          <t>2024-04-19</t>
        </is>
      </c>
      <c r="F3669" s="53">
        <v>4.9</v>
      </c>
      <c r="G3669" s="53">
        <v>0</v>
      </c>
      <c r="H3669" s="51" t="str">
        <f>TEXT(tblLaborEntries[[#This Row],[Work date serial]]-WEEKDAY(tblLaborEntries[[#This Row],[Work date serial]],3),"yyyy-mm-dd")</f>
        <v>2024-04-15</v>
      </c>
      <c r="I3669" s="64">
        <f>DATEVALUE(tblLaborEntries[[#This Row],[Work date]])</f>
        <v>45401.0</v>
      </c>
    </row>
    <row r="3670" spans="1:9" ht="15" x14ac:dyDescent="0.25">
      <c r="A3670" s="53" t="inlineStr">
        <is>
          <t>LAB-003669</t>
        </is>
      </c>
      <c r="B3670" s="53" t="inlineStr">
        <is>
          <t>WP-01617</t>
        </is>
      </c>
      <c r="C3670" s="53" t="inlineStr">
        <is>
          <t>TECH-048</t>
        </is>
      </c>
      <c r="D3670" s="53" t="inlineStr">
        <is>
          <t>Powerplant</t>
        </is>
      </c>
      <c r="E3670" s="53" t="inlineStr">
        <is>
          <t>2024-04-19</t>
        </is>
      </c>
      <c r="F3670" s="53">
        <v>12</v>
      </c>
      <c r="G3670" s="53">
        <v>4</v>
      </c>
      <c r="H3670" s="51" t="str">
        <f>TEXT(tblLaborEntries[[#This Row],[Work date serial]]-WEEKDAY(tblLaborEntries[[#This Row],[Work date serial]],3),"yyyy-mm-dd")</f>
        <v>2024-04-15</v>
      </c>
      <c r="I3670" s="64">
        <f>DATEVALUE(tblLaborEntries[[#This Row],[Work date]])</f>
        <v>45401.0</v>
      </c>
    </row>
    <row r="3671" spans="1:9" ht="15" x14ac:dyDescent="0.25">
      <c r="A3671" s="53" t="inlineStr">
        <is>
          <t>LAB-003670</t>
        </is>
      </c>
      <c r="B3671" s="53" t="inlineStr">
        <is>
          <t>WP-01618</t>
        </is>
      </c>
      <c r="C3671" s="53" t="inlineStr">
        <is>
          <t>TECH-050</t>
        </is>
      </c>
      <c r="D3671" s="53" t="inlineStr">
        <is>
          <t>Avionics</t>
        </is>
      </c>
      <c r="E3671" s="53" t="inlineStr">
        <is>
          <t>2025-01-12</t>
        </is>
      </c>
      <c r="F3671" s="53">
        <v>3.7</v>
      </c>
      <c r="G3671" s="53">
        <v>0</v>
      </c>
      <c r="H3671" s="51" t="str">
        <f>TEXT(tblLaborEntries[[#This Row],[Work date serial]]-WEEKDAY(tblLaborEntries[[#This Row],[Work date serial]],3),"yyyy-mm-dd")</f>
        <v>2025-01-06</v>
      </c>
      <c r="I3671" s="64">
        <f>DATEVALUE(tblLaborEntries[[#This Row],[Work date]])</f>
        <v>45669.0</v>
      </c>
    </row>
    <row r="3672" spans="1:9" ht="15" x14ac:dyDescent="0.25">
      <c r="A3672" s="53" t="inlineStr">
        <is>
          <t>LAB-003671</t>
        </is>
      </c>
      <c r="B3672" s="53" t="inlineStr">
        <is>
          <t>WP-01618</t>
        </is>
      </c>
      <c r="C3672" s="53" t="inlineStr">
        <is>
          <t>TECH-044</t>
        </is>
      </c>
      <c r="D3672" s="53" t="inlineStr">
        <is>
          <t>Avionics</t>
        </is>
      </c>
      <c r="E3672" s="53" t="inlineStr">
        <is>
          <t>2025-01-13</t>
        </is>
      </c>
      <c r="F3672" s="53">
        <v>5.5</v>
      </c>
      <c r="G3672" s="53">
        <v>0</v>
      </c>
      <c r="H3672" s="51" t="str">
        <f>TEXT(tblLaborEntries[[#This Row],[Work date serial]]-WEEKDAY(tblLaborEntries[[#This Row],[Work date serial]],3),"yyyy-mm-dd")</f>
        <v>2025-01-13</v>
      </c>
      <c r="I3672" s="64">
        <f>DATEVALUE(tblLaborEntries[[#This Row],[Work date]])</f>
        <v>45670.0</v>
      </c>
    </row>
    <row r="3673" spans="1:9" ht="15" x14ac:dyDescent="0.25">
      <c r="A3673" s="53" t="inlineStr">
        <is>
          <t>LAB-003672</t>
        </is>
      </c>
      <c r="B3673" s="53" t="inlineStr">
        <is>
          <t>WP-01618</t>
        </is>
      </c>
      <c r="C3673" s="53" t="inlineStr">
        <is>
          <t>TECH-026</t>
        </is>
      </c>
      <c r="D3673" s="53" t="inlineStr">
        <is>
          <t>Avionics</t>
        </is>
      </c>
      <c r="E3673" s="53" t="inlineStr">
        <is>
          <t>2025-01-14</t>
        </is>
      </c>
      <c r="F3673" s="53">
        <v>4.2</v>
      </c>
      <c r="G3673" s="53">
        <v>0</v>
      </c>
      <c r="H3673" s="51" t="str">
        <f>TEXT(tblLaborEntries[[#This Row],[Work date serial]]-WEEKDAY(tblLaborEntries[[#This Row],[Work date serial]],3),"yyyy-mm-dd")</f>
        <v>2025-01-13</v>
      </c>
      <c r="I3673" s="64">
        <f>DATEVALUE(tblLaborEntries[[#This Row],[Work date]])</f>
        <v>45671.0</v>
      </c>
    </row>
    <row r="3674" spans="1:9" ht="15" x14ac:dyDescent="0.25">
      <c r="A3674" s="53" t="inlineStr">
        <is>
          <t>LAB-003673</t>
        </is>
      </c>
      <c r="B3674" s="53" t="inlineStr">
        <is>
          <t>WP-01619</t>
        </is>
      </c>
      <c r="C3674" s="53" t="inlineStr">
        <is>
          <t>TECH-003</t>
        </is>
      </c>
      <c r="D3674" s="53" t="inlineStr">
        <is>
          <t>Hydraulics</t>
        </is>
      </c>
      <c r="E3674" s="53" t="inlineStr">
        <is>
          <t>2025-04-16</t>
        </is>
      </c>
      <c r="F3674" s="53">
        <v>4.3</v>
      </c>
      <c r="G3674" s="53">
        <v>0</v>
      </c>
      <c r="H3674" s="51" t="str">
        <f>TEXT(tblLaborEntries[[#This Row],[Work date serial]]-WEEKDAY(tblLaborEntries[[#This Row],[Work date serial]],3),"yyyy-mm-dd")</f>
        <v>2025-04-14</v>
      </c>
      <c r="I3674" s="64">
        <f>DATEVALUE(tblLaborEntries[[#This Row],[Work date]])</f>
        <v>45763.0</v>
      </c>
    </row>
    <row r="3675" spans="1:9" ht="15" x14ac:dyDescent="0.25">
      <c r="A3675" s="53" t="inlineStr">
        <is>
          <t>LAB-003674</t>
        </is>
      </c>
      <c r="B3675" s="53" t="inlineStr">
        <is>
          <t>WP-01619</t>
        </is>
      </c>
      <c r="C3675" s="53" t="inlineStr">
        <is>
          <t>TECH-033</t>
        </is>
      </c>
      <c r="D3675" s="53" t="inlineStr">
        <is>
          <t>Hydraulics</t>
        </is>
      </c>
      <c r="E3675" s="53" t="inlineStr">
        <is>
          <t>2025-04-16</t>
        </is>
      </c>
      <c r="F3675" s="53">
        <v>12</v>
      </c>
      <c r="G3675" s="53">
        <v>4</v>
      </c>
      <c r="H3675" s="51" t="str">
        <f>TEXT(tblLaborEntries[[#This Row],[Work date serial]]-WEEKDAY(tblLaborEntries[[#This Row],[Work date serial]],3),"yyyy-mm-dd")</f>
        <v>2025-04-14</v>
      </c>
      <c r="I3675" s="64">
        <f>DATEVALUE(tblLaborEntries[[#This Row],[Work date]])</f>
        <v>45763.0</v>
      </c>
    </row>
    <row r="3676" spans="1:9" ht="15" x14ac:dyDescent="0.25">
      <c r="A3676" s="53" t="inlineStr">
        <is>
          <t>LAB-003675</t>
        </is>
      </c>
      <c r="B3676" s="53" t="inlineStr">
        <is>
          <t>WP-01619</t>
        </is>
      </c>
      <c r="C3676" s="53" t="inlineStr">
        <is>
          <t>TECH-015</t>
        </is>
      </c>
      <c r="D3676" s="53" t="inlineStr">
        <is>
          <t>Hydraulics</t>
        </is>
      </c>
      <c r="E3676" s="53" t="inlineStr">
        <is>
          <t>2025-04-17</t>
        </is>
      </c>
      <c r="F3676" s="53">
        <v>11.7</v>
      </c>
      <c r="G3676" s="53">
        <v>3.7</v>
      </c>
      <c r="H3676" s="51" t="str">
        <f>TEXT(tblLaborEntries[[#This Row],[Work date serial]]-WEEKDAY(tblLaborEntries[[#This Row],[Work date serial]],3),"yyyy-mm-dd")</f>
        <v>2025-04-14</v>
      </c>
      <c r="I3676" s="64">
        <f>DATEVALUE(tblLaborEntries[[#This Row],[Work date]])</f>
        <v>45764.0</v>
      </c>
    </row>
    <row r="3677" spans="1:9" ht="15" x14ac:dyDescent="0.25">
      <c r="A3677" s="53" t="inlineStr">
        <is>
          <t>LAB-003676</t>
        </is>
      </c>
      <c r="B3677" s="53" t="inlineStr">
        <is>
          <t>WP-01620</t>
        </is>
      </c>
      <c r="C3677" s="53" t="inlineStr">
        <is>
          <t>TECH-074</t>
        </is>
      </c>
      <c r="D3677" s="53" t="inlineStr">
        <is>
          <t>Avionics</t>
        </is>
      </c>
      <c r="E3677" s="53" t="inlineStr">
        <is>
          <t>2024-09-28</t>
        </is>
      </c>
      <c r="F3677" s="53">
        <v>2.7</v>
      </c>
      <c r="G3677" s="53">
        <v>0</v>
      </c>
      <c r="H3677" s="51" t="str">
        <f>TEXT(tblLaborEntries[[#This Row],[Work date serial]]-WEEKDAY(tblLaborEntries[[#This Row],[Work date serial]],3),"yyyy-mm-dd")</f>
        <v>2024-09-23</v>
      </c>
      <c r="I3677" s="64">
        <f>DATEVALUE(tblLaborEntries[[#This Row],[Work date]])</f>
        <v>45563.0</v>
      </c>
    </row>
    <row r="3678" spans="1:9" ht="15" x14ac:dyDescent="0.25">
      <c r="A3678" s="53" t="inlineStr">
        <is>
          <t>LAB-003677</t>
        </is>
      </c>
      <c r="B3678" s="53" t="inlineStr">
        <is>
          <t>WP-01620</t>
        </is>
      </c>
      <c r="C3678" s="53" t="inlineStr">
        <is>
          <t>TECH-074</t>
        </is>
      </c>
      <c r="D3678" s="53" t="inlineStr">
        <is>
          <t>Avionics</t>
        </is>
      </c>
      <c r="E3678" s="53" t="inlineStr">
        <is>
          <t>2024-09-29</t>
        </is>
      </c>
      <c r="F3678" s="53">
        <v>2.3</v>
      </c>
      <c r="G3678" s="53">
        <v>0</v>
      </c>
      <c r="H3678" s="51" t="str">
        <f>TEXT(tblLaborEntries[[#This Row],[Work date serial]]-WEEKDAY(tblLaborEntries[[#This Row],[Work date serial]],3),"yyyy-mm-dd")</f>
        <v>2024-09-23</v>
      </c>
      <c r="I3678" s="64">
        <f>DATEVALUE(tblLaborEntries[[#This Row],[Work date]])</f>
        <v>45564.0</v>
      </c>
    </row>
    <row r="3679" spans="1:9" ht="15" x14ac:dyDescent="0.25">
      <c r="A3679" s="53" t="inlineStr">
        <is>
          <t>LAB-003678</t>
        </is>
      </c>
      <c r="B3679" s="53" t="inlineStr">
        <is>
          <t>WP-01621</t>
        </is>
      </c>
      <c r="C3679" s="53" t="inlineStr">
        <is>
          <t>TECH-051</t>
        </is>
      </c>
      <c r="D3679" s="53" t="inlineStr">
        <is>
          <t>Hydraulics</t>
        </is>
      </c>
      <c r="E3679" s="53" t="inlineStr">
        <is>
          <t>2024-01-28</t>
        </is>
      </c>
      <c r="F3679" s="53">
        <v>6.6</v>
      </c>
      <c r="G3679" s="53">
        <v>0</v>
      </c>
      <c r="H3679" s="51" t="str">
        <f>TEXT(tblLaborEntries[[#This Row],[Work date serial]]-WEEKDAY(tblLaborEntries[[#This Row],[Work date serial]],3),"yyyy-mm-dd")</f>
        <v>2024-01-22</v>
      </c>
      <c r="I3679" s="64">
        <f>DATEVALUE(tblLaborEntries[[#This Row],[Work date]])</f>
        <v>45319.0</v>
      </c>
    </row>
    <row r="3680" spans="1:9" ht="15" x14ac:dyDescent="0.25">
      <c r="A3680" s="53" t="inlineStr">
        <is>
          <t>LAB-003679</t>
        </is>
      </c>
      <c r="B3680" s="53" t="inlineStr">
        <is>
          <t>WP-01622</t>
        </is>
      </c>
      <c r="C3680" s="53" t="inlineStr">
        <is>
          <t>TECH-007</t>
        </is>
      </c>
      <c r="D3680" s="53" t="inlineStr">
        <is>
          <t>Airframe</t>
        </is>
      </c>
      <c r="E3680" s="53" t="inlineStr">
        <is>
          <t>2024-12-17</t>
        </is>
      </c>
      <c r="F3680" s="53">
        <v>4.4</v>
      </c>
      <c r="G3680" s="53">
        <v>0</v>
      </c>
      <c r="H3680" s="51" t="str">
        <f>TEXT(tblLaborEntries[[#This Row],[Work date serial]]-WEEKDAY(tblLaborEntries[[#This Row],[Work date serial]],3),"yyyy-mm-dd")</f>
        <v>2024-12-16</v>
      </c>
      <c r="I3680" s="64">
        <f>DATEVALUE(tblLaborEntries[[#This Row],[Work date]])</f>
        <v>45643.0</v>
      </c>
    </row>
    <row r="3681" spans="1:9" ht="15" x14ac:dyDescent="0.25">
      <c r="A3681" s="53" t="inlineStr">
        <is>
          <t>LAB-003680</t>
        </is>
      </c>
      <c r="B3681" s="53" t="inlineStr">
        <is>
          <t>WP-01623</t>
        </is>
      </c>
      <c r="C3681" s="53" t="inlineStr">
        <is>
          <t>TECH-020</t>
        </is>
      </c>
      <c r="D3681" s="53" t="inlineStr">
        <is>
          <t>Avionics</t>
        </is>
      </c>
      <c r="E3681" s="53" t="inlineStr">
        <is>
          <t>2025-05-24</t>
        </is>
      </c>
      <c r="F3681" s="53">
        <v>9.9</v>
      </c>
      <c r="G3681" s="53">
        <v>3</v>
      </c>
      <c r="H3681" s="51" t="str">
        <f>TEXT(tblLaborEntries[[#This Row],[Work date serial]]-WEEKDAY(tblLaborEntries[[#This Row],[Work date serial]],3),"yyyy-mm-dd")</f>
        <v>2025-05-19</v>
      </c>
      <c r="I3681" s="64">
        <f>DATEVALUE(tblLaborEntries[[#This Row],[Work date]])</f>
        <v>45801.0</v>
      </c>
    </row>
    <row r="3682" spans="1:9" ht="15" x14ac:dyDescent="0.25">
      <c r="A3682" s="53" t="inlineStr">
        <is>
          <t>LAB-003681</t>
        </is>
      </c>
      <c r="B3682" s="53" t="inlineStr">
        <is>
          <t>WP-01623</t>
        </is>
      </c>
      <c r="C3682" s="53" t="inlineStr">
        <is>
          <t>TECH-074</t>
        </is>
      </c>
      <c r="D3682" s="53" t="inlineStr">
        <is>
          <t>Avionics</t>
        </is>
      </c>
      <c r="E3682" s="53" t="inlineStr">
        <is>
          <t>2025-05-25</t>
        </is>
      </c>
      <c r="F3682" s="53">
        <v>9.8</v>
      </c>
      <c r="G3682" s="53">
        <v>1.8</v>
      </c>
      <c r="H3682" s="51" t="str">
        <f>TEXT(tblLaborEntries[[#This Row],[Work date serial]]-WEEKDAY(tblLaborEntries[[#This Row],[Work date serial]],3),"yyyy-mm-dd")</f>
        <v>2025-05-19</v>
      </c>
      <c r="I3682" s="64">
        <f>DATEVALUE(tblLaborEntries[[#This Row],[Work date]])</f>
        <v>45802.0</v>
      </c>
    </row>
    <row r="3683" spans="1:9" ht="15" x14ac:dyDescent="0.25">
      <c r="A3683" s="53" t="inlineStr">
        <is>
          <t>LAB-003682</t>
        </is>
      </c>
      <c r="B3683" s="53" t="inlineStr">
        <is>
          <t>WP-01623</t>
        </is>
      </c>
      <c r="C3683" s="53" t="inlineStr">
        <is>
          <t>TECH-032</t>
        </is>
      </c>
      <c r="D3683" s="53" t="inlineStr">
        <is>
          <t>Avionics</t>
        </is>
      </c>
      <c r="E3683" s="53" t="inlineStr">
        <is>
          <t>2025-05-26</t>
        </is>
      </c>
      <c r="F3683" s="53">
        <v>8.7</v>
      </c>
      <c r="G3683" s="53">
        <v>0.7</v>
      </c>
      <c r="H3683" s="51" t="str">
        <f>TEXT(tblLaborEntries[[#This Row],[Work date serial]]-WEEKDAY(tblLaborEntries[[#This Row],[Work date serial]],3),"yyyy-mm-dd")</f>
        <v>2025-05-26</v>
      </c>
      <c r="I3683" s="64">
        <f>DATEVALUE(tblLaborEntries[[#This Row],[Work date]])</f>
        <v>45803.0</v>
      </c>
    </row>
    <row r="3684" spans="1:9" ht="15" x14ac:dyDescent="0.25">
      <c r="A3684" s="53" t="inlineStr">
        <is>
          <t>LAB-003683</t>
        </is>
      </c>
      <c r="B3684" s="53" t="inlineStr">
        <is>
          <t>WP-01624</t>
        </is>
      </c>
      <c r="C3684" s="53" t="inlineStr">
        <is>
          <t>TECH-056</t>
        </is>
      </c>
      <c r="D3684" s="53" t="inlineStr">
        <is>
          <t>Avionics</t>
        </is>
      </c>
      <c r="E3684" s="53" t="inlineStr">
        <is>
          <t>2025-10-02</t>
        </is>
      </c>
      <c r="F3684" s="53">
        <v>2</v>
      </c>
      <c r="G3684" s="53">
        <v>0</v>
      </c>
      <c r="H3684" s="51" t="str">
        <f>TEXT(tblLaborEntries[[#This Row],[Work date serial]]-WEEKDAY(tblLaborEntries[[#This Row],[Work date serial]],3),"yyyy-mm-dd")</f>
        <v>2025-09-29</v>
      </c>
      <c r="I3684" s="64">
        <f>DATEVALUE(tblLaborEntries[[#This Row],[Work date]])</f>
        <v>45932.0</v>
      </c>
    </row>
    <row r="3685" spans="1:9" ht="15" x14ac:dyDescent="0.25">
      <c r="A3685" s="53" t="inlineStr">
        <is>
          <t>LAB-003684</t>
        </is>
      </c>
      <c r="B3685" s="53" t="inlineStr">
        <is>
          <t>WP-01624</t>
        </is>
      </c>
      <c r="C3685" s="53" t="inlineStr">
        <is>
          <t>TECH-068</t>
        </is>
      </c>
      <c r="D3685" s="53" t="inlineStr">
        <is>
          <t>Avionics</t>
        </is>
      </c>
      <c r="E3685" s="53" t="inlineStr">
        <is>
          <t>2025-10-03</t>
        </is>
      </c>
      <c r="F3685" s="53">
        <v>1.5</v>
      </c>
      <c r="G3685" s="53">
        <v>0</v>
      </c>
      <c r="H3685" s="51" t="str">
        <f>TEXT(tblLaborEntries[[#This Row],[Work date serial]]-WEEKDAY(tblLaborEntries[[#This Row],[Work date serial]],3),"yyyy-mm-dd")</f>
        <v>2025-09-29</v>
      </c>
      <c r="I3685" s="64">
        <f>DATEVALUE(tblLaborEntries[[#This Row],[Work date]])</f>
        <v>45933.0</v>
      </c>
    </row>
    <row r="3686" spans="1:9" ht="15" x14ac:dyDescent="0.25">
      <c r="A3686" s="53" t="inlineStr">
        <is>
          <t>LAB-003685</t>
        </is>
      </c>
      <c r="B3686" s="53" t="inlineStr">
        <is>
          <t>WP-01624</t>
        </is>
      </c>
      <c r="C3686" s="53" t="inlineStr">
        <is>
          <t>TECH-038</t>
        </is>
      </c>
      <c r="D3686" s="53" t="inlineStr">
        <is>
          <t>Avionics</t>
        </is>
      </c>
      <c r="E3686" s="53" t="inlineStr">
        <is>
          <t>2025-10-04</t>
        </is>
      </c>
      <c r="F3686" s="53">
        <v>1.7</v>
      </c>
      <c r="G3686" s="53">
        <v>0</v>
      </c>
      <c r="H3686" s="51" t="str">
        <f>TEXT(tblLaborEntries[[#This Row],[Work date serial]]-WEEKDAY(tblLaborEntries[[#This Row],[Work date serial]],3),"yyyy-mm-dd")</f>
        <v>2025-09-29</v>
      </c>
      <c r="I3686" s="64">
        <f>DATEVALUE(tblLaborEntries[[#This Row],[Work date]])</f>
        <v>45934.0</v>
      </c>
    </row>
    <row r="3687" spans="1:9" ht="15" x14ac:dyDescent="0.25">
      <c r="A3687" s="53" t="inlineStr">
        <is>
          <t>LAB-003686</t>
        </is>
      </c>
      <c r="B3687" s="53" t="inlineStr">
        <is>
          <t>WP-01625</t>
        </is>
      </c>
      <c r="C3687" s="53" t="inlineStr">
        <is>
          <t>TECH-002</t>
        </is>
      </c>
      <c r="D3687" s="53" t="inlineStr">
        <is>
          <t>Avionics</t>
        </is>
      </c>
      <c r="E3687" s="53" t="inlineStr">
        <is>
          <t>2025-05-26</t>
        </is>
      </c>
      <c r="F3687" s="53">
        <v>7.5</v>
      </c>
      <c r="G3687" s="53">
        <v>0</v>
      </c>
      <c r="H3687" s="51" t="str">
        <f>TEXT(tblLaborEntries[[#This Row],[Work date serial]]-WEEKDAY(tblLaborEntries[[#This Row],[Work date serial]],3),"yyyy-mm-dd")</f>
        <v>2025-05-26</v>
      </c>
      <c r="I3687" s="64">
        <f>DATEVALUE(tblLaborEntries[[#This Row],[Work date]])</f>
        <v>45803.0</v>
      </c>
    </row>
    <row r="3688" spans="1:9" ht="15" x14ac:dyDescent="0.25">
      <c r="A3688" s="53" t="inlineStr">
        <is>
          <t>LAB-003687</t>
        </is>
      </c>
      <c r="B3688" s="53" t="inlineStr">
        <is>
          <t>WP-01625</t>
        </is>
      </c>
      <c r="C3688" s="53" t="inlineStr">
        <is>
          <t>TECH-062</t>
        </is>
      </c>
      <c r="D3688" s="53" t="inlineStr">
        <is>
          <t>Avionics</t>
        </is>
      </c>
      <c r="E3688" s="53" t="inlineStr">
        <is>
          <t>2025-05-26</t>
        </is>
      </c>
      <c r="F3688" s="53">
        <v>3.4</v>
      </c>
      <c r="G3688" s="53">
        <v>0</v>
      </c>
      <c r="H3688" s="51" t="str">
        <f>TEXT(tblLaborEntries[[#This Row],[Work date serial]]-WEEKDAY(tblLaborEntries[[#This Row],[Work date serial]],3),"yyyy-mm-dd")</f>
        <v>2025-05-26</v>
      </c>
      <c r="I3688" s="64">
        <f>DATEVALUE(tblLaborEntries[[#This Row],[Work date]])</f>
        <v>45803.0</v>
      </c>
    </row>
    <row r="3689" spans="1:9" ht="15" x14ac:dyDescent="0.25">
      <c r="A3689" s="53" t="inlineStr">
        <is>
          <t>LAB-003688</t>
        </is>
      </c>
      <c r="B3689" s="53" t="inlineStr">
        <is>
          <t>WP-01625</t>
        </is>
      </c>
      <c r="C3689" s="53" t="inlineStr">
        <is>
          <t>TECH-002</t>
        </is>
      </c>
      <c r="D3689" s="53" t="inlineStr">
        <is>
          <t>Avionics</t>
        </is>
      </c>
      <c r="E3689" s="53" t="inlineStr">
        <is>
          <t>2025-05-27</t>
        </is>
      </c>
      <c r="F3689" s="53">
        <v>4.5</v>
      </c>
      <c r="G3689" s="53">
        <v>0</v>
      </c>
      <c r="H3689" s="51" t="str">
        <f>TEXT(tblLaborEntries[[#This Row],[Work date serial]]-WEEKDAY(tblLaborEntries[[#This Row],[Work date serial]],3),"yyyy-mm-dd")</f>
        <v>2025-05-26</v>
      </c>
      <c r="I3689" s="64">
        <f>DATEVALUE(tblLaborEntries[[#This Row],[Work date]])</f>
        <v>45804.0</v>
      </c>
    </row>
    <row r="3690" spans="1:9" ht="15" x14ac:dyDescent="0.25">
      <c r="A3690" s="53" t="inlineStr">
        <is>
          <t>LAB-003689</t>
        </is>
      </c>
      <c r="B3690" s="53" t="inlineStr">
        <is>
          <t>WP-01625</t>
        </is>
      </c>
      <c r="C3690" s="53" t="inlineStr">
        <is>
          <t>TECH-008</t>
        </is>
      </c>
      <c r="D3690" s="53" t="inlineStr">
        <is>
          <t>Avionics</t>
        </is>
      </c>
      <c r="E3690" s="53" t="inlineStr">
        <is>
          <t>2025-05-27</t>
        </is>
      </c>
      <c r="F3690" s="53">
        <v>12</v>
      </c>
      <c r="G3690" s="53">
        <v>4</v>
      </c>
      <c r="H3690" s="51" t="str">
        <f>TEXT(tblLaborEntries[[#This Row],[Work date serial]]-WEEKDAY(tblLaborEntries[[#This Row],[Work date serial]],3),"yyyy-mm-dd")</f>
        <v>2025-05-26</v>
      </c>
      <c r="I3690" s="64">
        <f>DATEVALUE(tblLaborEntries[[#This Row],[Work date]])</f>
        <v>45804.0</v>
      </c>
    </row>
    <row r="3691" spans="1:9" ht="15" x14ac:dyDescent="0.25">
      <c r="A3691" s="53" t="inlineStr">
        <is>
          <t>LAB-003690</t>
        </is>
      </c>
      <c r="B3691" s="53" t="inlineStr">
        <is>
          <t>WP-01626</t>
        </is>
      </c>
      <c r="C3691" s="53" t="inlineStr">
        <is>
          <t>TECH-062</t>
        </is>
      </c>
      <c r="D3691" s="53" t="inlineStr">
        <is>
          <t>Avionics</t>
        </is>
      </c>
      <c r="E3691" s="53" t="inlineStr">
        <is>
          <t>2024-06-26</t>
        </is>
      </c>
      <c r="F3691" s="53">
        <v>5.5</v>
      </c>
      <c r="G3691" s="53">
        <v>0</v>
      </c>
      <c r="H3691" s="51" t="str">
        <f>TEXT(tblLaborEntries[[#This Row],[Work date serial]]-WEEKDAY(tblLaborEntries[[#This Row],[Work date serial]],3),"yyyy-mm-dd")</f>
        <v>2024-06-24</v>
      </c>
      <c r="I3691" s="64">
        <f>DATEVALUE(tblLaborEntries[[#This Row],[Work date]])</f>
        <v>45469.0</v>
      </c>
    </row>
    <row r="3692" spans="1:9" ht="15" x14ac:dyDescent="0.25">
      <c r="A3692" s="53" t="inlineStr">
        <is>
          <t>LAB-003691</t>
        </is>
      </c>
      <c r="B3692" s="53" t="inlineStr">
        <is>
          <t>WP-01627</t>
        </is>
      </c>
      <c r="C3692" s="53" t="inlineStr">
        <is>
          <t>TECH-026</t>
        </is>
      </c>
      <c r="D3692" s="53" t="inlineStr">
        <is>
          <t>Avionics</t>
        </is>
      </c>
      <c r="E3692" s="53" t="inlineStr">
        <is>
          <t>2025-11-02</t>
        </is>
      </c>
      <c r="F3692" s="53">
        <v>2.9</v>
      </c>
      <c r="G3692" s="53">
        <v>0</v>
      </c>
      <c r="H3692" s="51" t="str">
        <f>TEXT(tblLaborEntries[[#This Row],[Work date serial]]-WEEKDAY(tblLaborEntries[[#This Row],[Work date serial]],3),"yyyy-mm-dd")</f>
        <v>2025-10-27</v>
      </c>
      <c r="I3692" s="64">
        <f>DATEVALUE(tblLaborEntries[[#This Row],[Work date]])</f>
        <v>45963.0</v>
      </c>
    </row>
    <row r="3693" spans="1:9" ht="15" x14ac:dyDescent="0.25">
      <c r="A3693" s="53" t="inlineStr">
        <is>
          <t>LAB-003692</t>
        </is>
      </c>
      <c r="B3693" s="53" t="inlineStr">
        <is>
          <t>WP-01627</t>
        </is>
      </c>
      <c r="C3693" s="53" t="inlineStr">
        <is>
          <t>TECH-020</t>
        </is>
      </c>
      <c r="D3693" s="53" t="inlineStr">
        <is>
          <t>Avionics</t>
        </is>
      </c>
      <c r="E3693" s="53" t="inlineStr">
        <is>
          <t>2025-11-03</t>
        </is>
      </c>
      <c r="F3693" s="53">
        <v>2.1</v>
      </c>
      <c r="G3693" s="53">
        <v>0</v>
      </c>
      <c r="H3693" s="51" t="str">
        <f>TEXT(tblLaborEntries[[#This Row],[Work date serial]]-WEEKDAY(tblLaborEntries[[#This Row],[Work date serial]],3),"yyyy-mm-dd")</f>
        <v>2025-11-03</v>
      </c>
      <c r="I3693" s="64">
        <f>DATEVALUE(tblLaborEntries[[#This Row],[Work date]])</f>
        <v>45964.0</v>
      </c>
    </row>
    <row r="3694" spans="1:9" ht="15" x14ac:dyDescent="0.25">
      <c r="A3694" s="53" t="inlineStr">
        <is>
          <t>LAB-003693</t>
        </is>
      </c>
      <c r="B3694" s="53" t="inlineStr">
        <is>
          <t>WP-01628</t>
        </is>
      </c>
      <c r="C3694" s="53" t="inlineStr">
        <is>
          <t>TECH-002</t>
        </is>
      </c>
      <c r="D3694" s="53" t="inlineStr">
        <is>
          <t>Avionics</t>
        </is>
      </c>
      <c r="E3694" s="53" t="inlineStr">
        <is>
          <t>2025-04-15</t>
        </is>
      </c>
      <c r="F3694" s="53">
        <v>0.7</v>
      </c>
      <c r="G3694" s="53">
        <v>0</v>
      </c>
      <c r="H3694" s="51" t="str">
        <f>TEXT(tblLaborEntries[[#This Row],[Work date serial]]-WEEKDAY(tblLaborEntries[[#This Row],[Work date serial]],3),"yyyy-mm-dd")</f>
        <v>2025-04-14</v>
      </c>
      <c r="I3694" s="64">
        <f>DATEVALUE(tblLaborEntries[[#This Row],[Work date]])</f>
        <v>45762.0</v>
      </c>
    </row>
    <row r="3695" spans="1:9" ht="15" x14ac:dyDescent="0.25">
      <c r="A3695" s="53" t="inlineStr">
        <is>
          <t>LAB-003694</t>
        </is>
      </c>
      <c r="B3695" s="53" t="inlineStr">
        <is>
          <t>WP-01628</t>
        </is>
      </c>
      <c r="C3695" s="53" t="inlineStr">
        <is>
          <t>TECH-068</t>
        </is>
      </c>
      <c r="D3695" s="53" t="inlineStr">
        <is>
          <t>Avionics</t>
        </is>
      </c>
      <c r="E3695" s="53" t="inlineStr">
        <is>
          <t>2025-04-15</t>
        </is>
      </c>
      <c r="F3695" s="53">
        <v>9.3</v>
      </c>
      <c r="G3695" s="53">
        <v>4</v>
      </c>
      <c r="H3695" s="51" t="str">
        <f>TEXT(tblLaborEntries[[#This Row],[Work date serial]]-WEEKDAY(tblLaborEntries[[#This Row],[Work date serial]],3),"yyyy-mm-dd")</f>
        <v>2025-04-14</v>
      </c>
      <c r="I3695" s="64">
        <f>DATEVALUE(tblLaborEntries[[#This Row],[Work date]])</f>
        <v>45762.0</v>
      </c>
    </row>
    <row r="3696" spans="1:9" ht="15" x14ac:dyDescent="0.25">
      <c r="A3696" s="53" t="inlineStr">
        <is>
          <t>LAB-003695</t>
        </is>
      </c>
      <c r="B3696" s="53" t="inlineStr">
        <is>
          <t>WP-01628</t>
        </is>
      </c>
      <c r="C3696" s="53" t="inlineStr">
        <is>
          <t>TECH-044</t>
        </is>
      </c>
      <c r="D3696" s="53" t="inlineStr">
        <is>
          <t>Avionics</t>
        </is>
      </c>
      <c r="E3696" s="53" t="inlineStr">
        <is>
          <t>2025-04-16</t>
        </is>
      </c>
      <c r="F3696" s="53">
        <v>8.8</v>
      </c>
      <c r="G3696" s="53">
        <v>0.8</v>
      </c>
      <c r="H3696" s="51" t="str">
        <f>TEXT(tblLaborEntries[[#This Row],[Work date serial]]-WEEKDAY(tblLaborEntries[[#This Row],[Work date serial]],3),"yyyy-mm-dd")</f>
        <v>2025-04-14</v>
      </c>
      <c r="I3696" s="64">
        <f>DATEVALUE(tblLaborEntries[[#This Row],[Work date]])</f>
        <v>45763.0</v>
      </c>
    </row>
    <row r="3697" spans="1:9" ht="15" x14ac:dyDescent="0.25">
      <c r="A3697" s="53" t="inlineStr">
        <is>
          <t>LAB-003696</t>
        </is>
      </c>
      <c r="B3697" s="53" t="inlineStr">
        <is>
          <t>WP-01629</t>
        </is>
      </c>
      <c r="C3697" s="53" t="inlineStr">
        <is>
          <t>TECH-012</t>
        </is>
      </c>
      <c r="D3697" s="53" t="inlineStr">
        <is>
          <t>Powerplant</t>
        </is>
      </c>
      <c r="E3697" s="53" t="inlineStr">
        <is>
          <t>2025-09-20</t>
        </is>
      </c>
      <c r="F3697" s="53">
        <v>7.1</v>
      </c>
      <c r="G3697" s="53">
        <v>0</v>
      </c>
      <c r="H3697" s="51" t="str">
        <f>TEXT(tblLaborEntries[[#This Row],[Work date serial]]-WEEKDAY(tblLaborEntries[[#This Row],[Work date serial]],3),"yyyy-mm-dd")</f>
        <v>2025-09-15</v>
      </c>
      <c r="I3697" s="64">
        <f>DATEVALUE(tblLaborEntries[[#This Row],[Work date]])</f>
        <v>45920.0</v>
      </c>
    </row>
    <row r="3698" spans="1:9" ht="15" x14ac:dyDescent="0.25">
      <c r="A3698" s="53" t="inlineStr">
        <is>
          <t>LAB-003697</t>
        </is>
      </c>
      <c r="B3698" s="53" t="inlineStr">
        <is>
          <t>WP-01629</t>
        </is>
      </c>
      <c r="C3698" s="53" t="inlineStr">
        <is>
          <t>TECH-060</t>
        </is>
      </c>
      <c r="D3698" s="53" t="inlineStr">
        <is>
          <t>Powerplant</t>
        </is>
      </c>
      <c r="E3698" s="53" t="inlineStr">
        <is>
          <t>2025-09-21</t>
        </is>
      </c>
      <c r="F3698" s="53">
        <v>5.3</v>
      </c>
      <c r="G3698" s="53">
        <v>0</v>
      </c>
      <c r="H3698" s="51" t="str">
        <f>TEXT(tblLaborEntries[[#This Row],[Work date serial]]-WEEKDAY(tblLaborEntries[[#This Row],[Work date serial]],3),"yyyy-mm-dd")</f>
        <v>2025-09-15</v>
      </c>
      <c r="I3698" s="64">
        <f>DATEVALUE(tblLaborEntries[[#This Row],[Work date]])</f>
        <v>45921.0</v>
      </c>
    </row>
    <row r="3699" spans="1:9" ht="15" x14ac:dyDescent="0.25">
      <c r="A3699" s="53" t="inlineStr">
        <is>
          <t>LAB-003698</t>
        </is>
      </c>
      <c r="B3699" s="53" t="inlineStr">
        <is>
          <t>WP-01629</t>
        </is>
      </c>
      <c r="C3699" s="53" t="inlineStr">
        <is>
          <t>TECH-024</t>
        </is>
      </c>
      <c r="D3699" s="53" t="inlineStr">
        <is>
          <t>Powerplant</t>
        </is>
      </c>
      <c r="E3699" s="53" t="inlineStr">
        <is>
          <t>2025-09-22</t>
        </is>
      </c>
      <c r="F3699" s="53">
        <v>7.6</v>
      </c>
      <c r="G3699" s="53">
        <v>0</v>
      </c>
      <c r="H3699" s="51" t="str">
        <f>TEXT(tblLaborEntries[[#This Row],[Work date serial]]-WEEKDAY(tblLaborEntries[[#This Row],[Work date serial]],3),"yyyy-mm-dd")</f>
        <v>2025-09-22</v>
      </c>
      <c r="I3699" s="64">
        <f>DATEVALUE(tblLaborEntries[[#This Row],[Work date]])</f>
        <v>45922.0</v>
      </c>
    </row>
    <row r="3700" spans="1:9" ht="15" x14ac:dyDescent="0.25">
      <c r="A3700" s="53" t="inlineStr">
        <is>
          <t>LAB-003699</t>
        </is>
      </c>
      <c r="B3700" s="53" t="inlineStr">
        <is>
          <t>WP-01630</t>
        </is>
      </c>
      <c r="C3700" s="53" t="inlineStr">
        <is>
          <t>TECH-055</t>
        </is>
      </c>
      <c r="D3700" s="53" t="inlineStr">
        <is>
          <t>Airframe</t>
        </is>
      </c>
      <c r="E3700" s="53" t="inlineStr">
        <is>
          <t>2024-03-31</t>
        </is>
      </c>
      <c r="F3700" s="53">
        <v>4.9</v>
      </c>
      <c r="G3700" s="53">
        <v>0</v>
      </c>
      <c r="H3700" s="51" t="str">
        <f>TEXT(tblLaborEntries[[#This Row],[Work date serial]]-WEEKDAY(tblLaborEntries[[#This Row],[Work date serial]],3),"yyyy-mm-dd")</f>
        <v>2024-03-25</v>
      </c>
      <c r="I3700" s="64">
        <f>DATEVALUE(tblLaborEntries[[#This Row],[Work date]])</f>
        <v>45382.0</v>
      </c>
    </row>
    <row r="3701" spans="1:9" ht="15" x14ac:dyDescent="0.25">
      <c r="A3701" s="53" t="inlineStr">
        <is>
          <t>LAB-003700</t>
        </is>
      </c>
      <c r="B3701" s="53" t="inlineStr">
        <is>
          <t>WP-01631</t>
        </is>
      </c>
      <c r="C3701" s="53" t="inlineStr">
        <is>
          <t>TECH-014</t>
        </is>
      </c>
      <c r="D3701" s="53" t="inlineStr">
        <is>
          <t>Avionics</t>
        </is>
      </c>
      <c r="E3701" s="53" t="inlineStr">
        <is>
          <t>2025-06-16</t>
        </is>
      </c>
      <c r="F3701" s="53">
        <v>3.7</v>
      </c>
      <c r="G3701" s="53">
        <v>0</v>
      </c>
      <c r="H3701" s="51" t="str">
        <f>TEXT(tblLaborEntries[[#This Row],[Work date serial]]-WEEKDAY(tblLaborEntries[[#This Row],[Work date serial]],3),"yyyy-mm-dd")</f>
        <v>2025-06-16</v>
      </c>
      <c r="I3701" s="64">
        <f>DATEVALUE(tblLaborEntries[[#This Row],[Work date]])</f>
        <v>45824.0</v>
      </c>
    </row>
    <row r="3702" spans="1:9" ht="15" x14ac:dyDescent="0.25">
      <c r="A3702" s="53" t="inlineStr">
        <is>
          <t>LAB-003701</t>
        </is>
      </c>
      <c r="B3702" s="53" t="inlineStr">
        <is>
          <t>WP-01631</t>
        </is>
      </c>
      <c r="C3702" s="53" t="inlineStr">
        <is>
          <t>TECH-062</t>
        </is>
      </c>
      <c r="D3702" s="53" t="inlineStr">
        <is>
          <t>Avionics</t>
        </is>
      </c>
      <c r="E3702" s="53" t="inlineStr">
        <is>
          <t>2025-06-17</t>
        </is>
      </c>
      <c r="F3702" s="53">
        <v>3.8</v>
      </c>
      <c r="G3702" s="53">
        <v>0</v>
      </c>
      <c r="H3702" s="51" t="str">
        <f>TEXT(tblLaborEntries[[#This Row],[Work date serial]]-WEEKDAY(tblLaborEntries[[#This Row],[Work date serial]],3),"yyyy-mm-dd")</f>
        <v>2025-06-16</v>
      </c>
      <c r="I3702" s="64">
        <f>DATEVALUE(tblLaborEntries[[#This Row],[Work date]])</f>
        <v>45825.0</v>
      </c>
    </row>
    <row r="3703" spans="1:9" ht="15" x14ac:dyDescent="0.25">
      <c r="A3703" s="53" t="inlineStr">
        <is>
          <t>LAB-003702</t>
        </is>
      </c>
      <c r="B3703" s="53" t="inlineStr">
        <is>
          <t>WP-01632</t>
        </is>
      </c>
      <c r="C3703" s="53" t="inlineStr">
        <is>
          <t>TECH-055</t>
        </is>
      </c>
      <c r="D3703" s="53" t="inlineStr">
        <is>
          <t>Airframe</t>
        </is>
      </c>
      <c r="E3703" s="53" t="inlineStr">
        <is>
          <t>2025-10-11</t>
        </is>
      </c>
      <c r="F3703" s="53">
        <v>5.2</v>
      </c>
      <c r="G3703" s="53">
        <v>0</v>
      </c>
      <c r="H3703" s="51" t="str">
        <f>TEXT(tblLaborEntries[[#This Row],[Work date serial]]-WEEKDAY(tblLaborEntries[[#This Row],[Work date serial]],3),"yyyy-mm-dd")</f>
        <v>2025-10-06</v>
      </c>
      <c r="I3703" s="64">
        <f>DATEVALUE(tblLaborEntries[[#This Row],[Work date]])</f>
        <v>45941.0</v>
      </c>
    </row>
    <row r="3704" spans="1:9" ht="15" x14ac:dyDescent="0.25">
      <c r="A3704" s="53" t="inlineStr">
        <is>
          <t>LAB-003703</t>
        </is>
      </c>
      <c r="B3704" s="53" t="inlineStr">
        <is>
          <t>WP-01632</t>
        </is>
      </c>
      <c r="C3704" s="53" t="inlineStr">
        <is>
          <t>TECH-061</t>
        </is>
      </c>
      <c r="D3704" s="53" t="inlineStr">
        <is>
          <t>Airframe</t>
        </is>
      </c>
      <c r="E3704" s="53" t="inlineStr">
        <is>
          <t>2025-10-12</t>
        </is>
      </c>
      <c r="F3704" s="53">
        <v>4</v>
      </c>
      <c r="G3704" s="53">
        <v>0</v>
      </c>
      <c r="H3704" s="51" t="str">
        <f>TEXT(tblLaborEntries[[#This Row],[Work date serial]]-WEEKDAY(tblLaborEntries[[#This Row],[Work date serial]],3),"yyyy-mm-dd")</f>
        <v>2025-10-06</v>
      </c>
      <c r="I3704" s="64">
        <f>DATEVALUE(tblLaborEntries[[#This Row],[Work date]])</f>
        <v>45942.0</v>
      </c>
    </row>
    <row r="3705" spans="1:9" ht="15" x14ac:dyDescent="0.25">
      <c r="A3705" s="53" t="inlineStr">
        <is>
          <t>LAB-003704</t>
        </is>
      </c>
      <c r="B3705" s="53" t="inlineStr">
        <is>
          <t>WP-01633</t>
        </is>
      </c>
      <c r="C3705" s="53" t="inlineStr">
        <is>
          <t>TECH-029</t>
        </is>
      </c>
      <c r="D3705" s="53" t="inlineStr">
        <is>
          <t>Structures</t>
        </is>
      </c>
      <c r="E3705" s="53" t="inlineStr">
        <is>
          <t>2024-01-05</t>
        </is>
      </c>
      <c r="F3705" s="53">
        <v>7.8</v>
      </c>
      <c r="G3705" s="53">
        <v>0</v>
      </c>
      <c r="H3705" s="51" t="str">
        <f>TEXT(tblLaborEntries[[#This Row],[Work date serial]]-WEEKDAY(tblLaborEntries[[#This Row],[Work date serial]],3),"yyyy-mm-dd")</f>
        <v>2024-01-01</v>
      </c>
      <c r="I3705" s="64">
        <f>DATEVALUE(tblLaborEntries[[#This Row],[Work date]])</f>
        <v>45296.0</v>
      </c>
    </row>
    <row r="3706" spans="1:9" ht="15" x14ac:dyDescent="0.25">
      <c r="A3706" s="53" t="inlineStr">
        <is>
          <t>LAB-003705</t>
        </is>
      </c>
      <c r="B3706" s="53" t="inlineStr">
        <is>
          <t>WP-01633</t>
        </is>
      </c>
      <c r="C3706" s="53" t="inlineStr">
        <is>
          <t>TECH-023</t>
        </is>
      </c>
      <c r="D3706" s="53" t="inlineStr">
        <is>
          <t>Structures</t>
        </is>
      </c>
      <c r="E3706" s="53" t="inlineStr">
        <is>
          <t>2024-01-06</t>
        </is>
      </c>
      <c r="F3706" s="53">
        <v>7.5</v>
      </c>
      <c r="G3706" s="53">
        <v>0</v>
      </c>
      <c r="H3706" s="51" t="str">
        <f>TEXT(tblLaborEntries[[#This Row],[Work date serial]]-WEEKDAY(tblLaborEntries[[#This Row],[Work date serial]],3),"yyyy-mm-dd")</f>
        <v>2024-01-01</v>
      </c>
      <c r="I3706" s="64">
        <f>DATEVALUE(tblLaborEntries[[#This Row],[Work date]])</f>
        <v>45297.0</v>
      </c>
    </row>
    <row r="3707" spans="1:9" ht="15" x14ac:dyDescent="0.25">
      <c r="A3707" s="53" t="inlineStr">
        <is>
          <t>LAB-003706</t>
        </is>
      </c>
      <c r="B3707" s="53" t="inlineStr">
        <is>
          <t>WP-01634</t>
        </is>
      </c>
      <c r="C3707" s="53" t="inlineStr">
        <is>
          <t>TECH-054</t>
        </is>
      </c>
      <c r="D3707" s="53" t="inlineStr">
        <is>
          <t>Powerplant</t>
        </is>
      </c>
      <c r="E3707" s="53" t="inlineStr">
        <is>
          <t>2025-10-31</t>
        </is>
      </c>
      <c r="F3707" s="53">
        <v>3.5</v>
      </c>
      <c r="G3707" s="53">
        <v>0</v>
      </c>
      <c r="H3707" s="51" t="str">
        <f>TEXT(tblLaborEntries[[#This Row],[Work date serial]]-WEEKDAY(tblLaborEntries[[#This Row],[Work date serial]],3),"yyyy-mm-dd")</f>
        <v>2025-10-27</v>
      </c>
      <c r="I3707" s="64">
        <f>DATEVALUE(tblLaborEntries[[#This Row],[Work date]])</f>
        <v>45961.0</v>
      </c>
    </row>
    <row r="3708" spans="1:9" ht="15" x14ac:dyDescent="0.25">
      <c r="A3708" s="53" t="inlineStr">
        <is>
          <t>LAB-003707</t>
        </is>
      </c>
      <c r="B3708" s="53" t="inlineStr">
        <is>
          <t>WP-01634</t>
        </is>
      </c>
      <c r="C3708" s="53" t="inlineStr">
        <is>
          <t>TECH-042</t>
        </is>
      </c>
      <c r="D3708" s="53" t="inlineStr">
        <is>
          <t>Powerplant</t>
        </is>
      </c>
      <c r="E3708" s="53" t="inlineStr">
        <is>
          <t>2025-11-01</t>
        </is>
      </c>
      <c r="F3708" s="53">
        <v>3.1</v>
      </c>
      <c r="G3708" s="53">
        <v>0</v>
      </c>
      <c r="H3708" s="51" t="str">
        <f>TEXT(tblLaborEntries[[#This Row],[Work date serial]]-WEEKDAY(tblLaborEntries[[#This Row],[Work date serial]],3),"yyyy-mm-dd")</f>
        <v>2025-10-27</v>
      </c>
      <c r="I3708" s="64">
        <f>DATEVALUE(tblLaborEntries[[#This Row],[Work date]])</f>
        <v>45962.0</v>
      </c>
    </row>
    <row r="3709" spans="1:9" ht="15" x14ac:dyDescent="0.25">
      <c r="A3709" s="53" t="inlineStr">
        <is>
          <t>LAB-003708</t>
        </is>
      </c>
      <c r="B3709" s="53" t="inlineStr">
        <is>
          <t>WP-01634</t>
        </is>
      </c>
      <c r="C3709" s="53" t="inlineStr">
        <is>
          <t>TECH-060</t>
        </is>
      </c>
      <c r="D3709" s="53" t="inlineStr">
        <is>
          <t>Powerplant</t>
        </is>
      </c>
      <c r="E3709" s="53" t="inlineStr">
        <is>
          <t>2025-11-02</t>
        </is>
      </c>
      <c r="F3709" s="53">
        <v>3.5</v>
      </c>
      <c r="G3709" s="53">
        <v>0</v>
      </c>
      <c r="H3709" s="51" t="str">
        <f>TEXT(tblLaborEntries[[#This Row],[Work date serial]]-WEEKDAY(tblLaborEntries[[#This Row],[Work date serial]],3),"yyyy-mm-dd")</f>
        <v>2025-10-27</v>
      </c>
      <c r="I3709" s="64">
        <f>DATEVALUE(tblLaborEntries[[#This Row],[Work date]])</f>
        <v>45963.0</v>
      </c>
    </row>
    <row r="3710" spans="1:9" ht="15" x14ac:dyDescent="0.25">
      <c r="A3710" s="53" t="inlineStr">
        <is>
          <t>LAB-003709</t>
        </is>
      </c>
      <c r="B3710" s="53" t="inlineStr">
        <is>
          <t>WP-01635</t>
        </is>
      </c>
      <c r="C3710" s="53" t="inlineStr">
        <is>
          <t>TECH-061</t>
        </is>
      </c>
      <c r="D3710" s="53" t="inlineStr">
        <is>
          <t>Airframe</t>
        </is>
      </c>
      <c r="E3710" s="53" t="inlineStr">
        <is>
          <t>2024-06-14</t>
        </is>
      </c>
      <c r="F3710" s="53">
        <v>0.7</v>
      </c>
      <c r="G3710" s="53">
        <v>0</v>
      </c>
      <c r="H3710" s="51" t="str">
        <f>TEXT(tblLaborEntries[[#This Row],[Work date serial]]-WEEKDAY(tblLaborEntries[[#This Row],[Work date serial]],3),"yyyy-mm-dd")</f>
        <v>2024-06-10</v>
      </c>
      <c r="I3710" s="64">
        <f>DATEVALUE(tblLaborEntries[[#This Row],[Work date]])</f>
        <v>45457.0</v>
      </c>
    </row>
    <row r="3711" spans="1:9" ht="15" x14ac:dyDescent="0.25">
      <c r="A3711" s="53" t="inlineStr">
        <is>
          <t>LAB-003710</t>
        </is>
      </c>
      <c r="B3711" s="53" t="inlineStr">
        <is>
          <t>WP-01635</t>
        </is>
      </c>
      <c r="C3711" s="53" t="inlineStr">
        <is>
          <t>TECH-031</t>
        </is>
      </c>
      <c r="D3711" s="53" t="inlineStr">
        <is>
          <t>Airframe</t>
        </is>
      </c>
      <c r="E3711" s="53" t="inlineStr">
        <is>
          <t>2024-06-15</t>
        </is>
      </c>
      <c r="F3711" s="53">
        <v>0.6</v>
      </c>
      <c r="G3711" s="53">
        <v>0</v>
      </c>
      <c r="H3711" s="51" t="str">
        <f>TEXT(tblLaborEntries[[#This Row],[Work date serial]]-WEEKDAY(tblLaborEntries[[#This Row],[Work date serial]],3),"yyyy-mm-dd")</f>
        <v>2024-06-10</v>
      </c>
      <c r="I3711" s="64">
        <f>DATEVALUE(tblLaborEntries[[#This Row],[Work date]])</f>
        <v>45458.0</v>
      </c>
    </row>
    <row r="3712" spans="1:9" ht="15" x14ac:dyDescent="0.25">
      <c r="A3712" s="53" t="inlineStr">
        <is>
          <t>LAB-003711</t>
        </is>
      </c>
      <c r="B3712" s="53" t="inlineStr">
        <is>
          <t>WP-01635</t>
        </is>
      </c>
      <c r="C3712" s="53" t="inlineStr">
        <is>
          <t>TECH-019</t>
        </is>
      </c>
      <c r="D3712" s="53" t="inlineStr">
        <is>
          <t>Airframe</t>
        </is>
      </c>
      <c r="E3712" s="53" t="inlineStr">
        <is>
          <t>2024-06-16</t>
        </is>
      </c>
      <c r="F3712" s="53">
        <v>0.5</v>
      </c>
      <c r="G3712" s="53">
        <v>0</v>
      </c>
      <c r="H3712" s="51" t="str">
        <f>TEXT(tblLaborEntries[[#This Row],[Work date serial]]-WEEKDAY(tblLaborEntries[[#This Row],[Work date serial]],3),"yyyy-mm-dd")</f>
        <v>2024-06-10</v>
      </c>
      <c r="I3712" s="64">
        <f>DATEVALUE(tblLaborEntries[[#This Row],[Work date]])</f>
        <v>45459.0</v>
      </c>
    </row>
    <row r="3713" spans="1:9" ht="15" x14ac:dyDescent="0.25">
      <c r="A3713" s="53" t="inlineStr">
        <is>
          <t>LAB-003712</t>
        </is>
      </c>
      <c r="B3713" s="53" t="inlineStr">
        <is>
          <t>WP-01636</t>
        </is>
      </c>
      <c r="C3713" s="53" t="inlineStr">
        <is>
          <t>TECH-004</t>
        </is>
      </c>
      <c r="D3713" s="53" t="inlineStr">
        <is>
          <t>Electrical</t>
        </is>
      </c>
      <c r="E3713" s="53" t="inlineStr">
        <is>
          <t>2025-01-16</t>
        </is>
      </c>
      <c r="F3713" s="53">
        <v>0.3</v>
      </c>
      <c r="G3713" s="53">
        <v>0</v>
      </c>
      <c r="H3713" s="51" t="str">
        <f>TEXT(tblLaborEntries[[#This Row],[Work date serial]]-WEEKDAY(tblLaborEntries[[#This Row],[Work date serial]],3),"yyyy-mm-dd")</f>
        <v>2025-01-13</v>
      </c>
      <c r="I3713" s="64">
        <f>DATEVALUE(tblLaborEntries[[#This Row],[Work date]])</f>
        <v>45673.0</v>
      </c>
    </row>
    <row r="3714" spans="1:9" ht="15" x14ac:dyDescent="0.25">
      <c r="A3714" s="53" t="inlineStr">
        <is>
          <t>LAB-003713</t>
        </is>
      </c>
      <c r="B3714" s="53" t="inlineStr">
        <is>
          <t>WP-01636</t>
        </is>
      </c>
      <c r="C3714" s="53" t="inlineStr">
        <is>
          <t>TECH-010</t>
        </is>
      </c>
      <c r="D3714" s="53" t="inlineStr">
        <is>
          <t>Electrical</t>
        </is>
      </c>
      <c r="E3714" s="53" t="inlineStr">
        <is>
          <t>2025-01-16</t>
        </is>
      </c>
      <c r="F3714" s="53">
        <v>12</v>
      </c>
      <c r="G3714" s="53">
        <v>4</v>
      </c>
      <c r="H3714" s="51" t="str">
        <f>TEXT(tblLaborEntries[[#This Row],[Work date serial]]-WEEKDAY(tblLaborEntries[[#This Row],[Work date serial]],3),"yyyy-mm-dd")</f>
        <v>2025-01-13</v>
      </c>
      <c r="I3714" s="64">
        <f>DATEVALUE(tblLaborEntries[[#This Row],[Work date]])</f>
        <v>45673.0</v>
      </c>
    </row>
    <row r="3715" spans="1:9" ht="15" x14ac:dyDescent="0.25">
      <c r="A3715" s="53" t="inlineStr">
        <is>
          <t>LAB-003714</t>
        </is>
      </c>
      <c r="B3715" s="53" t="inlineStr">
        <is>
          <t>WP-01637</t>
        </is>
      </c>
      <c r="C3715" s="53" t="inlineStr">
        <is>
          <t>TECH-002</t>
        </is>
      </c>
      <c r="D3715" s="53" t="inlineStr">
        <is>
          <t>Avionics</t>
        </is>
      </c>
      <c r="E3715" s="53" t="inlineStr">
        <is>
          <t>2025-09-03</t>
        </is>
      </c>
      <c r="F3715" s="53">
        <v>2.8</v>
      </c>
      <c r="G3715" s="53">
        <v>0</v>
      </c>
      <c r="H3715" s="51" t="str">
        <f>TEXT(tblLaborEntries[[#This Row],[Work date serial]]-WEEKDAY(tblLaborEntries[[#This Row],[Work date serial]],3),"yyyy-mm-dd")</f>
        <v>2025-09-01</v>
      </c>
      <c r="I3715" s="64">
        <f>DATEVALUE(tblLaborEntries[[#This Row],[Work date]])</f>
        <v>45903.0</v>
      </c>
    </row>
    <row r="3716" spans="1:9" ht="15" x14ac:dyDescent="0.25">
      <c r="A3716" s="53" t="inlineStr">
        <is>
          <t>LAB-003715</t>
        </is>
      </c>
      <c r="B3716" s="53" t="inlineStr">
        <is>
          <t>WP-01637</t>
        </is>
      </c>
      <c r="C3716" s="53" t="inlineStr">
        <is>
          <t>TECH-056</t>
        </is>
      </c>
      <c r="D3716" s="53" t="inlineStr">
        <is>
          <t>Avionics</t>
        </is>
      </c>
      <c r="E3716" s="53" t="inlineStr">
        <is>
          <t>2025-09-04</t>
        </is>
      </c>
      <c r="F3716" s="53">
        <v>2.5</v>
      </c>
      <c r="G3716" s="53">
        <v>0</v>
      </c>
      <c r="H3716" s="51" t="str">
        <f>TEXT(tblLaborEntries[[#This Row],[Work date serial]]-WEEKDAY(tblLaborEntries[[#This Row],[Work date serial]],3),"yyyy-mm-dd")</f>
        <v>2025-09-01</v>
      </c>
      <c r="I3716" s="64">
        <f>DATEVALUE(tblLaborEntries[[#This Row],[Work date]])</f>
        <v>45904.0</v>
      </c>
    </row>
    <row r="3717" spans="1:9" ht="15" x14ac:dyDescent="0.25">
      <c r="A3717" s="53" t="inlineStr">
        <is>
          <t>LAB-003716</t>
        </is>
      </c>
      <c r="B3717" s="53" t="inlineStr">
        <is>
          <t>WP-01638</t>
        </is>
      </c>
      <c r="C3717" s="53" t="inlineStr">
        <is>
          <t>TECH-005</t>
        </is>
      </c>
      <c r="D3717" s="53" t="inlineStr">
        <is>
          <t>Structures</t>
        </is>
      </c>
      <c r="E3717" s="53" t="inlineStr">
        <is>
          <t>2025-01-28</t>
        </is>
      </c>
      <c r="F3717" s="53">
        <v>0.3</v>
      </c>
      <c r="G3717" s="53">
        <v>0</v>
      </c>
      <c r="H3717" s="51" t="str">
        <f>TEXT(tblLaborEntries[[#This Row],[Work date serial]]-WEEKDAY(tblLaborEntries[[#This Row],[Work date serial]],3),"yyyy-mm-dd")</f>
        <v>2025-01-27</v>
      </c>
      <c r="I3717" s="64">
        <f>DATEVALUE(tblLaborEntries[[#This Row],[Work date]])</f>
        <v>45685.0</v>
      </c>
    </row>
    <row r="3718" spans="1:9" ht="15" x14ac:dyDescent="0.25">
      <c r="A3718" s="53" t="inlineStr">
        <is>
          <t>LAB-003717</t>
        </is>
      </c>
      <c r="B3718" s="53" t="inlineStr">
        <is>
          <t>WP-01638</t>
        </is>
      </c>
      <c r="C3718" s="53" t="inlineStr">
        <is>
          <t>TECH-035</t>
        </is>
      </c>
      <c r="D3718" s="53" t="inlineStr">
        <is>
          <t>Structures</t>
        </is>
      </c>
      <c r="E3718" s="53" t="inlineStr">
        <is>
          <t>2025-01-28</t>
        </is>
      </c>
      <c r="F3718" s="53">
        <v>12</v>
      </c>
      <c r="G3718" s="53">
        <v>4</v>
      </c>
      <c r="H3718" s="51" t="str">
        <f>TEXT(tblLaborEntries[[#This Row],[Work date serial]]-WEEKDAY(tblLaborEntries[[#This Row],[Work date serial]],3),"yyyy-mm-dd")</f>
        <v>2025-01-27</v>
      </c>
      <c r="I3718" s="64">
        <f>DATEVALUE(tblLaborEntries[[#This Row],[Work date]])</f>
        <v>45685.0</v>
      </c>
    </row>
    <row r="3719" spans="1:9" ht="15" x14ac:dyDescent="0.25">
      <c r="A3719" s="53" t="inlineStr">
        <is>
          <t>LAB-003718</t>
        </is>
      </c>
      <c r="B3719" s="53" t="inlineStr">
        <is>
          <t>WP-01638</t>
        </is>
      </c>
      <c r="C3719" s="53" t="inlineStr">
        <is>
          <t>TECH-005</t>
        </is>
      </c>
      <c r="D3719" s="53" t="inlineStr">
        <is>
          <t>Structures</t>
        </is>
      </c>
      <c r="E3719" s="53" t="inlineStr">
        <is>
          <t>2025-01-29</t>
        </is>
      </c>
      <c r="F3719" s="53">
        <v>3.3</v>
      </c>
      <c r="G3719" s="53">
        <v>0</v>
      </c>
      <c r="H3719" s="51" t="str">
        <f>TEXT(tblLaborEntries[[#This Row],[Work date serial]]-WEEKDAY(tblLaborEntries[[#This Row],[Work date serial]],3),"yyyy-mm-dd")</f>
        <v>2025-01-27</v>
      </c>
      <c r="I3719" s="64">
        <f>DATEVALUE(tblLaborEntries[[#This Row],[Work date]])</f>
        <v>45686.0</v>
      </c>
    </row>
    <row r="3720" spans="1:9" ht="15" x14ac:dyDescent="0.25">
      <c r="A3720" s="53" t="inlineStr">
        <is>
          <t>LAB-003719</t>
        </is>
      </c>
      <c r="B3720" s="53" t="inlineStr">
        <is>
          <t>WP-01638</t>
        </is>
      </c>
      <c r="C3720" s="53" t="inlineStr">
        <is>
          <t>TECH-011</t>
        </is>
      </c>
      <c r="D3720" s="53" t="inlineStr">
        <is>
          <t>Structures</t>
        </is>
      </c>
      <c r="E3720" s="53" t="inlineStr">
        <is>
          <t>2025-01-29</t>
        </is>
      </c>
      <c r="F3720" s="53">
        <v>12</v>
      </c>
      <c r="G3720" s="53">
        <v>4</v>
      </c>
      <c r="H3720" s="51" t="str">
        <f>TEXT(tblLaborEntries[[#This Row],[Work date serial]]-WEEKDAY(tblLaborEntries[[#This Row],[Work date serial]],3),"yyyy-mm-dd")</f>
        <v>2025-01-27</v>
      </c>
      <c r="I3720" s="64">
        <f>DATEVALUE(tblLaborEntries[[#This Row],[Work date]])</f>
        <v>45686.0</v>
      </c>
    </row>
    <row r="3721" spans="1:9" ht="15" x14ac:dyDescent="0.25">
      <c r="A3721" s="53" t="inlineStr">
        <is>
          <t>LAB-003720</t>
        </is>
      </c>
      <c r="B3721" s="53" t="inlineStr">
        <is>
          <t>WP-01639</t>
        </is>
      </c>
      <c r="C3721" s="53" t="inlineStr">
        <is>
          <t>TECH-026</t>
        </is>
      </c>
      <c r="D3721" s="53" t="inlineStr">
        <is>
          <t>Avionics</t>
        </is>
      </c>
      <c r="E3721" s="53" t="inlineStr">
        <is>
          <t>2024-05-25</t>
        </is>
      </c>
      <c r="F3721" s="53">
        <v>4.7</v>
      </c>
      <c r="G3721" s="53">
        <v>0</v>
      </c>
      <c r="H3721" s="51" t="str">
        <f>TEXT(tblLaborEntries[[#This Row],[Work date serial]]-WEEKDAY(tblLaborEntries[[#This Row],[Work date serial]],3),"yyyy-mm-dd")</f>
        <v>2024-05-20</v>
      </c>
      <c r="I3721" s="64">
        <f>DATEVALUE(tblLaborEntries[[#This Row],[Work date]])</f>
        <v>45437.0</v>
      </c>
    </row>
    <row r="3722" spans="1:9" ht="15" x14ac:dyDescent="0.25">
      <c r="A3722" s="53" t="inlineStr">
        <is>
          <t>LAB-003721</t>
        </is>
      </c>
      <c r="B3722" s="53" t="inlineStr">
        <is>
          <t>WP-01639</t>
        </is>
      </c>
      <c r="C3722" s="53" t="inlineStr">
        <is>
          <t>TECH-056</t>
        </is>
      </c>
      <c r="D3722" s="53" t="inlineStr">
        <is>
          <t>Avionics</t>
        </is>
      </c>
      <c r="E3722" s="53" t="inlineStr">
        <is>
          <t>2024-05-26</t>
        </is>
      </c>
      <c r="F3722" s="53">
        <v>3.5</v>
      </c>
      <c r="G3722" s="53">
        <v>0</v>
      </c>
      <c r="H3722" s="51" t="str">
        <f>TEXT(tblLaborEntries[[#This Row],[Work date serial]]-WEEKDAY(tblLaborEntries[[#This Row],[Work date serial]],3),"yyyy-mm-dd")</f>
        <v>2024-05-20</v>
      </c>
      <c r="I3722" s="64">
        <f>DATEVALUE(tblLaborEntries[[#This Row],[Work date]])</f>
        <v>45438.0</v>
      </c>
    </row>
    <row r="3723" spans="1:9" ht="15" x14ac:dyDescent="0.25">
      <c r="A3723" s="53" t="inlineStr">
        <is>
          <t>LAB-003722</t>
        </is>
      </c>
      <c r="B3723" s="53" t="inlineStr">
        <is>
          <t>WP-01639</t>
        </is>
      </c>
      <c r="C3723" s="53" t="inlineStr">
        <is>
          <t>TECH-008</t>
        </is>
      </c>
      <c r="D3723" s="53" t="inlineStr">
        <is>
          <t>Avionics</t>
        </is>
      </c>
      <c r="E3723" s="53" t="inlineStr">
        <is>
          <t>2024-05-27</t>
        </is>
      </c>
      <c r="F3723" s="53">
        <v>4.4</v>
      </c>
      <c r="G3723" s="53">
        <v>0</v>
      </c>
      <c r="H3723" s="51" t="str">
        <f>TEXT(tblLaborEntries[[#This Row],[Work date serial]]-WEEKDAY(tblLaborEntries[[#This Row],[Work date serial]],3),"yyyy-mm-dd")</f>
        <v>2024-05-27</v>
      </c>
      <c r="I3723" s="64">
        <f>DATEVALUE(tblLaborEntries[[#This Row],[Work date]])</f>
        <v>45439.0</v>
      </c>
    </row>
    <row r="3724" spans="1:9" ht="15" x14ac:dyDescent="0.25">
      <c r="A3724" s="53" t="inlineStr">
        <is>
          <t>LAB-003723</t>
        </is>
      </c>
      <c r="B3724" s="53" t="inlineStr">
        <is>
          <t>WP-01640</t>
        </is>
      </c>
      <c r="C3724" s="53" t="inlineStr">
        <is>
          <t>TECH-003</t>
        </is>
      </c>
      <c r="D3724" s="53" t="inlineStr">
        <is>
          <t>Hydraulics</t>
        </is>
      </c>
      <c r="E3724" s="53" t="inlineStr">
        <is>
          <t>2024-03-15</t>
        </is>
      </c>
      <c r="F3724" s="53">
        <v>5.9</v>
      </c>
      <c r="G3724" s="53">
        <v>0</v>
      </c>
      <c r="H3724" s="51" t="str">
        <f>TEXT(tblLaborEntries[[#This Row],[Work date serial]]-WEEKDAY(tblLaborEntries[[#This Row],[Work date serial]],3),"yyyy-mm-dd")</f>
        <v>2024-03-11</v>
      </c>
      <c r="I3724" s="64">
        <f>DATEVALUE(tblLaborEntries[[#This Row],[Work date]])</f>
        <v>45366.0</v>
      </c>
    </row>
    <row r="3725" spans="1:9" ht="15" x14ac:dyDescent="0.25">
      <c r="A3725" s="53" t="inlineStr">
        <is>
          <t>LAB-003724</t>
        </is>
      </c>
      <c r="B3725" s="53" t="inlineStr">
        <is>
          <t>WP-01640</t>
        </is>
      </c>
      <c r="C3725" s="53" t="inlineStr">
        <is>
          <t>TECH-033</t>
        </is>
      </c>
      <c r="D3725" s="53" t="inlineStr">
        <is>
          <t>Hydraulics</t>
        </is>
      </c>
      <c r="E3725" s="53" t="inlineStr">
        <is>
          <t>2024-03-16</t>
        </is>
      </c>
      <c r="F3725" s="53">
        <v>8.5</v>
      </c>
      <c r="G3725" s="53">
        <v>0.5</v>
      </c>
      <c r="H3725" s="51" t="str">
        <f>TEXT(tblLaborEntries[[#This Row],[Work date serial]]-WEEKDAY(tblLaborEntries[[#This Row],[Work date serial]],3),"yyyy-mm-dd")</f>
        <v>2024-03-11</v>
      </c>
      <c r="I3725" s="64">
        <f>DATEVALUE(tblLaborEntries[[#This Row],[Work date]])</f>
        <v>45367.0</v>
      </c>
    </row>
    <row r="3726" spans="1:9" ht="15" x14ac:dyDescent="0.25">
      <c r="A3726" s="53" t="inlineStr">
        <is>
          <t>LAB-003725</t>
        </is>
      </c>
      <c r="B3726" s="53" t="inlineStr">
        <is>
          <t>WP-01641</t>
        </is>
      </c>
      <c r="C3726" s="53" t="inlineStr">
        <is>
          <t>TECH-051</t>
        </is>
      </c>
      <c r="D3726" s="53" t="inlineStr">
        <is>
          <t>Hydraulics</t>
        </is>
      </c>
      <c r="E3726" s="53" t="inlineStr">
        <is>
          <t>2025-08-23</t>
        </is>
      </c>
      <c r="F3726" s="53">
        <v>4.9</v>
      </c>
      <c r="G3726" s="53">
        <v>0</v>
      </c>
      <c r="H3726" s="51" t="str">
        <f>TEXT(tblLaborEntries[[#This Row],[Work date serial]]-WEEKDAY(tblLaborEntries[[#This Row],[Work date serial]],3),"yyyy-mm-dd")</f>
        <v>2025-08-18</v>
      </c>
      <c r="I3726" s="64">
        <f>DATEVALUE(tblLaborEntries[[#This Row],[Work date]])</f>
        <v>45892.0</v>
      </c>
    </row>
    <row r="3727" spans="1:9" ht="15" x14ac:dyDescent="0.25">
      <c r="A3727" s="53" t="inlineStr">
        <is>
          <t>LAB-003726</t>
        </is>
      </c>
      <c r="B3727" s="53" t="inlineStr">
        <is>
          <t>WP-01641</t>
        </is>
      </c>
      <c r="C3727" s="53" t="inlineStr">
        <is>
          <t>TECH-057</t>
        </is>
      </c>
      <c r="D3727" s="53" t="inlineStr">
        <is>
          <t>Hydraulics</t>
        </is>
      </c>
      <c r="E3727" s="53" t="inlineStr">
        <is>
          <t>2025-08-24</t>
        </is>
      </c>
      <c r="F3727" s="53">
        <v>5.4</v>
      </c>
      <c r="G3727" s="53">
        <v>0</v>
      </c>
      <c r="H3727" s="51" t="str">
        <f>TEXT(tblLaborEntries[[#This Row],[Work date serial]]-WEEKDAY(tblLaborEntries[[#This Row],[Work date serial]],3),"yyyy-mm-dd")</f>
        <v>2025-08-18</v>
      </c>
      <c r="I3727" s="64">
        <f>DATEVALUE(tblLaborEntries[[#This Row],[Work date]])</f>
        <v>45893.0</v>
      </c>
    </row>
    <row r="3728" spans="1:9" ht="15" x14ac:dyDescent="0.25">
      <c r="A3728" s="53" t="inlineStr">
        <is>
          <t>LAB-003727</t>
        </is>
      </c>
      <c r="B3728" s="53" t="inlineStr">
        <is>
          <t>WP-01641</t>
        </is>
      </c>
      <c r="C3728" s="53" t="inlineStr">
        <is>
          <t>TECH-051</t>
        </is>
      </c>
      <c r="D3728" s="53" t="inlineStr">
        <is>
          <t>Hydraulics</t>
        </is>
      </c>
      <c r="E3728" s="53" t="inlineStr">
        <is>
          <t>2025-08-25</t>
        </is>
      </c>
      <c r="F3728" s="53">
        <v>7.2</v>
      </c>
      <c r="G3728" s="53">
        <v>0</v>
      </c>
      <c r="H3728" s="51" t="str">
        <f>TEXT(tblLaborEntries[[#This Row],[Work date serial]]-WEEKDAY(tblLaborEntries[[#This Row],[Work date serial]],3),"yyyy-mm-dd")</f>
        <v>2025-08-25</v>
      </c>
      <c r="I3728" s="64">
        <f>DATEVALUE(tblLaborEntries[[#This Row],[Work date]])</f>
        <v>45894.0</v>
      </c>
    </row>
    <row r="3729" spans="1:9" ht="15" x14ac:dyDescent="0.25">
      <c r="A3729" s="53" t="inlineStr">
        <is>
          <t>LAB-003728</t>
        </is>
      </c>
      <c r="B3729" s="53" t="inlineStr">
        <is>
          <t>WP-01642</t>
        </is>
      </c>
      <c r="C3729" s="53" t="inlineStr">
        <is>
          <t>TECH-005</t>
        </is>
      </c>
      <c r="D3729" s="53" t="inlineStr">
        <is>
          <t>Structures</t>
        </is>
      </c>
      <c r="E3729" s="53" t="inlineStr">
        <is>
          <t>2024-06-08</t>
        </is>
      </c>
      <c r="F3729" s="53">
        <v>6</v>
      </c>
      <c r="G3729" s="53">
        <v>0</v>
      </c>
      <c r="H3729" s="51" t="str">
        <f>TEXT(tblLaborEntries[[#This Row],[Work date serial]]-WEEKDAY(tblLaborEntries[[#This Row],[Work date serial]],3),"yyyy-mm-dd")</f>
        <v>2024-06-03</v>
      </c>
      <c r="I3729" s="64">
        <f>DATEVALUE(tblLaborEntries[[#This Row],[Work date]])</f>
        <v>45451.0</v>
      </c>
    </row>
    <row r="3730" spans="1:9" ht="15" x14ac:dyDescent="0.25">
      <c r="A3730" s="53" t="inlineStr">
        <is>
          <t>LAB-003729</t>
        </is>
      </c>
      <c r="B3730" s="53" t="inlineStr">
        <is>
          <t>WP-01642</t>
        </is>
      </c>
      <c r="C3730" s="53" t="inlineStr">
        <is>
          <t>TECH-023</t>
        </is>
      </c>
      <c r="D3730" s="53" t="inlineStr">
        <is>
          <t>Structures</t>
        </is>
      </c>
      <c r="E3730" s="53" t="inlineStr">
        <is>
          <t>2024-06-08</t>
        </is>
      </c>
      <c r="F3730" s="53">
        <v>4.8</v>
      </c>
      <c r="G3730" s="53">
        <v>4</v>
      </c>
      <c r="H3730" s="51" t="str">
        <f>TEXT(tblLaborEntries[[#This Row],[Work date serial]]-WEEKDAY(tblLaborEntries[[#This Row],[Work date serial]],3),"yyyy-mm-dd")</f>
        <v>2024-06-03</v>
      </c>
      <c r="I3730" s="64">
        <f>DATEVALUE(tblLaborEntries[[#This Row],[Work date]])</f>
        <v>45451.0</v>
      </c>
    </row>
    <row r="3731" spans="1:9" ht="15" x14ac:dyDescent="0.25">
      <c r="A3731" s="53" t="inlineStr">
        <is>
          <t>LAB-003730</t>
        </is>
      </c>
      <c r="B3731" s="53" t="inlineStr">
        <is>
          <t>WP-01642</t>
        </is>
      </c>
      <c r="C3731" s="53" t="inlineStr">
        <is>
          <t>TECH-053</t>
        </is>
      </c>
      <c r="D3731" s="53" t="inlineStr">
        <is>
          <t>Structures</t>
        </is>
      </c>
      <c r="E3731" s="53" t="inlineStr">
        <is>
          <t>2024-06-09</t>
        </is>
      </c>
      <c r="F3731" s="53">
        <v>11.3</v>
      </c>
      <c r="G3731" s="53">
        <v>3.3</v>
      </c>
      <c r="H3731" s="51" t="str">
        <f>TEXT(tblLaborEntries[[#This Row],[Work date serial]]-WEEKDAY(tblLaborEntries[[#This Row],[Work date serial]],3),"yyyy-mm-dd")</f>
        <v>2024-06-03</v>
      </c>
      <c r="I3731" s="64">
        <f>DATEVALUE(tblLaborEntries[[#This Row],[Work date]])</f>
        <v>45452.0</v>
      </c>
    </row>
    <row r="3732" spans="1:9" ht="15" x14ac:dyDescent="0.25">
      <c r="A3732" s="53" t="inlineStr">
        <is>
          <t>LAB-003731</t>
        </is>
      </c>
      <c r="B3732" s="53" t="inlineStr">
        <is>
          <t>WP-01642</t>
        </is>
      </c>
      <c r="C3732" s="53" t="inlineStr">
        <is>
          <t>TECH-005</t>
        </is>
      </c>
      <c r="D3732" s="53" t="inlineStr">
        <is>
          <t>Structures</t>
        </is>
      </c>
      <c r="E3732" s="53" t="inlineStr">
        <is>
          <t>2024-06-10</t>
        </is>
      </c>
      <c r="F3732" s="53">
        <v>3.1</v>
      </c>
      <c r="G3732" s="53">
        <v>0</v>
      </c>
      <c r="H3732" s="51" t="str">
        <f>TEXT(tblLaborEntries[[#This Row],[Work date serial]]-WEEKDAY(tblLaborEntries[[#This Row],[Work date serial]],3),"yyyy-mm-dd")</f>
        <v>2024-06-10</v>
      </c>
      <c r="I3732" s="64">
        <f>DATEVALUE(tblLaborEntries[[#This Row],[Work date]])</f>
        <v>45453.0</v>
      </c>
    </row>
    <row r="3733" spans="1:9" ht="15" x14ac:dyDescent="0.25">
      <c r="A3733" s="53" t="inlineStr">
        <is>
          <t>LAB-003732</t>
        </is>
      </c>
      <c r="B3733" s="53" t="inlineStr">
        <is>
          <t>WP-01642</t>
        </is>
      </c>
      <c r="C3733" s="53" t="inlineStr">
        <is>
          <t>TECH-035</t>
        </is>
      </c>
      <c r="D3733" s="53" t="inlineStr">
        <is>
          <t>Structures</t>
        </is>
      </c>
      <c r="E3733" s="53" t="inlineStr">
        <is>
          <t>2024-06-10</t>
        </is>
      </c>
      <c r="F3733" s="53">
        <v>12</v>
      </c>
      <c r="G3733" s="53">
        <v>4</v>
      </c>
      <c r="H3733" s="51" t="str">
        <f>TEXT(tblLaborEntries[[#This Row],[Work date serial]]-WEEKDAY(tblLaborEntries[[#This Row],[Work date serial]],3),"yyyy-mm-dd")</f>
        <v>2024-06-10</v>
      </c>
      <c r="I3733" s="64">
        <f>DATEVALUE(tblLaborEntries[[#This Row],[Work date]])</f>
        <v>45453.0</v>
      </c>
    </row>
    <row r="3734" spans="1:9" ht="15" x14ac:dyDescent="0.25">
      <c r="A3734" s="53" t="inlineStr">
        <is>
          <t>LAB-003733</t>
        </is>
      </c>
      <c r="B3734" s="53" t="inlineStr">
        <is>
          <t>WP-01643</t>
        </is>
      </c>
      <c r="C3734" s="53" t="inlineStr">
        <is>
          <t>TECH-026</t>
        </is>
      </c>
      <c r="D3734" s="53" t="inlineStr">
        <is>
          <t>Avionics</t>
        </is>
      </c>
      <c r="E3734" s="53" t="inlineStr">
        <is>
          <t>2024-07-29</t>
        </is>
      </c>
      <c r="F3734" s="53">
        <v>1.2</v>
      </c>
      <c r="G3734" s="53">
        <v>0</v>
      </c>
      <c r="H3734" s="51" t="str">
        <f>TEXT(tblLaborEntries[[#This Row],[Work date serial]]-WEEKDAY(tblLaborEntries[[#This Row],[Work date serial]],3),"yyyy-mm-dd")</f>
        <v>2024-07-29</v>
      </c>
      <c r="I3734" s="64">
        <f>DATEVALUE(tblLaborEntries[[#This Row],[Work date]])</f>
        <v>45502.0</v>
      </c>
    </row>
    <row r="3735" spans="1:9" ht="15" x14ac:dyDescent="0.25">
      <c r="A3735" s="53" t="inlineStr">
        <is>
          <t>LAB-003734</t>
        </is>
      </c>
      <c r="B3735" s="53" t="inlineStr">
        <is>
          <t>WP-01643</t>
        </is>
      </c>
      <c r="C3735" s="53" t="inlineStr">
        <is>
          <t>TECH-014</t>
        </is>
      </c>
      <c r="D3735" s="53" t="inlineStr">
        <is>
          <t>Avionics</t>
        </is>
      </c>
      <c r="E3735" s="53" t="inlineStr">
        <is>
          <t>2024-07-30</t>
        </is>
      </c>
      <c r="F3735" s="53">
        <v>1.6</v>
      </c>
      <c r="G3735" s="53">
        <v>0</v>
      </c>
      <c r="H3735" s="51" t="str">
        <f>TEXT(tblLaborEntries[[#This Row],[Work date serial]]-WEEKDAY(tblLaborEntries[[#This Row],[Work date serial]],3),"yyyy-mm-dd")</f>
        <v>2024-07-29</v>
      </c>
      <c r="I3735" s="64">
        <f>DATEVALUE(tblLaborEntries[[#This Row],[Work date]])</f>
        <v>45503.0</v>
      </c>
    </row>
    <row r="3736" spans="1:9" ht="15" x14ac:dyDescent="0.25">
      <c r="A3736" s="53" t="inlineStr">
        <is>
          <t>LAB-003735</t>
        </is>
      </c>
      <c r="B3736" s="53" t="inlineStr">
        <is>
          <t>WP-01644</t>
        </is>
      </c>
      <c r="C3736" s="53" t="inlineStr">
        <is>
          <t>TECH-011</t>
        </is>
      </c>
      <c r="D3736" s="53" t="inlineStr">
        <is>
          <t>Structures</t>
        </is>
      </c>
      <c r="E3736" s="53" t="inlineStr">
        <is>
          <t>2024-06-22</t>
        </is>
      </c>
      <c r="F3736" s="53">
        <v>7</v>
      </c>
      <c r="G3736" s="53">
        <v>0</v>
      </c>
      <c r="H3736" s="51" t="str">
        <f>TEXT(tblLaborEntries[[#This Row],[Work date serial]]-WEEKDAY(tblLaborEntries[[#This Row],[Work date serial]],3),"yyyy-mm-dd")</f>
        <v>2024-06-17</v>
      </c>
      <c r="I3736" s="64">
        <f>DATEVALUE(tblLaborEntries[[#This Row],[Work date]])</f>
        <v>45465.0</v>
      </c>
    </row>
    <row r="3737" spans="1:9" ht="15" x14ac:dyDescent="0.25">
      <c r="A3737" s="53" t="inlineStr">
        <is>
          <t>LAB-003736</t>
        </is>
      </c>
      <c r="B3737" s="53" t="inlineStr">
        <is>
          <t>WP-01644</t>
        </is>
      </c>
      <c r="C3737" s="53" t="inlineStr">
        <is>
          <t>TECH-023</t>
        </is>
      </c>
      <c r="D3737" s="53" t="inlineStr">
        <is>
          <t>Structures</t>
        </is>
      </c>
      <c r="E3737" s="53" t="inlineStr">
        <is>
          <t>2024-06-23</t>
        </is>
      </c>
      <c r="F3737" s="53">
        <v>8.2</v>
      </c>
      <c r="G3737" s="53">
        <v>0.2</v>
      </c>
      <c r="H3737" s="51" t="str">
        <f>TEXT(tblLaborEntries[[#This Row],[Work date serial]]-WEEKDAY(tblLaborEntries[[#This Row],[Work date serial]],3),"yyyy-mm-dd")</f>
        <v>2024-06-17</v>
      </c>
      <c r="I3737" s="64">
        <f>DATEVALUE(tblLaborEntries[[#This Row],[Work date]])</f>
        <v>45466.0</v>
      </c>
    </row>
    <row r="3738" spans="1:9" ht="15" x14ac:dyDescent="0.25">
      <c r="A3738" s="53" t="inlineStr">
        <is>
          <t>LAB-003737</t>
        </is>
      </c>
      <c r="B3738" s="53" t="inlineStr">
        <is>
          <t>WP-01644</t>
        </is>
      </c>
      <c r="C3738" s="53" t="inlineStr">
        <is>
          <t>TECH-071</t>
        </is>
      </c>
      <c r="D3738" s="53" t="inlineStr">
        <is>
          <t>Structures</t>
        </is>
      </c>
      <c r="E3738" s="53" t="inlineStr">
        <is>
          <t>2024-06-24</t>
        </is>
      </c>
      <c r="F3738" s="53">
        <v>9</v>
      </c>
      <c r="G3738" s="53">
        <v>1</v>
      </c>
      <c r="H3738" s="51" t="str">
        <f>TEXT(tblLaborEntries[[#This Row],[Work date serial]]-WEEKDAY(tblLaborEntries[[#This Row],[Work date serial]],3),"yyyy-mm-dd")</f>
        <v>2024-06-24</v>
      </c>
      <c r="I3738" s="64">
        <f>DATEVALUE(tblLaborEntries[[#This Row],[Work date]])</f>
        <v>45467.0</v>
      </c>
    </row>
    <row r="3739" spans="1:9" ht="15" x14ac:dyDescent="0.25">
      <c r="A3739" s="53" t="inlineStr">
        <is>
          <t>LAB-003738</t>
        </is>
      </c>
      <c r="B3739" s="53" t="inlineStr">
        <is>
          <t>WP-01645</t>
        </is>
      </c>
      <c r="C3739" s="53" t="inlineStr">
        <is>
          <t>TECH-059</t>
        </is>
      </c>
      <c r="D3739" s="53" t="inlineStr">
        <is>
          <t>Structures</t>
        </is>
      </c>
      <c r="E3739" s="53" t="inlineStr">
        <is>
          <t>2024-01-27</t>
        </is>
      </c>
      <c r="F3739" s="53">
        <v>4.1</v>
      </c>
      <c r="G3739" s="53">
        <v>0</v>
      </c>
      <c r="H3739" s="51" t="str">
        <f>TEXT(tblLaborEntries[[#This Row],[Work date serial]]-WEEKDAY(tblLaborEntries[[#This Row],[Work date serial]],3),"yyyy-mm-dd")</f>
        <v>2024-01-22</v>
      </c>
      <c r="I3739" s="64">
        <f>DATEVALUE(tblLaborEntries[[#This Row],[Work date]])</f>
        <v>45318.0</v>
      </c>
    </row>
    <row r="3740" spans="1:9" ht="15" x14ac:dyDescent="0.25">
      <c r="A3740" s="53" t="inlineStr">
        <is>
          <t>LAB-003739</t>
        </is>
      </c>
      <c r="B3740" s="53" t="inlineStr">
        <is>
          <t>WP-01645</t>
        </is>
      </c>
      <c r="C3740" s="53" t="inlineStr">
        <is>
          <t>TECH-047</t>
        </is>
      </c>
      <c r="D3740" s="53" t="inlineStr">
        <is>
          <t>Structures</t>
        </is>
      </c>
      <c r="E3740" s="53" t="inlineStr">
        <is>
          <t>2024-01-28</t>
        </is>
      </c>
      <c r="F3740" s="53">
        <v>4.6</v>
      </c>
      <c r="G3740" s="53">
        <v>0</v>
      </c>
      <c r="H3740" s="51" t="str">
        <f>TEXT(tblLaborEntries[[#This Row],[Work date serial]]-WEEKDAY(tblLaborEntries[[#This Row],[Work date serial]],3),"yyyy-mm-dd")</f>
        <v>2024-01-22</v>
      </c>
      <c r="I3740" s="64">
        <f>DATEVALUE(tblLaborEntries[[#This Row],[Work date]])</f>
        <v>45319.0</v>
      </c>
    </row>
    <row r="3741" spans="1:9" ht="15" x14ac:dyDescent="0.25">
      <c r="A3741" s="53" t="inlineStr">
        <is>
          <t>LAB-003740</t>
        </is>
      </c>
      <c r="B3741" s="53" t="inlineStr">
        <is>
          <t>WP-01645</t>
        </is>
      </c>
      <c r="C3741" s="53" t="inlineStr">
        <is>
          <t>TECH-053</t>
        </is>
      </c>
      <c r="D3741" s="53" t="inlineStr">
        <is>
          <t>Structures</t>
        </is>
      </c>
      <c r="E3741" s="53" t="inlineStr">
        <is>
          <t>2024-01-29</t>
        </is>
      </c>
      <c r="F3741" s="53">
        <v>3.4</v>
      </c>
      <c r="G3741" s="53">
        <v>0</v>
      </c>
      <c r="H3741" s="51" t="str">
        <f>TEXT(tblLaborEntries[[#This Row],[Work date serial]]-WEEKDAY(tblLaborEntries[[#This Row],[Work date serial]],3),"yyyy-mm-dd")</f>
        <v>2024-01-29</v>
      </c>
      <c r="I3741" s="64">
        <f>DATEVALUE(tblLaborEntries[[#This Row],[Work date]])</f>
        <v>45320.0</v>
      </c>
    </row>
    <row r="3742" spans="1:9" ht="15" x14ac:dyDescent="0.25">
      <c r="A3742" s="53" t="inlineStr">
        <is>
          <t>LAB-003741</t>
        </is>
      </c>
      <c r="B3742" s="53" t="inlineStr">
        <is>
          <t>WP-01646</t>
        </is>
      </c>
      <c r="C3742" s="53" t="inlineStr">
        <is>
          <t>TECH-068</t>
        </is>
      </c>
      <c r="D3742" s="53" t="inlineStr">
        <is>
          <t>Avionics</t>
        </is>
      </c>
      <c r="E3742" s="53" t="inlineStr">
        <is>
          <t>2024-12-23</t>
        </is>
      </c>
      <c r="F3742" s="53">
        <v>3.7</v>
      </c>
      <c r="G3742" s="53">
        <v>0</v>
      </c>
      <c r="H3742" s="51" t="str">
        <f>TEXT(tblLaborEntries[[#This Row],[Work date serial]]-WEEKDAY(tblLaborEntries[[#This Row],[Work date serial]],3),"yyyy-mm-dd")</f>
        <v>2024-12-23</v>
      </c>
      <c r="I3742" s="64">
        <f>DATEVALUE(tblLaborEntries[[#This Row],[Work date]])</f>
        <v>45649.0</v>
      </c>
    </row>
    <row r="3743" spans="1:9" ht="15" x14ac:dyDescent="0.25">
      <c r="A3743" s="53" t="inlineStr">
        <is>
          <t>LAB-003742</t>
        </is>
      </c>
      <c r="B3743" s="53" t="inlineStr">
        <is>
          <t>WP-01647</t>
        </is>
      </c>
      <c r="C3743" s="53" t="inlineStr">
        <is>
          <t>TECH-032</t>
        </is>
      </c>
      <c r="D3743" s="53" t="inlineStr">
        <is>
          <t>Avionics</t>
        </is>
      </c>
      <c r="E3743" s="53" t="inlineStr">
        <is>
          <t>2025-08-21</t>
        </is>
      </c>
      <c r="F3743" s="53">
        <v>1.1</v>
      </c>
      <c r="G3743" s="53">
        <v>0</v>
      </c>
      <c r="H3743" s="51" t="str">
        <f>TEXT(tblLaborEntries[[#This Row],[Work date serial]]-WEEKDAY(tblLaborEntries[[#This Row],[Work date serial]],3),"yyyy-mm-dd")</f>
        <v>2025-08-18</v>
      </c>
      <c r="I3743" s="64">
        <f>DATEVALUE(tblLaborEntries[[#This Row],[Work date]])</f>
        <v>45890.0</v>
      </c>
    </row>
    <row r="3744" spans="1:9" ht="15" x14ac:dyDescent="0.25">
      <c r="A3744" s="53" t="inlineStr">
        <is>
          <t>LAB-003743</t>
        </is>
      </c>
      <c r="B3744" s="53" t="inlineStr">
        <is>
          <t>WP-01647</t>
        </is>
      </c>
      <c r="C3744" s="53" t="inlineStr">
        <is>
          <t>TECH-068</t>
        </is>
      </c>
      <c r="D3744" s="53" t="inlineStr">
        <is>
          <t>Avionics</t>
        </is>
      </c>
      <c r="E3744" s="53" t="inlineStr">
        <is>
          <t>2025-08-22</t>
        </is>
      </c>
      <c r="F3744" s="53">
        <v>1.6</v>
      </c>
      <c r="G3744" s="53">
        <v>0</v>
      </c>
      <c r="H3744" s="51" t="str">
        <f>TEXT(tblLaborEntries[[#This Row],[Work date serial]]-WEEKDAY(tblLaborEntries[[#This Row],[Work date serial]],3),"yyyy-mm-dd")</f>
        <v>2025-08-18</v>
      </c>
      <c r="I3744" s="64">
        <f>DATEVALUE(tblLaborEntries[[#This Row],[Work date]])</f>
        <v>45891.0</v>
      </c>
    </row>
    <row r="3745" spans="1:9" ht="15" x14ac:dyDescent="0.25">
      <c r="A3745" s="53" t="inlineStr">
        <is>
          <t>LAB-003744</t>
        </is>
      </c>
      <c r="B3745" s="53" t="inlineStr">
        <is>
          <t>WP-01647</t>
        </is>
      </c>
      <c r="C3745" s="53" t="inlineStr">
        <is>
          <t>TECH-056</t>
        </is>
      </c>
      <c r="D3745" s="53" t="inlineStr">
        <is>
          <t>Avionics</t>
        </is>
      </c>
      <c r="E3745" s="53" t="inlineStr">
        <is>
          <t>2025-08-23</t>
        </is>
      </c>
      <c r="F3745" s="53">
        <v>1.3</v>
      </c>
      <c r="G3745" s="53">
        <v>0</v>
      </c>
      <c r="H3745" s="51" t="str">
        <f>TEXT(tblLaborEntries[[#This Row],[Work date serial]]-WEEKDAY(tblLaborEntries[[#This Row],[Work date serial]],3),"yyyy-mm-dd")</f>
        <v>2025-08-18</v>
      </c>
      <c r="I3745" s="64">
        <f>DATEVALUE(tblLaborEntries[[#This Row],[Work date]])</f>
        <v>45892.0</v>
      </c>
    </row>
    <row r="3746" spans="1:9" ht="15" x14ac:dyDescent="0.25">
      <c r="A3746" s="53" t="inlineStr">
        <is>
          <t>LAB-003745</t>
        </is>
      </c>
      <c r="B3746" s="53" t="inlineStr">
        <is>
          <t>WP-01648</t>
        </is>
      </c>
      <c r="C3746" s="53" t="inlineStr">
        <is>
          <t>TECH-061</t>
        </is>
      </c>
      <c r="D3746" s="53" t="inlineStr">
        <is>
          <t>Airframe</t>
        </is>
      </c>
      <c r="E3746" s="53" t="inlineStr">
        <is>
          <t>2024-09-27</t>
        </is>
      </c>
      <c r="F3746" s="53">
        <v>2.8</v>
      </c>
      <c r="G3746" s="53">
        <v>0</v>
      </c>
      <c r="H3746" s="51" t="str">
        <f>TEXT(tblLaborEntries[[#This Row],[Work date serial]]-WEEKDAY(tblLaborEntries[[#This Row],[Work date serial]],3),"yyyy-mm-dd")</f>
        <v>2024-09-23</v>
      </c>
      <c r="I3746" s="64">
        <f>DATEVALUE(tblLaborEntries[[#This Row],[Work date]])</f>
        <v>45562.0</v>
      </c>
    </row>
    <row r="3747" spans="1:9" ht="15" x14ac:dyDescent="0.25">
      <c r="A3747" s="53" t="inlineStr">
        <is>
          <t>LAB-003746</t>
        </is>
      </c>
      <c r="B3747" s="53" t="inlineStr">
        <is>
          <t>WP-01648</t>
        </is>
      </c>
      <c r="C3747" s="53" t="inlineStr">
        <is>
          <t>TECH-013</t>
        </is>
      </c>
      <c r="D3747" s="53" t="inlineStr">
        <is>
          <t>Airframe</t>
        </is>
      </c>
      <c r="E3747" s="53" t="inlineStr">
        <is>
          <t>2024-09-28</t>
        </is>
      </c>
      <c r="F3747" s="53">
        <v>2.2</v>
      </c>
      <c r="G3747" s="53">
        <v>0</v>
      </c>
      <c r="H3747" s="51" t="str">
        <f>TEXT(tblLaborEntries[[#This Row],[Work date serial]]-WEEKDAY(tblLaborEntries[[#This Row],[Work date serial]],3),"yyyy-mm-dd")</f>
        <v>2024-09-23</v>
      </c>
      <c r="I3747" s="64">
        <f>DATEVALUE(tblLaborEntries[[#This Row],[Work date]])</f>
        <v>45563.0</v>
      </c>
    </row>
    <row r="3748" spans="1:9" ht="15" x14ac:dyDescent="0.25">
      <c r="A3748" s="53" t="inlineStr">
        <is>
          <t>LAB-003747</t>
        </is>
      </c>
      <c r="B3748" s="53" t="inlineStr">
        <is>
          <t>WP-01649</t>
        </is>
      </c>
      <c r="C3748" s="53" t="inlineStr">
        <is>
          <t>TECH-018</t>
        </is>
      </c>
      <c r="D3748" s="53" t="inlineStr">
        <is>
          <t>Powerplant</t>
        </is>
      </c>
      <c r="E3748" s="53" t="inlineStr">
        <is>
          <t>2025-08-22</t>
        </is>
      </c>
      <c r="F3748" s="53">
        <v>11</v>
      </c>
      <c r="G3748" s="53">
        <v>3</v>
      </c>
      <c r="H3748" s="51" t="str">
        <f>TEXT(tblLaborEntries[[#This Row],[Work date serial]]-WEEKDAY(tblLaborEntries[[#This Row],[Work date serial]],3),"yyyy-mm-dd")</f>
        <v>2025-08-18</v>
      </c>
      <c r="I3748" s="64">
        <f>DATEVALUE(tblLaborEntries[[#This Row],[Work date]])</f>
        <v>45891.0</v>
      </c>
    </row>
    <row r="3749" spans="1:9" ht="15" x14ac:dyDescent="0.25">
      <c r="A3749" s="53" t="inlineStr">
        <is>
          <t>LAB-003748</t>
        </is>
      </c>
      <c r="B3749" s="53" t="inlineStr">
        <is>
          <t>WP-01650</t>
        </is>
      </c>
      <c r="C3749" s="53" t="inlineStr">
        <is>
          <t>TECH-054</t>
        </is>
      </c>
      <c r="D3749" s="53" t="inlineStr">
        <is>
          <t>Powerplant</t>
        </is>
      </c>
      <c r="E3749" s="53" t="inlineStr">
        <is>
          <t>2024-05-12</t>
        </is>
      </c>
      <c r="F3749" s="53">
        <v>12</v>
      </c>
      <c r="G3749" s="53">
        <v>4</v>
      </c>
      <c r="H3749" s="51" t="str">
        <f>TEXT(tblLaborEntries[[#This Row],[Work date serial]]-WEEKDAY(tblLaborEntries[[#This Row],[Work date serial]],3),"yyyy-mm-dd")</f>
        <v>2024-05-06</v>
      </c>
      <c r="I3749" s="64">
        <f>DATEVALUE(tblLaborEntries[[#This Row],[Work date]])</f>
        <v>45424.0</v>
      </c>
    </row>
    <row r="3750" spans="1:9" ht="15" x14ac:dyDescent="0.25">
      <c r="A3750" s="53" t="inlineStr">
        <is>
          <t>LAB-003749</t>
        </is>
      </c>
      <c r="B3750" s="53" t="inlineStr">
        <is>
          <t>WP-01650</t>
        </is>
      </c>
      <c r="C3750" s="53" t="inlineStr">
        <is>
          <t>TECH-006</t>
        </is>
      </c>
      <c r="D3750" s="53" t="inlineStr">
        <is>
          <t>Powerplant</t>
        </is>
      </c>
      <c r="E3750" s="53" t="inlineStr">
        <is>
          <t>2024-05-13</t>
        </is>
      </c>
      <c r="F3750" s="53">
        <v>4.1</v>
      </c>
      <c r="G3750" s="53">
        <v>0</v>
      </c>
      <c r="H3750" s="51" t="str">
        <f>TEXT(tblLaborEntries[[#This Row],[Work date serial]]-WEEKDAY(tblLaborEntries[[#This Row],[Work date serial]],3),"yyyy-mm-dd")</f>
        <v>2024-05-13</v>
      </c>
      <c r="I3750" s="64">
        <f>DATEVALUE(tblLaborEntries[[#This Row],[Work date]])</f>
        <v>45425.0</v>
      </c>
    </row>
    <row r="3751" spans="1:9" ht="15" x14ac:dyDescent="0.25">
      <c r="A3751" s="53" t="inlineStr">
        <is>
          <t>LAB-003750</t>
        </is>
      </c>
      <c r="B3751" s="53" t="inlineStr">
        <is>
          <t>WP-01650</t>
        </is>
      </c>
      <c r="C3751" s="53" t="inlineStr">
        <is>
          <t>TECH-066</t>
        </is>
      </c>
      <c r="D3751" s="53" t="inlineStr">
        <is>
          <t>Powerplant</t>
        </is>
      </c>
      <c r="E3751" s="53" t="inlineStr">
        <is>
          <t>2024-05-13</t>
        </is>
      </c>
      <c r="F3751" s="53">
        <v>12</v>
      </c>
      <c r="G3751" s="53">
        <v>4</v>
      </c>
      <c r="H3751" s="51" t="str">
        <f>TEXT(tblLaborEntries[[#This Row],[Work date serial]]-WEEKDAY(tblLaborEntries[[#This Row],[Work date serial]],3),"yyyy-mm-dd")</f>
        <v>2024-05-13</v>
      </c>
      <c r="I3751" s="64">
        <f>DATEVALUE(tblLaborEntries[[#This Row],[Work date]])</f>
        <v>45425.0</v>
      </c>
    </row>
    <row r="3752" spans="1:9" ht="15" x14ac:dyDescent="0.25">
      <c r="A3752" s="53" t="inlineStr">
        <is>
          <t>LAB-003751</t>
        </is>
      </c>
      <c r="B3752" s="53" t="inlineStr">
        <is>
          <t>WP-01651</t>
        </is>
      </c>
      <c r="C3752" s="53" t="inlineStr">
        <is>
          <t>TECH-037</t>
        </is>
      </c>
      <c r="D3752" s="53" t="inlineStr">
        <is>
          <t>Airframe</t>
        </is>
      </c>
      <c r="E3752" s="53" t="inlineStr">
        <is>
          <t>2024-09-29</t>
        </is>
      </c>
      <c r="F3752" s="53">
        <v>5</v>
      </c>
      <c r="G3752" s="53">
        <v>0</v>
      </c>
      <c r="H3752" s="51" t="str">
        <f>TEXT(tblLaborEntries[[#This Row],[Work date serial]]-WEEKDAY(tblLaborEntries[[#This Row],[Work date serial]],3),"yyyy-mm-dd")</f>
        <v>2024-09-23</v>
      </c>
      <c r="I3752" s="64">
        <f>DATEVALUE(tblLaborEntries[[#This Row],[Work date]])</f>
        <v>45564.0</v>
      </c>
    </row>
    <row r="3753" spans="1:9" ht="15" x14ac:dyDescent="0.25">
      <c r="A3753" s="53" t="inlineStr">
        <is>
          <t>LAB-003752</t>
        </is>
      </c>
      <c r="B3753" s="53" t="inlineStr">
        <is>
          <t>WP-01651</t>
        </is>
      </c>
      <c r="C3753" s="53" t="inlineStr">
        <is>
          <t>TECH-001</t>
        </is>
      </c>
      <c r="D3753" s="53" t="inlineStr">
        <is>
          <t>Airframe</t>
        </is>
      </c>
      <c r="E3753" s="53" t="inlineStr">
        <is>
          <t>2024-09-30</t>
        </is>
      </c>
      <c r="F3753" s="53">
        <v>4</v>
      </c>
      <c r="G3753" s="53">
        <v>0</v>
      </c>
      <c r="H3753" s="51" t="str">
        <f>TEXT(tblLaborEntries[[#This Row],[Work date serial]]-WEEKDAY(tblLaborEntries[[#This Row],[Work date serial]],3),"yyyy-mm-dd")</f>
        <v>2024-09-30</v>
      </c>
      <c r="I3753" s="64">
        <f>DATEVALUE(tblLaborEntries[[#This Row],[Work date]])</f>
        <v>45565.0</v>
      </c>
    </row>
    <row r="3754" spans="1:9" ht="15" x14ac:dyDescent="0.25">
      <c r="A3754" s="53" t="inlineStr">
        <is>
          <t>LAB-003753</t>
        </is>
      </c>
      <c r="B3754" s="53" t="inlineStr">
        <is>
          <t>WP-01652</t>
        </is>
      </c>
      <c r="C3754" s="53" t="inlineStr">
        <is>
          <t>TECH-004</t>
        </is>
      </c>
      <c r="D3754" s="53" t="inlineStr">
        <is>
          <t>Electrical</t>
        </is>
      </c>
      <c r="E3754" s="53" t="inlineStr">
        <is>
          <t>2025-09-22</t>
        </is>
      </c>
      <c r="F3754" s="53">
        <v>12</v>
      </c>
      <c r="G3754" s="53">
        <v>4</v>
      </c>
      <c r="H3754" s="51" t="str">
        <f>TEXT(tblLaborEntries[[#This Row],[Work date serial]]-WEEKDAY(tblLaborEntries[[#This Row],[Work date serial]],3),"yyyy-mm-dd")</f>
        <v>2025-09-22</v>
      </c>
      <c r="I3754" s="64">
        <f>DATEVALUE(tblLaborEntries[[#This Row],[Work date]])</f>
        <v>45922.0</v>
      </c>
    </row>
    <row r="3755" spans="1:9" ht="15" x14ac:dyDescent="0.25">
      <c r="A3755" s="53" t="inlineStr">
        <is>
          <t>LAB-003754</t>
        </is>
      </c>
      <c r="B3755" s="53" t="inlineStr">
        <is>
          <t>WP-01652</t>
        </is>
      </c>
      <c r="C3755" s="53" t="inlineStr">
        <is>
          <t>TECH-010</t>
        </is>
      </c>
      <c r="D3755" s="53" t="inlineStr">
        <is>
          <t>Electrical</t>
        </is>
      </c>
      <c r="E3755" s="53" t="inlineStr">
        <is>
          <t>2025-09-22</t>
        </is>
      </c>
      <c r="F3755" s="53">
        <v>12</v>
      </c>
      <c r="G3755" s="53">
        <v>4</v>
      </c>
      <c r="H3755" s="51" t="str">
        <f>TEXT(tblLaborEntries[[#This Row],[Work date serial]]-WEEKDAY(tblLaborEntries[[#This Row],[Work date serial]],3),"yyyy-mm-dd")</f>
        <v>2025-09-22</v>
      </c>
      <c r="I3755" s="64">
        <f>DATEVALUE(tblLaborEntries[[#This Row],[Work date]])</f>
        <v>45922.0</v>
      </c>
    </row>
    <row r="3756" spans="1:9" ht="15" x14ac:dyDescent="0.25">
      <c r="A3756" s="53" t="inlineStr">
        <is>
          <t>LAB-003755</t>
        </is>
      </c>
      <c r="B3756" s="53" t="inlineStr">
        <is>
          <t>WP-01652</t>
        </is>
      </c>
      <c r="C3756" s="53" t="inlineStr">
        <is>
          <t>TECH-016</t>
        </is>
      </c>
      <c r="D3756" s="53" t="inlineStr">
        <is>
          <t>Electrical</t>
        </is>
      </c>
      <c r="E3756" s="53" t="inlineStr">
        <is>
          <t>2025-09-22</t>
        </is>
      </c>
      <c r="F3756" s="53">
        <v>1.7</v>
      </c>
      <c r="G3756" s="53">
        <v>0</v>
      </c>
      <c r="H3756" s="51" t="str">
        <f>TEXT(tblLaborEntries[[#This Row],[Work date serial]]-WEEKDAY(tblLaborEntries[[#This Row],[Work date serial]],3),"yyyy-mm-dd")</f>
        <v>2025-09-22</v>
      </c>
      <c r="I3756" s="64">
        <f>DATEVALUE(tblLaborEntries[[#This Row],[Work date]])</f>
        <v>45922.0</v>
      </c>
    </row>
    <row r="3757" spans="1:9" ht="15" x14ac:dyDescent="0.25">
      <c r="A3757" s="53" t="inlineStr">
        <is>
          <t>LAB-003756</t>
        </is>
      </c>
      <c r="B3757" s="53" t="inlineStr">
        <is>
          <t>WP-01653</t>
        </is>
      </c>
      <c r="C3757" s="53" t="inlineStr">
        <is>
          <t>TECH-019</t>
        </is>
      </c>
      <c r="D3757" s="53" t="inlineStr">
        <is>
          <t>Airframe</t>
        </is>
      </c>
      <c r="E3757" s="53" t="inlineStr">
        <is>
          <t>2025-05-15</t>
        </is>
      </c>
      <c r="F3757" s="53">
        <v>2</v>
      </c>
      <c r="G3757" s="53">
        <v>0</v>
      </c>
      <c r="H3757" s="51" t="str">
        <f>TEXT(tblLaborEntries[[#This Row],[Work date serial]]-WEEKDAY(tblLaborEntries[[#This Row],[Work date serial]],3),"yyyy-mm-dd")</f>
        <v>2025-05-12</v>
      </c>
      <c r="I3757" s="64">
        <f>DATEVALUE(tblLaborEntries[[#This Row],[Work date]])</f>
        <v>45792.0</v>
      </c>
    </row>
    <row r="3758" spans="1:9" ht="15" x14ac:dyDescent="0.25">
      <c r="A3758" s="53" t="inlineStr">
        <is>
          <t>LAB-003757</t>
        </is>
      </c>
      <c r="B3758" s="53" t="inlineStr">
        <is>
          <t>WP-01653</t>
        </is>
      </c>
      <c r="C3758" s="53" t="inlineStr">
        <is>
          <t>TECH-001</t>
        </is>
      </c>
      <c r="D3758" s="53" t="inlineStr">
        <is>
          <t>Airframe</t>
        </is>
      </c>
      <c r="E3758" s="53" t="inlineStr">
        <is>
          <t>2025-05-16</t>
        </is>
      </c>
      <c r="F3758" s="53">
        <v>2.2</v>
      </c>
      <c r="G3758" s="53">
        <v>0</v>
      </c>
      <c r="H3758" s="51" t="str">
        <f>TEXT(tblLaborEntries[[#This Row],[Work date serial]]-WEEKDAY(tblLaborEntries[[#This Row],[Work date serial]],3),"yyyy-mm-dd")</f>
        <v>2025-05-12</v>
      </c>
      <c r="I3758" s="64">
        <f>DATEVALUE(tblLaborEntries[[#This Row],[Work date]])</f>
        <v>45793.0</v>
      </c>
    </row>
    <row r="3759" spans="1:9" ht="15" x14ac:dyDescent="0.25">
      <c r="A3759" s="53" t="inlineStr">
        <is>
          <t>LAB-003758</t>
        </is>
      </c>
      <c r="B3759" s="53" t="inlineStr">
        <is>
          <t>WP-01654</t>
        </is>
      </c>
      <c r="C3759" s="53" t="inlineStr">
        <is>
          <t>TECH-012</t>
        </is>
      </c>
      <c r="D3759" s="53" t="inlineStr">
        <is>
          <t>Powerplant</t>
        </is>
      </c>
      <c r="E3759" s="53" t="inlineStr">
        <is>
          <t>2024-01-25</t>
        </is>
      </c>
      <c r="F3759" s="53">
        <v>2.9</v>
      </c>
      <c r="G3759" s="53">
        <v>0</v>
      </c>
      <c r="H3759" s="51" t="str">
        <f>TEXT(tblLaborEntries[[#This Row],[Work date serial]]-WEEKDAY(tblLaborEntries[[#This Row],[Work date serial]],3),"yyyy-mm-dd")</f>
        <v>2024-01-22</v>
      </c>
      <c r="I3759" s="64">
        <f>DATEVALUE(tblLaborEntries[[#This Row],[Work date]])</f>
        <v>45316.0</v>
      </c>
    </row>
    <row r="3760" spans="1:9" ht="15" x14ac:dyDescent="0.25">
      <c r="A3760" s="53" t="inlineStr">
        <is>
          <t>LAB-003759</t>
        </is>
      </c>
      <c r="B3760" s="53" t="inlineStr">
        <is>
          <t>WP-01654</t>
        </is>
      </c>
      <c r="C3760" s="53" t="inlineStr">
        <is>
          <t>TECH-006</t>
        </is>
      </c>
      <c r="D3760" s="53" t="inlineStr">
        <is>
          <t>Powerplant</t>
        </is>
      </c>
      <c r="E3760" s="53" t="inlineStr">
        <is>
          <t>2024-01-26</t>
        </is>
      </c>
      <c r="F3760" s="53">
        <v>2.8</v>
      </c>
      <c r="G3760" s="53">
        <v>0</v>
      </c>
      <c r="H3760" s="51" t="str">
        <f>TEXT(tblLaborEntries[[#This Row],[Work date serial]]-WEEKDAY(tblLaborEntries[[#This Row],[Work date serial]],3),"yyyy-mm-dd")</f>
        <v>2024-01-22</v>
      </c>
      <c r="I3760" s="64">
        <f>DATEVALUE(tblLaborEntries[[#This Row],[Work date]])</f>
        <v>45317.0</v>
      </c>
    </row>
    <row r="3761" spans="1:9" ht="15" x14ac:dyDescent="0.25">
      <c r="A3761" s="53" t="inlineStr">
        <is>
          <t>LAB-003760</t>
        </is>
      </c>
      <c r="B3761" s="53" t="inlineStr">
        <is>
          <t>WP-01655</t>
        </is>
      </c>
      <c r="C3761" s="53" t="inlineStr">
        <is>
          <t>TECH-045</t>
        </is>
      </c>
      <c r="D3761" s="53" t="inlineStr">
        <is>
          <t>Hydraulics</t>
        </is>
      </c>
      <c r="E3761" s="53" t="inlineStr">
        <is>
          <t>2024-05-10</t>
        </is>
      </c>
      <c r="F3761" s="53">
        <v>8.7</v>
      </c>
      <c r="G3761" s="53">
        <v>0.7</v>
      </c>
      <c r="H3761" s="51" t="str">
        <f>TEXT(tblLaborEntries[[#This Row],[Work date serial]]-WEEKDAY(tblLaborEntries[[#This Row],[Work date serial]],3),"yyyy-mm-dd")</f>
        <v>2024-05-06</v>
      </c>
      <c r="I3761" s="64">
        <f>DATEVALUE(tblLaborEntries[[#This Row],[Work date]])</f>
        <v>45422.0</v>
      </c>
    </row>
    <row r="3762" spans="1:9" ht="15" x14ac:dyDescent="0.25">
      <c r="A3762" s="53" t="inlineStr">
        <is>
          <t>LAB-003761</t>
        </is>
      </c>
      <c r="B3762" s="53" t="inlineStr">
        <is>
          <t>WP-01655</t>
        </is>
      </c>
      <c r="C3762" s="53" t="inlineStr">
        <is>
          <t>TECH-063</t>
        </is>
      </c>
      <c r="D3762" s="53" t="inlineStr">
        <is>
          <t>Hydraulics</t>
        </is>
      </c>
      <c r="E3762" s="53" t="inlineStr">
        <is>
          <t>2024-05-11</t>
        </is>
      </c>
      <c r="F3762" s="53">
        <v>10.3</v>
      </c>
      <c r="G3762" s="53">
        <v>2.3</v>
      </c>
      <c r="H3762" s="51" t="str">
        <f>TEXT(tblLaborEntries[[#This Row],[Work date serial]]-WEEKDAY(tblLaborEntries[[#This Row],[Work date serial]],3),"yyyy-mm-dd")</f>
        <v>2024-05-06</v>
      </c>
      <c r="I3762" s="64">
        <f>DATEVALUE(tblLaborEntries[[#This Row],[Work date]])</f>
        <v>45423.0</v>
      </c>
    </row>
    <row r="3763" spans="1:9" ht="15" x14ac:dyDescent="0.25">
      <c r="A3763" s="53" t="inlineStr">
        <is>
          <t>LAB-003762</t>
        </is>
      </c>
      <c r="B3763" s="53" t="inlineStr">
        <is>
          <t>WP-01655</t>
        </is>
      </c>
      <c r="C3763" s="53" t="inlineStr">
        <is>
          <t>TECH-027</t>
        </is>
      </c>
      <c r="D3763" s="53" t="inlineStr">
        <is>
          <t>Hydraulics</t>
        </is>
      </c>
      <c r="E3763" s="53" t="inlineStr">
        <is>
          <t>2024-05-12</t>
        </is>
      </c>
      <c r="F3763" s="53">
        <v>8.5</v>
      </c>
      <c r="G3763" s="53">
        <v>0.5</v>
      </c>
      <c r="H3763" s="51" t="str">
        <f>TEXT(tblLaborEntries[[#This Row],[Work date serial]]-WEEKDAY(tblLaborEntries[[#This Row],[Work date serial]],3),"yyyy-mm-dd")</f>
        <v>2024-05-06</v>
      </c>
      <c r="I3763" s="64">
        <f>DATEVALUE(tblLaborEntries[[#This Row],[Work date]])</f>
        <v>45424.0</v>
      </c>
    </row>
    <row r="3764" spans="1:9" ht="15" x14ac:dyDescent="0.25">
      <c r="A3764" s="53" t="inlineStr">
        <is>
          <t>LAB-003763</t>
        </is>
      </c>
      <c r="B3764" s="53" t="inlineStr">
        <is>
          <t>WP-01656</t>
        </is>
      </c>
      <c r="C3764" s="53" t="inlineStr">
        <is>
          <t>TECH-066</t>
        </is>
      </c>
      <c r="D3764" s="53" t="inlineStr">
        <is>
          <t>Powerplant</t>
        </is>
      </c>
      <c r="E3764" s="53" t="inlineStr">
        <is>
          <t>2025-01-21</t>
        </is>
      </c>
      <c r="F3764" s="53">
        <v>6.2</v>
      </c>
      <c r="G3764" s="53">
        <v>0</v>
      </c>
      <c r="H3764" s="51" t="str">
        <f>TEXT(tblLaborEntries[[#This Row],[Work date serial]]-WEEKDAY(tblLaborEntries[[#This Row],[Work date serial]],3),"yyyy-mm-dd")</f>
        <v>2025-01-20</v>
      </c>
      <c r="I3764" s="64">
        <f>DATEVALUE(tblLaborEntries[[#This Row],[Work date]])</f>
        <v>45678.0</v>
      </c>
    </row>
    <row r="3765" spans="1:9" ht="15" x14ac:dyDescent="0.25">
      <c r="A3765" s="53" t="inlineStr">
        <is>
          <t>LAB-003764</t>
        </is>
      </c>
      <c r="B3765" s="53" t="inlineStr">
        <is>
          <t>WP-01656</t>
        </is>
      </c>
      <c r="C3765" s="53" t="inlineStr">
        <is>
          <t>TECH-024</t>
        </is>
      </c>
      <c r="D3765" s="53" t="inlineStr">
        <is>
          <t>Powerplant</t>
        </is>
      </c>
      <c r="E3765" s="53" t="inlineStr">
        <is>
          <t>2025-01-22</t>
        </is>
      </c>
      <c r="F3765" s="53">
        <v>7.2</v>
      </c>
      <c r="G3765" s="53">
        <v>0</v>
      </c>
      <c r="H3765" s="51" t="str">
        <f>TEXT(tblLaborEntries[[#This Row],[Work date serial]]-WEEKDAY(tblLaborEntries[[#This Row],[Work date serial]],3),"yyyy-mm-dd")</f>
        <v>2025-01-20</v>
      </c>
      <c r="I3765" s="64">
        <f>DATEVALUE(tblLaborEntries[[#This Row],[Work date]])</f>
        <v>45679.0</v>
      </c>
    </row>
    <row r="3766" spans="1:9" ht="15" x14ac:dyDescent="0.25">
      <c r="A3766" s="53" t="inlineStr">
        <is>
          <t>LAB-003765</t>
        </is>
      </c>
      <c r="B3766" s="53" t="inlineStr">
        <is>
          <t>WP-01656</t>
        </is>
      </c>
      <c r="C3766" s="53" t="inlineStr">
        <is>
          <t>TECH-030</t>
        </is>
      </c>
      <c r="D3766" s="53" t="inlineStr">
        <is>
          <t>Powerplant</t>
        </is>
      </c>
      <c r="E3766" s="53" t="inlineStr">
        <is>
          <t>2025-01-23</t>
        </is>
      </c>
      <c r="F3766" s="53">
        <v>9.1</v>
      </c>
      <c r="G3766" s="53">
        <v>1.1</v>
      </c>
      <c r="H3766" s="51" t="str">
        <f>TEXT(tblLaborEntries[[#This Row],[Work date serial]]-WEEKDAY(tblLaborEntries[[#This Row],[Work date serial]],3),"yyyy-mm-dd")</f>
        <v>2025-01-20</v>
      </c>
      <c r="I3766" s="64">
        <f>DATEVALUE(tblLaborEntries[[#This Row],[Work date]])</f>
        <v>45680.0</v>
      </c>
    </row>
    <row r="3767" spans="1:9" ht="15" x14ac:dyDescent="0.25">
      <c r="A3767" s="53" t="inlineStr">
        <is>
          <t>LAB-003766</t>
        </is>
      </c>
      <c r="B3767" s="53" t="inlineStr">
        <is>
          <t>WP-01657</t>
        </is>
      </c>
      <c r="C3767" s="53" t="inlineStr">
        <is>
          <t>TECH-056</t>
        </is>
      </c>
      <c r="D3767" s="53" t="inlineStr">
        <is>
          <t>Avionics</t>
        </is>
      </c>
      <c r="E3767" s="53" t="inlineStr">
        <is>
          <t>2024-10-26</t>
        </is>
      </c>
      <c r="F3767" s="53">
        <v>4.7</v>
      </c>
      <c r="G3767" s="53">
        <v>0</v>
      </c>
      <c r="H3767" s="51" t="str">
        <f>TEXT(tblLaborEntries[[#This Row],[Work date serial]]-WEEKDAY(tblLaborEntries[[#This Row],[Work date serial]],3),"yyyy-mm-dd")</f>
        <v>2024-10-21</v>
      </c>
      <c r="I3767" s="64">
        <f>DATEVALUE(tblLaborEntries[[#This Row],[Work date]])</f>
        <v>45591.0</v>
      </c>
    </row>
    <row r="3768" spans="1:9" ht="15" x14ac:dyDescent="0.25">
      <c r="A3768" s="53" t="inlineStr">
        <is>
          <t>LAB-003767</t>
        </is>
      </c>
      <c r="B3768" s="53" t="inlineStr">
        <is>
          <t>WP-01657</t>
        </is>
      </c>
      <c r="C3768" s="53" t="inlineStr">
        <is>
          <t>TECH-050</t>
        </is>
      </c>
      <c r="D3768" s="53" t="inlineStr">
        <is>
          <t>Avionics</t>
        </is>
      </c>
      <c r="E3768" s="53" t="inlineStr">
        <is>
          <t>2024-10-27</t>
        </is>
      </c>
      <c r="F3768" s="53">
        <v>3.6</v>
      </c>
      <c r="G3768" s="53">
        <v>0</v>
      </c>
      <c r="H3768" s="51" t="str">
        <f>TEXT(tblLaborEntries[[#This Row],[Work date serial]]-WEEKDAY(tblLaborEntries[[#This Row],[Work date serial]],3),"yyyy-mm-dd")</f>
        <v>2024-10-21</v>
      </c>
      <c r="I3768" s="64">
        <f>DATEVALUE(tblLaborEntries[[#This Row],[Work date]])</f>
        <v>45592.0</v>
      </c>
    </row>
    <row r="3769" spans="1:9" ht="15" x14ac:dyDescent="0.25">
      <c r="A3769" s="53" t="inlineStr">
        <is>
          <t>LAB-003768</t>
        </is>
      </c>
      <c r="B3769" s="53" t="inlineStr">
        <is>
          <t>WP-01658</t>
        </is>
      </c>
      <c r="C3769" s="53" t="inlineStr">
        <is>
          <t>TECH-074</t>
        </is>
      </c>
      <c r="D3769" s="53" t="inlineStr">
        <is>
          <t>Avionics</t>
        </is>
      </c>
      <c r="E3769" s="53" t="inlineStr">
        <is>
          <t>2024-03-25</t>
        </is>
      </c>
      <c r="F3769" s="53">
        <v>10.2</v>
      </c>
      <c r="G3769" s="53">
        <v>2.2</v>
      </c>
      <c r="H3769" s="51" t="str">
        <f>TEXT(tblLaborEntries[[#This Row],[Work date serial]]-WEEKDAY(tblLaborEntries[[#This Row],[Work date serial]],3),"yyyy-mm-dd")</f>
        <v>2024-03-25</v>
      </c>
      <c r="I3769" s="64">
        <f>DATEVALUE(tblLaborEntries[[#This Row],[Work date]])</f>
        <v>45376.0</v>
      </c>
    </row>
    <row r="3770" spans="1:9" ht="15" x14ac:dyDescent="0.25">
      <c r="A3770" s="53" t="inlineStr">
        <is>
          <t>LAB-003769</t>
        </is>
      </c>
      <c r="B3770" s="53" t="inlineStr">
        <is>
          <t>WP-01658</t>
        </is>
      </c>
      <c r="C3770" s="53" t="inlineStr">
        <is>
          <t>TECH-002</t>
        </is>
      </c>
      <c r="D3770" s="53" t="inlineStr">
        <is>
          <t>Avionics</t>
        </is>
      </c>
      <c r="E3770" s="53" t="inlineStr">
        <is>
          <t>2024-03-26</t>
        </is>
      </c>
      <c r="F3770" s="53">
        <v>9.1</v>
      </c>
      <c r="G3770" s="53">
        <v>1.1</v>
      </c>
      <c r="H3770" s="51" t="str">
        <f>TEXT(tblLaborEntries[[#This Row],[Work date serial]]-WEEKDAY(tblLaborEntries[[#This Row],[Work date serial]],3),"yyyy-mm-dd")</f>
        <v>2024-03-25</v>
      </c>
      <c r="I3770" s="64">
        <f>DATEVALUE(tblLaborEntries[[#This Row],[Work date]])</f>
        <v>45377.0</v>
      </c>
    </row>
    <row r="3771" spans="1:9" ht="15" x14ac:dyDescent="0.25">
      <c r="A3771" s="53" t="inlineStr">
        <is>
          <t>LAB-003770</t>
        </is>
      </c>
      <c r="B3771" s="53" t="inlineStr">
        <is>
          <t>WP-01658</t>
        </is>
      </c>
      <c r="C3771" s="53" t="inlineStr">
        <is>
          <t>TECH-026</t>
        </is>
      </c>
      <c r="D3771" s="53" t="inlineStr">
        <is>
          <t>Avionics</t>
        </is>
      </c>
      <c r="E3771" s="53" t="inlineStr">
        <is>
          <t>2024-03-26</t>
        </is>
      </c>
      <c r="F3771" s="53">
        <v>1.8</v>
      </c>
      <c r="G3771" s="53">
        <v>0</v>
      </c>
      <c r="H3771" s="51" t="str">
        <f>TEXT(tblLaborEntries[[#This Row],[Work date serial]]-WEEKDAY(tblLaborEntries[[#This Row],[Work date serial]],3),"yyyy-mm-dd")</f>
        <v>2024-03-25</v>
      </c>
      <c r="I3771" s="64">
        <f>DATEVALUE(tblLaborEntries[[#This Row],[Work date]])</f>
        <v>45377.0</v>
      </c>
    </row>
    <row r="3772" spans="1:9" ht="15" x14ac:dyDescent="0.25">
      <c r="A3772" s="53" t="inlineStr">
        <is>
          <t>LAB-003771</t>
        </is>
      </c>
      <c r="B3772" s="53" t="inlineStr">
        <is>
          <t>WP-01659</t>
        </is>
      </c>
      <c r="C3772" s="53" t="inlineStr">
        <is>
          <t>TECH-010</t>
        </is>
      </c>
      <c r="D3772" s="53" t="inlineStr">
        <is>
          <t>Electrical</t>
        </is>
      </c>
      <c r="E3772" s="53" t="inlineStr">
        <is>
          <t>2025-03-09</t>
        </is>
      </c>
      <c r="F3772" s="53">
        <v>0.2</v>
      </c>
      <c r="G3772" s="53">
        <v>0</v>
      </c>
      <c r="H3772" s="51" t="str">
        <f>TEXT(tblLaborEntries[[#This Row],[Work date serial]]-WEEKDAY(tblLaborEntries[[#This Row],[Work date serial]],3),"yyyy-mm-dd")</f>
        <v>2025-03-03</v>
      </c>
      <c r="I3772" s="64">
        <f>DATEVALUE(tblLaborEntries[[#This Row],[Work date]])</f>
        <v>45725.0</v>
      </c>
    </row>
    <row r="3773" spans="1:9" ht="15" x14ac:dyDescent="0.25">
      <c r="A3773" s="53" t="inlineStr">
        <is>
          <t>LAB-003772</t>
        </is>
      </c>
      <c r="B3773" s="53" t="inlineStr">
        <is>
          <t>WP-01659</t>
        </is>
      </c>
      <c r="C3773" s="53" t="inlineStr">
        <is>
          <t>TECH-070</t>
        </is>
      </c>
      <c r="D3773" s="53" t="inlineStr">
        <is>
          <t>Electrical</t>
        </is>
      </c>
      <c r="E3773" s="53" t="inlineStr">
        <is>
          <t>2025-03-09</t>
        </is>
      </c>
      <c r="F3773" s="53">
        <v>12</v>
      </c>
      <c r="G3773" s="53">
        <v>4</v>
      </c>
      <c r="H3773" s="51" t="str">
        <f>TEXT(tblLaborEntries[[#This Row],[Work date serial]]-WEEKDAY(tblLaborEntries[[#This Row],[Work date serial]],3),"yyyy-mm-dd")</f>
        <v>2025-03-03</v>
      </c>
      <c r="I3773" s="64">
        <f>DATEVALUE(tblLaborEntries[[#This Row],[Work date]])</f>
        <v>45725.0</v>
      </c>
    </row>
    <row r="3774" spans="1:9" ht="15" x14ac:dyDescent="0.25">
      <c r="A3774" s="53" t="inlineStr">
        <is>
          <t>LAB-003773</t>
        </is>
      </c>
      <c r="B3774" s="53" t="inlineStr">
        <is>
          <t>WP-01659</t>
        </is>
      </c>
      <c r="C3774" s="53" t="inlineStr">
        <is>
          <t>TECH-070</t>
        </is>
      </c>
      <c r="D3774" s="53" t="inlineStr">
        <is>
          <t>Electrical</t>
        </is>
      </c>
      <c r="E3774" s="53" t="inlineStr">
        <is>
          <t>2025-03-10</t>
        </is>
      </c>
      <c r="F3774" s="53">
        <v>8.2</v>
      </c>
      <c r="G3774" s="53">
        <v>0.2</v>
      </c>
      <c r="H3774" s="51" t="str">
        <f>TEXT(tblLaborEntries[[#This Row],[Work date serial]]-WEEKDAY(tblLaborEntries[[#This Row],[Work date serial]],3),"yyyy-mm-dd")</f>
        <v>2025-03-10</v>
      </c>
      <c r="I3774" s="64">
        <f>DATEVALUE(tblLaborEntries[[#This Row],[Work date]])</f>
        <v>45726.0</v>
      </c>
    </row>
    <row r="3775" spans="1:9" ht="15" x14ac:dyDescent="0.25">
      <c r="A3775" s="53" t="inlineStr">
        <is>
          <t>LAB-003774</t>
        </is>
      </c>
      <c r="B3775" s="53" t="inlineStr">
        <is>
          <t>WP-01659</t>
        </is>
      </c>
      <c r="C3775" s="53" t="inlineStr">
        <is>
          <t>TECH-052</t>
        </is>
      </c>
      <c r="D3775" s="53" t="inlineStr">
        <is>
          <t>Electrical</t>
        </is>
      </c>
      <c r="E3775" s="53" t="inlineStr">
        <is>
          <t>2025-03-11</t>
        </is>
      </c>
      <c r="F3775" s="53">
        <v>10.9</v>
      </c>
      <c r="G3775" s="53">
        <v>2.9</v>
      </c>
      <c r="H3775" s="51" t="str">
        <f>TEXT(tblLaborEntries[[#This Row],[Work date serial]]-WEEKDAY(tblLaborEntries[[#This Row],[Work date serial]],3),"yyyy-mm-dd")</f>
        <v>2025-03-10</v>
      </c>
      <c r="I3775" s="64">
        <f>DATEVALUE(tblLaborEntries[[#This Row],[Work date]])</f>
        <v>45727.0</v>
      </c>
    </row>
    <row r="3776" spans="1:9" ht="15" x14ac:dyDescent="0.25">
      <c r="A3776" s="53" t="inlineStr">
        <is>
          <t>LAB-003775</t>
        </is>
      </c>
      <c r="B3776" s="53" t="inlineStr">
        <is>
          <t>WP-01660</t>
        </is>
      </c>
      <c r="C3776" s="53" t="inlineStr">
        <is>
          <t>TECH-003</t>
        </is>
      </c>
      <c r="D3776" s="53" t="inlineStr">
        <is>
          <t>Hydraulics</t>
        </is>
      </c>
      <c r="E3776" s="53" t="inlineStr">
        <is>
          <t>2025-02-03</t>
        </is>
      </c>
      <c r="F3776" s="53">
        <v>4.3</v>
      </c>
      <c r="G3776" s="53">
        <v>0</v>
      </c>
      <c r="H3776" s="51" t="str">
        <f>TEXT(tblLaborEntries[[#This Row],[Work date serial]]-WEEKDAY(tblLaborEntries[[#This Row],[Work date serial]],3),"yyyy-mm-dd")</f>
        <v>2025-02-03</v>
      </c>
      <c r="I3776" s="64">
        <f>DATEVALUE(tblLaborEntries[[#This Row],[Work date]])</f>
        <v>45691.0</v>
      </c>
    </row>
    <row r="3777" spans="1:9" ht="15" x14ac:dyDescent="0.25">
      <c r="A3777" s="53" t="inlineStr">
        <is>
          <t>LAB-003776</t>
        </is>
      </c>
      <c r="B3777" s="53" t="inlineStr">
        <is>
          <t>WP-01660</t>
        </is>
      </c>
      <c r="C3777" s="53" t="inlineStr">
        <is>
          <t>TECH-069</t>
        </is>
      </c>
      <c r="D3777" s="53" t="inlineStr">
        <is>
          <t>Hydraulics</t>
        </is>
      </c>
      <c r="E3777" s="53" t="inlineStr">
        <is>
          <t>2025-02-04</t>
        </is>
      </c>
      <c r="F3777" s="53">
        <v>6.3</v>
      </c>
      <c r="G3777" s="53">
        <v>0</v>
      </c>
      <c r="H3777" s="51" t="str">
        <f>TEXT(tblLaborEntries[[#This Row],[Work date serial]]-WEEKDAY(tblLaborEntries[[#This Row],[Work date serial]],3),"yyyy-mm-dd")</f>
        <v>2025-02-03</v>
      </c>
      <c r="I3777" s="64">
        <f>DATEVALUE(tblLaborEntries[[#This Row],[Work date]])</f>
        <v>45692.0</v>
      </c>
    </row>
    <row r="3778" spans="1:9" ht="15" x14ac:dyDescent="0.25">
      <c r="A3778" s="53" t="inlineStr">
        <is>
          <t>LAB-003777</t>
        </is>
      </c>
      <c r="B3778" s="53" t="inlineStr">
        <is>
          <t>WP-01661</t>
        </is>
      </c>
      <c r="C3778" s="53" t="inlineStr">
        <is>
          <t>TECH-031</t>
        </is>
      </c>
      <c r="D3778" s="53" t="inlineStr">
        <is>
          <t>Airframe</t>
        </is>
      </c>
      <c r="E3778" s="53" t="inlineStr">
        <is>
          <t>2024-11-10</t>
        </is>
      </c>
      <c r="F3778" s="53">
        <v>2.6</v>
      </c>
      <c r="G3778" s="53">
        <v>0</v>
      </c>
      <c r="H3778" s="51" t="str">
        <f>TEXT(tblLaborEntries[[#This Row],[Work date serial]]-WEEKDAY(tblLaborEntries[[#This Row],[Work date serial]],3),"yyyy-mm-dd")</f>
        <v>2024-11-04</v>
      </c>
      <c r="I3778" s="64">
        <f>DATEVALUE(tblLaborEntries[[#This Row],[Work date]])</f>
        <v>45606.0</v>
      </c>
    </row>
    <row r="3779" spans="1:9" ht="15" x14ac:dyDescent="0.25">
      <c r="A3779" s="53" t="inlineStr">
        <is>
          <t>LAB-003778</t>
        </is>
      </c>
      <c r="B3779" s="53" t="inlineStr">
        <is>
          <t>WP-01662</t>
        </is>
      </c>
      <c r="C3779" s="53" t="inlineStr">
        <is>
          <t>TECH-067</t>
        </is>
      </c>
      <c r="D3779" s="53" t="inlineStr">
        <is>
          <t>Airframe</t>
        </is>
      </c>
      <c r="E3779" s="53" t="inlineStr">
        <is>
          <t>2024-04-21</t>
        </is>
      </c>
      <c r="F3779" s="53">
        <v>1.3</v>
      </c>
      <c r="G3779" s="53">
        <v>0</v>
      </c>
      <c r="H3779" s="51" t="str">
        <f>TEXT(tblLaborEntries[[#This Row],[Work date serial]]-WEEKDAY(tblLaborEntries[[#This Row],[Work date serial]],3),"yyyy-mm-dd")</f>
        <v>2024-04-15</v>
      </c>
      <c r="I3779" s="64">
        <f>DATEVALUE(tblLaborEntries[[#This Row],[Work date]])</f>
        <v>45403.0</v>
      </c>
    </row>
    <row r="3780" spans="1:9" ht="15" x14ac:dyDescent="0.25">
      <c r="A3780" s="53" t="inlineStr">
        <is>
          <t>LAB-003779</t>
        </is>
      </c>
      <c r="B3780" s="53" t="inlineStr">
        <is>
          <t>WP-01662</t>
        </is>
      </c>
      <c r="C3780" s="53" t="inlineStr">
        <is>
          <t>TECH-019</t>
        </is>
      </c>
      <c r="D3780" s="53" t="inlineStr">
        <is>
          <t>Airframe</t>
        </is>
      </c>
      <c r="E3780" s="53" t="inlineStr">
        <is>
          <t>2024-04-22</t>
        </is>
      </c>
      <c r="F3780" s="53">
        <v>1.4</v>
      </c>
      <c r="G3780" s="53">
        <v>1.4</v>
      </c>
      <c r="H3780" s="51" t="str">
        <f>TEXT(tblLaborEntries[[#This Row],[Work date serial]]-WEEKDAY(tblLaborEntries[[#This Row],[Work date serial]],3),"yyyy-mm-dd")</f>
        <v>2024-04-22</v>
      </c>
      <c r="I3780" s="64">
        <f>DATEVALUE(tblLaborEntries[[#This Row],[Work date]])</f>
        <v>45404.0</v>
      </c>
    </row>
    <row r="3781" spans="1:9" ht="15" x14ac:dyDescent="0.25">
      <c r="A3781" s="53" t="inlineStr">
        <is>
          <t>LAB-003780</t>
        </is>
      </c>
      <c r="B3781" s="53" t="inlineStr">
        <is>
          <t>WP-01663</t>
        </is>
      </c>
      <c r="C3781" s="53" t="inlineStr">
        <is>
          <t>TECH-031</t>
        </is>
      </c>
      <c r="D3781" s="53" t="inlineStr">
        <is>
          <t>Airframe</t>
        </is>
      </c>
      <c r="E3781" s="53" t="inlineStr">
        <is>
          <t>2025-11-15</t>
        </is>
      </c>
      <c r="F3781" s="53">
        <v>6.1</v>
      </c>
      <c r="G3781" s="53">
        <v>0</v>
      </c>
      <c r="H3781" s="51" t="str">
        <f>TEXT(tblLaborEntries[[#This Row],[Work date serial]]-WEEKDAY(tblLaborEntries[[#This Row],[Work date serial]],3),"yyyy-mm-dd")</f>
        <v>2025-11-10</v>
      </c>
      <c r="I3781" s="64">
        <f>DATEVALUE(tblLaborEntries[[#This Row],[Work date]])</f>
        <v>45976.0</v>
      </c>
    </row>
    <row r="3782" spans="1:9" ht="15" x14ac:dyDescent="0.25">
      <c r="A3782" s="53" t="inlineStr">
        <is>
          <t>LAB-003781</t>
        </is>
      </c>
      <c r="B3782" s="53" t="inlineStr">
        <is>
          <t>WP-01663</t>
        </is>
      </c>
      <c r="C3782" s="53" t="inlineStr">
        <is>
          <t>TECH-013</t>
        </is>
      </c>
      <c r="D3782" s="53" t="inlineStr">
        <is>
          <t>Airframe</t>
        </is>
      </c>
      <c r="E3782" s="53" t="inlineStr">
        <is>
          <t>2025-11-16</t>
        </is>
      </c>
      <c r="F3782" s="53">
        <v>5.1</v>
      </c>
      <c r="G3782" s="53">
        <v>0</v>
      </c>
      <c r="H3782" s="51" t="str">
        <f>TEXT(tblLaborEntries[[#This Row],[Work date serial]]-WEEKDAY(tblLaborEntries[[#This Row],[Work date serial]],3),"yyyy-mm-dd")</f>
        <v>2025-11-10</v>
      </c>
      <c r="I3782" s="64">
        <f>DATEVALUE(tblLaborEntries[[#This Row],[Work date]])</f>
        <v>45977.0</v>
      </c>
    </row>
    <row r="3783" spans="1:9" ht="15" x14ac:dyDescent="0.25">
      <c r="A3783" s="53" t="inlineStr">
        <is>
          <t>LAB-003782</t>
        </is>
      </c>
      <c r="B3783" s="53" t="inlineStr">
        <is>
          <t>WP-01664</t>
        </is>
      </c>
      <c r="C3783" s="53" t="inlineStr">
        <is>
          <t>TECH-008</t>
        </is>
      </c>
      <c r="D3783" s="53" t="inlineStr">
        <is>
          <t>Avionics</t>
        </is>
      </c>
      <c r="E3783" s="53" t="inlineStr">
        <is>
          <t>2025-04-27</t>
        </is>
      </c>
      <c r="F3783" s="53">
        <v>8.2</v>
      </c>
      <c r="G3783" s="53">
        <v>0.2</v>
      </c>
      <c r="H3783" s="51" t="str">
        <f>TEXT(tblLaborEntries[[#This Row],[Work date serial]]-WEEKDAY(tblLaborEntries[[#This Row],[Work date serial]],3),"yyyy-mm-dd")</f>
        <v>2025-04-21</v>
      </c>
      <c r="I3783" s="64">
        <f>DATEVALUE(tblLaborEntries[[#This Row],[Work date]])</f>
        <v>45774.0</v>
      </c>
    </row>
    <row r="3784" spans="1:9" ht="15" x14ac:dyDescent="0.25">
      <c r="A3784" s="53" t="inlineStr">
        <is>
          <t>LAB-003783</t>
        </is>
      </c>
      <c r="B3784" s="53" t="inlineStr">
        <is>
          <t>WP-01665</t>
        </is>
      </c>
      <c r="C3784" s="53" t="inlineStr">
        <is>
          <t>TECH-038</t>
        </is>
      </c>
      <c r="D3784" s="53" t="inlineStr">
        <is>
          <t>Avionics</t>
        </is>
      </c>
      <c r="E3784" s="53" t="inlineStr">
        <is>
          <t>2025-09-14</t>
        </is>
      </c>
      <c r="F3784" s="53">
        <v>9</v>
      </c>
      <c r="G3784" s="53">
        <v>1</v>
      </c>
      <c r="H3784" s="51" t="str">
        <f>TEXT(tblLaborEntries[[#This Row],[Work date serial]]-WEEKDAY(tblLaborEntries[[#This Row],[Work date serial]],3),"yyyy-mm-dd")</f>
        <v>2025-09-08</v>
      </c>
      <c r="I3784" s="64">
        <f>DATEVALUE(tblLaborEntries[[#This Row],[Work date]])</f>
        <v>45914.0</v>
      </c>
    </row>
    <row r="3785" spans="1:9" ht="15" x14ac:dyDescent="0.25">
      <c r="A3785" s="53" t="inlineStr">
        <is>
          <t>LAB-003784</t>
        </is>
      </c>
      <c r="B3785" s="53" t="inlineStr">
        <is>
          <t>WP-01665</t>
        </is>
      </c>
      <c r="C3785" s="53" t="inlineStr">
        <is>
          <t>TECH-008</t>
        </is>
      </c>
      <c r="D3785" s="53" t="inlineStr">
        <is>
          <t>Avionics</t>
        </is>
      </c>
      <c r="E3785" s="53" t="inlineStr">
        <is>
          <t>2025-09-15</t>
        </is>
      </c>
      <c r="F3785" s="53">
        <v>6</v>
      </c>
      <c r="G3785" s="53">
        <v>0</v>
      </c>
      <c r="H3785" s="51" t="str">
        <f>TEXT(tblLaborEntries[[#This Row],[Work date serial]]-WEEKDAY(tblLaborEntries[[#This Row],[Work date serial]],3),"yyyy-mm-dd")</f>
        <v>2025-09-15</v>
      </c>
      <c r="I3785" s="64">
        <f>DATEVALUE(tblLaborEntries[[#This Row],[Work date]])</f>
        <v>45915.0</v>
      </c>
    </row>
    <row r="3786" spans="1:9" ht="15" x14ac:dyDescent="0.25">
      <c r="A3786" s="53" t="inlineStr">
        <is>
          <t>LAB-003785</t>
        </is>
      </c>
      <c r="B3786" s="53" t="inlineStr">
        <is>
          <t>WP-01665</t>
        </is>
      </c>
      <c r="C3786" s="53" t="inlineStr">
        <is>
          <t>TECH-032</t>
        </is>
      </c>
      <c r="D3786" s="53" t="inlineStr">
        <is>
          <t>Avionics</t>
        </is>
      </c>
      <c r="E3786" s="53" t="inlineStr">
        <is>
          <t>2025-09-15</t>
        </is>
      </c>
      <c r="F3786" s="53">
        <v>7.4</v>
      </c>
      <c r="G3786" s="53">
        <v>1</v>
      </c>
      <c r="H3786" s="51" t="str">
        <f>TEXT(tblLaborEntries[[#This Row],[Work date serial]]-WEEKDAY(tblLaborEntries[[#This Row],[Work date serial]],3),"yyyy-mm-dd")</f>
        <v>2025-09-15</v>
      </c>
      <c r="I3786" s="64">
        <f>DATEVALUE(tblLaborEntries[[#This Row],[Work date]])</f>
        <v>45915.0</v>
      </c>
    </row>
    <row r="3787" spans="1:9" ht="15" x14ac:dyDescent="0.25">
      <c r="A3787" s="53" t="inlineStr">
        <is>
          <t>LAB-003786</t>
        </is>
      </c>
      <c r="B3787" s="53" t="inlineStr">
        <is>
          <t>WP-01666</t>
        </is>
      </c>
      <c r="C3787" s="53" t="inlineStr">
        <is>
          <t>TECH-042</t>
        </is>
      </c>
      <c r="D3787" s="53" t="inlineStr">
        <is>
          <t>Powerplant</t>
        </is>
      </c>
      <c r="E3787" s="53" t="inlineStr">
        <is>
          <t>2025-07-09</t>
        </is>
      </c>
      <c r="F3787" s="53">
        <v>10.3</v>
      </c>
      <c r="G3787" s="53">
        <v>2.3</v>
      </c>
      <c r="H3787" s="51" t="str">
        <f>TEXT(tblLaborEntries[[#This Row],[Work date serial]]-WEEKDAY(tblLaborEntries[[#This Row],[Work date serial]],3),"yyyy-mm-dd")</f>
        <v>2025-07-07</v>
      </c>
      <c r="I3787" s="64">
        <f>DATEVALUE(tblLaborEntries[[#This Row],[Work date]])</f>
        <v>45847.0</v>
      </c>
    </row>
    <row r="3788" spans="1:9" ht="15" x14ac:dyDescent="0.25">
      <c r="A3788" s="53" t="inlineStr">
        <is>
          <t>LAB-003787</t>
        </is>
      </c>
      <c r="B3788" s="53" t="inlineStr">
        <is>
          <t>WP-01667</t>
        </is>
      </c>
      <c r="C3788" s="53" t="inlineStr">
        <is>
          <t>TECH-036</t>
        </is>
      </c>
      <c r="D3788" s="53" t="inlineStr">
        <is>
          <t>Powerplant</t>
        </is>
      </c>
      <c r="E3788" s="53" t="inlineStr">
        <is>
          <t>2024-03-15</t>
        </is>
      </c>
      <c r="F3788" s="53">
        <v>8</v>
      </c>
      <c r="G3788" s="53">
        <v>0</v>
      </c>
      <c r="H3788" s="51" t="str">
        <f>TEXT(tblLaborEntries[[#This Row],[Work date serial]]-WEEKDAY(tblLaborEntries[[#This Row],[Work date serial]],3),"yyyy-mm-dd")</f>
        <v>2024-03-11</v>
      </c>
      <c r="I3788" s="64">
        <f>DATEVALUE(tblLaborEntries[[#This Row],[Work date]])</f>
        <v>45366.0</v>
      </c>
    </row>
    <row r="3789" spans="1:9" ht="15" x14ac:dyDescent="0.25">
      <c r="A3789" s="53" t="inlineStr">
        <is>
          <t>LAB-003788</t>
        </is>
      </c>
      <c r="B3789" s="53" t="inlineStr">
        <is>
          <t>WP-01667</t>
        </is>
      </c>
      <c r="C3789" s="53" t="inlineStr">
        <is>
          <t>TECH-018</t>
        </is>
      </c>
      <c r="D3789" s="53" t="inlineStr">
        <is>
          <t>Powerplant</t>
        </is>
      </c>
      <c r="E3789" s="53" t="inlineStr">
        <is>
          <t>2024-03-16</t>
        </is>
      </c>
      <c r="F3789" s="53">
        <v>6</v>
      </c>
      <c r="G3789" s="53">
        <v>0</v>
      </c>
      <c r="H3789" s="51" t="str">
        <f>TEXT(tblLaborEntries[[#This Row],[Work date serial]]-WEEKDAY(tblLaborEntries[[#This Row],[Work date serial]],3),"yyyy-mm-dd")</f>
        <v>2024-03-11</v>
      </c>
      <c r="I3789" s="64">
        <f>DATEVALUE(tblLaborEntries[[#This Row],[Work date]])</f>
        <v>45367.0</v>
      </c>
    </row>
    <row r="3790" spans="1:9" ht="15" x14ac:dyDescent="0.25">
      <c r="A3790" s="53" t="inlineStr">
        <is>
          <t>LAB-003789</t>
        </is>
      </c>
      <c r="B3790" s="53" t="inlineStr">
        <is>
          <t>WP-01667</t>
        </is>
      </c>
      <c r="C3790" s="53" t="inlineStr">
        <is>
          <t>TECH-036</t>
        </is>
      </c>
      <c r="D3790" s="53" t="inlineStr">
        <is>
          <t>Powerplant</t>
        </is>
      </c>
      <c r="E3790" s="53" t="inlineStr">
        <is>
          <t>2024-03-17</t>
        </is>
      </c>
      <c r="F3790" s="53">
        <v>8.1</v>
      </c>
      <c r="G3790" s="53">
        <v>0.1</v>
      </c>
      <c r="H3790" s="51" t="str">
        <f>TEXT(tblLaborEntries[[#This Row],[Work date serial]]-WEEKDAY(tblLaborEntries[[#This Row],[Work date serial]],3),"yyyy-mm-dd")</f>
        <v>2024-03-11</v>
      </c>
      <c r="I3790" s="64">
        <f>DATEVALUE(tblLaborEntries[[#This Row],[Work date]])</f>
        <v>45368.0</v>
      </c>
    </row>
    <row r="3791" spans="1:9" ht="15" x14ac:dyDescent="0.25">
      <c r="A3791" s="53" t="inlineStr">
        <is>
          <t>LAB-003790</t>
        </is>
      </c>
      <c r="B3791" s="53" t="inlineStr">
        <is>
          <t>WP-01668</t>
        </is>
      </c>
      <c r="C3791" s="53" t="inlineStr">
        <is>
          <t>TECH-005</t>
        </is>
      </c>
      <c r="D3791" s="53" t="inlineStr">
        <is>
          <t>Structures</t>
        </is>
      </c>
      <c r="E3791" s="53" t="inlineStr">
        <is>
          <t>2024-07-29</t>
        </is>
      </c>
      <c r="F3791" s="53">
        <v>5.3</v>
      </c>
      <c r="G3791" s="53">
        <v>0</v>
      </c>
      <c r="H3791" s="51" t="str">
        <f>TEXT(tblLaborEntries[[#This Row],[Work date serial]]-WEEKDAY(tblLaborEntries[[#This Row],[Work date serial]],3),"yyyy-mm-dd")</f>
        <v>2024-07-29</v>
      </c>
      <c r="I3791" s="64">
        <f>DATEVALUE(tblLaborEntries[[#This Row],[Work date]])</f>
        <v>45502.0</v>
      </c>
    </row>
    <row r="3792" spans="1:9" ht="15" x14ac:dyDescent="0.25">
      <c r="A3792" s="53" t="inlineStr">
        <is>
          <t>LAB-003791</t>
        </is>
      </c>
      <c r="B3792" s="53" t="inlineStr">
        <is>
          <t>WP-01668</t>
        </is>
      </c>
      <c r="C3792" s="53" t="inlineStr">
        <is>
          <t>TECH-029</t>
        </is>
      </c>
      <c r="D3792" s="53" t="inlineStr">
        <is>
          <t>Structures</t>
        </is>
      </c>
      <c r="E3792" s="53" t="inlineStr">
        <is>
          <t>2024-07-29</t>
        </is>
      </c>
      <c r="F3792" s="53">
        <v>12</v>
      </c>
      <c r="G3792" s="53">
        <v>4</v>
      </c>
      <c r="H3792" s="51" t="str">
        <f>TEXT(tblLaborEntries[[#This Row],[Work date serial]]-WEEKDAY(tblLaborEntries[[#This Row],[Work date serial]],3),"yyyy-mm-dd")</f>
        <v>2024-07-29</v>
      </c>
      <c r="I3792" s="64">
        <f>DATEVALUE(tblLaborEntries[[#This Row],[Work date]])</f>
        <v>45502.0</v>
      </c>
    </row>
    <row r="3793" spans="1:9" ht="15" x14ac:dyDescent="0.25">
      <c r="A3793" s="53" t="inlineStr">
        <is>
          <t>LAB-003792</t>
        </is>
      </c>
      <c r="B3793" s="53" t="inlineStr">
        <is>
          <t>WP-01669</t>
        </is>
      </c>
      <c r="C3793" s="53" t="inlineStr">
        <is>
          <t>TECH-038</t>
        </is>
      </c>
      <c r="D3793" s="53" t="inlineStr">
        <is>
          <t>Avionics</t>
        </is>
      </c>
      <c r="E3793" s="53" t="inlineStr">
        <is>
          <t>2025-02-22</t>
        </is>
      </c>
      <c r="F3793" s="53">
        <v>3.8</v>
      </c>
      <c r="G3793" s="53">
        <v>0</v>
      </c>
      <c r="H3793" s="51" t="str">
        <f>TEXT(tblLaborEntries[[#This Row],[Work date serial]]-WEEKDAY(tblLaborEntries[[#This Row],[Work date serial]],3),"yyyy-mm-dd")</f>
        <v>2025-02-17</v>
      </c>
      <c r="I3793" s="64">
        <f>DATEVALUE(tblLaborEntries[[#This Row],[Work date]])</f>
        <v>45710.0</v>
      </c>
    </row>
    <row r="3794" spans="1:9" ht="15" x14ac:dyDescent="0.25">
      <c r="A3794" s="53" t="inlineStr">
        <is>
          <t>LAB-003793</t>
        </is>
      </c>
      <c r="B3794" s="53" t="inlineStr">
        <is>
          <t>WP-01669</t>
        </is>
      </c>
      <c r="C3794" s="53" t="inlineStr">
        <is>
          <t>TECH-008</t>
        </is>
      </c>
      <c r="D3794" s="53" t="inlineStr">
        <is>
          <t>Avionics</t>
        </is>
      </c>
      <c r="E3794" s="53" t="inlineStr">
        <is>
          <t>2025-02-23</t>
        </is>
      </c>
      <c r="F3794" s="53">
        <v>2.7</v>
      </c>
      <c r="G3794" s="53">
        <v>0</v>
      </c>
      <c r="H3794" s="51" t="str">
        <f>TEXT(tblLaborEntries[[#This Row],[Work date serial]]-WEEKDAY(tblLaborEntries[[#This Row],[Work date serial]],3),"yyyy-mm-dd")</f>
        <v>2025-02-17</v>
      </c>
      <c r="I3794" s="64">
        <f>DATEVALUE(tblLaborEntries[[#This Row],[Work date]])</f>
        <v>45711.0</v>
      </c>
    </row>
    <row r="3795" spans="1:9" ht="15" x14ac:dyDescent="0.25">
      <c r="A3795" s="53" t="inlineStr">
        <is>
          <t>LAB-003794</t>
        </is>
      </c>
      <c r="B3795" s="53" t="inlineStr">
        <is>
          <t>WP-01670</t>
        </is>
      </c>
      <c r="C3795" s="53" t="inlineStr">
        <is>
          <t>TECH-032</t>
        </is>
      </c>
      <c r="D3795" s="53" t="inlineStr">
        <is>
          <t>Avionics</t>
        </is>
      </c>
      <c r="E3795" s="53" t="inlineStr">
        <is>
          <t>2024-07-17</t>
        </is>
      </c>
      <c r="F3795" s="53">
        <v>8.5</v>
      </c>
      <c r="G3795" s="53">
        <v>0.5</v>
      </c>
      <c r="H3795" s="51" t="str">
        <f>TEXT(tblLaborEntries[[#This Row],[Work date serial]]-WEEKDAY(tblLaborEntries[[#This Row],[Work date serial]],3),"yyyy-mm-dd")</f>
        <v>2024-07-15</v>
      </c>
      <c r="I3795" s="64">
        <f>DATEVALUE(tblLaborEntries[[#This Row],[Work date]])</f>
        <v>45490.0</v>
      </c>
    </row>
    <row r="3796" spans="1:9" ht="15" x14ac:dyDescent="0.25">
      <c r="A3796" s="53" t="inlineStr">
        <is>
          <t>LAB-003795</t>
        </is>
      </c>
      <c r="B3796" s="53" t="inlineStr">
        <is>
          <t>WP-01670</t>
        </is>
      </c>
      <c r="C3796" s="53" t="inlineStr">
        <is>
          <t>TECH-050</t>
        </is>
      </c>
      <c r="D3796" s="53" t="inlineStr">
        <is>
          <t>Avionics</t>
        </is>
      </c>
      <c r="E3796" s="53" t="inlineStr">
        <is>
          <t>2024-07-18</t>
        </is>
      </c>
      <c r="F3796" s="53">
        <v>6.6</v>
      </c>
      <c r="G3796" s="53">
        <v>0</v>
      </c>
      <c r="H3796" s="51" t="str">
        <f>TEXT(tblLaborEntries[[#This Row],[Work date serial]]-WEEKDAY(tblLaborEntries[[#This Row],[Work date serial]],3),"yyyy-mm-dd")</f>
        <v>2024-07-15</v>
      </c>
      <c r="I3796" s="64">
        <f>DATEVALUE(tblLaborEntries[[#This Row],[Work date]])</f>
        <v>45491.0</v>
      </c>
    </row>
    <row r="3797" spans="1:9" ht="15" x14ac:dyDescent="0.25">
      <c r="A3797" s="53" t="inlineStr">
        <is>
          <t>LAB-003796</t>
        </is>
      </c>
      <c r="B3797" s="53" t="inlineStr">
        <is>
          <t>WP-01671</t>
        </is>
      </c>
      <c r="C3797" s="53" t="inlineStr">
        <is>
          <t>TECH-050</t>
        </is>
      </c>
      <c r="D3797" s="53" t="inlineStr">
        <is>
          <t>Avionics</t>
        </is>
      </c>
      <c r="E3797" s="53" t="inlineStr">
        <is>
          <t>2025-08-25</t>
        </is>
      </c>
      <c r="F3797" s="53">
        <v>7.9</v>
      </c>
      <c r="G3797" s="53">
        <v>0</v>
      </c>
      <c r="H3797" s="51" t="str">
        <f>TEXT(tblLaborEntries[[#This Row],[Work date serial]]-WEEKDAY(tblLaborEntries[[#This Row],[Work date serial]],3),"yyyy-mm-dd")</f>
        <v>2025-08-25</v>
      </c>
      <c r="I3797" s="64">
        <f>DATEVALUE(tblLaborEntries[[#This Row],[Work date]])</f>
        <v>45894.0</v>
      </c>
    </row>
    <row r="3798" spans="1:9" ht="15" x14ac:dyDescent="0.25">
      <c r="A3798" s="53" t="inlineStr">
        <is>
          <t>LAB-003797</t>
        </is>
      </c>
      <c r="B3798" s="53" t="inlineStr">
        <is>
          <t>WP-01671</t>
        </is>
      </c>
      <c r="C3798" s="53" t="inlineStr">
        <is>
          <t>TECH-050</t>
        </is>
      </c>
      <c r="D3798" s="53" t="inlineStr">
        <is>
          <t>Avionics</t>
        </is>
      </c>
      <c r="E3798" s="53" t="inlineStr">
        <is>
          <t>2025-08-26</t>
        </is>
      </c>
      <c r="F3798" s="53">
        <v>6.6</v>
      </c>
      <c r="G3798" s="53">
        <v>0</v>
      </c>
      <c r="H3798" s="51" t="str">
        <f>TEXT(tblLaborEntries[[#This Row],[Work date serial]]-WEEKDAY(tblLaborEntries[[#This Row],[Work date serial]],3),"yyyy-mm-dd")</f>
        <v>2025-08-25</v>
      </c>
      <c r="I3798" s="64">
        <f>DATEVALUE(tblLaborEntries[[#This Row],[Work date]])</f>
        <v>45895.0</v>
      </c>
    </row>
    <row r="3799" spans="1:9" ht="15" x14ac:dyDescent="0.25">
      <c r="A3799" s="53" t="inlineStr">
        <is>
          <t>LAB-003798</t>
        </is>
      </c>
      <c r="B3799" s="53" t="inlineStr">
        <is>
          <t>WP-01672</t>
        </is>
      </c>
      <c r="C3799" s="53" t="inlineStr">
        <is>
          <t>TECH-074</t>
        </is>
      </c>
      <c r="D3799" s="53" t="inlineStr">
        <is>
          <t>Avionics</t>
        </is>
      </c>
      <c r="E3799" s="53" t="inlineStr">
        <is>
          <t>2025-09-23</t>
        </is>
      </c>
      <c r="F3799" s="53">
        <v>4.5</v>
      </c>
      <c r="G3799" s="53">
        <v>1.7</v>
      </c>
      <c r="H3799" s="51" t="str">
        <f>TEXT(tblLaborEntries[[#This Row],[Work date serial]]-WEEKDAY(tblLaborEntries[[#This Row],[Work date serial]],3),"yyyy-mm-dd")</f>
        <v>2025-09-22</v>
      </c>
      <c r="I3799" s="64">
        <f>DATEVALUE(tblLaborEntries[[#This Row],[Work date]])</f>
        <v>45923.0</v>
      </c>
    </row>
    <row r="3800" spans="1:9" ht="15" x14ac:dyDescent="0.25">
      <c r="A3800" s="53" t="inlineStr">
        <is>
          <t>LAB-003799</t>
        </is>
      </c>
      <c r="B3800" s="53" t="inlineStr">
        <is>
          <t>WP-01672</t>
        </is>
      </c>
      <c r="C3800" s="53" t="inlineStr">
        <is>
          <t>TECH-020</t>
        </is>
      </c>
      <c r="D3800" s="53" t="inlineStr">
        <is>
          <t>Avionics</t>
        </is>
      </c>
      <c r="E3800" s="53" t="inlineStr">
        <is>
          <t>2025-09-24</t>
        </is>
      </c>
      <c r="F3800" s="53">
        <v>4.7</v>
      </c>
      <c r="G3800" s="53">
        <v>0</v>
      </c>
      <c r="H3800" s="51" t="str">
        <f>TEXT(tblLaborEntries[[#This Row],[Work date serial]]-WEEKDAY(tblLaborEntries[[#This Row],[Work date serial]],3),"yyyy-mm-dd")</f>
        <v>2025-09-22</v>
      </c>
      <c r="I3800" s="64">
        <f>DATEVALUE(tblLaborEntries[[#This Row],[Work date]])</f>
        <v>45924.0</v>
      </c>
    </row>
    <row r="3801" spans="1:9" ht="15" x14ac:dyDescent="0.25">
      <c r="A3801" s="53" t="inlineStr">
        <is>
          <t>LAB-003800</t>
        </is>
      </c>
      <c r="B3801" s="53" t="inlineStr">
        <is>
          <t>WP-01672</t>
        </is>
      </c>
      <c r="C3801" s="53" t="inlineStr">
        <is>
          <t>TECH-050</t>
        </is>
      </c>
      <c r="D3801" s="53" t="inlineStr">
        <is>
          <t>Avionics</t>
        </is>
      </c>
      <c r="E3801" s="53" t="inlineStr">
        <is>
          <t>2025-09-25</t>
        </is>
      </c>
      <c r="F3801" s="53">
        <v>6.5</v>
      </c>
      <c r="G3801" s="53">
        <v>0</v>
      </c>
      <c r="H3801" s="51" t="str">
        <f>TEXT(tblLaborEntries[[#This Row],[Work date serial]]-WEEKDAY(tblLaborEntries[[#This Row],[Work date serial]],3),"yyyy-mm-dd")</f>
        <v>2025-09-22</v>
      </c>
      <c r="I3801" s="64">
        <f>DATEVALUE(tblLaborEntries[[#This Row],[Work date]])</f>
        <v>45925.0</v>
      </c>
    </row>
    <row r="3802" spans="1:9" ht="15" x14ac:dyDescent="0.25">
      <c r="A3802" s="53" t="inlineStr">
        <is>
          <t>LAB-003801</t>
        </is>
      </c>
      <c r="B3802" s="53" t="inlineStr">
        <is>
          <t>WP-01673</t>
        </is>
      </c>
      <c r="C3802" s="53" t="inlineStr">
        <is>
          <t>TECH-008</t>
        </is>
      </c>
      <c r="D3802" s="53" t="inlineStr">
        <is>
          <t>Avionics</t>
        </is>
      </c>
      <c r="E3802" s="53" t="inlineStr">
        <is>
          <t>2025-09-21</t>
        </is>
      </c>
      <c r="F3802" s="53">
        <v>2.2</v>
      </c>
      <c r="G3802" s="53">
        <v>0</v>
      </c>
      <c r="H3802" s="51" t="str">
        <f>TEXT(tblLaborEntries[[#This Row],[Work date serial]]-WEEKDAY(tblLaborEntries[[#This Row],[Work date serial]],3),"yyyy-mm-dd")</f>
        <v>2025-09-15</v>
      </c>
      <c r="I3802" s="64">
        <f>DATEVALUE(tblLaborEntries[[#This Row],[Work date]])</f>
        <v>45921.0</v>
      </c>
    </row>
    <row r="3803" spans="1:9" ht="15" x14ac:dyDescent="0.25">
      <c r="A3803" s="53" t="inlineStr">
        <is>
          <t>LAB-003802</t>
        </is>
      </c>
      <c r="B3803" s="53" t="inlineStr">
        <is>
          <t>WP-01673</t>
        </is>
      </c>
      <c r="C3803" s="53" t="inlineStr">
        <is>
          <t>TECH-062</t>
        </is>
      </c>
      <c r="D3803" s="53" t="inlineStr">
        <is>
          <t>Avionics</t>
        </is>
      </c>
      <c r="E3803" s="53" t="inlineStr">
        <is>
          <t>2025-09-22</t>
        </is>
      </c>
      <c r="F3803" s="53">
        <v>1.6</v>
      </c>
      <c r="G3803" s="53">
        <v>0</v>
      </c>
      <c r="H3803" s="51" t="str">
        <f>TEXT(tblLaborEntries[[#This Row],[Work date serial]]-WEEKDAY(tblLaborEntries[[#This Row],[Work date serial]],3),"yyyy-mm-dd")</f>
        <v>2025-09-22</v>
      </c>
      <c r="I3803" s="64">
        <f>DATEVALUE(tblLaborEntries[[#This Row],[Work date]])</f>
        <v>45922.0</v>
      </c>
    </row>
    <row r="3804" spans="1:9" ht="15" x14ac:dyDescent="0.25">
      <c r="A3804" s="53" t="inlineStr">
        <is>
          <t>LAB-003803</t>
        </is>
      </c>
      <c r="B3804" s="53" t="inlineStr">
        <is>
          <t>WP-01673</t>
        </is>
      </c>
      <c r="C3804" s="53" t="inlineStr">
        <is>
          <t>TECH-038</t>
        </is>
      </c>
      <c r="D3804" s="53" t="inlineStr">
        <is>
          <t>Avionics</t>
        </is>
      </c>
      <c r="E3804" s="53" t="inlineStr">
        <is>
          <t>2025-09-23</t>
        </is>
      </c>
      <c r="F3804" s="53">
        <v>2.5</v>
      </c>
      <c r="G3804" s="53">
        <v>0</v>
      </c>
      <c r="H3804" s="51" t="str">
        <f>TEXT(tblLaborEntries[[#This Row],[Work date serial]]-WEEKDAY(tblLaborEntries[[#This Row],[Work date serial]],3),"yyyy-mm-dd")</f>
        <v>2025-09-22</v>
      </c>
      <c r="I3804" s="64">
        <f>DATEVALUE(tblLaborEntries[[#This Row],[Work date]])</f>
        <v>45923.0</v>
      </c>
    </row>
    <row r="3805" spans="1:9" ht="15" x14ac:dyDescent="0.25">
      <c r="A3805" s="53" t="inlineStr">
        <is>
          <t>LAB-003804</t>
        </is>
      </c>
      <c r="B3805" s="53" t="inlineStr">
        <is>
          <t>WP-01674</t>
        </is>
      </c>
      <c r="C3805" s="53" t="inlineStr">
        <is>
          <t>TECH-053</t>
        </is>
      </c>
      <c r="D3805" s="53" t="inlineStr">
        <is>
          <t>Structures</t>
        </is>
      </c>
      <c r="E3805" s="53" t="inlineStr">
        <is>
          <t>2024-02-06</t>
        </is>
      </c>
      <c r="F3805" s="53">
        <v>5.3</v>
      </c>
      <c r="G3805" s="53">
        <v>0</v>
      </c>
      <c r="H3805" s="51" t="str">
        <f>TEXT(tblLaborEntries[[#This Row],[Work date serial]]-WEEKDAY(tblLaborEntries[[#This Row],[Work date serial]],3),"yyyy-mm-dd")</f>
        <v>2024-02-05</v>
      </c>
      <c r="I3805" s="64">
        <f>DATEVALUE(tblLaborEntries[[#This Row],[Work date]])</f>
        <v>45328.0</v>
      </c>
    </row>
    <row r="3806" spans="1:9" ht="15" x14ac:dyDescent="0.25">
      <c r="A3806" s="53" t="inlineStr">
        <is>
          <t>LAB-003805</t>
        </is>
      </c>
      <c r="B3806" s="53" t="inlineStr">
        <is>
          <t>WP-01674</t>
        </is>
      </c>
      <c r="C3806" s="53" t="inlineStr">
        <is>
          <t>TECH-011</t>
        </is>
      </c>
      <c r="D3806" s="53" t="inlineStr">
        <is>
          <t>Structures</t>
        </is>
      </c>
      <c r="E3806" s="53" t="inlineStr">
        <is>
          <t>2024-02-07</t>
        </is>
      </c>
      <c r="F3806" s="53">
        <v>4.8</v>
      </c>
      <c r="G3806" s="53">
        <v>0</v>
      </c>
      <c r="H3806" s="51" t="str">
        <f>TEXT(tblLaborEntries[[#This Row],[Work date serial]]-WEEKDAY(tblLaborEntries[[#This Row],[Work date serial]],3),"yyyy-mm-dd")</f>
        <v>2024-02-05</v>
      </c>
      <c r="I3806" s="64">
        <f>DATEVALUE(tblLaborEntries[[#This Row],[Work date]])</f>
        <v>45329.0</v>
      </c>
    </row>
    <row r="3807" spans="1:9" ht="15" x14ac:dyDescent="0.25">
      <c r="A3807" s="53" t="inlineStr">
        <is>
          <t>LAB-003806</t>
        </is>
      </c>
      <c r="B3807" s="53" t="inlineStr">
        <is>
          <t>WP-01674</t>
        </is>
      </c>
      <c r="C3807" s="53" t="inlineStr">
        <is>
          <t>TECH-047</t>
        </is>
      </c>
      <c r="D3807" s="53" t="inlineStr">
        <is>
          <t>Structures</t>
        </is>
      </c>
      <c r="E3807" s="53" t="inlineStr">
        <is>
          <t>2024-02-08</t>
        </is>
      </c>
      <c r="F3807" s="53">
        <v>5.7</v>
      </c>
      <c r="G3807" s="53">
        <v>0</v>
      </c>
      <c r="H3807" s="51" t="str">
        <f>TEXT(tblLaborEntries[[#This Row],[Work date serial]]-WEEKDAY(tblLaborEntries[[#This Row],[Work date serial]],3),"yyyy-mm-dd")</f>
        <v>2024-02-05</v>
      </c>
      <c r="I3807" s="64">
        <f>DATEVALUE(tblLaborEntries[[#This Row],[Work date]])</f>
        <v>45330.0</v>
      </c>
    </row>
    <row r="3808" spans="1:9" ht="15" x14ac:dyDescent="0.25">
      <c r="A3808" s="53" t="inlineStr">
        <is>
          <t>LAB-003807</t>
        </is>
      </c>
      <c r="B3808" s="53" t="inlineStr">
        <is>
          <t>WP-01675</t>
        </is>
      </c>
      <c r="C3808" s="53" t="inlineStr">
        <is>
          <t>TECH-034</t>
        </is>
      </c>
      <c r="D3808" s="53" t="inlineStr">
        <is>
          <t>Electrical</t>
        </is>
      </c>
      <c r="E3808" s="53" t="inlineStr">
        <is>
          <t>2024-10-09</t>
        </is>
      </c>
      <c r="F3808" s="53">
        <v>11.4</v>
      </c>
      <c r="G3808" s="53">
        <v>3.4</v>
      </c>
      <c r="H3808" s="51" t="str">
        <f>TEXT(tblLaborEntries[[#This Row],[Work date serial]]-WEEKDAY(tblLaborEntries[[#This Row],[Work date serial]],3),"yyyy-mm-dd")</f>
        <v>2024-10-07</v>
      </c>
      <c r="I3808" s="64">
        <f>DATEVALUE(tblLaborEntries[[#This Row],[Work date]])</f>
        <v>45574.0</v>
      </c>
    </row>
    <row r="3809" spans="1:9" ht="15" x14ac:dyDescent="0.25">
      <c r="A3809" s="53" t="inlineStr">
        <is>
          <t>LAB-003808</t>
        </is>
      </c>
      <c r="B3809" s="53" t="inlineStr">
        <is>
          <t>WP-01676</t>
        </is>
      </c>
      <c r="C3809" s="53" t="inlineStr">
        <is>
          <t>TECH-011</t>
        </is>
      </c>
      <c r="D3809" s="53" t="inlineStr">
        <is>
          <t>Structures</t>
        </is>
      </c>
      <c r="E3809" s="53" t="inlineStr">
        <is>
          <t>2025-10-28</t>
        </is>
      </c>
      <c r="F3809" s="53">
        <v>6.1</v>
      </c>
      <c r="G3809" s="53">
        <v>0</v>
      </c>
      <c r="H3809" s="51" t="str">
        <f>TEXT(tblLaborEntries[[#This Row],[Work date serial]]-WEEKDAY(tblLaborEntries[[#This Row],[Work date serial]],3),"yyyy-mm-dd")</f>
        <v>2025-10-27</v>
      </c>
      <c r="I3809" s="64">
        <f>DATEVALUE(tblLaborEntries[[#This Row],[Work date]])</f>
        <v>45958.0</v>
      </c>
    </row>
    <row r="3810" spans="1:9" ht="15" x14ac:dyDescent="0.25">
      <c r="A3810" s="53" t="inlineStr">
        <is>
          <t>LAB-003809</t>
        </is>
      </c>
      <c r="B3810" s="53" t="inlineStr">
        <is>
          <t>WP-01676</t>
        </is>
      </c>
      <c r="C3810" s="53" t="inlineStr">
        <is>
          <t>TECH-041</t>
        </is>
      </c>
      <c r="D3810" s="53" t="inlineStr">
        <is>
          <t>Structures</t>
        </is>
      </c>
      <c r="E3810" s="53" t="inlineStr">
        <is>
          <t>2025-10-29</t>
        </is>
      </c>
      <c r="F3810" s="53">
        <v>7.6</v>
      </c>
      <c r="G3810" s="53">
        <v>0</v>
      </c>
      <c r="H3810" s="51" t="str">
        <f>TEXT(tblLaborEntries[[#This Row],[Work date serial]]-WEEKDAY(tblLaborEntries[[#This Row],[Work date serial]],3),"yyyy-mm-dd")</f>
        <v>2025-10-27</v>
      </c>
      <c r="I3810" s="64">
        <f>DATEVALUE(tblLaborEntries[[#This Row],[Work date]])</f>
        <v>45959.0</v>
      </c>
    </row>
    <row r="3811" spans="1:9" ht="15" x14ac:dyDescent="0.25">
      <c r="A3811" s="53" t="inlineStr">
        <is>
          <t>LAB-003810</t>
        </is>
      </c>
      <c r="B3811" s="53" t="inlineStr">
        <is>
          <t>WP-01676</t>
        </is>
      </c>
      <c r="C3811" s="53" t="inlineStr">
        <is>
          <t>TECH-011</t>
        </is>
      </c>
      <c r="D3811" s="53" t="inlineStr">
        <is>
          <t>Structures</t>
        </is>
      </c>
      <c r="E3811" s="53" t="inlineStr">
        <is>
          <t>2025-10-30</t>
        </is>
      </c>
      <c r="F3811" s="53">
        <v>6.7</v>
      </c>
      <c r="G3811" s="53">
        <v>0</v>
      </c>
      <c r="H3811" s="51" t="str">
        <f>TEXT(tblLaborEntries[[#This Row],[Work date serial]]-WEEKDAY(tblLaborEntries[[#This Row],[Work date serial]],3),"yyyy-mm-dd")</f>
        <v>2025-10-27</v>
      </c>
      <c r="I3811" s="64">
        <f>DATEVALUE(tblLaborEntries[[#This Row],[Work date]])</f>
        <v>45960.0</v>
      </c>
    </row>
    <row r="3812" spans="1:9" ht="15" x14ac:dyDescent="0.25">
      <c r="A3812" s="53" t="inlineStr">
        <is>
          <t>LAB-003811</t>
        </is>
      </c>
      <c r="B3812" s="53" t="inlineStr">
        <is>
          <t>WP-01677</t>
        </is>
      </c>
      <c r="C3812" s="53" t="inlineStr">
        <is>
          <t>TECH-006</t>
        </is>
      </c>
      <c r="D3812" s="53" t="inlineStr">
        <is>
          <t>Powerplant</t>
        </is>
      </c>
      <c r="E3812" s="53" t="inlineStr">
        <is>
          <t>2024-11-28</t>
        </is>
      </c>
      <c r="F3812" s="53">
        <v>0.9</v>
      </c>
      <c r="G3812" s="53">
        <v>0</v>
      </c>
      <c r="H3812" s="51" t="str">
        <f>TEXT(tblLaborEntries[[#This Row],[Work date serial]]-WEEKDAY(tblLaborEntries[[#This Row],[Work date serial]],3),"yyyy-mm-dd")</f>
        <v>2024-11-25</v>
      </c>
      <c r="I3812" s="64">
        <f>DATEVALUE(tblLaborEntries[[#This Row],[Work date]])</f>
        <v>45624.0</v>
      </c>
    </row>
    <row r="3813" spans="1:9" ht="15" x14ac:dyDescent="0.25">
      <c r="A3813" s="53" t="inlineStr">
        <is>
          <t>LAB-003812</t>
        </is>
      </c>
      <c r="B3813" s="53" t="inlineStr">
        <is>
          <t>WP-01677</t>
        </is>
      </c>
      <c r="C3813" s="53" t="inlineStr">
        <is>
          <t>TECH-066</t>
        </is>
      </c>
      <c r="D3813" s="53" t="inlineStr">
        <is>
          <t>Powerplant</t>
        </is>
      </c>
      <c r="E3813" s="53" t="inlineStr">
        <is>
          <t>2024-11-28</t>
        </is>
      </c>
      <c r="F3813" s="53">
        <v>12</v>
      </c>
      <c r="G3813" s="53">
        <v>4</v>
      </c>
      <c r="H3813" s="51" t="str">
        <f>TEXT(tblLaborEntries[[#This Row],[Work date serial]]-WEEKDAY(tblLaborEntries[[#This Row],[Work date serial]],3),"yyyy-mm-dd")</f>
        <v>2024-11-25</v>
      </c>
      <c r="I3813" s="64">
        <f>DATEVALUE(tblLaborEntries[[#This Row],[Work date]])</f>
        <v>45624.0</v>
      </c>
    </row>
    <row r="3814" spans="1:9" ht="15" x14ac:dyDescent="0.25">
      <c r="A3814" s="53" t="inlineStr">
        <is>
          <t>LAB-003813</t>
        </is>
      </c>
      <c r="B3814" s="53" t="inlineStr">
        <is>
          <t>WP-01678</t>
        </is>
      </c>
      <c r="C3814" s="53" t="inlineStr">
        <is>
          <t>TECH-049</t>
        </is>
      </c>
      <c r="D3814" s="53" t="inlineStr">
        <is>
          <t>Airframe</t>
        </is>
      </c>
      <c r="E3814" s="53" t="inlineStr">
        <is>
          <t>2024-05-08</t>
        </is>
      </c>
      <c r="F3814" s="53">
        <v>3.2</v>
      </c>
      <c r="G3814" s="53">
        <v>0</v>
      </c>
      <c r="H3814" s="51" t="str">
        <f>TEXT(tblLaborEntries[[#This Row],[Work date serial]]-WEEKDAY(tblLaborEntries[[#This Row],[Work date serial]],3),"yyyy-mm-dd")</f>
        <v>2024-05-06</v>
      </c>
      <c r="I3814" s="64">
        <f>DATEVALUE(tblLaborEntries[[#This Row],[Work date]])</f>
        <v>45420.0</v>
      </c>
    </row>
    <row r="3815" spans="1:9" ht="15" x14ac:dyDescent="0.25">
      <c r="A3815" s="53" t="inlineStr">
        <is>
          <t>LAB-003814</t>
        </is>
      </c>
      <c r="B3815" s="53" t="inlineStr">
        <is>
          <t>WP-01678</t>
        </is>
      </c>
      <c r="C3815" s="53" t="inlineStr">
        <is>
          <t>TECH-019</t>
        </is>
      </c>
      <c r="D3815" s="53" t="inlineStr">
        <is>
          <t>Airframe</t>
        </is>
      </c>
      <c r="E3815" s="53" t="inlineStr">
        <is>
          <t>2024-05-09</t>
        </is>
      </c>
      <c r="F3815" s="53">
        <v>3.2</v>
      </c>
      <c r="G3815" s="53">
        <v>0</v>
      </c>
      <c r="H3815" s="51" t="str">
        <f>TEXT(tblLaborEntries[[#This Row],[Work date serial]]-WEEKDAY(tblLaborEntries[[#This Row],[Work date serial]],3),"yyyy-mm-dd")</f>
        <v>2024-05-06</v>
      </c>
      <c r="I3815" s="64">
        <f>DATEVALUE(tblLaborEntries[[#This Row],[Work date]])</f>
        <v>45421.0</v>
      </c>
    </row>
    <row r="3816" spans="1:9" ht="15" x14ac:dyDescent="0.25">
      <c r="A3816" s="53" t="inlineStr">
        <is>
          <t>LAB-003815</t>
        </is>
      </c>
      <c r="B3816" s="53" t="inlineStr">
        <is>
          <t>WP-01678</t>
        </is>
      </c>
      <c r="C3816" s="53" t="inlineStr">
        <is>
          <t>TECH-073</t>
        </is>
      </c>
      <c r="D3816" s="53" t="inlineStr">
        <is>
          <t>Airframe</t>
        </is>
      </c>
      <c r="E3816" s="53" t="inlineStr">
        <is>
          <t>2024-05-10</t>
        </is>
      </c>
      <c r="F3816" s="53">
        <v>2.3</v>
      </c>
      <c r="G3816" s="53">
        <v>0</v>
      </c>
      <c r="H3816" s="51" t="str">
        <f>TEXT(tblLaborEntries[[#This Row],[Work date serial]]-WEEKDAY(tblLaborEntries[[#This Row],[Work date serial]],3),"yyyy-mm-dd")</f>
        <v>2024-05-06</v>
      </c>
      <c r="I3816" s="64">
        <f>DATEVALUE(tblLaborEntries[[#This Row],[Work date]])</f>
        <v>45422.0</v>
      </c>
    </row>
    <row r="3817" spans="1:9" ht="15" x14ac:dyDescent="0.25">
      <c r="A3817" s="53" t="inlineStr">
        <is>
          <t>LAB-003816</t>
        </is>
      </c>
      <c r="B3817" s="53" t="inlineStr">
        <is>
          <t>WP-01679</t>
        </is>
      </c>
      <c r="C3817" s="53" t="inlineStr">
        <is>
          <t>TECH-074</t>
        </is>
      </c>
      <c r="D3817" s="53" t="inlineStr">
        <is>
          <t>Avionics</t>
        </is>
      </c>
      <c r="E3817" s="53" t="inlineStr">
        <is>
          <t>2024-10-06</t>
        </is>
      </c>
      <c r="F3817" s="53">
        <v>1.9</v>
      </c>
      <c r="G3817" s="53">
        <v>0</v>
      </c>
      <c r="H3817" s="51" t="str">
        <f>TEXT(tblLaborEntries[[#This Row],[Work date serial]]-WEEKDAY(tblLaborEntries[[#This Row],[Work date serial]],3),"yyyy-mm-dd")</f>
        <v>2024-09-30</v>
      </c>
      <c r="I3817" s="64">
        <f>DATEVALUE(tblLaborEntries[[#This Row],[Work date]])</f>
        <v>45571.0</v>
      </c>
    </row>
    <row r="3818" spans="1:9" ht="15" x14ac:dyDescent="0.25">
      <c r="A3818" s="53" t="inlineStr">
        <is>
          <t>LAB-003817</t>
        </is>
      </c>
      <c r="B3818" s="53" t="inlineStr">
        <is>
          <t>WP-01679</t>
        </is>
      </c>
      <c r="C3818" s="53" t="inlineStr">
        <is>
          <t>TECH-056</t>
        </is>
      </c>
      <c r="D3818" s="53" t="inlineStr">
        <is>
          <t>Avionics</t>
        </is>
      </c>
      <c r="E3818" s="53" t="inlineStr">
        <is>
          <t>2024-10-07</t>
        </is>
      </c>
      <c r="F3818" s="53">
        <v>2.5</v>
      </c>
      <c r="G3818" s="53">
        <v>0</v>
      </c>
      <c r="H3818" s="51" t="str">
        <f>TEXT(tblLaborEntries[[#This Row],[Work date serial]]-WEEKDAY(tblLaborEntries[[#This Row],[Work date serial]],3),"yyyy-mm-dd")</f>
        <v>2024-10-07</v>
      </c>
      <c r="I3818" s="64">
        <f>DATEVALUE(tblLaborEntries[[#This Row],[Work date]])</f>
        <v>45572.0</v>
      </c>
    </row>
    <row r="3819" spans="1:9" ht="15" x14ac:dyDescent="0.25">
      <c r="A3819" s="53" t="inlineStr">
        <is>
          <t>LAB-003818</t>
        </is>
      </c>
      <c r="B3819" s="53" t="inlineStr">
        <is>
          <t>WP-01679</t>
        </is>
      </c>
      <c r="C3819" s="53" t="inlineStr">
        <is>
          <t>TECH-014</t>
        </is>
      </c>
      <c r="D3819" s="53" t="inlineStr">
        <is>
          <t>Avionics</t>
        </is>
      </c>
      <c r="E3819" s="53" t="inlineStr">
        <is>
          <t>2024-10-08</t>
        </is>
      </c>
      <c r="F3819" s="53">
        <v>2.1</v>
      </c>
      <c r="G3819" s="53">
        <v>0</v>
      </c>
      <c r="H3819" s="51" t="str">
        <f>TEXT(tblLaborEntries[[#This Row],[Work date serial]]-WEEKDAY(tblLaborEntries[[#This Row],[Work date serial]],3),"yyyy-mm-dd")</f>
        <v>2024-10-07</v>
      </c>
      <c r="I3819" s="64">
        <f>DATEVALUE(tblLaborEntries[[#This Row],[Work date]])</f>
        <v>45573.0</v>
      </c>
    </row>
    <row r="3820" spans="1:9" ht="15" x14ac:dyDescent="0.25">
      <c r="A3820" s="53" t="inlineStr">
        <is>
          <t>LAB-003819</t>
        </is>
      </c>
      <c r="B3820" s="53" t="inlineStr">
        <is>
          <t>WP-01680</t>
        </is>
      </c>
      <c r="C3820" s="53" t="inlineStr">
        <is>
          <t>TECH-002</t>
        </is>
      </c>
      <c r="D3820" s="53" t="inlineStr">
        <is>
          <t>Avionics</t>
        </is>
      </c>
      <c r="E3820" s="53" t="inlineStr">
        <is>
          <t>2024-09-05</t>
        </is>
      </c>
      <c r="F3820" s="53">
        <v>12</v>
      </c>
      <c r="G3820" s="53">
        <v>4</v>
      </c>
      <c r="H3820" s="51" t="str">
        <f>TEXT(tblLaborEntries[[#This Row],[Work date serial]]-WEEKDAY(tblLaborEntries[[#This Row],[Work date serial]],3),"yyyy-mm-dd")</f>
        <v>2024-09-02</v>
      </c>
      <c r="I3820" s="64">
        <f>DATEVALUE(tblLaborEntries[[#This Row],[Work date]])</f>
        <v>45540.0</v>
      </c>
    </row>
    <row r="3821" spans="1:9" ht="15" x14ac:dyDescent="0.25">
      <c r="A3821" s="53" t="inlineStr">
        <is>
          <t>LAB-003820</t>
        </is>
      </c>
      <c r="B3821" s="53" t="inlineStr">
        <is>
          <t>WP-01680</t>
        </is>
      </c>
      <c r="C3821" s="53" t="inlineStr">
        <is>
          <t>TECH-008</t>
        </is>
      </c>
      <c r="D3821" s="53" t="inlineStr">
        <is>
          <t>Avionics</t>
        </is>
      </c>
      <c r="E3821" s="53" t="inlineStr">
        <is>
          <t>2024-09-05</t>
        </is>
      </c>
      <c r="F3821" s="53">
        <v>7.9</v>
      </c>
      <c r="G3821" s="53">
        <v>0</v>
      </c>
      <c r="H3821" s="51" t="str">
        <f>TEXT(tblLaborEntries[[#This Row],[Work date serial]]-WEEKDAY(tblLaborEntries[[#This Row],[Work date serial]],3),"yyyy-mm-dd")</f>
        <v>2024-09-02</v>
      </c>
      <c r="I3821" s="64">
        <f>DATEVALUE(tblLaborEntries[[#This Row],[Work date]])</f>
        <v>45540.0</v>
      </c>
    </row>
    <row r="3822" spans="1:9" ht="15" x14ac:dyDescent="0.25">
      <c r="A3822" s="53" t="inlineStr">
        <is>
          <t>LAB-003821</t>
        </is>
      </c>
      <c r="B3822" s="53" t="inlineStr">
        <is>
          <t>WP-01680</t>
        </is>
      </c>
      <c r="C3822" s="53" t="inlineStr">
        <is>
          <t>TECH-068</t>
        </is>
      </c>
      <c r="D3822" s="53" t="inlineStr">
        <is>
          <t>Avionics</t>
        </is>
      </c>
      <c r="E3822" s="53" t="inlineStr">
        <is>
          <t>2024-09-05</t>
        </is>
      </c>
      <c r="F3822" s="53">
        <v>12</v>
      </c>
      <c r="G3822" s="53">
        <v>4</v>
      </c>
      <c r="H3822" s="51" t="str">
        <f>TEXT(tblLaborEntries[[#This Row],[Work date serial]]-WEEKDAY(tblLaborEntries[[#This Row],[Work date serial]],3),"yyyy-mm-dd")</f>
        <v>2024-09-02</v>
      </c>
      <c r="I3822" s="64">
        <f>DATEVALUE(tblLaborEntries[[#This Row],[Work date]])</f>
        <v>45540.0</v>
      </c>
    </row>
    <row r="3823" spans="1:9" ht="15" x14ac:dyDescent="0.25">
      <c r="A3823" s="53" t="inlineStr">
        <is>
          <t>LAB-003822</t>
        </is>
      </c>
      <c r="B3823" s="53" t="inlineStr">
        <is>
          <t>WP-01681</t>
        </is>
      </c>
      <c r="C3823" s="53" t="inlineStr">
        <is>
          <t>TECH-004</t>
        </is>
      </c>
      <c r="D3823" s="53" t="inlineStr">
        <is>
          <t>Electrical</t>
        </is>
      </c>
      <c r="E3823" s="53" t="inlineStr">
        <is>
          <t>2024-08-23</t>
        </is>
      </c>
      <c r="F3823" s="53">
        <v>4.2</v>
      </c>
      <c r="G3823" s="53">
        <v>0</v>
      </c>
      <c r="H3823" s="51" t="str">
        <f>TEXT(tblLaborEntries[[#This Row],[Work date serial]]-WEEKDAY(tblLaborEntries[[#This Row],[Work date serial]],3),"yyyy-mm-dd")</f>
        <v>2024-08-19</v>
      </c>
      <c r="I3823" s="64">
        <f>DATEVALUE(tblLaborEntries[[#This Row],[Work date]])</f>
        <v>45527.0</v>
      </c>
    </row>
    <row r="3824" spans="1:9" ht="15" x14ac:dyDescent="0.25">
      <c r="A3824" s="53" t="inlineStr">
        <is>
          <t>LAB-003823</t>
        </is>
      </c>
      <c r="B3824" s="53" t="inlineStr">
        <is>
          <t>WP-01681</t>
        </is>
      </c>
      <c r="C3824" s="53" t="inlineStr">
        <is>
          <t>TECH-070</t>
        </is>
      </c>
      <c r="D3824" s="53" t="inlineStr">
        <is>
          <t>Electrical</t>
        </is>
      </c>
      <c r="E3824" s="53" t="inlineStr">
        <is>
          <t>2024-08-24</t>
        </is>
      </c>
      <c r="F3824" s="53">
        <v>6.5</v>
      </c>
      <c r="G3824" s="53">
        <v>0</v>
      </c>
      <c r="H3824" s="51" t="str">
        <f>TEXT(tblLaborEntries[[#This Row],[Work date serial]]-WEEKDAY(tblLaborEntries[[#This Row],[Work date serial]],3),"yyyy-mm-dd")</f>
        <v>2024-08-19</v>
      </c>
      <c r="I3824" s="64">
        <f>DATEVALUE(tblLaborEntries[[#This Row],[Work date]])</f>
        <v>45528.0</v>
      </c>
    </row>
    <row r="3825" spans="1:9" ht="15" x14ac:dyDescent="0.25">
      <c r="A3825" s="53" t="inlineStr">
        <is>
          <t>LAB-003824</t>
        </is>
      </c>
      <c r="B3825" s="53" t="inlineStr">
        <is>
          <t>WP-01682</t>
        </is>
      </c>
      <c r="C3825" s="53" t="inlineStr">
        <is>
          <t>TECH-052</t>
        </is>
      </c>
      <c r="D3825" s="53" t="inlineStr">
        <is>
          <t>Electrical</t>
        </is>
      </c>
      <c r="E3825" s="53" t="inlineStr">
        <is>
          <t>2024-12-07</t>
        </is>
      </c>
      <c r="F3825" s="53">
        <v>8.7</v>
      </c>
      <c r="G3825" s="53">
        <v>0.7</v>
      </c>
      <c r="H3825" s="51" t="str">
        <f>TEXT(tblLaborEntries[[#This Row],[Work date serial]]-WEEKDAY(tblLaborEntries[[#This Row],[Work date serial]],3),"yyyy-mm-dd")</f>
        <v>2024-12-02</v>
      </c>
      <c r="I3825" s="64">
        <f>DATEVALUE(tblLaborEntries[[#This Row],[Work date]])</f>
        <v>45633.0</v>
      </c>
    </row>
    <row r="3826" spans="1:9" ht="15" x14ac:dyDescent="0.25">
      <c r="A3826" s="53" t="inlineStr">
        <is>
          <t>LAB-003825</t>
        </is>
      </c>
      <c r="B3826" s="53" t="inlineStr">
        <is>
          <t>WP-01683</t>
        </is>
      </c>
      <c r="C3826" s="53" t="inlineStr">
        <is>
          <t>TECH-062</t>
        </is>
      </c>
      <c r="D3826" s="53" t="inlineStr">
        <is>
          <t>Avionics</t>
        </is>
      </c>
      <c r="E3826" s="53" t="inlineStr">
        <is>
          <t>2024-03-10</t>
        </is>
      </c>
      <c r="F3826" s="53">
        <v>3.1</v>
      </c>
      <c r="G3826" s="53">
        <v>0</v>
      </c>
      <c r="H3826" s="51" t="str">
        <f>TEXT(tblLaborEntries[[#This Row],[Work date serial]]-WEEKDAY(tblLaborEntries[[#This Row],[Work date serial]],3),"yyyy-mm-dd")</f>
        <v>2024-03-04</v>
      </c>
      <c r="I3826" s="64">
        <f>DATEVALUE(tblLaborEntries[[#This Row],[Work date]])</f>
        <v>45361.0</v>
      </c>
    </row>
    <row r="3827" spans="1:9" ht="15" x14ac:dyDescent="0.25">
      <c r="A3827" s="53" t="inlineStr">
        <is>
          <t>LAB-003826</t>
        </is>
      </c>
      <c r="B3827" s="53" t="inlineStr">
        <is>
          <t>WP-01683</t>
        </is>
      </c>
      <c r="C3827" s="53" t="inlineStr">
        <is>
          <t>TECH-008</t>
        </is>
      </c>
      <c r="D3827" s="53" t="inlineStr">
        <is>
          <t>Avionics</t>
        </is>
      </c>
      <c r="E3827" s="53" t="inlineStr">
        <is>
          <t>2024-03-11</t>
        </is>
      </c>
      <c r="F3827" s="53">
        <v>2.9</v>
      </c>
      <c r="G3827" s="53">
        <v>0</v>
      </c>
      <c r="H3827" s="51" t="str">
        <f>TEXT(tblLaborEntries[[#This Row],[Work date serial]]-WEEKDAY(tblLaborEntries[[#This Row],[Work date serial]],3),"yyyy-mm-dd")</f>
        <v>2024-03-11</v>
      </c>
      <c r="I3827" s="64">
        <f>DATEVALUE(tblLaborEntries[[#This Row],[Work date]])</f>
        <v>45362.0</v>
      </c>
    </row>
    <row r="3828" spans="1:9" ht="15" x14ac:dyDescent="0.25">
      <c r="A3828" s="53" t="inlineStr">
        <is>
          <t>LAB-003827</t>
        </is>
      </c>
      <c r="B3828" s="53" t="inlineStr">
        <is>
          <t>WP-01684</t>
        </is>
      </c>
      <c r="C3828" s="53" t="inlineStr">
        <is>
          <t>TECH-002</t>
        </is>
      </c>
      <c r="D3828" s="53" t="inlineStr">
        <is>
          <t>Avionics</t>
        </is>
      </c>
      <c r="E3828" s="53" t="inlineStr">
        <is>
          <t>2025-03-27</t>
        </is>
      </c>
      <c r="F3828" s="53">
        <v>3.2</v>
      </c>
      <c r="G3828" s="53">
        <v>0</v>
      </c>
      <c r="H3828" s="51" t="str">
        <f>TEXT(tblLaborEntries[[#This Row],[Work date serial]]-WEEKDAY(tblLaborEntries[[#This Row],[Work date serial]],3),"yyyy-mm-dd")</f>
        <v>2025-03-24</v>
      </c>
      <c r="I3828" s="64">
        <f>DATEVALUE(tblLaborEntries[[#This Row],[Work date]])</f>
        <v>45743.0</v>
      </c>
    </row>
    <row r="3829" spans="1:9" ht="15" x14ac:dyDescent="0.25">
      <c r="A3829" s="53" t="inlineStr">
        <is>
          <t>LAB-003828</t>
        </is>
      </c>
      <c r="B3829" s="53" t="inlineStr">
        <is>
          <t>WP-01684</t>
        </is>
      </c>
      <c r="C3829" s="53" t="inlineStr">
        <is>
          <t>TECH-008</t>
        </is>
      </c>
      <c r="D3829" s="53" t="inlineStr">
        <is>
          <t>Avionics</t>
        </is>
      </c>
      <c r="E3829" s="53" t="inlineStr">
        <is>
          <t>2025-03-28</t>
        </is>
      </c>
      <c r="F3829" s="53">
        <v>2.3</v>
      </c>
      <c r="G3829" s="53">
        <v>0</v>
      </c>
      <c r="H3829" s="51" t="str">
        <f>TEXT(tblLaborEntries[[#This Row],[Work date serial]]-WEEKDAY(tblLaborEntries[[#This Row],[Work date serial]],3),"yyyy-mm-dd")</f>
        <v>2025-03-24</v>
      </c>
      <c r="I3829" s="64">
        <f>DATEVALUE(tblLaborEntries[[#This Row],[Work date]])</f>
        <v>45744.0</v>
      </c>
    </row>
    <row r="3830" spans="1:9" ht="15" x14ac:dyDescent="0.25">
      <c r="A3830" s="53" t="inlineStr">
        <is>
          <t>LAB-003829</t>
        </is>
      </c>
      <c r="B3830" s="53" t="inlineStr">
        <is>
          <t>WP-01684</t>
        </is>
      </c>
      <c r="C3830" s="53" t="inlineStr">
        <is>
          <t>TECH-068</t>
        </is>
      </c>
      <c r="D3830" s="53" t="inlineStr">
        <is>
          <t>Avionics</t>
        </is>
      </c>
      <c r="E3830" s="53" t="inlineStr">
        <is>
          <t>2025-03-29</t>
        </is>
      </c>
      <c r="F3830" s="53">
        <v>2.8</v>
      </c>
      <c r="G3830" s="53">
        <v>0</v>
      </c>
      <c r="H3830" s="51" t="str">
        <f>TEXT(tblLaborEntries[[#This Row],[Work date serial]]-WEEKDAY(tblLaborEntries[[#This Row],[Work date serial]],3),"yyyy-mm-dd")</f>
        <v>2025-03-24</v>
      </c>
      <c r="I3830" s="64">
        <f>DATEVALUE(tblLaborEntries[[#This Row],[Work date]])</f>
        <v>45745.0</v>
      </c>
    </row>
    <row r="3831" spans="1:9" ht="15" x14ac:dyDescent="0.25">
      <c r="A3831" s="53" t="inlineStr">
        <is>
          <t>LAB-003830</t>
        </is>
      </c>
      <c r="B3831" s="53" t="inlineStr">
        <is>
          <t>WP-01685</t>
        </is>
      </c>
      <c r="C3831" s="53" t="inlineStr">
        <is>
          <t>TECH-014</t>
        </is>
      </c>
      <c r="D3831" s="53" t="inlineStr">
        <is>
          <t>Avionics</t>
        </is>
      </c>
      <c r="E3831" s="53" t="inlineStr">
        <is>
          <t>2024-05-08</t>
        </is>
      </c>
      <c r="F3831" s="53">
        <v>8.2</v>
      </c>
      <c r="G3831" s="53">
        <v>0.2</v>
      </c>
      <c r="H3831" s="51" t="str">
        <f>TEXT(tblLaborEntries[[#This Row],[Work date serial]]-WEEKDAY(tblLaborEntries[[#This Row],[Work date serial]],3),"yyyy-mm-dd")</f>
        <v>2024-05-06</v>
      </c>
      <c r="I3831" s="64">
        <f>DATEVALUE(tblLaborEntries[[#This Row],[Work date]])</f>
        <v>45420.0</v>
      </c>
    </row>
    <row r="3832" spans="1:9" ht="15" x14ac:dyDescent="0.25">
      <c r="A3832" s="53" t="inlineStr">
        <is>
          <t>LAB-003831</t>
        </is>
      </c>
      <c r="B3832" s="53" t="inlineStr">
        <is>
          <t>WP-01686</t>
        </is>
      </c>
      <c r="C3832" s="53" t="inlineStr">
        <is>
          <t>TECH-068</t>
        </is>
      </c>
      <c r="D3832" s="53" t="inlineStr">
        <is>
          <t>Avionics</t>
        </is>
      </c>
      <c r="E3832" s="53" t="inlineStr">
        <is>
          <t>2025-11-06</t>
        </is>
      </c>
      <c r="F3832" s="53">
        <v>1.8</v>
      </c>
      <c r="G3832" s="53">
        <v>0</v>
      </c>
      <c r="H3832" s="51" t="str">
        <f>TEXT(tblLaborEntries[[#This Row],[Work date serial]]-WEEKDAY(tblLaborEntries[[#This Row],[Work date serial]],3),"yyyy-mm-dd")</f>
        <v>2025-11-03</v>
      </c>
      <c r="I3832" s="64">
        <f>DATEVALUE(tblLaborEntries[[#This Row],[Work date]])</f>
        <v>45967.0</v>
      </c>
    </row>
    <row r="3833" spans="1:9" ht="15" x14ac:dyDescent="0.25">
      <c r="A3833" s="53" t="inlineStr">
        <is>
          <t>LAB-003832</t>
        </is>
      </c>
      <c r="B3833" s="53" t="inlineStr">
        <is>
          <t>WP-01686</t>
        </is>
      </c>
      <c r="C3833" s="53" t="inlineStr">
        <is>
          <t>TECH-020</t>
        </is>
      </c>
      <c r="D3833" s="53" t="inlineStr">
        <is>
          <t>Avionics</t>
        </is>
      </c>
      <c r="E3833" s="53" t="inlineStr">
        <is>
          <t>2025-11-07</t>
        </is>
      </c>
      <c r="F3833" s="53">
        <v>2.5</v>
      </c>
      <c r="G3833" s="53">
        <v>2.5</v>
      </c>
      <c r="H3833" s="51" t="str">
        <f>TEXT(tblLaborEntries[[#This Row],[Work date serial]]-WEEKDAY(tblLaborEntries[[#This Row],[Work date serial]],3),"yyyy-mm-dd")</f>
        <v>2025-11-03</v>
      </c>
      <c r="I3833" s="64">
        <f>DATEVALUE(tblLaborEntries[[#This Row],[Work date]])</f>
        <v>45968.0</v>
      </c>
    </row>
    <row r="3834" spans="1:9" ht="15" x14ac:dyDescent="0.25">
      <c r="A3834" s="53" t="inlineStr">
        <is>
          <t>LAB-003833</t>
        </is>
      </c>
      <c r="B3834" s="53" t="inlineStr">
        <is>
          <t>WP-01686</t>
        </is>
      </c>
      <c r="C3834" s="53" t="inlineStr">
        <is>
          <t>TECH-050</t>
        </is>
      </c>
      <c r="D3834" s="53" t="inlineStr">
        <is>
          <t>Avionics</t>
        </is>
      </c>
      <c r="E3834" s="53" t="inlineStr">
        <is>
          <t>2025-11-08</t>
        </is>
      </c>
      <c r="F3834" s="53">
        <v>1.9</v>
      </c>
      <c r="G3834" s="53">
        <v>0</v>
      </c>
      <c r="H3834" s="51" t="str">
        <f>TEXT(tblLaborEntries[[#This Row],[Work date serial]]-WEEKDAY(tblLaborEntries[[#This Row],[Work date serial]],3),"yyyy-mm-dd")</f>
        <v>2025-11-03</v>
      </c>
      <c r="I3834" s="64">
        <f>DATEVALUE(tblLaborEntries[[#This Row],[Work date]])</f>
        <v>45969.0</v>
      </c>
    </row>
    <row r="3835" spans="1:9" ht="15" x14ac:dyDescent="0.25">
      <c r="A3835" s="53" t="inlineStr">
        <is>
          <t>LAB-003834</t>
        </is>
      </c>
      <c r="B3835" s="53" t="inlineStr">
        <is>
          <t>WP-01687</t>
        </is>
      </c>
      <c r="C3835" s="53" t="inlineStr">
        <is>
          <t>TECH-031</t>
        </is>
      </c>
      <c r="D3835" s="53" t="inlineStr">
        <is>
          <t>Airframe</t>
        </is>
      </c>
      <c r="E3835" s="53" t="inlineStr">
        <is>
          <t>2024-11-23</t>
        </is>
      </c>
      <c r="F3835" s="53">
        <v>1.1</v>
      </c>
      <c r="G3835" s="53">
        <v>0</v>
      </c>
      <c r="H3835" s="51" t="str">
        <f>TEXT(tblLaborEntries[[#This Row],[Work date serial]]-WEEKDAY(tblLaborEntries[[#This Row],[Work date serial]],3),"yyyy-mm-dd")</f>
        <v>2024-11-18</v>
      </c>
      <c r="I3835" s="64">
        <f>DATEVALUE(tblLaborEntries[[#This Row],[Work date]])</f>
        <v>45619.0</v>
      </c>
    </row>
    <row r="3836" spans="1:9" ht="15" x14ac:dyDescent="0.25">
      <c r="A3836" s="53" t="inlineStr">
        <is>
          <t>LAB-003835</t>
        </is>
      </c>
      <c r="B3836" s="53" t="inlineStr">
        <is>
          <t>WP-01687</t>
        </is>
      </c>
      <c r="C3836" s="53" t="inlineStr">
        <is>
          <t>TECH-025</t>
        </is>
      </c>
      <c r="D3836" s="53" t="inlineStr">
        <is>
          <t>Airframe</t>
        </is>
      </c>
      <c r="E3836" s="53" t="inlineStr">
        <is>
          <t>2024-11-24</t>
        </is>
      </c>
      <c r="F3836" s="53">
        <v>1.7</v>
      </c>
      <c r="G3836" s="53">
        <v>0</v>
      </c>
      <c r="H3836" s="51" t="str">
        <f>TEXT(tblLaborEntries[[#This Row],[Work date serial]]-WEEKDAY(tblLaborEntries[[#This Row],[Work date serial]],3),"yyyy-mm-dd")</f>
        <v>2024-11-18</v>
      </c>
      <c r="I3836" s="64">
        <f>DATEVALUE(tblLaborEntries[[#This Row],[Work date]])</f>
        <v>45620.0</v>
      </c>
    </row>
    <row r="3837" spans="1:9" ht="15" x14ac:dyDescent="0.25">
      <c r="A3837" s="53" t="inlineStr">
        <is>
          <t>LAB-003836</t>
        </is>
      </c>
      <c r="B3837" s="53" t="inlineStr">
        <is>
          <t>WP-01688</t>
        </is>
      </c>
      <c r="C3837" s="53" t="inlineStr">
        <is>
          <t>TECH-064</t>
        </is>
      </c>
      <c r="D3837" s="53" t="inlineStr">
        <is>
          <t>Electrical</t>
        </is>
      </c>
      <c r="E3837" s="53" t="inlineStr">
        <is>
          <t>2024-11-14</t>
        </is>
      </c>
      <c r="F3837" s="53">
        <v>5.9</v>
      </c>
      <c r="G3837" s="53">
        <v>0</v>
      </c>
      <c r="H3837" s="51" t="str">
        <f>TEXT(tblLaborEntries[[#This Row],[Work date serial]]-WEEKDAY(tblLaborEntries[[#This Row],[Work date serial]],3),"yyyy-mm-dd")</f>
        <v>2024-11-11</v>
      </c>
      <c r="I3837" s="64">
        <f>DATEVALUE(tblLaborEntries[[#This Row],[Work date]])</f>
        <v>45610.0</v>
      </c>
    </row>
    <row r="3838" spans="1:9" ht="15" x14ac:dyDescent="0.25">
      <c r="A3838" s="53" t="inlineStr">
        <is>
          <t>LAB-003837</t>
        </is>
      </c>
      <c r="B3838" s="53" t="inlineStr">
        <is>
          <t>WP-01688</t>
        </is>
      </c>
      <c r="C3838" s="53" t="inlineStr">
        <is>
          <t>TECH-010</t>
        </is>
      </c>
      <c r="D3838" s="53" t="inlineStr">
        <is>
          <t>Electrical</t>
        </is>
      </c>
      <c r="E3838" s="53" t="inlineStr">
        <is>
          <t>2024-11-15</t>
        </is>
      </c>
      <c r="F3838" s="53">
        <v>4.5</v>
      </c>
      <c r="G3838" s="53">
        <v>0</v>
      </c>
      <c r="H3838" s="51" t="str">
        <f>TEXT(tblLaborEntries[[#This Row],[Work date serial]]-WEEKDAY(tblLaborEntries[[#This Row],[Work date serial]],3),"yyyy-mm-dd")</f>
        <v>2024-11-11</v>
      </c>
      <c r="I3838" s="64">
        <f>DATEVALUE(tblLaborEntries[[#This Row],[Work date]])</f>
        <v>45611.0</v>
      </c>
    </row>
    <row r="3839" spans="1:9" ht="15" x14ac:dyDescent="0.25">
      <c r="A3839" s="53" t="inlineStr">
        <is>
          <t>LAB-003838</t>
        </is>
      </c>
      <c r="B3839" s="53" t="inlineStr">
        <is>
          <t>WP-01689</t>
        </is>
      </c>
      <c r="C3839" s="53" t="inlineStr">
        <is>
          <t>TECH-001</t>
        </is>
      </c>
      <c r="D3839" s="53" t="inlineStr">
        <is>
          <t>Airframe</t>
        </is>
      </c>
      <c r="E3839" s="53" t="inlineStr">
        <is>
          <t>2025-01-12</t>
        </is>
      </c>
      <c r="F3839" s="53">
        <v>5.7</v>
      </c>
      <c r="G3839" s="53">
        <v>0</v>
      </c>
      <c r="H3839" s="51" t="str">
        <f>TEXT(tblLaborEntries[[#This Row],[Work date serial]]-WEEKDAY(tblLaborEntries[[#This Row],[Work date serial]],3),"yyyy-mm-dd")</f>
        <v>2025-01-06</v>
      </c>
      <c r="I3839" s="64">
        <f>DATEVALUE(tblLaborEntries[[#This Row],[Work date]])</f>
        <v>45669.0</v>
      </c>
    </row>
    <row r="3840" spans="1:9" ht="15" x14ac:dyDescent="0.25">
      <c r="A3840" s="53" t="inlineStr">
        <is>
          <t>LAB-003839</t>
        </is>
      </c>
      <c r="B3840" s="53" t="inlineStr">
        <is>
          <t>WP-01689</t>
        </is>
      </c>
      <c r="C3840" s="53" t="inlineStr">
        <is>
          <t>TECH-067</t>
        </is>
      </c>
      <c r="D3840" s="53" t="inlineStr">
        <is>
          <t>Airframe</t>
        </is>
      </c>
      <c r="E3840" s="53" t="inlineStr">
        <is>
          <t>2025-01-13</t>
        </is>
      </c>
      <c r="F3840" s="53">
        <v>4.4</v>
      </c>
      <c r="G3840" s="53">
        <v>0</v>
      </c>
      <c r="H3840" s="51" t="str">
        <f>TEXT(tblLaborEntries[[#This Row],[Work date serial]]-WEEKDAY(tblLaborEntries[[#This Row],[Work date serial]],3),"yyyy-mm-dd")</f>
        <v>2025-01-13</v>
      </c>
      <c r="I3840" s="64">
        <f>DATEVALUE(tblLaborEntries[[#This Row],[Work date]])</f>
        <v>45670.0</v>
      </c>
    </row>
    <row r="3841" spans="1:9" ht="15" x14ac:dyDescent="0.25">
      <c r="A3841" s="53" t="inlineStr">
        <is>
          <t>LAB-003840</t>
        </is>
      </c>
      <c r="B3841" s="53" t="inlineStr">
        <is>
          <t>WP-01690</t>
        </is>
      </c>
      <c r="C3841" s="53" t="inlineStr">
        <is>
          <t>TECH-032</t>
        </is>
      </c>
      <c r="D3841" s="53" t="inlineStr">
        <is>
          <t>Avionics</t>
        </is>
      </c>
      <c r="E3841" s="53" t="inlineStr">
        <is>
          <t>2024-10-24</t>
        </is>
      </c>
      <c r="F3841" s="53">
        <v>3.7</v>
      </c>
      <c r="G3841" s="53">
        <v>0</v>
      </c>
      <c r="H3841" s="51" t="str">
        <f>TEXT(tblLaborEntries[[#This Row],[Work date serial]]-WEEKDAY(tblLaborEntries[[#This Row],[Work date serial]],3),"yyyy-mm-dd")</f>
        <v>2024-10-21</v>
      </c>
      <c r="I3841" s="64">
        <f>DATEVALUE(tblLaborEntries[[#This Row],[Work date]])</f>
        <v>45589.0</v>
      </c>
    </row>
    <row r="3842" spans="1:9" ht="15" x14ac:dyDescent="0.25">
      <c r="A3842" s="53" t="inlineStr">
        <is>
          <t>LAB-003841</t>
        </is>
      </c>
      <c r="B3842" s="53" t="inlineStr">
        <is>
          <t>WP-01690</t>
        </is>
      </c>
      <c r="C3842" s="53" t="inlineStr">
        <is>
          <t>TECH-074</t>
        </is>
      </c>
      <c r="D3842" s="53" t="inlineStr">
        <is>
          <t>Avionics</t>
        </is>
      </c>
      <c r="E3842" s="53" t="inlineStr">
        <is>
          <t>2024-10-25</t>
        </is>
      </c>
      <c r="F3842" s="53">
        <v>3</v>
      </c>
      <c r="G3842" s="53">
        <v>0</v>
      </c>
      <c r="H3842" s="51" t="str">
        <f>TEXT(tblLaborEntries[[#This Row],[Work date serial]]-WEEKDAY(tblLaborEntries[[#This Row],[Work date serial]],3),"yyyy-mm-dd")</f>
        <v>2024-10-21</v>
      </c>
      <c r="I3842" s="64">
        <f>DATEVALUE(tblLaborEntries[[#This Row],[Work date]])</f>
        <v>45590.0</v>
      </c>
    </row>
    <row r="3843" spans="1:9" ht="15" x14ac:dyDescent="0.25">
      <c r="A3843" s="53" t="inlineStr">
        <is>
          <t>LAB-003842</t>
        </is>
      </c>
      <c r="B3843" s="53" t="inlineStr">
        <is>
          <t>WP-01691</t>
        </is>
      </c>
      <c r="C3843" s="53" t="inlineStr">
        <is>
          <t>TECH-008</t>
        </is>
      </c>
      <c r="D3843" s="53" t="inlineStr">
        <is>
          <t>Avionics</t>
        </is>
      </c>
      <c r="E3843" s="53" t="inlineStr">
        <is>
          <t>2024-10-17</t>
        </is>
      </c>
      <c r="F3843" s="53">
        <v>2.7</v>
      </c>
      <c r="G3843" s="53">
        <v>0</v>
      </c>
      <c r="H3843" s="51" t="str">
        <f>TEXT(tblLaborEntries[[#This Row],[Work date serial]]-WEEKDAY(tblLaborEntries[[#This Row],[Work date serial]],3),"yyyy-mm-dd")</f>
        <v>2024-10-14</v>
      </c>
      <c r="I3843" s="64">
        <f>DATEVALUE(tblLaborEntries[[#This Row],[Work date]])</f>
        <v>45582.0</v>
      </c>
    </row>
    <row r="3844" spans="1:9" ht="15" x14ac:dyDescent="0.25">
      <c r="A3844" s="53" t="inlineStr">
        <is>
          <t>LAB-003843</t>
        </is>
      </c>
      <c r="B3844" s="53" t="inlineStr">
        <is>
          <t>WP-01691</t>
        </is>
      </c>
      <c r="C3844" s="53" t="inlineStr">
        <is>
          <t>TECH-074</t>
        </is>
      </c>
      <c r="D3844" s="53" t="inlineStr">
        <is>
          <t>Avionics</t>
        </is>
      </c>
      <c r="E3844" s="53" t="inlineStr">
        <is>
          <t>2024-10-18</t>
        </is>
      </c>
      <c r="F3844" s="53">
        <v>3.8</v>
      </c>
      <c r="G3844" s="53">
        <v>0</v>
      </c>
      <c r="H3844" s="51" t="str">
        <f>TEXT(tblLaborEntries[[#This Row],[Work date serial]]-WEEKDAY(tblLaborEntries[[#This Row],[Work date serial]],3),"yyyy-mm-dd")</f>
        <v>2024-10-14</v>
      </c>
      <c r="I3844" s="64">
        <f>DATEVALUE(tblLaborEntries[[#This Row],[Work date]])</f>
        <v>45583.0</v>
      </c>
    </row>
    <row r="3845" spans="1:9" ht="15" x14ac:dyDescent="0.25">
      <c r="A3845" s="53" t="inlineStr">
        <is>
          <t>LAB-003844</t>
        </is>
      </c>
      <c r="B3845" s="53" t="inlineStr">
        <is>
          <t>WP-01691</t>
        </is>
      </c>
      <c r="C3845" s="53" t="inlineStr">
        <is>
          <t>TECH-044</t>
        </is>
      </c>
      <c r="D3845" s="53" t="inlineStr">
        <is>
          <t>Avionics</t>
        </is>
      </c>
      <c r="E3845" s="53" t="inlineStr">
        <is>
          <t>2024-10-19</t>
        </is>
      </c>
      <c r="F3845" s="53">
        <v>3.7</v>
      </c>
      <c r="G3845" s="53">
        <v>0</v>
      </c>
      <c r="H3845" s="51" t="str">
        <f>TEXT(tblLaborEntries[[#This Row],[Work date serial]]-WEEKDAY(tblLaborEntries[[#This Row],[Work date serial]],3),"yyyy-mm-dd")</f>
        <v>2024-10-14</v>
      </c>
      <c r="I3845" s="64">
        <f>DATEVALUE(tblLaborEntries[[#This Row],[Work date]])</f>
        <v>45584.0</v>
      </c>
    </row>
    <row r="3846" spans="1:9" ht="15" x14ac:dyDescent="0.25">
      <c r="A3846" s="53" t="inlineStr">
        <is>
          <t>LAB-003845</t>
        </is>
      </c>
      <c r="B3846" s="53" t="inlineStr">
        <is>
          <t>WP-01692</t>
        </is>
      </c>
      <c r="C3846" s="53" t="inlineStr">
        <is>
          <t>TECH-074</t>
        </is>
      </c>
      <c r="D3846" s="53" t="inlineStr">
        <is>
          <t>Avionics</t>
        </is>
      </c>
      <c r="E3846" s="53" t="inlineStr">
        <is>
          <t>2025-08-26</t>
        </is>
      </c>
      <c r="F3846" s="53">
        <v>1.6</v>
      </c>
      <c r="G3846" s="53">
        <v>0</v>
      </c>
      <c r="H3846" s="51" t="str">
        <f>TEXT(tblLaborEntries[[#This Row],[Work date serial]]-WEEKDAY(tblLaborEntries[[#This Row],[Work date serial]],3),"yyyy-mm-dd")</f>
        <v>2025-08-25</v>
      </c>
      <c r="I3846" s="64">
        <f>DATEVALUE(tblLaborEntries[[#This Row],[Work date]])</f>
        <v>45895.0</v>
      </c>
    </row>
    <row r="3847" spans="1:9" ht="15" x14ac:dyDescent="0.25">
      <c r="A3847" s="53" t="inlineStr">
        <is>
          <t>LAB-003846</t>
        </is>
      </c>
      <c r="B3847" s="53" t="inlineStr">
        <is>
          <t>WP-01692</t>
        </is>
      </c>
      <c r="C3847" s="53" t="inlineStr">
        <is>
          <t>TECH-044</t>
        </is>
      </c>
      <c r="D3847" s="53" t="inlineStr">
        <is>
          <t>Avionics</t>
        </is>
      </c>
      <c r="E3847" s="53" t="inlineStr">
        <is>
          <t>2025-08-27</t>
        </is>
      </c>
      <c r="F3847" s="53">
        <v>1.2</v>
      </c>
      <c r="G3847" s="53">
        <v>0</v>
      </c>
      <c r="H3847" s="51" t="str">
        <f>TEXT(tblLaborEntries[[#This Row],[Work date serial]]-WEEKDAY(tblLaborEntries[[#This Row],[Work date serial]],3),"yyyy-mm-dd")</f>
        <v>2025-08-25</v>
      </c>
      <c r="I3847" s="64">
        <f>DATEVALUE(tblLaborEntries[[#This Row],[Work date]])</f>
        <v>45896.0</v>
      </c>
    </row>
    <row r="3848" spans="1:9" ht="15" x14ac:dyDescent="0.25">
      <c r="A3848" s="53" t="inlineStr">
        <is>
          <t>LAB-003847</t>
        </is>
      </c>
      <c r="B3848" s="53" t="inlineStr">
        <is>
          <t>WP-01692</t>
        </is>
      </c>
      <c r="C3848" s="53" t="inlineStr">
        <is>
          <t>TECH-020</t>
        </is>
      </c>
      <c r="D3848" s="53" t="inlineStr">
        <is>
          <t>Avionics</t>
        </is>
      </c>
      <c r="E3848" s="53" t="inlineStr">
        <is>
          <t>2025-08-28</t>
        </is>
      </c>
      <c r="F3848" s="53">
        <v>1.8</v>
      </c>
      <c r="G3848" s="53">
        <v>0</v>
      </c>
      <c r="H3848" s="51" t="str">
        <f>TEXT(tblLaborEntries[[#This Row],[Work date serial]]-WEEKDAY(tblLaborEntries[[#This Row],[Work date serial]],3),"yyyy-mm-dd")</f>
        <v>2025-08-25</v>
      </c>
      <c r="I3848" s="64">
        <f>DATEVALUE(tblLaborEntries[[#This Row],[Work date]])</f>
        <v>45897.0</v>
      </c>
    </row>
    <row r="3849" spans="1:9" ht="15" x14ac:dyDescent="0.25">
      <c r="A3849" s="53" t="inlineStr">
        <is>
          <t>LAB-003848</t>
        </is>
      </c>
      <c r="B3849" s="53" t="inlineStr">
        <is>
          <t>WP-01693</t>
        </is>
      </c>
      <c r="C3849" s="53" t="inlineStr">
        <is>
          <t>TECH-002</t>
        </is>
      </c>
      <c r="D3849" s="53" t="inlineStr">
        <is>
          <t>Avionics</t>
        </is>
      </c>
      <c r="E3849" s="53" t="inlineStr">
        <is>
          <t>2025-06-15</t>
        </is>
      </c>
      <c r="F3849" s="53">
        <v>4.2</v>
      </c>
      <c r="G3849" s="53">
        <v>0</v>
      </c>
      <c r="H3849" s="51" t="str">
        <f>TEXT(tblLaborEntries[[#This Row],[Work date serial]]-WEEKDAY(tblLaborEntries[[#This Row],[Work date serial]],3),"yyyy-mm-dd")</f>
        <v>2025-06-09</v>
      </c>
      <c r="I3849" s="64">
        <f>DATEVALUE(tblLaborEntries[[#This Row],[Work date]])</f>
        <v>45823.0</v>
      </c>
    </row>
    <row r="3850" spans="1:9" ht="15" x14ac:dyDescent="0.25">
      <c r="A3850" s="53" t="inlineStr">
        <is>
          <t>LAB-003849</t>
        </is>
      </c>
      <c r="B3850" s="53" t="inlineStr">
        <is>
          <t>WP-01693</t>
        </is>
      </c>
      <c r="C3850" s="53" t="inlineStr">
        <is>
          <t>TECH-026</t>
        </is>
      </c>
      <c r="D3850" s="53" t="inlineStr">
        <is>
          <t>Avionics</t>
        </is>
      </c>
      <c r="E3850" s="53" t="inlineStr">
        <is>
          <t>2025-06-15</t>
        </is>
      </c>
      <c r="F3850" s="53">
        <v>12</v>
      </c>
      <c r="G3850" s="53">
        <v>4</v>
      </c>
      <c r="H3850" s="51" t="str">
        <f>TEXT(tblLaborEntries[[#This Row],[Work date serial]]-WEEKDAY(tblLaborEntries[[#This Row],[Work date serial]],3),"yyyy-mm-dd")</f>
        <v>2025-06-09</v>
      </c>
      <c r="I3850" s="64">
        <f>DATEVALUE(tblLaborEntries[[#This Row],[Work date]])</f>
        <v>45823.0</v>
      </c>
    </row>
    <row r="3851" spans="1:9" ht="15" x14ac:dyDescent="0.25">
      <c r="A3851" s="53" t="inlineStr">
        <is>
          <t>LAB-003850</t>
        </is>
      </c>
      <c r="B3851" s="53" t="inlineStr">
        <is>
          <t>WP-01694</t>
        </is>
      </c>
      <c r="C3851" s="53" t="inlineStr">
        <is>
          <t>TECH-049</t>
        </is>
      </c>
      <c r="D3851" s="53" t="inlineStr">
        <is>
          <t>Airframe</t>
        </is>
      </c>
      <c r="E3851" s="53" t="inlineStr">
        <is>
          <t>2025-04-13</t>
        </is>
      </c>
      <c r="F3851" s="53">
        <v>6.8</v>
      </c>
      <c r="G3851" s="53">
        <v>0</v>
      </c>
      <c r="H3851" s="51" t="str">
        <f>TEXT(tblLaborEntries[[#This Row],[Work date serial]]-WEEKDAY(tblLaborEntries[[#This Row],[Work date serial]],3),"yyyy-mm-dd")</f>
        <v>2025-04-07</v>
      </c>
      <c r="I3851" s="64">
        <f>DATEVALUE(tblLaborEntries[[#This Row],[Work date]])</f>
        <v>45760.0</v>
      </c>
    </row>
    <row r="3852" spans="1:9" ht="15" x14ac:dyDescent="0.25">
      <c r="A3852" s="53" t="inlineStr">
        <is>
          <t>LAB-003851</t>
        </is>
      </c>
      <c r="B3852" s="53" t="inlineStr">
        <is>
          <t>WP-01694</t>
        </is>
      </c>
      <c r="C3852" s="53" t="inlineStr">
        <is>
          <t>TECH-019</t>
        </is>
      </c>
      <c r="D3852" s="53" t="inlineStr">
        <is>
          <t>Airframe</t>
        </is>
      </c>
      <c r="E3852" s="53" t="inlineStr">
        <is>
          <t>2025-04-14</t>
        </is>
      </c>
      <c r="F3852" s="53">
        <v>7.8</v>
      </c>
      <c r="G3852" s="53">
        <v>0</v>
      </c>
      <c r="H3852" s="51" t="str">
        <f>TEXT(tblLaborEntries[[#This Row],[Work date serial]]-WEEKDAY(tblLaborEntries[[#This Row],[Work date serial]],3),"yyyy-mm-dd")</f>
        <v>2025-04-14</v>
      </c>
      <c r="I3852" s="64">
        <f>DATEVALUE(tblLaborEntries[[#This Row],[Work date]])</f>
        <v>45761.0</v>
      </c>
    </row>
    <row r="3853" spans="1:9" ht="15" x14ac:dyDescent="0.25">
      <c r="A3853" s="53" t="inlineStr">
        <is>
          <t>LAB-003852</t>
        </is>
      </c>
      <c r="B3853" s="53" t="inlineStr">
        <is>
          <t>WP-01694</t>
        </is>
      </c>
      <c r="C3853" s="53" t="inlineStr">
        <is>
          <t>TECH-043</t>
        </is>
      </c>
      <c r="D3853" s="53" t="inlineStr">
        <is>
          <t>Airframe</t>
        </is>
      </c>
      <c r="E3853" s="53" t="inlineStr">
        <is>
          <t>2025-04-15</t>
        </is>
      </c>
      <c r="F3853" s="53">
        <v>5.5</v>
      </c>
      <c r="G3853" s="53">
        <v>0</v>
      </c>
      <c r="H3853" s="51" t="str">
        <f>TEXT(tblLaborEntries[[#This Row],[Work date serial]]-WEEKDAY(tblLaborEntries[[#This Row],[Work date serial]],3),"yyyy-mm-dd")</f>
        <v>2025-04-14</v>
      </c>
      <c r="I3853" s="64">
        <f>DATEVALUE(tblLaborEntries[[#This Row],[Work date]])</f>
        <v>45762.0</v>
      </c>
    </row>
    <row r="3854" spans="1:9" ht="15" x14ac:dyDescent="0.25">
      <c r="A3854" s="53" t="inlineStr">
        <is>
          <t>LAB-003853</t>
        </is>
      </c>
      <c r="B3854" s="53" t="inlineStr">
        <is>
          <t>WP-01695</t>
        </is>
      </c>
      <c r="C3854" s="53" t="inlineStr">
        <is>
          <t>TECH-006</t>
        </is>
      </c>
      <c r="D3854" s="53" t="inlineStr">
        <is>
          <t>Powerplant</t>
        </is>
      </c>
      <c r="E3854" s="53" t="inlineStr">
        <is>
          <t>2024-07-25</t>
        </is>
      </c>
      <c r="F3854" s="53">
        <v>12</v>
      </c>
      <c r="G3854" s="53">
        <v>4</v>
      </c>
      <c r="H3854" s="51" t="str">
        <f>TEXT(tblLaborEntries[[#This Row],[Work date serial]]-WEEKDAY(tblLaborEntries[[#This Row],[Work date serial]],3),"yyyy-mm-dd")</f>
        <v>2024-07-22</v>
      </c>
      <c r="I3854" s="64">
        <f>DATEVALUE(tblLaborEntries[[#This Row],[Work date]])</f>
        <v>45498.0</v>
      </c>
    </row>
    <row r="3855" spans="1:9" ht="15" x14ac:dyDescent="0.25">
      <c r="A3855" s="53" t="inlineStr">
        <is>
          <t>LAB-003854</t>
        </is>
      </c>
      <c r="B3855" s="53" t="inlineStr">
        <is>
          <t>WP-01695</t>
        </is>
      </c>
      <c r="C3855" s="53" t="inlineStr">
        <is>
          <t>TECH-012</t>
        </is>
      </c>
      <c r="D3855" s="53" t="inlineStr">
        <is>
          <t>Powerplant</t>
        </is>
      </c>
      <c r="E3855" s="53" t="inlineStr">
        <is>
          <t>2024-07-25</t>
        </is>
      </c>
      <c r="F3855" s="53">
        <v>0.7</v>
      </c>
      <c r="G3855" s="53">
        <v>0</v>
      </c>
      <c r="H3855" s="51" t="str">
        <f>TEXT(tblLaborEntries[[#This Row],[Work date serial]]-WEEKDAY(tblLaborEntries[[#This Row],[Work date serial]],3),"yyyy-mm-dd")</f>
        <v>2024-07-22</v>
      </c>
      <c r="I3855" s="64">
        <f>DATEVALUE(tblLaborEntries[[#This Row],[Work date]])</f>
        <v>45498.0</v>
      </c>
    </row>
    <row r="3856" spans="1:9" ht="15" x14ac:dyDescent="0.25">
      <c r="A3856" s="53" t="inlineStr">
        <is>
          <t>LAB-003855</t>
        </is>
      </c>
      <c r="B3856" s="53" t="inlineStr">
        <is>
          <t>WP-01695</t>
        </is>
      </c>
      <c r="C3856" s="53" t="inlineStr">
        <is>
          <t>TECH-036</t>
        </is>
      </c>
      <c r="D3856" s="53" t="inlineStr">
        <is>
          <t>Powerplant</t>
        </is>
      </c>
      <c r="E3856" s="53" t="inlineStr">
        <is>
          <t>2024-07-25</t>
        </is>
      </c>
      <c r="F3856" s="53">
        <v>12</v>
      </c>
      <c r="G3856" s="53">
        <v>4</v>
      </c>
      <c r="H3856" s="51" t="str">
        <f>TEXT(tblLaborEntries[[#This Row],[Work date serial]]-WEEKDAY(tblLaborEntries[[#This Row],[Work date serial]],3),"yyyy-mm-dd")</f>
        <v>2024-07-22</v>
      </c>
      <c r="I3856" s="64">
        <f>DATEVALUE(tblLaborEntries[[#This Row],[Work date]])</f>
        <v>45498.0</v>
      </c>
    </row>
    <row r="3857" spans="1:9" ht="15" x14ac:dyDescent="0.25">
      <c r="A3857" s="53" t="inlineStr">
        <is>
          <t>LAB-003856</t>
        </is>
      </c>
      <c r="B3857" s="53" t="inlineStr">
        <is>
          <t>WP-01696</t>
        </is>
      </c>
      <c r="C3857" s="53" t="inlineStr">
        <is>
          <t>TECH-013</t>
        </is>
      </c>
      <c r="D3857" s="53" t="inlineStr">
        <is>
          <t>Airframe</t>
        </is>
      </c>
      <c r="E3857" s="53" t="inlineStr">
        <is>
          <t>2025-06-26</t>
        </is>
      </c>
      <c r="F3857" s="53">
        <v>5</v>
      </c>
      <c r="G3857" s="53">
        <v>0</v>
      </c>
      <c r="H3857" s="51" t="str">
        <f>TEXT(tblLaborEntries[[#This Row],[Work date serial]]-WEEKDAY(tblLaborEntries[[#This Row],[Work date serial]],3),"yyyy-mm-dd")</f>
        <v>2025-06-23</v>
      </c>
      <c r="I3857" s="64">
        <f>DATEVALUE(tblLaborEntries[[#This Row],[Work date]])</f>
        <v>45834.0</v>
      </c>
    </row>
    <row r="3858" spans="1:9" ht="15" x14ac:dyDescent="0.25">
      <c r="A3858" s="53" t="inlineStr">
        <is>
          <t>LAB-003857</t>
        </is>
      </c>
      <c r="B3858" s="53" t="inlineStr">
        <is>
          <t>WP-01697</t>
        </is>
      </c>
      <c r="C3858" s="53" t="inlineStr">
        <is>
          <t>TECH-056</t>
        </is>
      </c>
      <c r="D3858" s="53" t="inlineStr">
        <is>
          <t>Avionics</t>
        </is>
      </c>
      <c r="E3858" s="53" t="inlineStr">
        <is>
          <t>2025-11-24</t>
        </is>
      </c>
      <c r="F3858" s="53">
        <v>1.3</v>
      </c>
      <c r="G3858" s="53">
        <v>0</v>
      </c>
      <c r="H3858" s="51" t="str">
        <f>TEXT(tblLaborEntries[[#This Row],[Work date serial]]-WEEKDAY(tblLaborEntries[[#This Row],[Work date serial]],3),"yyyy-mm-dd")</f>
        <v>2025-11-24</v>
      </c>
      <c r="I3858" s="64">
        <f>DATEVALUE(tblLaborEntries[[#This Row],[Work date]])</f>
        <v>45985.0</v>
      </c>
    </row>
    <row r="3859" spans="1:9" ht="15" x14ac:dyDescent="0.25">
      <c r="A3859" s="53" t="inlineStr">
        <is>
          <t>LAB-003858</t>
        </is>
      </c>
      <c r="B3859" s="53" t="inlineStr">
        <is>
          <t>WP-01697</t>
        </is>
      </c>
      <c r="C3859" s="53" t="inlineStr">
        <is>
          <t>TECH-038</t>
        </is>
      </c>
      <c r="D3859" s="53" t="inlineStr">
        <is>
          <t>Avionics</t>
        </is>
      </c>
      <c r="E3859" s="53" t="inlineStr">
        <is>
          <t>2025-11-25</t>
        </is>
      </c>
      <c r="F3859" s="53">
        <v>1</v>
      </c>
      <c r="G3859" s="53">
        <v>0</v>
      </c>
      <c r="H3859" s="51" t="str">
        <f>TEXT(tblLaborEntries[[#This Row],[Work date serial]]-WEEKDAY(tblLaborEntries[[#This Row],[Work date serial]],3),"yyyy-mm-dd")</f>
        <v>2025-11-24</v>
      </c>
      <c r="I3859" s="64">
        <f>DATEVALUE(tblLaborEntries[[#This Row],[Work date]])</f>
        <v>45986.0</v>
      </c>
    </row>
    <row r="3860" spans="1:9" ht="15" x14ac:dyDescent="0.25">
      <c r="A3860" s="53" t="inlineStr">
        <is>
          <t>LAB-003859</t>
        </is>
      </c>
      <c r="B3860" s="53" t="inlineStr">
        <is>
          <t>WP-01697</t>
        </is>
      </c>
      <c r="C3860" s="53" t="inlineStr">
        <is>
          <t>TECH-008</t>
        </is>
      </c>
      <c r="D3860" s="53" t="inlineStr">
        <is>
          <t>Avionics</t>
        </is>
      </c>
      <c r="E3860" s="53" t="inlineStr">
        <is>
          <t>2025-11-26</t>
        </is>
      </c>
      <c r="F3860" s="53">
        <v>1.5</v>
      </c>
      <c r="G3860" s="53">
        <v>0</v>
      </c>
      <c r="H3860" s="51" t="str">
        <f>TEXT(tblLaborEntries[[#This Row],[Work date serial]]-WEEKDAY(tblLaborEntries[[#This Row],[Work date serial]],3),"yyyy-mm-dd")</f>
        <v>2025-11-24</v>
      </c>
      <c r="I3860" s="64">
        <f>DATEVALUE(tblLaborEntries[[#This Row],[Work date]])</f>
        <v>45987.0</v>
      </c>
    </row>
    <row r="3861" spans="1:9" ht="15" x14ac:dyDescent="0.25">
      <c r="A3861" s="53" t="inlineStr">
        <is>
          <t>LAB-003860</t>
        </is>
      </c>
      <c r="B3861" s="53" t="inlineStr">
        <is>
          <t>WP-01698</t>
        </is>
      </c>
      <c r="C3861" s="53" t="inlineStr">
        <is>
          <t>TECH-006</t>
        </is>
      </c>
      <c r="D3861" s="53" t="inlineStr">
        <is>
          <t>Powerplant</t>
        </is>
      </c>
      <c r="E3861" s="53" t="inlineStr">
        <is>
          <t>2025-02-22</t>
        </is>
      </c>
      <c r="F3861" s="53">
        <v>2.4</v>
      </c>
      <c r="G3861" s="53">
        <v>0</v>
      </c>
      <c r="H3861" s="51" t="str">
        <f>TEXT(tblLaborEntries[[#This Row],[Work date serial]]-WEEKDAY(tblLaborEntries[[#This Row],[Work date serial]],3),"yyyy-mm-dd")</f>
        <v>2025-02-17</v>
      </c>
      <c r="I3861" s="64">
        <f>DATEVALUE(tblLaborEntries[[#This Row],[Work date]])</f>
        <v>45710.0</v>
      </c>
    </row>
    <row r="3862" spans="1:9" ht="15" x14ac:dyDescent="0.25">
      <c r="A3862" s="53" t="inlineStr">
        <is>
          <t>LAB-003861</t>
        </is>
      </c>
      <c r="B3862" s="53" t="inlineStr">
        <is>
          <t>WP-01698</t>
        </is>
      </c>
      <c r="C3862" s="53" t="inlineStr">
        <is>
          <t>TECH-060</t>
        </is>
      </c>
      <c r="D3862" s="53" t="inlineStr">
        <is>
          <t>Powerplant</t>
        </is>
      </c>
      <c r="E3862" s="53" t="inlineStr">
        <is>
          <t>2025-02-22</t>
        </is>
      </c>
      <c r="F3862" s="53">
        <v>12</v>
      </c>
      <c r="G3862" s="53">
        <v>4</v>
      </c>
      <c r="H3862" s="51" t="str">
        <f>TEXT(tblLaborEntries[[#This Row],[Work date serial]]-WEEKDAY(tblLaborEntries[[#This Row],[Work date serial]],3),"yyyy-mm-dd")</f>
        <v>2025-02-17</v>
      </c>
      <c r="I3862" s="64">
        <f>DATEVALUE(tblLaborEntries[[#This Row],[Work date]])</f>
        <v>45710.0</v>
      </c>
    </row>
    <row r="3863" spans="1:9" ht="15" x14ac:dyDescent="0.25">
      <c r="A3863" s="53" t="inlineStr">
        <is>
          <t>LAB-003862</t>
        </is>
      </c>
      <c r="B3863" s="53" t="inlineStr">
        <is>
          <t>WP-01699</t>
        </is>
      </c>
      <c r="C3863" s="53" t="inlineStr">
        <is>
          <t>TECH-056</t>
        </is>
      </c>
      <c r="D3863" s="53" t="inlineStr">
        <is>
          <t>Avionics</t>
        </is>
      </c>
      <c r="E3863" s="53" t="inlineStr">
        <is>
          <t>2025-10-02</t>
        </is>
      </c>
      <c r="F3863" s="53">
        <v>4.4</v>
      </c>
      <c r="G3863" s="53">
        <v>0.4</v>
      </c>
      <c r="H3863" s="51" t="str">
        <f>TEXT(tblLaborEntries[[#This Row],[Work date serial]]-WEEKDAY(tblLaborEntries[[#This Row],[Work date serial]],3),"yyyy-mm-dd")</f>
        <v>2025-09-29</v>
      </c>
      <c r="I3863" s="64">
        <f>DATEVALUE(tblLaborEntries[[#This Row],[Work date]])</f>
        <v>45932.0</v>
      </c>
    </row>
    <row r="3864" spans="1:9" ht="15" x14ac:dyDescent="0.25">
      <c r="A3864" s="53" t="inlineStr">
        <is>
          <t>LAB-003863</t>
        </is>
      </c>
      <c r="B3864" s="53" t="inlineStr">
        <is>
          <t>WP-01700</t>
        </is>
      </c>
      <c r="C3864" s="53" t="inlineStr">
        <is>
          <t>TECH-037</t>
        </is>
      </c>
      <c r="D3864" s="53" t="inlineStr">
        <is>
          <t>Airframe</t>
        </is>
      </c>
      <c r="E3864" s="53" t="inlineStr">
        <is>
          <t>2026-01-06</t>
        </is>
      </c>
      <c r="F3864" s="53">
        <v>4.4</v>
      </c>
      <c r="G3864" s="53">
        <v>0</v>
      </c>
      <c r="H3864" s="51" t="str">
        <f>TEXT(tblLaborEntries[[#This Row],[Work date serial]]-WEEKDAY(tblLaborEntries[[#This Row],[Work date serial]],3),"yyyy-mm-dd")</f>
        <v>2026-01-05</v>
      </c>
      <c r="I3864" s="64">
        <f>DATEVALUE(tblLaborEntries[[#This Row],[Work date]])</f>
        <v>46028.0</v>
      </c>
    </row>
    <row r="3865" spans="1:9" ht="15" x14ac:dyDescent="0.25">
      <c r="A3865" s="53" t="inlineStr">
        <is>
          <t>LAB-003864</t>
        </is>
      </c>
      <c r="B3865" s="53" t="inlineStr">
        <is>
          <t>WP-01701</t>
        </is>
      </c>
      <c r="C3865" s="53" t="inlineStr">
        <is>
          <t>TECH-052</t>
        </is>
      </c>
      <c r="D3865" s="53" t="inlineStr">
        <is>
          <t>Electrical</t>
        </is>
      </c>
      <c r="E3865" s="53" t="inlineStr">
        <is>
          <t>2025-11-29</t>
        </is>
      </c>
      <c r="F3865" s="53">
        <v>6.5</v>
      </c>
      <c r="G3865" s="53">
        <v>0</v>
      </c>
      <c r="H3865" s="51" t="str">
        <f>TEXT(tblLaborEntries[[#This Row],[Work date serial]]-WEEKDAY(tblLaborEntries[[#This Row],[Work date serial]],3),"yyyy-mm-dd")</f>
        <v>2025-11-24</v>
      </c>
      <c r="I3865" s="64">
        <f>DATEVALUE(tblLaborEntries[[#This Row],[Work date]])</f>
        <v>45990.0</v>
      </c>
    </row>
    <row r="3866" spans="1:9" ht="15" x14ac:dyDescent="0.25">
      <c r="A3866" s="53" t="inlineStr">
        <is>
          <t>LAB-003865</t>
        </is>
      </c>
      <c r="B3866" s="53" t="inlineStr">
        <is>
          <t>WP-01702</t>
        </is>
      </c>
      <c r="C3866" s="53" t="inlineStr">
        <is>
          <t>TECH-049</t>
        </is>
      </c>
      <c r="D3866" s="53" t="inlineStr">
        <is>
          <t>Airframe</t>
        </is>
      </c>
      <c r="E3866" s="53" t="inlineStr">
        <is>
          <t>2025-01-23</t>
        </is>
      </c>
      <c r="F3866" s="53">
        <v>5.2</v>
      </c>
      <c r="G3866" s="53">
        <v>0</v>
      </c>
      <c r="H3866" s="51" t="str">
        <f>TEXT(tblLaborEntries[[#This Row],[Work date serial]]-WEEKDAY(tblLaborEntries[[#This Row],[Work date serial]],3),"yyyy-mm-dd")</f>
        <v>2025-01-20</v>
      </c>
      <c r="I3866" s="64">
        <f>DATEVALUE(tblLaborEntries[[#This Row],[Work date]])</f>
        <v>45680.0</v>
      </c>
    </row>
    <row r="3867" spans="1:9" ht="15" x14ac:dyDescent="0.25">
      <c r="A3867" s="53" t="inlineStr">
        <is>
          <t>LAB-003866</t>
        </is>
      </c>
      <c r="B3867" s="53" t="inlineStr">
        <is>
          <t>WP-01702</t>
        </is>
      </c>
      <c r="C3867" s="53" t="inlineStr">
        <is>
          <t>TECH-013</t>
        </is>
      </c>
      <c r="D3867" s="53" t="inlineStr">
        <is>
          <t>Airframe</t>
        </is>
      </c>
      <c r="E3867" s="53" t="inlineStr">
        <is>
          <t>2025-01-24</t>
        </is>
      </c>
      <c r="F3867" s="53">
        <v>7.8</v>
      </c>
      <c r="G3867" s="53">
        <v>0</v>
      </c>
      <c r="H3867" s="51" t="str">
        <f>TEXT(tblLaborEntries[[#This Row],[Work date serial]]-WEEKDAY(tblLaborEntries[[#This Row],[Work date serial]],3),"yyyy-mm-dd")</f>
        <v>2025-01-20</v>
      </c>
      <c r="I3867" s="64">
        <f>DATEVALUE(tblLaborEntries[[#This Row],[Work date]])</f>
        <v>45681.0</v>
      </c>
    </row>
    <row r="3868" spans="1:9" ht="15" x14ac:dyDescent="0.25">
      <c r="A3868" s="53" t="inlineStr">
        <is>
          <t>LAB-003867</t>
        </is>
      </c>
      <c r="B3868" s="53" t="inlineStr">
        <is>
          <t>WP-01703</t>
        </is>
      </c>
      <c r="C3868" s="53" t="inlineStr">
        <is>
          <t>TECH-008</t>
        </is>
      </c>
      <c r="D3868" s="53" t="inlineStr">
        <is>
          <t>Avionics</t>
        </is>
      </c>
      <c r="E3868" s="53" t="inlineStr">
        <is>
          <t>2025-05-05</t>
        </is>
      </c>
      <c r="F3868" s="53">
        <v>2.7</v>
      </c>
      <c r="G3868" s="53">
        <v>2.7</v>
      </c>
      <c r="H3868" s="51" t="str">
        <f>TEXT(tblLaborEntries[[#This Row],[Work date serial]]-WEEKDAY(tblLaborEntries[[#This Row],[Work date serial]],3),"yyyy-mm-dd")</f>
        <v>2025-05-05</v>
      </c>
      <c r="I3868" s="64">
        <f>DATEVALUE(tblLaborEntries[[#This Row],[Work date]])</f>
        <v>45782.0</v>
      </c>
    </row>
    <row r="3869" spans="1:9" ht="15" x14ac:dyDescent="0.25">
      <c r="A3869" s="53" t="inlineStr">
        <is>
          <t>LAB-003868</t>
        </is>
      </c>
      <c r="B3869" s="53" t="inlineStr">
        <is>
          <t>WP-01703</t>
        </is>
      </c>
      <c r="C3869" s="53" t="inlineStr">
        <is>
          <t>TECH-008</t>
        </is>
      </c>
      <c r="D3869" s="53" t="inlineStr">
        <is>
          <t>Avionics</t>
        </is>
      </c>
      <c r="E3869" s="53" t="inlineStr">
        <is>
          <t>2025-05-06</t>
        </is>
      </c>
      <c r="F3869" s="53">
        <v>1.9</v>
      </c>
      <c r="G3869" s="53">
        <v>0</v>
      </c>
      <c r="H3869" s="51" t="str">
        <f>TEXT(tblLaborEntries[[#This Row],[Work date serial]]-WEEKDAY(tblLaborEntries[[#This Row],[Work date serial]],3),"yyyy-mm-dd")</f>
        <v>2025-05-05</v>
      </c>
      <c r="I3869" s="64">
        <f>DATEVALUE(tblLaborEntries[[#This Row],[Work date]])</f>
        <v>45783.0</v>
      </c>
    </row>
    <row r="3870" spans="1:9" ht="15" x14ac:dyDescent="0.25">
      <c r="A3870" s="53" t="inlineStr">
        <is>
          <t>LAB-003869</t>
        </is>
      </c>
      <c r="B3870" s="53" t="inlineStr">
        <is>
          <t>WP-01703</t>
        </is>
      </c>
      <c r="C3870" s="53" t="inlineStr">
        <is>
          <t>TECH-062</t>
        </is>
      </c>
      <c r="D3870" s="53" t="inlineStr">
        <is>
          <t>Avionics</t>
        </is>
      </c>
      <c r="E3870" s="53" t="inlineStr">
        <is>
          <t>2025-05-07</t>
        </is>
      </c>
      <c r="F3870" s="53">
        <v>2.5</v>
      </c>
      <c r="G3870" s="53">
        <v>0</v>
      </c>
      <c r="H3870" s="51" t="str">
        <f>TEXT(tblLaborEntries[[#This Row],[Work date serial]]-WEEKDAY(tblLaborEntries[[#This Row],[Work date serial]],3),"yyyy-mm-dd")</f>
        <v>2025-05-05</v>
      </c>
      <c r="I3870" s="64">
        <f>DATEVALUE(tblLaborEntries[[#This Row],[Work date]])</f>
        <v>45784.0</v>
      </c>
    </row>
    <row r="3871" spans="1:9" ht="15" x14ac:dyDescent="0.25">
      <c r="A3871" s="53" t="inlineStr">
        <is>
          <t>LAB-003870</t>
        </is>
      </c>
      <c r="B3871" s="53" t="inlineStr">
        <is>
          <t>WP-01704</t>
        </is>
      </c>
      <c r="C3871" s="53" t="inlineStr">
        <is>
          <t>TECH-001</t>
        </is>
      </c>
      <c r="D3871" s="53" t="inlineStr">
        <is>
          <t>Airframe</t>
        </is>
      </c>
      <c r="E3871" s="53" t="inlineStr">
        <is>
          <t>2024-08-14</t>
        </is>
      </c>
      <c r="F3871" s="53">
        <v>4</v>
      </c>
      <c r="G3871" s="53">
        <v>0</v>
      </c>
      <c r="H3871" s="51" t="str">
        <f>TEXT(tblLaborEntries[[#This Row],[Work date serial]]-WEEKDAY(tblLaborEntries[[#This Row],[Work date serial]],3),"yyyy-mm-dd")</f>
        <v>2024-08-12</v>
      </c>
      <c r="I3871" s="64">
        <f>DATEVALUE(tblLaborEntries[[#This Row],[Work date]])</f>
        <v>45518.0</v>
      </c>
    </row>
    <row r="3872" spans="1:9" ht="15" x14ac:dyDescent="0.25">
      <c r="A3872" s="53" t="inlineStr">
        <is>
          <t>LAB-003871</t>
        </is>
      </c>
      <c r="B3872" s="53" t="inlineStr">
        <is>
          <t>WP-01704</t>
        </is>
      </c>
      <c r="C3872" s="53" t="inlineStr">
        <is>
          <t>TECH-019</t>
        </is>
      </c>
      <c r="D3872" s="53" t="inlineStr">
        <is>
          <t>Airframe</t>
        </is>
      </c>
      <c r="E3872" s="53" t="inlineStr">
        <is>
          <t>2024-08-15</t>
        </is>
      </c>
      <c r="F3872" s="53">
        <v>3.8</v>
      </c>
      <c r="G3872" s="53">
        <v>0</v>
      </c>
      <c r="H3872" s="51" t="str">
        <f>TEXT(tblLaborEntries[[#This Row],[Work date serial]]-WEEKDAY(tblLaborEntries[[#This Row],[Work date serial]],3),"yyyy-mm-dd")</f>
        <v>2024-08-12</v>
      </c>
      <c r="I3872" s="64">
        <f>DATEVALUE(tblLaborEntries[[#This Row],[Work date]])</f>
        <v>45519.0</v>
      </c>
    </row>
    <row r="3873" spans="1:9" ht="15" x14ac:dyDescent="0.25">
      <c r="A3873" s="53" t="inlineStr">
        <is>
          <t>LAB-003872</t>
        </is>
      </c>
      <c r="B3873" s="53" t="inlineStr">
        <is>
          <t>WP-01705</t>
        </is>
      </c>
      <c r="C3873" s="53" t="inlineStr">
        <is>
          <t>TECH-005</t>
        </is>
      </c>
      <c r="D3873" s="53" t="inlineStr">
        <is>
          <t>Structures</t>
        </is>
      </c>
      <c r="E3873" s="53" t="inlineStr">
        <is>
          <t>2025-09-09</t>
        </is>
      </c>
      <c r="F3873" s="53">
        <v>0.7</v>
      </c>
      <c r="G3873" s="53">
        <v>0</v>
      </c>
      <c r="H3873" s="51" t="str">
        <f>TEXT(tblLaborEntries[[#This Row],[Work date serial]]-WEEKDAY(tblLaborEntries[[#This Row],[Work date serial]],3),"yyyy-mm-dd")</f>
        <v>2025-09-08</v>
      </c>
      <c r="I3873" s="64">
        <f>DATEVALUE(tblLaborEntries[[#This Row],[Work date]])</f>
        <v>45909.0</v>
      </c>
    </row>
    <row r="3874" spans="1:9" ht="15" x14ac:dyDescent="0.25">
      <c r="A3874" s="53" t="inlineStr">
        <is>
          <t>LAB-003873</t>
        </is>
      </c>
      <c r="B3874" s="53" t="inlineStr">
        <is>
          <t>WP-01705</t>
        </is>
      </c>
      <c r="C3874" s="53" t="inlineStr">
        <is>
          <t>TECH-029</t>
        </is>
      </c>
      <c r="D3874" s="53" t="inlineStr">
        <is>
          <t>Structures</t>
        </is>
      </c>
      <c r="E3874" s="53" t="inlineStr">
        <is>
          <t>2025-09-09</t>
        </is>
      </c>
      <c r="F3874" s="53">
        <v>12</v>
      </c>
      <c r="G3874" s="53">
        <v>4</v>
      </c>
      <c r="H3874" s="51" t="str">
        <f>TEXT(tblLaborEntries[[#This Row],[Work date serial]]-WEEKDAY(tblLaborEntries[[#This Row],[Work date serial]],3),"yyyy-mm-dd")</f>
        <v>2025-09-08</v>
      </c>
      <c r="I3874" s="64">
        <f>DATEVALUE(tblLaborEntries[[#This Row],[Work date]])</f>
        <v>45909.0</v>
      </c>
    </row>
    <row r="3875" spans="1:9" ht="15" x14ac:dyDescent="0.25">
      <c r="A3875" s="53" t="inlineStr">
        <is>
          <t>LAB-003874</t>
        </is>
      </c>
      <c r="B3875" s="53" t="inlineStr">
        <is>
          <t>WP-01706</t>
        </is>
      </c>
      <c r="C3875" s="53" t="inlineStr">
        <is>
          <t>TECH-067</t>
        </is>
      </c>
      <c r="D3875" s="53" t="inlineStr">
        <is>
          <t>Airframe</t>
        </is>
      </c>
      <c r="E3875" s="53" t="inlineStr">
        <is>
          <t>2024-08-22</t>
        </is>
      </c>
      <c r="F3875" s="53">
        <v>1.2</v>
      </c>
      <c r="G3875" s="53">
        <v>0</v>
      </c>
      <c r="H3875" s="51" t="str">
        <f>TEXT(tblLaborEntries[[#This Row],[Work date serial]]-WEEKDAY(tblLaborEntries[[#This Row],[Work date serial]],3),"yyyy-mm-dd")</f>
        <v>2024-08-19</v>
      </c>
      <c r="I3875" s="64">
        <f>DATEVALUE(tblLaborEntries[[#This Row],[Work date]])</f>
        <v>45526.0</v>
      </c>
    </row>
    <row r="3876" spans="1:9" ht="15" x14ac:dyDescent="0.25">
      <c r="A3876" s="53" t="inlineStr">
        <is>
          <t>LAB-003875</t>
        </is>
      </c>
      <c r="B3876" s="53" t="inlineStr">
        <is>
          <t>WP-01706</t>
        </is>
      </c>
      <c r="C3876" s="53" t="inlineStr">
        <is>
          <t>TECH-031</t>
        </is>
      </c>
      <c r="D3876" s="53" t="inlineStr">
        <is>
          <t>Airframe</t>
        </is>
      </c>
      <c r="E3876" s="53" t="inlineStr">
        <is>
          <t>2024-08-23</t>
        </is>
      </c>
      <c r="F3876" s="53">
        <v>1</v>
      </c>
      <c r="G3876" s="53">
        <v>0</v>
      </c>
      <c r="H3876" s="51" t="str">
        <f>TEXT(tblLaborEntries[[#This Row],[Work date serial]]-WEEKDAY(tblLaborEntries[[#This Row],[Work date serial]],3),"yyyy-mm-dd")</f>
        <v>2024-08-19</v>
      </c>
      <c r="I3876" s="64">
        <f>DATEVALUE(tblLaborEntries[[#This Row],[Work date]])</f>
        <v>45527.0</v>
      </c>
    </row>
    <row r="3877" spans="1:9" ht="15" x14ac:dyDescent="0.25">
      <c r="A3877" s="53" t="inlineStr">
        <is>
          <t>LAB-003876</t>
        </is>
      </c>
      <c r="B3877" s="53" t="inlineStr">
        <is>
          <t>WP-01706</t>
        </is>
      </c>
      <c r="C3877" s="53" t="inlineStr">
        <is>
          <t>TECH-001</t>
        </is>
      </c>
      <c r="D3877" s="53" t="inlineStr">
        <is>
          <t>Airframe</t>
        </is>
      </c>
      <c r="E3877" s="53" t="inlineStr">
        <is>
          <t>2024-08-24</t>
        </is>
      </c>
      <c r="F3877" s="53">
        <v>1.3</v>
      </c>
      <c r="G3877" s="53">
        <v>0</v>
      </c>
      <c r="H3877" s="51" t="str">
        <f>TEXT(tblLaborEntries[[#This Row],[Work date serial]]-WEEKDAY(tblLaborEntries[[#This Row],[Work date serial]],3),"yyyy-mm-dd")</f>
        <v>2024-08-19</v>
      </c>
      <c r="I3877" s="64">
        <f>DATEVALUE(tblLaborEntries[[#This Row],[Work date]])</f>
        <v>45528.0</v>
      </c>
    </row>
    <row r="3878" spans="1:9" ht="15" x14ac:dyDescent="0.25">
      <c r="A3878" s="53" t="inlineStr">
        <is>
          <t>LAB-003877</t>
        </is>
      </c>
      <c r="B3878" s="53" t="inlineStr">
        <is>
          <t>WP-01707</t>
        </is>
      </c>
      <c r="C3878" s="53" t="inlineStr">
        <is>
          <t>TECH-050</t>
        </is>
      </c>
      <c r="D3878" s="53" t="inlineStr">
        <is>
          <t>Avionics</t>
        </is>
      </c>
      <c r="E3878" s="53" t="inlineStr">
        <is>
          <t>2026-02-13</t>
        </is>
      </c>
      <c r="F3878" s="53">
        <v>3.9</v>
      </c>
      <c r="G3878" s="53">
        <v>0</v>
      </c>
      <c r="H3878" s="51" t="str">
        <f>TEXT(tblLaborEntries[[#This Row],[Work date serial]]-WEEKDAY(tblLaborEntries[[#This Row],[Work date serial]],3),"yyyy-mm-dd")</f>
        <v>2026-02-09</v>
      </c>
      <c r="I3878" s="64">
        <f>DATEVALUE(tblLaborEntries[[#This Row],[Work date]])</f>
        <v>46066.0</v>
      </c>
    </row>
    <row r="3879" spans="1:9" ht="15" x14ac:dyDescent="0.25">
      <c r="A3879" s="53" t="inlineStr">
        <is>
          <t>LAB-003878</t>
        </is>
      </c>
      <c r="B3879" s="53" t="inlineStr">
        <is>
          <t>WP-01707</t>
        </is>
      </c>
      <c r="C3879" s="53" t="inlineStr">
        <is>
          <t>TECH-008</t>
        </is>
      </c>
      <c r="D3879" s="53" t="inlineStr">
        <is>
          <t>Avionics</t>
        </is>
      </c>
      <c r="E3879" s="53" t="inlineStr">
        <is>
          <t>2026-02-14</t>
        </is>
      </c>
      <c r="F3879" s="53">
        <v>3.7</v>
      </c>
      <c r="G3879" s="53">
        <v>0</v>
      </c>
      <c r="H3879" s="51" t="str">
        <f>TEXT(tblLaborEntries[[#This Row],[Work date serial]]-WEEKDAY(tblLaborEntries[[#This Row],[Work date serial]],3),"yyyy-mm-dd")</f>
        <v>2026-02-09</v>
      </c>
      <c r="I3879" s="64">
        <f>DATEVALUE(tblLaborEntries[[#This Row],[Work date]])</f>
        <v>46067.0</v>
      </c>
    </row>
    <row r="3880" spans="1:9" ht="15" x14ac:dyDescent="0.25">
      <c r="A3880" s="53" t="inlineStr">
        <is>
          <t>LAB-003879</t>
        </is>
      </c>
      <c r="B3880" s="53" t="inlineStr">
        <is>
          <t>WP-01708</t>
        </is>
      </c>
      <c r="C3880" s="53" t="inlineStr">
        <is>
          <t>TECH-067</t>
        </is>
      </c>
      <c r="D3880" s="53" t="inlineStr">
        <is>
          <t>Airframe</t>
        </is>
      </c>
      <c r="E3880" s="53" t="inlineStr">
        <is>
          <t>2024-07-24</t>
        </is>
      </c>
      <c r="F3880" s="53">
        <v>1.5</v>
      </c>
      <c r="G3880" s="53">
        <v>0</v>
      </c>
      <c r="H3880" s="51" t="str">
        <f>TEXT(tblLaborEntries[[#This Row],[Work date serial]]-WEEKDAY(tblLaborEntries[[#This Row],[Work date serial]],3),"yyyy-mm-dd")</f>
        <v>2024-07-22</v>
      </c>
      <c r="I3880" s="64">
        <f>DATEVALUE(tblLaborEntries[[#This Row],[Work date]])</f>
        <v>45497.0</v>
      </c>
    </row>
    <row r="3881" spans="1:9" ht="15" x14ac:dyDescent="0.25">
      <c r="A3881" s="53" t="inlineStr">
        <is>
          <t>LAB-003880</t>
        </is>
      </c>
      <c r="B3881" s="53" t="inlineStr">
        <is>
          <t>WP-01708</t>
        </is>
      </c>
      <c r="C3881" s="53" t="inlineStr">
        <is>
          <t>TECH-031</t>
        </is>
      </c>
      <c r="D3881" s="53" t="inlineStr">
        <is>
          <t>Airframe</t>
        </is>
      </c>
      <c r="E3881" s="53" t="inlineStr">
        <is>
          <t>2024-07-25</t>
        </is>
      </c>
      <c r="F3881" s="53">
        <v>1.1</v>
      </c>
      <c r="G3881" s="53">
        <v>0</v>
      </c>
      <c r="H3881" s="51" t="str">
        <f>TEXT(tblLaborEntries[[#This Row],[Work date serial]]-WEEKDAY(tblLaborEntries[[#This Row],[Work date serial]],3),"yyyy-mm-dd")</f>
        <v>2024-07-22</v>
      </c>
      <c r="I3881" s="64">
        <f>DATEVALUE(tblLaborEntries[[#This Row],[Work date]])</f>
        <v>45498.0</v>
      </c>
    </row>
    <row r="3882" spans="1:9" ht="15" x14ac:dyDescent="0.25">
      <c r="A3882" s="53" t="inlineStr">
        <is>
          <t>LAB-003881</t>
        </is>
      </c>
      <c r="B3882" s="53" t="inlineStr">
        <is>
          <t>WP-01709</t>
        </is>
      </c>
      <c r="C3882" s="53" t="inlineStr">
        <is>
          <t>TECH-043</t>
        </is>
      </c>
      <c r="D3882" s="53" t="inlineStr">
        <is>
          <t>Airframe</t>
        </is>
      </c>
      <c r="E3882" s="53" t="inlineStr">
        <is>
          <t>2024-09-07</t>
        </is>
      </c>
      <c r="F3882" s="53">
        <v>3.6</v>
      </c>
      <c r="G3882" s="53">
        <v>0</v>
      </c>
      <c r="H3882" s="51" t="str">
        <f>TEXT(tblLaborEntries[[#This Row],[Work date serial]]-WEEKDAY(tblLaborEntries[[#This Row],[Work date serial]],3),"yyyy-mm-dd")</f>
        <v>2024-09-02</v>
      </c>
      <c r="I3882" s="64">
        <f>DATEVALUE(tblLaborEntries[[#This Row],[Work date]])</f>
        <v>45542.0</v>
      </c>
    </row>
    <row r="3883" spans="1:9" ht="15" x14ac:dyDescent="0.25">
      <c r="A3883" s="53" t="inlineStr">
        <is>
          <t>LAB-003882</t>
        </is>
      </c>
      <c r="B3883" s="53" t="inlineStr">
        <is>
          <t>WP-01709</t>
        </is>
      </c>
      <c r="C3883" s="53" t="inlineStr">
        <is>
          <t>TECH-019</t>
        </is>
      </c>
      <c r="D3883" s="53" t="inlineStr">
        <is>
          <t>Airframe</t>
        </is>
      </c>
      <c r="E3883" s="53" t="inlineStr">
        <is>
          <t>2024-09-08</t>
        </is>
      </c>
      <c r="F3883" s="53">
        <v>2.6</v>
      </c>
      <c r="G3883" s="53">
        <v>0</v>
      </c>
      <c r="H3883" s="51" t="str">
        <f>TEXT(tblLaborEntries[[#This Row],[Work date serial]]-WEEKDAY(tblLaborEntries[[#This Row],[Work date serial]],3),"yyyy-mm-dd")</f>
        <v>2024-09-02</v>
      </c>
      <c r="I3883" s="64">
        <f>DATEVALUE(tblLaborEntries[[#This Row],[Work date]])</f>
        <v>45543.0</v>
      </c>
    </row>
    <row r="3884" spans="1:9" ht="15" x14ac:dyDescent="0.25">
      <c r="A3884" s="53" t="inlineStr">
        <is>
          <t>LAB-003883</t>
        </is>
      </c>
      <c r="B3884" s="53" t="inlineStr">
        <is>
          <t>WP-01709</t>
        </is>
      </c>
      <c r="C3884" s="53" t="inlineStr">
        <is>
          <t>TECH-031</t>
        </is>
      </c>
      <c r="D3884" s="53" t="inlineStr">
        <is>
          <t>Airframe</t>
        </is>
      </c>
      <c r="E3884" s="53" t="inlineStr">
        <is>
          <t>2024-09-09</t>
        </is>
      </c>
      <c r="F3884" s="53">
        <v>3.7</v>
      </c>
      <c r="G3884" s="53">
        <v>0</v>
      </c>
      <c r="H3884" s="51" t="str">
        <f>TEXT(tblLaborEntries[[#This Row],[Work date serial]]-WEEKDAY(tblLaborEntries[[#This Row],[Work date serial]],3),"yyyy-mm-dd")</f>
        <v>2024-09-09</v>
      </c>
      <c r="I3884" s="64">
        <f>DATEVALUE(tblLaborEntries[[#This Row],[Work date]])</f>
        <v>45544.0</v>
      </c>
    </row>
    <row r="3885" spans="1:9" ht="15" x14ac:dyDescent="0.25">
      <c r="A3885" s="53" t="inlineStr">
        <is>
          <t>LAB-003884</t>
        </is>
      </c>
      <c r="B3885" s="53" t="inlineStr">
        <is>
          <t>WP-01710</t>
        </is>
      </c>
      <c r="C3885" s="53" t="inlineStr">
        <is>
          <t>TECH-027</t>
        </is>
      </c>
      <c r="D3885" s="53" t="inlineStr">
        <is>
          <t>Hydraulics</t>
        </is>
      </c>
      <c r="E3885" s="53" t="inlineStr">
        <is>
          <t>2024-02-26</t>
        </is>
      </c>
      <c r="F3885" s="53">
        <v>4.3</v>
      </c>
      <c r="G3885" s="53">
        <v>0</v>
      </c>
      <c r="H3885" s="51" t="str">
        <f>TEXT(tblLaborEntries[[#This Row],[Work date serial]]-WEEKDAY(tblLaborEntries[[#This Row],[Work date serial]],3),"yyyy-mm-dd")</f>
        <v>2024-02-26</v>
      </c>
      <c r="I3885" s="64">
        <f>DATEVALUE(tblLaborEntries[[#This Row],[Work date]])</f>
        <v>45348.0</v>
      </c>
    </row>
    <row r="3886" spans="1:9" ht="15" x14ac:dyDescent="0.25">
      <c r="A3886" s="53" t="inlineStr">
        <is>
          <t>LAB-003885</t>
        </is>
      </c>
      <c r="B3886" s="53" t="inlineStr">
        <is>
          <t>WP-01710</t>
        </is>
      </c>
      <c r="C3886" s="53" t="inlineStr">
        <is>
          <t>TECH-069</t>
        </is>
      </c>
      <c r="D3886" s="53" t="inlineStr">
        <is>
          <t>Hydraulics</t>
        </is>
      </c>
      <c r="E3886" s="53" t="inlineStr">
        <is>
          <t>2024-02-27</t>
        </is>
      </c>
      <c r="F3886" s="53">
        <v>4.8</v>
      </c>
      <c r="G3886" s="53">
        <v>0</v>
      </c>
      <c r="H3886" s="51" t="str">
        <f>TEXT(tblLaborEntries[[#This Row],[Work date serial]]-WEEKDAY(tblLaborEntries[[#This Row],[Work date serial]],3),"yyyy-mm-dd")</f>
        <v>2024-02-26</v>
      </c>
      <c r="I3886" s="64">
        <f>DATEVALUE(tblLaborEntries[[#This Row],[Work date]])</f>
        <v>45349.0</v>
      </c>
    </row>
    <row r="3887" spans="1:9" ht="15" x14ac:dyDescent="0.25">
      <c r="A3887" s="53" t="inlineStr">
        <is>
          <t>LAB-003886</t>
        </is>
      </c>
      <c r="B3887" s="53" t="inlineStr">
        <is>
          <t>WP-01710</t>
        </is>
      </c>
      <c r="C3887" s="53" t="inlineStr">
        <is>
          <t>TECH-069</t>
        </is>
      </c>
      <c r="D3887" s="53" t="inlineStr">
        <is>
          <t>Hydraulics</t>
        </is>
      </c>
      <c r="E3887" s="53" t="inlineStr">
        <is>
          <t>2024-02-28</t>
        </is>
      </c>
      <c r="F3887" s="53">
        <v>7.3</v>
      </c>
      <c r="G3887" s="53">
        <v>0</v>
      </c>
      <c r="H3887" s="51" t="str">
        <f>TEXT(tblLaborEntries[[#This Row],[Work date serial]]-WEEKDAY(tblLaborEntries[[#This Row],[Work date serial]],3),"yyyy-mm-dd")</f>
        <v>2024-02-26</v>
      </c>
      <c r="I3887" s="64">
        <f>DATEVALUE(tblLaborEntries[[#This Row],[Work date]])</f>
        <v>45350.0</v>
      </c>
    </row>
    <row r="3888" spans="1:9" ht="15" x14ac:dyDescent="0.25">
      <c r="A3888" s="53" t="inlineStr">
        <is>
          <t>LAB-003887</t>
        </is>
      </c>
      <c r="B3888" s="53" t="inlineStr">
        <is>
          <t>WP-01711</t>
        </is>
      </c>
      <c r="C3888" s="53" t="inlineStr">
        <is>
          <t>TECH-032</t>
        </is>
      </c>
      <c r="D3888" s="53" t="inlineStr">
        <is>
          <t>Avionics</t>
        </is>
      </c>
      <c r="E3888" s="53" t="inlineStr">
        <is>
          <t>2025-11-28</t>
        </is>
      </c>
      <c r="F3888" s="53">
        <v>4.1</v>
      </c>
      <c r="G3888" s="53">
        <v>0</v>
      </c>
      <c r="H3888" s="51" t="str">
        <f>TEXT(tblLaborEntries[[#This Row],[Work date serial]]-WEEKDAY(tblLaborEntries[[#This Row],[Work date serial]],3),"yyyy-mm-dd")</f>
        <v>2025-11-24</v>
      </c>
      <c r="I3888" s="64">
        <f>DATEVALUE(tblLaborEntries[[#This Row],[Work date]])</f>
        <v>45989.0</v>
      </c>
    </row>
    <row r="3889" spans="1:9" ht="15" x14ac:dyDescent="0.25">
      <c r="A3889" s="53" t="inlineStr">
        <is>
          <t>LAB-003888</t>
        </is>
      </c>
      <c r="B3889" s="53" t="inlineStr">
        <is>
          <t>WP-01711</t>
        </is>
      </c>
      <c r="C3889" s="53" t="inlineStr">
        <is>
          <t>TECH-044</t>
        </is>
      </c>
      <c r="D3889" s="53" t="inlineStr">
        <is>
          <t>Avionics</t>
        </is>
      </c>
      <c r="E3889" s="53" t="inlineStr">
        <is>
          <t>2025-11-29</t>
        </is>
      </c>
      <c r="F3889" s="53">
        <v>3.6</v>
      </c>
      <c r="G3889" s="53">
        <v>0</v>
      </c>
      <c r="H3889" s="51" t="str">
        <f>TEXT(tblLaborEntries[[#This Row],[Work date serial]]-WEEKDAY(tblLaborEntries[[#This Row],[Work date serial]],3),"yyyy-mm-dd")</f>
        <v>2025-11-24</v>
      </c>
      <c r="I3889" s="64">
        <f>DATEVALUE(tblLaborEntries[[#This Row],[Work date]])</f>
        <v>45990.0</v>
      </c>
    </row>
    <row r="3890" spans="1:9" ht="15" x14ac:dyDescent="0.25">
      <c r="A3890" s="53" t="inlineStr">
        <is>
          <t>LAB-003889</t>
        </is>
      </c>
      <c r="B3890" s="53" t="inlineStr">
        <is>
          <t>WP-01711</t>
        </is>
      </c>
      <c r="C3890" s="53" t="inlineStr">
        <is>
          <t>TECH-050</t>
        </is>
      </c>
      <c r="D3890" s="53" t="inlineStr">
        <is>
          <t>Avionics</t>
        </is>
      </c>
      <c r="E3890" s="53" t="inlineStr">
        <is>
          <t>2025-11-30</t>
        </is>
      </c>
      <c r="F3890" s="53">
        <v>4.6</v>
      </c>
      <c r="G3890" s="53">
        <v>0</v>
      </c>
      <c r="H3890" s="51" t="str">
        <f>TEXT(tblLaborEntries[[#This Row],[Work date serial]]-WEEKDAY(tblLaborEntries[[#This Row],[Work date serial]],3),"yyyy-mm-dd")</f>
        <v>2025-11-24</v>
      </c>
      <c r="I3890" s="64">
        <f>DATEVALUE(tblLaborEntries[[#This Row],[Work date]])</f>
        <v>45991.0</v>
      </c>
    </row>
    <row r="3891" spans="1:9" ht="15" x14ac:dyDescent="0.25">
      <c r="A3891" s="53" t="inlineStr">
        <is>
          <t>LAB-003890</t>
        </is>
      </c>
      <c r="B3891" s="53" t="inlineStr">
        <is>
          <t>WP-01712</t>
        </is>
      </c>
      <c r="C3891" s="53" t="inlineStr">
        <is>
          <t>TECH-036</t>
        </is>
      </c>
      <c r="D3891" s="53" t="inlineStr">
        <is>
          <t>Powerplant</t>
        </is>
      </c>
      <c r="E3891" s="53" t="inlineStr">
        <is>
          <t>2025-01-08</t>
        </is>
      </c>
      <c r="F3891" s="53">
        <v>4.5</v>
      </c>
      <c r="G3891" s="53">
        <v>0</v>
      </c>
      <c r="H3891" s="51" t="str">
        <f>TEXT(tblLaborEntries[[#This Row],[Work date serial]]-WEEKDAY(tblLaborEntries[[#This Row],[Work date serial]],3),"yyyy-mm-dd")</f>
        <v>2025-01-06</v>
      </c>
      <c r="I3891" s="64">
        <f>DATEVALUE(tblLaborEntries[[#This Row],[Work date]])</f>
        <v>45665.0</v>
      </c>
    </row>
    <row r="3892" spans="1:9" ht="15" x14ac:dyDescent="0.25">
      <c r="A3892" s="53" t="inlineStr">
        <is>
          <t>LAB-003891</t>
        </is>
      </c>
      <c r="B3892" s="53" t="inlineStr">
        <is>
          <t>WP-01712</t>
        </is>
      </c>
      <c r="C3892" s="53" t="inlineStr">
        <is>
          <t>TECH-006</t>
        </is>
      </c>
      <c r="D3892" s="53" t="inlineStr">
        <is>
          <t>Powerplant</t>
        </is>
      </c>
      <c r="E3892" s="53" t="inlineStr">
        <is>
          <t>2025-01-09</t>
        </is>
      </c>
      <c r="F3892" s="53">
        <v>5.4</v>
      </c>
      <c r="G3892" s="53">
        <v>0</v>
      </c>
      <c r="H3892" s="51" t="str">
        <f>TEXT(tblLaborEntries[[#This Row],[Work date serial]]-WEEKDAY(tblLaborEntries[[#This Row],[Work date serial]],3),"yyyy-mm-dd")</f>
        <v>2025-01-06</v>
      </c>
      <c r="I3892" s="64">
        <f>DATEVALUE(tblLaborEntries[[#This Row],[Work date]])</f>
        <v>45666.0</v>
      </c>
    </row>
    <row r="3893" spans="1:9" ht="15" x14ac:dyDescent="0.25">
      <c r="A3893" s="53" t="inlineStr">
        <is>
          <t>LAB-003892</t>
        </is>
      </c>
      <c r="B3893" s="53" t="inlineStr">
        <is>
          <t>WP-01713</t>
        </is>
      </c>
      <c r="C3893" s="53" t="inlineStr">
        <is>
          <t>TECH-074</t>
        </is>
      </c>
      <c r="D3893" s="53" t="inlineStr">
        <is>
          <t>Avionics</t>
        </is>
      </c>
      <c r="E3893" s="53" t="inlineStr">
        <is>
          <t>2024-05-09</t>
        </is>
      </c>
      <c r="F3893" s="53">
        <v>1.2</v>
      </c>
      <c r="G3893" s="53">
        <v>0</v>
      </c>
      <c r="H3893" s="51" t="str">
        <f>TEXT(tblLaborEntries[[#This Row],[Work date serial]]-WEEKDAY(tblLaborEntries[[#This Row],[Work date serial]],3),"yyyy-mm-dd")</f>
        <v>2024-05-06</v>
      </c>
      <c r="I3893" s="64">
        <f>DATEVALUE(tblLaborEntries[[#This Row],[Work date]])</f>
        <v>45421.0</v>
      </c>
    </row>
    <row r="3894" spans="1:9" ht="15" x14ac:dyDescent="0.25">
      <c r="A3894" s="53" t="inlineStr">
        <is>
          <t>LAB-003893</t>
        </is>
      </c>
      <c r="B3894" s="53" t="inlineStr">
        <is>
          <t>WP-01713</t>
        </is>
      </c>
      <c r="C3894" s="53" t="inlineStr">
        <is>
          <t>TECH-062</t>
        </is>
      </c>
      <c r="D3894" s="53" t="inlineStr">
        <is>
          <t>Avionics</t>
        </is>
      </c>
      <c r="E3894" s="53" t="inlineStr">
        <is>
          <t>2024-05-10</t>
        </is>
      </c>
      <c r="F3894" s="53">
        <v>0.9</v>
      </c>
      <c r="G3894" s="53">
        <v>0</v>
      </c>
      <c r="H3894" s="51" t="str">
        <f>TEXT(tblLaborEntries[[#This Row],[Work date serial]]-WEEKDAY(tblLaborEntries[[#This Row],[Work date serial]],3),"yyyy-mm-dd")</f>
        <v>2024-05-06</v>
      </c>
      <c r="I3894" s="64">
        <f>DATEVALUE(tblLaborEntries[[#This Row],[Work date]])</f>
        <v>45422.0</v>
      </c>
    </row>
    <row r="3895" spans="1:9" ht="15" x14ac:dyDescent="0.25">
      <c r="A3895" s="53" t="inlineStr">
        <is>
          <t>LAB-003894</t>
        </is>
      </c>
      <c r="B3895" s="53" t="inlineStr">
        <is>
          <t>WP-01713</t>
        </is>
      </c>
      <c r="C3895" s="53" t="inlineStr">
        <is>
          <t>TECH-038</t>
        </is>
      </c>
      <c r="D3895" s="53" t="inlineStr">
        <is>
          <t>Avionics</t>
        </is>
      </c>
      <c r="E3895" s="53" t="inlineStr">
        <is>
          <t>2024-05-11</t>
        </is>
      </c>
      <c r="F3895" s="53">
        <v>1.2</v>
      </c>
      <c r="G3895" s="53">
        <v>0</v>
      </c>
      <c r="H3895" s="51" t="str">
        <f>TEXT(tblLaborEntries[[#This Row],[Work date serial]]-WEEKDAY(tblLaborEntries[[#This Row],[Work date serial]],3),"yyyy-mm-dd")</f>
        <v>2024-05-06</v>
      </c>
      <c r="I3895" s="64">
        <f>DATEVALUE(tblLaborEntries[[#This Row],[Work date]])</f>
        <v>45423.0</v>
      </c>
    </row>
    <row r="3896" spans="1:9" ht="15" x14ac:dyDescent="0.25">
      <c r="A3896" s="53" t="inlineStr">
        <is>
          <t>LAB-003895</t>
        </is>
      </c>
      <c r="B3896" s="53" t="inlineStr">
        <is>
          <t>WP-01714</t>
        </is>
      </c>
      <c r="C3896" s="53" t="inlineStr">
        <is>
          <t>TECH-020</t>
        </is>
      </c>
      <c r="D3896" s="53" t="inlineStr">
        <is>
          <t>Avionics</t>
        </is>
      </c>
      <c r="E3896" s="53" t="inlineStr">
        <is>
          <t>2025-09-24</t>
        </is>
      </c>
      <c r="F3896" s="53">
        <v>1.6</v>
      </c>
      <c r="G3896" s="53">
        <v>0</v>
      </c>
      <c r="H3896" s="51" t="str">
        <f>TEXT(tblLaborEntries[[#This Row],[Work date serial]]-WEEKDAY(tblLaborEntries[[#This Row],[Work date serial]],3),"yyyy-mm-dd")</f>
        <v>2025-09-22</v>
      </c>
      <c r="I3896" s="64">
        <f>DATEVALUE(tblLaborEntries[[#This Row],[Work date]])</f>
        <v>45924.0</v>
      </c>
    </row>
    <row r="3897" spans="1:9" ht="15" x14ac:dyDescent="0.25">
      <c r="A3897" s="53" t="inlineStr">
        <is>
          <t>LAB-003896</t>
        </is>
      </c>
      <c r="B3897" s="53" t="inlineStr">
        <is>
          <t>WP-01714</t>
        </is>
      </c>
      <c r="C3897" s="53" t="inlineStr">
        <is>
          <t>TECH-068</t>
        </is>
      </c>
      <c r="D3897" s="53" t="inlineStr">
        <is>
          <t>Avionics</t>
        </is>
      </c>
      <c r="E3897" s="53" t="inlineStr">
        <is>
          <t>2025-09-25</t>
        </is>
      </c>
      <c r="F3897" s="53">
        <v>2</v>
      </c>
      <c r="G3897" s="53">
        <v>0</v>
      </c>
      <c r="H3897" s="51" t="str">
        <f>TEXT(tblLaborEntries[[#This Row],[Work date serial]]-WEEKDAY(tblLaborEntries[[#This Row],[Work date serial]],3),"yyyy-mm-dd")</f>
        <v>2025-09-22</v>
      </c>
      <c r="I3897" s="64">
        <f>DATEVALUE(tblLaborEntries[[#This Row],[Work date]])</f>
        <v>45925.0</v>
      </c>
    </row>
    <row r="3898" spans="1:9" ht="15" x14ac:dyDescent="0.25">
      <c r="A3898" s="53" t="inlineStr">
        <is>
          <t>LAB-003897</t>
        </is>
      </c>
      <c r="B3898" s="53" t="inlineStr">
        <is>
          <t>WP-01715</t>
        </is>
      </c>
      <c r="C3898" s="53" t="inlineStr">
        <is>
          <t>TECH-006</t>
        </is>
      </c>
      <c r="D3898" s="53" t="inlineStr">
        <is>
          <t>Powerplant</t>
        </is>
      </c>
      <c r="E3898" s="53" t="inlineStr">
        <is>
          <t>2024-04-27</t>
        </is>
      </c>
      <c r="F3898" s="53">
        <v>3.4</v>
      </c>
      <c r="G3898" s="53">
        <v>0</v>
      </c>
      <c r="H3898" s="51" t="str">
        <f>TEXT(tblLaborEntries[[#This Row],[Work date serial]]-WEEKDAY(tblLaborEntries[[#This Row],[Work date serial]],3),"yyyy-mm-dd")</f>
        <v>2024-04-22</v>
      </c>
      <c r="I3898" s="64">
        <f>DATEVALUE(tblLaborEntries[[#This Row],[Work date]])</f>
        <v>45409.0</v>
      </c>
    </row>
    <row r="3899" spans="1:9" ht="15" x14ac:dyDescent="0.25">
      <c r="A3899" s="53" t="inlineStr">
        <is>
          <t>LAB-003898</t>
        </is>
      </c>
      <c r="B3899" s="53" t="inlineStr">
        <is>
          <t>WP-01715</t>
        </is>
      </c>
      <c r="C3899" s="53" t="inlineStr">
        <is>
          <t>TECH-036</t>
        </is>
      </c>
      <c r="D3899" s="53" t="inlineStr">
        <is>
          <t>Powerplant</t>
        </is>
      </c>
      <c r="E3899" s="53" t="inlineStr">
        <is>
          <t>2024-04-28</t>
        </is>
      </c>
      <c r="F3899" s="53">
        <v>3.6</v>
      </c>
      <c r="G3899" s="53">
        <v>0</v>
      </c>
      <c r="H3899" s="51" t="str">
        <f>TEXT(tblLaborEntries[[#This Row],[Work date serial]]-WEEKDAY(tblLaborEntries[[#This Row],[Work date serial]],3),"yyyy-mm-dd")</f>
        <v>2024-04-22</v>
      </c>
      <c r="I3899" s="64">
        <f>DATEVALUE(tblLaborEntries[[#This Row],[Work date]])</f>
        <v>45410.0</v>
      </c>
    </row>
    <row r="3900" spans="1:9" ht="15" x14ac:dyDescent="0.25">
      <c r="A3900" s="53" t="inlineStr">
        <is>
          <t>LAB-003899</t>
        </is>
      </c>
      <c r="B3900" s="53" t="inlineStr">
        <is>
          <t>WP-01715</t>
        </is>
      </c>
      <c r="C3900" s="53" t="inlineStr">
        <is>
          <t>TECH-012</t>
        </is>
      </c>
      <c r="D3900" s="53" t="inlineStr">
        <is>
          <t>Powerplant</t>
        </is>
      </c>
      <c r="E3900" s="53" t="inlineStr">
        <is>
          <t>2024-04-29</t>
        </is>
      </c>
      <c r="F3900" s="53">
        <v>2.8</v>
      </c>
      <c r="G3900" s="53">
        <v>0</v>
      </c>
      <c r="H3900" s="51" t="str">
        <f>TEXT(tblLaborEntries[[#This Row],[Work date serial]]-WEEKDAY(tblLaborEntries[[#This Row],[Work date serial]],3),"yyyy-mm-dd")</f>
        <v>2024-04-29</v>
      </c>
      <c r="I3900" s="64">
        <f>DATEVALUE(tblLaborEntries[[#This Row],[Work date]])</f>
        <v>45411.0</v>
      </c>
    </row>
    <row r="3901" spans="1:9" ht="15" x14ac:dyDescent="0.25">
      <c r="A3901" s="53" t="inlineStr">
        <is>
          <t>LAB-003900</t>
        </is>
      </c>
      <c r="B3901" s="53" t="inlineStr">
        <is>
          <t>WP-01716</t>
        </is>
      </c>
      <c r="C3901" s="53" t="inlineStr">
        <is>
          <t>TECH-043</t>
        </is>
      </c>
      <c r="D3901" s="53" t="inlineStr">
        <is>
          <t>Airframe</t>
        </is>
      </c>
      <c r="E3901" s="53" t="inlineStr">
        <is>
          <t>2025-12-13</t>
        </is>
      </c>
      <c r="F3901" s="53">
        <v>4.8</v>
      </c>
      <c r="G3901" s="53">
        <v>0</v>
      </c>
      <c r="H3901" s="51" t="str">
        <f>TEXT(tblLaborEntries[[#This Row],[Work date serial]]-WEEKDAY(tblLaborEntries[[#This Row],[Work date serial]],3),"yyyy-mm-dd")</f>
        <v>2025-12-08</v>
      </c>
      <c r="I3901" s="64">
        <f>DATEVALUE(tblLaborEntries[[#This Row],[Work date]])</f>
        <v>46004.0</v>
      </c>
    </row>
    <row r="3902" spans="1:9" ht="15" x14ac:dyDescent="0.25">
      <c r="A3902" s="53" t="inlineStr">
        <is>
          <t>LAB-003901</t>
        </is>
      </c>
      <c r="B3902" s="53" t="inlineStr">
        <is>
          <t>WP-01716</t>
        </is>
      </c>
      <c r="C3902" s="53" t="inlineStr">
        <is>
          <t>TECH-025</t>
        </is>
      </c>
      <c r="D3902" s="53" t="inlineStr">
        <is>
          <t>Airframe</t>
        </is>
      </c>
      <c r="E3902" s="53" t="inlineStr">
        <is>
          <t>2025-12-14</t>
        </is>
      </c>
      <c r="F3902" s="53">
        <v>5.9</v>
      </c>
      <c r="G3902" s="53">
        <v>0</v>
      </c>
      <c r="H3902" s="51" t="str">
        <f>TEXT(tblLaborEntries[[#This Row],[Work date serial]]-WEEKDAY(tblLaborEntries[[#This Row],[Work date serial]],3),"yyyy-mm-dd")</f>
        <v>2025-12-08</v>
      </c>
      <c r="I3902" s="64">
        <f>DATEVALUE(tblLaborEntries[[#This Row],[Work date]])</f>
        <v>46005.0</v>
      </c>
    </row>
    <row r="3903" spans="1:9" ht="15" x14ac:dyDescent="0.25">
      <c r="A3903" s="53" t="inlineStr">
        <is>
          <t>LAB-003902</t>
        </is>
      </c>
      <c r="B3903" s="53" t="inlineStr">
        <is>
          <t>WP-01717</t>
        </is>
      </c>
      <c r="C3903" s="53" t="inlineStr">
        <is>
          <t>TECH-073</t>
        </is>
      </c>
      <c r="D3903" s="53" t="inlineStr">
        <is>
          <t>Airframe</t>
        </is>
      </c>
      <c r="E3903" s="53" t="inlineStr">
        <is>
          <t>2024-03-04</t>
        </is>
      </c>
      <c r="F3903" s="53">
        <v>4.4</v>
      </c>
      <c r="G3903" s="53">
        <v>0</v>
      </c>
      <c r="H3903" s="51" t="str">
        <f>TEXT(tblLaborEntries[[#This Row],[Work date serial]]-WEEKDAY(tblLaborEntries[[#This Row],[Work date serial]],3),"yyyy-mm-dd")</f>
        <v>2024-03-04</v>
      </c>
      <c r="I3903" s="64">
        <f>DATEVALUE(tblLaborEntries[[#This Row],[Work date]])</f>
        <v>45355.0</v>
      </c>
    </row>
    <row r="3904" spans="1:9" ht="15" x14ac:dyDescent="0.25">
      <c r="A3904" s="53" t="inlineStr">
        <is>
          <t>LAB-003903</t>
        </is>
      </c>
      <c r="B3904" s="53" t="inlineStr">
        <is>
          <t>WP-01717</t>
        </is>
      </c>
      <c r="C3904" s="53" t="inlineStr">
        <is>
          <t>TECH-043</t>
        </is>
      </c>
      <c r="D3904" s="53" t="inlineStr">
        <is>
          <t>Airframe</t>
        </is>
      </c>
      <c r="E3904" s="53" t="inlineStr">
        <is>
          <t>2024-03-05</t>
        </is>
      </c>
      <c r="F3904" s="53">
        <v>4.7</v>
      </c>
      <c r="G3904" s="53">
        <v>0</v>
      </c>
      <c r="H3904" s="51" t="str">
        <f>TEXT(tblLaborEntries[[#This Row],[Work date serial]]-WEEKDAY(tblLaborEntries[[#This Row],[Work date serial]],3),"yyyy-mm-dd")</f>
        <v>2024-03-04</v>
      </c>
      <c r="I3904" s="64">
        <f>DATEVALUE(tblLaborEntries[[#This Row],[Work date]])</f>
        <v>45356.0</v>
      </c>
    </row>
    <row r="3905" spans="1:9" ht="15" x14ac:dyDescent="0.25">
      <c r="A3905" s="53" t="inlineStr">
        <is>
          <t>LAB-003904</t>
        </is>
      </c>
      <c r="B3905" s="53" t="inlineStr">
        <is>
          <t>WP-01718</t>
        </is>
      </c>
      <c r="C3905" s="53" t="inlineStr">
        <is>
          <t>TECH-066</t>
        </is>
      </c>
      <c r="D3905" s="53" t="inlineStr">
        <is>
          <t>Powerplant</t>
        </is>
      </c>
      <c r="E3905" s="53" t="inlineStr">
        <is>
          <t>2025-11-30</t>
        </is>
      </c>
      <c r="F3905" s="53">
        <v>5.7</v>
      </c>
      <c r="G3905" s="53">
        <v>0</v>
      </c>
      <c r="H3905" s="51" t="str">
        <f>TEXT(tblLaborEntries[[#This Row],[Work date serial]]-WEEKDAY(tblLaborEntries[[#This Row],[Work date serial]],3),"yyyy-mm-dd")</f>
        <v>2025-11-24</v>
      </c>
      <c r="I3905" s="64">
        <f>DATEVALUE(tblLaborEntries[[#This Row],[Work date]])</f>
        <v>45991.0</v>
      </c>
    </row>
    <row r="3906" spans="1:9" ht="15" x14ac:dyDescent="0.25">
      <c r="A3906" s="53" t="inlineStr">
        <is>
          <t>LAB-003905</t>
        </is>
      </c>
      <c r="B3906" s="53" t="inlineStr">
        <is>
          <t>WP-01718</t>
        </is>
      </c>
      <c r="C3906" s="53" t="inlineStr">
        <is>
          <t>TECH-066</t>
        </is>
      </c>
      <c r="D3906" s="53" t="inlineStr">
        <is>
          <t>Powerplant</t>
        </is>
      </c>
      <c r="E3906" s="53" t="inlineStr">
        <is>
          <t>2025-12-01</t>
        </is>
      </c>
      <c r="F3906" s="53">
        <v>5.9</v>
      </c>
      <c r="G3906" s="53">
        <v>0</v>
      </c>
      <c r="H3906" s="51" t="str">
        <f>TEXT(tblLaborEntries[[#This Row],[Work date serial]]-WEEKDAY(tblLaborEntries[[#This Row],[Work date serial]],3),"yyyy-mm-dd")</f>
        <v>2025-12-01</v>
      </c>
      <c r="I3906" s="64">
        <f>DATEVALUE(tblLaborEntries[[#This Row],[Work date]])</f>
        <v>45992.0</v>
      </c>
    </row>
    <row r="3907" spans="1:9" ht="15" x14ac:dyDescent="0.25">
      <c r="A3907" s="53" t="inlineStr">
        <is>
          <t>LAB-003906</t>
        </is>
      </c>
      <c r="B3907" s="53" t="inlineStr">
        <is>
          <t>WP-01718</t>
        </is>
      </c>
      <c r="C3907" s="53" t="inlineStr">
        <is>
          <t>TECH-024</t>
        </is>
      </c>
      <c r="D3907" s="53" t="inlineStr">
        <is>
          <t>Powerplant</t>
        </is>
      </c>
      <c r="E3907" s="53" t="inlineStr">
        <is>
          <t>2025-12-02</t>
        </is>
      </c>
      <c r="F3907" s="53">
        <v>6.9</v>
      </c>
      <c r="G3907" s="53">
        <v>0</v>
      </c>
      <c r="H3907" s="51" t="str">
        <f>TEXT(tblLaborEntries[[#This Row],[Work date serial]]-WEEKDAY(tblLaborEntries[[#This Row],[Work date serial]],3),"yyyy-mm-dd")</f>
        <v>2025-12-01</v>
      </c>
      <c r="I3907" s="64">
        <f>DATEVALUE(tblLaborEntries[[#This Row],[Work date]])</f>
        <v>45993.0</v>
      </c>
    </row>
    <row r="3908" spans="1:9" ht="15" x14ac:dyDescent="0.25">
      <c r="A3908" s="53" t="inlineStr">
        <is>
          <t>LAB-003907</t>
        </is>
      </c>
      <c r="B3908" s="53" t="inlineStr">
        <is>
          <t>WP-01719</t>
        </is>
      </c>
      <c r="C3908" s="53" t="inlineStr">
        <is>
          <t>TECH-042</t>
        </is>
      </c>
      <c r="D3908" s="53" t="inlineStr">
        <is>
          <t>Powerplant</t>
        </is>
      </c>
      <c r="E3908" s="53" t="inlineStr">
        <is>
          <t>2025-12-10</t>
        </is>
      </c>
      <c r="F3908" s="53">
        <v>2.4</v>
      </c>
      <c r="G3908" s="53">
        <v>0</v>
      </c>
      <c r="H3908" s="51" t="str">
        <f>TEXT(tblLaborEntries[[#This Row],[Work date serial]]-WEEKDAY(tblLaborEntries[[#This Row],[Work date serial]],3),"yyyy-mm-dd")</f>
        <v>2025-12-08</v>
      </c>
      <c r="I3908" s="64">
        <f>DATEVALUE(tblLaborEntries[[#This Row],[Work date]])</f>
        <v>46001.0</v>
      </c>
    </row>
    <row r="3909" spans="1:9" ht="15" x14ac:dyDescent="0.25">
      <c r="A3909" s="53" t="inlineStr">
        <is>
          <t>LAB-003908</t>
        </is>
      </c>
      <c r="B3909" s="53" t="inlineStr">
        <is>
          <t>WP-01719</t>
        </is>
      </c>
      <c r="C3909" s="53" t="inlineStr">
        <is>
          <t>TECH-072</t>
        </is>
      </c>
      <c r="D3909" s="53" t="inlineStr">
        <is>
          <t>Powerplant</t>
        </is>
      </c>
      <c r="E3909" s="53" t="inlineStr">
        <is>
          <t>2025-12-11</t>
        </is>
      </c>
      <c r="F3909" s="53">
        <v>2.2</v>
      </c>
      <c r="G3909" s="53">
        <v>0</v>
      </c>
      <c r="H3909" s="51" t="str">
        <f>TEXT(tblLaborEntries[[#This Row],[Work date serial]]-WEEKDAY(tblLaborEntries[[#This Row],[Work date serial]],3),"yyyy-mm-dd")</f>
        <v>2025-12-08</v>
      </c>
      <c r="I3909" s="64">
        <f>DATEVALUE(tblLaborEntries[[#This Row],[Work date]])</f>
        <v>46002.0</v>
      </c>
    </row>
    <row r="3910" spans="1:9" ht="15" x14ac:dyDescent="0.25">
      <c r="A3910" s="53" t="inlineStr">
        <is>
          <t>LAB-003909</t>
        </is>
      </c>
      <c r="B3910" s="53" t="inlineStr">
        <is>
          <t>WP-01719</t>
        </is>
      </c>
      <c r="C3910" s="53" t="inlineStr">
        <is>
          <t>TECH-024</t>
        </is>
      </c>
      <c r="D3910" s="53" t="inlineStr">
        <is>
          <t>Powerplant</t>
        </is>
      </c>
      <c r="E3910" s="53" t="inlineStr">
        <is>
          <t>2025-12-12</t>
        </is>
      </c>
      <c r="F3910" s="53">
        <v>1.9</v>
      </c>
      <c r="G3910" s="53">
        <v>0</v>
      </c>
      <c r="H3910" s="51" t="str">
        <f>TEXT(tblLaborEntries[[#This Row],[Work date serial]]-WEEKDAY(tblLaborEntries[[#This Row],[Work date serial]],3),"yyyy-mm-dd")</f>
        <v>2025-12-08</v>
      </c>
      <c r="I3910" s="64">
        <f>DATEVALUE(tblLaborEntries[[#This Row],[Work date]])</f>
        <v>46003.0</v>
      </c>
    </row>
    <row r="3911" spans="1:9" ht="15" x14ac:dyDescent="0.25">
      <c r="A3911" s="53" t="inlineStr">
        <is>
          <t>LAB-003910</t>
        </is>
      </c>
      <c r="B3911" s="53" t="inlineStr">
        <is>
          <t>WP-01720</t>
        </is>
      </c>
      <c r="C3911" s="53" t="inlineStr">
        <is>
          <t>TECH-014</t>
        </is>
      </c>
      <c r="D3911" s="53" t="inlineStr">
        <is>
          <t>Avionics</t>
        </is>
      </c>
      <c r="E3911" s="53" t="inlineStr">
        <is>
          <t>2024-11-07</t>
        </is>
      </c>
      <c r="F3911" s="53">
        <v>1.1</v>
      </c>
      <c r="G3911" s="53">
        <v>0</v>
      </c>
      <c r="H3911" s="51" t="str">
        <f>TEXT(tblLaborEntries[[#This Row],[Work date serial]]-WEEKDAY(tblLaborEntries[[#This Row],[Work date serial]],3),"yyyy-mm-dd")</f>
        <v>2024-11-04</v>
      </c>
      <c r="I3911" s="64">
        <f>DATEVALUE(tblLaborEntries[[#This Row],[Work date]])</f>
        <v>45603.0</v>
      </c>
    </row>
    <row r="3912" spans="1:9" ht="15" x14ac:dyDescent="0.25">
      <c r="A3912" s="53" t="inlineStr">
        <is>
          <t>LAB-003911</t>
        </is>
      </c>
      <c r="B3912" s="53" t="inlineStr">
        <is>
          <t>WP-01720</t>
        </is>
      </c>
      <c r="C3912" s="53" t="inlineStr">
        <is>
          <t>TECH-038</t>
        </is>
      </c>
      <c r="D3912" s="53" t="inlineStr">
        <is>
          <t>Avionics</t>
        </is>
      </c>
      <c r="E3912" s="53" t="inlineStr">
        <is>
          <t>2024-11-08</t>
        </is>
      </c>
      <c r="F3912" s="53">
        <v>1.5</v>
      </c>
      <c r="G3912" s="53">
        <v>0</v>
      </c>
      <c r="H3912" s="51" t="str">
        <f>TEXT(tblLaborEntries[[#This Row],[Work date serial]]-WEEKDAY(tblLaborEntries[[#This Row],[Work date serial]],3),"yyyy-mm-dd")</f>
        <v>2024-11-04</v>
      </c>
      <c r="I3912" s="64">
        <f>DATEVALUE(tblLaborEntries[[#This Row],[Work date]])</f>
        <v>45604.0</v>
      </c>
    </row>
    <row r="3913" spans="1:9" ht="15" x14ac:dyDescent="0.25">
      <c r="A3913" s="53" t="inlineStr">
        <is>
          <t>LAB-003912</t>
        </is>
      </c>
      <c r="B3913" s="53" t="inlineStr">
        <is>
          <t>WP-01720</t>
        </is>
      </c>
      <c r="C3913" s="53" t="inlineStr">
        <is>
          <t>TECH-068</t>
        </is>
      </c>
      <c r="D3913" s="53" t="inlineStr">
        <is>
          <t>Avionics</t>
        </is>
      </c>
      <c r="E3913" s="53" t="inlineStr">
        <is>
          <t>2024-11-09</t>
        </is>
      </c>
      <c r="F3913" s="53">
        <v>1.5</v>
      </c>
      <c r="G3913" s="53">
        <v>0</v>
      </c>
      <c r="H3913" s="51" t="str">
        <f>TEXT(tblLaborEntries[[#This Row],[Work date serial]]-WEEKDAY(tblLaborEntries[[#This Row],[Work date serial]],3),"yyyy-mm-dd")</f>
        <v>2024-11-04</v>
      </c>
      <c r="I3913" s="64">
        <f>DATEVALUE(tblLaborEntries[[#This Row],[Work date]])</f>
        <v>45605.0</v>
      </c>
    </row>
    <row r="3914" spans="1:9" ht="15" x14ac:dyDescent="0.25">
      <c r="A3914" s="53" t="inlineStr">
        <is>
          <t>LAB-003913</t>
        </is>
      </c>
      <c r="B3914" s="53" t="inlineStr">
        <is>
          <t>WP-01721</t>
        </is>
      </c>
      <c r="C3914" s="53" t="inlineStr">
        <is>
          <t>TECH-050</t>
        </is>
      </c>
      <c r="D3914" s="53" t="inlineStr">
        <is>
          <t>Avionics</t>
        </is>
      </c>
      <c r="E3914" s="53" t="inlineStr">
        <is>
          <t>2025-08-28</t>
        </is>
      </c>
      <c r="F3914" s="53">
        <v>4.1</v>
      </c>
      <c r="G3914" s="53">
        <v>0</v>
      </c>
      <c r="H3914" s="51" t="str">
        <f>TEXT(tblLaborEntries[[#This Row],[Work date serial]]-WEEKDAY(tblLaborEntries[[#This Row],[Work date serial]],3),"yyyy-mm-dd")</f>
        <v>2025-08-25</v>
      </c>
      <c r="I3914" s="64">
        <f>DATEVALUE(tblLaborEntries[[#This Row],[Work date]])</f>
        <v>45897.0</v>
      </c>
    </row>
    <row r="3915" spans="1:9" ht="15" x14ac:dyDescent="0.25">
      <c r="A3915" s="53" t="inlineStr">
        <is>
          <t>LAB-003914</t>
        </is>
      </c>
      <c r="B3915" s="53" t="inlineStr">
        <is>
          <t>WP-01721</t>
        </is>
      </c>
      <c r="C3915" s="53" t="inlineStr">
        <is>
          <t>TECH-044</t>
        </is>
      </c>
      <c r="D3915" s="53" t="inlineStr">
        <is>
          <t>Avionics</t>
        </is>
      </c>
      <c r="E3915" s="53" t="inlineStr">
        <is>
          <t>2025-08-29</t>
        </is>
      </c>
      <c r="F3915" s="53">
        <v>5.7</v>
      </c>
      <c r="G3915" s="53">
        <v>0</v>
      </c>
      <c r="H3915" s="51" t="str">
        <f>TEXT(tblLaborEntries[[#This Row],[Work date serial]]-WEEKDAY(tblLaborEntries[[#This Row],[Work date serial]],3),"yyyy-mm-dd")</f>
        <v>2025-08-25</v>
      </c>
      <c r="I3915" s="64">
        <f>DATEVALUE(tblLaborEntries[[#This Row],[Work date]])</f>
        <v>45898.0</v>
      </c>
    </row>
    <row r="3916" spans="1:9" ht="15" x14ac:dyDescent="0.25">
      <c r="A3916" s="53" t="inlineStr">
        <is>
          <t>LAB-003915</t>
        </is>
      </c>
      <c r="B3916" s="53" t="inlineStr">
        <is>
          <t>WP-01722</t>
        </is>
      </c>
      <c r="C3916" s="53" t="inlineStr">
        <is>
          <t>TECH-043</t>
        </is>
      </c>
      <c r="D3916" s="53" t="inlineStr">
        <is>
          <t>Airframe</t>
        </is>
      </c>
      <c r="E3916" s="53" t="inlineStr">
        <is>
          <t>2025-05-12</t>
        </is>
      </c>
      <c r="F3916" s="53">
        <v>3</v>
      </c>
      <c r="G3916" s="53">
        <v>0</v>
      </c>
      <c r="H3916" s="51" t="str">
        <f>TEXT(tblLaborEntries[[#This Row],[Work date serial]]-WEEKDAY(tblLaborEntries[[#This Row],[Work date serial]],3),"yyyy-mm-dd")</f>
        <v>2025-05-12</v>
      </c>
      <c r="I3916" s="64">
        <f>DATEVALUE(tblLaborEntries[[#This Row],[Work date]])</f>
        <v>45789.0</v>
      </c>
    </row>
    <row r="3917" spans="1:9" ht="15" x14ac:dyDescent="0.25">
      <c r="A3917" s="53" t="inlineStr">
        <is>
          <t>LAB-003916</t>
        </is>
      </c>
      <c r="B3917" s="53" t="inlineStr">
        <is>
          <t>WP-01723</t>
        </is>
      </c>
      <c r="C3917" s="53" t="inlineStr">
        <is>
          <t>TECH-003</t>
        </is>
      </c>
      <c r="D3917" s="53" t="inlineStr">
        <is>
          <t>Hydraulics</t>
        </is>
      </c>
      <c r="E3917" s="53" t="inlineStr">
        <is>
          <t>2024-03-12</t>
        </is>
      </c>
      <c r="F3917" s="53">
        <v>0.3</v>
      </c>
      <c r="G3917" s="53">
        <v>0</v>
      </c>
      <c r="H3917" s="51" t="str">
        <f>TEXT(tblLaborEntries[[#This Row],[Work date serial]]-WEEKDAY(tblLaborEntries[[#This Row],[Work date serial]],3),"yyyy-mm-dd")</f>
        <v>2024-03-11</v>
      </c>
      <c r="I3917" s="64">
        <f>DATEVALUE(tblLaborEntries[[#This Row],[Work date]])</f>
        <v>45363.0</v>
      </c>
    </row>
    <row r="3918" spans="1:9" ht="15" x14ac:dyDescent="0.25">
      <c r="A3918" s="53" t="inlineStr">
        <is>
          <t>LAB-003917</t>
        </is>
      </c>
      <c r="B3918" s="53" t="inlineStr">
        <is>
          <t>WP-01723</t>
        </is>
      </c>
      <c r="C3918" s="53" t="inlineStr">
        <is>
          <t>TECH-015</t>
        </is>
      </c>
      <c r="D3918" s="53" t="inlineStr">
        <is>
          <t>Hydraulics</t>
        </is>
      </c>
      <c r="E3918" s="53" t="inlineStr">
        <is>
          <t>2024-03-12</t>
        </is>
      </c>
      <c r="F3918" s="53">
        <v>12</v>
      </c>
      <c r="G3918" s="53">
        <v>4</v>
      </c>
      <c r="H3918" s="51" t="str">
        <f>TEXT(tblLaborEntries[[#This Row],[Work date serial]]-WEEKDAY(tblLaborEntries[[#This Row],[Work date serial]],3),"yyyy-mm-dd")</f>
        <v>2024-03-11</v>
      </c>
      <c r="I3918" s="64">
        <f>DATEVALUE(tblLaborEntries[[#This Row],[Work date]])</f>
        <v>45363.0</v>
      </c>
    </row>
    <row r="3919" spans="1:9" ht="15" x14ac:dyDescent="0.25">
      <c r="A3919" s="53" t="inlineStr">
        <is>
          <t>LAB-003918</t>
        </is>
      </c>
      <c r="B3919" s="53" t="inlineStr">
        <is>
          <t>WP-01724</t>
        </is>
      </c>
      <c r="C3919" s="53" t="inlineStr">
        <is>
          <t>TECH-037</t>
        </is>
      </c>
      <c r="D3919" s="53" t="inlineStr">
        <is>
          <t>Airframe</t>
        </is>
      </c>
      <c r="E3919" s="53" t="inlineStr">
        <is>
          <t>2025-01-23</t>
        </is>
      </c>
      <c r="F3919" s="53">
        <v>5.5</v>
      </c>
      <c r="G3919" s="53">
        <v>0</v>
      </c>
      <c r="H3919" s="51" t="str">
        <f>TEXT(tblLaborEntries[[#This Row],[Work date serial]]-WEEKDAY(tblLaborEntries[[#This Row],[Work date serial]],3),"yyyy-mm-dd")</f>
        <v>2025-01-20</v>
      </c>
      <c r="I3919" s="64">
        <f>DATEVALUE(tblLaborEntries[[#This Row],[Work date]])</f>
        <v>45680.0</v>
      </c>
    </row>
    <row r="3920" spans="1:9" ht="15" x14ac:dyDescent="0.25">
      <c r="A3920" s="53" t="inlineStr">
        <is>
          <t>LAB-003919</t>
        </is>
      </c>
      <c r="B3920" s="53" t="inlineStr">
        <is>
          <t>WP-01725</t>
        </is>
      </c>
      <c r="C3920" s="53" t="inlineStr">
        <is>
          <t>TECH-013</t>
        </is>
      </c>
      <c r="D3920" s="53" t="inlineStr">
        <is>
          <t>Airframe</t>
        </is>
      </c>
      <c r="E3920" s="53" t="inlineStr">
        <is>
          <t>2024-02-09</t>
        </is>
      </c>
      <c r="F3920" s="53">
        <v>8.2</v>
      </c>
      <c r="G3920" s="53">
        <v>0.2</v>
      </c>
      <c r="H3920" s="51" t="str">
        <f>TEXT(tblLaborEntries[[#This Row],[Work date serial]]-WEEKDAY(tblLaborEntries[[#This Row],[Work date serial]],3),"yyyy-mm-dd")</f>
        <v>2024-02-05</v>
      </c>
      <c r="I3920" s="64">
        <f>DATEVALUE(tblLaborEntries[[#This Row],[Work date]])</f>
        <v>45331.0</v>
      </c>
    </row>
    <row r="3921" spans="1:9" ht="15" x14ac:dyDescent="0.25">
      <c r="A3921" s="53" t="inlineStr">
        <is>
          <t>LAB-003920</t>
        </is>
      </c>
      <c r="B3921" s="53" t="inlineStr">
        <is>
          <t>WP-01725</t>
        </is>
      </c>
      <c r="C3921" s="53" t="inlineStr">
        <is>
          <t>TECH-073</t>
        </is>
      </c>
      <c r="D3921" s="53" t="inlineStr">
        <is>
          <t>Airframe</t>
        </is>
      </c>
      <c r="E3921" s="53" t="inlineStr">
        <is>
          <t>2024-02-10</t>
        </is>
      </c>
      <c r="F3921" s="53">
        <v>6.4</v>
      </c>
      <c r="G3921" s="53">
        <v>0</v>
      </c>
      <c r="H3921" s="51" t="str">
        <f>TEXT(tblLaborEntries[[#This Row],[Work date serial]]-WEEKDAY(tblLaborEntries[[#This Row],[Work date serial]],3),"yyyy-mm-dd")</f>
        <v>2024-02-05</v>
      </c>
      <c r="I3921" s="64">
        <f>DATEVALUE(tblLaborEntries[[#This Row],[Work date]])</f>
        <v>45332.0</v>
      </c>
    </row>
    <row r="3922" spans="1:9" ht="15" x14ac:dyDescent="0.25">
      <c r="A3922" s="53" t="inlineStr">
        <is>
          <t>LAB-003921</t>
        </is>
      </c>
      <c r="B3922" s="53" t="inlineStr">
        <is>
          <t>WP-01725</t>
        </is>
      </c>
      <c r="C3922" s="53" t="inlineStr">
        <is>
          <t>TECH-019</t>
        </is>
      </c>
      <c r="D3922" s="53" t="inlineStr">
        <is>
          <t>Airframe</t>
        </is>
      </c>
      <c r="E3922" s="53" t="inlineStr">
        <is>
          <t>2024-02-11</t>
        </is>
      </c>
      <c r="F3922" s="53">
        <v>7.2</v>
      </c>
      <c r="G3922" s="53">
        <v>4</v>
      </c>
      <c r="H3922" s="51" t="str">
        <f>TEXT(tblLaborEntries[[#This Row],[Work date serial]]-WEEKDAY(tblLaborEntries[[#This Row],[Work date serial]],3),"yyyy-mm-dd")</f>
        <v>2024-02-05</v>
      </c>
      <c r="I3922" s="64">
        <f>DATEVALUE(tblLaborEntries[[#This Row],[Work date]])</f>
        <v>45333.0</v>
      </c>
    </row>
    <row r="3923" spans="1:9" ht="15" x14ac:dyDescent="0.25">
      <c r="A3923" s="53" t="inlineStr">
        <is>
          <t>LAB-003922</t>
        </is>
      </c>
      <c r="B3923" s="53" t="inlineStr">
        <is>
          <t>WP-01726</t>
        </is>
      </c>
      <c r="C3923" s="53" t="inlineStr">
        <is>
          <t>TECH-042</t>
        </is>
      </c>
      <c r="D3923" s="53" t="inlineStr">
        <is>
          <t>Powerplant</t>
        </is>
      </c>
      <c r="E3923" s="53" t="inlineStr">
        <is>
          <t>2024-07-27</t>
        </is>
      </c>
      <c r="F3923" s="53">
        <v>7.4</v>
      </c>
      <c r="G3923" s="53">
        <v>0</v>
      </c>
      <c r="H3923" s="51" t="str">
        <f>TEXT(tblLaborEntries[[#This Row],[Work date serial]]-WEEKDAY(tblLaborEntries[[#This Row],[Work date serial]],3),"yyyy-mm-dd")</f>
        <v>2024-07-22</v>
      </c>
      <c r="I3923" s="64">
        <f>DATEVALUE(tblLaborEntries[[#This Row],[Work date]])</f>
        <v>45500.0</v>
      </c>
    </row>
    <row r="3924" spans="1:9" ht="15" x14ac:dyDescent="0.25">
      <c r="A3924" s="53" t="inlineStr">
        <is>
          <t>LAB-003923</t>
        </is>
      </c>
      <c r="B3924" s="53" t="inlineStr">
        <is>
          <t>WP-01726</t>
        </is>
      </c>
      <c r="C3924" s="53" t="inlineStr">
        <is>
          <t>TECH-042</t>
        </is>
      </c>
      <c r="D3924" s="53" t="inlineStr">
        <is>
          <t>Powerplant</t>
        </is>
      </c>
      <c r="E3924" s="53" t="inlineStr">
        <is>
          <t>2024-07-28</t>
        </is>
      </c>
      <c r="F3924" s="53">
        <v>5.9</v>
      </c>
      <c r="G3924" s="53">
        <v>0</v>
      </c>
      <c r="H3924" s="51" t="str">
        <f>TEXT(tblLaborEntries[[#This Row],[Work date serial]]-WEEKDAY(tblLaborEntries[[#This Row],[Work date serial]],3),"yyyy-mm-dd")</f>
        <v>2024-07-22</v>
      </c>
      <c r="I3924" s="64">
        <f>DATEVALUE(tblLaborEntries[[#This Row],[Work date]])</f>
        <v>45501.0</v>
      </c>
    </row>
    <row r="3925" spans="1:9" ht="15" x14ac:dyDescent="0.25">
      <c r="A3925" s="53" t="inlineStr">
        <is>
          <t>LAB-003924</t>
        </is>
      </c>
      <c r="B3925" s="53" t="inlineStr">
        <is>
          <t>WP-01726</t>
        </is>
      </c>
      <c r="C3925" s="53" t="inlineStr">
        <is>
          <t>TECH-012</t>
        </is>
      </c>
      <c r="D3925" s="53" t="inlineStr">
        <is>
          <t>Powerplant</t>
        </is>
      </c>
      <c r="E3925" s="53" t="inlineStr">
        <is>
          <t>2024-07-29</t>
        </is>
      </c>
      <c r="F3925" s="53">
        <v>8.9</v>
      </c>
      <c r="G3925" s="53">
        <v>0.9</v>
      </c>
      <c r="H3925" s="51" t="str">
        <f>TEXT(tblLaborEntries[[#This Row],[Work date serial]]-WEEKDAY(tblLaborEntries[[#This Row],[Work date serial]],3),"yyyy-mm-dd")</f>
        <v>2024-07-29</v>
      </c>
      <c r="I3925" s="64">
        <f>DATEVALUE(tblLaborEntries[[#This Row],[Work date]])</f>
        <v>45502.0</v>
      </c>
    </row>
    <row r="3926" spans="1:9" ht="15" x14ac:dyDescent="0.25">
      <c r="A3926" s="53" t="inlineStr">
        <is>
          <t>LAB-003925</t>
        </is>
      </c>
      <c r="B3926" s="53" t="inlineStr">
        <is>
          <t>WP-01727</t>
        </is>
      </c>
      <c r="C3926" s="53" t="inlineStr">
        <is>
          <t>TECH-003</t>
        </is>
      </c>
      <c r="D3926" s="53" t="inlineStr">
        <is>
          <t>Hydraulics</t>
        </is>
      </c>
      <c r="E3926" s="53" t="inlineStr">
        <is>
          <t>2024-06-07</t>
        </is>
      </c>
      <c r="F3926" s="53">
        <v>3</v>
      </c>
      <c r="G3926" s="53">
        <v>0</v>
      </c>
      <c r="H3926" s="51" t="str">
        <f>TEXT(tblLaborEntries[[#This Row],[Work date serial]]-WEEKDAY(tblLaborEntries[[#This Row],[Work date serial]],3),"yyyy-mm-dd")</f>
        <v>2024-06-03</v>
      </c>
      <c r="I3926" s="64">
        <f>DATEVALUE(tblLaborEntries[[#This Row],[Work date]])</f>
        <v>45450.0</v>
      </c>
    </row>
    <row r="3927" spans="1:9" ht="15" x14ac:dyDescent="0.25">
      <c r="A3927" s="53" t="inlineStr">
        <is>
          <t>LAB-003926</t>
        </is>
      </c>
      <c r="B3927" s="53" t="inlineStr">
        <is>
          <t>WP-01727</t>
        </is>
      </c>
      <c r="C3927" s="53" t="inlineStr">
        <is>
          <t>TECH-075</t>
        </is>
      </c>
      <c r="D3927" s="53" t="inlineStr">
        <is>
          <t>Hydraulics</t>
        </is>
      </c>
      <c r="E3927" s="53" t="inlineStr">
        <is>
          <t>2024-06-07</t>
        </is>
      </c>
      <c r="F3927" s="53">
        <v>12</v>
      </c>
      <c r="G3927" s="53">
        <v>4</v>
      </c>
      <c r="H3927" s="51" t="str">
        <f>TEXT(tblLaborEntries[[#This Row],[Work date serial]]-WEEKDAY(tblLaborEntries[[#This Row],[Work date serial]],3),"yyyy-mm-dd")</f>
        <v>2024-06-03</v>
      </c>
      <c r="I3927" s="64">
        <f>DATEVALUE(tblLaborEntries[[#This Row],[Work date]])</f>
        <v>45450.0</v>
      </c>
    </row>
    <row r="3928" spans="1:9" ht="15" x14ac:dyDescent="0.25">
      <c r="A3928" s="53" t="inlineStr">
        <is>
          <t>LAB-003927</t>
        </is>
      </c>
      <c r="B3928" s="53" t="inlineStr">
        <is>
          <t>WP-01728</t>
        </is>
      </c>
      <c r="C3928" s="53" t="inlineStr">
        <is>
          <t>TECH-056</t>
        </is>
      </c>
      <c r="D3928" s="53" t="inlineStr">
        <is>
          <t>Avionics</t>
        </is>
      </c>
      <c r="E3928" s="53" t="inlineStr">
        <is>
          <t>2024-02-18</t>
        </is>
      </c>
      <c r="F3928" s="53">
        <v>1.6</v>
      </c>
      <c r="G3928" s="53">
        <v>0</v>
      </c>
      <c r="H3928" s="51" t="str">
        <f>TEXT(tblLaborEntries[[#This Row],[Work date serial]]-WEEKDAY(tblLaborEntries[[#This Row],[Work date serial]],3),"yyyy-mm-dd")</f>
        <v>2024-02-12</v>
      </c>
      <c r="I3928" s="64">
        <f>DATEVALUE(tblLaborEntries[[#This Row],[Work date]])</f>
        <v>45340.0</v>
      </c>
    </row>
    <row r="3929" spans="1:9" ht="15" x14ac:dyDescent="0.25">
      <c r="A3929" s="53" t="inlineStr">
        <is>
          <t>LAB-003928</t>
        </is>
      </c>
      <c r="B3929" s="53" t="inlineStr">
        <is>
          <t>WP-01728</t>
        </is>
      </c>
      <c r="C3929" s="53" t="inlineStr">
        <is>
          <t>TECH-056</t>
        </is>
      </c>
      <c r="D3929" s="53" t="inlineStr">
        <is>
          <t>Avionics</t>
        </is>
      </c>
      <c r="E3929" s="53" t="inlineStr">
        <is>
          <t>2024-02-19</t>
        </is>
      </c>
      <c r="F3929" s="53">
        <v>2.1</v>
      </c>
      <c r="G3929" s="53">
        <v>0</v>
      </c>
      <c r="H3929" s="51" t="str">
        <f>TEXT(tblLaborEntries[[#This Row],[Work date serial]]-WEEKDAY(tblLaborEntries[[#This Row],[Work date serial]],3),"yyyy-mm-dd")</f>
        <v>2024-02-19</v>
      </c>
      <c r="I3929" s="64">
        <f>DATEVALUE(tblLaborEntries[[#This Row],[Work date]])</f>
        <v>45341.0</v>
      </c>
    </row>
    <row r="3930" spans="1:9" ht="15" x14ac:dyDescent="0.25">
      <c r="A3930" s="53" t="inlineStr">
        <is>
          <t>LAB-003929</t>
        </is>
      </c>
      <c r="B3930" s="53" t="inlineStr">
        <is>
          <t>WP-01728</t>
        </is>
      </c>
      <c r="C3930" s="53" t="inlineStr">
        <is>
          <t>TECH-056</t>
        </is>
      </c>
      <c r="D3930" s="53" t="inlineStr">
        <is>
          <t>Avionics</t>
        </is>
      </c>
      <c r="E3930" s="53" t="inlineStr">
        <is>
          <t>2024-02-20</t>
        </is>
      </c>
      <c r="F3930" s="53">
        <v>1.7</v>
      </c>
      <c r="G3930" s="53">
        <v>0</v>
      </c>
      <c r="H3930" s="51" t="str">
        <f>TEXT(tblLaborEntries[[#This Row],[Work date serial]]-WEEKDAY(tblLaborEntries[[#This Row],[Work date serial]],3),"yyyy-mm-dd")</f>
        <v>2024-02-19</v>
      </c>
      <c r="I3930" s="64">
        <f>DATEVALUE(tblLaborEntries[[#This Row],[Work date]])</f>
        <v>45342.0</v>
      </c>
    </row>
    <row r="3931" spans="1:9" ht="15" x14ac:dyDescent="0.25">
      <c r="A3931" s="53" t="inlineStr">
        <is>
          <t>LAB-003930</t>
        </is>
      </c>
      <c r="B3931" s="53" t="inlineStr">
        <is>
          <t>WP-01729</t>
        </is>
      </c>
      <c r="C3931" s="53" t="inlineStr">
        <is>
          <t>TECH-019</t>
        </is>
      </c>
      <c r="D3931" s="53" t="inlineStr">
        <is>
          <t>Airframe</t>
        </is>
      </c>
      <c r="E3931" s="53" t="inlineStr">
        <is>
          <t>2024-10-03</t>
        </is>
      </c>
      <c r="F3931" s="53">
        <v>1.5</v>
      </c>
      <c r="G3931" s="53">
        <v>0</v>
      </c>
      <c r="H3931" s="51" t="str">
        <f>TEXT(tblLaborEntries[[#This Row],[Work date serial]]-WEEKDAY(tblLaborEntries[[#This Row],[Work date serial]],3),"yyyy-mm-dd")</f>
        <v>2024-09-30</v>
      </c>
      <c r="I3931" s="64">
        <f>DATEVALUE(tblLaborEntries[[#This Row],[Work date]])</f>
        <v>45568.0</v>
      </c>
    </row>
    <row r="3932" spans="1:9" ht="15" x14ac:dyDescent="0.25">
      <c r="A3932" s="53" t="inlineStr">
        <is>
          <t>LAB-003931</t>
        </is>
      </c>
      <c r="B3932" s="53" t="inlineStr">
        <is>
          <t>WP-01729</t>
        </is>
      </c>
      <c r="C3932" s="53" t="inlineStr">
        <is>
          <t>TECH-031</t>
        </is>
      </c>
      <c r="D3932" s="53" t="inlineStr">
        <is>
          <t>Airframe</t>
        </is>
      </c>
      <c r="E3932" s="53" t="inlineStr">
        <is>
          <t>2024-10-04</t>
        </is>
      </c>
      <c r="F3932" s="53">
        <v>1.9</v>
      </c>
      <c r="G3932" s="53">
        <v>0</v>
      </c>
      <c r="H3932" s="51" t="str">
        <f>TEXT(tblLaborEntries[[#This Row],[Work date serial]]-WEEKDAY(tblLaborEntries[[#This Row],[Work date serial]],3),"yyyy-mm-dd")</f>
        <v>2024-09-30</v>
      </c>
      <c r="I3932" s="64">
        <f>DATEVALUE(tblLaborEntries[[#This Row],[Work date]])</f>
        <v>45569.0</v>
      </c>
    </row>
    <row r="3933" spans="1:9" ht="15" x14ac:dyDescent="0.25">
      <c r="A3933" s="53" t="inlineStr">
        <is>
          <t>LAB-003932</t>
        </is>
      </c>
      <c r="B3933" s="53" t="inlineStr">
        <is>
          <t>WP-01730</t>
        </is>
      </c>
      <c r="C3933" s="53" t="inlineStr">
        <is>
          <t>TECH-001</t>
        </is>
      </c>
      <c r="D3933" s="53" t="inlineStr">
        <is>
          <t>Airframe</t>
        </is>
      </c>
      <c r="E3933" s="53" t="inlineStr">
        <is>
          <t>2025-02-24</t>
        </is>
      </c>
      <c r="F3933" s="53">
        <v>4.9</v>
      </c>
      <c r="G3933" s="53">
        <v>0</v>
      </c>
      <c r="H3933" s="51" t="str">
        <f>TEXT(tblLaborEntries[[#This Row],[Work date serial]]-WEEKDAY(tblLaborEntries[[#This Row],[Work date serial]],3),"yyyy-mm-dd")</f>
        <v>2025-02-24</v>
      </c>
      <c r="I3933" s="64">
        <f>DATEVALUE(tblLaborEntries[[#This Row],[Work date]])</f>
        <v>45712.0</v>
      </c>
    </row>
    <row r="3934" spans="1:9" ht="15" x14ac:dyDescent="0.25">
      <c r="A3934" s="53" t="inlineStr">
        <is>
          <t>LAB-003933</t>
        </is>
      </c>
      <c r="B3934" s="53" t="inlineStr">
        <is>
          <t>WP-01730</t>
        </is>
      </c>
      <c r="C3934" s="53" t="inlineStr">
        <is>
          <t>TECH-019</t>
        </is>
      </c>
      <c r="D3934" s="53" t="inlineStr">
        <is>
          <t>Airframe</t>
        </is>
      </c>
      <c r="E3934" s="53" t="inlineStr">
        <is>
          <t>2025-02-24</t>
        </is>
      </c>
      <c r="F3934" s="53">
        <v>12</v>
      </c>
      <c r="G3934" s="53">
        <v>4</v>
      </c>
      <c r="H3934" s="51" t="str">
        <f>TEXT(tblLaborEntries[[#This Row],[Work date serial]]-WEEKDAY(tblLaborEntries[[#This Row],[Work date serial]],3),"yyyy-mm-dd")</f>
        <v>2025-02-24</v>
      </c>
      <c r="I3934" s="64">
        <f>DATEVALUE(tblLaborEntries[[#This Row],[Work date]])</f>
        <v>45712.0</v>
      </c>
    </row>
    <row r="3935" spans="1:9" ht="15" x14ac:dyDescent="0.25">
      <c r="A3935" s="53" t="inlineStr">
        <is>
          <t>LAB-003934</t>
        </is>
      </c>
      <c r="B3935" s="53" t="inlineStr">
        <is>
          <t>WP-01731</t>
        </is>
      </c>
      <c r="C3935" s="53" t="inlineStr">
        <is>
          <t>TECH-004</t>
        </is>
      </c>
      <c r="D3935" s="53" t="inlineStr">
        <is>
          <t>Electrical</t>
        </is>
      </c>
      <c r="E3935" s="53" t="inlineStr">
        <is>
          <t>2024-10-09</t>
        </is>
      </c>
      <c r="F3935" s="53">
        <v>5.2</v>
      </c>
      <c r="G3935" s="53">
        <v>0</v>
      </c>
      <c r="H3935" s="51" t="str">
        <f>TEXT(tblLaborEntries[[#This Row],[Work date serial]]-WEEKDAY(tblLaborEntries[[#This Row],[Work date serial]],3),"yyyy-mm-dd")</f>
        <v>2024-10-07</v>
      </c>
      <c r="I3935" s="64">
        <f>DATEVALUE(tblLaborEntries[[#This Row],[Work date]])</f>
        <v>45574.0</v>
      </c>
    </row>
    <row r="3936" spans="1:9" ht="15" x14ac:dyDescent="0.25">
      <c r="A3936" s="53" t="inlineStr">
        <is>
          <t>LAB-003935</t>
        </is>
      </c>
      <c r="B3936" s="53" t="inlineStr">
        <is>
          <t>WP-01731</t>
        </is>
      </c>
      <c r="C3936" s="53" t="inlineStr">
        <is>
          <t>TECH-028</t>
        </is>
      </c>
      <c r="D3936" s="53" t="inlineStr">
        <is>
          <t>Electrical</t>
        </is>
      </c>
      <c r="E3936" s="53" t="inlineStr">
        <is>
          <t>2024-10-09</t>
        </is>
      </c>
      <c r="F3936" s="53">
        <v>12</v>
      </c>
      <c r="G3936" s="53">
        <v>4</v>
      </c>
      <c r="H3936" s="51" t="str">
        <f>TEXT(tblLaborEntries[[#This Row],[Work date serial]]-WEEKDAY(tblLaborEntries[[#This Row],[Work date serial]],3),"yyyy-mm-dd")</f>
        <v>2024-10-07</v>
      </c>
      <c r="I3936" s="64">
        <f>DATEVALUE(tblLaborEntries[[#This Row],[Work date]])</f>
        <v>45574.0</v>
      </c>
    </row>
    <row r="3937" spans="1:9" ht="15" x14ac:dyDescent="0.25">
      <c r="A3937" s="53" t="inlineStr">
        <is>
          <t>LAB-003936</t>
        </is>
      </c>
      <c r="B3937" s="53" t="inlineStr">
        <is>
          <t>WP-01732</t>
        </is>
      </c>
      <c r="C3937" s="53" t="inlineStr">
        <is>
          <t>TECH-026</t>
        </is>
      </c>
      <c r="D3937" s="53" t="inlineStr">
        <is>
          <t>Avionics</t>
        </is>
      </c>
      <c r="E3937" s="53" t="inlineStr">
        <is>
          <t>2025-05-30</t>
        </is>
      </c>
      <c r="F3937" s="53">
        <v>7.3</v>
      </c>
      <c r="G3937" s="53">
        <v>0</v>
      </c>
      <c r="H3937" s="51" t="str">
        <f>TEXT(tblLaborEntries[[#This Row],[Work date serial]]-WEEKDAY(tblLaborEntries[[#This Row],[Work date serial]],3),"yyyy-mm-dd")</f>
        <v>2025-05-26</v>
      </c>
      <c r="I3937" s="64">
        <f>DATEVALUE(tblLaborEntries[[#This Row],[Work date]])</f>
        <v>45807.0</v>
      </c>
    </row>
    <row r="3938" spans="1:9" ht="15" x14ac:dyDescent="0.25">
      <c r="A3938" s="53" t="inlineStr">
        <is>
          <t>LAB-003937</t>
        </is>
      </c>
      <c r="B3938" s="53" t="inlineStr">
        <is>
          <t>WP-01732</t>
        </is>
      </c>
      <c r="C3938" s="53" t="inlineStr">
        <is>
          <t>TECH-008</t>
        </is>
      </c>
      <c r="D3938" s="53" t="inlineStr">
        <is>
          <t>Avionics</t>
        </is>
      </c>
      <c r="E3938" s="53" t="inlineStr">
        <is>
          <t>2025-05-31</t>
        </is>
      </c>
      <c r="F3938" s="53">
        <v>5.2</v>
      </c>
      <c r="G3938" s="53">
        <v>0</v>
      </c>
      <c r="H3938" s="51" t="str">
        <f>TEXT(tblLaborEntries[[#This Row],[Work date serial]]-WEEKDAY(tblLaborEntries[[#This Row],[Work date serial]],3),"yyyy-mm-dd")</f>
        <v>2025-05-26</v>
      </c>
      <c r="I3938" s="64">
        <f>DATEVALUE(tblLaborEntries[[#This Row],[Work date]])</f>
        <v>45808.0</v>
      </c>
    </row>
    <row r="3939" spans="1:9" ht="15" x14ac:dyDescent="0.25">
      <c r="A3939" s="53" t="inlineStr">
        <is>
          <t>LAB-003938</t>
        </is>
      </c>
      <c r="B3939" s="53" t="inlineStr">
        <is>
          <t>WP-01733</t>
        </is>
      </c>
      <c r="C3939" s="53" t="inlineStr">
        <is>
          <t>TECH-026</t>
        </is>
      </c>
      <c r="D3939" s="53" t="inlineStr">
        <is>
          <t>Avionics</t>
        </is>
      </c>
      <c r="E3939" s="53" t="inlineStr">
        <is>
          <t>2025-04-06</t>
        </is>
      </c>
      <c r="F3939" s="53">
        <v>5.7</v>
      </c>
      <c r="G3939" s="53">
        <v>0</v>
      </c>
      <c r="H3939" s="51" t="str">
        <f>TEXT(tblLaborEntries[[#This Row],[Work date serial]]-WEEKDAY(tblLaborEntries[[#This Row],[Work date serial]],3),"yyyy-mm-dd")</f>
        <v>2025-03-31</v>
      </c>
      <c r="I3939" s="64">
        <f>DATEVALUE(tblLaborEntries[[#This Row],[Work date]])</f>
        <v>45753.0</v>
      </c>
    </row>
    <row r="3940" spans="1:9" ht="15" x14ac:dyDescent="0.25">
      <c r="A3940" s="53" t="inlineStr">
        <is>
          <t>LAB-003939</t>
        </is>
      </c>
      <c r="B3940" s="53" t="inlineStr">
        <is>
          <t>WP-01734</t>
        </is>
      </c>
      <c r="C3940" s="53" t="inlineStr">
        <is>
          <t>TECH-003</t>
        </is>
      </c>
      <c r="D3940" s="53" t="inlineStr">
        <is>
          <t>Hydraulics</t>
        </is>
      </c>
      <c r="E3940" s="53" t="inlineStr">
        <is>
          <t>2025-04-15</t>
        </is>
      </c>
      <c r="F3940" s="53">
        <v>1.1</v>
      </c>
      <c r="G3940" s="53">
        <v>0</v>
      </c>
      <c r="H3940" s="51" t="str">
        <f>TEXT(tblLaborEntries[[#This Row],[Work date serial]]-WEEKDAY(tblLaborEntries[[#This Row],[Work date serial]],3),"yyyy-mm-dd")</f>
        <v>2025-04-14</v>
      </c>
      <c r="I3940" s="64">
        <f>DATEVALUE(tblLaborEntries[[#This Row],[Work date]])</f>
        <v>45762.0</v>
      </c>
    </row>
    <row r="3941" spans="1:9" ht="15" x14ac:dyDescent="0.25">
      <c r="A3941" s="53" t="inlineStr">
        <is>
          <t>LAB-003940</t>
        </is>
      </c>
      <c r="B3941" s="53" t="inlineStr">
        <is>
          <t>WP-01734</t>
        </is>
      </c>
      <c r="C3941" s="53" t="inlineStr">
        <is>
          <t>TECH-039</t>
        </is>
      </c>
      <c r="D3941" s="53" t="inlineStr">
        <is>
          <t>Hydraulics</t>
        </is>
      </c>
      <c r="E3941" s="53" t="inlineStr">
        <is>
          <t>2025-04-15</t>
        </is>
      </c>
      <c r="F3941" s="53">
        <v>12</v>
      </c>
      <c r="G3941" s="53">
        <v>4</v>
      </c>
      <c r="H3941" s="51" t="str">
        <f>TEXT(tblLaborEntries[[#This Row],[Work date serial]]-WEEKDAY(tblLaborEntries[[#This Row],[Work date serial]],3),"yyyy-mm-dd")</f>
        <v>2025-04-14</v>
      </c>
      <c r="I3941" s="64">
        <f>DATEVALUE(tblLaborEntries[[#This Row],[Work date]])</f>
        <v>45762.0</v>
      </c>
    </row>
    <row r="3942" spans="1:9" ht="15" x14ac:dyDescent="0.25">
      <c r="A3942" s="53" t="inlineStr">
        <is>
          <t>LAB-003941</t>
        </is>
      </c>
      <c r="B3942" s="53" t="inlineStr">
        <is>
          <t>WP-01734</t>
        </is>
      </c>
      <c r="C3942" s="53" t="inlineStr">
        <is>
          <t>TECH-057</t>
        </is>
      </c>
      <c r="D3942" s="53" t="inlineStr">
        <is>
          <t>Hydraulics</t>
        </is>
      </c>
      <c r="E3942" s="53" t="inlineStr">
        <is>
          <t>2025-04-16</t>
        </is>
      </c>
      <c r="F3942" s="53">
        <v>9</v>
      </c>
      <c r="G3942" s="53">
        <v>1</v>
      </c>
      <c r="H3942" s="51" t="str">
        <f>TEXT(tblLaborEntries[[#This Row],[Work date serial]]-WEEKDAY(tblLaborEntries[[#This Row],[Work date serial]],3),"yyyy-mm-dd")</f>
        <v>2025-04-14</v>
      </c>
      <c r="I3942" s="64">
        <f>DATEVALUE(tblLaborEntries[[#This Row],[Work date]])</f>
        <v>45763.0</v>
      </c>
    </row>
    <row r="3943" spans="1:9" ht="15" x14ac:dyDescent="0.25">
      <c r="A3943" s="53" t="inlineStr">
        <is>
          <t>LAB-003942</t>
        </is>
      </c>
      <c r="B3943" s="53" t="inlineStr">
        <is>
          <t>WP-01734</t>
        </is>
      </c>
      <c r="C3943" s="53" t="inlineStr">
        <is>
          <t>TECH-003</t>
        </is>
      </c>
      <c r="D3943" s="53" t="inlineStr">
        <is>
          <t>Hydraulics</t>
        </is>
      </c>
      <c r="E3943" s="53" t="inlineStr">
        <is>
          <t>2025-04-17</t>
        </is>
      </c>
      <c r="F3943" s="53">
        <v>11.9</v>
      </c>
      <c r="G3943" s="53">
        <v>3.9</v>
      </c>
      <c r="H3943" s="51" t="str">
        <f>TEXT(tblLaborEntries[[#This Row],[Work date serial]]-WEEKDAY(tblLaborEntries[[#This Row],[Work date serial]],3),"yyyy-mm-dd")</f>
        <v>2025-04-14</v>
      </c>
      <c r="I3943" s="64">
        <f>DATEVALUE(tblLaborEntries[[#This Row],[Work date]])</f>
        <v>45764.0</v>
      </c>
    </row>
    <row r="3944" spans="1:9" ht="15" x14ac:dyDescent="0.25">
      <c r="A3944" s="53" t="inlineStr">
        <is>
          <t>LAB-003943</t>
        </is>
      </c>
      <c r="B3944" s="53" t="inlineStr">
        <is>
          <t>WP-01735</t>
        </is>
      </c>
      <c r="C3944" s="53" t="inlineStr">
        <is>
          <t>TECH-025</t>
        </is>
      </c>
      <c r="D3944" s="53" t="inlineStr">
        <is>
          <t>Airframe</t>
        </is>
      </c>
      <c r="E3944" s="53" t="inlineStr">
        <is>
          <t>2025-04-30</t>
        </is>
      </c>
      <c r="F3944" s="53">
        <v>10.7</v>
      </c>
      <c r="G3944" s="53">
        <v>2.7</v>
      </c>
      <c r="H3944" s="51" t="str">
        <f>TEXT(tblLaborEntries[[#This Row],[Work date serial]]-WEEKDAY(tblLaborEntries[[#This Row],[Work date serial]],3),"yyyy-mm-dd")</f>
        <v>2025-04-28</v>
      </c>
      <c r="I3944" s="64">
        <f>DATEVALUE(tblLaborEntries[[#This Row],[Work date]])</f>
        <v>45777.0</v>
      </c>
    </row>
    <row r="3945" spans="1:9" ht="15" x14ac:dyDescent="0.25">
      <c r="A3945" s="53" t="inlineStr">
        <is>
          <t>LAB-003944</t>
        </is>
      </c>
      <c r="B3945" s="53" t="inlineStr">
        <is>
          <t>WP-01736</t>
        </is>
      </c>
      <c r="C3945" s="53" t="inlineStr">
        <is>
          <t>TECH-025</t>
        </is>
      </c>
      <c r="D3945" s="53" t="inlineStr">
        <is>
          <t>Airframe</t>
        </is>
      </c>
      <c r="E3945" s="53" t="inlineStr">
        <is>
          <t>2024-10-27</t>
        </is>
      </c>
      <c r="F3945" s="53">
        <v>4.9</v>
      </c>
      <c r="G3945" s="53">
        <v>1.3</v>
      </c>
      <c r="H3945" s="51" t="str">
        <f>TEXT(tblLaborEntries[[#This Row],[Work date serial]]-WEEKDAY(tblLaborEntries[[#This Row],[Work date serial]],3),"yyyy-mm-dd")</f>
        <v>2024-10-21</v>
      </c>
      <c r="I3945" s="64">
        <f>DATEVALUE(tblLaborEntries[[#This Row],[Work date]])</f>
        <v>45592.0</v>
      </c>
    </row>
    <row r="3946" spans="1:9" ht="15" x14ac:dyDescent="0.25">
      <c r="A3946" s="53" t="inlineStr">
        <is>
          <t>LAB-003945</t>
        </is>
      </c>
      <c r="B3946" s="53" t="inlineStr">
        <is>
          <t>WP-01737</t>
        </is>
      </c>
      <c r="C3946" s="53" t="inlineStr">
        <is>
          <t>TECH-070</t>
        </is>
      </c>
      <c r="D3946" s="53" t="inlineStr">
        <is>
          <t>Electrical</t>
        </is>
      </c>
      <c r="E3946" s="53" t="inlineStr">
        <is>
          <t>2025-07-14</t>
        </is>
      </c>
      <c r="F3946" s="53">
        <v>5.2</v>
      </c>
      <c r="G3946" s="53">
        <v>0</v>
      </c>
      <c r="H3946" s="51" t="str">
        <f>TEXT(tblLaborEntries[[#This Row],[Work date serial]]-WEEKDAY(tblLaborEntries[[#This Row],[Work date serial]],3),"yyyy-mm-dd")</f>
        <v>2025-07-14</v>
      </c>
      <c r="I3946" s="64">
        <f>DATEVALUE(tblLaborEntries[[#This Row],[Work date]])</f>
        <v>45852.0</v>
      </c>
    </row>
    <row r="3947" spans="1:9" ht="15" x14ac:dyDescent="0.25">
      <c r="A3947" s="53" t="inlineStr">
        <is>
          <t>LAB-003946</t>
        </is>
      </c>
      <c r="B3947" s="53" t="inlineStr">
        <is>
          <t>WP-01737</t>
        </is>
      </c>
      <c r="C3947" s="53" t="inlineStr">
        <is>
          <t>TECH-034</t>
        </is>
      </c>
      <c r="D3947" s="53" t="inlineStr">
        <is>
          <t>Electrical</t>
        </is>
      </c>
      <c r="E3947" s="53" t="inlineStr">
        <is>
          <t>2025-07-15</t>
        </is>
      </c>
      <c r="F3947" s="53">
        <v>5.9</v>
      </c>
      <c r="G3947" s="53">
        <v>0</v>
      </c>
      <c r="H3947" s="51" t="str">
        <f>TEXT(tblLaborEntries[[#This Row],[Work date serial]]-WEEKDAY(tblLaborEntries[[#This Row],[Work date serial]],3),"yyyy-mm-dd")</f>
        <v>2025-07-14</v>
      </c>
      <c r="I3947" s="64">
        <f>DATEVALUE(tblLaborEntries[[#This Row],[Work date]])</f>
        <v>45853.0</v>
      </c>
    </row>
    <row r="3948" spans="1:9" ht="15" x14ac:dyDescent="0.25">
      <c r="A3948" s="53" t="inlineStr">
        <is>
          <t>LAB-003947</t>
        </is>
      </c>
      <c r="B3948" s="53" t="inlineStr">
        <is>
          <t>WP-01737</t>
        </is>
      </c>
      <c r="C3948" s="53" t="inlineStr">
        <is>
          <t>TECH-034</t>
        </is>
      </c>
      <c r="D3948" s="53" t="inlineStr">
        <is>
          <t>Electrical</t>
        </is>
      </c>
      <c r="E3948" s="53" t="inlineStr">
        <is>
          <t>2025-07-16</t>
        </is>
      </c>
      <c r="F3948" s="53">
        <v>5.8</v>
      </c>
      <c r="G3948" s="53">
        <v>0</v>
      </c>
      <c r="H3948" s="51" t="str">
        <f>TEXT(tblLaborEntries[[#This Row],[Work date serial]]-WEEKDAY(tblLaborEntries[[#This Row],[Work date serial]],3),"yyyy-mm-dd")</f>
        <v>2025-07-14</v>
      </c>
      <c r="I3948" s="64">
        <f>DATEVALUE(tblLaborEntries[[#This Row],[Work date]])</f>
        <v>45854.0</v>
      </c>
    </row>
    <row r="3949" spans="1:9" ht="15" x14ac:dyDescent="0.25">
      <c r="A3949" s="53" t="inlineStr">
        <is>
          <t>LAB-003948</t>
        </is>
      </c>
      <c r="B3949" s="53" t="inlineStr">
        <is>
          <t>WP-01738</t>
        </is>
      </c>
      <c r="C3949" s="53" t="inlineStr">
        <is>
          <t>TECH-039</t>
        </is>
      </c>
      <c r="D3949" s="53" t="inlineStr">
        <is>
          <t>Hydraulics</t>
        </is>
      </c>
      <c r="E3949" s="53" t="inlineStr">
        <is>
          <t>2024-11-22</t>
        </is>
      </c>
      <c r="F3949" s="53">
        <v>5.1</v>
      </c>
      <c r="G3949" s="53">
        <v>0</v>
      </c>
      <c r="H3949" s="51" t="str">
        <f>TEXT(tblLaborEntries[[#This Row],[Work date serial]]-WEEKDAY(tblLaborEntries[[#This Row],[Work date serial]],3),"yyyy-mm-dd")</f>
        <v>2024-11-18</v>
      </c>
      <c r="I3949" s="64">
        <f>DATEVALUE(tblLaborEntries[[#This Row],[Work date]])</f>
        <v>45618.0</v>
      </c>
    </row>
    <row r="3950" spans="1:9" ht="15" x14ac:dyDescent="0.25">
      <c r="A3950" s="53" t="inlineStr">
        <is>
          <t>LAB-003949</t>
        </is>
      </c>
      <c r="B3950" s="53" t="inlineStr">
        <is>
          <t>WP-01738</t>
        </is>
      </c>
      <c r="C3950" s="53" t="inlineStr">
        <is>
          <t>TECH-063</t>
        </is>
      </c>
      <c r="D3950" s="53" t="inlineStr">
        <is>
          <t>Hydraulics</t>
        </is>
      </c>
      <c r="E3950" s="53" t="inlineStr">
        <is>
          <t>2024-11-23</t>
        </is>
      </c>
      <c r="F3950" s="53">
        <v>5.7</v>
      </c>
      <c r="G3950" s="53">
        <v>0</v>
      </c>
      <c r="H3950" s="51" t="str">
        <f>TEXT(tblLaborEntries[[#This Row],[Work date serial]]-WEEKDAY(tblLaborEntries[[#This Row],[Work date serial]],3),"yyyy-mm-dd")</f>
        <v>2024-11-18</v>
      </c>
      <c r="I3950" s="64">
        <f>DATEVALUE(tblLaborEntries[[#This Row],[Work date]])</f>
        <v>45619.0</v>
      </c>
    </row>
    <row r="3951" spans="1:9" ht="15" x14ac:dyDescent="0.25">
      <c r="A3951" s="53" t="inlineStr">
        <is>
          <t>LAB-003950</t>
        </is>
      </c>
      <c r="B3951" s="53" t="inlineStr">
        <is>
          <t>WP-01739</t>
        </is>
      </c>
      <c r="C3951" s="53" t="inlineStr">
        <is>
          <t>TECH-050</t>
        </is>
      </c>
      <c r="D3951" s="53" t="inlineStr">
        <is>
          <t>Avionics</t>
        </is>
      </c>
      <c r="E3951" s="53" t="inlineStr">
        <is>
          <t>2025-09-01</t>
        </is>
      </c>
      <c r="F3951" s="53">
        <v>3.4</v>
      </c>
      <c r="G3951" s="53">
        <v>0</v>
      </c>
      <c r="H3951" s="51" t="str">
        <f>TEXT(tblLaborEntries[[#This Row],[Work date serial]]-WEEKDAY(tblLaborEntries[[#This Row],[Work date serial]],3),"yyyy-mm-dd")</f>
        <v>2025-09-01</v>
      </c>
      <c r="I3951" s="64">
        <f>DATEVALUE(tblLaborEntries[[#This Row],[Work date]])</f>
        <v>45901.0</v>
      </c>
    </row>
    <row r="3952" spans="1:9" ht="15" x14ac:dyDescent="0.25">
      <c r="A3952" s="53" t="inlineStr">
        <is>
          <t>LAB-003951</t>
        </is>
      </c>
      <c r="B3952" s="53" t="inlineStr">
        <is>
          <t>WP-01740</t>
        </is>
      </c>
      <c r="C3952" s="53" t="inlineStr">
        <is>
          <t>TECH-071</t>
        </is>
      </c>
      <c r="D3952" s="53" t="inlineStr">
        <is>
          <t>Structures</t>
        </is>
      </c>
      <c r="E3952" s="53" t="inlineStr">
        <is>
          <t>2024-07-21</t>
        </is>
      </c>
      <c r="F3952" s="53">
        <v>8</v>
      </c>
      <c r="G3952" s="53">
        <v>0</v>
      </c>
      <c r="H3952" s="51" t="str">
        <f>TEXT(tblLaborEntries[[#This Row],[Work date serial]]-WEEKDAY(tblLaborEntries[[#This Row],[Work date serial]],3),"yyyy-mm-dd")</f>
        <v>2024-07-15</v>
      </c>
      <c r="I3952" s="64">
        <f>DATEVALUE(tblLaborEntries[[#This Row],[Work date]])</f>
        <v>45494.0</v>
      </c>
    </row>
    <row r="3953" spans="1:9" ht="15" x14ac:dyDescent="0.25">
      <c r="A3953" s="53" t="inlineStr">
        <is>
          <t>LAB-003952</t>
        </is>
      </c>
      <c r="B3953" s="53" t="inlineStr">
        <is>
          <t>WP-01740</t>
        </is>
      </c>
      <c r="C3953" s="53" t="inlineStr">
        <is>
          <t>TECH-005</t>
        </is>
      </c>
      <c r="D3953" s="53" t="inlineStr">
        <is>
          <t>Structures</t>
        </is>
      </c>
      <c r="E3953" s="53" t="inlineStr">
        <is>
          <t>2024-07-22</t>
        </is>
      </c>
      <c r="F3953" s="53">
        <v>12</v>
      </c>
      <c r="G3953" s="53">
        <v>4</v>
      </c>
      <c r="H3953" s="51" t="str">
        <f>TEXT(tblLaborEntries[[#This Row],[Work date serial]]-WEEKDAY(tblLaborEntries[[#This Row],[Work date serial]],3),"yyyy-mm-dd")</f>
        <v>2024-07-22</v>
      </c>
      <c r="I3953" s="64">
        <f>DATEVALUE(tblLaborEntries[[#This Row],[Work date]])</f>
        <v>45495.0</v>
      </c>
    </row>
    <row r="3954" spans="1:9" ht="15" x14ac:dyDescent="0.25">
      <c r="A3954" s="53" t="inlineStr">
        <is>
          <t>LAB-003953</t>
        </is>
      </c>
      <c r="B3954" s="53" t="inlineStr">
        <is>
          <t>WP-01740</t>
        </is>
      </c>
      <c r="C3954" s="53" t="inlineStr">
        <is>
          <t>TECH-011</t>
        </is>
      </c>
      <c r="D3954" s="53" t="inlineStr">
        <is>
          <t>Structures</t>
        </is>
      </c>
      <c r="E3954" s="53" t="inlineStr">
        <is>
          <t>2024-07-22</t>
        </is>
      </c>
      <c r="F3954" s="53">
        <v>0.4</v>
      </c>
      <c r="G3954" s="53">
        <v>0</v>
      </c>
      <c r="H3954" s="51" t="str">
        <f>TEXT(tblLaborEntries[[#This Row],[Work date serial]]-WEEKDAY(tblLaborEntries[[#This Row],[Work date serial]],3),"yyyy-mm-dd")</f>
        <v>2024-07-22</v>
      </c>
      <c r="I3954" s="64">
        <f>DATEVALUE(tblLaborEntries[[#This Row],[Work date]])</f>
        <v>45495.0</v>
      </c>
    </row>
    <row r="3955" spans="1:9" ht="15" x14ac:dyDescent="0.25">
      <c r="A3955" s="53" t="inlineStr">
        <is>
          <t>LAB-003954</t>
        </is>
      </c>
      <c r="B3955" s="53" t="inlineStr">
        <is>
          <t>WP-01741</t>
        </is>
      </c>
      <c r="C3955" s="53" t="inlineStr">
        <is>
          <t>TECH-068</t>
        </is>
      </c>
      <c r="D3955" s="53" t="inlineStr">
        <is>
          <t>Avionics</t>
        </is>
      </c>
      <c r="E3955" s="53" t="inlineStr">
        <is>
          <t>2024-12-04</t>
        </is>
      </c>
      <c r="F3955" s="53">
        <v>4.2</v>
      </c>
      <c r="G3955" s="53">
        <v>0</v>
      </c>
      <c r="H3955" s="51" t="str">
        <f>TEXT(tblLaborEntries[[#This Row],[Work date serial]]-WEEKDAY(tblLaborEntries[[#This Row],[Work date serial]],3),"yyyy-mm-dd")</f>
        <v>2024-12-02</v>
      </c>
      <c r="I3955" s="64">
        <f>DATEVALUE(tblLaborEntries[[#This Row],[Work date]])</f>
        <v>45630.0</v>
      </c>
    </row>
    <row r="3956" spans="1:9" ht="15" x14ac:dyDescent="0.25">
      <c r="A3956" s="53" t="inlineStr">
        <is>
          <t>LAB-003955</t>
        </is>
      </c>
      <c r="B3956" s="53" t="inlineStr">
        <is>
          <t>WP-01741</t>
        </is>
      </c>
      <c r="C3956" s="53" t="inlineStr">
        <is>
          <t>TECH-050</t>
        </is>
      </c>
      <c r="D3956" s="53" t="inlineStr">
        <is>
          <t>Avionics</t>
        </is>
      </c>
      <c r="E3956" s="53" t="inlineStr">
        <is>
          <t>2024-12-05</t>
        </is>
      </c>
      <c r="F3956" s="53">
        <v>5.6</v>
      </c>
      <c r="G3956" s="53">
        <v>0</v>
      </c>
      <c r="H3956" s="51" t="str">
        <f>TEXT(tblLaborEntries[[#This Row],[Work date serial]]-WEEKDAY(tblLaborEntries[[#This Row],[Work date serial]],3),"yyyy-mm-dd")</f>
        <v>2024-12-02</v>
      </c>
      <c r="I3956" s="64">
        <f>DATEVALUE(tblLaborEntries[[#This Row],[Work date]])</f>
        <v>45631.0</v>
      </c>
    </row>
    <row r="3957" spans="1:9" ht="15" x14ac:dyDescent="0.25">
      <c r="A3957" s="53" t="inlineStr">
        <is>
          <t>LAB-003956</t>
        </is>
      </c>
      <c r="B3957" s="53" t="inlineStr">
        <is>
          <t>WP-01742</t>
        </is>
      </c>
      <c r="C3957" s="53" t="inlineStr">
        <is>
          <t>TECH-002</t>
        </is>
      </c>
      <c r="D3957" s="53" t="inlineStr">
        <is>
          <t>Avionics</t>
        </is>
      </c>
      <c r="E3957" s="53" t="inlineStr">
        <is>
          <t>2025-09-24</t>
        </is>
      </c>
      <c r="F3957" s="53">
        <v>12</v>
      </c>
      <c r="G3957" s="53">
        <v>4</v>
      </c>
      <c r="H3957" s="51" t="str">
        <f>TEXT(tblLaborEntries[[#This Row],[Work date serial]]-WEEKDAY(tblLaborEntries[[#This Row],[Work date serial]],3),"yyyy-mm-dd")</f>
        <v>2025-09-22</v>
      </c>
      <c r="I3957" s="64">
        <f>DATEVALUE(tblLaborEntries[[#This Row],[Work date]])</f>
        <v>45924.0</v>
      </c>
    </row>
    <row r="3958" spans="1:9" ht="15" x14ac:dyDescent="0.25">
      <c r="A3958" s="53" t="inlineStr">
        <is>
          <t>LAB-003957</t>
        </is>
      </c>
      <c r="B3958" s="53" t="inlineStr">
        <is>
          <t>WP-01742</t>
        </is>
      </c>
      <c r="C3958" s="53" t="inlineStr">
        <is>
          <t>TECH-008</t>
        </is>
      </c>
      <c r="D3958" s="53" t="inlineStr">
        <is>
          <t>Avionics</t>
        </is>
      </c>
      <c r="E3958" s="53" t="inlineStr">
        <is>
          <t>2025-09-24</t>
        </is>
      </c>
      <c r="F3958" s="53">
        <v>4.7</v>
      </c>
      <c r="G3958" s="53">
        <v>0</v>
      </c>
      <c r="H3958" s="51" t="str">
        <f>TEXT(tblLaborEntries[[#This Row],[Work date serial]]-WEEKDAY(tblLaborEntries[[#This Row],[Work date serial]],3),"yyyy-mm-dd")</f>
        <v>2025-09-22</v>
      </c>
      <c r="I3958" s="64">
        <f>DATEVALUE(tblLaborEntries[[#This Row],[Work date]])</f>
        <v>45924.0</v>
      </c>
    </row>
    <row r="3959" spans="1:9" ht="15" x14ac:dyDescent="0.25">
      <c r="A3959" s="53" t="inlineStr">
        <is>
          <t>LAB-003958</t>
        </is>
      </c>
      <c r="B3959" s="53" t="inlineStr">
        <is>
          <t>WP-01743</t>
        </is>
      </c>
      <c r="C3959" s="53" t="inlineStr">
        <is>
          <t>TECH-025</t>
        </is>
      </c>
      <c r="D3959" s="53" t="inlineStr">
        <is>
          <t>Airframe</t>
        </is>
      </c>
      <c r="E3959" s="53" t="inlineStr">
        <is>
          <t>2025-01-14</t>
        </is>
      </c>
      <c r="F3959" s="53">
        <v>1</v>
      </c>
      <c r="G3959" s="53">
        <v>0</v>
      </c>
      <c r="H3959" s="51" t="str">
        <f>TEXT(tblLaborEntries[[#This Row],[Work date serial]]-WEEKDAY(tblLaborEntries[[#This Row],[Work date serial]],3),"yyyy-mm-dd")</f>
        <v>2025-01-13</v>
      </c>
      <c r="I3959" s="64">
        <f>DATEVALUE(tblLaborEntries[[#This Row],[Work date]])</f>
        <v>45671.0</v>
      </c>
    </row>
    <row r="3960" spans="1:9" ht="15" x14ac:dyDescent="0.25">
      <c r="A3960" s="53" t="inlineStr">
        <is>
          <t>LAB-003959</t>
        </is>
      </c>
      <c r="B3960" s="53" t="inlineStr">
        <is>
          <t>WP-01743</t>
        </is>
      </c>
      <c r="C3960" s="53" t="inlineStr">
        <is>
          <t>TECH-001</t>
        </is>
      </c>
      <c r="D3960" s="53" t="inlineStr">
        <is>
          <t>Airframe</t>
        </is>
      </c>
      <c r="E3960" s="53" t="inlineStr">
        <is>
          <t>2025-01-15</t>
        </is>
      </c>
      <c r="F3960" s="53">
        <v>1.1</v>
      </c>
      <c r="G3960" s="53">
        <v>0</v>
      </c>
      <c r="H3960" s="51" t="str">
        <f>TEXT(tblLaborEntries[[#This Row],[Work date serial]]-WEEKDAY(tblLaborEntries[[#This Row],[Work date serial]],3),"yyyy-mm-dd")</f>
        <v>2025-01-13</v>
      </c>
      <c r="I3960" s="64">
        <f>DATEVALUE(tblLaborEntries[[#This Row],[Work date]])</f>
        <v>45672.0</v>
      </c>
    </row>
    <row r="3961" spans="1:9" ht="15" x14ac:dyDescent="0.25">
      <c r="A3961" s="53" t="inlineStr">
        <is>
          <t>LAB-003960</t>
        </is>
      </c>
      <c r="B3961" s="53" t="inlineStr">
        <is>
          <t>WP-01743</t>
        </is>
      </c>
      <c r="C3961" s="53" t="inlineStr">
        <is>
          <t>TECH-037</t>
        </is>
      </c>
      <c r="D3961" s="53" t="inlineStr">
        <is>
          <t>Airframe</t>
        </is>
      </c>
      <c r="E3961" s="53" t="inlineStr">
        <is>
          <t>2025-01-16</t>
        </is>
      </c>
      <c r="F3961" s="53">
        <v>0.8</v>
      </c>
      <c r="G3961" s="53">
        <v>0</v>
      </c>
      <c r="H3961" s="51" t="str">
        <f>TEXT(tblLaborEntries[[#This Row],[Work date serial]]-WEEKDAY(tblLaborEntries[[#This Row],[Work date serial]],3),"yyyy-mm-dd")</f>
        <v>2025-01-13</v>
      </c>
      <c r="I3961" s="64">
        <f>DATEVALUE(tblLaborEntries[[#This Row],[Work date]])</f>
        <v>45673.0</v>
      </c>
    </row>
    <row r="3962" spans="1:9" ht="15" x14ac:dyDescent="0.25">
      <c r="A3962" s="53" t="inlineStr">
        <is>
          <t>LAB-003961</t>
        </is>
      </c>
      <c r="B3962" s="53" t="inlineStr">
        <is>
          <t>WP-01744</t>
        </is>
      </c>
      <c r="C3962" s="53" t="inlineStr">
        <is>
          <t>TECH-061</t>
        </is>
      </c>
      <c r="D3962" s="53" t="inlineStr">
        <is>
          <t>Airframe</t>
        </is>
      </c>
      <c r="E3962" s="53" t="inlineStr">
        <is>
          <t>2025-12-16</t>
        </is>
      </c>
      <c r="F3962" s="53">
        <v>0.9</v>
      </c>
      <c r="G3962" s="53">
        <v>0</v>
      </c>
      <c r="H3962" s="51" t="str">
        <f>TEXT(tblLaborEntries[[#This Row],[Work date serial]]-WEEKDAY(tblLaborEntries[[#This Row],[Work date serial]],3),"yyyy-mm-dd")</f>
        <v>2025-12-15</v>
      </c>
      <c r="I3962" s="64">
        <f>DATEVALUE(tblLaborEntries[[#This Row],[Work date]])</f>
        <v>46007.0</v>
      </c>
    </row>
    <row r="3963" spans="1:9" ht="15" x14ac:dyDescent="0.25">
      <c r="A3963" s="53" t="inlineStr">
        <is>
          <t>LAB-003962</t>
        </is>
      </c>
      <c r="B3963" s="53" t="inlineStr">
        <is>
          <t>WP-01744</t>
        </is>
      </c>
      <c r="C3963" s="53" t="inlineStr">
        <is>
          <t>TECH-073</t>
        </is>
      </c>
      <c r="D3963" s="53" t="inlineStr">
        <is>
          <t>Airframe</t>
        </is>
      </c>
      <c r="E3963" s="53" t="inlineStr">
        <is>
          <t>2025-12-17</t>
        </is>
      </c>
      <c r="F3963" s="53">
        <v>1.2</v>
      </c>
      <c r="G3963" s="53">
        <v>0</v>
      </c>
      <c r="H3963" s="51" t="str">
        <f>TEXT(tblLaborEntries[[#This Row],[Work date serial]]-WEEKDAY(tblLaborEntries[[#This Row],[Work date serial]],3),"yyyy-mm-dd")</f>
        <v>2025-12-15</v>
      </c>
      <c r="I3963" s="64">
        <f>DATEVALUE(tblLaborEntries[[#This Row],[Work date]])</f>
        <v>46008.0</v>
      </c>
    </row>
    <row r="3964" spans="1:9" ht="15" x14ac:dyDescent="0.25">
      <c r="A3964" s="53" t="inlineStr">
        <is>
          <t>LAB-003963</t>
        </is>
      </c>
      <c r="B3964" s="53" t="inlineStr">
        <is>
          <t>WP-01744</t>
        </is>
      </c>
      <c r="C3964" s="53" t="inlineStr">
        <is>
          <t>TECH-025</t>
        </is>
      </c>
      <c r="D3964" s="53" t="inlineStr">
        <is>
          <t>Airframe</t>
        </is>
      </c>
      <c r="E3964" s="53" t="inlineStr">
        <is>
          <t>2025-12-18</t>
        </is>
      </c>
      <c r="F3964" s="53">
        <v>1.1</v>
      </c>
      <c r="G3964" s="53">
        <v>0</v>
      </c>
      <c r="H3964" s="51" t="str">
        <f>TEXT(tblLaborEntries[[#This Row],[Work date serial]]-WEEKDAY(tblLaborEntries[[#This Row],[Work date serial]],3),"yyyy-mm-dd")</f>
        <v>2025-12-15</v>
      </c>
      <c r="I3964" s="64">
        <f>DATEVALUE(tblLaborEntries[[#This Row],[Work date]])</f>
        <v>46009.0</v>
      </c>
    </row>
    <row r="3965" spans="1:9" ht="15" x14ac:dyDescent="0.25">
      <c r="A3965" s="53" t="inlineStr">
        <is>
          <t>LAB-003964</t>
        </is>
      </c>
      <c r="B3965" s="53" t="inlineStr">
        <is>
          <t>WP-01745</t>
        </is>
      </c>
      <c r="C3965" s="53" t="inlineStr">
        <is>
          <t>TECH-004</t>
        </is>
      </c>
      <c r="D3965" s="53" t="inlineStr">
        <is>
          <t>Electrical</t>
        </is>
      </c>
      <c r="E3965" s="53" t="inlineStr">
        <is>
          <t>2024-02-26</t>
        </is>
      </c>
      <c r="F3965" s="53">
        <v>7.2</v>
      </c>
      <c r="G3965" s="53">
        <v>0</v>
      </c>
      <c r="H3965" s="51" t="str">
        <f>TEXT(tblLaborEntries[[#This Row],[Work date serial]]-WEEKDAY(tblLaborEntries[[#This Row],[Work date serial]],3),"yyyy-mm-dd")</f>
        <v>2024-02-26</v>
      </c>
      <c r="I3965" s="64">
        <f>DATEVALUE(tblLaborEntries[[#This Row],[Work date]])</f>
        <v>45348.0</v>
      </c>
    </row>
    <row r="3966" spans="1:9" ht="15" x14ac:dyDescent="0.25">
      <c r="A3966" s="53" t="inlineStr">
        <is>
          <t>LAB-003965</t>
        </is>
      </c>
      <c r="B3966" s="53" t="inlineStr">
        <is>
          <t>WP-01746</t>
        </is>
      </c>
      <c r="C3966" s="53" t="inlineStr">
        <is>
          <t>TECH-004</t>
        </is>
      </c>
      <c r="D3966" s="53" t="inlineStr">
        <is>
          <t>Electrical</t>
        </is>
      </c>
      <c r="E3966" s="53" t="inlineStr">
        <is>
          <t>2024-12-20</t>
        </is>
      </c>
      <c r="F3966" s="53">
        <v>3</v>
      </c>
      <c r="G3966" s="53">
        <v>0</v>
      </c>
      <c r="H3966" s="51" t="str">
        <f>TEXT(tblLaborEntries[[#This Row],[Work date serial]]-WEEKDAY(tblLaborEntries[[#This Row],[Work date serial]],3),"yyyy-mm-dd")</f>
        <v>2024-12-16</v>
      </c>
      <c r="I3966" s="64">
        <f>DATEVALUE(tblLaborEntries[[#This Row],[Work date]])</f>
        <v>45646.0</v>
      </c>
    </row>
    <row r="3967" spans="1:9" ht="15" x14ac:dyDescent="0.25">
      <c r="A3967" s="53" t="inlineStr">
        <is>
          <t>LAB-003966</t>
        </is>
      </c>
      <c r="B3967" s="53" t="inlineStr">
        <is>
          <t>WP-01746</t>
        </is>
      </c>
      <c r="C3967" s="53" t="inlineStr">
        <is>
          <t>TECH-058</t>
        </is>
      </c>
      <c r="D3967" s="53" t="inlineStr">
        <is>
          <t>Electrical</t>
        </is>
      </c>
      <c r="E3967" s="53" t="inlineStr">
        <is>
          <t>2024-12-21</t>
        </is>
      </c>
      <c r="F3967" s="53">
        <v>2.9</v>
      </c>
      <c r="G3967" s="53">
        <v>0</v>
      </c>
      <c r="H3967" s="51" t="str">
        <f>TEXT(tblLaborEntries[[#This Row],[Work date serial]]-WEEKDAY(tblLaborEntries[[#This Row],[Work date serial]],3),"yyyy-mm-dd")</f>
        <v>2024-12-16</v>
      </c>
      <c r="I3967" s="64">
        <f>DATEVALUE(tblLaborEntries[[#This Row],[Work date]])</f>
        <v>45647.0</v>
      </c>
    </row>
    <row r="3968" spans="1:9" ht="15" x14ac:dyDescent="0.25">
      <c r="A3968" s="53" t="inlineStr">
        <is>
          <t>LAB-003967</t>
        </is>
      </c>
      <c r="B3968" s="53" t="inlineStr">
        <is>
          <t>WP-01746</t>
        </is>
      </c>
      <c r="C3968" s="53" t="inlineStr">
        <is>
          <t>TECH-046</t>
        </is>
      </c>
      <c r="D3968" s="53" t="inlineStr">
        <is>
          <t>Electrical</t>
        </is>
      </c>
      <c r="E3968" s="53" t="inlineStr">
        <is>
          <t>2024-12-22</t>
        </is>
      </c>
      <c r="F3968" s="53">
        <v>4.4</v>
      </c>
      <c r="G3968" s="53">
        <v>0</v>
      </c>
      <c r="H3968" s="51" t="str">
        <f>TEXT(tblLaborEntries[[#This Row],[Work date serial]]-WEEKDAY(tblLaborEntries[[#This Row],[Work date serial]],3),"yyyy-mm-dd")</f>
        <v>2024-12-16</v>
      </c>
      <c r="I3968" s="64">
        <f>DATEVALUE(tblLaborEntries[[#This Row],[Work date]])</f>
        <v>45648.0</v>
      </c>
    </row>
    <row r="3969" spans="1:9" ht="15" x14ac:dyDescent="0.25">
      <c r="A3969" s="53" t="inlineStr">
        <is>
          <t>LAB-003968</t>
        </is>
      </c>
      <c r="B3969" s="53" t="inlineStr">
        <is>
          <t>WP-01747</t>
        </is>
      </c>
      <c r="C3969" s="53" t="inlineStr">
        <is>
          <t>TECH-008</t>
        </is>
      </c>
      <c r="D3969" s="53" t="inlineStr">
        <is>
          <t>Avionics</t>
        </is>
      </c>
      <c r="E3969" s="53" t="inlineStr">
        <is>
          <t>2025-09-17</t>
        </is>
      </c>
      <c r="F3969" s="53">
        <v>4.1</v>
      </c>
      <c r="G3969" s="53">
        <v>0</v>
      </c>
      <c r="H3969" s="51" t="str">
        <f>TEXT(tblLaborEntries[[#This Row],[Work date serial]]-WEEKDAY(tblLaborEntries[[#This Row],[Work date serial]],3),"yyyy-mm-dd")</f>
        <v>2025-09-15</v>
      </c>
      <c r="I3969" s="64">
        <f>DATEVALUE(tblLaborEntries[[#This Row],[Work date]])</f>
        <v>45917.0</v>
      </c>
    </row>
    <row r="3970" spans="1:9" ht="15" x14ac:dyDescent="0.25">
      <c r="A3970" s="53" t="inlineStr">
        <is>
          <t>LAB-003969</t>
        </is>
      </c>
      <c r="B3970" s="53" t="inlineStr">
        <is>
          <t>WP-01747</t>
        </is>
      </c>
      <c r="C3970" s="53" t="inlineStr">
        <is>
          <t>TECH-038</t>
        </is>
      </c>
      <c r="D3970" s="53" t="inlineStr">
        <is>
          <t>Avionics</t>
        </is>
      </c>
      <c r="E3970" s="53" t="inlineStr">
        <is>
          <t>2025-09-18</t>
        </is>
      </c>
      <c r="F3970" s="53">
        <v>5.5</v>
      </c>
      <c r="G3970" s="53">
        <v>0</v>
      </c>
      <c r="H3970" s="51" t="str">
        <f>TEXT(tblLaborEntries[[#This Row],[Work date serial]]-WEEKDAY(tblLaborEntries[[#This Row],[Work date serial]],3),"yyyy-mm-dd")</f>
        <v>2025-09-15</v>
      </c>
      <c r="I3970" s="64">
        <f>DATEVALUE(tblLaborEntries[[#This Row],[Work date]])</f>
        <v>45918.0</v>
      </c>
    </row>
    <row r="3971" spans="1:9" ht="15" x14ac:dyDescent="0.25">
      <c r="A3971" s="53" t="inlineStr">
        <is>
          <t>LAB-003970</t>
        </is>
      </c>
      <c r="B3971" s="53" t="inlineStr">
        <is>
          <t>WP-01748</t>
        </is>
      </c>
      <c r="C3971" s="53" t="inlineStr">
        <is>
          <t>TECH-044</t>
        </is>
      </c>
      <c r="D3971" s="53" t="inlineStr">
        <is>
          <t>Avionics</t>
        </is>
      </c>
      <c r="E3971" s="53" t="inlineStr">
        <is>
          <t>2024-10-04</t>
        </is>
      </c>
      <c r="F3971" s="53">
        <v>1.1</v>
      </c>
      <c r="G3971" s="53">
        <v>0</v>
      </c>
      <c r="H3971" s="51" t="str">
        <f>TEXT(tblLaborEntries[[#This Row],[Work date serial]]-WEEKDAY(tblLaborEntries[[#This Row],[Work date serial]],3),"yyyy-mm-dd")</f>
        <v>2024-09-30</v>
      </c>
      <c r="I3971" s="64">
        <f>DATEVALUE(tblLaborEntries[[#This Row],[Work date]])</f>
        <v>45569.0</v>
      </c>
    </row>
    <row r="3972" spans="1:9" ht="15" x14ac:dyDescent="0.25">
      <c r="A3972" s="53" t="inlineStr">
        <is>
          <t>LAB-003971</t>
        </is>
      </c>
      <c r="B3972" s="53" t="inlineStr">
        <is>
          <t>WP-01748</t>
        </is>
      </c>
      <c r="C3972" s="53" t="inlineStr">
        <is>
          <t>TECH-020</t>
        </is>
      </c>
      <c r="D3972" s="53" t="inlineStr">
        <is>
          <t>Avionics</t>
        </is>
      </c>
      <c r="E3972" s="53" t="inlineStr">
        <is>
          <t>2024-10-05</t>
        </is>
      </c>
      <c r="F3972" s="53">
        <v>1.5</v>
      </c>
      <c r="G3972" s="53">
        <v>0</v>
      </c>
      <c r="H3972" s="51" t="str">
        <f>TEXT(tblLaborEntries[[#This Row],[Work date serial]]-WEEKDAY(tblLaborEntries[[#This Row],[Work date serial]],3),"yyyy-mm-dd")</f>
        <v>2024-09-30</v>
      </c>
      <c r="I3972" s="64">
        <f>DATEVALUE(tblLaborEntries[[#This Row],[Work date]])</f>
        <v>45570.0</v>
      </c>
    </row>
    <row r="3973" spans="1:9" ht="15" x14ac:dyDescent="0.25">
      <c r="A3973" s="53" t="inlineStr">
        <is>
          <t>LAB-003972</t>
        </is>
      </c>
      <c r="B3973" s="53" t="inlineStr">
        <is>
          <t>WP-01749</t>
        </is>
      </c>
      <c r="C3973" s="53" t="inlineStr">
        <is>
          <t>TECH-031</t>
        </is>
      </c>
      <c r="D3973" s="53" t="inlineStr">
        <is>
          <t>Airframe</t>
        </is>
      </c>
      <c r="E3973" s="53" t="inlineStr">
        <is>
          <t>2024-08-13</t>
        </is>
      </c>
      <c r="F3973" s="53">
        <v>6.3</v>
      </c>
      <c r="G3973" s="53">
        <v>0</v>
      </c>
      <c r="H3973" s="51" t="str">
        <f>TEXT(tblLaborEntries[[#This Row],[Work date serial]]-WEEKDAY(tblLaborEntries[[#This Row],[Work date serial]],3),"yyyy-mm-dd")</f>
        <v>2024-08-12</v>
      </c>
      <c r="I3973" s="64">
        <f>DATEVALUE(tblLaborEntries[[#This Row],[Work date]])</f>
        <v>45517.0</v>
      </c>
    </row>
    <row r="3974" spans="1:9" ht="15" x14ac:dyDescent="0.25">
      <c r="A3974" s="53" t="inlineStr">
        <is>
          <t>LAB-003973</t>
        </is>
      </c>
      <c r="B3974" s="53" t="inlineStr">
        <is>
          <t>WP-01749</t>
        </is>
      </c>
      <c r="C3974" s="53" t="inlineStr">
        <is>
          <t>TECH-001</t>
        </is>
      </c>
      <c r="D3974" s="53" t="inlineStr">
        <is>
          <t>Airframe</t>
        </is>
      </c>
      <c r="E3974" s="53" t="inlineStr">
        <is>
          <t>2024-08-14</t>
        </is>
      </c>
      <c r="F3974" s="53">
        <v>8</v>
      </c>
      <c r="G3974" s="53">
        <v>4</v>
      </c>
      <c r="H3974" s="51" t="str">
        <f>TEXT(tblLaborEntries[[#This Row],[Work date serial]]-WEEKDAY(tblLaborEntries[[#This Row],[Work date serial]],3),"yyyy-mm-dd")</f>
        <v>2024-08-12</v>
      </c>
      <c r="I3974" s="64">
        <f>DATEVALUE(tblLaborEntries[[#This Row],[Work date]])</f>
        <v>45518.0</v>
      </c>
    </row>
    <row r="3975" spans="1:9" ht="15" x14ac:dyDescent="0.25">
      <c r="A3975" s="53" t="inlineStr">
        <is>
          <t>LAB-003974</t>
        </is>
      </c>
      <c r="B3975" s="53" t="inlineStr">
        <is>
          <t>WP-01749</t>
        </is>
      </c>
      <c r="C3975" s="53" t="inlineStr">
        <is>
          <t>TECH-007</t>
        </is>
      </c>
      <c r="D3975" s="53" t="inlineStr">
        <is>
          <t>Airframe</t>
        </is>
      </c>
      <c r="E3975" s="53" t="inlineStr">
        <is>
          <t>2024-08-14</t>
        </is>
      </c>
      <c r="F3975" s="53">
        <v>0.7</v>
      </c>
      <c r="G3975" s="53">
        <v>0</v>
      </c>
      <c r="H3975" s="51" t="str">
        <f>TEXT(tblLaborEntries[[#This Row],[Work date serial]]-WEEKDAY(tblLaborEntries[[#This Row],[Work date serial]],3),"yyyy-mm-dd")</f>
        <v>2024-08-12</v>
      </c>
      <c r="I3975" s="64">
        <f>DATEVALUE(tblLaborEntries[[#This Row],[Work date]])</f>
        <v>45518.0</v>
      </c>
    </row>
    <row r="3976" spans="1:9" ht="15" x14ac:dyDescent="0.25">
      <c r="A3976" s="53" t="inlineStr">
        <is>
          <t>LAB-003975</t>
        </is>
      </c>
      <c r="B3976" s="53" t="inlineStr">
        <is>
          <t>WP-01750</t>
        </is>
      </c>
      <c r="C3976" s="53" t="inlineStr">
        <is>
          <t>TECH-044</t>
        </is>
      </c>
      <c r="D3976" s="53" t="inlineStr">
        <is>
          <t>Avionics</t>
        </is>
      </c>
      <c r="E3976" s="53" t="inlineStr">
        <is>
          <t>2024-05-25</t>
        </is>
      </c>
      <c r="F3976" s="53">
        <v>6.2</v>
      </c>
      <c r="G3976" s="53">
        <v>0</v>
      </c>
      <c r="H3976" s="51" t="str">
        <f>TEXT(tblLaborEntries[[#This Row],[Work date serial]]-WEEKDAY(tblLaborEntries[[#This Row],[Work date serial]],3),"yyyy-mm-dd")</f>
        <v>2024-05-20</v>
      </c>
      <c r="I3976" s="64">
        <f>DATEVALUE(tblLaborEntries[[#This Row],[Work date]])</f>
        <v>45437.0</v>
      </c>
    </row>
    <row r="3977" spans="1:9" ht="15" x14ac:dyDescent="0.25">
      <c r="A3977" s="53" t="inlineStr">
        <is>
          <t>LAB-003976</t>
        </is>
      </c>
      <c r="B3977" s="53" t="inlineStr">
        <is>
          <t>WP-01750</t>
        </is>
      </c>
      <c r="C3977" s="53" t="inlineStr">
        <is>
          <t>TECH-032</t>
        </is>
      </c>
      <c r="D3977" s="53" t="inlineStr">
        <is>
          <t>Avionics</t>
        </is>
      </c>
      <c r="E3977" s="53" t="inlineStr">
        <is>
          <t>2024-05-26</t>
        </is>
      </c>
      <c r="F3977" s="53">
        <v>8.4</v>
      </c>
      <c r="G3977" s="53">
        <v>0.4</v>
      </c>
      <c r="H3977" s="51" t="str">
        <f>TEXT(tblLaborEntries[[#This Row],[Work date serial]]-WEEKDAY(tblLaborEntries[[#This Row],[Work date serial]],3),"yyyy-mm-dd")</f>
        <v>2024-05-20</v>
      </c>
      <c r="I3977" s="64">
        <f>DATEVALUE(tblLaborEntries[[#This Row],[Work date]])</f>
        <v>45438.0</v>
      </c>
    </row>
    <row r="3978" spans="1:9" ht="15" x14ac:dyDescent="0.25">
      <c r="A3978" s="53" t="inlineStr">
        <is>
          <t>LAB-003977</t>
        </is>
      </c>
      <c r="B3978" s="53" t="inlineStr">
        <is>
          <t>WP-01751</t>
        </is>
      </c>
      <c r="C3978" s="53" t="inlineStr">
        <is>
          <t>TECH-062</t>
        </is>
      </c>
      <c r="D3978" s="53" t="inlineStr">
        <is>
          <t>Avionics</t>
        </is>
      </c>
      <c r="E3978" s="53" t="inlineStr">
        <is>
          <t>2025-12-20</t>
        </is>
      </c>
      <c r="F3978" s="53">
        <v>2.7</v>
      </c>
      <c r="G3978" s="53">
        <v>0</v>
      </c>
      <c r="H3978" s="51" t="str">
        <f>TEXT(tblLaborEntries[[#This Row],[Work date serial]]-WEEKDAY(tblLaborEntries[[#This Row],[Work date serial]],3),"yyyy-mm-dd")</f>
        <v>2025-12-15</v>
      </c>
      <c r="I3978" s="64">
        <f>DATEVALUE(tblLaborEntries[[#This Row],[Work date]])</f>
        <v>46011.0</v>
      </c>
    </row>
    <row r="3979" spans="1:9" ht="15" x14ac:dyDescent="0.25">
      <c r="A3979" s="53" t="inlineStr">
        <is>
          <t>LAB-003978</t>
        </is>
      </c>
      <c r="B3979" s="53" t="inlineStr">
        <is>
          <t>WP-01751</t>
        </is>
      </c>
      <c r="C3979" s="53" t="inlineStr">
        <is>
          <t>TECH-002</t>
        </is>
      </c>
      <c r="D3979" s="53" t="inlineStr">
        <is>
          <t>Avionics</t>
        </is>
      </c>
      <c r="E3979" s="53" t="inlineStr">
        <is>
          <t>2025-12-21</t>
        </is>
      </c>
      <c r="F3979" s="53">
        <v>12</v>
      </c>
      <c r="G3979" s="53">
        <v>4</v>
      </c>
      <c r="H3979" s="51" t="str">
        <f>TEXT(tblLaborEntries[[#This Row],[Work date serial]]-WEEKDAY(tblLaborEntries[[#This Row],[Work date serial]],3),"yyyy-mm-dd")</f>
        <v>2025-12-15</v>
      </c>
      <c r="I3979" s="64">
        <f>DATEVALUE(tblLaborEntries[[#This Row],[Work date]])</f>
        <v>46012.0</v>
      </c>
    </row>
    <row r="3980" spans="1:9" ht="15" x14ac:dyDescent="0.25">
      <c r="A3980" s="53" t="inlineStr">
        <is>
          <t>LAB-003979</t>
        </is>
      </c>
      <c r="B3980" s="53" t="inlineStr">
        <is>
          <t>WP-01751</t>
        </is>
      </c>
      <c r="C3980" s="53" t="inlineStr">
        <is>
          <t>TECH-014</t>
        </is>
      </c>
      <c r="D3980" s="53" t="inlineStr">
        <is>
          <t>Avionics</t>
        </is>
      </c>
      <c r="E3980" s="53" t="inlineStr">
        <is>
          <t>2025-12-21</t>
        </is>
      </c>
      <c r="F3980" s="53">
        <v>12</v>
      </c>
      <c r="G3980" s="53">
        <v>4</v>
      </c>
      <c r="H3980" s="51" t="str">
        <f>TEXT(tblLaborEntries[[#This Row],[Work date serial]]-WEEKDAY(tblLaborEntries[[#This Row],[Work date serial]],3),"yyyy-mm-dd")</f>
        <v>2025-12-15</v>
      </c>
      <c r="I3980" s="64">
        <f>DATEVALUE(tblLaborEntries[[#This Row],[Work date]])</f>
        <v>46012.0</v>
      </c>
    </row>
    <row r="3981" spans="1:9" ht="15" x14ac:dyDescent="0.25">
      <c r="A3981" s="53" t="inlineStr">
        <is>
          <t>LAB-003980</t>
        </is>
      </c>
      <c r="B3981" s="53" t="inlineStr">
        <is>
          <t>WP-01751</t>
        </is>
      </c>
      <c r="C3981" s="53" t="inlineStr">
        <is>
          <t>TECH-062</t>
        </is>
      </c>
      <c r="D3981" s="53" t="inlineStr">
        <is>
          <t>Avionics</t>
        </is>
      </c>
      <c r="E3981" s="53" t="inlineStr">
        <is>
          <t>2025-12-21</t>
        </is>
      </c>
      <c r="F3981" s="53">
        <v>2.2</v>
      </c>
      <c r="G3981" s="53">
        <v>0</v>
      </c>
      <c r="H3981" s="51" t="str">
        <f>TEXT(tblLaborEntries[[#This Row],[Work date serial]]-WEEKDAY(tblLaborEntries[[#This Row],[Work date serial]],3),"yyyy-mm-dd")</f>
        <v>2025-12-15</v>
      </c>
      <c r="I3981" s="64">
        <f>DATEVALUE(tblLaborEntries[[#This Row],[Work date]])</f>
        <v>46012.0</v>
      </c>
    </row>
    <row r="3982" spans="1:9" ht="15" x14ac:dyDescent="0.25">
      <c r="A3982" s="53" t="inlineStr">
        <is>
          <t>LAB-003981</t>
        </is>
      </c>
      <c r="B3982" s="53" t="inlineStr">
        <is>
          <t>WP-01752</t>
        </is>
      </c>
      <c r="C3982" s="53" t="inlineStr">
        <is>
          <t>TECH-020</t>
        </is>
      </c>
      <c r="D3982" s="53" t="inlineStr">
        <is>
          <t>Avionics</t>
        </is>
      </c>
      <c r="E3982" s="53" t="inlineStr">
        <is>
          <t>2025-08-24</t>
        </is>
      </c>
      <c r="F3982" s="53">
        <v>4.5</v>
      </c>
      <c r="G3982" s="53">
        <v>0</v>
      </c>
      <c r="H3982" s="51" t="str">
        <f>TEXT(tblLaborEntries[[#This Row],[Work date serial]]-WEEKDAY(tblLaborEntries[[#This Row],[Work date serial]],3),"yyyy-mm-dd")</f>
        <v>2025-08-18</v>
      </c>
      <c r="I3982" s="64">
        <f>DATEVALUE(tblLaborEntries[[#This Row],[Work date]])</f>
        <v>45893.0</v>
      </c>
    </row>
    <row r="3983" spans="1:9" ht="15" x14ac:dyDescent="0.25">
      <c r="A3983" s="53" t="inlineStr">
        <is>
          <t>LAB-003982</t>
        </is>
      </c>
      <c r="B3983" s="53" t="inlineStr">
        <is>
          <t>WP-01752</t>
        </is>
      </c>
      <c r="C3983" s="53" t="inlineStr">
        <is>
          <t>TECH-020</t>
        </is>
      </c>
      <c r="D3983" s="53" t="inlineStr">
        <is>
          <t>Avionics</t>
        </is>
      </c>
      <c r="E3983" s="53" t="inlineStr">
        <is>
          <t>2025-08-25</t>
        </is>
      </c>
      <c r="F3983" s="53">
        <v>3.2</v>
      </c>
      <c r="G3983" s="53">
        <v>0</v>
      </c>
      <c r="H3983" s="51" t="str">
        <f>TEXT(tblLaborEntries[[#This Row],[Work date serial]]-WEEKDAY(tblLaborEntries[[#This Row],[Work date serial]],3),"yyyy-mm-dd")</f>
        <v>2025-08-25</v>
      </c>
      <c r="I3983" s="64">
        <f>DATEVALUE(tblLaborEntries[[#This Row],[Work date]])</f>
        <v>45894.0</v>
      </c>
    </row>
    <row r="3984" spans="1:9" ht="15" x14ac:dyDescent="0.25">
      <c r="A3984" s="53" t="inlineStr">
        <is>
          <t>LAB-003983</t>
        </is>
      </c>
      <c r="B3984" s="53" t="inlineStr">
        <is>
          <t>WP-01752</t>
        </is>
      </c>
      <c r="C3984" s="53" t="inlineStr">
        <is>
          <t>TECH-050</t>
        </is>
      </c>
      <c r="D3984" s="53" t="inlineStr">
        <is>
          <t>Avionics</t>
        </is>
      </c>
      <c r="E3984" s="53" t="inlineStr">
        <is>
          <t>2025-08-26</t>
        </is>
      </c>
      <c r="F3984" s="53">
        <v>4.2</v>
      </c>
      <c r="G3984" s="53">
        <v>2.8</v>
      </c>
      <c r="H3984" s="51" t="str">
        <f>TEXT(tblLaborEntries[[#This Row],[Work date serial]]-WEEKDAY(tblLaborEntries[[#This Row],[Work date serial]],3),"yyyy-mm-dd")</f>
        <v>2025-08-25</v>
      </c>
      <c r="I3984" s="64">
        <f>DATEVALUE(tblLaborEntries[[#This Row],[Work date]])</f>
        <v>45895.0</v>
      </c>
    </row>
    <row r="3985" spans="1:9" ht="15" x14ac:dyDescent="0.25">
      <c r="A3985" s="53" t="inlineStr">
        <is>
          <t>LAB-003984</t>
        </is>
      </c>
      <c r="B3985" s="53" t="inlineStr">
        <is>
          <t>WP-01753</t>
        </is>
      </c>
      <c r="C3985" s="53" t="inlineStr">
        <is>
          <t>TECH-033</t>
        </is>
      </c>
      <c r="D3985" s="53" t="inlineStr">
        <is>
          <t>Hydraulics</t>
        </is>
      </c>
      <c r="E3985" s="53" t="inlineStr">
        <is>
          <t>2025-10-10</t>
        </is>
      </c>
      <c r="F3985" s="53">
        <v>5.5</v>
      </c>
      <c r="G3985" s="53">
        <v>0</v>
      </c>
      <c r="H3985" s="51" t="str">
        <f>TEXT(tblLaborEntries[[#This Row],[Work date serial]]-WEEKDAY(tblLaborEntries[[#This Row],[Work date serial]],3),"yyyy-mm-dd")</f>
        <v>2025-10-06</v>
      </c>
      <c r="I3985" s="64">
        <f>DATEVALUE(tblLaborEntries[[#This Row],[Work date]])</f>
        <v>45940.0</v>
      </c>
    </row>
    <row r="3986" spans="1:9" ht="15" x14ac:dyDescent="0.25">
      <c r="A3986" s="53" t="inlineStr">
        <is>
          <t>LAB-003985</t>
        </is>
      </c>
      <c r="B3986" s="53" t="inlineStr">
        <is>
          <t>WP-01753</t>
        </is>
      </c>
      <c r="C3986" s="53" t="inlineStr">
        <is>
          <t>TECH-009</t>
        </is>
      </c>
      <c r="D3986" s="53" t="inlineStr">
        <is>
          <t>Hydraulics</t>
        </is>
      </c>
      <c r="E3986" s="53" t="inlineStr">
        <is>
          <t>2025-10-11</t>
        </is>
      </c>
      <c r="F3986" s="53">
        <v>4.8</v>
      </c>
      <c r="G3986" s="53">
        <v>0</v>
      </c>
      <c r="H3986" s="51" t="str">
        <f>TEXT(tblLaborEntries[[#This Row],[Work date serial]]-WEEKDAY(tblLaborEntries[[#This Row],[Work date serial]],3),"yyyy-mm-dd")</f>
        <v>2025-10-06</v>
      </c>
      <c r="I3986" s="64">
        <f>DATEVALUE(tblLaborEntries[[#This Row],[Work date]])</f>
        <v>45941.0</v>
      </c>
    </row>
    <row r="3987" spans="1:9" ht="15" x14ac:dyDescent="0.25">
      <c r="A3987" s="53" t="inlineStr">
        <is>
          <t>LAB-003986</t>
        </is>
      </c>
      <c r="B3987" s="53" t="inlineStr">
        <is>
          <t>WP-01753</t>
        </is>
      </c>
      <c r="C3987" s="53" t="inlineStr">
        <is>
          <t>TECH-015</t>
        </is>
      </c>
      <c r="D3987" s="53" t="inlineStr">
        <is>
          <t>Hydraulics</t>
        </is>
      </c>
      <c r="E3987" s="53" t="inlineStr">
        <is>
          <t>2025-10-12</t>
        </is>
      </c>
      <c r="F3987" s="53">
        <v>6.8</v>
      </c>
      <c r="G3987" s="53">
        <v>0</v>
      </c>
      <c r="H3987" s="51" t="str">
        <f>TEXT(tblLaborEntries[[#This Row],[Work date serial]]-WEEKDAY(tblLaborEntries[[#This Row],[Work date serial]],3),"yyyy-mm-dd")</f>
        <v>2025-10-06</v>
      </c>
      <c r="I3987" s="64">
        <f>DATEVALUE(tblLaborEntries[[#This Row],[Work date]])</f>
        <v>45942.0</v>
      </c>
    </row>
    <row r="3988" spans="1:9" ht="15" x14ac:dyDescent="0.25">
      <c r="A3988" s="53" t="inlineStr">
        <is>
          <t>LAB-003987</t>
        </is>
      </c>
      <c r="B3988" s="53" t="inlineStr">
        <is>
          <t>WP-01754</t>
        </is>
      </c>
      <c r="C3988" s="53" t="inlineStr">
        <is>
          <t>TECH-034</t>
        </is>
      </c>
      <c r="D3988" s="53" t="inlineStr">
        <is>
          <t>Electrical</t>
        </is>
      </c>
      <c r="E3988" s="53" t="inlineStr">
        <is>
          <t>2025-04-13</t>
        </is>
      </c>
      <c r="F3988" s="53">
        <v>4.5</v>
      </c>
      <c r="G3988" s="53">
        <v>0</v>
      </c>
      <c r="H3988" s="51" t="str">
        <f>TEXT(tblLaborEntries[[#This Row],[Work date serial]]-WEEKDAY(tblLaborEntries[[#This Row],[Work date serial]],3),"yyyy-mm-dd")</f>
        <v>2025-04-07</v>
      </c>
      <c r="I3988" s="64">
        <f>DATEVALUE(tblLaborEntries[[#This Row],[Work date]])</f>
        <v>45760.0</v>
      </c>
    </row>
    <row r="3989" spans="1:9" ht="15" x14ac:dyDescent="0.25">
      <c r="A3989" s="53" t="inlineStr">
        <is>
          <t>LAB-003988</t>
        </is>
      </c>
      <c r="B3989" s="53" t="inlineStr">
        <is>
          <t>WP-01754</t>
        </is>
      </c>
      <c r="C3989" s="53" t="inlineStr">
        <is>
          <t>TECH-052</t>
        </is>
      </c>
      <c r="D3989" s="53" t="inlineStr">
        <is>
          <t>Electrical</t>
        </is>
      </c>
      <c r="E3989" s="53" t="inlineStr">
        <is>
          <t>2025-04-14</t>
        </is>
      </c>
      <c r="F3989" s="53">
        <v>5.9</v>
      </c>
      <c r="G3989" s="53">
        <v>0</v>
      </c>
      <c r="H3989" s="51" t="str">
        <f>TEXT(tblLaborEntries[[#This Row],[Work date serial]]-WEEKDAY(tblLaborEntries[[#This Row],[Work date serial]],3),"yyyy-mm-dd")</f>
        <v>2025-04-14</v>
      </c>
      <c r="I3989" s="64">
        <f>DATEVALUE(tblLaborEntries[[#This Row],[Work date]])</f>
        <v>45761.0</v>
      </c>
    </row>
    <row r="3990" spans="1:9" ht="15" x14ac:dyDescent="0.25">
      <c r="A3990" s="53" t="inlineStr">
        <is>
          <t>LAB-003989</t>
        </is>
      </c>
      <c r="B3990" s="53" t="inlineStr">
        <is>
          <t>WP-01754</t>
        </is>
      </c>
      <c r="C3990" s="53" t="inlineStr">
        <is>
          <t>TECH-064</t>
        </is>
      </c>
      <c r="D3990" s="53" t="inlineStr">
        <is>
          <t>Electrical</t>
        </is>
      </c>
      <c r="E3990" s="53" t="inlineStr">
        <is>
          <t>2025-04-15</t>
        </is>
      </c>
      <c r="F3990" s="53">
        <v>5.7</v>
      </c>
      <c r="G3990" s="53">
        <v>0</v>
      </c>
      <c r="H3990" s="51" t="str">
        <f>TEXT(tblLaborEntries[[#This Row],[Work date serial]]-WEEKDAY(tblLaborEntries[[#This Row],[Work date serial]],3),"yyyy-mm-dd")</f>
        <v>2025-04-14</v>
      </c>
      <c r="I3990" s="64">
        <f>DATEVALUE(tblLaborEntries[[#This Row],[Work date]])</f>
        <v>45762.0</v>
      </c>
    </row>
    <row r="3991" spans="1:9" ht="15" x14ac:dyDescent="0.25">
      <c r="A3991" s="53" t="inlineStr">
        <is>
          <t>LAB-003990</t>
        </is>
      </c>
      <c r="B3991" s="53" t="inlineStr">
        <is>
          <t>WP-01755</t>
        </is>
      </c>
      <c r="C3991" s="53" t="inlineStr">
        <is>
          <t>TECH-068</t>
        </is>
      </c>
      <c r="D3991" s="53" t="inlineStr">
        <is>
          <t>Avionics</t>
        </is>
      </c>
      <c r="E3991" s="53" t="inlineStr">
        <is>
          <t>2025-12-22</t>
        </is>
      </c>
      <c r="F3991" s="53">
        <v>3.3</v>
      </c>
      <c r="G3991" s="53">
        <v>0</v>
      </c>
      <c r="H3991" s="51" t="str">
        <f>TEXT(tblLaborEntries[[#This Row],[Work date serial]]-WEEKDAY(tblLaborEntries[[#This Row],[Work date serial]],3),"yyyy-mm-dd")</f>
        <v>2025-12-22</v>
      </c>
      <c r="I3991" s="64">
        <f>DATEVALUE(tblLaborEntries[[#This Row],[Work date]])</f>
        <v>46013.0</v>
      </c>
    </row>
    <row r="3992" spans="1:9" ht="15" x14ac:dyDescent="0.25">
      <c r="A3992" s="53" t="inlineStr">
        <is>
          <t>LAB-003991</t>
        </is>
      </c>
      <c r="B3992" s="53" t="inlineStr">
        <is>
          <t>WP-01755</t>
        </is>
      </c>
      <c r="C3992" s="53" t="inlineStr">
        <is>
          <t>TECH-038</t>
        </is>
      </c>
      <c r="D3992" s="53" t="inlineStr">
        <is>
          <t>Avionics</t>
        </is>
      </c>
      <c r="E3992" s="53" t="inlineStr">
        <is>
          <t>2025-12-23</t>
        </is>
      </c>
      <c r="F3992" s="53">
        <v>4.5</v>
      </c>
      <c r="G3992" s="53">
        <v>0</v>
      </c>
      <c r="H3992" s="51" t="str">
        <f>TEXT(tblLaborEntries[[#This Row],[Work date serial]]-WEEKDAY(tblLaborEntries[[#This Row],[Work date serial]],3),"yyyy-mm-dd")</f>
        <v>2025-12-22</v>
      </c>
      <c r="I3992" s="64">
        <f>DATEVALUE(tblLaborEntries[[#This Row],[Work date]])</f>
        <v>46014.0</v>
      </c>
    </row>
    <row r="3993" spans="1:9" ht="15" x14ac:dyDescent="0.25">
      <c r="A3993" s="53" t="inlineStr">
        <is>
          <t>LAB-003992</t>
        </is>
      </c>
      <c r="B3993" s="53" t="inlineStr">
        <is>
          <t>WP-01756</t>
        </is>
      </c>
      <c r="C3993" s="53" t="inlineStr">
        <is>
          <t>TECH-048</t>
        </is>
      </c>
      <c r="D3993" s="53" t="inlineStr">
        <is>
          <t>Powerplant</t>
        </is>
      </c>
      <c r="E3993" s="53" t="inlineStr">
        <is>
          <t>2025-08-04</t>
        </is>
      </c>
      <c r="F3993" s="53">
        <v>2.8</v>
      </c>
      <c r="G3993" s="53">
        <v>0</v>
      </c>
      <c r="H3993" s="51" t="str">
        <f>TEXT(tblLaborEntries[[#This Row],[Work date serial]]-WEEKDAY(tblLaborEntries[[#This Row],[Work date serial]],3),"yyyy-mm-dd")</f>
        <v>2025-08-04</v>
      </c>
      <c r="I3993" s="64">
        <f>DATEVALUE(tblLaborEntries[[#This Row],[Work date]])</f>
        <v>45873.0</v>
      </c>
    </row>
    <row r="3994" spans="1:9" ht="15" x14ac:dyDescent="0.25">
      <c r="A3994" s="53" t="inlineStr">
        <is>
          <t>LAB-003993</t>
        </is>
      </c>
      <c r="B3994" s="53" t="inlineStr">
        <is>
          <t>WP-01756</t>
        </is>
      </c>
      <c r="C3994" s="53" t="inlineStr">
        <is>
          <t>TECH-060</t>
        </is>
      </c>
      <c r="D3994" s="53" t="inlineStr">
        <is>
          <t>Powerplant</t>
        </is>
      </c>
      <c r="E3994" s="53" t="inlineStr">
        <is>
          <t>2025-08-05</t>
        </is>
      </c>
      <c r="F3994" s="53">
        <v>3.5</v>
      </c>
      <c r="G3994" s="53">
        <v>0</v>
      </c>
      <c r="H3994" s="51" t="str">
        <f>TEXT(tblLaborEntries[[#This Row],[Work date serial]]-WEEKDAY(tblLaborEntries[[#This Row],[Work date serial]],3),"yyyy-mm-dd")</f>
        <v>2025-08-04</v>
      </c>
      <c r="I3994" s="64">
        <f>DATEVALUE(tblLaborEntries[[#This Row],[Work date]])</f>
        <v>45874.0</v>
      </c>
    </row>
    <row r="3995" spans="1:9" ht="15" x14ac:dyDescent="0.25">
      <c r="A3995" s="53" t="inlineStr">
        <is>
          <t>LAB-003994</t>
        </is>
      </c>
      <c r="B3995" s="53" t="inlineStr">
        <is>
          <t>WP-01757</t>
        </is>
      </c>
      <c r="C3995" s="53" t="inlineStr">
        <is>
          <t>TECH-018</t>
        </is>
      </c>
      <c r="D3995" s="53" t="inlineStr">
        <is>
          <t>Powerplant</t>
        </is>
      </c>
      <c r="E3995" s="53" t="inlineStr">
        <is>
          <t>2025-07-31</t>
        </is>
      </c>
      <c r="F3995" s="53">
        <v>3.4</v>
      </c>
      <c r="G3995" s="53">
        <v>0</v>
      </c>
      <c r="H3995" s="51" t="str">
        <f>TEXT(tblLaborEntries[[#This Row],[Work date serial]]-WEEKDAY(tblLaborEntries[[#This Row],[Work date serial]],3),"yyyy-mm-dd")</f>
        <v>2025-07-28</v>
      </c>
      <c r="I3995" s="64">
        <f>DATEVALUE(tblLaborEntries[[#This Row],[Work date]])</f>
        <v>45869.0</v>
      </c>
    </row>
    <row r="3996" spans="1:9" ht="15" x14ac:dyDescent="0.25">
      <c r="A3996" s="53" t="inlineStr">
        <is>
          <t>LAB-003995</t>
        </is>
      </c>
      <c r="B3996" s="53" t="inlineStr">
        <is>
          <t>WP-01757</t>
        </is>
      </c>
      <c r="C3996" s="53" t="inlineStr">
        <is>
          <t>TECH-018</t>
        </is>
      </c>
      <c r="D3996" s="53" t="inlineStr">
        <is>
          <t>Powerplant</t>
        </is>
      </c>
      <c r="E3996" s="53" t="inlineStr">
        <is>
          <t>2025-08-01</t>
        </is>
      </c>
      <c r="F3996" s="53">
        <v>5.1</v>
      </c>
      <c r="G3996" s="53">
        <v>0</v>
      </c>
      <c r="H3996" s="51" t="str">
        <f>TEXT(tblLaborEntries[[#This Row],[Work date serial]]-WEEKDAY(tblLaborEntries[[#This Row],[Work date serial]],3),"yyyy-mm-dd")</f>
        <v>2025-07-28</v>
      </c>
      <c r="I3996" s="64">
        <f>DATEVALUE(tblLaborEntries[[#This Row],[Work date]])</f>
        <v>45870.0</v>
      </c>
    </row>
    <row r="3997" spans="1:9" ht="15" x14ac:dyDescent="0.25">
      <c r="A3997" s="53" t="inlineStr">
        <is>
          <t>LAB-003996</t>
        </is>
      </c>
      <c r="B3997" s="53" t="inlineStr">
        <is>
          <t>WP-01758</t>
        </is>
      </c>
      <c r="C3997" s="53" t="inlineStr">
        <is>
          <t>TECH-030</t>
        </is>
      </c>
      <c r="D3997" s="53" t="inlineStr">
        <is>
          <t>Powerplant</t>
        </is>
      </c>
      <c r="E3997" s="53" t="inlineStr">
        <is>
          <t>2025-06-29</t>
        </is>
      </c>
      <c r="F3997" s="53">
        <v>2.8</v>
      </c>
      <c r="G3997" s="53">
        <v>0</v>
      </c>
      <c r="H3997" s="51" t="str">
        <f>TEXT(tblLaborEntries[[#This Row],[Work date serial]]-WEEKDAY(tblLaborEntries[[#This Row],[Work date serial]],3),"yyyy-mm-dd")</f>
        <v>2025-06-23</v>
      </c>
      <c r="I3997" s="64">
        <f>DATEVALUE(tblLaborEntries[[#This Row],[Work date]])</f>
        <v>45837.0</v>
      </c>
    </row>
    <row r="3998" spans="1:9" ht="15" x14ac:dyDescent="0.25">
      <c r="A3998" s="53" t="inlineStr">
        <is>
          <t>LAB-003997</t>
        </is>
      </c>
      <c r="B3998" s="53" t="inlineStr">
        <is>
          <t>WP-01758</t>
        </is>
      </c>
      <c r="C3998" s="53" t="inlineStr">
        <is>
          <t>TECH-018</t>
        </is>
      </c>
      <c r="D3998" s="53" t="inlineStr">
        <is>
          <t>Powerplant</t>
        </is>
      </c>
      <c r="E3998" s="53" t="inlineStr">
        <is>
          <t>2025-06-30</t>
        </is>
      </c>
      <c r="F3998" s="53">
        <v>4.3</v>
      </c>
      <c r="G3998" s="53">
        <v>0</v>
      </c>
      <c r="H3998" s="51" t="str">
        <f>TEXT(tblLaborEntries[[#This Row],[Work date serial]]-WEEKDAY(tblLaborEntries[[#This Row],[Work date serial]],3),"yyyy-mm-dd")</f>
        <v>2025-06-30</v>
      </c>
      <c r="I3998" s="64">
        <f>DATEVALUE(tblLaborEntries[[#This Row],[Work date]])</f>
        <v>45838.0</v>
      </c>
    </row>
    <row r="3999" spans="1:9" ht="15" x14ac:dyDescent="0.25">
      <c r="A3999" s="53" t="inlineStr">
        <is>
          <t>LAB-003998</t>
        </is>
      </c>
      <c r="B3999" s="53" t="inlineStr">
        <is>
          <t>WP-01759</t>
        </is>
      </c>
      <c r="C3999" s="53" t="inlineStr">
        <is>
          <t>TECH-034</t>
        </is>
      </c>
      <c r="D3999" s="53" t="inlineStr">
        <is>
          <t>Electrical</t>
        </is>
      </c>
      <c r="E3999" s="53" t="inlineStr">
        <is>
          <t>2025-07-24</t>
        </is>
      </c>
      <c r="F3999" s="53">
        <v>9.9</v>
      </c>
      <c r="G3999" s="53">
        <v>1.9</v>
      </c>
      <c r="H3999" s="51" t="str">
        <f>TEXT(tblLaborEntries[[#This Row],[Work date serial]]-WEEKDAY(tblLaborEntries[[#This Row],[Work date serial]],3),"yyyy-mm-dd")</f>
        <v>2025-07-21</v>
      </c>
      <c r="I3999" s="64">
        <f>DATEVALUE(tblLaborEntries[[#This Row],[Work date]])</f>
        <v>45862.0</v>
      </c>
    </row>
    <row r="4000" spans="1:9" ht="15" x14ac:dyDescent="0.25">
      <c r="A4000" s="53" t="inlineStr">
        <is>
          <t>LAB-003999</t>
        </is>
      </c>
      <c r="B4000" s="53" t="inlineStr">
        <is>
          <t>WP-01759</t>
        </is>
      </c>
      <c r="C4000" s="53" t="inlineStr">
        <is>
          <t>TECH-034</t>
        </is>
      </c>
      <c r="D4000" s="53" t="inlineStr">
        <is>
          <t>Electrical</t>
        </is>
      </c>
      <c r="E4000" s="53" t="inlineStr">
        <is>
          <t>2025-07-25</t>
        </is>
      </c>
      <c r="F4000" s="53">
        <v>10.1</v>
      </c>
      <c r="G4000" s="53">
        <v>2.1</v>
      </c>
      <c r="H4000" s="51" t="str">
        <f>TEXT(tblLaborEntries[[#This Row],[Work date serial]]-WEEKDAY(tblLaborEntries[[#This Row],[Work date serial]],3),"yyyy-mm-dd")</f>
        <v>2025-07-21</v>
      </c>
      <c r="I4000" s="64">
        <f>DATEVALUE(tblLaborEntries[[#This Row],[Work date]])</f>
        <v>45863.0</v>
      </c>
    </row>
    <row r="4001" spans="1:9" ht="15" x14ac:dyDescent="0.25">
      <c r="A4001" s="53" t="inlineStr">
        <is>
          <t>LAB-004000</t>
        </is>
      </c>
      <c r="B4001" s="53" t="inlineStr">
        <is>
          <t>WP-01760</t>
        </is>
      </c>
      <c r="C4001" s="53" t="inlineStr">
        <is>
          <t>TECH-012</t>
        </is>
      </c>
      <c r="D4001" s="53" t="inlineStr">
        <is>
          <t>Powerplant</t>
        </is>
      </c>
      <c r="E4001" s="53" t="inlineStr">
        <is>
          <t>2024-08-30</t>
        </is>
      </c>
      <c r="F4001" s="53">
        <v>10.7</v>
      </c>
      <c r="G4001" s="53">
        <v>2.7</v>
      </c>
      <c r="H4001" s="51" t="str">
        <f>TEXT(tblLaborEntries[[#This Row],[Work date serial]]-WEEKDAY(tblLaborEntries[[#This Row],[Work date serial]],3),"yyyy-mm-dd")</f>
        <v>2024-08-26</v>
      </c>
      <c r="I4001" s="64">
        <f>DATEVALUE(tblLaborEntries[[#This Row],[Work date]])</f>
        <v>45534.0</v>
      </c>
    </row>
    <row r="4002" spans="1:9" ht="15" x14ac:dyDescent="0.25">
      <c r="A4002" s="53" t="inlineStr">
        <is>
          <t>LAB-004001</t>
        </is>
      </c>
      <c r="B4002" s="53" t="inlineStr">
        <is>
          <t>WP-01760</t>
        </is>
      </c>
      <c r="C4002" s="53" t="inlineStr">
        <is>
          <t>TECH-006</t>
        </is>
      </c>
      <c r="D4002" s="53" t="inlineStr">
        <is>
          <t>Powerplant</t>
        </is>
      </c>
      <c r="E4002" s="53" t="inlineStr">
        <is>
          <t>2024-08-31</t>
        </is>
      </c>
      <c r="F4002" s="53">
        <v>11.4</v>
      </c>
      <c r="G4002" s="53">
        <v>3.4</v>
      </c>
      <c r="H4002" s="51" t="str">
        <f>TEXT(tblLaborEntries[[#This Row],[Work date serial]]-WEEKDAY(tblLaborEntries[[#This Row],[Work date serial]],3),"yyyy-mm-dd")</f>
        <v>2024-08-26</v>
      </c>
      <c r="I4002" s="64">
        <f>DATEVALUE(tblLaborEntries[[#This Row],[Work date]])</f>
        <v>45535.0</v>
      </c>
    </row>
    <row r="4003" spans="1:9" ht="15" x14ac:dyDescent="0.25">
      <c r="A4003" s="53" t="inlineStr">
        <is>
          <t>LAB-004002</t>
        </is>
      </c>
      <c r="B4003" s="53" t="inlineStr">
        <is>
          <t>WP-01761</t>
        </is>
      </c>
      <c r="C4003" s="53" t="inlineStr">
        <is>
          <t>TECH-006</t>
        </is>
      </c>
      <c r="D4003" s="53" t="inlineStr">
        <is>
          <t>Powerplant</t>
        </is>
      </c>
      <c r="E4003" s="53" t="inlineStr">
        <is>
          <t>2025-02-25</t>
        </is>
      </c>
      <c r="F4003" s="53">
        <v>12</v>
      </c>
      <c r="G4003" s="53">
        <v>4</v>
      </c>
      <c r="H4003" s="51" t="str">
        <f>TEXT(tblLaborEntries[[#This Row],[Work date serial]]-WEEKDAY(tblLaborEntries[[#This Row],[Work date serial]],3),"yyyy-mm-dd")</f>
        <v>2025-02-24</v>
      </c>
      <c r="I4003" s="64">
        <f>DATEVALUE(tblLaborEntries[[#This Row],[Work date]])</f>
        <v>45713.0</v>
      </c>
    </row>
    <row r="4004" spans="1:9" ht="15" x14ac:dyDescent="0.25">
      <c r="A4004" s="53" t="inlineStr">
        <is>
          <t>LAB-004003</t>
        </is>
      </c>
      <c r="B4004" s="53" t="inlineStr">
        <is>
          <t>WP-01761</t>
        </is>
      </c>
      <c r="C4004" s="53" t="inlineStr">
        <is>
          <t>TECH-012</t>
        </is>
      </c>
      <c r="D4004" s="53" t="inlineStr">
        <is>
          <t>Powerplant</t>
        </is>
      </c>
      <c r="E4004" s="53" t="inlineStr">
        <is>
          <t>2025-02-25</t>
        </is>
      </c>
      <c r="F4004" s="53">
        <v>1.8</v>
      </c>
      <c r="G4004" s="53">
        <v>0</v>
      </c>
      <c r="H4004" s="51" t="str">
        <f>TEXT(tblLaborEntries[[#This Row],[Work date serial]]-WEEKDAY(tblLaborEntries[[#This Row],[Work date serial]],3),"yyyy-mm-dd")</f>
        <v>2025-02-24</v>
      </c>
      <c r="I4004" s="64">
        <f>DATEVALUE(tblLaborEntries[[#This Row],[Work date]])</f>
        <v>45713.0</v>
      </c>
    </row>
    <row r="4005" spans="1:9" ht="15" x14ac:dyDescent="0.25">
      <c r="A4005" s="53" t="inlineStr">
        <is>
          <t>LAB-004004</t>
        </is>
      </c>
      <c r="B4005" s="53" t="inlineStr">
        <is>
          <t>WP-01761</t>
        </is>
      </c>
      <c r="C4005" s="53" t="inlineStr">
        <is>
          <t>TECH-072</t>
        </is>
      </c>
      <c r="D4005" s="53" t="inlineStr">
        <is>
          <t>Powerplant</t>
        </is>
      </c>
      <c r="E4005" s="53" t="inlineStr">
        <is>
          <t>2025-02-25</t>
        </is>
      </c>
      <c r="F4005" s="53">
        <v>12</v>
      </c>
      <c r="G4005" s="53">
        <v>4</v>
      </c>
      <c r="H4005" s="51" t="str">
        <f>TEXT(tblLaborEntries[[#This Row],[Work date serial]]-WEEKDAY(tblLaborEntries[[#This Row],[Work date serial]],3),"yyyy-mm-dd")</f>
        <v>2025-02-24</v>
      </c>
      <c r="I4005" s="64">
        <f>DATEVALUE(tblLaborEntries[[#This Row],[Work date]])</f>
        <v>45713.0</v>
      </c>
    </row>
    <row r="4006" spans="1:9" ht="15" x14ac:dyDescent="0.25">
      <c r="A4006" s="53" t="inlineStr">
        <is>
          <t>LAB-004005</t>
        </is>
      </c>
      <c r="B4006" s="53" t="inlineStr">
        <is>
          <t>WP-01762</t>
        </is>
      </c>
      <c r="C4006" s="53" t="inlineStr">
        <is>
          <t>TECH-048</t>
        </is>
      </c>
      <c r="D4006" s="53" t="inlineStr">
        <is>
          <t>Powerplant</t>
        </is>
      </c>
      <c r="E4006" s="53" t="inlineStr">
        <is>
          <t>2024-10-20</t>
        </is>
      </c>
      <c r="F4006" s="53">
        <v>5.2</v>
      </c>
      <c r="G4006" s="53">
        <v>0</v>
      </c>
      <c r="H4006" s="51" t="str">
        <f>TEXT(tblLaborEntries[[#This Row],[Work date serial]]-WEEKDAY(tblLaborEntries[[#This Row],[Work date serial]],3),"yyyy-mm-dd")</f>
        <v>2024-10-14</v>
      </c>
      <c r="I4006" s="64">
        <f>DATEVALUE(tblLaborEntries[[#This Row],[Work date]])</f>
        <v>45585.0</v>
      </c>
    </row>
    <row r="4007" spans="1:9" ht="15" x14ac:dyDescent="0.25">
      <c r="A4007" s="53" t="inlineStr">
        <is>
          <t>LAB-004006</t>
        </is>
      </c>
      <c r="B4007" s="53" t="inlineStr">
        <is>
          <t>WP-01762</t>
        </is>
      </c>
      <c r="C4007" s="53" t="inlineStr">
        <is>
          <t>TECH-030</t>
        </is>
      </c>
      <c r="D4007" s="53" t="inlineStr">
        <is>
          <t>Powerplant</t>
        </is>
      </c>
      <c r="E4007" s="53" t="inlineStr">
        <is>
          <t>2024-10-21</t>
        </is>
      </c>
      <c r="F4007" s="53">
        <v>4.6</v>
      </c>
      <c r="G4007" s="53">
        <v>0</v>
      </c>
      <c r="H4007" s="51" t="str">
        <f>TEXT(tblLaborEntries[[#This Row],[Work date serial]]-WEEKDAY(tblLaborEntries[[#This Row],[Work date serial]],3),"yyyy-mm-dd")</f>
        <v>2024-10-21</v>
      </c>
      <c r="I4007" s="64">
        <f>DATEVALUE(tblLaborEntries[[#This Row],[Work date]])</f>
        <v>45586.0</v>
      </c>
    </row>
    <row r="4008" spans="1:9" ht="15" x14ac:dyDescent="0.25">
      <c r="A4008" s="53" t="inlineStr">
        <is>
          <t>LAB-004007</t>
        </is>
      </c>
      <c r="B4008" s="53" t="inlineStr">
        <is>
          <t>WP-01762</t>
        </is>
      </c>
      <c r="C4008" s="53" t="inlineStr">
        <is>
          <t>TECH-036</t>
        </is>
      </c>
      <c r="D4008" s="53" t="inlineStr">
        <is>
          <t>Powerplant</t>
        </is>
      </c>
      <c r="E4008" s="53" t="inlineStr">
        <is>
          <t>2024-10-22</t>
        </is>
      </c>
      <c r="F4008" s="53">
        <v>3.8</v>
      </c>
      <c r="G4008" s="53">
        <v>0</v>
      </c>
      <c r="H4008" s="51" t="str">
        <f>TEXT(tblLaborEntries[[#This Row],[Work date serial]]-WEEKDAY(tblLaborEntries[[#This Row],[Work date serial]],3),"yyyy-mm-dd")</f>
        <v>2024-10-21</v>
      </c>
      <c r="I4008" s="64">
        <f>DATEVALUE(tblLaborEntries[[#This Row],[Work date]])</f>
        <v>45587.0</v>
      </c>
    </row>
    <row r="4009" spans="1:9" ht="15" x14ac:dyDescent="0.25">
      <c r="A4009" s="53" t="inlineStr">
        <is>
          <t>LAB-004008</t>
        </is>
      </c>
      <c r="B4009" s="53" t="inlineStr">
        <is>
          <t>WP-01763</t>
        </is>
      </c>
      <c r="C4009" s="53" t="inlineStr">
        <is>
          <t>TECH-043</t>
        </is>
      </c>
      <c r="D4009" s="53" t="inlineStr">
        <is>
          <t>Airframe</t>
        </is>
      </c>
      <c r="E4009" s="53" t="inlineStr">
        <is>
          <t>2025-11-24</t>
        </is>
      </c>
      <c r="F4009" s="53">
        <v>3.2</v>
      </c>
      <c r="G4009" s="53">
        <v>0</v>
      </c>
      <c r="H4009" s="51" t="str">
        <f>TEXT(tblLaborEntries[[#This Row],[Work date serial]]-WEEKDAY(tblLaborEntries[[#This Row],[Work date serial]],3),"yyyy-mm-dd")</f>
        <v>2025-11-24</v>
      </c>
      <c r="I4009" s="64">
        <f>DATEVALUE(tblLaborEntries[[#This Row],[Work date]])</f>
        <v>45985.0</v>
      </c>
    </row>
    <row r="4010" spans="1:9" ht="15" x14ac:dyDescent="0.25">
      <c r="A4010" s="53" t="inlineStr">
        <is>
          <t>LAB-004009</t>
        </is>
      </c>
      <c r="B4010" s="53" t="inlineStr">
        <is>
          <t>WP-01764</t>
        </is>
      </c>
      <c r="C4010" s="53" t="inlineStr">
        <is>
          <t>TECH-056</t>
        </is>
      </c>
      <c r="D4010" s="53" t="inlineStr">
        <is>
          <t>Avionics</t>
        </is>
      </c>
      <c r="E4010" s="53" t="inlineStr">
        <is>
          <t>2025-10-26</t>
        </is>
      </c>
      <c r="F4010" s="53">
        <v>2.6</v>
      </c>
      <c r="G4010" s="53">
        <v>0</v>
      </c>
      <c r="H4010" s="51" t="str">
        <f>TEXT(tblLaborEntries[[#This Row],[Work date serial]]-WEEKDAY(tblLaborEntries[[#This Row],[Work date serial]],3),"yyyy-mm-dd")</f>
        <v>2025-10-20</v>
      </c>
      <c r="I4010" s="64">
        <f>DATEVALUE(tblLaborEntries[[#This Row],[Work date]])</f>
        <v>45956.0</v>
      </c>
    </row>
    <row r="4011" spans="1:9" ht="15" x14ac:dyDescent="0.25">
      <c r="A4011" s="53" t="inlineStr">
        <is>
          <t>LAB-004010</t>
        </is>
      </c>
      <c r="B4011" s="53" t="inlineStr">
        <is>
          <t>WP-01764</t>
        </is>
      </c>
      <c r="C4011" s="53" t="inlineStr">
        <is>
          <t>TECH-008</t>
        </is>
      </c>
      <c r="D4011" s="53" t="inlineStr">
        <is>
          <t>Avionics</t>
        </is>
      </c>
      <c r="E4011" s="53" t="inlineStr">
        <is>
          <t>2025-10-27</t>
        </is>
      </c>
      <c r="F4011" s="53">
        <v>3</v>
      </c>
      <c r="G4011" s="53">
        <v>0</v>
      </c>
      <c r="H4011" s="51" t="str">
        <f>TEXT(tblLaborEntries[[#This Row],[Work date serial]]-WEEKDAY(tblLaborEntries[[#This Row],[Work date serial]],3),"yyyy-mm-dd")</f>
        <v>2025-10-27</v>
      </c>
      <c r="I4011" s="64">
        <f>DATEVALUE(tblLaborEntries[[#This Row],[Work date]])</f>
        <v>45957.0</v>
      </c>
    </row>
    <row r="4012" spans="1:9" ht="15" x14ac:dyDescent="0.25">
      <c r="A4012" s="53" t="inlineStr">
        <is>
          <t>LAB-004011</t>
        </is>
      </c>
      <c r="B4012" s="53" t="inlineStr">
        <is>
          <t>WP-01764</t>
        </is>
      </c>
      <c r="C4012" s="53" t="inlineStr">
        <is>
          <t>TECH-002</t>
        </is>
      </c>
      <c r="D4012" s="53" t="inlineStr">
        <is>
          <t>Avionics</t>
        </is>
      </c>
      <c r="E4012" s="53" t="inlineStr">
        <is>
          <t>2025-10-28</t>
        </is>
      </c>
      <c r="F4012" s="53">
        <v>2.3</v>
      </c>
      <c r="G4012" s="53">
        <v>0</v>
      </c>
      <c r="H4012" s="51" t="str">
        <f>TEXT(tblLaborEntries[[#This Row],[Work date serial]]-WEEKDAY(tblLaborEntries[[#This Row],[Work date serial]],3),"yyyy-mm-dd")</f>
        <v>2025-10-27</v>
      </c>
      <c r="I4012" s="64">
        <f>DATEVALUE(tblLaborEntries[[#This Row],[Work date]])</f>
        <v>45958.0</v>
      </c>
    </row>
    <row r="4013" spans="1:9" ht="15" x14ac:dyDescent="0.25">
      <c r="A4013" s="53" t="inlineStr">
        <is>
          <t>LAB-004012</t>
        </is>
      </c>
      <c r="B4013" s="53" t="inlineStr">
        <is>
          <t>WP-01765</t>
        </is>
      </c>
      <c r="C4013" s="53" t="inlineStr">
        <is>
          <t>TECH-003</t>
        </is>
      </c>
      <c r="D4013" s="53" t="inlineStr">
        <is>
          <t>Hydraulics</t>
        </is>
      </c>
      <c r="E4013" s="53" t="inlineStr">
        <is>
          <t>2024-12-25</t>
        </is>
      </c>
      <c r="F4013" s="53">
        <v>7.4</v>
      </c>
      <c r="G4013" s="53">
        <v>0</v>
      </c>
      <c r="H4013" s="51" t="str">
        <f>TEXT(tblLaborEntries[[#This Row],[Work date serial]]-WEEKDAY(tblLaborEntries[[#This Row],[Work date serial]],3),"yyyy-mm-dd")</f>
        <v>2024-12-23</v>
      </c>
      <c r="I4013" s="64">
        <f>DATEVALUE(tblLaborEntries[[#This Row],[Work date]])</f>
        <v>45651.0</v>
      </c>
    </row>
    <row r="4014" spans="1:9" ht="15" x14ac:dyDescent="0.25">
      <c r="A4014" s="53" t="inlineStr">
        <is>
          <t>LAB-004013</t>
        </is>
      </c>
      <c r="B4014" s="53" t="inlineStr">
        <is>
          <t>WP-01766</t>
        </is>
      </c>
      <c r="C4014" s="53" t="inlineStr">
        <is>
          <t>TECH-074</t>
        </is>
      </c>
      <c r="D4014" s="53" t="inlineStr">
        <is>
          <t>Avionics</t>
        </is>
      </c>
      <c r="E4014" s="53" t="inlineStr">
        <is>
          <t>2025-04-08</t>
        </is>
      </c>
      <c r="F4014" s="53">
        <v>1.4</v>
      </c>
      <c r="G4014" s="53">
        <v>0</v>
      </c>
      <c r="H4014" s="51" t="str">
        <f>TEXT(tblLaborEntries[[#This Row],[Work date serial]]-WEEKDAY(tblLaborEntries[[#This Row],[Work date serial]],3),"yyyy-mm-dd")</f>
        <v>2025-04-07</v>
      </c>
      <c r="I4014" s="64">
        <f>DATEVALUE(tblLaborEntries[[#This Row],[Work date]])</f>
        <v>45755.0</v>
      </c>
    </row>
    <row r="4015" spans="1:9" ht="15" x14ac:dyDescent="0.25">
      <c r="A4015" s="53" t="inlineStr">
        <is>
          <t>LAB-004014</t>
        </is>
      </c>
      <c r="B4015" s="53" t="inlineStr">
        <is>
          <t>WP-01766</t>
        </is>
      </c>
      <c r="C4015" s="53" t="inlineStr">
        <is>
          <t>TECH-062</t>
        </is>
      </c>
      <c r="D4015" s="53" t="inlineStr">
        <is>
          <t>Avionics</t>
        </is>
      </c>
      <c r="E4015" s="53" t="inlineStr">
        <is>
          <t>2025-04-09</t>
        </is>
      </c>
      <c r="F4015" s="53">
        <v>1.2</v>
      </c>
      <c r="G4015" s="53">
        <v>0</v>
      </c>
      <c r="H4015" s="51" t="str">
        <f>TEXT(tblLaborEntries[[#This Row],[Work date serial]]-WEEKDAY(tblLaborEntries[[#This Row],[Work date serial]],3),"yyyy-mm-dd")</f>
        <v>2025-04-07</v>
      </c>
      <c r="I4015" s="64">
        <f>DATEVALUE(tblLaborEntries[[#This Row],[Work date]])</f>
        <v>45756.0</v>
      </c>
    </row>
    <row r="4016" spans="1:9" ht="15" x14ac:dyDescent="0.25">
      <c r="A4016" s="53" t="inlineStr">
        <is>
          <t>LAB-004015</t>
        </is>
      </c>
      <c r="B4016" s="53" t="inlineStr">
        <is>
          <t>WP-01767</t>
        </is>
      </c>
      <c r="C4016" s="53" t="inlineStr">
        <is>
          <t>TECH-026</t>
        </is>
      </c>
      <c r="D4016" s="53" t="inlineStr">
        <is>
          <t>Avionics</t>
        </is>
      </c>
      <c r="E4016" s="53" t="inlineStr">
        <is>
          <t>2024-04-03</t>
        </is>
      </c>
      <c r="F4016" s="53">
        <v>2</v>
      </c>
      <c r="G4016" s="53">
        <v>0</v>
      </c>
      <c r="H4016" s="51" t="str">
        <f>TEXT(tblLaborEntries[[#This Row],[Work date serial]]-WEEKDAY(tblLaborEntries[[#This Row],[Work date serial]],3),"yyyy-mm-dd")</f>
        <v>2024-04-01</v>
      </c>
      <c r="I4016" s="64">
        <f>DATEVALUE(tblLaborEntries[[#This Row],[Work date]])</f>
        <v>45385.0</v>
      </c>
    </row>
    <row r="4017" spans="1:9" ht="15" x14ac:dyDescent="0.25">
      <c r="A4017" s="53" t="inlineStr">
        <is>
          <t>LAB-004016</t>
        </is>
      </c>
      <c r="B4017" s="53" t="inlineStr">
        <is>
          <t>WP-01767</t>
        </is>
      </c>
      <c r="C4017" s="53" t="inlineStr">
        <is>
          <t>TECH-038</t>
        </is>
      </c>
      <c r="D4017" s="53" t="inlineStr">
        <is>
          <t>Avionics</t>
        </is>
      </c>
      <c r="E4017" s="53" t="inlineStr">
        <is>
          <t>2024-04-04</t>
        </is>
      </c>
      <c r="F4017" s="53">
        <v>2</v>
      </c>
      <c r="G4017" s="53">
        <v>0</v>
      </c>
      <c r="H4017" s="51" t="str">
        <f>TEXT(tblLaborEntries[[#This Row],[Work date serial]]-WEEKDAY(tblLaborEntries[[#This Row],[Work date serial]],3),"yyyy-mm-dd")</f>
        <v>2024-04-01</v>
      </c>
      <c r="I4017" s="64">
        <f>DATEVALUE(tblLaborEntries[[#This Row],[Work date]])</f>
        <v>45386.0</v>
      </c>
    </row>
    <row r="4018" spans="1:9" ht="15" x14ac:dyDescent="0.25">
      <c r="A4018" s="53" t="inlineStr">
        <is>
          <t>LAB-004017</t>
        </is>
      </c>
      <c r="B4018" s="53" t="inlineStr">
        <is>
          <t>WP-01767</t>
        </is>
      </c>
      <c r="C4018" s="53" t="inlineStr">
        <is>
          <t>TECH-074</t>
        </is>
      </c>
      <c r="D4018" s="53" t="inlineStr">
        <is>
          <t>Avionics</t>
        </is>
      </c>
      <c r="E4018" s="53" t="inlineStr">
        <is>
          <t>2024-04-05</t>
        </is>
      </c>
      <c r="F4018" s="53">
        <v>1.6</v>
      </c>
      <c r="G4018" s="53">
        <v>0</v>
      </c>
      <c r="H4018" s="51" t="str">
        <f>TEXT(tblLaborEntries[[#This Row],[Work date serial]]-WEEKDAY(tblLaborEntries[[#This Row],[Work date serial]],3),"yyyy-mm-dd")</f>
        <v>2024-04-01</v>
      </c>
      <c r="I4018" s="64">
        <f>DATEVALUE(tblLaborEntries[[#This Row],[Work date]])</f>
        <v>45387.0</v>
      </c>
    </row>
    <row r="4019" spans="1:9" ht="15" x14ac:dyDescent="0.25">
      <c r="A4019" s="53" t="inlineStr">
        <is>
          <t>LAB-004018</t>
        </is>
      </c>
      <c r="B4019" s="53" t="inlineStr">
        <is>
          <t>WP-01768</t>
        </is>
      </c>
      <c r="C4019" s="53" t="inlineStr">
        <is>
          <t>TECH-002</t>
        </is>
      </c>
      <c r="D4019" s="53" t="inlineStr">
        <is>
          <t>Avionics</t>
        </is>
      </c>
      <c r="E4019" s="53" t="inlineStr">
        <is>
          <t>2024-07-25</t>
        </is>
      </c>
      <c r="F4019" s="53">
        <v>1.2</v>
      </c>
      <c r="G4019" s="53">
        <v>0</v>
      </c>
      <c r="H4019" s="51" t="str">
        <f>TEXT(tblLaborEntries[[#This Row],[Work date serial]]-WEEKDAY(tblLaborEntries[[#This Row],[Work date serial]],3),"yyyy-mm-dd")</f>
        <v>2024-07-22</v>
      </c>
      <c r="I4019" s="64">
        <f>DATEVALUE(tblLaborEntries[[#This Row],[Work date]])</f>
        <v>45498.0</v>
      </c>
    </row>
    <row r="4020" spans="1:9" ht="15" x14ac:dyDescent="0.25">
      <c r="A4020" s="53" t="inlineStr">
        <is>
          <t>LAB-004019</t>
        </is>
      </c>
      <c r="B4020" s="53" t="inlineStr">
        <is>
          <t>WP-01768</t>
        </is>
      </c>
      <c r="C4020" s="53" t="inlineStr">
        <is>
          <t>TECH-002</t>
        </is>
      </c>
      <c r="D4020" s="53" t="inlineStr">
        <is>
          <t>Avionics</t>
        </is>
      </c>
      <c r="E4020" s="53" t="inlineStr">
        <is>
          <t>2024-07-26</t>
        </is>
      </c>
      <c r="F4020" s="53">
        <v>1.5</v>
      </c>
      <c r="G4020" s="53">
        <v>0</v>
      </c>
      <c r="H4020" s="51" t="str">
        <f>TEXT(tblLaborEntries[[#This Row],[Work date serial]]-WEEKDAY(tblLaborEntries[[#This Row],[Work date serial]],3),"yyyy-mm-dd")</f>
        <v>2024-07-22</v>
      </c>
      <c r="I4020" s="64">
        <f>DATEVALUE(tblLaborEntries[[#This Row],[Work date]])</f>
        <v>45499.0</v>
      </c>
    </row>
    <row r="4021" spans="1:9" ht="15" x14ac:dyDescent="0.25">
      <c r="A4021" s="53" t="inlineStr">
        <is>
          <t>LAB-004020</t>
        </is>
      </c>
      <c r="B4021" s="53" t="inlineStr">
        <is>
          <t>WP-01768</t>
        </is>
      </c>
      <c r="C4021" s="53" t="inlineStr">
        <is>
          <t>TECH-032</t>
        </is>
      </c>
      <c r="D4021" s="53" t="inlineStr">
        <is>
          <t>Avionics</t>
        </is>
      </c>
      <c r="E4021" s="53" t="inlineStr">
        <is>
          <t>2024-07-27</t>
        </is>
      </c>
      <c r="F4021" s="53">
        <v>1.4</v>
      </c>
      <c r="G4021" s="53">
        <v>0</v>
      </c>
      <c r="H4021" s="51" t="str">
        <f>TEXT(tblLaborEntries[[#This Row],[Work date serial]]-WEEKDAY(tblLaborEntries[[#This Row],[Work date serial]],3),"yyyy-mm-dd")</f>
        <v>2024-07-22</v>
      </c>
      <c r="I4021" s="64">
        <f>DATEVALUE(tblLaborEntries[[#This Row],[Work date]])</f>
        <v>45500.0</v>
      </c>
    </row>
    <row r="4022" spans="1:9" ht="15" x14ac:dyDescent="0.25">
      <c r="A4022" s="53" t="inlineStr">
        <is>
          <t>LAB-004021</t>
        </is>
      </c>
      <c r="B4022" s="53" t="inlineStr">
        <is>
          <t>WP-01769</t>
        </is>
      </c>
      <c r="C4022" s="53" t="inlineStr">
        <is>
          <t>TECH-049</t>
        </is>
      </c>
      <c r="D4022" s="53" t="inlineStr">
        <is>
          <t>Airframe</t>
        </is>
      </c>
      <c r="E4022" s="53" t="inlineStr">
        <is>
          <t>2024-04-13</t>
        </is>
      </c>
      <c r="F4022" s="53">
        <v>3.8</v>
      </c>
      <c r="G4022" s="53">
        <v>0</v>
      </c>
      <c r="H4022" s="51" t="str">
        <f>TEXT(tblLaborEntries[[#This Row],[Work date serial]]-WEEKDAY(tblLaborEntries[[#This Row],[Work date serial]],3),"yyyy-mm-dd")</f>
        <v>2024-04-08</v>
      </c>
      <c r="I4022" s="64">
        <f>DATEVALUE(tblLaborEntries[[#This Row],[Work date]])</f>
        <v>45395.0</v>
      </c>
    </row>
    <row r="4023" spans="1:9" ht="15" x14ac:dyDescent="0.25">
      <c r="A4023" s="53" t="inlineStr">
        <is>
          <t>LAB-004022</t>
        </is>
      </c>
      <c r="B4023" s="53" t="inlineStr">
        <is>
          <t>WP-01769</t>
        </is>
      </c>
      <c r="C4023" s="53" t="inlineStr">
        <is>
          <t>TECH-019</t>
        </is>
      </c>
      <c r="D4023" s="53" t="inlineStr">
        <is>
          <t>Airframe</t>
        </is>
      </c>
      <c r="E4023" s="53" t="inlineStr">
        <is>
          <t>2024-04-14</t>
        </is>
      </c>
      <c r="F4023" s="53">
        <v>3.8</v>
      </c>
      <c r="G4023" s="53">
        <v>0</v>
      </c>
      <c r="H4023" s="51" t="str">
        <f>TEXT(tblLaborEntries[[#This Row],[Work date serial]]-WEEKDAY(tblLaborEntries[[#This Row],[Work date serial]],3),"yyyy-mm-dd")</f>
        <v>2024-04-08</v>
      </c>
      <c r="I4023" s="64">
        <f>DATEVALUE(tblLaborEntries[[#This Row],[Work date]])</f>
        <v>45396.0</v>
      </c>
    </row>
    <row r="4024" spans="1:9" ht="15" x14ac:dyDescent="0.25">
      <c r="A4024" s="53" t="inlineStr">
        <is>
          <t>LAB-004023</t>
        </is>
      </c>
      <c r="B4024" s="53" t="inlineStr">
        <is>
          <t>WP-01769</t>
        </is>
      </c>
      <c r="C4024" s="53" t="inlineStr">
        <is>
          <t>TECH-049</t>
        </is>
      </c>
      <c r="D4024" s="53" t="inlineStr">
        <is>
          <t>Airframe</t>
        </is>
      </c>
      <c r="E4024" s="53" t="inlineStr">
        <is>
          <t>2024-04-15</t>
        </is>
      </c>
      <c r="F4024" s="53">
        <v>4.3</v>
      </c>
      <c r="G4024" s="53">
        <v>0</v>
      </c>
      <c r="H4024" s="51" t="str">
        <f>TEXT(tblLaborEntries[[#This Row],[Work date serial]]-WEEKDAY(tblLaborEntries[[#This Row],[Work date serial]],3),"yyyy-mm-dd")</f>
        <v>2024-04-15</v>
      </c>
      <c r="I4024" s="64">
        <f>DATEVALUE(tblLaborEntries[[#This Row],[Work date]])</f>
        <v>45397.0</v>
      </c>
    </row>
    <row r="4025" spans="1:9" ht="15" x14ac:dyDescent="0.25">
      <c r="A4025" s="53" t="inlineStr">
        <is>
          <t>LAB-004024</t>
        </is>
      </c>
      <c r="B4025" s="53" t="inlineStr">
        <is>
          <t>WP-01770</t>
        </is>
      </c>
      <c r="C4025" s="53" t="inlineStr">
        <is>
          <t>TECH-050</t>
        </is>
      </c>
      <c r="D4025" s="53" t="inlineStr">
        <is>
          <t>Avionics</t>
        </is>
      </c>
      <c r="E4025" s="53" t="inlineStr">
        <is>
          <t>2024-05-14</t>
        </is>
      </c>
      <c r="F4025" s="53">
        <v>1.9</v>
      </c>
      <c r="G4025" s="53">
        <v>0</v>
      </c>
      <c r="H4025" s="51" t="str">
        <f>TEXT(tblLaborEntries[[#This Row],[Work date serial]]-WEEKDAY(tblLaborEntries[[#This Row],[Work date serial]],3),"yyyy-mm-dd")</f>
        <v>2024-05-13</v>
      </c>
      <c r="I4025" s="64">
        <f>DATEVALUE(tblLaborEntries[[#This Row],[Work date]])</f>
        <v>45426.0</v>
      </c>
    </row>
    <row r="4026" spans="1:9" ht="15" x14ac:dyDescent="0.25">
      <c r="A4026" s="53" t="inlineStr">
        <is>
          <t>LAB-004025</t>
        </is>
      </c>
      <c r="B4026" s="53" t="inlineStr">
        <is>
          <t>WP-01770</t>
        </is>
      </c>
      <c r="C4026" s="53" t="inlineStr">
        <is>
          <t>TECH-062</t>
        </is>
      </c>
      <c r="D4026" s="53" t="inlineStr">
        <is>
          <t>Avionics</t>
        </is>
      </c>
      <c r="E4026" s="53" t="inlineStr">
        <is>
          <t>2024-05-15</t>
        </is>
      </c>
      <c r="F4026" s="53">
        <v>2.7</v>
      </c>
      <c r="G4026" s="53">
        <v>0</v>
      </c>
      <c r="H4026" s="51" t="str">
        <f>TEXT(tblLaborEntries[[#This Row],[Work date serial]]-WEEKDAY(tblLaborEntries[[#This Row],[Work date serial]],3),"yyyy-mm-dd")</f>
        <v>2024-05-13</v>
      </c>
      <c r="I4026" s="64">
        <f>DATEVALUE(tblLaborEntries[[#This Row],[Work date]])</f>
        <v>45427.0</v>
      </c>
    </row>
    <row r="4027" spans="1:9" ht="15" x14ac:dyDescent="0.25">
      <c r="A4027" s="53" t="inlineStr">
        <is>
          <t>LAB-004026</t>
        </is>
      </c>
      <c r="B4027" s="53" t="inlineStr">
        <is>
          <t>WP-01771</t>
        </is>
      </c>
      <c r="C4027" s="53" t="inlineStr">
        <is>
          <t>TECH-062</t>
        </is>
      </c>
      <c r="D4027" s="53" t="inlineStr">
        <is>
          <t>Avionics</t>
        </is>
      </c>
      <c r="E4027" s="53" t="inlineStr">
        <is>
          <t>2024-08-28</t>
        </is>
      </c>
      <c r="F4027" s="53">
        <v>6.5</v>
      </c>
      <c r="G4027" s="53">
        <v>0</v>
      </c>
      <c r="H4027" s="51" t="str">
        <f>TEXT(tblLaborEntries[[#This Row],[Work date serial]]-WEEKDAY(tblLaborEntries[[#This Row],[Work date serial]],3),"yyyy-mm-dd")</f>
        <v>2024-08-26</v>
      </c>
      <c r="I4027" s="64">
        <f>DATEVALUE(tblLaborEntries[[#This Row],[Work date]])</f>
        <v>45532.0</v>
      </c>
    </row>
    <row r="4028" spans="1:9" ht="15" x14ac:dyDescent="0.25">
      <c r="A4028" s="53" t="inlineStr">
        <is>
          <t>LAB-004027</t>
        </is>
      </c>
      <c r="B4028" s="53" t="inlineStr">
        <is>
          <t>WP-01772</t>
        </is>
      </c>
      <c r="C4028" s="53" t="inlineStr">
        <is>
          <t>TECH-055</t>
        </is>
      </c>
      <c r="D4028" s="53" t="inlineStr">
        <is>
          <t>Airframe</t>
        </is>
      </c>
      <c r="E4028" s="53" t="inlineStr">
        <is>
          <t>2024-09-05</t>
        </is>
      </c>
      <c r="F4028" s="53">
        <v>2.3</v>
      </c>
      <c r="G4028" s="53">
        <v>0</v>
      </c>
      <c r="H4028" s="51" t="str">
        <f>TEXT(tblLaborEntries[[#This Row],[Work date serial]]-WEEKDAY(tblLaborEntries[[#This Row],[Work date serial]],3),"yyyy-mm-dd")</f>
        <v>2024-09-02</v>
      </c>
      <c r="I4028" s="64">
        <f>DATEVALUE(tblLaborEntries[[#This Row],[Work date]])</f>
        <v>45540.0</v>
      </c>
    </row>
    <row r="4029" spans="1:9" ht="15" x14ac:dyDescent="0.25">
      <c r="A4029" s="53" t="inlineStr">
        <is>
          <t>LAB-004028</t>
        </is>
      </c>
      <c r="B4029" s="53" t="inlineStr">
        <is>
          <t>WP-01773</t>
        </is>
      </c>
      <c r="C4029" s="53" t="inlineStr">
        <is>
          <t>TECH-062</t>
        </is>
      </c>
      <c r="D4029" s="53" t="inlineStr">
        <is>
          <t>Avionics</t>
        </is>
      </c>
      <c r="E4029" s="53" t="inlineStr">
        <is>
          <t>2025-12-21</t>
        </is>
      </c>
      <c r="F4029" s="53">
        <v>9.8</v>
      </c>
      <c r="G4029" s="53">
        <v>4</v>
      </c>
      <c r="H4029" s="51" t="str">
        <f>TEXT(tblLaborEntries[[#This Row],[Work date serial]]-WEEKDAY(tblLaborEntries[[#This Row],[Work date serial]],3),"yyyy-mm-dd")</f>
        <v>2025-12-15</v>
      </c>
      <c r="I4029" s="64">
        <f>DATEVALUE(tblLaborEntries[[#This Row],[Work date]])</f>
        <v>46012.0</v>
      </c>
    </row>
    <row r="4030" spans="1:9" ht="15" x14ac:dyDescent="0.25">
      <c r="A4030" s="53" t="inlineStr">
        <is>
          <t>LAB-004029</t>
        </is>
      </c>
      <c r="B4030" s="53" t="inlineStr">
        <is>
          <t>WP-01774</t>
        </is>
      </c>
      <c r="C4030" s="53" t="inlineStr">
        <is>
          <t>TECH-061</t>
        </is>
      </c>
      <c r="D4030" s="53" t="inlineStr">
        <is>
          <t>Airframe</t>
        </is>
      </c>
      <c r="E4030" s="53" t="inlineStr">
        <is>
          <t>2024-03-08</t>
        </is>
      </c>
      <c r="F4030" s="53">
        <v>7.6</v>
      </c>
      <c r="G4030" s="53">
        <v>0.5</v>
      </c>
      <c r="H4030" s="51" t="str">
        <f>TEXT(tblLaborEntries[[#This Row],[Work date serial]]-WEEKDAY(tblLaborEntries[[#This Row],[Work date serial]],3),"yyyy-mm-dd")</f>
        <v>2024-03-04</v>
      </c>
      <c r="I4030" s="64">
        <f>DATEVALUE(tblLaborEntries[[#This Row],[Work date]])</f>
        <v>45359.0</v>
      </c>
    </row>
    <row r="4031" spans="1:9" ht="15" x14ac:dyDescent="0.25">
      <c r="A4031" s="53" t="inlineStr">
        <is>
          <t>LAB-004030</t>
        </is>
      </c>
      <c r="B4031" s="53" t="inlineStr">
        <is>
          <t>WP-01775</t>
        </is>
      </c>
      <c r="C4031" s="53" t="inlineStr">
        <is>
          <t>TECH-048</t>
        </is>
      </c>
      <c r="D4031" s="53" t="inlineStr">
        <is>
          <t>Powerplant</t>
        </is>
      </c>
      <c r="E4031" s="53" t="inlineStr">
        <is>
          <t>2024-03-04</t>
        </is>
      </c>
      <c r="F4031" s="53">
        <v>11.6</v>
      </c>
      <c r="G4031" s="53">
        <v>3.6</v>
      </c>
      <c r="H4031" s="51" t="str">
        <f>TEXT(tblLaborEntries[[#This Row],[Work date serial]]-WEEKDAY(tblLaborEntries[[#This Row],[Work date serial]],3),"yyyy-mm-dd")</f>
        <v>2024-03-04</v>
      </c>
      <c r="I4031" s="64">
        <f>DATEVALUE(tblLaborEntries[[#This Row],[Work date]])</f>
        <v>45355.0</v>
      </c>
    </row>
    <row r="4032" spans="1:9" ht="15" x14ac:dyDescent="0.25">
      <c r="A4032" s="53" t="inlineStr">
        <is>
          <t>LAB-004031</t>
        </is>
      </c>
      <c r="B4032" s="53" t="inlineStr">
        <is>
          <t>WP-01776</t>
        </is>
      </c>
      <c r="C4032" s="53" t="inlineStr">
        <is>
          <t>TECH-043</t>
        </is>
      </c>
      <c r="D4032" s="53" t="inlineStr">
        <is>
          <t>Airframe</t>
        </is>
      </c>
      <c r="E4032" s="53" t="inlineStr">
        <is>
          <t>2024-04-13</t>
        </is>
      </c>
      <c r="F4032" s="53">
        <v>6.3</v>
      </c>
      <c r="G4032" s="53">
        <v>0</v>
      </c>
      <c r="H4032" s="51" t="str">
        <f>TEXT(tblLaborEntries[[#This Row],[Work date serial]]-WEEKDAY(tblLaborEntries[[#This Row],[Work date serial]],3),"yyyy-mm-dd")</f>
        <v>2024-04-08</v>
      </c>
      <c r="I4032" s="64">
        <f>DATEVALUE(tblLaborEntries[[#This Row],[Work date]])</f>
        <v>45395.0</v>
      </c>
    </row>
    <row r="4033" spans="1:9" ht="15" x14ac:dyDescent="0.25">
      <c r="A4033" s="53" t="inlineStr">
        <is>
          <t>LAB-004032</t>
        </is>
      </c>
      <c r="B4033" s="53" t="inlineStr">
        <is>
          <t>WP-01776</t>
        </is>
      </c>
      <c r="C4033" s="53" t="inlineStr">
        <is>
          <t>TECH-037</t>
        </is>
      </c>
      <c r="D4033" s="53" t="inlineStr">
        <is>
          <t>Airframe</t>
        </is>
      </c>
      <c r="E4033" s="53" t="inlineStr">
        <is>
          <t>2024-04-14</t>
        </is>
      </c>
      <c r="F4033" s="53">
        <v>4.4</v>
      </c>
      <c r="G4033" s="53">
        <v>0</v>
      </c>
      <c r="H4033" s="51" t="str">
        <f>TEXT(tblLaborEntries[[#This Row],[Work date serial]]-WEEKDAY(tblLaborEntries[[#This Row],[Work date serial]],3),"yyyy-mm-dd")</f>
        <v>2024-04-08</v>
      </c>
      <c r="I4033" s="64">
        <f>DATEVALUE(tblLaborEntries[[#This Row],[Work date]])</f>
        <v>45396.0</v>
      </c>
    </row>
    <row r="4034" spans="1:9" ht="15" x14ac:dyDescent="0.25">
      <c r="A4034" s="53" t="inlineStr">
        <is>
          <t>LAB-004033</t>
        </is>
      </c>
      <c r="B4034" s="53" t="inlineStr">
        <is>
          <t>WP-01777</t>
        </is>
      </c>
      <c r="C4034" s="53" t="inlineStr">
        <is>
          <t>TECH-006</t>
        </is>
      </c>
      <c r="D4034" s="53" t="inlineStr">
        <is>
          <t>Powerplant</t>
        </is>
      </c>
      <c r="E4034" s="53" t="inlineStr">
        <is>
          <t>2024-10-12</t>
        </is>
      </c>
      <c r="F4034" s="53">
        <v>7.8</v>
      </c>
      <c r="G4034" s="53">
        <v>2</v>
      </c>
      <c r="H4034" s="51" t="str">
        <f>TEXT(tblLaborEntries[[#This Row],[Work date serial]]-WEEKDAY(tblLaborEntries[[#This Row],[Work date serial]],3),"yyyy-mm-dd")</f>
        <v>2024-10-07</v>
      </c>
      <c r="I4034" s="64">
        <f>DATEVALUE(tblLaborEntries[[#This Row],[Work date]])</f>
        <v>45577.0</v>
      </c>
    </row>
    <row r="4035" spans="1:9" ht="15" x14ac:dyDescent="0.25">
      <c r="A4035" s="53" t="inlineStr">
        <is>
          <t>LAB-004034</t>
        </is>
      </c>
      <c r="B4035" s="53" t="inlineStr">
        <is>
          <t>WP-01778</t>
        </is>
      </c>
      <c r="C4035" s="53" t="inlineStr">
        <is>
          <t>TECH-032</t>
        </is>
      </c>
      <c r="D4035" s="53" t="inlineStr">
        <is>
          <t>Avionics</t>
        </is>
      </c>
      <c r="E4035" s="53" t="inlineStr">
        <is>
          <t>2025-03-22</t>
        </is>
      </c>
      <c r="F4035" s="53">
        <v>6</v>
      </c>
      <c r="G4035" s="53">
        <v>0</v>
      </c>
      <c r="H4035" s="51" t="str">
        <f>TEXT(tblLaborEntries[[#This Row],[Work date serial]]-WEEKDAY(tblLaborEntries[[#This Row],[Work date serial]],3),"yyyy-mm-dd")</f>
        <v>2025-03-17</v>
      </c>
      <c r="I4035" s="64">
        <f>DATEVALUE(tblLaborEntries[[#This Row],[Work date]])</f>
        <v>45738.0</v>
      </c>
    </row>
    <row r="4036" spans="1:9" ht="15" x14ac:dyDescent="0.25">
      <c r="A4036" s="53" t="inlineStr">
        <is>
          <t>LAB-004035</t>
        </is>
      </c>
      <c r="B4036" s="53" t="inlineStr">
        <is>
          <t>WP-01778</t>
        </is>
      </c>
      <c r="C4036" s="53" t="inlineStr">
        <is>
          <t>TECH-014</t>
        </is>
      </c>
      <c r="D4036" s="53" t="inlineStr">
        <is>
          <t>Avionics</t>
        </is>
      </c>
      <c r="E4036" s="53" t="inlineStr">
        <is>
          <t>2025-03-23</t>
        </is>
      </c>
      <c r="F4036" s="53">
        <v>4.5</v>
      </c>
      <c r="G4036" s="53">
        <v>0</v>
      </c>
      <c r="H4036" s="51" t="str">
        <f>TEXT(tblLaborEntries[[#This Row],[Work date serial]]-WEEKDAY(tblLaborEntries[[#This Row],[Work date serial]],3),"yyyy-mm-dd")</f>
        <v>2025-03-17</v>
      </c>
      <c r="I4036" s="64">
        <f>DATEVALUE(tblLaborEntries[[#This Row],[Work date]])</f>
        <v>45739.0</v>
      </c>
    </row>
    <row r="4037" spans="1:9" ht="15" x14ac:dyDescent="0.25">
      <c r="A4037" s="53" t="inlineStr">
        <is>
          <t>LAB-004036</t>
        </is>
      </c>
      <c r="B4037" s="53" t="inlineStr">
        <is>
          <t>WP-01779</t>
        </is>
      </c>
      <c r="C4037" s="53" t="inlineStr">
        <is>
          <t>TECH-031</t>
        </is>
      </c>
      <c r="D4037" s="53" t="inlineStr">
        <is>
          <t>Airframe</t>
        </is>
      </c>
      <c r="E4037" s="53" t="inlineStr">
        <is>
          <t>2025-06-27</t>
        </is>
      </c>
      <c r="F4037" s="53">
        <v>1.6</v>
      </c>
      <c r="G4037" s="53">
        <v>0</v>
      </c>
      <c r="H4037" s="51" t="str">
        <f>TEXT(tblLaborEntries[[#This Row],[Work date serial]]-WEEKDAY(tblLaborEntries[[#This Row],[Work date serial]],3),"yyyy-mm-dd")</f>
        <v>2025-06-23</v>
      </c>
      <c r="I4037" s="64">
        <f>DATEVALUE(tblLaborEntries[[#This Row],[Work date]])</f>
        <v>45835.0</v>
      </c>
    </row>
    <row r="4038" spans="1:9" ht="15" x14ac:dyDescent="0.25">
      <c r="A4038" s="53" t="inlineStr">
        <is>
          <t>LAB-004037</t>
        </is>
      </c>
      <c r="B4038" s="53" t="inlineStr">
        <is>
          <t>WP-01780</t>
        </is>
      </c>
      <c r="C4038" s="53" t="inlineStr">
        <is>
          <t>TECH-013</t>
        </is>
      </c>
      <c r="D4038" s="53" t="inlineStr">
        <is>
          <t>Airframe</t>
        </is>
      </c>
      <c r="E4038" s="53" t="inlineStr">
        <is>
          <t>2024-06-07</t>
        </is>
      </c>
      <c r="F4038" s="53">
        <v>5.6</v>
      </c>
      <c r="G4038" s="53">
        <v>0</v>
      </c>
      <c r="H4038" s="51" t="str">
        <f>TEXT(tblLaborEntries[[#This Row],[Work date serial]]-WEEKDAY(tblLaborEntries[[#This Row],[Work date serial]],3),"yyyy-mm-dd")</f>
        <v>2024-06-03</v>
      </c>
      <c r="I4038" s="64">
        <f>DATEVALUE(tblLaborEntries[[#This Row],[Work date]])</f>
        <v>45450.0</v>
      </c>
    </row>
    <row r="4039" spans="1:9" ht="15" x14ac:dyDescent="0.25">
      <c r="A4039" s="53" t="inlineStr">
        <is>
          <t>LAB-004038</t>
        </is>
      </c>
      <c r="B4039" s="53" t="inlineStr">
        <is>
          <t>WP-01780</t>
        </is>
      </c>
      <c r="C4039" s="53" t="inlineStr">
        <is>
          <t>TECH-001</t>
        </is>
      </c>
      <c r="D4039" s="53" t="inlineStr">
        <is>
          <t>Airframe</t>
        </is>
      </c>
      <c r="E4039" s="53" t="inlineStr">
        <is>
          <t>2024-06-08</t>
        </is>
      </c>
      <c r="F4039" s="53">
        <v>7.6</v>
      </c>
      <c r="G4039" s="53">
        <v>0</v>
      </c>
      <c r="H4039" s="51" t="str">
        <f>TEXT(tblLaborEntries[[#This Row],[Work date serial]]-WEEKDAY(tblLaborEntries[[#This Row],[Work date serial]],3),"yyyy-mm-dd")</f>
        <v>2024-06-03</v>
      </c>
      <c r="I4039" s="64">
        <f>DATEVALUE(tblLaborEntries[[#This Row],[Work date]])</f>
        <v>45451.0</v>
      </c>
    </row>
    <row r="4040" spans="1:9" ht="15" x14ac:dyDescent="0.25">
      <c r="A4040" s="53" t="inlineStr">
        <is>
          <t>LAB-004039</t>
        </is>
      </c>
      <c r="B4040" s="53" t="inlineStr">
        <is>
          <t>WP-01781</t>
        </is>
      </c>
      <c r="C4040" s="53" t="inlineStr">
        <is>
          <t>TECH-007</t>
        </is>
      </c>
      <c r="D4040" s="53" t="inlineStr">
        <is>
          <t>Airframe</t>
        </is>
      </c>
      <c r="E4040" s="53" t="inlineStr">
        <is>
          <t>2025-08-23</t>
        </is>
      </c>
      <c r="F4040" s="53">
        <v>4.5</v>
      </c>
      <c r="G4040" s="53">
        <v>0</v>
      </c>
      <c r="H4040" s="51" t="str">
        <f>TEXT(tblLaborEntries[[#This Row],[Work date serial]]-WEEKDAY(tblLaborEntries[[#This Row],[Work date serial]],3),"yyyy-mm-dd")</f>
        <v>2025-08-18</v>
      </c>
      <c r="I4040" s="64">
        <f>DATEVALUE(tblLaborEntries[[#This Row],[Work date]])</f>
        <v>45892.0</v>
      </c>
    </row>
    <row r="4041" spans="1:9" ht="15" x14ac:dyDescent="0.25">
      <c r="A4041" s="53" t="inlineStr">
        <is>
          <t>LAB-004040</t>
        </is>
      </c>
      <c r="B4041" s="53" t="inlineStr">
        <is>
          <t>WP-01781</t>
        </is>
      </c>
      <c r="C4041" s="53" t="inlineStr">
        <is>
          <t>TECH-049</t>
        </is>
      </c>
      <c r="D4041" s="53" t="inlineStr">
        <is>
          <t>Airframe</t>
        </is>
      </c>
      <c r="E4041" s="53" t="inlineStr">
        <is>
          <t>2025-08-24</t>
        </is>
      </c>
      <c r="F4041" s="53">
        <v>6.9</v>
      </c>
      <c r="G4041" s="53">
        <v>0</v>
      </c>
      <c r="H4041" s="51" t="str">
        <f>TEXT(tblLaborEntries[[#This Row],[Work date serial]]-WEEKDAY(tblLaborEntries[[#This Row],[Work date serial]],3),"yyyy-mm-dd")</f>
        <v>2025-08-18</v>
      </c>
      <c r="I4041" s="64">
        <f>DATEVALUE(tblLaborEntries[[#This Row],[Work date]])</f>
        <v>45893.0</v>
      </c>
    </row>
    <row r="4042" spans="1:9" ht="15" x14ac:dyDescent="0.25">
      <c r="A4042" s="53" t="inlineStr">
        <is>
          <t>LAB-004041</t>
        </is>
      </c>
      <c r="B4042" s="53" t="inlineStr">
        <is>
          <t>WP-01782</t>
        </is>
      </c>
      <c r="C4042" s="53" t="inlineStr">
        <is>
          <t>TECH-020</t>
        </is>
      </c>
      <c r="D4042" s="53" t="inlineStr">
        <is>
          <t>Avionics</t>
        </is>
      </c>
      <c r="E4042" s="53" t="inlineStr">
        <is>
          <t>2025-09-25</t>
        </is>
      </c>
      <c r="F4042" s="53">
        <v>2.5</v>
      </c>
      <c r="G4042" s="53">
        <v>0</v>
      </c>
      <c r="H4042" s="51" t="str">
        <f>TEXT(tblLaborEntries[[#This Row],[Work date serial]]-WEEKDAY(tblLaborEntries[[#This Row],[Work date serial]],3),"yyyy-mm-dd")</f>
        <v>2025-09-22</v>
      </c>
      <c r="I4042" s="64">
        <f>DATEVALUE(tblLaborEntries[[#This Row],[Work date]])</f>
        <v>45925.0</v>
      </c>
    </row>
    <row r="4043" spans="1:9" ht="15" x14ac:dyDescent="0.25">
      <c r="A4043" s="53" t="inlineStr">
        <is>
          <t>LAB-004042</t>
        </is>
      </c>
      <c r="B4043" s="53" t="inlineStr">
        <is>
          <t>WP-01782</t>
        </is>
      </c>
      <c r="C4043" s="53" t="inlineStr">
        <is>
          <t>TECH-062</t>
        </is>
      </c>
      <c r="D4043" s="53" t="inlineStr">
        <is>
          <t>Avionics</t>
        </is>
      </c>
      <c r="E4043" s="53" t="inlineStr">
        <is>
          <t>2025-09-26</t>
        </is>
      </c>
      <c r="F4043" s="53">
        <v>2</v>
      </c>
      <c r="G4043" s="53">
        <v>0</v>
      </c>
      <c r="H4043" s="51" t="str">
        <f>TEXT(tblLaborEntries[[#This Row],[Work date serial]]-WEEKDAY(tblLaborEntries[[#This Row],[Work date serial]],3),"yyyy-mm-dd")</f>
        <v>2025-09-22</v>
      </c>
      <c r="I4043" s="64">
        <f>DATEVALUE(tblLaborEntries[[#This Row],[Work date]])</f>
        <v>45926.0</v>
      </c>
    </row>
    <row r="4044" spans="1:9" ht="15" x14ac:dyDescent="0.25">
      <c r="A4044" s="53" t="inlineStr">
        <is>
          <t>LAB-004043</t>
        </is>
      </c>
      <c r="B4044" s="53" t="inlineStr">
        <is>
          <t>WP-01782</t>
        </is>
      </c>
      <c r="C4044" s="53" t="inlineStr">
        <is>
          <t>TECH-020</t>
        </is>
      </c>
      <c r="D4044" s="53" t="inlineStr">
        <is>
          <t>Avionics</t>
        </is>
      </c>
      <c r="E4044" s="53" t="inlineStr">
        <is>
          <t>2025-09-27</t>
        </is>
      </c>
      <c r="F4044" s="53">
        <v>2.4</v>
      </c>
      <c r="G4044" s="53">
        <v>0</v>
      </c>
      <c r="H4044" s="51" t="str">
        <f>TEXT(tblLaborEntries[[#This Row],[Work date serial]]-WEEKDAY(tblLaborEntries[[#This Row],[Work date serial]],3),"yyyy-mm-dd")</f>
        <v>2025-09-22</v>
      </c>
      <c r="I4044" s="64">
        <f>DATEVALUE(tblLaborEntries[[#This Row],[Work date]])</f>
        <v>45927.0</v>
      </c>
    </row>
    <row r="4045" spans="1:9" ht="15" x14ac:dyDescent="0.25">
      <c r="A4045" s="53" t="inlineStr">
        <is>
          <t>LAB-004044</t>
        </is>
      </c>
      <c r="B4045" s="53" t="inlineStr">
        <is>
          <t>WP-01783</t>
        </is>
      </c>
      <c r="C4045" s="53" t="inlineStr">
        <is>
          <t>TECH-065</t>
        </is>
      </c>
      <c r="D4045" s="53" t="inlineStr">
        <is>
          <t>Structures</t>
        </is>
      </c>
      <c r="E4045" s="53" t="inlineStr">
        <is>
          <t>2025-11-22</t>
        </is>
      </c>
      <c r="F4045" s="53">
        <v>6.1</v>
      </c>
      <c r="G4045" s="53">
        <v>0</v>
      </c>
      <c r="H4045" s="51" t="str">
        <f>TEXT(tblLaborEntries[[#This Row],[Work date serial]]-WEEKDAY(tblLaborEntries[[#This Row],[Work date serial]],3),"yyyy-mm-dd")</f>
        <v>2025-11-17</v>
      </c>
      <c r="I4045" s="64">
        <f>DATEVALUE(tblLaborEntries[[#This Row],[Work date]])</f>
        <v>45983.0</v>
      </c>
    </row>
    <row r="4046" spans="1:9" ht="15" x14ac:dyDescent="0.25">
      <c r="A4046" s="53" t="inlineStr">
        <is>
          <t>LAB-004045</t>
        </is>
      </c>
      <c r="B4046" s="53" t="inlineStr">
        <is>
          <t>WP-01783</t>
        </is>
      </c>
      <c r="C4046" s="53" t="inlineStr">
        <is>
          <t>TECH-029</t>
        </is>
      </c>
      <c r="D4046" s="53" t="inlineStr">
        <is>
          <t>Structures</t>
        </is>
      </c>
      <c r="E4046" s="53" t="inlineStr">
        <is>
          <t>2025-11-23</t>
        </is>
      </c>
      <c r="F4046" s="53">
        <v>4.3</v>
      </c>
      <c r="G4046" s="53">
        <v>0</v>
      </c>
      <c r="H4046" s="51" t="str">
        <f>TEXT(tblLaborEntries[[#This Row],[Work date serial]]-WEEKDAY(tblLaborEntries[[#This Row],[Work date serial]],3),"yyyy-mm-dd")</f>
        <v>2025-11-17</v>
      </c>
      <c r="I4046" s="64">
        <f>DATEVALUE(tblLaborEntries[[#This Row],[Work date]])</f>
        <v>45984.0</v>
      </c>
    </row>
    <row r="4047" spans="1:9" ht="15" x14ac:dyDescent="0.25">
      <c r="A4047" s="53" t="inlineStr">
        <is>
          <t>LAB-004046</t>
        </is>
      </c>
      <c r="B4047" s="53" t="inlineStr">
        <is>
          <t>WP-01784</t>
        </is>
      </c>
      <c r="C4047" s="53" t="inlineStr">
        <is>
          <t>TECH-028</t>
        </is>
      </c>
      <c r="D4047" s="53" t="inlineStr">
        <is>
          <t>Electrical</t>
        </is>
      </c>
      <c r="E4047" s="53" t="inlineStr">
        <is>
          <t>2024-08-12</t>
        </is>
      </c>
      <c r="F4047" s="53">
        <v>2</v>
      </c>
      <c r="G4047" s="53">
        <v>0</v>
      </c>
      <c r="H4047" s="51" t="str">
        <f>TEXT(tblLaborEntries[[#This Row],[Work date serial]]-WEEKDAY(tblLaborEntries[[#This Row],[Work date serial]],3),"yyyy-mm-dd")</f>
        <v>2024-08-12</v>
      </c>
      <c r="I4047" s="64">
        <f>DATEVALUE(tblLaborEntries[[#This Row],[Work date]])</f>
        <v>45516.0</v>
      </c>
    </row>
    <row r="4048" spans="1:9" ht="15" x14ac:dyDescent="0.25">
      <c r="A4048" s="53" t="inlineStr">
        <is>
          <t>LAB-004047</t>
        </is>
      </c>
      <c r="B4048" s="53" t="inlineStr">
        <is>
          <t>WP-01784</t>
        </is>
      </c>
      <c r="C4048" s="53" t="inlineStr">
        <is>
          <t>TECH-034</t>
        </is>
      </c>
      <c r="D4048" s="53" t="inlineStr">
        <is>
          <t>Electrical</t>
        </is>
      </c>
      <c r="E4048" s="53" t="inlineStr">
        <is>
          <t>2024-08-13</t>
        </is>
      </c>
      <c r="F4048" s="53">
        <v>2.5</v>
      </c>
      <c r="G4048" s="53">
        <v>0</v>
      </c>
      <c r="H4048" s="51" t="str">
        <f>TEXT(tblLaborEntries[[#This Row],[Work date serial]]-WEEKDAY(tblLaborEntries[[#This Row],[Work date serial]],3),"yyyy-mm-dd")</f>
        <v>2024-08-12</v>
      </c>
      <c r="I4048" s="64">
        <f>DATEVALUE(tblLaborEntries[[#This Row],[Work date]])</f>
        <v>45517.0</v>
      </c>
    </row>
    <row r="4049" spans="1:9" ht="15" x14ac:dyDescent="0.25">
      <c r="A4049" s="53" t="inlineStr">
        <is>
          <t>LAB-004048</t>
        </is>
      </c>
      <c r="B4049" s="53" t="inlineStr">
        <is>
          <t>WP-01784</t>
        </is>
      </c>
      <c r="C4049" s="53" t="inlineStr">
        <is>
          <t>TECH-058</t>
        </is>
      </c>
      <c r="D4049" s="53" t="inlineStr">
        <is>
          <t>Electrical</t>
        </is>
      </c>
      <c r="E4049" s="53" t="inlineStr">
        <is>
          <t>2024-08-14</t>
        </is>
      </c>
      <c r="F4049" s="53">
        <v>2.2</v>
      </c>
      <c r="G4049" s="53">
        <v>0</v>
      </c>
      <c r="H4049" s="51" t="str">
        <f>TEXT(tblLaborEntries[[#This Row],[Work date serial]]-WEEKDAY(tblLaborEntries[[#This Row],[Work date serial]],3),"yyyy-mm-dd")</f>
        <v>2024-08-12</v>
      </c>
      <c r="I4049" s="64">
        <f>DATEVALUE(tblLaborEntries[[#This Row],[Work date]])</f>
        <v>45518.0</v>
      </c>
    </row>
    <row r="4050" spans="1:9" ht="15" x14ac:dyDescent="0.25">
      <c r="A4050" s="53" t="inlineStr">
        <is>
          <t>LAB-004049</t>
        </is>
      </c>
      <c r="B4050" s="53" t="inlineStr">
        <is>
          <t>WP-01785</t>
        </is>
      </c>
      <c r="C4050" s="53" t="inlineStr">
        <is>
          <t>TECH-038</t>
        </is>
      </c>
      <c r="D4050" s="53" t="inlineStr">
        <is>
          <t>Avionics</t>
        </is>
      </c>
      <c r="E4050" s="53" t="inlineStr">
        <is>
          <t>2025-11-25</t>
        </is>
      </c>
      <c r="F4050" s="53">
        <v>1.8</v>
      </c>
      <c r="G4050" s="53">
        <v>0</v>
      </c>
      <c r="H4050" s="51" t="str">
        <f>TEXT(tblLaborEntries[[#This Row],[Work date serial]]-WEEKDAY(tblLaborEntries[[#This Row],[Work date serial]],3),"yyyy-mm-dd")</f>
        <v>2025-11-24</v>
      </c>
      <c r="I4050" s="64">
        <f>DATEVALUE(tblLaborEntries[[#This Row],[Work date]])</f>
        <v>45986.0</v>
      </c>
    </row>
    <row r="4051" spans="1:9" ht="15" x14ac:dyDescent="0.25">
      <c r="A4051" s="53" t="inlineStr">
        <is>
          <t>LAB-004050</t>
        </is>
      </c>
      <c r="B4051" s="53" t="inlineStr">
        <is>
          <t>WP-01785</t>
        </is>
      </c>
      <c r="C4051" s="53" t="inlineStr">
        <is>
          <t>TECH-050</t>
        </is>
      </c>
      <c r="D4051" s="53" t="inlineStr">
        <is>
          <t>Avionics</t>
        </is>
      </c>
      <c r="E4051" s="53" t="inlineStr">
        <is>
          <t>2025-11-26</t>
        </is>
      </c>
      <c r="F4051" s="53">
        <v>1.3</v>
      </c>
      <c r="G4051" s="53">
        <v>0</v>
      </c>
      <c r="H4051" s="51" t="str">
        <f>TEXT(tblLaborEntries[[#This Row],[Work date serial]]-WEEKDAY(tblLaborEntries[[#This Row],[Work date serial]],3),"yyyy-mm-dd")</f>
        <v>2025-11-24</v>
      </c>
      <c r="I4051" s="64">
        <f>DATEVALUE(tblLaborEntries[[#This Row],[Work date]])</f>
        <v>45987.0</v>
      </c>
    </row>
    <row r="4052" spans="1:9" ht="15" x14ac:dyDescent="0.25">
      <c r="A4052" s="53" t="inlineStr">
        <is>
          <t>LAB-004051</t>
        </is>
      </c>
      <c r="B4052" s="53" t="inlineStr">
        <is>
          <t>WP-01785</t>
        </is>
      </c>
      <c r="C4052" s="53" t="inlineStr">
        <is>
          <t>TECH-014</t>
        </is>
      </c>
      <c r="D4052" s="53" t="inlineStr">
        <is>
          <t>Avionics</t>
        </is>
      </c>
      <c r="E4052" s="53" t="inlineStr">
        <is>
          <t>2025-11-27</t>
        </is>
      </c>
      <c r="F4052" s="53">
        <v>1.7</v>
      </c>
      <c r="G4052" s="53">
        <v>0</v>
      </c>
      <c r="H4052" s="51" t="str">
        <f>TEXT(tblLaborEntries[[#This Row],[Work date serial]]-WEEKDAY(tblLaborEntries[[#This Row],[Work date serial]],3),"yyyy-mm-dd")</f>
        <v>2025-11-24</v>
      </c>
      <c r="I4052" s="64">
        <f>DATEVALUE(tblLaborEntries[[#This Row],[Work date]])</f>
        <v>45988.0</v>
      </c>
    </row>
    <row r="4053" spans="1:9" ht="15" x14ac:dyDescent="0.25">
      <c r="A4053" s="53" t="inlineStr">
        <is>
          <t>LAB-004052</t>
        </is>
      </c>
      <c r="B4053" s="53" t="inlineStr">
        <is>
          <t>WP-01786</t>
        </is>
      </c>
      <c r="C4053" s="53" t="inlineStr">
        <is>
          <t>TECH-002</t>
        </is>
      </c>
      <c r="D4053" s="53" t="inlineStr">
        <is>
          <t>Avionics</t>
        </is>
      </c>
      <c r="E4053" s="53" t="inlineStr">
        <is>
          <t>2025-05-17</t>
        </is>
      </c>
      <c r="F4053" s="53">
        <v>1.9</v>
      </c>
      <c r="G4053" s="53">
        <v>0</v>
      </c>
      <c r="H4053" s="51" t="str">
        <f>TEXT(tblLaborEntries[[#This Row],[Work date serial]]-WEEKDAY(tblLaborEntries[[#This Row],[Work date serial]],3),"yyyy-mm-dd")</f>
        <v>2025-05-12</v>
      </c>
      <c r="I4053" s="64">
        <f>DATEVALUE(tblLaborEntries[[#This Row],[Work date]])</f>
        <v>45794.0</v>
      </c>
    </row>
    <row r="4054" spans="1:9" ht="15" x14ac:dyDescent="0.25">
      <c r="A4054" s="53" t="inlineStr">
        <is>
          <t>LAB-004053</t>
        </is>
      </c>
      <c r="B4054" s="53" t="inlineStr">
        <is>
          <t>WP-01786</t>
        </is>
      </c>
      <c r="C4054" s="53" t="inlineStr">
        <is>
          <t>TECH-020</t>
        </is>
      </c>
      <c r="D4054" s="53" t="inlineStr">
        <is>
          <t>Avionics</t>
        </is>
      </c>
      <c r="E4054" s="53" t="inlineStr">
        <is>
          <t>2025-05-18</t>
        </is>
      </c>
      <c r="F4054" s="53">
        <v>2.5</v>
      </c>
      <c r="G4054" s="53">
        <v>0</v>
      </c>
      <c r="H4054" s="51" t="str">
        <f>TEXT(tblLaborEntries[[#This Row],[Work date serial]]-WEEKDAY(tblLaborEntries[[#This Row],[Work date serial]],3),"yyyy-mm-dd")</f>
        <v>2025-05-12</v>
      </c>
      <c r="I4054" s="64">
        <f>DATEVALUE(tblLaborEntries[[#This Row],[Work date]])</f>
        <v>45795.0</v>
      </c>
    </row>
    <row r="4055" spans="1:9" ht="15" x14ac:dyDescent="0.25">
      <c r="A4055" s="53" t="inlineStr">
        <is>
          <t>LAB-004054</t>
        </is>
      </c>
      <c r="B4055" s="53" t="inlineStr">
        <is>
          <t>WP-01786</t>
        </is>
      </c>
      <c r="C4055" s="53" t="inlineStr">
        <is>
          <t>TECH-014</t>
        </is>
      </c>
      <c r="D4055" s="53" t="inlineStr">
        <is>
          <t>Avionics</t>
        </is>
      </c>
      <c r="E4055" s="53" t="inlineStr">
        <is>
          <t>2025-05-19</t>
        </is>
      </c>
      <c r="F4055" s="53">
        <v>2.2</v>
      </c>
      <c r="G4055" s="53">
        <v>0</v>
      </c>
      <c r="H4055" s="51" t="str">
        <f>TEXT(tblLaborEntries[[#This Row],[Work date serial]]-WEEKDAY(tblLaborEntries[[#This Row],[Work date serial]],3),"yyyy-mm-dd")</f>
        <v>2025-05-19</v>
      </c>
      <c r="I4055" s="64">
        <f>DATEVALUE(tblLaborEntries[[#This Row],[Work date]])</f>
        <v>45796.0</v>
      </c>
    </row>
    <row r="4056" spans="1:9" ht="15" x14ac:dyDescent="0.25">
      <c r="A4056" s="53" t="inlineStr">
        <is>
          <t>LAB-004055</t>
        </is>
      </c>
      <c r="B4056" s="53" t="inlineStr">
        <is>
          <t>WP-01787</t>
        </is>
      </c>
      <c r="C4056" s="53" t="inlineStr">
        <is>
          <t>TECH-055</t>
        </is>
      </c>
      <c r="D4056" s="53" t="inlineStr">
        <is>
          <t>Airframe</t>
        </is>
      </c>
      <c r="E4056" s="53" t="inlineStr">
        <is>
          <t>2024-02-11</t>
        </is>
      </c>
      <c r="F4056" s="53">
        <v>4.9</v>
      </c>
      <c r="G4056" s="53">
        <v>0</v>
      </c>
      <c r="H4056" s="51" t="str">
        <f>TEXT(tblLaborEntries[[#This Row],[Work date serial]]-WEEKDAY(tblLaborEntries[[#This Row],[Work date serial]],3),"yyyy-mm-dd")</f>
        <v>2024-02-05</v>
      </c>
      <c r="I4056" s="64">
        <f>DATEVALUE(tblLaborEntries[[#This Row],[Work date]])</f>
        <v>45333.0</v>
      </c>
    </row>
    <row r="4057" spans="1:9" ht="15" x14ac:dyDescent="0.25">
      <c r="A4057" s="53" t="inlineStr">
        <is>
          <t>LAB-004056</t>
        </is>
      </c>
      <c r="B4057" s="53" t="inlineStr">
        <is>
          <t>WP-01787</t>
        </is>
      </c>
      <c r="C4057" s="53" t="inlineStr">
        <is>
          <t>TECH-043</t>
        </is>
      </c>
      <c r="D4057" s="53" t="inlineStr">
        <is>
          <t>Airframe</t>
        </is>
      </c>
      <c r="E4057" s="53" t="inlineStr">
        <is>
          <t>2024-02-12</t>
        </is>
      </c>
      <c r="F4057" s="53">
        <v>5.1</v>
      </c>
      <c r="G4057" s="53">
        <v>0</v>
      </c>
      <c r="H4057" s="51" t="str">
        <f>TEXT(tblLaborEntries[[#This Row],[Work date serial]]-WEEKDAY(tblLaborEntries[[#This Row],[Work date serial]],3),"yyyy-mm-dd")</f>
        <v>2024-02-12</v>
      </c>
      <c r="I4057" s="64">
        <f>DATEVALUE(tblLaborEntries[[#This Row],[Work date]])</f>
        <v>45334.0</v>
      </c>
    </row>
    <row r="4058" spans="1:9" ht="15" x14ac:dyDescent="0.25">
      <c r="A4058" s="53" t="inlineStr">
        <is>
          <t>LAB-004057</t>
        </is>
      </c>
      <c r="B4058" s="53" t="inlineStr">
        <is>
          <t>WP-01787</t>
        </is>
      </c>
      <c r="C4058" s="53" t="inlineStr">
        <is>
          <t>TECH-025</t>
        </is>
      </c>
      <c r="D4058" s="53" t="inlineStr">
        <is>
          <t>Airframe</t>
        </is>
      </c>
      <c r="E4058" s="53" t="inlineStr">
        <is>
          <t>2024-02-13</t>
        </is>
      </c>
      <c r="F4058" s="53">
        <v>6.3</v>
      </c>
      <c r="G4058" s="53">
        <v>0</v>
      </c>
      <c r="H4058" s="51" t="str">
        <f>TEXT(tblLaborEntries[[#This Row],[Work date serial]]-WEEKDAY(tblLaborEntries[[#This Row],[Work date serial]],3),"yyyy-mm-dd")</f>
        <v>2024-02-12</v>
      </c>
      <c r="I4058" s="64">
        <f>DATEVALUE(tblLaborEntries[[#This Row],[Work date]])</f>
        <v>45335.0</v>
      </c>
    </row>
    <row r="4059" spans="1:9" ht="15" x14ac:dyDescent="0.25">
      <c r="A4059" s="53" t="inlineStr">
        <is>
          <t>LAB-004058</t>
        </is>
      </c>
      <c r="B4059" s="53" t="inlineStr">
        <is>
          <t>WP-01788</t>
        </is>
      </c>
      <c r="C4059" s="53" t="inlineStr">
        <is>
          <t>TECH-032</t>
        </is>
      </c>
      <c r="D4059" s="53" t="inlineStr">
        <is>
          <t>Avionics</t>
        </is>
      </c>
      <c r="E4059" s="53" t="inlineStr">
        <is>
          <t>2025-09-09</t>
        </is>
      </c>
      <c r="F4059" s="53">
        <v>2.9</v>
      </c>
      <c r="G4059" s="53">
        <v>0</v>
      </c>
      <c r="H4059" s="51" t="str">
        <f>TEXT(tblLaborEntries[[#This Row],[Work date serial]]-WEEKDAY(tblLaborEntries[[#This Row],[Work date serial]],3),"yyyy-mm-dd")</f>
        <v>2025-09-08</v>
      </c>
      <c r="I4059" s="64">
        <f>DATEVALUE(tblLaborEntries[[#This Row],[Work date]])</f>
        <v>45909.0</v>
      </c>
    </row>
    <row r="4060" spans="1:9" ht="15" x14ac:dyDescent="0.25">
      <c r="A4060" s="53" t="inlineStr">
        <is>
          <t>LAB-004059</t>
        </is>
      </c>
      <c r="B4060" s="53" t="inlineStr">
        <is>
          <t>WP-01788</t>
        </is>
      </c>
      <c r="C4060" s="53" t="inlineStr">
        <is>
          <t>TECH-008</t>
        </is>
      </c>
      <c r="D4060" s="53" t="inlineStr">
        <is>
          <t>Avionics</t>
        </is>
      </c>
      <c r="E4060" s="53" t="inlineStr">
        <is>
          <t>2025-09-10</t>
        </is>
      </c>
      <c r="F4060" s="53">
        <v>2.6</v>
      </c>
      <c r="G4060" s="53">
        <v>0</v>
      </c>
      <c r="H4060" s="51" t="str">
        <f>TEXT(tblLaborEntries[[#This Row],[Work date serial]]-WEEKDAY(tblLaborEntries[[#This Row],[Work date serial]],3),"yyyy-mm-dd")</f>
        <v>2025-09-08</v>
      </c>
      <c r="I4060" s="64">
        <f>DATEVALUE(tblLaborEntries[[#This Row],[Work date]])</f>
        <v>45910.0</v>
      </c>
    </row>
    <row r="4061" spans="1:9" ht="15" x14ac:dyDescent="0.25">
      <c r="A4061" s="53" t="inlineStr">
        <is>
          <t>LAB-004060</t>
        </is>
      </c>
      <c r="B4061" s="53" t="inlineStr">
        <is>
          <t>WP-01789</t>
        </is>
      </c>
      <c r="C4061" s="53" t="inlineStr">
        <is>
          <t>TECH-037</t>
        </is>
      </c>
      <c r="D4061" s="53" t="inlineStr">
        <is>
          <t>Airframe</t>
        </is>
      </c>
      <c r="E4061" s="53" t="inlineStr">
        <is>
          <t>2025-02-12</t>
        </is>
      </c>
      <c r="F4061" s="53">
        <v>5.5</v>
      </c>
      <c r="G4061" s="53">
        <v>0</v>
      </c>
      <c r="H4061" s="51" t="str">
        <f>TEXT(tblLaborEntries[[#This Row],[Work date serial]]-WEEKDAY(tblLaborEntries[[#This Row],[Work date serial]],3),"yyyy-mm-dd")</f>
        <v>2025-02-10</v>
      </c>
      <c r="I4061" s="64">
        <f>DATEVALUE(tblLaborEntries[[#This Row],[Work date]])</f>
        <v>45700.0</v>
      </c>
    </row>
    <row r="4062" spans="1:9" ht="15" x14ac:dyDescent="0.25">
      <c r="A4062" s="53" t="inlineStr">
        <is>
          <t>LAB-004061</t>
        </is>
      </c>
      <c r="B4062" s="53" t="inlineStr">
        <is>
          <t>WP-01789</t>
        </is>
      </c>
      <c r="C4062" s="53" t="inlineStr">
        <is>
          <t>TECH-019</t>
        </is>
      </c>
      <c r="D4062" s="53" t="inlineStr">
        <is>
          <t>Airframe</t>
        </is>
      </c>
      <c r="E4062" s="53" t="inlineStr">
        <is>
          <t>2025-02-13</t>
        </is>
      </c>
      <c r="F4062" s="53">
        <v>3.8</v>
      </c>
      <c r="G4062" s="53">
        <v>0</v>
      </c>
      <c r="H4062" s="51" t="str">
        <f>TEXT(tblLaborEntries[[#This Row],[Work date serial]]-WEEKDAY(tblLaborEntries[[#This Row],[Work date serial]],3),"yyyy-mm-dd")</f>
        <v>2025-02-10</v>
      </c>
      <c r="I4062" s="64">
        <f>DATEVALUE(tblLaborEntries[[#This Row],[Work date]])</f>
        <v>45701.0</v>
      </c>
    </row>
    <row r="4063" spans="1:9" ht="15" x14ac:dyDescent="0.25">
      <c r="A4063" s="53" t="inlineStr">
        <is>
          <t>LAB-004062</t>
        </is>
      </c>
      <c r="B4063" s="53" t="inlineStr">
        <is>
          <t>WP-01790</t>
        </is>
      </c>
      <c r="C4063" s="53" t="inlineStr">
        <is>
          <t>TECH-074</t>
        </is>
      </c>
      <c r="D4063" s="53" t="inlineStr">
        <is>
          <t>Avionics</t>
        </is>
      </c>
      <c r="E4063" s="53" t="inlineStr">
        <is>
          <t>2024-03-12</t>
        </is>
      </c>
      <c r="F4063" s="53">
        <v>5.8</v>
      </c>
      <c r="G4063" s="53">
        <v>0</v>
      </c>
      <c r="H4063" s="51" t="str">
        <f>TEXT(tblLaborEntries[[#This Row],[Work date serial]]-WEEKDAY(tblLaborEntries[[#This Row],[Work date serial]],3),"yyyy-mm-dd")</f>
        <v>2024-03-11</v>
      </c>
      <c r="I4063" s="64">
        <f>DATEVALUE(tblLaborEntries[[#This Row],[Work date]])</f>
        <v>45363.0</v>
      </c>
    </row>
    <row r="4064" spans="1:9" ht="15" x14ac:dyDescent="0.25">
      <c r="A4064" s="53" t="inlineStr">
        <is>
          <t>LAB-004063</t>
        </is>
      </c>
      <c r="B4064" s="53" t="inlineStr">
        <is>
          <t>WP-01790</t>
        </is>
      </c>
      <c r="C4064" s="53" t="inlineStr">
        <is>
          <t>TECH-044</t>
        </is>
      </c>
      <c r="D4064" s="53" t="inlineStr">
        <is>
          <t>Avionics</t>
        </is>
      </c>
      <c r="E4064" s="53" t="inlineStr">
        <is>
          <t>2024-03-13</t>
        </is>
      </c>
      <c r="F4064" s="53">
        <v>4.9</v>
      </c>
      <c r="G4064" s="53">
        <v>0</v>
      </c>
      <c r="H4064" s="51" t="str">
        <f>TEXT(tblLaborEntries[[#This Row],[Work date serial]]-WEEKDAY(tblLaborEntries[[#This Row],[Work date serial]],3),"yyyy-mm-dd")</f>
        <v>2024-03-11</v>
      </c>
      <c r="I4064" s="64">
        <f>DATEVALUE(tblLaborEntries[[#This Row],[Work date]])</f>
        <v>45364.0</v>
      </c>
    </row>
    <row r="4065" spans="1:9" ht="15" x14ac:dyDescent="0.25">
      <c r="A4065" s="53" t="inlineStr">
        <is>
          <t>LAB-004064</t>
        </is>
      </c>
      <c r="B4065" s="53" t="inlineStr">
        <is>
          <t>WP-01791</t>
        </is>
      </c>
      <c r="C4065" s="53" t="inlineStr">
        <is>
          <t>TECH-067</t>
        </is>
      </c>
      <c r="D4065" s="53" t="inlineStr">
        <is>
          <t>Airframe</t>
        </is>
      </c>
      <c r="E4065" s="53" t="inlineStr">
        <is>
          <t>2025-01-11</t>
        </is>
      </c>
      <c r="F4065" s="53">
        <v>2.1</v>
      </c>
      <c r="G4065" s="53">
        <v>0</v>
      </c>
      <c r="H4065" s="51" t="str">
        <f>TEXT(tblLaborEntries[[#This Row],[Work date serial]]-WEEKDAY(tblLaborEntries[[#This Row],[Work date serial]],3),"yyyy-mm-dd")</f>
        <v>2025-01-06</v>
      </c>
      <c r="I4065" s="64">
        <f>DATEVALUE(tblLaborEntries[[#This Row],[Work date]])</f>
        <v>45668.0</v>
      </c>
    </row>
    <row r="4066" spans="1:9" ht="15" x14ac:dyDescent="0.25">
      <c r="A4066" s="53" t="inlineStr">
        <is>
          <t>LAB-004065</t>
        </is>
      </c>
      <c r="B4066" s="53" t="inlineStr">
        <is>
          <t>WP-01791</t>
        </is>
      </c>
      <c r="C4066" s="53" t="inlineStr">
        <is>
          <t>TECH-043</t>
        </is>
      </c>
      <c r="D4066" s="53" t="inlineStr">
        <is>
          <t>Airframe</t>
        </is>
      </c>
      <c r="E4066" s="53" t="inlineStr">
        <is>
          <t>2025-01-12</t>
        </is>
      </c>
      <c r="F4066" s="53">
        <v>1.7</v>
      </c>
      <c r="G4066" s="53">
        <v>0</v>
      </c>
      <c r="H4066" s="51" t="str">
        <f>TEXT(tblLaborEntries[[#This Row],[Work date serial]]-WEEKDAY(tblLaborEntries[[#This Row],[Work date serial]],3),"yyyy-mm-dd")</f>
        <v>2025-01-06</v>
      </c>
      <c r="I4066" s="64">
        <f>DATEVALUE(tblLaborEntries[[#This Row],[Work date]])</f>
        <v>45669.0</v>
      </c>
    </row>
    <row r="4067" spans="1:9" ht="15" x14ac:dyDescent="0.25">
      <c r="A4067" s="53" t="inlineStr">
        <is>
          <t>LAB-004066</t>
        </is>
      </c>
      <c r="B4067" s="53" t="inlineStr">
        <is>
          <t>WP-01792</t>
        </is>
      </c>
      <c r="C4067" s="53" t="inlineStr">
        <is>
          <t>TECH-007</t>
        </is>
      </c>
      <c r="D4067" s="53" t="inlineStr">
        <is>
          <t>Airframe</t>
        </is>
      </c>
      <c r="E4067" s="53" t="inlineStr">
        <is>
          <t>2024-12-22</t>
        </is>
      </c>
      <c r="F4067" s="53">
        <v>3.4</v>
      </c>
      <c r="G4067" s="53">
        <v>0</v>
      </c>
      <c r="H4067" s="51" t="str">
        <f>TEXT(tblLaborEntries[[#This Row],[Work date serial]]-WEEKDAY(tblLaborEntries[[#This Row],[Work date serial]],3),"yyyy-mm-dd")</f>
        <v>2024-12-16</v>
      </c>
      <c r="I4067" s="64">
        <f>DATEVALUE(tblLaborEntries[[#This Row],[Work date]])</f>
        <v>45648.0</v>
      </c>
    </row>
    <row r="4068" spans="1:9" ht="15" x14ac:dyDescent="0.25">
      <c r="A4068" s="53" t="inlineStr">
        <is>
          <t>LAB-004067</t>
        </is>
      </c>
      <c r="B4068" s="53" t="inlineStr">
        <is>
          <t>WP-01792</t>
        </is>
      </c>
      <c r="C4068" s="53" t="inlineStr">
        <is>
          <t>TECH-049</t>
        </is>
      </c>
      <c r="D4068" s="53" t="inlineStr">
        <is>
          <t>Airframe</t>
        </is>
      </c>
      <c r="E4068" s="53" t="inlineStr">
        <is>
          <t>2024-12-23</t>
        </is>
      </c>
      <c r="F4068" s="53">
        <v>3.1</v>
      </c>
      <c r="G4068" s="53">
        <v>0</v>
      </c>
      <c r="H4068" s="51" t="str">
        <f>TEXT(tblLaborEntries[[#This Row],[Work date serial]]-WEEKDAY(tblLaborEntries[[#This Row],[Work date serial]],3),"yyyy-mm-dd")</f>
        <v>2024-12-23</v>
      </c>
      <c r="I4068" s="64">
        <f>DATEVALUE(tblLaborEntries[[#This Row],[Work date]])</f>
        <v>45649.0</v>
      </c>
    </row>
    <row r="4069" spans="1:9" ht="15" x14ac:dyDescent="0.25">
      <c r="A4069" s="53" t="inlineStr">
        <is>
          <t>LAB-004068</t>
        </is>
      </c>
      <c r="B4069" s="53" t="inlineStr">
        <is>
          <t>WP-01793</t>
        </is>
      </c>
      <c r="C4069" s="53" t="inlineStr">
        <is>
          <t>TECH-072</t>
        </is>
      </c>
      <c r="D4069" s="53" t="inlineStr">
        <is>
          <t>Powerplant</t>
        </is>
      </c>
      <c r="E4069" s="53" t="inlineStr">
        <is>
          <t>2024-11-01</t>
        </is>
      </c>
      <c r="F4069" s="53">
        <v>6.7</v>
      </c>
      <c r="G4069" s="53">
        <v>0</v>
      </c>
      <c r="H4069" s="51" t="str">
        <f>TEXT(tblLaborEntries[[#This Row],[Work date serial]]-WEEKDAY(tblLaborEntries[[#This Row],[Work date serial]],3),"yyyy-mm-dd")</f>
        <v>2024-10-28</v>
      </c>
      <c r="I4069" s="64">
        <f>DATEVALUE(tblLaborEntries[[#This Row],[Work date]])</f>
        <v>45597.0</v>
      </c>
    </row>
    <row r="4070" spans="1:9" ht="15" x14ac:dyDescent="0.25">
      <c r="A4070" s="53" t="inlineStr">
        <is>
          <t>LAB-004069</t>
        </is>
      </c>
      <c r="B4070" s="53" t="inlineStr">
        <is>
          <t>WP-01793</t>
        </is>
      </c>
      <c r="C4070" s="53" t="inlineStr">
        <is>
          <t>TECH-036</t>
        </is>
      </c>
      <c r="D4070" s="53" t="inlineStr">
        <is>
          <t>Powerplant</t>
        </is>
      </c>
      <c r="E4070" s="53" t="inlineStr">
        <is>
          <t>2024-11-02</t>
        </is>
      </c>
      <c r="F4070" s="53">
        <v>7.3</v>
      </c>
      <c r="G4070" s="53">
        <v>0</v>
      </c>
      <c r="H4070" s="51" t="str">
        <f>TEXT(tblLaborEntries[[#This Row],[Work date serial]]-WEEKDAY(tblLaborEntries[[#This Row],[Work date serial]],3),"yyyy-mm-dd")</f>
        <v>2024-10-28</v>
      </c>
      <c r="I4070" s="64">
        <f>DATEVALUE(tblLaborEntries[[#This Row],[Work date]])</f>
        <v>45598.0</v>
      </c>
    </row>
    <row r="4071" spans="1:9" ht="15" x14ac:dyDescent="0.25">
      <c r="A4071" s="53" t="inlineStr">
        <is>
          <t>LAB-004070</t>
        </is>
      </c>
      <c r="B4071" s="53" t="inlineStr">
        <is>
          <t>WP-01793</t>
        </is>
      </c>
      <c r="C4071" s="53" t="inlineStr">
        <is>
          <t>TECH-066</t>
        </is>
      </c>
      <c r="D4071" s="53" t="inlineStr">
        <is>
          <t>Powerplant</t>
        </is>
      </c>
      <c r="E4071" s="53" t="inlineStr">
        <is>
          <t>2024-11-03</t>
        </is>
      </c>
      <c r="F4071" s="53">
        <v>7</v>
      </c>
      <c r="G4071" s="53">
        <v>0</v>
      </c>
      <c r="H4071" s="51" t="str">
        <f>TEXT(tblLaborEntries[[#This Row],[Work date serial]]-WEEKDAY(tblLaborEntries[[#This Row],[Work date serial]],3),"yyyy-mm-dd")</f>
        <v>2024-10-28</v>
      </c>
      <c r="I4071" s="64">
        <f>DATEVALUE(tblLaborEntries[[#This Row],[Work date]])</f>
        <v>45599.0</v>
      </c>
    </row>
    <row r="4072" spans="1:9" ht="15" x14ac:dyDescent="0.25">
      <c r="A4072" s="53" t="inlineStr">
        <is>
          <t>LAB-004071</t>
        </is>
      </c>
      <c r="B4072" s="53" t="inlineStr">
        <is>
          <t>WP-01794</t>
        </is>
      </c>
      <c r="C4072" s="53" t="inlineStr">
        <is>
          <t>TECH-012</t>
        </is>
      </c>
      <c r="D4072" s="53" t="inlineStr">
        <is>
          <t>Powerplant</t>
        </is>
      </c>
      <c r="E4072" s="53" t="inlineStr">
        <is>
          <t>2024-08-24</t>
        </is>
      </c>
      <c r="F4072" s="53">
        <v>12</v>
      </c>
      <c r="G4072" s="53">
        <v>4</v>
      </c>
      <c r="H4072" s="51" t="str">
        <f>TEXT(tblLaborEntries[[#This Row],[Work date serial]]-WEEKDAY(tblLaborEntries[[#This Row],[Work date serial]],3),"yyyy-mm-dd")</f>
        <v>2024-08-19</v>
      </c>
      <c r="I4072" s="64">
        <f>DATEVALUE(tblLaborEntries[[#This Row],[Work date]])</f>
        <v>45528.0</v>
      </c>
    </row>
    <row r="4073" spans="1:9" ht="15" x14ac:dyDescent="0.25">
      <c r="A4073" s="53" t="inlineStr">
        <is>
          <t>LAB-004072</t>
        </is>
      </c>
      <c r="B4073" s="53" t="inlineStr">
        <is>
          <t>WP-01794</t>
        </is>
      </c>
      <c r="C4073" s="53" t="inlineStr">
        <is>
          <t>TECH-018</t>
        </is>
      </c>
      <c r="D4073" s="53" t="inlineStr">
        <is>
          <t>Powerplant</t>
        </is>
      </c>
      <c r="E4073" s="53" t="inlineStr">
        <is>
          <t>2024-08-24</t>
        </is>
      </c>
      <c r="F4073" s="53">
        <v>4.7</v>
      </c>
      <c r="G4073" s="53">
        <v>0</v>
      </c>
      <c r="H4073" s="51" t="str">
        <f>TEXT(tblLaborEntries[[#This Row],[Work date serial]]-WEEKDAY(tblLaborEntries[[#This Row],[Work date serial]],3),"yyyy-mm-dd")</f>
        <v>2024-08-19</v>
      </c>
      <c r="I4073" s="64">
        <f>DATEVALUE(tblLaborEntries[[#This Row],[Work date]])</f>
        <v>45528.0</v>
      </c>
    </row>
    <row r="4074" spans="1:9" ht="15" x14ac:dyDescent="0.25">
      <c r="A4074" s="53" t="inlineStr">
        <is>
          <t>LAB-004073</t>
        </is>
      </c>
      <c r="B4074" s="53" t="inlineStr">
        <is>
          <t>WP-01795</t>
        </is>
      </c>
      <c r="C4074" s="53" t="inlineStr">
        <is>
          <t>TECH-008</t>
        </is>
      </c>
      <c r="D4074" s="53" t="inlineStr">
        <is>
          <t>Avionics</t>
        </is>
      </c>
      <c r="E4074" s="53" t="inlineStr">
        <is>
          <t>2024-11-17</t>
        </is>
      </c>
      <c r="F4074" s="53">
        <v>4.1</v>
      </c>
      <c r="G4074" s="53">
        <v>0</v>
      </c>
      <c r="H4074" s="51" t="str">
        <f>TEXT(tblLaborEntries[[#This Row],[Work date serial]]-WEEKDAY(tblLaborEntries[[#This Row],[Work date serial]],3),"yyyy-mm-dd")</f>
        <v>2024-11-11</v>
      </c>
      <c r="I4074" s="64">
        <f>DATEVALUE(tblLaborEntries[[#This Row],[Work date]])</f>
        <v>45613.0</v>
      </c>
    </row>
    <row r="4075" spans="1:9" ht="15" x14ac:dyDescent="0.25">
      <c r="A4075" s="53" t="inlineStr">
        <is>
          <t>LAB-004074</t>
        </is>
      </c>
      <c r="B4075" s="53" t="inlineStr">
        <is>
          <t>WP-01796</t>
        </is>
      </c>
      <c r="C4075" s="53" t="inlineStr">
        <is>
          <t>TECH-021</t>
        </is>
      </c>
      <c r="D4075" s="53" t="inlineStr">
        <is>
          <t>Hydraulics</t>
        </is>
      </c>
      <c r="E4075" s="53" t="inlineStr">
        <is>
          <t>2024-12-03</t>
        </is>
      </c>
      <c r="F4075" s="53">
        <v>3</v>
      </c>
      <c r="G4075" s="53">
        <v>0</v>
      </c>
      <c r="H4075" s="51" t="str">
        <f>TEXT(tblLaborEntries[[#This Row],[Work date serial]]-WEEKDAY(tblLaborEntries[[#This Row],[Work date serial]],3),"yyyy-mm-dd")</f>
        <v>2024-12-02</v>
      </c>
      <c r="I4075" s="64">
        <f>DATEVALUE(tblLaborEntries[[#This Row],[Work date]])</f>
        <v>45629.0</v>
      </c>
    </row>
    <row r="4076" spans="1:9" ht="15" x14ac:dyDescent="0.25">
      <c r="A4076" s="53" t="inlineStr">
        <is>
          <t>LAB-004075</t>
        </is>
      </c>
      <c r="B4076" s="53" t="inlineStr">
        <is>
          <t>WP-01796</t>
        </is>
      </c>
      <c r="C4076" s="53" t="inlineStr">
        <is>
          <t>TECH-027</t>
        </is>
      </c>
      <c r="D4076" s="53" t="inlineStr">
        <is>
          <t>Hydraulics</t>
        </is>
      </c>
      <c r="E4076" s="53" t="inlineStr">
        <is>
          <t>2024-12-04</t>
        </is>
      </c>
      <c r="F4076" s="53">
        <v>3.1</v>
      </c>
      <c r="G4076" s="53">
        <v>0</v>
      </c>
      <c r="H4076" s="51" t="str">
        <f>TEXT(tblLaborEntries[[#This Row],[Work date serial]]-WEEKDAY(tblLaborEntries[[#This Row],[Work date serial]],3),"yyyy-mm-dd")</f>
        <v>2024-12-02</v>
      </c>
      <c r="I4076" s="64">
        <f>DATEVALUE(tblLaborEntries[[#This Row],[Work date]])</f>
        <v>45630.0</v>
      </c>
    </row>
    <row r="4077" spans="1:9" ht="15" x14ac:dyDescent="0.25">
      <c r="A4077" s="53" t="inlineStr">
        <is>
          <t>LAB-004076</t>
        </is>
      </c>
      <c r="B4077" s="53" t="inlineStr">
        <is>
          <t>WP-01796</t>
        </is>
      </c>
      <c r="C4077" s="53" t="inlineStr">
        <is>
          <t>TECH-003</t>
        </is>
      </c>
      <c r="D4077" s="53" t="inlineStr">
        <is>
          <t>Hydraulics</t>
        </is>
      </c>
      <c r="E4077" s="53" t="inlineStr">
        <is>
          <t>2024-12-05</t>
        </is>
      </c>
      <c r="F4077" s="53">
        <v>4.4</v>
      </c>
      <c r="G4077" s="53">
        <v>0</v>
      </c>
      <c r="H4077" s="51" t="str">
        <f>TEXT(tblLaborEntries[[#This Row],[Work date serial]]-WEEKDAY(tblLaborEntries[[#This Row],[Work date serial]],3),"yyyy-mm-dd")</f>
        <v>2024-12-02</v>
      </c>
      <c r="I4077" s="64">
        <f>DATEVALUE(tblLaborEntries[[#This Row],[Work date]])</f>
        <v>45631.0</v>
      </c>
    </row>
    <row r="4078" spans="1:9" ht="15" x14ac:dyDescent="0.25">
      <c r="A4078" s="53" t="inlineStr">
        <is>
          <t>LAB-004077</t>
        </is>
      </c>
      <c r="B4078" s="53" t="inlineStr">
        <is>
          <t>WP-01797</t>
        </is>
      </c>
      <c r="C4078" s="53" t="inlineStr">
        <is>
          <t>TECH-042</t>
        </is>
      </c>
      <c r="D4078" s="53" t="inlineStr">
        <is>
          <t>Powerplant</t>
        </is>
      </c>
      <c r="E4078" s="53" t="inlineStr">
        <is>
          <t>2025-04-20</t>
        </is>
      </c>
      <c r="F4078" s="53">
        <v>6</v>
      </c>
      <c r="G4078" s="53">
        <v>4</v>
      </c>
      <c r="H4078" s="51" t="str">
        <f>TEXT(tblLaborEntries[[#This Row],[Work date serial]]-WEEKDAY(tblLaborEntries[[#This Row],[Work date serial]],3),"yyyy-mm-dd")</f>
        <v>2025-04-14</v>
      </c>
      <c r="I4078" s="64">
        <f>DATEVALUE(tblLaborEntries[[#This Row],[Work date]])</f>
        <v>45767.0</v>
      </c>
    </row>
    <row r="4079" spans="1:9" ht="15" x14ac:dyDescent="0.25">
      <c r="A4079" s="53" t="inlineStr">
        <is>
          <t>LAB-004078</t>
        </is>
      </c>
      <c r="B4079" s="53" t="inlineStr">
        <is>
          <t>WP-01797</t>
        </is>
      </c>
      <c r="C4079" s="53" t="inlineStr">
        <is>
          <t>TECH-072</t>
        </is>
      </c>
      <c r="D4079" s="53" t="inlineStr">
        <is>
          <t>Powerplant</t>
        </is>
      </c>
      <c r="E4079" s="53" t="inlineStr">
        <is>
          <t>2025-04-21</t>
        </is>
      </c>
      <c r="F4079" s="53">
        <v>5.5</v>
      </c>
      <c r="G4079" s="53">
        <v>0</v>
      </c>
      <c r="H4079" s="51" t="str">
        <f>TEXT(tblLaborEntries[[#This Row],[Work date serial]]-WEEKDAY(tblLaborEntries[[#This Row],[Work date serial]],3),"yyyy-mm-dd")</f>
        <v>2025-04-21</v>
      </c>
      <c r="I4079" s="64">
        <f>DATEVALUE(tblLaborEntries[[#This Row],[Work date]])</f>
        <v>45768.0</v>
      </c>
    </row>
    <row r="4080" spans="1:9" ht="15" x14ac:dyDescent="0.25">
      <c r="A4080" s="53" t="inlineStr">
        <is>
          <t>LAB-004079</t>
        </is>
      </c>
      <c r="B4080" s="53" t="inlineStr">
        <is>
          <t>WP-01798</t>
        </is>
      </c>
      <c r="C4080" s="53" t="inlineStr">
        <is>
          <t>TECH-019</t>
        </is>
      </c>
      <c r="D4080" s="53" t="inlineStr">
        <is>
          <t>Airframe</t>
        </is>
      </c>
      <c r="E4080" s="53" t="inlineStr">
        <is>
          <t>2024-05-02</t>
        </is>
      </c>
      <c r="F4080" s="53">
        <v>3.7</v>
      </c>
      <c r="G4080" s="53">
        <v>0</v>
      </c>
      <c r="H4080" s="51" t="str">
        <f>TEXT(tblLaborEntries[[#This Row],[Work date serial]]-WEEKDAY(tblLaborEntries[[#This Row],[Work date serial]],3),"yyyy-mm-dd")</f>
        <v>2024-04-29</v>
      </c>
      <c r="I4080" s="64">
        <f>DATEVALUE(tblLaborEntries[[#This Row],[Work date]])</f>
        <v>45414.0</v>
      </c>
    </row>
    <row r="4081" spans="1:9" ht="15" x14ac:dyDescent="0.25">
      <c r="A4081" s="53" t="inlineStr">
        <is>
          <t>LAB-004080</t>
        </is>
      </c>
      <c r="B4081" s="53" t="inlineStr">
        <is>
          <t>WP-01798</t>
        </is>
      </c>
      <c r="C4081" s="53" t="inlineStr">
        <is>
          <t>TECH-061</t>
        </is>
      </c>
      <c r="D4081" s="53" t="inlineStr">
        <is>
          <t>Airframe</t>
        </is>
      </c>
      <c r="E4081" s="53" t="inlineStr">
        <is>
          <t>2024-05-03</t>
        </is>
      </c>
      <c r="F4081" s="53">
        <v>4</v>
      </c>
      <c r="G4081" s="53">
        <v>0</v>
      </c>
      <c r="H4081" s="51" t="str">
        <f>TEXT(tblLaborEntries[[#This Row],[Work date serial]]-WEEKDAY(tblLaborEntries[[#This Row],[Work date serial]],3),"yyyy-mm-dd")</f>
        <v>2024-04-29</v>
      </c>
      <c r="I4081" s="64">
        <f>DATEVALUE(tblLaborEntries[[#This Row],[Work date]])</f>
        <v>45415.0</v>
      </c>
    </row>
    <row r="4082" spans="1:9" ht="15" x14ac:dyDescent="0.25">
      <c r="A4082" s="53" t="inlineStr">
        <is>
          <t>LAB-004081</t>
        </is>
      </c>
      <c r="B4082" s="53" t="inlineStr">
        <is>
          <t>WP-01799</t>
        </is>
      </c>
      <c r="C4082" s="53" t="inlineStr">
        <is>
          <t>TECH-066</t>
        </is>
      </c>
      <c r="D4082" s="53" t="inlineStr">
        <is>
          <t>Powerplant</t>
        </is>
      </c>
      <c r="E4082" s="53" t="inlineStr">
        <is>
          <t>2024-01-30</t>
        </is>
      </c>
      <c r="F4082" s="53">
        <v>9</v>
      </c>
      <c r="G4082" s="53">
        <v>1</v>
      </c>
      <c r="H4082" s="51" t="str">
        <f>TEXT(tblLaborEntries[[#This Row],[Work date serial]]-WEEKDAY(tblLaborEntries[[#This Row],[Work date serial]],3),"yyyy-mm-dd")</f>
        <v>2024-01-29</v>
      </c>
      <c r="I4082" s="64">
        <f>DATEVALUE(tblLaborEntries[[#This Row],[Work date]])</f>
        <v>45321.0</v>
      </c>
    </row>
    <row r="4083" spans="1:9" ht="15" x14ac:dyDescent="0.25">
      <c r="A4083" s="53" t="inlineStr">
        <is>
          <t>LAB-004082</t>
        </is>
      </c>
      <c r="B4083" s="53" t="inlineStr">
        <is>
          <t>WP-01800</t>
        </is>
      </c>
      <c r="C4083" s="53" t="inlineStr">
        <is>
          <t>TECH-022</t>
        </is>
      </c>
      <c r="D4083" s="53" t="inlineStr">
        <is>
          <t>Electrical</t>
        </is>
      </c>
      <c r="E4083" s="53" t="inlineStr">
        <is>
          <t>2025-10-26</t>
        </is>
      </c>
      <c r="F4083" s="53">
        <v>3.5</v>
      </c>
      <c r="G4083" s="53">
        <v>0</v>
      </c>
      <c r="H4083" s="51" t="str">
        <f>TEXT(tblLaborEntries[[#This Row],[Work date serial]]-WEEKDAY(tblLaborEntries[[#This Row],[Work date serial]],3),"yyyy-mm-dd")</f>
        <v>2025-10-20</v>
      </c>
      <c r="I4083" s="64">
        <f>DATEVALUE(tblLaborEntries[[#This Row],[Work date]])</f>
        <v>45956.0</v>
      </c>
    </row>
    <row r="4084" spans="1:9" ht="15" x14ac:dyDescent="0.25">
      <c r="A4084" s="53" t="inlineStr">
        <is>
          <t>LAB-004083</t>
        </is>
      </c>
      <c r="B4084" s="53" t="inlineStr">
        <is>
          <t>WP-01800</t>
        </is>
      </c>
      <c r="C4084" s="53" t="inlineStr">
        <is>
          <t>TECH-010</t>
        </is>
      </c>
      <c r="D4084" s="53" t="inlineStr">
        <is>
          <t>Electrical</t>
        </is>
      </c>
      <c r="E4084" s="53" t="inlineStr">
        <is>
          <t>2025-10-27</t>
        </is>
      </c>
      <c r="F4084" s="53">
        <v>4.6</v>
      </c>
      <c r="G4084" s="53">
        <v>0</v>
      </c>
      <c r="H4084" s="51" t="str">
        <f>TEXT(tblLaborEntries[[#This Row],[Work date serial]]-WEEKDAY(tblLaborEntries[[#This Row],[Work date serial]],3),"yyyy-mm-dd")</f>
        <v>2025-10-27</v>
      </c>
      <c r="I4084" s="64">
        <f>DATEVALUE(tblLaborEntries[[#This Row],[Work date]])</f>
        <v>45957.0</v>
      </c>
    </row>
    <row r="4085" spans="1:9" ht="15" x14ac:dyDescent="0.25">
      <c r="A4085" s="53" t="inlineStr">
        <is>
          <t>LAB-004084</t>
        </is>
      </c>
      <c r="B4085" s="53" t="inlineStr">
        <is>
          <t>WP-01801</t>
        </is>
      </c>
      <c r="C4085" s="53" t="inlineStr">
        <is>
          <t>TECH-036</t>
        </is>
      </c>
      <c r="D4085" s="53" t="inlineStr">
        <is>
          <t>Powerplant</t>
        </is>
      </c>
      <c r="E4085" s="53" t="inlineStr">
        <is>
          <t>2024-05-21</t>
        </is>
      </c>
      <c r="F4085" s="53">
        <v>3.4</v>
      </c>
      <c r="G4085" s="53">
        <v>0</v>
      </c>
      <c r="H4085" s="51" t="str">
        <f>TEXT(tblLaborEntries[[#This Row],[Work date serial]]-WEEKDAY(tblLaborEntries[[#This Row],[Work date serial]],3),"yyyy-mm-dd")</f>
        <v>2024-05-20</v>
      </c>
      <c r="I4085" s="64">
        <f>DATEVALUE(tblLaborEntries[[#This Row],[Work date]])</f>
        <v>45433.0</v>
      </c>
    </row>
    <row r="4086" spans="1:9" ht="15" x14ac:dyDescent="0.25">
      <c r="A4086" s="53" t="inlineStr">
        <is>
          <t>LAB-004085</t>
        </is>
      </c>
      <c r="B4086" s="53" t="inlineStr">
        <is>
          <t>WP-01801</t>
        </is>
      </c>
      <c r="C4086" s="53" t="inlineStr">
        <is>
          <t>TECH-066</t>
        </is>
      </c>
      <c r="D4086" s="53" t="inlineStr">
        <is>
          <t>Powerplant</t>
        </is>
      </c>
      <c r="E4086" s="53" t="inlineStr">
        <is>
          <t>2024-05-22</t>
        </is>
      </c>
      <c r="F4086" s="53">
        <v>4.8</v>
      </c>
      <c r="G4086" s="53">
        <v>0</v>
      </c>
      <c r="H4086" s="51" t="str">
        <f>TEXT(tblLaborEntries[[#This Row],[Work date serial]]-WEEKDAY(tblLaborEntries[[#This Row],[Work date serial]],3),"yyyy-mm-dd")</f>
        <v>2024-05-20</v>
      </c>
      <c r="I4086" s="64">
        <f>DATEVALUE(tblLaborEntries[[#This Row],[Work date]])</f>
        <v>45434.0</v>
      </c>
    </row>
    <row r="4087" spans="1:9" ht="15" x14ac:dyDescent="0.25">
      <c r="A4087" s="53" t="inlineStr">
        <is>
          <t>LAB-004086</t>
        </is>
      </c>
      <c r="B4087" s="53" t="inlineStr">
        <is>
          <t>WP-01802</t>
        </is>
      </c>
      <c r="C4087" s="53" t="inlineStr">
        <is>
          <t>TECH-005</t>
        </is>
      </c>
      <c r="D4087" s="53" t="inlineStr">
        <is>
          <t>Structures</t>
        </is>
      </c>
      <c r="E4087" s="53" t="inlineStr">
        <is>
          <t>2024-12-25</t>
        </is>
      </c>
      <c r="F4087" s="53">
        <v>3.4</v>
      </c>
      <c r="G4087" s="53">
        <v>0</v>
      </c>
      <c r="H4087" s="51" t="str">
        <f>TEXT(tblLaborEntries[[#This Row],[Work date serial]]-WEEKDAY(tblLaborEntries[[#This Row],[Work date serial]],3),"yyyy-mm-dd")</f>
        <v>2024-12-23</v>
      </c>
      <c r="I4087" s="64">
        <f>DATEVALUE(tblLaborEntries[[#This Row],[Work date]])</f>
        <v>45651.0</v>
      </c>
    </row>
    <row r="4088" spans="1:9" ht="15" x14ac:dyDescent="0.25">
      <c r="A4088" s="53" t="inlineStr">
        <is>
          <t>LAB-004087</t>
        </is>
      </c>
      <c r="B4088" s="53" t="inlineStr">
        <is>
          <t>WP-01802</t>
        </is>
      </c>
      <c r="C4088" s="53" t="inlineStr">
        <is>
          <t>TECH-047</t>
        </is>
      </c>
      <c r="D4088" s="53" t="inlineStr">
        <is>
          <t>Structures</t>
        </is>
      </c>
      <c r="E4088" s="53" t="inlineStr">
        <is>
          <t>2024-12-25</t>
        </is>
      </c>
      <c r="F4088" s="53">
        <v>12</v>
      </c>
      <c r="G4088" s="53">
        <v>4</v>
      </c>
      <c r="H4088" s="51" t="str">
        <f>TEXT(tblLaborEntries[[#This Row],[Work date serial]]-WEEKDAY(tblLaborEntries[[#This Row],[Work date serial]],3),"yyyy-mm-dd")</f>
        <v>2024-12-23</v>
      </c>
      <c r="I4088" s="64">
        <f>DATEVALUE(tblLaborEntries[[#This Row],[Work date]])</f>
        <v>45651.0</v>
      </c>
    </row>
    <row r="4089" spans="1:9" ht="15" x14ac:dyDescent="0.25">
      <c r="A4089" s="53" t="inlineStr">
        <is>
          <t>LAB-004088</t>
        </is>
      </c>
      <c r="B4089" s="53" t="inlineStr">
        <is>
          <t>WP-01802</t>
        </is>
      </c>
      <c r="C4089" s="53" t="inlineStr">
        <is>
          <t>TECH-053</t>
        </is>
      </c>
      <c r="D4089" s="53" t="inlineStr">
        <is>
          <t>Structures</t>
        </is>
      </c>
      <c r="E4089" s="53" t="inlineStr">
        <is>
          <t>2024-12-26</t>
        </is>
      </c>
      <c r="F4089" s="53">
        <v>11.3</v>
      </c>
      <c r="G4089" s="53">
        <v>3.3</v>
      </c>
      <c r="H4089" s="51" t="str">
        <f>TEXT(tblLaborEntries[[#This Row],[Work date serial]]-WEEKDAY(tblLaborEntries[[#This Row],[Work date serial]],3),"yyyy-mm-dd")</f>
        <v>2024-12-23</v>
      </c>
      <c r="I4089" s="64">
        <f>DATEVALUE(tblLaborEntries[[#This Row],[Work date]])</f>
        <v>45652.0</v>
      </c>
    </row>
    <row r="4090" spans="1:9" ht="15" x14ac:dyDescent="0.25">
      <c r="A4090" s="53" t="inlineStr">
        <is>
          <t>LAB-004089</t>
        </is>
      </c>
      <c r="B4090" s="53" t="inlineStr">
        <is>
          <t>WP-01803</t>
        </is>
      </c>
      <c r="C4090" s="53" t="inlineStr">
        <is>
          <t>TECH-057</t>
        </is>
      </c>
      <c r="D4090" s="53" t="inlineStr">
        <is>
          <t>Hydraulics</t>
        </is>
      </c>
      <c r="E4090" s="53" t="inlineStr">
        <is>
          <t>2024-09-25</t>
        </is>
      </c>
      <c r="F4090" s="53">
        <v>4</v>
      </c>
      <c r="G4090" s="53">
        <v>2.6</v>
      </c>
      <c r="H4090" s="51" t="str">
        <f>TEXT(tblLaborEntries[[#This Row],[Work date serial]]-WEEKDAY(tblLaborEntries[[#This Row],[Work date serial]],3),"yyyy-mm-dd")</f>
        <v>2024-09-23</v>
      </c>
      <c r="I4090" s="64">
        <f>DATEVALUE(tblLaborEntries[[#This Row],[Work date]])</f>
        <v>45560.0</v>
      </c>
    </row>
    <row r="4091" spans="1:9" ht="15" x14ac:dyDescent="0.25">
      <c r="A4091" s="53" t="inlineStr">
        <is>
          <t>LAB-004090</t>
        </is>
      </c>
      <c r="B4091" s="53" t="inlineStr">
        <is>
          <t>WP-01803</t>
        </is>
      </c>
      <c r="C4091" s="53" t="inlineStr">
        <is>
          <t>TECH-039</t>
        </is>
      </c>
      <c r="D4091" s="53" t="inlineStr">
        <is>
          <t>Hydraulics</t>
        </is>
      </c>
      <c r="E4091" s="53" t="inlineStr">
        <is>
          <t>2024-09-26</t>
        </is>
      </c>
      <c r="F4091" s="53">
        <v>2.6</v>
      </c>
      <c r="G4091" s="53">
        <v>0</v>
      </c>
      <c r="H4091" s="51" t="str">
        <f>TEXT(tblLaborEntries[[#This Row],[Work date serial]]-WEEKDAY(tblLaborEntries[[#This Row],[Work date serial]],3),"yyyy-mm-dd")</f>
        <v>2024-09-23</v>
      </c>
      <c r="I4091" s="64">
        <f>DATEVALUE(tblLaborEntries[[#This Row],[Work date]])</f>
        <v>45561.0</v>
      </c>
    </row>
    <row r="4092" spans="1:9" ht="15" x14ac:dyDescent="0.25">
      <c r="A4092" s="53" t="inlineStr">
        <is>
          <t>LAB-004091</t>
        </is>
      </c>
      <c r="B4092" s="53" t="inlineStr">
        <is>
          <t>WP-01803</t>
        </is>
      </c>
      <c r="C4092" s="53" t="inlineStr">
        <is>
          <t>TECH-051</t>
        </is>
      </c>
      <c r="D4092" s="53" t="inlineStr">
        <is>
          <t>Hydraulics</t>
        </is>
      </c>
      <c r="E4092" s="53" t="inlineStr">
        <is>
          <t>2024-09-27</t>
        </is>
      </c>
      <c r="F4092" s="53">
        <v>4</v>
      </c>
      <c r="G4092" s="53">
        <v>0</v>
      </c>
      <c r="H4092" s="51" t="str">
        <f>TEXT(tblLaborEntries[[#This Row],[Work date serial]]-WEEKDAY(tblLaborEntries[[#This Row],[Work date serial]],3),"yyyy-mm-dd")</f>
        <v>2024-09-23</v>
      </c>
      <c r="I4092" s="64">
        <f>DATEVALUE(tblLaborEntries[[#This Row],[Work date]])</f>
        <v>45562.0</v>
      </c>
    </row>
    <row r="4093" spans="1:9" ht="15" x14ac:dyDescent="0.25">
      <c r="A4093" s="53" t="inlineStr">
        <is>
          <t>LAB-004092</t>
        </is>
      </c>
      <c r="B4093" s="53" t="inlineStr">
        <is>
          <t>WP-01804</t>
        </is>
      </c>
      <c r="C4093" s="53" t="inlineStr">
        <is>
          <t>TECH-038</t>
        </is>
      </c>
      <c r="D4093" s="53" t="inlineStr">
        <is>
          <t>Avionics</t>
        </is>
      </c>
      <c r="E4093" s="53" t="inlineStr">
        <is>
          <t>2024-09-02</t>
        </is>
      </c>
      <c r="F4093" s="53">
        <v>8.6</v>
      </c>
      <c r="G4093" s="53">
        <v>0.6</v>
      </c>
      <c r="H4093" s="51" t="str">
        <f>TEXT(tblLaborEntries[[#This Row],[Work date serial]]-WEEKDAY(tblLaborEntries[[#This Row],[Work date serial]],3),"yyyy-mm-dd")</f>
        <v>2024-09-02</v>
      </c>
      <c r="I4093" s="64">
        <f>DATEVALUE(tblLaborEntries[[#This Row],[Work date]])</f>
        <v>45537.0</v>
      </c>
    </row>
    <row r="4094" spans="1:9" ht="15" x14ac:dyDescent="0.25">
      <c r="A4094" s="53" t="inlineStr">
        <is>
          <t>LAB-004093</t>
        </is>
      </c>
      <c r="B4094" s="53" t="inlineStr">
        <is>
          <t>WP-01804</t>
        </is>
      </c>
      <c r="C4094" s="53" t="inlineStr">
        <is>
          <t>TECH-002</t>
        </is>
      </c>
      <c r="D4094" s="53" t="inlineStr">
        <is>
          <t>Avionics</t>
        </is>
      </c>
      <c r="E4094" s="53" t="inlineStr">
        <is>
          <t>2024-09-03</t>
        </is>
      </c>
      <c r="F4094" s="53">
        <v>5.8</v>
      </c>
      <c r="G4094" s="53">
        <v>0</v>
      </c>
      <c r="H4094" s="51" t="str">
        <f>TEXT(tblLaborEntries[[#This Row],[Work date serial]]-WEEKDAY(tblLaborEntries[[#This Row],[Work date serial]],3),"yyyy-mm-dd")</f>
        <v>2024-09-02</v>
      </c>
      <c r="I4094" s="64">
        <f>DATEVALUE(tblLaborEntries[[#This Row],[Work date]])</f>
        <v>45538.0</v>
      </c>
    </row>
    <row r="4095" spans="1:9" ht="15" x14ac:dyDescent="0.25">
      <c r="A4095" s="53" t="inlineStr">
        <is>
          <t>LAB-004094</t>
        </is>
      </c>
      <c r="B4095" s="53" t="inlineStr">
        <is>
          <t>WP-01804</t>
        </is>
      </c>
      <c r="C4095" s="53" t="inlineStr">
        <is>
          <t>TECH-044</t>
        </is>
      </c>
      <c r="D4095" s="53" t="inlineStr">
        <is>
          <t>Avionics</t>
        </is>
      </c>
      <c r="E4095" s="53" t="inlineStr">
        <is>
          <t>2024-09-04</t>
        </is>
      </c>
      <c r="F4095" s="53">
        <v>8.2</v>
      </c>
      <c r="G4095" s="53">
        <v>0.2</v>
      </c>
      <c r="H4095" s="51" t="str">
        <f>TEXT(tblLaborEntries[[#This Row],[Work date serial]]-WEEKDAY(tblLaborEntries[[#This Row],[Work date serial]],3),"yyyy-mm-dd")</f>
        <v>2024-09-02</v>
      </c>
      <c r="I4095" s="64">
        <f>DATEVALUE(tblLaborEntries[[#This Row],[Work date]])</f>
        <v>45539.0</v>
      </c>
    </row>
    <row r="4096" spans="1:9" ht="15" x14ac:dyDescent="0.25">
      <c r="A4096" s="53" t="inlineStr">
        <is>
          <t>LAB-004095</t>
        </is>
      </c>
      <c r="B4096" s="53" t="inlineStr">
        <is>
          <t>WP-01805</t>
        </is>
      </c>
      <c r="C4096" s="53" t="inlineStr">
        <is>
          <t>TECH-002</t>
        </is>
      </c>
      <c r="D4096" s="53" t="inlineStr">
        <is>
          <t>Avionics</t>
        </is>
      </c>
      <c r="E4096" s="53" t="inlineStr">
        <is>
          <t>2025-07-23</t>
        </is>
      </c>
      <c r="F4096" s="53">
        <v>2.1</v>
      </c>
      <c r="G4096" s="53">
        <v>0</v>
      </c>
      <c r="H4096" s="51" t="str">
        <f>TEXT(tblLaborEntries[[#This Row],[Work date serial]]-WEEKDAY(tblLaborEntries[[#This Row],[Work date serial]],3),"yyyy-mm-dd")</f>
        <v>2025-07-21</v>
      </c>
      <c r="I4096" s="64">
        <f>DATEVALUE(tblLaborEntries[[#This Row],[Work date]])</f>
        <v>45861.0</v>
      </c>
    </row>
    <row r="4097" spans="1:9" ht="15" x14ac:dyDescent="0.25">
      <c r="A4097" s="53" t="inlineStr">
        <is>
          <t>LAB-004096</t>
        </is>
      </c>
      <c r="B4097" s="53" t="inlineStr">
        <is>
          <t>WP-01805</t>
        </is>
      </c>
      <c r="C4097" s="53" t="inlineStr">
        <is>
          <t>TECH-014</t>
        </is>
      </c>
      <c r="D4097" s="53" t="inlineStr">
        <is>
          <t>Avionics</t>
        </is>
      </c>
      <c r="E4097" s="53" t="inlineStr">
        <is>
          <t>2025-07-24</t>
        </is>
      </c>
      <c r="F4097" s="53">
        <v>3.3</v>
      </c>
      <c r="G4097" s="53">
        <v>0</v>
      </c>
      <c r="H4097" s="51" t="str">
        <f>TEXT(tblLaborEntries[[#This Row],[Work date serial]]-WEEKDAY(tblLaborEntries[[#This Row],[Work date serial]],3),"yyyy-mm-dd")</f>
        <v>2025-07-21</v>
      </c>
      <c r="I4097" s="64">
        <f>DATEVALUE(tblLaborEntries[[#This Row],[Work date]])</f>
        <v>45862.0</v>
      </c>
    </row>
    <row r="4098" spans="1:9" ht="15" x14ac:dyDescent="0.25">
      <c r="A4098" s="53" t="inlineStr">
        <is>
          <t>LAB-004097</t>
        </is>
      </c>
      <c r="B4098" s="53" t="inlineStr">
        <is>
          <t>WP-01806</t>
        </is>
      </c>
      <c r="C4098" s="53" t="inlineStr">
        <is>
          <t>TECH-037</t>
        </is>
      </c>
      <c r="D4098" s="53" t="inlineStr">
        <is>
          <t>Airframe</t>
        </is>
      </c>
      <c r="E4098" s="53" t="inlineStr">
        <is>
          <t>2025-01-19</t>
        </is>
      </c>
      <c r="F4098" s="53">
        <v>3.1</v>
      </c>
      <c r="G4098" s="53">
        <v>0</v>
      </c>
      <c r="H4098" s="51" t="str">
        <f>TEXT(tblLaborEntries[[#This Row],[Work date serial]]-WEEKDAY(tblLaborEntries[[#This Row],[Work date serial]],3),"yyyy-mm-dd")</f>
        <v>2025-01-13</v>
      </c>
      <c r="I4098" s="64">
        <f>DATEVALUE(tblLaborEntries[[#This Row],[Work date]])</f>
        <v>45676.0</v>
      </c>
    </row>
    <row r="4099" spans="1:9" ht="15" x14ac:dyDescent="0.25">
      <c r="A4099" s="53" t="inlineStr">
        <is>
          <t>LAB-004098</t>
        </is>
      </c>
      <c r="B4099" s="53" t="inlineStr">
        <is>
          <t>WP-01806</t>
        </is>
      </c>
      <c r="C4099" s="53" t="inlineStr">
        <is>
          <t>TECH-073</t>
        </is>
      </c>
      <c r="D4099" s="53" t="inlineStr">
        <is>
          <t>Airframe</t>
        </is>
      </c>
      <c r="E4099" s="53" t="inlineStr">
        <is>
          <t>2025-01-20</t>
        </is>
      </c>
      <c r="F4099" s="53">
        <v>2.8</v>
      </c>
      <c r="G4099" s="53">
        <v>0</v>
      </c>
      <c r="H4099" s="51" t="str">
        <f>TEXT(tblLaborEntries[[#This Row],[Work date serial]]-WEEKDAY(tblLaborEntries[[#This Row],[Work date serial]],3),"yyyy-mm-dd")</f>
        <v>2025-01-20</v>
      </c>
      <c r="I4099" s="64">
        <f>DATEVALUE(tblLaborEntries[[#This Row],[Work date]])</f>
        <v>45677.0</v>
      </c>
    </row>
    <row r="4100" spans="1:9" ht="15" x14ac:dyDescent="0.25">
      <c r="A4100" s="53" t="inlineStr">
        <is>
          <t>LAB-004099</t>
        </is>
      </c>
      <c r="B4100" s="53" t="inlineStr">
        <is>
          <t>WP-01806</t>
        </is>
      </c>
      <c r="C4100" s="53" t="inlineStr">
        <is>
          <t>TECH-007</t>
        </is>
      </c>
      <c r="D4100" s="53" t="inlineStr">
        <is>
          <t>Airframe</t>
        </is>
      </c>
      <c r="E4100" s="53" t="inlineStr">
        <is>
          <t>2025-01-21</t>
        </is>
      </c>
      <c r="F4100" s="53">
        <v>4.2</v>
      </c>
      <c r="G4100" s="53">
        <v>0</v>
      </c>
      <c r="H4100" s="51" t="str">
        <f>TEXT(tblLaborEntries[[#This Row],[Work date serial]]-WEEKDAY(tblLaborEntries[[#This Row],[Work date serial]],3),"yyyy-mm-dd")</f>
        <v>2025-01-20</v>
      </c>
      <c r="I4100" s="64">
        <f>DATEVALUE(tblLaborEntries[[#This Row],[Work date]])</f>
        <v>45678.0</v>
      </c>
    </row>
    <row r="4101" spans="1:9" ht="15" x14ac:dyDescent="0.25">
      <c r="A4101" s="53" t="inlineStr">
        <is>
          <t>LAB-004100</t>
        </is>
      </c>
      <c r="B4101" s="53" t="inlineStr">
        <is>
          <t>WP-01807</t>
        </is>
      </c>
      <c r="C4101" s="53" t="inlineStr">
        <is>
          <t>TECH-073</t>
        </is>
      </c>
      <c r="D4101" s="53" t="inlineStr">
        <is>
          <t>Airframe</t>
        </is>
      </c>
      <c r="E4101" s="53" t="inlineStr">
        <is>
          <t>2024-11-09</t>
        </is>
      </c>
      <c r="F4101" s="53">
        <v>4.2</v>
      </c>
      <c r="G4101" s="53">
        <v>0</v>
      </c>
      <c r="H4101" s="51" t="str">
        <f>TEXT(tblLaborEntries[[#This Row],[Work date serial]]-WEEKDAY(tblLaborEntries[[#This Row],[Work date serial]],3),"yyyy-mm-dd")</f>
        <v>2024-11-04</v>
      </c>
      <c r="I4101" s="64">
        <f>DATEVALUE(tblLaborEntries[[#This Row],[Work date]])</f>
        <v>45605.0</v>
      </c>
    </row>
    <row r="4102" spans="1:9" ht="15" x14ac:dyDescent="0.25">
      <c r="A4102" s="53" t="inlineStr">
        <is>
          <t>LAB-004101</t>
        </is>
      </c>
      <c r="B4102" s="53" t="inlineStr">
        <is>
          <t>WP-01807</t>
        </is>
      </c>
      <c r="C4102" s="53" t="inlineStr">
        <is>
          <t>TECH-025</t>
        </is>
      </c>
      <c r="D4102" s="53" t="inlineStr">
        <is>
          <t>Airframe</t>
        </is>
      </c>
      <c r="E4102" s="53" t="inlineStr">
        <is>
          <t>2024-11-10</t>
        </is>
      </c>
      <c r="F4102" s="53">
        <v>3.3</v>
      </c>
      <c r="G4102" s="53">
        <v>0</v>
      </c>
      <c r="H4102" s="51" t="str">
        <f>TEXT(tblLaborEntries[[#This Row],[Work date serial]]-WEEKDAY(tblLaborEntries[[#This Row],[Work date serial]],3),"yyyy-mm-dd")</f>
        <v>2024-11-04</v>
      </c>
      <c r="I4102" s="64">
        <f>DATEVALUE(tblLaborEntries[[#This Row],[Work date]])</f>
        <v>45606.0</v>
      </c>
    </row>
    <row r="4103" spans="1:9" ht="15" x14ac:dyDescent="0.25">
      <c r="A4103" s="53" t="inlineStr">
        <is>
          <t>LAB-004102</t>
        </is>
      </c>
      <c r="B4103" s="53" t="inlineStr">
        <is>
          <t>WP-01807</t>
        </is>
      </c>
      <c r="C4103" s="53" t="inlineStr">
        <is>
          <t>TECH-049</t>
        </is>
      </c>
      <c r="D4103" s="53" t="inlineStr">
        <is>
          <t>Airframe</t>
        </is>
      </c>
      <c r="E4103" s="53" t="inlineStr">
        <is>
          <t>2024-11-11</t>
        </is>
      </c>
      <c r="F4103" s="53">
        <v>4.3</v>
      </c>
      <c r="G4103" s="53">
        <v>0</v>
      </c>
      <c r="H4103" s="51" t="str">
        <f>TEXT(tblLaborEntries[[#This Row],[Work date serial]]-WEEKDAY(tblLaborEntries[[#This Row],[Work date serial]],3),"yyyy-mm-dd")</f>
        <v>2024-11-11</v>
      </c>
      <c r="I4103" s="64">
        <f>DATEVALUE(tblLaborEntries[[#This Row],[Work date]])</f>
        <v>45607.0</v>
      </c>
    </row>
    <row r="4104" spans="1:9" ht="15" x14ac:dyDescent="0.25">
      <c r="A4104" s="53" t="inlineStr">
        <is>
          <t>LAB-004103</t>
        </is>
      </c>
      <c r="B4104" s="53" t="inlineStr">
        <is>
          <t>WP-01808</t>
        </is>
      </c>
      <c r="C4104" s="53" t="inlineStr">
        <is>
          <t>TECH-034</t>
        </is>
      </c>
      <c r="D4104" s="53" t="inlineStr">
        <is>
          <t>Electrical</t>
        </is>
      </c>
      <c r="E4104" s="53" t="inlineStr">
        <is>
          <t>2025-08-23</t>
        </is>
      </c>
      <c r="F4104" s="53">
        <v>2.5</v>
      </c>
      <c r="G4104" s="53">
        <v>0</v>
      </c>
      <c r="H4104" s="51" t="str">
        <f>TEXT(tblLaborEntries[[#This Row],[Work date serial]]-WEEKDAY(tblLaborEntries[[#This Row],[Work date serial]],3),"yyyy-mm-dd")</f>
        <v>2025-08-18</v>
      </c>
      <c r="I4104" s="64">
        <f>DATEVALUE(tblLaborEntries[[#This Row],[Work date]])</f>
        <v>45892.0</v>
      </c>
    </row>
    <row r="4105" spans="1:9" ht="15" x14ac:dyDescent="0.25">
      <c r="A4105" s="53" t="inlineStr">
        <is>
          <t>LAB-004104</t>
        </is>
      </c>
      <c r="B4105" s="53" t="inlineStr">
        <is>
          <t>WP-01808</t>
        </is>
      </c>
      <c r="C4105" s="53" t="inlineStr">
        <is>
          <t>TECH-058</t>
        </is>
      </c>
      <c r="D4105" s="53" t="inlineStr">
        <is>
          <t>Electrical</t>
        </is>
      </c>
      <c r="E4105" s="53" t="inlineStr">
        <is>
          <t>2025-08-24</t>
        </is>
      </c>
      <c r="F4105" s="53">
        <v>2.5</v>
      </c>
      <c r="G4105" s="53">
        <v>0</v>
      </c>
      <c r="H4105" s="51" t="str">
        <f>TEXT(tblLaborEntries[[#This Row],[Work date serial]]-WEEKDAY(tblLaborEntries[[#This Row],[Work date serial]],3),"yyyy-mm-dd")</f>
        <v>2025-08-18</v>
      </c>
      <c r="I4105" s="64">
        <f>DATEVALUE(tblLaborEntries[[#This Row],[Work date]])</f>
        <v>45893.0</v>
      </c>
    </row>
    <row r="4106" spans="1:9" ht="15" x14ac:dyDescent="0.25">
      <c r="A4106" s="53" t="inlineStr">
        <is>
          <t>LAB-004105</t>
        </is>
      </c>
      <c r="B4106" s="53" t="inlineStr">
        <is>
          <t>WP-01808</t>
        </is>
      </c>
      <c r="C4106" s="53" t="inlineStr">
        <is>
          <t>TECH-052</t>
        </is>
      </c>
      <c r="D4106" s="53" t="inlineStr">
        <is>
          <t>Electrical</t>
        </is>
      </c>
      <c r="E4106" s="53" t="inlineStr">
        <is>
          <t>2025-08-25</t>
        </is>
      </c>
      <c r="F4106" s="53">
        <v>3.5</v>
      </c>
      <c r="G4106" s="53">
        <v>0</v>
      </c>
      <c r="H4106" s="51" t="str">
        <f>TEXT(tblLaborEntries[[#This Row],[Work date serial]]-WEEKDAY(tblLaborEntries[[#This Row],[Work date serial]],3),"yyyy-mm-dd")</f>
        <v>2025-08-25</v>
      </c>
      <c r="I4106" s="64">
        <f>DATEVALUE(tblLaborEntries[[#This Row],[Work date]])</f>
        <v>45894.0</v>
      </c>
    </row>
    <row r="4107" spans="1:9" ht="15" x14ac:dyDescent="0.25">
      <c r="A4107" s="53" t="inlineStr">
        <is>
          <t>LAB-004106</t>
        </is>
      </c>
      <c r="B4107" s="53" t="inlineStr">
        <is>
          <t>WP-01809</t>
        </is>
      </c>
      <c r="C4107" s="53" t="inlineStr">
        <is>
          <t>TECH-036</t>
        </is>
      </c>
      <c r="D4107" s="53" t="inlineStr">
        <is>
          <t>Powerplant</t>
        </is>
      </c>
      <c r="E4107" s="53" t="inlineStr">
        <is>
          <t>2024-10-05</t>
        </is>
      </c>
      <c r="F4107" s="53">
        <v>4.8</v>
      </c>
      <c r="G4107" s="53">
        <v>0</v>
      </c>
      <c r="H4107" s="51" t="str">
        <f>TEXT(tblLaborEntries[[#This Row],[Work date serial]]-WEEKDAY(tblLaborEntries[[#This Row],[Work date serial]],3),"yyyy-mm-dd")</f>
        <v>2024-09-30</v>
      </c>
      <c r="I4107" s="64">
        <f>DATEVALUE(tblLaborEntries[[#This Row],[Work date]])</f>
        <v>45570.0</v>
      </c>
    </row>
    <row r="4108" spans="1:9" ht="15" x14ac:dyDescent="0.25">
      <c r="A4108" s="53" t="inlineStr">
        <is>
          <t>LAB-004107</t>
        </is>
      </c>
      <c r="B4108" s="53" t="inlineStr">
        <is>
          <t>WP-01809</t>
        </is>
      </c>
      <c r="C4108" s="53" t="inlineStr">
        <is>
          <t>TECH-024</t>
        </is>
      </c>
      <c r="D4108" s="53" t="inlineStr">
        <is>
          <t>Powerplant</t>
        </is>
      </c>
      <c r="E4108" s="53" t="inlineStr">
        <is>
          <t>2024-10-06</t>
        </is>
      </c>
      <c r="F4108" s="53">
        <v>3.7</v>
      </c>
      <c r="G4108" s="53">
        <v>0</v>
      </c>
      <c r="H4108" s="51" t="str">
        <f>TEXT(tblLaborEntries[[#This Row],[Work date serial]]-WEEKDAY(tblLaborEntries[[#This Row],[Work date serial]],3),"yyyy-mm-dd")</f>
        <v>2024-09-30</v>
      </c>
      <c r="I4108" s="64">
        <f>DATEVALUE(tblLaborEntries[[#This Row],[Work date]])</f>
        <v>45571.0</v>
      </c>
    </row>
    <row r="4109" spans="1:9" ht="15" x14ac:dyDescent="0.25">
      <c r="A4109" s="53" t="inlineStr">
        <is>
          <t>LAB-004108</t>
        </is>
      </c>
      <c r="B4109" s="53" t="inlineStr">
        <is>
          <t>WP-01810</t>
        </is>
      </c>
      <c r="C4109" s="53" t="inlineStr">
        <is>
          <t>TECH-038</t>
        </is>
      </c>
      <c r="D4109" s="53" t="inlineStr">
        <is>
          <t>Avionics</t>
        </is>
      </c>
      <c r="E4109" s="53" t="inlineStr">
        <is>
          <t>2024-08-02</t>
        </is>
      </c>
      <c r="F4109" s="53">
        <v>3.9</v>
      </c>
      <c r="G4109" s="53">
        <v>0</v>
      </c>
      <c r="H4109" s="51" t="str">
        <f>TEXT(tblLaborEntries[[#This Row],[Work date serial]]-WEEKDAY(tblLaborEntries[[#This Row],[Work date serial]],3),"yyyy-mm-dd")</f>
        <v>2024-07-29</v>
      </c>
      <c r="I4109" s="64">
        <f>DATEVALUE(tblLaborEntries[[#This Row],[Work date]])</f>
        <v>45506.0</v>
      </c>
    </row>
    <row r="4110" spans="1:9" ht="15" x14ac:dyDescent="0.25">
      <c r="A4110" s="53" t="inlineStr">
        <is>
          <t>LAB-004109</t>
        </is>
      </c>
      <c r="B4110" s="53" t="inlineStr">
        <is>
          <t>WP-01810</t>
        </is>
      </c>
      <c r="C4110" s="53" t="inlineStr">
        <is>
          <t>TECH-002</t>
        </is>
      </c>
      <c r="D4110" s="53" t="inlineStr">
        <is>
          <t>Avionics</t>
        </is>
      </c>
      <c r="E4110" s="53" t="inlineStr">
        <is>
          <t>2024-08-03</t>
        </is>
      </c>
      <c r="F4110" s="53">
        <v>4.4</v>
      </c>
      <c r="G4110" s="53">
        <v>0.9</v>
      </c>
      <c r="H4110" s="51" t="str">
        <f>TEXT(tblLaborEntries[[#This Row],[Work date serial]]-WEEKDAY(tblLaborEntries[[#This Row],[Work date serial]],3),"yyyy-mm-dd")</f>
        <v>2024-07-29</v>
      </c>
      <c r="I4110" s="64">
        <f>DATEVALUE(tblLaborEntries[[#This Row],[Work date]])</f>
        <v>45507.0</v>
      </c>
    </row>
    <row r="4111" spans="1:9" ht="15" x14ac:dyDescent="0.25">
      <c r="A4111" s="53" t="inlineStr">
        <is>
          <t>LAB-004110</t>
        </is>
      </c>
      <c r="B4111" s="53" t="inlineStr">
        <is>
          <t>WP-01810</t>
        </is>
      </c>
      <c r="C4111" s="53" t="inlineStr">
        <is>
          <t>TECH-038</t>
        </is>
      </c>
      <c r="D4111" s="53" t="inlineStr">
        <is>
          <t>Avionics</t>
        </is>
      </c>
      <c r="E4111" s="53" t="inlineStr">
        <is>
          <t>2024-08-04</t>
        </is>
      </c>
      <c r="F4111" s="53">
        <v>5.1</v>
      </c>
      <c r="G4111" s="53">
        <v>0</v>
      </c>
      <c r="H4111" s="51" t="str">
        <f>TEXT(tblLaborEntries[[#This Row],[Work date serial]]-WEEKDAY(tblLaborEntries[[#This Row],[Work date serial]],3),"yyyy-mm-dd")</f>
        <v>2024-07-29</v>
      </c>
      <c r="I4111" s="64">
        <f>DATEVALUE(tblLaborEntries[[#This Row],[Work date]])</f>
        <v>45508.0</v>
      </c>
    </row>
    <row r="4112" spans="1:9" ht="15" x14ac:dyDescent="0.25">
      <c r="A4112" s="53" t="inlineStr">
        <is>
          <t>LAB-004111</t>
        </is>
      </c>
      <c r="B4112" s="53" t="inlineStr">
        <is>
          <t>WP-01811</t>
        </is>
      </c>
      <c r="C4112" s="53" t="inlineStr">
        <is>
          <t>TECH-004</t>
        </is>
      </c>
      <c r="D4112" s="53" t="inlineStr">
        <is>
          <t>Electrical</t>
        </is>
      </c>
      <c r="E4112" s="53" t="inlineStr">
        <is>
          <t>2024-04-25</t>
        </is>
      </c>
      <c r="F4112" s="53">
        <v>12</v>
      </c>
      <c r="G4112" s="53">
        <v>4</v>
      </c>
      <c r="H4112" s="51" t="str">
        <f>TEXT(tblLaborEntries[[#This Row],[Work date serial]]-WEEKDAY(tblLaborEntries[[#This Row],[Work date serial]],3),"yyyy-mm-dd")</f>
        <v>2024-04-22</v>
      </c>
      <c r="I4112" s="64">
        <f>DATEVALUE(tblLaborEntries[[#This Row],[Work date]])</f>
        <v>45407.0</v>
      </c>
    </row>
    <row r="4113" spans="1:9" ht="15" x14ac:dyDescent="0.25">
      <c r="A4113" s="53" t="inlineStr">
        <is>
          <t>LAB-004112</t>
        </is>
      </c>
      <c r="B4113" s="53" t="inlineStr">
        <is>
          <t>WP-01811</t>
        </is>
      </c>
      <c r="C4113" s="53" t="inlineStr">
        <is>
          <t>TECH-010</t>
        </is>
      </c>
      <c r="D4113" s="53" t="inlineStr">
        <is>
          <t>Electrical</t>
        </is>
      </c>
      <c r="E4113" s="53" t="inlineStr">
        <is>
          <t>2024-04-25</t>
        </is>
      </c>
      <c r="F4113" s="53">
        <v>6.9</v>
      </c>
      <c r="G4113" s="53">
        <v>0</v>
      </c>
      <c r="H4113" s="51" t="str">
        <f>TEXT(tblLaborEntries[[#This Row],[Work date serial]]-WEEKDAY(tblLaborEntries[[#This Row],[Work date serial]],3),"yyyy-mm-dd")</f>
        <v>2024-04-22</v>
      </c>
      <c r="I4113" s="64">
        <f>DATEVALUE(tblLaborEntries[[#This Row],[Work date]])</f>
        <v>45407.0</v>
      </c>
    </row>
    <row r="4114" spans="1:9" ht="15" x14ac:dyDescent="0.25">
      <c r="A4114" s="53" t="inlineStr">
        <is>
          <t>LAB-004113</t>
        </is>
      </c>
      <c r="B4114" s="53" t="inlineStr">
        <is>
          <t>WP-01811</t>
        </is>
      </c>
      <c r="C4114" s="53" t="inlineStr">
        <is>
          <t>TECH-058</t>
        </is>
      </c>
      <c r="D4114" s="53" t="inlineStr">
        <is>
          <t>Electrical</t>
        </is>
      </c>
      <c r="E4114" s="53" t="inlineStr">
        <is>
          <t>2024-04-25</t>
        </is>
      </c>
      <c r="F4114" s="53">
        <v>12</v>
      </c>
      <c r="G4114" s="53">
        <v>4</v>
      </c>
      <c r="H4114" s="51" t="str">
        <f>TEXT(tblLaborEntries[[#This Row],[Work date serial]]-WEEKDAY(tblLaborEntries[[#This Row],[Work date serial]],3),"yyyy-mm-dd")</f>
        <v>2024-04-22</v>
      </c>
      <c r="I4114" s="64">
        <f>DATEVALUE(tblLaborEntries[[#This Row],[Work date]])</f>
        <v>45407.0</v>
      </c>
    </row>
    <row r="4115" spans="1:9" ht="15" x14ac:dyDescent="0.25">
      <c r="A4115" s="53" t="inlineStr">
        <is>
          <t>LAB-004114</t>
        </is>
      </c>
      <c r="B4115" s="53" t="inlineStr">
        <is>
          <t>WP-01812</t>
        </is>
      </c>
      <c r="C4115" s="53" t="inlineStr">
        <is>
          <t>TECH-016</t>
        </is>
      </c>
      <c r="D4115" s="53" t="inlineStr">
        <is>
          <t>Electrical</t>
        </is>
      </c>
      <c r="E4115" s="53" t="inlineStr">
        <is>
          <t>2024-02-29</t>
        </is>
      </c>
      <c r="F4115" s="53">
        <v>3.9</v>
      </c>
      <c r="G4115" s="53">
        <v>0</v>
      </c>
      <c r="H4115" s="51" t="str">
        <f>TEXT(tblLaborEntries[[#This Row],[Work date serial]]-WEEKDAY(tblLaborEntries[[#This Row],[Work date serial]],3),"yyyy-mm-dd")</f>
        <v>2024-02-26</v>
      </c>
      <c r="I4115" s="64">
        <f>DATEVALUE(tblLaborEntries[[#This Row],[Work date]])</f>
        <v>45351.0</v>
      </c>
    </row>
    <row r="4116" spans="1:9" ht="15" x14ac:dyDescent="0.25">
      <c r="A4116" s="53" t="inlineStr">
        <is>
          <t>LAB-004115</t>
        </is>
      </c>
      <c r="B4116" s="53" t="inlineStr">
        <is>
          <t>WP-01812</t>
        </is>
      </c>
      <c r="C4116" s="53" t="inlineStr">
        <is>
          <t>TECH-052</t>
        </is>
      </c>
      <c r="D4116" s="53" t="inlineStr">
        <is>
          <t>Electrical</t>
        </is>
      </c>
      <c r="E4116" s="53" t="inlineStr">
        <is>
          <t>2024-03-01</t>
        </is>
      </c>
      <c r="F4116" s="53">
        <v>2.9</v>
      </c>
      <c r="G4116" s="53">
        <v>0</v>
      </c>
      <c r="H4116" s="51" t="str">
        <f>TEXT(tblLaborEntries[[#This Row],[Work date serial]]-WEEKDAY(tblLaborEntries[[#This Row],[Work date serial]],3),"yyyy-mm-dd")</f>
        <v>2024-02-26</v>
      </c>
      <c r="I4116" s="64">
        <f>DATEVALUE(tblLaborEntries[[#This Row],[Work date]])</f>
        <v>45352.0</v>
      </c>
    </row>
    <row r="4117" spans="1:9" ht="15" x14ac:dyDescent="0.25">
      <c r="A4117" s="53" t="inlineStr">
        <is>
          <t>LAB-004116</t>
        </is>
      </c>
      <c r="B4117" s="53" t="inlineStr">
        <is>
          <t>WP-01812</t>
        </is>
      </c>
      <c r="C4117" s="53" t="inlineStr">
        <is>
          <t>TECH-028</t>
        </is>
      </c>
      <c r="D4117" s="53" t="inlineStr">
        <is>
          <t>Electrical</t>
        </is>
      </c>
      <c r="E4117" s="53" t="inlineStr">
        <is>
          <t>2024-03-02</t>
        </is>
      </c>
      <c r="F4117" s="53">
        <v>3.8</v>
      </c>
      <c r="G4117" s="53">
        <v>0</v>
      </c>
      <c r="H4117" s="51" t="str">
        <f>TEXT(tblLaborEntries[[#This Row],[Work date serial]]-WEEKDAY(tblLaborEntries[[#This Row],[Work date serial]],3),"yyyy-mm-dd")</f>
        <v>2024-02-26</v>
      </c>
      <c r="I4117" s="64">
        <f>DATEVALUE(tblLaborEntries[[#This Row],[Work date]])</f>
        <v>45353.0</v>
      </c>
    </row>
    <row r="4118" spans="1:9" ht="15" x14ac:dyDescent="0.25">
      <c r="A4118" s="53" t="inlineStr">
        <is>
          <t>LAB-004117</t>
        </is>
      </c>
      <c r="B4118" s="53" t="inlineStr">
        <is>
          <t>WP-01813</t>
        </is>
      </c>
      <c r="C4118" s="53" t="inlineStr">
        <is>
          <t>TECH-046</t>
        </is>
      </c>
      <c r="D4118" s="53" t="inlineStr">
        <is>
          <t>Electrical</t>
        </is>
      </c>
      <c r="E4118" s="53" t="inlineStr">
        <is>
          <t>2025-05-16</t>
        </is>
      </c>
      <c r="F4118" s="53">
        <v>4.6</v>
      </c>
      <c r="G4118" s="53">
        <v>0</v>
      </c>
      <c r="H4118" s="51" t="str">
        <f>TEXT(tblLaborEntries[[#This Row],[Work date serial]]-WEEKDAY(tblLaborEntries[[#This Row],[Work date serial]],3),"yyyy-mm-dd")</f>
        <v>2025-05-12</v>
      </c>
      <c r="I4118" s="64">
        <f>DATEVALUE(tblLaborEntries[[#This Row],[Work date]])</f>
        <v>45793.0</v>
      </c>
    </row>
    <row r="4119" spans="1:9" ht="15" x14ac:dyDescent="0.25">
      <c r="A4119" s="53" t="inlineStr">
        <is>
          <t>LAB-004118</t>
        </is>
      </c>
      <c r="B4119" s="53" t="inlineStr">
        <is>
          <t>WP-01813</t>
        </is>
      </c>
      <c r="C4119" s="53" t="inlineStr">
        <is>
          <t>TECH-070</t>
        </is>
      </c>
      <c r="D4119" s="53" t="inlineStr">
        <is>
          <t>Electrical</t>
        </is>
      </c>
      <c r="E4119" s="53" t="inlineStr">
        <is>
          <t>2025-05-17</t>
        </is>
      </c>
      <c r="F4119" s="53">
        <v>4.8</v>
      </c>
      <c r="G4119" s="53">
        <v>0</v>
      </c>
      <c r="H4119" s="51" t="str">
        <f>TEXT(tblLaborEntries[[#This Row],[Work date serial]]-WEEKDAY(tblLaborEntries[[#This Row],[Work date serial]],3),"yyyy-mm-dd")</f>
        <v>2025-05-12</v>
      </c>
      <c r="I4119" s="64">
        <f>DATEVALUE(tblLaborEntries[[#This Row],[Work date]])</f>
        <v>45794.0</v>
      </c>
    </row>
    <row r="4120" spans="1:9" ht="15" x14ac:dyDescent="0.25">
      <c r="A4120" s="53" t="inlineStr">
        <is>
          <t>LAB-004119</t>
        </is>
      </c>
      <c r="B4120" s="53" t="inlineStr">
        <is>
          <t>WP-01813</t>
        </is>
      </c>
      <c r="C4120" s="53" t="inlineStr">
        <is>
          <t>TECH-034</t>
        </is>
      </c>
      <c r="D4120" s="53" t="inlineStr">
        <is>
          <t>Electrical</t>
        </is>
      </c>
      <c r="E4120" s="53" t="inlineStr">
        <is>
          <t>2025-05-18</t>
        </is>
      </c>
      <c r="F4120" s="53">
        <v>6</v>
      </c>
      <c r="G4120" s="53">
        <v>0</v>
      </c>
      <c r="H4120" s="51" t="str">
        <f>TEXT(tblLaborEntries[[#This Row],[Work date serial]]-WEEKDAY(tblLaborEntries[[#This Row],[Work date serial]],3),"yyyy-mm-dd")</f>
        <v>2025-05-12</v>
      </c>
      <c r="I4120" s="64">
        <f>DATEVALUE(tblLaborEntries[[#This Row],[Work date]])</f>
        <v>45795.0</v>
      </c>
    </row>
    <row r="4121" spans="1:9" ht="15" x14ac:dyDescent="0.25">
      <c r="A4121" s="53" t="inlineStr">
        <is>
          <t>LAB-004120</t>
        </is>
      </c>
      <c r="B4121" s="53" t="inlineStr">
        <is>
          <t>WP-01814</t>
        </is>
      </c>
      <c r="C4121" s="53" t="inlineStr">
        <is>
          <t>TECH-008</t>
        </is>
      </c>
      <c r="D4121" s="53" t="inlineStr">
        <is>
          <t>Avionics</t>
        </is>
      </c>
      <c r="E4121" s="53" t="inlineStr">
        <is>
          <t>2025-10-24</t>
        </is>
      </c>
      <c r="F4121" s="53">
        <v>3.1</v>
      </c>
      <c r="G4121" s="53">
        <v>0</v>
      </c>
      <c r="H4121" s="51" t="str">
        <f>TEXT(tblLaborEntries[[#This Row],[Work date serial]]-WEEKDAY(tblLaborEntries[[#This Row],[Work date serial]],3),"yyyy-mm-dd")</f>
        <v>2025-10-20</v>
      </c>
      <c r="I4121" s="64">
        <f>DATEVALUE(tblLaborEntries[[#This Row],[Work date]])</f>
        <v>45954.0</v>
      </c>
    </row>
    <row r="4122" spans="1:9" ht="15" x14ac:dyDescent="0.25">
      <c r="A4122" s="53" t="inlineStr">
        <is>
          <t>LAB-004121</t>
        </is>
      </c>
      <c r="B4122" s="53" t="inlineStr">
        <is>
          <t>WP-01814</t>
        </is>
      </c>
      <c r="C4122" s="53" t="inlineStr">
        <is>
          <t>TECH-068</t>
        </is>
      </c>
      <c r="D4122" s="53" t="inlineStr">
        <is>
          <t>Avionics</t>
        </is>
      </c>
      <c r="E4122" s="53" t="inlineStr">
        <is>
          <t>2025-10-24</t>
        </is>
      </c>
      <c r="F4122" s="53">
        <v>12</v>
      </c>
      <c r="G4122" s="53">
        <v>4</v>
      </c>
      <c r="H4122" s="51" t="str">
        <f>TEXT(tblLaborEntries[[#This Row],[Work date serial]]-WEEKDAY(tblLaborEntries[[#This Row],[Work date serial]],3),"yyyy-mm-dd")</f>
        <v>2025-10-20</v>
      </c>
      <c r="I4122" s="64">
        <f>DATEVALUE(tblLaborEntries[[#This Row],[Work date]])</f>
        <v>45954.0</v>
      </c>
    </row>
    <row r="4123" spans="1:9" ht="15" x14ac:dyDescent="0.25">
      <c r="A4123" s="53" t="inlineStr">
        <is>
          <t>LAB-004122</t>
        </is>
      </c>
      <c r="B4123" s="53" t="inlineStr">
        <is>
          <t>WP-01815</t>
        </is>
      </c>
      <c r="C4123" s="53" t="inlineStr">
        <is>
          <t>TECH-055</t>
        </is>
      </c>
      <c r="D4123" s="53" t="inlineStr">
        <is>
          <t>Airframe</t>
        </is>
      </c>
      <c r="E4123" s="53" t="inlineStr">
        <is>
          <t>2025-07-09</t>
        </is>
      </c>
      <c r="F4123" s="53">
        <v>2.7</v>
      </c>
      <c r="G4123" s="53">
        <v>0</v>
      </c>
      <c r="H4123" s="51" t="str">
        <f>TEXT(tblLaborEntries[[#This Row],[Work date serial]]-WEEKDAY(tblLaborEntries[[#This Row],[Work date serial]],3),"yyyy-mm-dd")</f>
        <v>2025-07-07</v>
      </c>
      <c r="I4123" s="64">
        <f>DATEVALUE(tblLaborEntries[[#This Row],[Work date]])</f>
        <v>45847.0</v>
      </c>
    </row>
    <row r="4124" spans="1:9" ht="15" x14ac:dyDescent="0.25">
      <c r="A4124" s="53" t="inlineStr">
        <is>
          <t>LAB-004123</t>
        </is>
      </c>
      <c r="B4124" s="53" t="inlineStr">
        <is>
          <t>WP-01815</t>
        </is>
      </c>
      <c r="C4124" s="53" t="inlineStr">
        <is>
          <t>TECH-001</t>
        </is>
      </c>
      <c r="D4124" s="53" t="inlineStr">
        <is>
          <t>Airframe</t>
        </is>
      </c>
      <c r="E4124" s="53" t="inlineStr">
        <is>
          <t>2025-07-10</t>
        </is>
      </c>
      <c r="F4124" s="53">
        <v>3.6</v>
      </c>
      <c r="G4124" s="53">
        <v>0</v>
      </c>
      <c r="H4124" s="51" t="str">
        <f>TEXT(tblLaborEntries[[#This Row],[Work date serial]]-WEEKDAY(tblLaborEntries[[#This Row],[Work date serial]],3),"yyyy-mm-dd")</f>
        <v>2025-07-07</v>
      </c>
      <c r="I4124" s="64">
        <f>DATEVALUE(tblLaborEntries[[#This Row],[Work date]])</f>
        <v>45848.0</v>
      </c>
    </row>
    <row r="4125" spans="1:9" ht="15" x14ac:dyDescent="0.25">
      <c r="A4125" s="53" t="inlineStr">
        <is>
          <t>LAB-004124</t>
        </is>
      </c>
      <c r="B4125" s="53" t="inlineStr">
        <is>
          <t>WP-01815</t>
        </is>
      </c>
      <c r="C4125" s="53" t="inlineStr">
        <is>
          <t>TECH-001</t>
        </is>
      </c>
      <c r="D4125" s="53" t="inlineStr">
        <is>
          <t>Airframe</t>
        </is>
      </c>
      <c r="E4125" s="53" t="inlineStr">
        <is>
          <t>2025-07-11</t>
        </is>
      </c>
      <c r="F4125" s="53">
        <v>3</v>
      </c>
      <c r="G4125" s="53">
        <v>0</v>
      </c>
      <c r="H4125" s="51" t="str">
        <f>TEXT(tblLaborEntries[[#This Row],[Work date serial]]-WEEKDAY(tblLaborEntries[[#This Row],[Work date serial]],3),"yyyy-mm-dd")</f>
        <v>2025-07-07</v>
      </c>
      <c r="I4125" s="64">
        <f>DATEVALUE(tblLaborEntries[[#This Row],[Work date]])</f>
        <v>45849.0</v>
      </c>
    </row>
    <row r="4126" spans="1:9" ht="15" x14ac:dyDescent="0.25">
      <c r="A4126" s="53" t="inlineStr">
        <is>
          <t>LAB-004125</t>
        </is>
      </c>
      <c r="B4126" s="53" t="inlineStr">
        <is>
          <t>WP-01816</t>
        </is>
      </c>
      <c r="C4126" s="53" t="inlineStr">
        <is>
          <t>TECH-047</t>
        </is>
      </c>
      <c r="D4126" s="53" t="inlineStr">
        <is>
          <t>Structures</t>
        </is>
      </c>
      <c r="E4126" s="53" t="inlineStr">
        <is>
          <t>2024-05-06</t>
        </is>
      </c>
      <c r="F4126" s="53">
        <v>10.4</v>
      </c>
      <c r="G4126" s="53">
        <v>2.4</v>
      </c>
      <c r="H4126" s="51" t="str">
        <f>TEXT(tblLaborEntries[[#This Row],[Work date serial]]-WEEKDAY(tblLaborEntries[[#This Row],[Work date serial]],3),"yyyy-mm-dd")</f>
        <v>2024-05-06</v>
      </c>
      <c r="I4126" s="64">
        <f>DATEVALUE(tblLaborEntries[[#This Row],[Work date]])</f>
        <v>45418.0</v>
      </c>
    </row>
    <row r="4127" spans="1:9" ht="15" x14ac:dyDescent="0.25">
      <c r="A4127" s="53" t="inlineStr">
        <is>
          <t>LAB-004126</t>
        </is>
      </c>
      <c r="B4127" s="53" t="inlineStr">
        <is>
          <t>WP-01816</t>
        </is>
      </c>
      <c r="C4127" s="53" t="inlineStr">
        <is>
          <t>TECH-065</t>
        </is>
      </c>
      <c r="D4127" s="53" t="inlineStr">
        <is>
          <t>Structures</t>
        </is>
      </c>
      <c r="E4127" s="53" t="inlineStr">
        <is>
          <t>2024-05-07</t>
        </is>
      </c>
      <c r="F4127" s="53">
        <v>10.7</v>
      </c>
      <c r="G4127" s="53">
        <v>2.7</v>
      </c>
      <c r="H4127" s="51" t="str">
        <f>TEXT(tblLaborEntries[[#This Row],[Work date serial]]-WEEKDAY(tblLaborEntries[[#This Row],[Work date serial]],3),"yyyy-mm-dd")</f>
        <v>2024-05-06</v>
      </c>
      <c r="I4127" s="64">
        <f>DATEVALUE(tblLaborEntries[[#This Row],[Work date]])</f>
        <v>45419.0</v>
      </c>
    </row>
    <row r="4128" spans="1:9" ht="15" x14ac:dyDescent="0.25">
      <c r="A4128" s="53" t="inlineStr">
        <is>
          <t>LAB-004127</t>
        </is>
      </c>
      <c r="B4128" s="53" t="inlineStr">
        <is>
          <t>WP-01816</t>
        </is>
      </c>
      <c r="C4128" s="53" t="inlineStr">
        <is>
          <t>TECH-005</t>
        </is>
      </c>
      <c r="D4128" s="53" t="inlineStr">
        <is>
          <t>Structures</t>
        </is>
      </c>
      <c r="E4128" s="53" t="inlineStr">
        <is>
          <t>2024-05-08</t>
        </is>
      </c>
      <c r="F4128" s="53">
        <v>12</v>
      </c>
      <c r="G4128" s="53">
        <v>4</v>
      </c>
      <c r="H4128" s="51" t="str">
        <f>TEXT(tblLaborEntries[[#This Row],[Work date serial]]-WEEKDAY(tblLaborEntries[[#This Row],[Work date serial]],3),"yyyy-mm-dd")</f>
        <v>2024-05-06</v>
      </c>
      <c r="I4128" s="64">
        <f>DATEVALUE(tblLaborEntries[[#This Row],[Work date]])</f>
        <v>45420.0</v>
      </c>
    </row>
    <row r="4129" spans="1:9" ht="15" x14ac:dyDescent="0.25">
      <c r="A4129" s="53" t="inlineStr">
        <is>
          <t>LAB-004128</t>
        </is>
      </c>
      <c r="B4129" s="53" t="inlineStr">
        <is>
          <t>WP-01816</t>
        </is>
      </c>
      <c r="C4129" s="53" t="inlineStr">
        <is>
          <t>TECH-011</t>
        </is>
      </c>
      <c r="D4129" s="53" t="inlineStr">
        <is>
          <t>Structures</t>
        </is>
      </c>
      <c r="E4129" s="53" t="inlineStr">
        <is>
          <t>2024-05-08</t>
        </is>
      </c>
      <c r="F4129" s="53">
        <v>0.3</v>
      </c>
      <c r="G4129" s="53">
        <v>0</v>
      </c>
      <c r="H4129" s="51" t="str">
        <f>TEXT(tblLaborEntries[[#This Row],[Work date serial]]-WEEKDAY(tblLaborEntries[[#This Row],[Work date serial]],3),"yyyy-mm-dd")</f>
        <v>2024-05-06</v>
      </c>
      <c r="I4129" s="64">
        <f>DATEVALUE(tblLaborEntries[[#This Row],[Work date]])</f>
        <v>45420.0</v>
      </c>
    </row>
    <row r="4130" spans="1:9" ht="15" x14ac:dyDescent="0.25">
      <c r="A4130" s="53" t="inlineStr">
        <is>
          <t>LAB-004129</t>
        </is>
      </c>
      <c r="B4130" s="53" t="inlineStr">
        <is>
          <t>WP-01817</t>
        </is>
      </c>
      <c r="C4130" s="53" t="inlineStr">
        <is>
          <t>TECH-037</t>
        </is>
      </c>
      <c r="D4130" s="53" t="inlineStr">
        <is>
          <t>Airframe</t>
        </is>
      </c>
      <c r="E4130" s="53" t="inlineStr">
        <is>
          <t>2025-08-06</t>
        </is>
      </c>
      <c r="F4130" s="53">
        <v>4.9</v>
      </c>
      <c r="G4130" s="53">
        <v>0</v>
      </c>
      <c r="H4130" s="51" t="str">
        <f>TEXT(tblLaborEntries[[#This Row],[Work date serial]]-WEEKDAY(tblLaborEntries[[#This Row],[Work date serial]],3),"yyyy-mm-dd")</f>
        <v>2025-08-04</v>
      </c>
      <c r="I4130" s="64">
        <f>DATEVALUE(tblLaborEntries[[#This Row],[Work date]])</f>
        <v>45875.0</v>
      </c>
    </row>
    <row r="4131" spans="1:9" ht="15" x14ac:dyDescent="0.25">
      <c r="A4131" s="53" t="inlineStr">
        <is>
          <t>LAB-004130</t>
        </is>
      </c>
      <c r="B4131" s="53" t="inlineStr">
        <is>
          <t>WP-01817</t>
        </is>
      </c>
      <c r="C4131" s="53" t="inlineStr">
        <is>
          <t>TECH-073</t>
        </is>
      </c>
      <c r="D4131" s="53" t="inlineStr">
        <is>
          <t>Airframe</t>
        </is>
      </c>
      <c r="E4131" s="53" t="inlineStr">
        <is>
          <t>2025-08-07</t>
        </is>
      </c>
      <c r="F4131" s="53">
        <v>4.1</v>
      </c>
      <c r="G4131" s="53">
        <v>0</v>
      </c>
      <c r="H4131" s="51" t="str">
        <f>TEXT(tblLaborEntries[[#This Row],[Work date serial]]-WEEKDAY(tblLaborEntries[[#This Row],[Work date serial]],3),"yyyy-mm-dd")</f>
        <v>2025-08-04</v>
      </c>
      <c r="I4131" s="64">
        <f>DATEVALUE(tblLaborEntries[[#This Row],[Work date]])</f>
        <v>45876.0</v>
      </c>
    </row>
    <row r="4132" spans="1:9" ht="15" x14ac:dyDescent="0.25">
      <c r="A4132" s="53" t="inlineStr">
        <is>
          <t>LAB-004131</t>
        </is>
      </c>
      <c r="B4132" s="53" t="inlineStr">
        <is>
          <t>WP-01818</t>
        </is>
      </c>
      <c r="C4132" s="53" t="inlineStr">
        <is>
          <t>TECH-002</t>
        </is>
      </c>
      <c r="D4132" s="53" t="inlineStr">
        <is>
          <t>Avionics</t>
        </is>
      </c>
      <c r="E4132" s="53" t="inlineStr">
        <is>
          <t>2024-03-20</t>
        </is>
      </c>
      <c r="F4132" s="53">
        <v>1</v>
      </c>
      <c r="G4132" s="53">
        <v>0</v>
      </c>
      <c r="H4132" s="51" t="str">
        <f>TEXT(tblLaborEntries[[#This Row],[Work date serial]]-WEEKDAY(tblLaborEntries[[#This Row],[Work date serial]],3),"yyyy-mm-dd")</f>
        <v>2024-03-18</v>
      </c>
      <c r="I4132" s="64">
        <f>DATEVALUE(tblLaborEntries[[#This Row],[Work date]])</f>
        <v>45371.0</v>
      </c>
    </row>
    <row r="4133" spans="1:9" ht="15" x14ac:dyDescent="0.25">
      <c r="A4133" s="53" t="inlineStr">
        <is>
          <t>LAB-004132</t>
        </is>
      </c>
      <c r="B4133" s="53" t="inlineStr">
        <is>
          <t>WP-01818</t>
        </is>
      </c>
      <c r="C4133" s="53" t="inlineStr">
        <is>
          <t>TECH-014</t>
        </is>
      </c>
      <c r="D4133" s="53" t="inlineStr">
        <is>
          <t>Avionics</t>
        </is>
      </c>
      <c r="E4133" s="53" t="inlineStr">
        <is>
          <t>2024-03-20</t>
        </is>
      </c>
      <c r="F4133" s="53">
        <v>12</v>
      </c>
      <c r="G4133" s="53">
        <v>4</v>
      </c>
      <c r="H4133" s="51" t="str">
        <f>TEXT(tblLaborEntries[[#This Row],[Work date serial]]-WEEKDAY(tblLaborEntries[[#This Row],[Work date serial]],3),"yyyy-mm-dd")</f>
        <v>2024-03-18</v>
      </c>
      <c r="I4133" s="64">
        <f>DATEVALUE(tblLaborEntries[[#This Row],[Work date]])</f>
        <v>45371.0</v>
      </c>
    </row>
    <row r="4134" spans="1:9" ht="15" x14ac:dyDescent="0.25">
      <c r="A4134" s="53" t="inlineStr">
        <is>
          <t>LAB-004133</t>
        </is>
      </c>
      <c r="B4134" s="53" t="inlineStr">
        <is>
          <t>WP-01819</t>
        </is>
      </c>
      <c r="C4134" s="53" t="inlineStr">
        <is>
          <t>TECH-008</t>
        </is>
      </c>
      <c r="D4134" s="53" t="inlineStr">
        <is>
          <t>Avionics</t>
        </is>
      </c>
      <c r="E4134" s="53" t="inlineStr">
        <is>
          <t>2024-12-15</t>
        </is>
      </c>
      <c r="F4134" s="53">
        <v>3.5</v>
      </c>
      <c r="G4134" s="53">
        <v>0</v>
      </c>
      <c r="H4134" s="51" t="str">
        <f>TEXT(tblLaborEntries[[#This Row],[Work date serial]]-WEEKDAY(tblLaborEntries[[#This Row],[Work date serial]],3),"yyyy-mm-dd")</f>
        <v>2024-12-09</v>
      </c>
      <c r="I4134" s="64">
        <f>DATEVALUE(tblLaborEntries[[#This Row],[Work date]])</f>
        <v>45641.0</v>
      </c>
    </row>
    <row r="4135" spans="1:9" ht="15" x14ac:dyDescent="0.25">
      <c r="A4135" s="53" t="inlineStr">
        <is>
          <t>LAB-004134</t>
        </is>
      </c>
      <c r="B4135" s="53" t="inlineStr">
        <is>
          <t>WP-01820</t>
        </is>
      </c>
      <c r="C4135" s="53" t="inlineStr">
        <is>
          <t>TECH-037</t>
        </is>
      </c>
      <c r="D4135" s="53" t="inlineStr">
        <is>
          <t>Airframe</t>
        </is>
      </c>
      <c r="E4135" s="53" t="inlineStr">
        <is>
          <t>2025-06-03</t>
        </is>
      </c>
      <c r="F4135" s="53">
        <v>2.8</v>
      </c>
      <c r="G4135" s="53">
        <v>0</v>
      </c>
      <c r="H4135" s="51" t="str">
        <f>TEXT(tblLaborEntries[[#This Row],[Work date serial]]-WEEKDAY(tblLaborEntries[[#This Row],[Work date serial]],3),"yyyy-mm-dd")</f>
        <v>2025-06-02</v>
      </c>
      <c r="I4135" s="64">
        <f>DATEVALUE(tblLaborEntries[[#This Row],[Work date]])</f>
        <v>45811.0</v>
      </c>
    </row>
    <row r="4136" spans="1:9" ht="15" x14ac:dyDescent="0.25">
      <c r="A4136" s="53" t="inlineStr">
        <is>
          <t>LAB-004135</t>
        </is>
      </c>
      <c r="B4136" s="53" t="inlineStr">
        <is>
          <t>WP-01820</t>
        </is>
      </c>
      <c r="C4136" s="53" t="inlineStr">
        <is>
          <t>TECH-001</t>
        </is>
      </c>
      <c r="D4136" s="53" t="inlineStr">
        <is>
          <t>Airframe</t>
        </is>
      </c>
      <c r="E4136" s="53" t="inlineStr">
        <is>
          <t>2025-06-04</t>
        </is>
      </c>
      <c r="F4136" s="53">
        <v>2.5</v>
      </c>
      <c r="G4136" s="53">
        <v>0</v>
      </c>
      <c r="H4136" s="51" t="str">
        <f>TEXT(tblLaborEntries[[#This Row],[Work date serial]]-WEEKDAY(tblLaborEntries[[#This Row],[Work date serial]],3),"yyyy-mm-dd")</f>
        <v>2025-06-02</v>
      </c>
      <c r="I4136" s="64">
        <f>DATEVALUE(tblLaborEntries[[#This Row],[Work date]])</f>
        <v>45812.0</v>
      </c>
    </row>
    <row r="4137" spans="1:9" ht="15" x14ac:dyDescent="0.25">
      <c r="A4137" s="53" t="inlineStr">
        <is>
          <t>LAB-004136</t>
        </is>
      </c>
      <c r="B4137" s="53" t="inlineStr">
        <is>
          <t>WP-01821</t>
        </is>
      </c>
      <c r="C4137" s="53" t="inlineStr">
        <is>
          <t>TECH-067</t>
        </is>
      </c>
      <c r="D4137" s="53" t="inlineStr">
        <is>
          <t>Airframe</t>
        </is>
      </c>
      <c r="E4137" s="53" t="inlineStr">
        <is>
          <t>2025-02-03</t>
        </is>
      </c>
      <c r="F4137" s="53">
        <v>1</v>
      </c>
      <c r="G4137" s="53">
        <v>0</v>
      </c>
      <c r="H4137" s="51" t="str">
        <f>TEXT(tblLaborEntries[[#This Row],[Work date serial]]-WEEKDAY(tblLaborEntries[[#This Row],[Work date serial]],3),"yyyy-mm-dd")</f>
        <v>2025-02-03</v>
      </c>
      <c r="I4137" s="64">
        <f>DATEVALUE(tblLaborEntries[[#This Row],[Work date]])</f>
        <v>45691.0</v>
      </c>
    </row>
    <row r="4138" spans="1:9" ht="15" x14ac:dyDescent="0.25">
      <c r="A4138" s="53" t="inlineStr">
        <is>
          <t>LAB-004137</t>
        </is>
      </c>
      <c r="B4138" s="53" t="inlineStr">
        <is>
          <t>WP-01821</t>
        </is>
      </c>
      <c r="C4138" s="53" t="inlineStr">
        <is>
          <t>TECH-067</t>
        </is>
      </c>
      <c r="D4138" s="53" t="inlineStr">
        <is>
          <t>Airframe</t>
        </is>
      </c>
      <c r="E4138" s="53" t="inlineStr">
        <is>
          <t>2025-02-04</t>
        </is>
      </c>
      <c r="F4138" s="53">
        <v>0.7</v>
      </c>
      <c r="G4138" s="53">
        <v>0</v>
      </c>
      <c r="H4138" s="51" t="str">
        <f>TEXT(tblLaborEntries[[#This Row],[Work date serial]]-WEEKDAY(tblLaborEntries[[#This Row],[Work date serial]],3),"yyyy-mm-dd")</f>
        <v>2025-02-03</v>
      </c>
      <c r="I4138" s="64">
        <f>DATEVALUE(tblLaborEntries[[#This Row],[Work date]])</f>
        <v>45692.0</v>
      </c>
    </row>
    <row r="4139" spans="1:9" ht="15" x14ac:dyDescent="0.25">
      <c r="A4139" s="53" t="inlineStr">
        <is>
          <t>LAB-004138</t>
        </is>
      </c>
      <c r="B4139" s="53" t="inlineStr">
        <is>
          <t>WP-01821</t>
        </is>
      </c>
      <c r="C4139" s="53" t="inlineStr">
        <is>
          <t>TECH-031</t>
        </is>
      </c>
      <c r="D4139" s="53" t="inlineStr">
        <is>
          <t>Airframe</t>
        </is>
      </c>
      <c r="E4139" s="53" t="inlineStr">
        <is>
          <t>2025-02-05</t>
        </is>
      </c>
      <c r="F4139" s="53">
        <v>0.9</v>
      </c>
      <c r="G4139" s="53">
        <v>0</v>
      </c>
      <c r="H4139" s="51" t="str">
        <f>TEXT(tblLaborEntries[[#This Row],[Work date serial]]-WEEKDAY(tblLaborEntries[[#This Row],[Work date serial]],3),"yyyy-mm-dd")</f>
        <v>2025-02-03</v>
      </c>
      <c r="I4139" s="64">
        <f>DATEVALUE(tblLaborEntries[[#This Row],[Work date]])</f>
        <v>45693.0</v>
      </c>
    </row>
    <row r="4140" spans="1:9" ht="15" x14ac:dyDescent="0.25">
      <c r="A4140" s="53" t="inlineStr">
        <is>
          <t>LAB-004139</t>
        </is>
      </c>
      <c r="B4140" s="53" t="inlineStr">
        <is>
          <t>WP-01822</t>
        </is>
      </c>
      <c r="C4140" s="53" t="inlineStr">
        <is>
          <t>TECH-002</t>
        </is>
      </c>
      <c r="D4140" s="53" t="inlineStr">
        <is>
          <t>Avionics</t>
        </is>
      </c>
      <c r="E4140" s="53" t="inlineStr">
        <is>
          <t>2025-01-22</t>
        </is>
      </c>
      <c r="F4140" s="53">
        <v>12</v>
      </c>
      <c r="G4140" s="53">
        <v>4</v>
      </c>
      <c r="H4140" s="51" t="str">
        <f>TEXT(tblLaborEntries[[#This Row],[Work date serial]]-WEEKDAY(tblLaborEntries[[#This Row],[Work date serial]],3),"yyyy-mm-dd")</f>
        <v>2025-01-20</v>
      </c>
      <c r="I4140" s="64">
        <f>DATEVALUE(tblLaborEntries[[#This Row],[Work date]])</f>
        <v>45679.0</v>
      </c>
    </row>
    <row r="4141" spans="1:9" ht="15" x14ac:dyDescent="0.25">
      <c r="A4141" s="53" t="inlineStr">
        <is>
          <t>LAB-004140</t>
        </is>
      </c>
      <c r="B4141" s="53" t="inlineStr">
        <is>
          <t>WP-01822</t>
        </is>
      </c>
      <c r="C4141" s="53" t="inlineStr">
        <is>
          <t>TECH-008</t>
        </is>
      </c>
      <c r="D4141" s="53" t="inlineStr">
        <is>
          <t>Avionics</t>
        </is>
      </c>
      <c r="E4141" s="53" t="inlineStr">
        <is>
          <t>2025-01-22</t>
        </is>
      </c>
      <c r="F4141" s="53">
        <v>12</v>
      </c>
      <c r="G4141" s="53">
        <v>4</v>
      </c>
      <c r="H4141" s="51" t="str">
        <f>TEXT(tblLaborEntries[[#This Row],[Work date serial]]-WEEKDAY(tblLaborEntries[[#This Row],[Work date serial]],3),"yyyy-mm-dd")</f>
        <v>2025-01-20</v>
      </c>
      <c r="I4141" s="64">
        <f>DATEVALUE(tblLaborEntries[[#This Row],[Work date]])</f>
        <v>45679.0</v>
      </c>
    </row>
    <row r="4142" spans="1:9" ht="15" x14ac:dyDescent="0.25">
      <c r="A4142" s="53" t="inlineStr">
        <is>
          <t>LAB-004141</t>
        </is>
      </c>
      <c r="B4142" s="53" t="inlineStr">
        <is>
          <t>WP-01822</t>
        </is>
      </c>
      <c r="C4142" s="53" t="inlineStr">
        <is>
          <t>TECH-014</t>
        </is>
      </c>
      <c r="D4142" s="53" t="inlineStr">
        <is>
          <t>Avionics</t>
        </is>
      </c>
      <c r="E4142" s="53" t="inlineStr">
        <is>
          <t>2025-01-22</t>
        </is>
      </c>
      <c r="F4142" s="53">
        <v>6.3</v>
      </c>
      <c r="G4142" s="53">
        <v>0</v>
      </c>
      <c r="H4142" s="51" t="str">
        <f>TEXT(tblLaborEntries[[#This Row],[Work date serial]]-WEEKDAY(tblLaborEntries[[#This Row],[Work date serial]],3),"yyyy-mm-dd")</f>
        <v>2025-01-20</v>
      </c>
      <c r="I4142" s="64">
        <f>DATEVALUE(tblLaborEntries[[#This Row],[Work date]])</f>
        <v>45679.0</v>
      </c>
    </row>
    <row r="4143" spans="1:9" ht="15" x14ac:dyDescent="0.25">
      <c r="A4143" s="53" t="inlineStr">
        <is>
          <t>LAB-004142</t>
        </is>
      </c>
      <c r="B4143" s="53" t="inlineStr">
        <is>
          <t>WP-01823</t>
        </is>
      </c>
      <c r="C4143" s="53" t="inlineStr">
        <is>
          <t>TECH-038</t>
        </is>
      </c>
      <c r="D4143" s="53" t="inlineStr">
        <is>
          <t>Avionics</t>
        </is>
      </c>
      <c r="E4143" s="53" t="inlineStr">
        <is>
          <t>2025-01-15</t>
        </is>
      </c>
      <c r="F4143" s="53">
        <v>12</v>
      </c>
      <c r="G4143" s="53">
        <v>4</v>
      </c>
      <c r="H4143" s="51" t="str">
        <f>TEXT(tblLaborEntries[[#This Row],[Work date serial]]-WEEKDAY(tblLaborEntries[[#This Row],[Work date serial]],3),"yyyy-mm-dd")</f>
        <v>2025-01-13</v>
      </c>
      <c r="I4143" s="64">
        <f>DATEVALUE(tblLaborEntries[[#This Row],[Work date]])</f>
        <v>45672.0</v>
      </c>
    </row>
    <row r="4144" spans="1:9" ht="15" x14ac:dyDescent="0.25">
      <c r="A4144" s="53" t="inlineStr">
        <is>
          <t>LAB-004143</t>
        </is>
      </c>
      <c r="B4144" s="53" t="inlineStr">
        <is>
          <t>WP-01823</t>
        </is>
      </c>
      <c r="C4144" s="53" t="inlineStr">
        <is>
          <t>TECH-002</t>
        </is>
      </c>
      <c r="D4144" s="53" t="inlineStr">
        <is>
          <t>Avionics</t>
        </is>
      </c>
      <c r="E4144" s="53" t="inlineStr">
        <is>
          <t>2025-01-16</t>
        </is>
      </c>
      <c r="F4144" s="53">
        <v>0.2</v>
      </c>
      <c r="G4144" s="53">
        <v>0</v>
      </c>
      <c r="H4144" s="51" t="str">
        <f>TEXT(tblLaborEntries[[#This Row],[Work date serial]]-WEEKDAY(tblLaborEntries[[#This Row],[Work date serial]],3),"yyyy-mm-dd")</f>
        <v>2025-01-13</v>
      </c>
      <c r="I4144" s="64">
        <f>DATEVALUE(tblLaborEntries[[#This Row],[Work date]])</f>
        <v>45673.0</v>
      </c>
    </row>
    <row r="4145" spans="1:9" ht="15" x14ac:dyDescent="0.25">
      <c r="A4145" s="53" t="inlineStr">
        <is>
          <t>LAB-004144</t>
        </is>
      </c>
      <c r="B4145" s="53" t="inlineStr">
        <is>
          <t>WP-01823</t>
        </is>
      </c>
      <c r="C4145" s="53" t="inlineStr">
        <is>
          <t>TECH-062</t>
        </is>
      </c>
      <c r="D4145" s="53" t="inlineStr">
        <is>
          <t>Avionics</t>
        </is>
      </c>
      <c r="E4145" s="53" t="inlineStr">
        <is>
          <t>2025-01-16</t>
        </is>
      </c>
      <c r="F4145" s="53">
        <v>12</v>
      </c>
      <c r="G4145" s="53">
        <v>4</v>
      </c>
      <c r="H4145" s="51" t="str">
        <f>TEXT(tblLaborEntries[[#This Row],[Work date serial]]-WEEKDAY(tblLaborEntries[[#This Row],[Work date serial]],3),"yyyy-mm-dd")</f>
        <v>2025-01-13</v>
      </c>
      <c r="I4145" s="64">
        <f>DATEVALUE(tblLaborEntries[[#This Row],[Work date]])</f>
        <v>45673.0</v>
      </c>
    </row>
    <row r="4146" spans="1:9" ht="15" x14ac:dyDescent="0.25">
      <c r="A4146" s="53" t="inlineStr">
        <is>
          <t>LAB-004145</t>
        </is>
      </c>
      <c r="B4146" s="53" t="inlineStr">
        <is>
          <t>WP-01824</t>
        </is>
      </c>
      <c r="C4146" s="53" t="inlineStr">
        <is>
          <t>TECH-032</t>
        </is>
      </c>
      <c r="D4146" s="53" t="inlineStr">
        <is>
          <t>Avionics</t>
        </is>
      </c>
      <c r="E4146" s="53" t="inlineStr">
        <is>
          <t>2024-03-10</t>
        </is>
      </c>
      <c r="F4146" s="53">
        <v>9.4</v>
      </c>
      <c r="G4146" s="53">
        <v>1.4</v>
      </c>
      <c r="H4146" s="51" t="str">
        <f>TEXT(tblLaborEntries[[#This Row],[Work date serial]]-WEEKDAY(tblLaborEntries[[#This Row],[Work date serial]],3),"yyyy-mm-dd")</f>
        <v>2024-03-04</v>
      </c>
      <c r="I4146" s="64">
        <f>DATEVALUE(tblLaborEntries[[#This Row],[Work date]])</f>
        <v>45361.0</v>
      </c>
    </row>
    <row r="4147" spans="1:9" ht="15" x14ac:dyDescent="0.25">
      <c r="A4147" s="53" t="inlineStr">
        <is>
          <t>LAB-004146</t>
        </is>
      </c>
      <c r="B4147" s="53" t="inlineStr">
        <is>
          <t>WP-01825</t>
        </is>
      </c>
      <c r="C4147" s="53" t="inlineStr">
        <is>
          <t>TECH-008</t>
        </is>
      </c>
      <c r="D4147" s="53" t="inlineStr">
        <is>
          <t>Avionics</t>
        </is>
      </c>
      <c r="E4147" s="53" t="inlineStr">
        <is>
          <t>2024-11-01</t>
        </is>
      </c>
      <c r="F4147" s="53">
        <v>1.1</v>
      </c>
      <c r="G4147" s="53">
        <v>0</v>
      </c>
      <c r="H4147" s="51" t="str">
        <f>TEXT(tblLaborEntries[[#This Row],[Work date serial]]-WEEKDAY(tblLaborEntries[[#This Row],[Work date serial]],3),"yyyy-mm-dd")</f>
        <v>2024-10-28</v>
      </c>
      <c r="I4147" s="64">
        <f>DATEVALUE(tblLaborEntries[[#This Row],[Work date]])</f>
        <v>45597.0</v>
      </c>
    </row>
    <row r="4148" spans="1:9" ht="15" x14ac:dyDescent="0.25">
      <c r="A4148" s="53" t="inlineStr">
        <is>
          <t>LAB-004147</t>
        </is>
      </c>
      <c r="B4148" s="53" t="inlineStr">
        <is>
          <t>WP-01825</t>
        </is>
      </c>
      <c r="C4148" s="53" t="inlineStr">
        <is>
          <t>TECH-074</t>
        </is>
      </c>
      <c r="D4148" s="53" t="inlineStr">
        <is>
          <t>Avionics</t>
        </is>
      </c>
      <c r="E4148" s="53" t="inlineStr">
        <is>
          <t>2024-11-02</t>
        </is>
      </c>
      <c r="F4148" s="53">
        <v>1</v>
      </c>
      <c r="G4148" s="53">
        <v>0</v>
      </c>
      <c r="H4148" s="51" t="str">
        <f>TEXT(tblLaborEntries[[#This Row],[Work date serial]]-WEEKDAY(tblLaborEntries[[#This Row],[Work date serial]],3),"yyyy-mm-dd")</f>
        <v>2024-10-28</v>
      </c>
      <c r="I4148" s="64">
        <f>DATEVALUE(tblLaborEntries[[#This Row],[Work date]])</f>
        <v>45598.0</v>
      </c>
    </row>
    <row r="4149" spans="1:9" ht="15" x14ac:dyDescent="0.25">
      <c r="A4149" s="53" t="inlineStr">
        <is>
          <t>LAB-004148</t>
        </is>
      </c>
      <c r="B4149" s="53" t="inlineStr">
        <is>
          <t>WP-01825</t>
        </is>
      </c>
      <c r="C4149" s="53" t="inlineStr">
        <is>
          <t>TECH-038</t>
        </is>
      </c>
      <c r="D4149" s="53" t="inlineStr">
        <is>
          <t>Avionics</t>
        </is>
      </c>
      <c r="E4149" s="53" t="inlineStr">
        <is>
          <t>2024-11-03</t>
        </is>
      </c>
      <c r="F4149" s="53">
        <v>1.4</v>
      </c>
      <c r="G4149" s="53">
        <v>0</v>
      </c>
      <c r="H4149" s="51" t="str">
        <f>TEXT(tblLaborEntries[[#This Row],[Work date serial]]-WEEKDAY(tblLaborEntries[[#This Row],[Work date serial]],3),"yyyy-mm-dd")</f>
        <v>2024-10-28</v>
      </c>
      <c r="I4149" s="64">
        <f>DATEVALUE(tblLaborEntries[[#This Row],[Work date]])</f>
        <v>45599.0</v>
      </c>
    </row>
    <row r="4150" spans="1:9" ht="15" x14ac:dyDescent="0.25">
      <c r="A4150" s="53" t="inlineStr">
        <is>
          <t>LAB-004149</t>
        </is>
      </c>
      <c r="B4150" s="53" t="inlineStr">
        <is>
          <t>WP-01826</t>
        </is>
      </c>
      <c r="C4150" s="53" t="inlineStr">
        <is>
          <t>TECH-054</t>
        </is>
      </c>
      <c r="D4150" s="53" t="inlineStr">
        <is>
          <t>Powerplant</t>
        </is>
      </c>
      <c r="E4150" s="53" t="inlineStr">
        <is>
          <t>2025-07-20</t>
        </is>
      </c>
      <c r="F4150" s="53">
        <v>7.7</v>
      </c>
      <c r="G4150" s="53">
        <v>0</v>
      </c>
      <c r="H4150" s="51" t="str">
        <f>TEXT(tblLaborEntries[[#This Row],[Work date serial]]-WEEKDAY(tblLaborEntries[[#This Row],[Work date serial]],3),"yyyy-mm-dd")</f>
        <v>2025-07-14</v>
      </c>
      <c r="I4150" s="64">
        <f>DATEVALUE(tblLaborEntries[[#This Row],[Work date]])</f>
        <v>45858.0</v>
      </c>
    </row>
    <row r="4151" spans="1:9" ht="15" x14ac:dyDescent="0.25">
      <c r="A4151" s="53" t="inlineStr">
        <is>
          <t>LAB-004150</t>
        </is>
      </c>
      <c r="B4151" s="53" t="inlineStr">
        <is>
          <t>WP-01826</t>
        </is>
      </c>
      <c r="C4151" s="53" t="inlineStr">
        <is>
          <t>TECH-018</t>
        </is>
      </c>
      <c r="D4151" s="53" t="inlineStr">
        <is>
          <t>Powerplant</t>
        </is>
      </c>
      <c r="E4151" s="53" t="inlineStr">
        <is>
          <t>2025-07-21</t>
        </is>
      </c>
      <c r="F4151" s="53">
        <v>7.5</v>
      </c>
      <c r="G4151" s="53">
        <v>0</v>
      </c>
      <c r="H4151" s="51" t="str">
        <f>TEXT(tblLaborEntries[[#This Row],[Work date serial]]-WEEKDAY(tblLaborEntries[[#This Row],[Work date serial]],3),"yyyy-mm-dd")</f>
        <v>2025-07-21</v>
      </c>
      <c r="I4151" s="64">
        <f>DATEVALUE(tblLaborEntries[[#This Row],[Work date]])</f>
        <v>45859.0</v>
      </c>
    </row>
    <row r="4152" spans="1:9" ht="15" x14ac:dyDescent="0.25">
      <c r="A4152" s="53" t="inlineStr">
        <is>
          <t>LAB-004151</t>
        </is>
      </c>
      <c r="B4152" s="53" t="inlineStr">
        <is>
          <t>WP-01826</t>
        </is>
      </c>
      <c r="C4152" s="53" t="inlineStr">
        <is>
          <t>TECH-066</t>
        </is>
      </c>
      <c r="D4152" s="53" t="inlineStr">
        <is>
          <t>Powerplant</t>
        </is>
      </c>
      <c r="E4152" s="53" t="inlineStr">
        <is>
          <t>2025-07-22</t>
        </is>
      </c>
      <c r="F4152" s="53">
        <v>6.9</v>
      </c>
      <c r="G4152" s="53">
        <v>0</v>
      </c>
      <c r="H4152" s="51" t="str">
        <f>TEXT(tblLaborEntries[[#This Row],[Work date serial]]-WEEKDAY(tblLaborEntries[[#This Row],[Work date serial]],3),"yyyy-mm-dd")</f>
        <v>2025-07-21</v>
      </c>
      <c r="I4152" s="64">
        <f>DATEVALUE(tblLaborEntries[[#This Row],[Work date]])</f>
        <v>45860.0</v>
      </c>
    </row>
    <row r="4153" spans="1:9" ht="15" x14ac:dyDescent="0.25">
      <c r="A4153" s="53" t="inlineStr">
        <is>
          <t>LAB-004152</t>
        </is>
      </c>
      <c r="B4153" s="53" t="inlineStr">
        <is>
          <t>WP-01827</t>
        </is>
      </c>
      <c r="C4153" s="53" t="inlineStr">
        <is>
          <t>TECH-045</t>
        </is>
      </c>
      <c r="D4153" s="53" t="inlineStr">
        <is>
          <t>Hydraulics</t>
        </is>
      </c>
      <c r="E4153" s="53" t="inlineStr">
        <is>
          <t>2025-08-26</t>
        </is>
      </c>
      <c r="F4153" s="53">
        <v>2.2</v>
      </c>
      <c r="G4153" s="53">
        <v>0</v>
      </c>
      <c r="H4153" s="51" t="str">
        <f>TEXT(tblLaborEntries[[#This Row],[Work date serial]]-WEEKDAY(tblLaborEntries[[#This Row],[Work date serial]],3),"yyyy-mm-dd")</f>
        <v>2025-08-25</v>
      </c>
      <c r="I4153" s="64">
        <f>DATEVALUE(tblLaborEntries[[#This Row],[Work date]])</f>
        <v>45895.0</v>
      </c>
    </row>
    <row r="4154" spans="1:9" ht="15" x14ac:dyDescent="0.25">
      <c r="A4154" s="53" t="inlineStr">
        <is>
          <t>LAB-004153</t>
        </is>
      </c>
      <c r="B4154" s="53" t="inlineStr">
        <is>
          <t>WP-01827</t>
        </is>
      </c>
      <c r="C4154" s="53" t="inlineStr">
        <is>
          <t>TECH-075</t>
        </is>
      </c>
      <c r="D4154" s="53" t="inlineStr">
        <is>
          <t>Hydraulics</t>
        </is>
      </c>
      <c r="E4154" s="53" t="inlineStr">
        <is>
          <t>2025-08-27</t>
        </is>
      </c>
      <c r="F4154" s="53">
        <v>2.5</v>
      </c>
      <c r="G4154" s="53">
        <v>0</v>
      </c>
      <c r="H4154" s="51" t="str">
        <f>TEXT(tblLaborEntries[[#This Row],[Work date serial]]-WEEKDAY(tblLaborEntries[[#This Row],[Work date serial]],3),"yyyy-mm-dd")</f>
        <v>2025-08-25</v>
      </c>
      <c r="I4154" s="64">
        <f>DATEVALUE(tblLaborEntries[[#This Row],[Work date]])</f>
        <v>45896.0</v>
      </c>
    </row>
    <row r="4155" spans="1:9" ht="15" x14ac:dyDescent="0.25">
      <c r="A4155" s="53" t="inlineStr">
        <is>
          <t>LAB-004154</t>
        </is>
      </c>
      <c r="B4155" s="53" t="inlineStr">
        <is>
          <t>WP-01828</t>
        </is>
      </c>
      <c r="C4155" s="53" t="inlineStr">
        <is>
          <t>TECH-014</t>
        </is>
      </c>
      <c r="D4155" s="53" t="inlineStr">
        <is>
          <t>Avionics</t>
        </is>
      </c>
      <c r="E4155" s="53" t="inlineStr">
        <is>
          <t>2025-10-30</t>
        </is>
      </c>
      <c r="F4155" s="53">
        <v>10</v>
      </c>
      <c r="G4155" s="53">
        <v>2</v>
      </c>
      <c r="H4155" s="51" t="str">
        <f>TEXT(tblLaborEntries[[#This Row],[Work date serial]]-WEEKDAY(tblLaborEntries[[#This Row],[Work date serial]],3),"yyyy-mm-dd")</f>
        <v>2025-10-27</v>
      </c>
      <c r="I4155" s="64">
        <f>DATEVALUE(tblLaborEntries[[#This Row],[Work date]])</f>
        <v>45960.0</v>
      </c>
    </row>
    <row r="4156" spans="1:9" ht="15" x14ac:dyDescent="0.25">
      <c r="A4156" s="53" t="inlineStr">
        <is>
          <t>LAB-004155</t>
        </is>
      </c>
      <c r="B4156" s="53" t="inlineStr">
        <is>
          <t>WP-01829</t>
        </is>
      </c>
      <c r="C4156" s="53" t="inlineStr">
        <is>
          <t>TECH-027</t>
        </is>
      </c>
      <c r="D4156" s="53" t="inlineStr">
        <is>
          <t>Hydraulics</t>
        </is>
      </c>
      <c r="E4156" s="53" t="inlineStr">
        <is>
          <t>2024-09-05</t>
        </is>
      </c>
      <c r="F4156" s="53">
        <v>8.4</v>
      </c>
      <c r="G4156" s="53">
        <v>0.4</v>
      </c>
      <c r="H4156" s="51" t="str">
        <f>TEXT(tblLaborEntries[[#This Row],[Work date serial]]-WEEKDAY(tblLaborEntries[[#This Row],[Work date serial]],3),"yyyy-mm-dd")</f>
        <v>2024-09-02</v>
      </c>
      <c r="I4156" s="64">
        <f>DATEVALUE(tblLaborEntries[[#This Row],[Work date]])</f>
        <v>45540.0</v>
      </c>
    </row>
    <row r="4157" spans="1:9" ht="15" x14ac:dyDescent="0.25">
      <c r="A4157" s="53" t="inlineStr">
        <is>
          <t>LAB-004156</t>
        </is>
      </c>
      <c r="B4157" s="53" t="inlineStr">
        <is>
          <t>WP-01829</t>
        </is>
      </c>
      <c r="C4157" s="53" t="inlineStr">
        <is>
          <t>TECH-003</t>
        </is>
      </c>
      <c r="D4157" s="53" t="inlineStr">
        <is>
          <t>Hydraulics</t>
        </is>
      </c>
      <c r="E4157" s="53" t="inlineStr">
        <is>
          <t>2024-09-06</t>
        </is>
      </c>
      <c r="F4157" s="53">
        <v>8.6</v>
      </c>
      <c r="G4157" s="53">
        <v>0.6</v>
      </c>
      <c r="H4157" s="51" t="str">
        <f>TEXT(tblLaborEntries[[#This Row],[Work date serial]]-WEEKDAY(tblLaborEntries[[#This Row],[Work date serial]],3),"yyyy-mm-dd")</f>
        <v>2024-09-02</v>
      </c>
      <c r="I4157" s="64">
        <f>DATEVALUE(tblLaborEntries[[#This Row],[Work date]])</f>
        <v>45541.0</v>
      </c>
    </row>
    <row r="4158" spans="1:9" ht="15" x14ac:dyDescent="0.25">
      <c r="A4158" s="53" t="inlineStr">
        <is>
          <t>LAB-004157</t>
        </is>
      </c>
      <c r="B4158" s="53" t="inlineStr">
        <is>
          <t>WP-01830</t>
        </is>
      </c>
      <c r="C4158" s="53" t="inlineStr">
        <is>
          <t>TECH-004</t>
        </is>
      </c>
      <c r="D4158" s="53" t="inlineStr">
        <is>
          <t>Electrical</t>
        </is>
      </c>
      <c r="E4158" s="53" t="inlineStr">
        <is>
          <t>2025-01-28</t>
        </is>
      </c>
      <c r="F4158" s="53">
        <v>11.3</v>
      </c>
      <c r="G4158" s="53">
        <v>3.3</v>
      </c>
      <c r="H4158" s="51" t="str">
        <f>TEXT(tblLaborEntries[[#This Row],[Work date serial]]-WEEKDAY(tblLaborEntries[[#This Row],[Work date serial]],3),"yyyy-mm-dd")</f>
        <v>2025-01-27</v>
      </c>
      <c r="I4158" s="64">
        <f>DATEVALUE(tblLaborEntries[[#This Row],[Work date]])</f>
        <v>45685.0</v>
      </c>
    </row>
    <row r="4159" spans="1:9" ht="15" x14ac:dyDescent="0.25">
      <c r="A4159" s="53" t="inlineStr">
        <is>
          <t>LAB-004158</t>
        </is>
      </c>
      <c r="B4159" s="53" t="inlineStr">
        <is>
          <t>WP-01830</t>
        </is>
      </c>
      <c r="C4159" s="53" t="inlineStr">
        <is>
          <t>TECH-010</t>
        </is>
      </c>
      <c r="D4159" s="53" t="inlineStr">
        <is>
          <t>Electrical</t>
        </is>
      </c>
      <c r="E4159" s="53" t="inlineStr">
        <is>
          <t>2025-01-28</t>
        </is>
      </c>
      <c r="F4159" s="53">
        <v>12</v>
      </c>
      <c r="G4159" s="53">
        <v>4</v>
      </c>
      <c r="H4159" s="51" t="str">
        <f>TEXT(tblLaborEntries[[#This Row],[Work date serial]]-WEEKDAY(tblLaborEntries[[#This Row],[Work date serial]],3),"yyyy-mm-dd")</f>
        <v>2025-01-27</v>
      </c>
      <c r="I4159" s="64">
        <f>DATEVALUE(tblLaborEntries[[#This Row],[Work date]])</f>
        <v>45685.0</v>
      </c>
    </row>
    <row r="4160" spans="1:9" ht="15" x14ac:dyDescent="0.25">
      <c r="A4160" s="53" t="inlineStr">
        <is>
          <t>LAB-004159</t>
        </is>
      </c>
      <c r="B4160" s="53" t="inlineStr">
        <is>
          <t>WP-01831</t>
        </is>
      </c>
      <c r="C4160" s="53" t="inlineStr">
        <is>
          <t>TECH-003</t>
        </is>
      </c>
      <c r="D4160" s="53" t="inlineStr">
        <is>
          <t>Hydraulics</t>
        </is>
      </c>
      <c r="E4160" s="53" t="inlineStr">
        <is>
          <t>2025-10-25</t>
        </is>
      </c>
      <c r="F4160" s="53">
        <v>9.7</v>
      </c>
      <c r="G4160" s="53">
        <v>1.7</v>
      </c>
      <c r="H4160" s="51" t="str">
        <f>TEXT(tblLaborEntries[[#This Row],[Work date serial]]-WEEKDAY(tblLaborEntries[[#This Row],[Work date serial]],3),"yyyy-mm-dd")</f>
        <v>2025-10-20</v>
      </c>
      <c r="I4160" s="64">
        <f>DATEVALUE(tblLaborEntries[[#This Row],[Work date]])</f>
        <v>45955.0</v>
      </c>
    </row>
    <row r="4161" spans="1:9" ht="15" x14ac:dyDescent="0.25">
      <c r="A4161" s="53" t="inlineStr">
        <is>
          <t>LAB-004160</t>
        </is>
      </c>
      <c r="B4161" s="53" t="inlineStr">
        <is>
          <t>WP-01831</t>
        </is>
      </c>
      <c r="C4161" s="53" t="inlineStr">
        <is>
          <t>TECH-051</t>
        </is>
      </c>
      <c r="D4161" s="53" t="inlineStr">
        <is>
          <t>Hydraulics</t>
        </is>
      </c>
      <c r="E4161" s="53" t="inlineStr">
        <is>
          <t>2025-10-26</t>
        </is>
      </c>
      <c r="F4161" s="53">
        <v>6.8</v>
      </c>
      <c r="G4161" s="53">
        <v>0</v>
      </c>
      <c r="H4161" s="51" t="str">
        <f>TEXT(tblLaborEntries[[#This Row],[Work date serial]]-WEEKDAY(tblLaborEntries[[#This Row],[Work date serial]],3),"yyyy-mm-dd")</f>
        <v>2025-10-20</v>
      </c>
      <c r="I4161" s="64">
        <f>DATEVALUE(tblLaborEntries[[#This Row],[Work date]])</f>
        <v>45956.0</v>
      </c>
    </row>
    <row r="4162" spans="1:9" ht="15" x14ac:dyDescent="0.25">
      <c r="A4162" s="53" t="inlineStr">
        <is>
          <t>LAB-004161</t>
        </is>
      </c>
      <c r="B4162" s="53" t="inlineStr">
        <is>
          <t>WP-01832</t>
        </is>
      </c>
      <c r="C4162" s="53" t="inlineStr">
        <is>
          <t>TECH-005</t>
        </is>
      </c>
      <c r="D4162" s="53" t="inlineStr">
        <is>
          <t>Structures</t>
        </is>
      </c>
      <c r="E4162" s="53" t="inlineStr">
        <is>
          <t>2024-05-27</t>
        </is>
      </c>
      <c r="F4162" s="53">
        <v>11.9</v>
      </c>
      <c r="G4162" s="53">
        <v>3.9</v>
      </c>
      <c r="H4162" s="51" t="str">
        <f>TEXT(tblLaborEntries[[#This Row],[Work date serial]]-WEEKDAY(tblLaborEntries[[#This Row],[Work date serial]],3),"yyyy-mm-dd")</f>
        <v>2024-05-27</v>
      </c>
      <c r="I4162" s="64">
        <f>DATEVALUE(tblLaborEntries[[#This Row],[Work date]])</f>
        <v>45439.0</v>
      </c>
    </row>
    <row r="4163" spans="1:9" ht="15" x14ac:dyDescent="0.25">
      <c r="A4163" s="53" t="inlineStr">
        <is>
          <t>LAB-004162</t>
        </is>
      </c>
      <c r="B4163" s="53" t="inlineStr">
        <is>
          <t>WP-01832</t>
        </is>
      </c>
      <c r="C4163" s="53" t="inlineStr">
        <is>
          <t>TECH-035</t>
        </is>
      </c>
      <c r="D4163" s="53" t="inlineStr">
        <is>
          <t>Structures</t>
        </is>
      </c>
      <c r="E4163" s="53" t="inlineStr">
        <is>
          <t>2024-05-27</t>
        </is>
      </c>
      <c r="F4163" s="53">
        <v>12</v>
      </c>
      <c r="G4163" s="53">
        <v>4</v>
      </c>
      <c r="H4163" s="51" t="str">
        <f>TEXT(tblLaborEntries[[#This Row],[Work date serial]]-WEEKDAY(tblLaborEntries[[#This Row],[Work date serial]],3),"yyyy-mm-dd")</f>
        <v>2024-05-27</v>
      </c>
      <c r="I4163" s="64">
        <f>DATEVALUE(tblLaborEntries[[#This Row],[Work date]])</f>
        <v>45439.0</v>
      </c>
    </row>
    <row r="4164" spans="1:9" ht="15" x14ac:dyDescent="0.25">
      <c r="A4164" s="53" t="inlineStr">
        <is>
          <t>LAB-004163</t>
        </is>
      </c>
      <c r="B4164" s="53" t="inlineStr">
        <is>
          <t>WP-01832</t>
        </is>
      </c>
      <c r="C4164" s="53" t="inlineStr">
        <is>
          <t>TECH-005</t>
        </is>
      </c>
      <c r="D4164" s="53" t="inlineStr">
        <is>
          <t>Structures</t>
        </is>
      </c>
      <c r="E4164" s="53" t="inlineStr">
        <is>
          <t>2024-05-28</t>
        </is>
      </c>
      <c r="F4164" s="53">
        <v>12</v>
      </c>
      <c r="G4164" s="53">
        <v>4</v>
      </c>
      <c r="H4164" s="51" t="str">
        <f>TEXT(tblLaborEntries[[#This Row],[Work date serial]]-WEEKDAY(tblLaborEntries[[#This Row],[Work date serial]],3),"yyyy-mm-dd")</f>
        <v>2024-05-27</v>
      </c>
      <c r="I4164" s="64">
        <f>DATEVALUE(tblLaborEntries[[#This Row],[Work date]])</f>
        <v>45440.0</v>
      </c>
    </row>
    <row r="4165" spans="1:9" ht="15" x14ac:dyDescent="0.25">
      <c r="A4165" s="53" t="inlineStr">
        <is>
          <t>LAB-004164</t>
        </is>
      </c>
      <c r="B4165" s="53" t="inlineStr">
        <is>
          <t>WP-01832</t>
        </is>
      </c>
      <c r="C4165" s="53" t="inlineStr">
        <is>
          <t>TECH-011</t>
        </is>
      </c>
      <c r="D4165" s="53" t="inlineStr">
        <is>
          <t>Structures</t>
        </is>
      </c>
      <c r="E4165" s="53" t="inlineStr">
        <is>
          <t>2024-05-28</t>
        </is>
      </c>
      <c r="F4165" s="53">
        <v>0.6</v>
      </c>
      <c r="G4165" s="53">
        <v>0</v>
      </c>
      <c r="H4165" s="51" t="str">
        <f>TEXT(tblLaborEntries[[#This Row],[Work date serial]]-WEEKDAY(tblLaborEntries[[#This Row],[Work date serial]],3),"yyyy-mm-dd")</f>
        <v>2024-05-27</v>
      </c>
      <c r="I4165" s="64">
        <f>DATEVALUE(tblLaborEntries[[#This Row],[Work date]])</f>
        <v>45440.0</v>
      </c>
    </row>
    <row r="4166" spans="1:9" ht="15" x14ac:dyDescent="0.25">
      <c r="A4166" s="53" t="inlineStr">
        <is>
          <t>LAB-004165</t>
        </is>
      </c>
      <c r="B4166" s="53" t="inlineStr">
        <is>
          <t>WP-01832</t>
        </is>
      </c>
      <c r="C4166" s="53" t="inlineStr">
        <is>
          <t>TECH-047</t>
        </is>
      </c>
      <c r="D4166" s="53" t="inlineStr">
        <is>
          <t>Structures</t>
        </is>
      </c>
      <c r="E4166" s="53" t="inlineStr">
        <is>
          <t>2024-05-28</t>
        </is>
      </c>
      <c r="F4166" s="53">
        <v>12</v>
      </c>
      <c r="G4166" s="53">
        <v>4</v>
      </c>
      <c r="H4166" s="51" t="str">
        <f>TEXT(tblLaborEntries[[#This Row],[Work date serial]]-WEEKDAY(tblLaborEntries[[#This Row],[Work date serial]],3),"yyyy-mm-dd")</f>
        <v>2024-05-27</v>
      </c>
      <c r="I4166" s="64">
        <f>DATEVALUE(tblLaborEntries[[#This Row],[Work date]])</f>
        <v>45440.0</v>
      </c>
    </row>
    <row r="4167" spans="1:9" ht="15" x14ac:dyDescent="0.25">
      <c r="A4167" s="53" t="inlineStr">
        <is>
          <t>LAB-004166</t>
        </is>
      </c>
      <c r="B4167" s="53" t="inlineStr">
        <is>
          <t>WP-01833</t>
        </is>
      </c>
      <c r="C4167" s="53" t="inlineStr">
        <is>
          <t>TECH-005</t>
        </is>
      </c>
      <c r="D4167" s="53" t="inlineStr">
        <is>
          <t>Structures</t>
        </is>
      </c>
      <c r="E4167" s="53" t="inlineStr">
        <is>
          <t>2025-07-07</t>
        </is>
      </c>
      <c r="F4167" s="53">
        <v>4.5</v>
      </c>
      <c r="G4167" s="53">
        <v>0</v>
      </c>
      <c r="H4167" s="51" t="str">
        <f>TEXT(tblLaborEntries[[#This Row],[Work date serial]]-WEEKDAY(tblLaborEntries[[#This Row],[Work date serial]],3),"yyyy-mm-dd")</f>
        <v>2025-07-07</v>
      </c>
      <c r="I4167" s="64">
        <f>DATEVALUE(tblLaborEntries[[#This Row],[Work date]])</f>
        <v>45845.0</v>
      </c>
    </row>
    <row r="4168" spans="1:9" ht="15" x14ac:dyDescent="0.25">
      <c r="A4168" s="53" t="inlineStr">
        <is>
          <t>LAB-004167</t>
        </is>
      </c>
      <c r="B4168" s="53" t="inlineStr">
        <is>
          <t>WP-01833</t>
        </is>
      </c>
      <c r="C4168" s="53" t="inlineStr">
        <is>
          <t>TECH-017</t>
        </is>
      </c>
      <c r="D4168" s="53" t="inlineStr">
        <is>
          <t>Structures</t>
        </is>
      </c>
      <c r="E4168" s="53" t="inlineStr">
        <is>
          <t>2025-07-07</t>
        </is>
      </c>
      <c r="F4168" s="53">
        <v>12</v>
      </c>
      <c r="G4168" s="53">
        <v>4</v>
      </c>
      <c r="H4168" s="51" t="str">
        <f>TEXT(tblLaborEntries[[#This Row],[Work date serial]]-WEEKDAY(tblLaborEntries[[#This Row],[Work date serial]],3),"yyyy-mm-dd")</f>
        <v>2025-07-07</v>
      </c>
      <c r="I4168" s="64">
        <f>DATEVALUE(tblLaborEntries[[#This Row],[Work date]])</f>
        <v>45845.0</v>
      </c>
    </row>
    <row r="4169" spans="1:9" ht="15" x14ac:dyDescent="0.25">
      <c r="A4169" s="53" t="inlineStr">
        <is>
          <t>LAB-004168</t>
        </is>
      </c>
      <c r="B4169" s="53" t="inlineStr">
        <is>
          <t>WP-01833</t>
        </is>
      </c>
      <c r="C4169" s="53" t="inlineStr">
        <is>
          <t>TECH-005</t>
        </is>
      </c>
      <c r="D4169" s="53" t="inlineStr">
        <is>
          <t>Structures</t>
        </is>
      </c>
      <c r="E4169" s="53" t="inlineStr">
        <is>
          <t>2025-07-08</t>
        </is>
      </c>
      <c r="F4169" s="53">
        <v>10.9</v>
      </c>
      <c r="G4169" s="53">
        <v>2.9</v>
      </c>
      <c r="H4169" s="51" t="str">
        <f>TEXT(tblLaborEntries[[#This Row],[Work date serial]]-WEEKDAY(tblLaborEntries[[#This Row],[Work date serial]],3),"yyyy-mm-dd")</f>
        <v>2025-07-07</v>
      </c>
      <c r="I4169" s="64">
        <f>DATEVALUE(tblLaborEntries[[#This Row],[Work date]])</f>
        <v>45846.0</v>
      </c>
    </row>
    <row r="4170" spans="1:9" ht="15" x14ac:dyDescent="0.25">
      <c r="A4170" s="53" t="inlineStr">
        <is>
          <t>LAB-004169</t>
        </is>
      </c>
      <c r="B4170" s="53" t="inlineStr">
        <is>
          <t>WP-01833</t>
        </is>
      </c>
      <c r="C4170" s="53" t="inlineStr">
        <is>
          <t>TECH-065</t>
        </is>
      </c>
      <c r="D4170" s="53" t="inlineStr">
        <is>
          <t>Structures</t>
        </is>
      </c>
      <c r="E4170" s="53" t="inlineStr">
        <is>
          <t>2025-07-08</t>
        </is>
      </c>
      <c r="F4170" s="53">
        <v>12</v>
      </c>
      <c r="G4170" s="53">
        <v>4</v>
      </c>
      <c r="H4170" s="51" t="str">
        <f>TEXT(tblLaborEntries[[#This Row],[Work date serial]]-WEEKDAY(tblLaborEntries[[#This Row],[Work date serial]],3),"yyyy-mm-dd")</f>
        <v>2025-07-07</v>
      </c>
      <c r="I4170" s="64">
        <f>DATEVALUE(tblLaborEntries[[#This Row],[Work date]])</f>
        <v>45846.0</v>
      </c>
    </row>
    <row r="4171" spans="1:9" ht="15" x14ac:dyDescent="0.25">
      <c r="A4171" s="53" t="inlineStr">
        <is>
          <t>LAB-004170</t>
        </is>
      </c>
      <c r="B4171" s="53" t="inlineStr">
        <is>
          <t>WP-01834</t>
        </is>
      </c>
      <c r="C4171" s="53" t="inlineStr">
        <is>
          <t>TECH-053</t>
        </is>
      </c>
      <c r="D4171" s="53" t="inlineStr">
        <is>
          <t>Structures</t>
        </is>
      </c>
      <c r="E4171" s="53" t="inlineStr">
        <is>
          <t>2025-07-25</t>
        </is>
      </c>
      <c r="F4171" s="53">
        <v>11.7</v>
      </c>
      <c r="G4171" s="53">
        <v>3.7</v>
      </c>
      <c r="H4171" s="51" t="str">
        <f>TEXT(tblLaborEntries[[#This Row],[Work date serial]]-WEEKDAY(tblLaborEntries[[#This Row],[Work date serial]],3),"yyyy-mm-dd")</f>
        <v>2025-07-21</v>
      </c>
      <c r="I4171" s="64">
        <f>DATEVALUE(tblLaborEntries[[#This Row],[Work date]])</f>
        <v>45863.0</v>
      </c>
    </row>
    <row r="4172" spans="1:9" ht="15" x14ac:dyDescent="0.25">
      <c r="A4172" s="53" t="inlineStr">
        <is>
          <t>LAB-004171</t>
        </is>
      </c>
      <c r="B4172" s="53" t="inlineStr">
        <is>
          <t>WP-01834</t>
        </is>
      </c>
      <c r="C4172" s="53" t="inlineStr">
        <is>
          <t>TECH-059</t>
        </is>
      </c>
      <c r="D4172" s="53" t="inlineStr">
        <is>
          <t>Structures</t>
        </is>
      </c>
      <c r="E4172" s="53" t="inlineStr">
        <is>
          <t>2025-07-26</t>
        </is>
      </c>
      <c r="F4172" s="53">
        <v>11.9</v>
      </c>
      <c r="G4172" s="53">
        <v>3.9</v>
      </c>
      <c r="H4172" s="51" t="str">
        <f>TEXT(tblLaborEntries[[#This Row],[Work date serial]]-WEEKDAY(tblLaborEntries[[#This Row],[Work date serial]],3),"yyyy-mm-dd")</f>
        <v>2025-07-21</v>
      </c>
      <c r="I4172" s="64">
        <f>DATEVALUE(tblLaborEntries[[#This Row],[Work date]])</f>
        <v>45864.0</v>
      </c>
    </row>
    <row r="4173" spans="1:9" ht="15" x14ac:dyDescent="0.25">
      <c r="A4173" s="53" t="inlineStr">
        <is>
          <t>LAB-004172</t>
        </is>
      </c>
      <c r="B4173" s="53" t="inlineStr">
        <is>
          <t>WP-01835</t>
        </is>
      </c>
      <c r="C4173" s="53" t="inlineStr">
        <is>
          <t>TECH-042</t>
        </is>
      </c>
      <c r="D4173" s="53" t="inlineStr">
        <is>
          <t>Powerplant</t>
        </is>
      </c>
      <c r="E4173" s="53" t="inlineStr">
        <is>
          <t>2024-01-14</t>
        </is>
      </c>
      <c r="F4173" s="53">
        <v>6.6</v>
      </c>
      <c r="G4173" s="53">
        <v>0</v>
      </c>
      <c r="H4173" s="51" t="str">
        <f>TEXT(tblLaborEntries[[#This Row],[Work date serial]]-WEEKDAY(tblLaborEntries[[#This Row],[Work date serial]],3),"yyyy-mm-dd")</f>
        <v>2024-01-08</v>
      </c>
      <c r="I4173" s="64">
        <f>DATEVALUE(tblLaborEntries[[#This Row],[Work date]])</f>
        <v>45305.0</v>
      </c>
    </row>
    <row r="4174" spans="1:9" ht="15" x14ac:dyDescent="0.25">
      <c r="A4174" s="53" t="inlineStr">
        <is>
          <t>LAB-004173</t>
        </is>
      </c>
      <c r="B4174" s="53" t="inlineStr">
        <is>
          <t>WP-01835</t>
        </is>
      </c>
      <c r="C4174" s="53" t="inlineStr">
        <is>
          <t>TECH-048</t>
        </is>
      </c>
      <c r="D4174" s="53" t="inlineStr">
        <is>
          <t>Powerplant</t>
        </is>
      </c>
      <c r="E4174" s="53" t="inlineStr">
        <is>
          <t>2024-01-15</t>
        </is>
      </c>
      <c r="F4174" s="53">
        <v>5.5</v>
      </c>
      <c r="G4174" s="53">
        <v>0</v>
      </c>
      <c r="H4174" s="51" t="str">
        <f>TEXT(tblLaborEntries[[#This Row],[Work date serial]]-WEEKDAY(tblLaborEntries[[#This Row],[Work date serial]],3),"yyyy-mm-dd")</f>
        <v>2024-01-15</v>
      </c>
      <c r="I4174" s="64">
        <f>DATEVALUE(tblLaborEntries[[#This Row],[Work date]])</f>
        <v>45306.0</v>
      </c>
    </row>
    <row r="4175" spans="1:9" ht="15" x14ac:dyDescent="0.25">
      <c r="A4175" s="53" t="inlineStr">
        <is>
          <t>LAB-004174</t>
        </is>
      </c>
      <c r="B4175" s="53" t="inlineStr">
        <is>
          <t>WP-01835</t>
        </is>
      </c>
      <c r="C4175" s="53" t="inlineStr">
        <is>
          <t>TECH-048</t>
        </is>
      </c>
      <c r="D4175" s="53" t="inlineStr">
        <is>
          <t>Powerplant</t>
        </is>
      </c>
      <c r="E4175" s="53" t="inlineStr">
        <is>
          <t>2024-01-16</t>
        </is>
      </c>
      <c r="F4175" s="53">
        <v>6.3</v>
      </c>
      <c r="G4175" s="53">
        <v>0</v>
      </c>
      <c r="H4175" s="51" t="str">
        <f>TEXT(tblLaborEntries[[#This Row],[Work date serial]]-WEEKDAY(tblLaborEntries[[#This Row],[Work date serial]],3),"yyyy-mm-dd")</f>
        <v>2024-01-15</v>
      </c>
      <c r="I4175" s="64">
        <f>DATEVALUE(tblLaborEntries[[#This Row],[Work date]])</f>
        <v>45307.0</v>
      </c>
    </row>
    <row r="4176" spans="1:9" ht="15" x14ac:dyDescent="0.25">
      <c r="A4176" s="53" t="inlineStr">
        <is>
          <t>LAB-004175</t>
        </is>
      </c>
      <c r="B4176" s="53" t="inlineStr">
        <is>
          <t>WP-01836</t>
        </is>
      </c>
      <c r="C4176" s="53" t="inlineStr">
        <is>
          <t>TECH-026</t>
        </is>
      </c>
      <c r="D4176" s="53" t="inlineStr">
        <is>
          <t>Avionics</t>
        </is>
      </c>
      <c r="E4176" s="53" t="inlineStr">
        <is>
          <t>2025-01-09</t>
        </is>
      </c>
      <c r="F4176" s="53">
        <v>3.6</v>
      </c>
      <c r="G4176" s="53">
        <v>0</v>
      </c>
      <c r="H4176" s="51" t="str">
        <f>TEXT(tblLaborEntries[[#This Row],[Work date serial]]-WEEKDAY(tblLaborEntries[[#This Row],[Work date serial]],3),"yyyy-mm-dd")</f>
        <v>2025-01-06</v>
      </c>
      <c r="I4176" s="64">
        <f>DATEVALUE(tblLaborEntries[[#This Row],[Work date]])</f>
        <v>45666.0</v>
      </c>
    </row>
    <row r="4177" spans="1:9" ht="15" x14ac:dyDescent="0.25">
      <c r="A4177" s="53" t="inlineStr">
        <is>
          <t>LAB-004176</t>
        </is>
      </c>
      <c r="B4177" s="53" t="inlineStr">
        <is>
          <t>WP-01836</t>
        </is>
      </c>
      <c r="C4177" s="53" t="inlineStr">
        <is>
          <t>TECH-050</t>
        </is>
      </c>
      <c r="D4177" s="53" t="inlineStr">
        <is>
          <t>Avionics</t>
        </is>
      </c>
      <c r="E4177" s="53" t="inlineStr">
        <is>
          <t>2025-01-10</t>
        </is>
      </c>
      <c r="F4177" s="53">
        <v>3.4</v>
      </c>
      <c r="G4177" s="53">
        <v>0</v>
      </c>
      <c r="H4177" s="51" t="str">
        <f>TEXT(tblLaborEntries[[#This Row],[Work date serial]]-WEEKDAY(tblLaborEntries[[#This Row],[Work date serial]],3),"yyyy-mm-dd")</f>
        <v>2025-01-06</v>
      </c>
      <c r="I4177" s="64">
        <f>DATEVALUE(tblLaborEntries[[#This Row],[Work date]])</f>
        <v>45667.0</v>
      </c>
    </row>
    <row r="4178" spans="1:9" ht="15" x14ac:dyDescent="0.25">
      <c r="A4178" s="53" t="inlineStr">
        <is>
          <t>LAB-004177</t>
        </is>
      </c>
      <c r="B4178" s="53" t="inlineStr">
        <is>
          <t>WP-01837</t>
        </is>
      </c>
      <c r="C4178" s="53" t="inlineStr">
        <is>
          <t>TECH-014</t>
        </is>
      </c>
      <c r="D4178" s="53" t="inlineStr">
        <is>
          <t>Avionics</t>
        </is>
      </c>
      <c r="E4178" s="53" t="inlineStr">
        <is>
          <t>2025-06-02</t>
        </is>
      </c>
      <c r="F4178" s="53">
        <v>6.1</v>
      </c>
      <c r="G4178" s="53">
        <v>0</v>
      </c>
      <c r="H4178" s="51" t="str">
        <f>TEXT(tblLaborEntries[[#This Row],[Work date serial]]-WEEKDAY(tblLaborEntries[[#This Row],[Work date serial]],3),"yyyy-mm-dd")</f>
        <v>2025-06-02</v>
      </c>
      <c r="I4178" s="64">
        <f>DATEVALUE(tblLaborEntries[[#This Row],[Work date]])</f>
        <v>45810.0</v>
      </c>
    </row>
    <row r="4179" spans="1:9" ht="15" x14ac:dyDescent="0.25">
      <c r="A4179" s="53" t="inlineStr">
        <is>
          <t>LAB-004178</t>
        </is>
      </c>
      <c r="B4179" s="53" t="inlineStr">
        <is>
          <t>WP-01838</t>
        </is>
      </c>
      <c r="C4179" s="53" t="inlineStr">
        <is>
          <t>TECH-041</t>
        </is>
      </c>
      <c r="D4179" s="53" t="inlineStr">
        <is>
          <t>Structures</t>
        </is>
      </c>
      <c r="E4179" s="53" t="inlineStr">
        <is>
          <t>2025-03-14</t>
        </is>
      </c>
      <c r="F4179" s="53">
        <v>7.5</v>
      </c>
      <c r="G4179" s="53">
        <v>0</v>
      </c>
      <c r="H4179" s="51" t="str">
        <f>TEXT(tblLaborEntries[[#This Row],[Work date serial]]-WEEKDAY(tblLaborEntries[[#This Row],[Work date serial]],3),"yyyy-mm-dd")</f>
        <v>2025-03-10</v>
      </c>
      <c r="I4179" s="64">
        <f>DATEVALUE(tblLaborEntries[[#This Row],[Work date]])</f>
        <v>45730.0</v>
      </c>
    </row>
    <row r="4180" spans="1:9" ht="15" x14ac:dyDescent="0.25">
      <c r="A4180" s="53" t="inlineStr">
        <is>
          <t>LAB-004179</t>
        </is>
      </c>
      <c r="B4180" s="53" t="inlineStr">
        <is>
          <t>WP-01838</t>
        </is>
      </c>
      <c r="C4180" s="53" t="inlineStr">
        <is>
          <t>TECH-011</t>
        </is>
      </c>
      <c r="D4180" s="53" t="inlineStr">
        <is>
          <t>Structures</t>
        </is>
      </c>
      <c r="E4180" s="53" t="inlineStr">
        <is>
          <t>2025-03-15</t>
        </is>
      </c>
      <c r="F4180" s="53">
        <v>12</v>
      </c>
      <c r="G4180" s="53">
        <v>4</v>
      </c>
      <c r="H4180" s="51" t="str">
        <f>TEXT(tblLaborEntries[[#This Row],[Work date serial]]-WEEKDAY(tblLaborEntries[[#This Row],[Work date serial]],3),"yyyy-mm-dd")</f>
        <v>2025-03-10</v>
      </c>
      <c r="I4180" s="64">
        <f>DATEVALUE(tblLaborEntries[[#This Row],[Work date]])</f>
        <v>45731.0</v>
      </c>
    </row>
    <row r="4181" spans="1:9" ht="15" x14ac:dyDescent="0.25">
      <c r="A4181" s="53" t="inlineStr">
        <is>
          <t>LAB-004180</t>
        </is>
      </c>
      <c r="B4181" s="53" t="inlineStr">
        <is>
          <t>WP-01838</t>
        </is>
      </c>
      <c r="C4181" s="53" t="inlineStr">
        <is>
          <t>TECH-017</t>
        </is>
      </c>
      <c r="D4181" s="53" t="inlineStr">
        <is>
          <t>Structures</t>
        </is>
      </c>
      <c r="E4181" s="53" t="inlineStr">
        <is>
          <t>2025-03-15</t>
        </is>
      </c>
      <c r="F4181" s="53">
        <v>12</v>
      </c>
      <c r="G4181" s="53">
        <v>4</v>
      </c>
      <c r="H4181" s="51" t="str">
        <f>TEXT(tblLaborEntries[[#This Row],[Work date serial]]-WEEKDAY(tblLaborEntries[[#This Row],[Work date serial]],3),"yyyy-mm-dd")</f>
        <v>2025-03-10</v>
      </c>
      <c r="I4181" s="64">
        <f>DATEVALUE(tblLaborEntries[[#This Row],[Work date]])</f>
        <v>45731.0</v>
      </c>
    </row>
    <row r="4182" spans="1:9" ht="15" x14ac:dyDescent="0.25">
      <c r="A4182" s="53" t="inlineStr">
        <is>
          <t>LAB-004181</t>
        </is>
      </c>
      <c r="B4182" s="53" t="inlineStr">
        <is>
          <t>WP-01838</t>
        </is>
      </c>
      <c r="C4182" s="53" t="inlineStr">
        <is>
          <t>TECH-041</t>
        </is>
      </c>
      <c r="D4182" s="53" t="inlineStr">
        <is>
          <t>Structures</t>
        </is>
      </c>
      <c r="E4182" s="53" t="inlineStr">
        <is>
          <t>2025-03-15</t>
        </is>
      </c>
      <c r="F4182" s="53">
        <v>12</v>
      </c>
      <c r="G4182" s="53">
        <v>4</v>
      </c>
      <c r="H4182" s="51" t="str">
        <f>TEXT(tblLaborEntries[[#This Row],[Work date serial]]-WEEKDAY(tblLaborEntries[[#This Row],[Work date serial]],3),"yyyy-mm-dd")</f>
        <v>2025-03-10</v>
      </c>
      <c r="I4182" s="64">
        <f>DATEVALUE(tblLaborEntries[[#This Row],[Work date]])</f>
        <v>45731.0</v>
      </c>
    </row>
    <row r="4183" spans="1:9" ht="15" x14ac:dyDescent="0.25">
      <c r="A4183" s="53" t="inlineStr">
        <is>
          <t>LAB-004182</t>
        </is>
      </c>
      <c r="B4183" s="53" t="inlineStr">
        <is>
          <t>WP-01839</t>
        </is>
      </c>
      <c r="C4183" s="53" t="inlineStr">
        <is>
          <t>TECH-049</t>
        </is>
      </c>
      <c r="D4183" s="53" t="inlineStr">
        <is>
          <t>Airframe</t>
        </is>
      </c>
      <c r="E4183" s="53" t="inlineStr">
        <is>
          <t>2025-12-19</t>
        </is>
      </c>
      <c r="F4183" s="53">
        <v>5</v>
      </c>
      <c r="G4183" s="53">
        <v>0</v>
      </c>
      <c r="H4183" s="51" t="str">
        <f>TEXT(tblLaborEntries[[#This Row],[Work date serial]]-WEEKDAY(tblLaborEntries[[#This Row],[Work date serial]],3),"yyyy-mm-dd")</f>
        <v>2025-12-15</v>
      </c>
      <c r="I4183" s="64">
        <f>DATEVALUE(tblLaborEntries[[#This Row],[Work date]])</f>
        <v>46010.0</v>
      </c>
    </row>
    <row r="4184" spans="1:9" ht="15" x14ac:dyDescent="0.25">
      <c r="A4184" s="53" t="inlineStr">
        <is>
          <t>LAB-004183</t>
        </is>
      </c>
      <c r="B4184" s="53" t="inlineStr">
        <is>
          <t>WP-01839</t>
        </is>
      </c>
      <c r="C4184" s="53" t="inlineStr">
        <is>
          <t>TECH-043</t>
        </is>
      </c>
      <c r="D4184" s="53" t="inlineStr">
        <is>
          <t>Airframe</t>
        </is>
      </c>
      <c r="E4184" s="53" t="inlineStr">
        <is>
          <t>2025-12-20</t>
        </is>
      </c>
      <c r="F4184" s="53">
        <v>4.2</v>
      </c>
      <c r="G4184" s="53">
        <v>0</v>
      </c>
      <c r="H4184" s="51" t="str">
        <f>TEXT(tblLaborEntries[[#This Row],[Work date serial]]-WEEKDAY(tblLaborEntries[[#This Row],[Work date serial]],3),"yyyy-mm-dd")</f>
        <v>2025-12-15</v>
      </c>
      <c r="I4184" s="64">
        <f>DATEVALUE(tblLaborEntries[[#This Row],[Work date]])</f>
        <v>46011.0</v>
      </c>
    </row>
    <row r="4185" spans="1:9" ht="15" x14ac:dyDescent="0.25">
      <c r="A4185" s="53" t="inlineStr">
        <is>
          <t>LAB-004184</t>
        </is>
      </c>
      <c r="B4185" s="53" t="inlineStr">
        <is>
          <t>WP-01840</t>
        </is>
      </c>
      <c r="C4185" s="53" t="inlineStr">
        <is>
          <t>TECH-061</t>
        </is>
      </c>
      <c r="D4185" s="53" t="inlineStr">
        <is>
          <t>Airframe</t>
        </is>
      </c>
      <c r="E4185" s="53" t="inlineStr">
        <is>
          <t>2025-07-07</t>
        </is>
      </c>
      <c r="F4185" s="53">
        <v>6.7</v>
      </c>
      <c r="G4185" s="53">
        <v>0</v>
      </c>
      <c r="H4185" s="51" t="str">
        <f>TEXT(tblLaborEntries[[#This Row],[Work date serial]]-WEEKDAY(tblLaborEntries[[#This Row],[Work date serial]],3),"yyyy-mm-dd")</f>
        <v>2025-07-07</v>
      </c>
      <c r="I4185" s="64">
        <f>DATEVALUE(tblLaborEntries[[#This Row],[Work date]])</f>
        <v>45845.0</v>
      </c>
    </row>
    <row r="4186" spans="1:9" ht="15" x14ac:dyDescent="0.25">
      <c r="A4186" s="53" t="inlineStr">
        <is>
          <t>LAB-004185</t>
        </is>
      </c>
      <c r="B4186" s="53" t="inlineStr">
        <is>
          <t>WP-01840</t>
        </is>
      </c>
      <c r="C4186" s="53" t="inlineStr">
        <is>
          <t>TECH-037</t>
        </is>
      </c>
      <c r="D4186" s="53" t="inlineStr">
        <is>
          <t>Airframe</t>
        </is>
      </c>
      <c r="E4186" s="53" t="inlineStr">
        <is>
          <t>2025-07-08</t>
        </is>
      </c>
      <c r="F4186" s="53">
        <v>7.2</v>
      </c>
      <c r="G4186" s="53">
        <v>0</v>
      </c>
      <c r="H4186" s="51" t="str">
        <f>TEXT(tblLaborEntries[[#This Row],[Work date serial]]-WEEKDAY(tblLaborEntries[[#This Row],[Work date serial]],3),"yyyy-mm-dd")</f>
        <v>2025-07-07</v>
      </c>
      <c r="I4186" s="64">
        <f>DATEVALUE(tblLaborEntries[[#This Row],[Work date]])</f>
        <v>45846.0</v>
      </c>
    </row>
    <row r="4187" spans="1:9" ht="15" x14ac:dyDescent="0.25">
      <c r="A4187" s="53" t="inlineStr">
        <is>
          <t>LAB-004186</t>
        </is>
      </c>
      <c r="B4187" s="53" t="inlineStr">
        <is>
          <t>WP-01841</t>
        </is>
      </c>
      <c r="C4187" s="53" t="inlineStr">
        <is>
          <t>TECH-049</t>
        </is>
      </c>
      <c r="D4187" s="53" t="inlineStr">
        <is>
          <t>Airframe</t>
        </is>
      </c>
      <c r="E4187" s="53" t="inlineStr">
        <is>
          <t>2025-11-05</t>
        </is>
      </c>
      <c r="F4187" s="53">
        <v>3.5</v>
      </c>
      <c r="G4187" s="53">
        <v>0</v>
      </c>
      <c r="H4187" s="51" t="str">
        <f>TEXT(tblLaborEntries[[#This Row],[Work date serial]]-WEEKDAY(tblLaborEntries[[#This Row],[Work date serial]],3),"yyyy-mm-dd")</f>
        <v>2025-11-03</v>
      </c>
      <c r="I4187" s="64">
        <f>DATEVALUE(tblLaborEntries[[#This Row],[Work date]])</f>
        <v>45966.0</v>
      </c>
    </row>
    <row r="4188" spans="1:9" ht="15" x14ac:dyDescent="0.25">
      <c r="A4188" s="53" t="inlineStr">
        <is>
          <t>LAB-004187</t>
        </is>
      </c>
      <c r="B4188" s="53" t="inlineStr">
        <is>
          <t>WP-01841</t>
        </is>
      </c>
      <c r="C4188" s="53" t="inlineStr">
        <is>
          <t>TECH-037</t>
        </is>
      </c>
      <c r="D4188" s="53" t="inlineStr">
        <is>
          <t>Airframe</t>
        </is>
      </c>
      <c r="E4188" s="53" t="inlineStr">
        <is>
          <t>2025-11-06</t>
        </is>
      </c>
      <c r="F4188" s="53">
        <v>4.1</v>
      </c>
      <c r="G4188" s="53">
        <v>0</v>
      </c>
      <c r="H4188" s="51" t="str">
        <f>TEXT(tblLaborEntries[[#This Row],[Work date serial]]-WEEKDAY(tblLaborEntries[[#This Row],[Work date serial]],3),"yyyy-mm-dd")</f>
        <v>2025-11-03</v>
      </c>
      <c r="I4188" s="64">
        <f>DATEVALUE(tblLaborEntries[[#This Row],[Work date]])</f>
        <v>45967.0</v>
      </c>
    </row>
    <row r="4189" spans="1:9" ht="15" x14ac:dyDescent="0.25">
      <c r="A4189" s="53" t="inlineStr">
        <is>
          <t>LAB-004188</t>
        </is>
      </c>
      <c r="B4189" s="53" t="inlineStr">
        <is>
          <t>WP-01842</t>
        </is>
      </c>
      <c r="C4189" s="53" t="inlineStr">
        <is>
          <t>TECH-003</t>
        </is>
      </c>
      <c r="D4189" s="53" t="inlineStr">
        <is>
          <t>Hydraulics</t>
        </is>
      </c>
      <c r="E4189" s="53" t="inlineStr">
        <is>
          <t>2025-11-24</t>
        </is>
      </c>
      <c r="F4189" s="53">
        <v>12</v>
      </c>
      <c r="G4189" s="53">
        <v>4</v>
      </c>
      <c r="H4189" s="51" t="str">
        <f>TEXT(tblLaborEntries[[#This Row],[Work date serial]]-WEEKDAY(tblLaborEntries[[#This Row],[Work date serial]],3),"yyyy-mm-dd")</f>
        <v>2025-11-24</v>
      </c>
      <c r="I4189" s="64">
        <f>DATEVALUE(tblLaborEntries[[#This Row],[Work date]])</f>
        <v>45985.0</v>
      </c>
    </row>
    <row r="4190" spans="1:9" ht="15" x14ac:dyDescent="0.25">
      <c r="A4190" s="53" t="inlineStr">
        <is>
          <t>LAB-004189</t>
        </is>
      </c>
      <c r="B4190" s="53" t="inlineStr">
        <is>
          <t>WP-01842</t>
        </is>
      </c>
      <c r="C4190" s="53" t="inlineStr">
        <is>
          <t>TECH-009</t>
        </is>
      </c>
      <c r="D4190" s="53" t="inlineStr">
        <is>
          <t>Hydraulics</t>
        </is>
      </c>
      <c r="E4190" s="53" t="inlineStr">
        <is>
          <t>2025-11-24</t>
        </is>
      </c>
      <c r="F4190" s="53">
        <v>4.7</v>
      </c>
      <c r="G4190" s="53">
        <v>0</v>
      </c>
      <c r="H4190" s="51" t="str">
        <f>TEXT(tblLaborEntries[[#This Row],[Work date serial]]-WEEKDAY(tblLaborEntries[[#This Row],[Work date serial]],3),"yyyy-mm-dd")</f>
        <v>2025-11-24</v>
      </c>
      <c r="I4190" s="64">
        <f>DATEVALUE(tblLaborEntries[[#This Row],[Work date]])</f>
        <v>45985.0</v>
      </c>
    </row>
    <row r="4191" spans="1:9" ht="15" x14ac:dyDescent="0.25">
      <c r="A4191" s="53" t="inlineStr">
        <is>
          <t>LAB-004190</t>
        </is>
      </c>
      <c r="B4191" s="53" t="inlineStr">
        <is>
          <t>WP-01843</t>
        </is>
      </c>
      <c r="C4191" s="53" t="inlineStr">
        <is>
          <t>TECH-004</t>
        </is>
      </c>
      <c r="D4191" s="53" t="inlineStr">
        <is>
          <t>Electrical</t>
        </is>
      </c>
      <c r="E4191" s="53" t="inlineStr">
        <is>
          <t>2024-01-03</t>
        </is>
      </c>
      <c r="F4191" s="53">
        <v>4.4</v>
      </c>
      <c r="G4191" s="53">
        <v>0</v>
      </c>
      <c r="H4191" s="51" t="str">
        <f>TEXT(tblLaborEntries[[#This Row],[Work date serial]]-WEEKDAY(tblLaborEntries[[#This Row],[Work date serial]],3),"yyyy-mm-dd")</f>
        <v>2024-01-01</v>
      </c>
      <c r="I4191" s="64">
        <f>DATEVALUE(tblLaborEntries[[#This Row],[Work date]])</f>
        <v>45294.0</v>
      </c>
    </row>
    <row r="4192" spans="1:9" ht="15" x14ac:dyDescent="0.25">
      <c r="A4192" s="53" t="inlineStr">
        <is>
          <t>LAB-004191</t>
        </is>
      </c>
      <c r="B4192" s="53" t="inlineStr">
        <is>
          <t>WP-01843</t>
        </is>
      </c>
      <c r="C4192" s="53" t="inlineStr">
        <is>
          <t>TECH-046</t>
        </is>
      </c>
      <c r="D4192" s="53" t="inlineStr">
        <is>
          <t>Electrical</t>
        </is>
      </c>
      <c r="E4192" s="53" t="inlineStr">
        <is>
          <t>2024-01-04</t>
        </is>
      </c>
      <c r="F4192" s="53">
        <v>3.6</v>
      </c>
      <c r="G4192" s="53">
        <v>0</v>
      </c>
      <c r="H4192" s="51" t="str">
        <f>TEXT(tblLaborEntries[[#This Row],[Work date serial]]-WEEKDAY(tblLaborEntries[[#This Row],[Work date serial]],3),"yyyy-mm-dd")</f>
        <v>2024-01-01</v>
      </c>
      <c r="I4192" s="64">
        <f>DATEVALUE(tblLaborEntries[[#This Row],[Work date]])</f>
        <v>45295.0</v>
      </c>
    </row>
    <row r="4193" spans="1:9" ht="15" x14ac:dyDescent="0.25">
      <c r="A4193" s="53" t="inlineStr">
        <is>
          <t>LAB-004192</t>
        </is>
      </c>
      <c r="B4193" s="53" t="inlineStr">
        <is>
          <t>WP-01844</t>
        </is>
      </c>
      <c r="C4193" s="53" t="inlineStr">
        <is>
          <t>TECH-028</t>
        </is>
      </c>
      <c r="D4193" s="53" t="inlineStr">
        <is>
          <t>Electrical</t>
        </is>
      </c>
      <c r="E4193" s="53" t="inlineStr">
        <is>
          <t>2025-08-28</t>
        </is>
      </c>
      <c r="F4193" s="53">
        <v>2.7</v>
      </c>
      <c r="G4193" s="53">
        <v>0</v>
      </c>
      <c r="H4193" s="51" t="str">
        <f>TEXT(tblLaborEntries[[#This Row],[Work date serial]]-WEEKDAY(tblLaborEntries[[#This Row],[Work date serial]],3),"yyyy-mm-dd")</f>
        <v>2025-08-25</v>
      </c>
      <c r="I4193" s="64">
        <f>DATEVALUE(tblLaborEntries[[#This Row],[Work date]])</f>
        <v>45897.0</v>
      </c>
    </row>
    <row r="4194" spans="1:9" ht="15" x14ac:dyDescent="0.25">
      <c r="A4194" s="53" t="inlineStr">
        <is>
          <t>LAB-004193</t>
        </is>
      </c>
      <c r="B4194" s="53" t="inlineStr">
        <is>
          <t>WP-01844</t>
        </is>
      </c>
      <c r="C4194" s="53" t="inlineStr">
        <is>
          <t>TECH-034</t>
        </is>
      </c>
      <c r="D4194" s="53" t="inlineStr">
        <is>
          <t>Electrical</t>
        </is>
      </c>
      <c r="E4194" s="53" t="inlineStr">
        <is>
          <t>2025-08-29</t>
        </is>
      </c>
      <c r="F4194" s="53">
        <v>2.8</v>
      </c>
      <c r="G4194" s="53">
        <v>0</v>
      </c>
      <c r="H4194" s="51" t="str">
        <f>TEXT(tblLaborEntries[[#This Row],[Work date serial]]-WEEKDAY(tblLaborEntries[[#This Row],[Work date serial]],3),"yyyy-mm-dd")</f>
        <v>2025-08-25</v>
      </c>
      <c r="I4194" s="64">
        <f>DATEVALUE(tblLaborEntries[[#This Row],[Work date]])</f>
        <v>45898.0</v>
      </c>
    </row>
    <row r="4195" spans="1:9" ht="15" x14ac:dyDescent="0.25">
      <c r="A4195" s="53" t="inlineStr">
        <is>
          <t>LAB-004194</t>
        </is>
      </c>
      <c r="B4195" s="53" t="inlineStr">
        <is>
          <t>WP-01845</t>
        </is>
      </c>
      <c r="C4195" s="53" t="inlineStr">
        <is>
          <t>TECH-002</t>
        </is>
      </c>
      <c r="D4195" s="53" t="inlineStr">
        <is>
          <t>Avionics</t>
        </is>
      </c>
      <c r="E4195" s="53" t="inlineStr">
        <is>
          <t>2025-02-01</t>
        </is>
      </c>
      <c r="F4195" s="53">
        <v>2</v>
      </c>
      <c r="G4195" s="53">
        <v>0</v>
      </c>
      <c r="H4195" s="51" t="str">
        <f>TEXT(tblLaborEntries[[#This Row],[Work date serial]]-WEEKDAY(tblLaborEntries[[#This Row],[Work date serial]],3),"yyyy-mm-dd")</f>
        <v>2025-01-27</v>
      </c>
      <c r="I4195" s="64">
        <f>DATEVALUE(tblLaborEntries[[#This Row],[Work date]])</f>
        <v>45689.0</v>
      </c>
    </row>
    <row r="4196" spans="1:9" ht="15" x14ac:dyDescent="0.25">
      <c r="A4196" s="53" t="inlineStr">
        <is>
          <t>LAB-004195</t>
        </is>
      </c>
      <c r="B4196" s="53" t="inlineStr">
        <is>
          <t>WP-01845</t>
        </is>
      </c>
      <c r="C4196" s="53" t="inlineStr">
        <is>
          <t>TECH-074</t>
        </is>
      </c>
      <c r="D4196" s="53" t="inlineStr">
        <is>
          <t>Avionics</t>
        </is>
      </c>
      <c r="E4196" s="53" t="inlineStr">
        <is>
          <t>2025-02-02</t>
        </is>
      </c>
      <c r="F4196" s="53">
        <v>1.7</v>
      </c>
      <c r="G4196" s="53">
        <v>0</v>
      </c>
      <c r="H4196" s="51" t="str">
        <f>TEXT(tblLaborEntries[[#This Row],[Work date serial]]-WEEKDAY(tblLaborEntries[[#This Row],[Work date serial]],3),"yyyy-mm-dd")</f>
        <v>2025-01-27</v>
      </c>
      <c r="I4196" s="64">
        <f>DATEVALUE(tblLaborEntries[[#This Row],[Work date]])</f>
        <v>45690.0</v>
      </c>
    </row>
    <row r="4197" spans="1:9" ht="15" x14ac:dyDescent="0.25">
      <c r="A4197" s="53" t="inlineStr">
        <is>
          <t>LAB-004196</t>
        </is>
      </c>
      <c r="B4197" s="53" t="inlineStr">
        <is>
          <t>WP-01846</t>
        </is>
      </c>
      <c r="C4197" s="53" t="inlineStr">
        <is>
          <t>TECH-061</t>
        </is>
      </c>
      <c r="D4197" s="53" t="inlineStr">
        <is>
          <t>Airframe</t>
        </is>
      </c>
      <c r="E4197" s="53" t="inlineStr">
        <is>
          <t>2024-08-16</t>
        </is>
      </c>
      <c r="F4197" s="53">
        <v>5.6</v>
      </c>
      <c r="G4197" s="53">
        <v>0</v>
      </c>
      <c r="H4197" s="51" t="str">
        <f>TEXT(tblLaborEntries[[#This Row],[Work date serial]]-WEEKDAY(tblLaborEntries[[#This Row],[Work date serial]],3),"yyyy-mm-dd")</f>
        <v>2024-08-12</v>
      </c>
      <c r="I4197" s="64">
        <f>DATEVALUE(tblLaborEntries[[#This Row],[Work date]])</f>
        <v>45520.0</v>
      </c>
    </row>
    <row r="4198" spans="1:9" ht="15" x14ac:dyDescent="0.25">
      <c r="A4198" s="53" t="inlineStr">
        <is>
          <t>LAB-004197</t>
        </is>
      </c>
      <c r="B4198" s="53" t="inlineStr">
        <is>
          <t>WP-01846</t>
        </is>
      </c>
      <c r="C4198" s="53" t="inlineStr">
        <is>
          <t>TECH-013</t>
        </is>
      </c>
      <c r="D4198" s="53" t="inlineStr">
        <is>
          <t>Airframe</t>
        </is>
      </c>
      <c r="E4198" s="53" t="inlineStr">
        <is>
          <t>2024-08-17</t>
        </is>
      </c>
      <c r="F4198" s="53">
        <v>6.3</v>
      </c>
      <c r="G4198" s="53">
        <v>0</v>
      </c>
      <c r="H4198" s="51" t="str">
        <f>TEXT(tblLaborEntries[[#This Row],[Work date serial]]-WEEKDAY(tblLaborEntries[[#This Row],[Work date serial]],3),"yyyy-mm-dd")</f>
        <v>2024-08-12</v>
      </c>
      <c r="I4198" s="64">
        <f>DATEVALUE(tblLaborEntries[[#This Row],[Work date]])</f>
        <v>45521.0</v>
      </c>
    </row>
    <row r="4199" spans="1:9" ht="15" x14ac:dyDescent="0.25">
      <c r="A4199" s="53" t="inlineStr">
        <is>
          <t>LAB-004198</t>
        </is>
      </c>
      <c r="B4199" s="53" t="inlineStr">
        <is>
          <t>WP-01847</t>
        </is>
      </c>
      <c r="C4199" s="53" t="inlineStr">
        <is>
          <t>TECH-014</t>
        </is>
      </c>
      <c r="D4199" s="53" t="inlineStr">
        <is>
          <t>Avionics</t>
        </is>
      </c>
      <c r="E4199" s="53" t="inlineStr">
        <is>
          <t>2024-09-05</t>
        </is>
      </c>
      <c r="F4199" s="53">
        <v>6.6</v>
      </c>
      <c r="G4199" s="53">
        <v>0</v>
      </c>
      <c r="H4199" s="51" t="str">
        <f>TEXT(tblLaborEntries[[#This Row],[Work date serial]]-WEEKDAY(tblLaborEntries[[#This Row],[Work date serial]],3),"yyyy-mm-dd")</f>
        <v>2024-09-02</v>
      </c>
      <c r="I4199" s="64">
        <f>DATEVALUE(tblLaborEntries[[#This Row],[Work date]])</f>
        <v>45540.0</v>
      </c>
    </row>
    <row r="4200" spans="1:9" ht="15" x14ac:dyDescent="0.25">
      <c r="A4200" s="53" t="inlineStr">
        <is>
          <t>LAB-004199</t>
        </is>
      </c>
      <c r="B4200" s="53" t="inlineStr">
        <is>
          <t>WP-01847</t>
        </is>
      </c>
      <c r="C4200" s="53" t="inlineStr">
        <is>
          <t>TECH-050</t>
        </is>
      </c>
      <c r="D4200" s="53" t="inlineStr">
        <is>
          <t>Avionics</t>
        </is>
      </c>
      <c r="E4200" s="53" t="inlineStr">
        <is>
          <t>2024-09-06</t>
        </is>
      </c>
      <c r="F4200" s="53">
        <v>8.1</v>
      </c>
      <c r="G4200" s="53">
        <v>0.1</v>
      </c>
      <c r="H4200" s="51" t="str">
        <f>TEXT(tblLaborEntries[[#This Row],[Work date serial]]-WEEKDAY(tblLaborEntries[[#This Row],[Work date serial]],3),"yyyy-mm-dd")</f>
        <v>2024-09-02</v>
      </c>
      <c r="I4200" s="64">
        <f>DATEVALUE(tblLaborEntries[[#This Row],[Work date]])</f>
        <v>45541.0</v>
      </c>
    </row>
    <row r="4201" spans="1:9" ht="15" x14ac:dyDescent="0.25">
      <c r="A4201" s="53" t="inlineStr">
        <is>
          <t>LAB-004200</t>
        </is>
      </c>
      <c r="B4201" s="53" t="inlineStr">
        <is>
          <t>WP-01848</t>
        </is>
      </c>
      <c r="C4201" s="53" t="inlineStr">
        <is>
          <t>TECH-062</t>
        </is>
      </c>
      <c r="D4201" s="53" t="inlineStr">
        <is>
          <t>Avionics</t>
        </is>
      </c>
      <c r="E4201" s="53" t="inlineStr">
        <is>
          <t>2025-08-17</t>
        </is>
      </c>
      <c r="F4201" s="53">
        <v>10.2</v>
      </c>
      <c r="G4201" s="53">
        <v>2.2</v>
      </c>
      <c r="H4201" s="51" t="str">
        <f>TEXT(tblLaborEntries[[#This Row],[Work date serial]]-WEEKDAY(tblLaborEntries[[#This Row],[Work date serial]],3),"yyyy-mm-dd")</f>
        <v>2025-08-11</v>
      </c>
      <c r="I4201" s="64">
        <f>DATEVALUE(tblLaborEntries[[#This Row],[Work date]])</f>
        <v>45886.0</v>
      </c>
    </row>
    <row r="4202" spans="1:9" ht="15" x14ac:dyDescent="0.25">
      <c r="A4202" s="53" t="inlineStr">
        <is>
          <t>LAB-004201</t>
        </is>
      </c>
      <c r="B4202" s="53" t="inlineStr">
        <is>
          <t>WP-01849</t>
        </is>
      </c>
      <c r="C4202" s="53" t="inlineStr">
        <is>
          <t>TECH-013</t>
        </is>
      </c>
      <c r="D4202" s="53" t="inlineStr">
        <is>
          <t>Airframe</t>
        </is>
      </c>
      <c r="E4202" s="53" t="inlineStr">
        <is>
          <t>2025-04-06</t>
        </is>
      </c>
      <c r="F4202" s="53">
        <v>4.8</v>
      </c>
      <c r="G4202" s="53">
        <v>0</v>
      </c>
      <c r="H4202" s="51" t="str">
        <f>TEXT(tblLaborEntries[[#This Row],[Work date serial]]-WEEKDAY(tblLaborEntries[[#This Row],[Work date serial]],3),"yyyy-mm-dd")</f>
        <v>2025-03-31</v>
      </c>
      <c r="I4202" s="64">
        <f>DATEVALUE(tblLaborEntries[[#This Row],[Work date]])</f>
        <v>45753.0</v>
      </c>
    </row>
    <row r="4203" spans="1:9" ht="15" x14ac:dyDescent="0.25">
      <c r="A4203" s="53" t="inlineStr">
        <is>
          <t>LAB-004202</t>
        </is>
      </c>
      <c r="B4203" s="53" t="inlineStr">
        <is>
          <t>WP-01849</t>
        </is>
      </c>
      <c r="C4203" s="53" t="inlineStr">
        <is>
          <t>TECH-061</t>
        </is>
      </c>
      <c r="D4203" s="53" t="inlineStr">
        <is>
          <t>Airframe</t>
        </is>
      </c>
      <c r="E4203" s="53" t="inlineStr">
        <is>
          <t>2025-04-07</t>
        </is>
      </c>
      <c r="F4203" s="53">
        <v>3.5</v>
      </c>
      <c r="G4203" s="53">
        <v>0</v>
      </c>
      <c r="H4203" s="51" t="str">
        <f>TEXT(tblLaborEntries[[#This Row],[Work date serial]]-WEEKDAY(tblLaborEntries[[#This Row],[Work date serial]],3),"yyyy-mm-dd")</f>
        <v>2025-04-07</v>
      </c>
      <c r="I4203" s="64">
        <f>DATEVALUE(tblLaborEntries[[#This Row],[Work date]])</f>
        <v>45754.0</v>
      </c>
    </row>
    <row r="4204" spans="1:9" ht="15" x14ac:dyDescent="0.25">
      <c r="A4204" s="53" t="inlineStr">
        <is>
          <t>LAB-004203</t>
        </is>
      </c>
      <c r="B4204" s="53" t="inlineStr">
        <is>
          <t>WP-01850</t>
        </is>
      </c>
      <c r="C4204" s="53" t="inlineStr">
        <is>
          <t>TECH-069</t>
        </is>
      </c>
      <c r="D4204" s="53" t="inlineStr">
        <is>
          <t>Hydraulics</t>
        </is>
      </c>
      <c r="E4204" s="53" t="inlineStr">
        <is>
          <t>2025-03-20</t>
        </is>
      </c>
      <c r="F4204" s="53">
        <v>2.9</v>
      </c>
      <c r="G4204" s="53">
        <v>0</v>
      </c>
      <c r="H4204" s="51" t="str">
        <f>TEXT(tblLaborEntries[[#This Row],[Work date serial]]-WEEKDAY(tblLaborEntries[[#This Row],[Work date serial]],3),"yyyy-mm-dd")</f>
        <v>2025-03-17</v>
      </c>
      <c r="I4204" s="64">
        <f>DATEVALUE(tblLaborEntries[[#This Row],[Work date]])</f>
        <v>45736.0</v>
      </c>
    </row>
    <row r="4205" spans="1:9" ht="15" x14ac:dyDescent="0.25">
      <c r="A4205" s="53" t="inlineStr">
        <is>
          <t>LAB-004204</t>
        </is>
      </c>
      <c r="B4205" s="53" t="inlineStr">
        <is>
          <t>WP-01850</t>
        </is>
      </c>
      <c r="C4205" s="53" t="inlineStr">
        <is>
          <t>TECH-075</t>
        </is>
      </c>
      <c r="D4205" s="53" t="inlineStr">
        <is>
          <t>Hydraulics</t>
        </is>
      </c>
      <c r="E4205" s="53" t="inlineStr">
        <is>
          <t>2025-03-21</t>
        </is>
      </c>
      <c r="F4205" s="53">
        <v>3</v>
      </c>
      <c r="G4205" s="53">
        <v>0</v>
      </c>
      <c r="H4205" s="51" t="str">
        <f>TEXT(tblLaborEntries[[#This Row],[Work date serial]]-WEEKDAY(tblLaborEntries[[#This Row],[Work date serial]],3),"yyyy-mm-dd")</f>
        <v>2025-03-17</v>
      </c>
      <c r="I4205" s="64">
        <f>DATEVALUE(tblLaborEntries[[#This Row],[Work date]])</f>
        <v>45737.0</v>
      </c>
    </row>
    <row r="4206" spans="1:9" ht="15" x14ac:dyDescent="0.25">
      <c r="A4206" s="53" t="inlineStr">
        <is>
          <t>LAB-004205</t>
        </is>
      </c>
      <c r="B4206" s="53" t="inlineStr">
        <is>
          <t>WP-01851</t>
        </is>
      </c>
      <c r="C4206" s="53" t="inlineStr">
        <is>
          <t>TECH-069</t>
        </is>
      </c>
      <c r="D4206" s="53" t="inlineStr">
        <is>
          <t>Hydraulics</t>
        </is>
      </c>
      <c r="E4206" s="53" t="inlineStr">
        <is>
          <t>2024-05-20</t>
        </is>
      </c>
      <c r="F4206" s="53">
        <v>6.8</v>
      </c>
      <c r="G4206" s="53">
        <v>0</v>
      </c>
      <c r="H4206" s="51" t="str">
        <f>TEXT(tblLaborEntries[[#This Row],[Work date serial]]-WEEKDAY(tblLaborEntries[[#This Row],[Work date serial]],3),"yyyy-mm-dd")</f>
        <v>2024-05-20</v>
      </c>
      <c r="I4206" s="64">
        <f>DATEVALUE(tblLaborEntries[[#This Row],[Work date]])</f>
        <v>45432.0</v>
      </c>
    </row>
    <row r="4207" spans="1:9" ht="15" x14ac:dyDescent="0.25">
      <c r="A4207" s="53" t="inlineStr">
        <is>
          <t>LAB-004206</t>
        </is>
      </c>
      <c r="B4207" s="53" t="inlineStr">
        <is>
          <t>WP-01851</t>
        </is>
      </c>
      <c r="C4207" s="53" t="inlineStr">
        <is>
          <t>TECH-021</t>
        </is>
      </c>
      <c r="D4207" s="53" t="inlineStr">
        <is>
          <t>Hydraulics</t>
        </is>
      </c>
      <c r="E4207" s="53" t="inlineStr">
        <is>
          <t>2024-05-21</t>
        </is>
      </c>
      <c r="F4207" s="53">
        <v>5.8</v>
      </c>
      <c r="G4207" s="53">
        <v>3.7</v>
      </c>
      <c r="H4207" s="51" t="str">
        <f>TEXT(tblLaborEntries[[#This Row],[Work date serial]]-WEEKDAY(tblLaborEntries[[#This Row],[Work date serial]],3),"yyyy-mm-dd")</f>
        <v>2024-05-20</v>
      </c>
      <c r="I4207" s="64">
        <f>DATEVALUE(tblLaborEntries[[#This Row],[Work date]])</f>
        <v>45433.0</v>
      </c>
    </row>
    <row r="4208" spans="1:9" ht="15" x14ac:dyDescent="0.25">
      <c r="A4208" s="53" t="inlineStr">
        <is>
          <t>LAB-004207</t>
        </is>
      </c>
      <c r="B4208" s="53" t="inlineStr">
        <is>
          <t>WP-01852</t>
        </is>
      </c>
      <c r="C4208" s="53" t="inlineStr">
        <is>
          <t>TECH-074</t>
        </is>
      </c>
      <c r="D4208" s="53" t="inlineStr">
        <is>
          <t>Avionics</t>
        </is>
      </c>
      <c r="E4208" s="53" t="inlineStr">
        <is>
          <t>2025-08-25</t>
        </is>
      </c>
      <c r="F4208" s="53">
        <v>7.3</v>
      </c>
      <c r="G4208" s="53">
        <v>0</v>
      </c>
      <c r="H4208" s="51" t="str">
        <f>TEXT(tblLaborEntries[[#This Row],[Work date serial]]-WEEKDAY(tblLaborEntries[[#This Row],[Work date serial]],3),"yyyy-mm-dd")</f>
        <v>2025-08-25</v>
      </c>
      <c r="I4208" s="64">
        <f>DATEVALUE(tblLaborEntries[[#This Row],[Work date]])</f>
        <v>45894.0</v>
      </c>
    </row>
    <row r="4209" spans="1:9" ht="15" x14ac:dyDescent="0.25">
      <c r="A4209" s="53" t="inlineStr">
        <is>
          <t>LAB-004208</t>
        </is>
      </c>
      <c r="B4209" s="53" t="inlineStr">
        <is>
          <t>WP-01853</t>
        </is>
      </c>
      <c r="C4209" s="53" t="inlineStr">
        <is>
          <t>TECH-008</t>
        </is>
      </c>
      <c r="D4209" s="53" t="inlineStr">
        <is>
          <t>Avionics</t>
        </is>
      </c>
      <c r="E4209" s="53" t="inlineStr">
        <is>
          <t>2025-11-18</t>
        </is>
      </c>
      <c r="F4209" s="53">
        <v>3.2</v>
      </c>
      <c r="G4209" s="53">
        <v>0</v>
      </c>
      <c r="H4209" s="51" t="str">
        <f>TEXT(tblLaborEntries[[#This Row],[Work date serial]]-WEEKDAY(tblLaborEntries[[#This Row],[Work date serial]],3),"yyyy-mm-dd")</f>
        <v>2025-11-17</v>
      </c>
      <c r="I4209" s="64">
        <f>DATEVALUE(tblLaborEntries[[#This Row],[Work date]])</f>
        <v>45979.0</v>
      </c>
    </row>
    <row r="4210" spans="1:9" ht="15" x14ac:dyDescent="0.25">
      <c r="A4210" s="53" t="inlineStr">
        <is>
          <t>LAB-004209</t>
        </is>
      </c>
      <c r="B4210" s="53" t="inlineStr">
        <is>
          <t>WP-01853</t>
        </is>
      </c>
      <c r="C4210" s="53" t="inlineStr">
        <is>
          <t>TECH-026</t>
        </is>
      </c>
      <c r="D4210" s="53" t="inlineStr">
        <is>
          <t>Avionics</t>
        </is>
      </c>
      <c r="E4210" s="53" t="inlineStr">
        <is>
          <t>2025-11-19</t>
        </is>
      </c>
      <c r="F4210" s="53">
        <v>4.7</v>
      </c>
      <c r="G4210" s="53">
        <v>0</v>
      </c>
      <c r="H4210" s="51" t="str">
        <f>TEXT(tblLaborEntries[[#This Row],[Work date serial]]-WEEKDAY(tblLaborEntries[[#This Row],[Work date serial]],3),"yyyy-mm-dd")</f>
        <v>2025-11-17</v>
      </c>
      <c r="I4210" s="64">
        <f>DATEVALUE(tblLaborEntries[[#This Row],[Work date]])</f>
        <v>45980.0</v>
      </c>
    </row>
    <row r="4211" spans="1:9" ht="15" x14ac:dyDescent="0.25">
      <c r="A4211" s="53" t="inlineStr">
        <is>
          <t>LAB-004210</t>
        </is>
      </c>
      <c r="B4211" s="53" t="inlineStr">
        <is>
          <t>WP-01854</t>
        </is>
      </c>
      <c r="C4211" s="53" t="inlineStr">
        <is>
          <t>TECH-036</t>
        </is>
      </c>
      <c r="D4211" s="53" t="inlineStr">
        <is>
          <t>Powerplant</t>
        </is>
      </c>
      <c r="E4211" s="53" t="inlineStr">
        <is>
          <t>2024-05-29</t>
        </is>
      </c>
      <c r="F4211" s="53">
        <v>3.4</v>
      </c>
      <c r="G4211" s="53">
        <v>0</v>
      </c>
      <c r="H4211" s="51" t="str">
        <f>TEXT(tblLaborEntries[[#This Row],[Work date serial]]-WEEKDAY(tblLaborEntries[[#This Row],[Work date serial]],3),"yyyy-mm-dd")</f>
        <v>2024-05-27</v>
      </c>
      <c r="I4211" s="64">
        <f>DATEVALUE(tblLaborEntries[[#This Row],[Work date]])</f>
        <v>45441.0</v>
      </c>
    </row>
    <row r="4212" spans="1:9" ht="15" x14ac:dyDescent="0.25">
      <c r="A4212" s="53" t="inlineStr">
        <is>
          <t>LAB-004211</t>
        </is>
      </c>
      <c r="B4212" s="53" t="inlineStr">
        <is>
          <t>WP-01854</t>
        </is>
      </c>
      <c r="C4212" s="53" t="inlineStr">
        <is>
          <t>TECH-036</t>
        </is>
      </c>
      <c r="D4212" s="53" t="inlineStr">
        <is>
          <t>Powerplant</t>
        </is>
      </c>
      <c r="E4212" s="53" t="inlineStr">
        <is>
          <t>2024-05-30</t>
        </is>
      </c>
      <c r="F4212" s="53">
        <v>2.9</v>
      </c>
      <c r="G4212" s="53">
        <v>0</v>
      </c>
      <c r="H4212" s="51" t="str">
        <f>TEXT(tblLaborEntries[[#This Row],[Work date serial]]-WEEKDAY(tblLaborEntries[[#This Row],[Work date serial]],3),"yyyy-mm-dd")</f>
        <v>2024-05-27</v>
      </c>
      <c r="I4212" s="64">
        <f>DATEVALUE(tblLaborEntries[[#This Row],[Work date]])</f>
        <v>45442.0</v>
      </c>
    </row>
    <row r="4213" spans="1:9" ht="15" x14ac:dyDescent="0.25">
      <c r="A4213" s="53" t="inlineStr">
        <is>
          <t>LAB-004212</t>
        </is>
      </c>
      <c r="B4213" s="53" t="inlineStr">
        <is>
          <t>WP-01854</t>
        </is>
      </c>
      <c r="C4213" s="53" t="inlineStr">
        <is>
          <t>TECH-036</t>
        </is>
      </c>
      <c r="D4213" s="53" t="inlineStr">
        <is>
          <t>Powerplant</t>
        </is>
      </c>
      <c r="E4213" s="53" t="inlineStr">
        <is>
          <t>2024-05-31</t>
        </is>
      </c>
      <c r="F4213" s="53">
        <v>3.6</v>
      </c>
      <c r="G4213" s="53">
        <v>0</v>
      </c>
      <c r="H4213" s="51" t="str">
        <f>TEXT(tblLaborEntries[[#This Row],[Work date serial]]-WEEKDAY(tblLaborEntries[[#This Row],[Work date serial]],3),"yyyy-mm-dd")</f>
        <v>2024-05-27</v>
      </c>
      <c r="I4213" s="64">
        <f>DATEVALUE(tblLaborEntries[[#This Row],[Work date]])</f>
        <v>45443.0</v>
      </c>
    </row>
    <row r="4214" spans="1:9" ht="15" x14ac:dyDescent="0.25">
      <c r="A4214" s="53" t="inlineStr">
        <is>
          <t>LAB-004213</t>
        </is>
      </c>
      <c r="B4214" s="53" t="inlineStr">
        <is>
          <t>WP-01855</t>
        </is>
      </c>
      <c r="C4214" s="53" t="inlineStr">
        <is>
          <t>TECH-019</t>
        </is>
      </c>
      <c r="D4214" s="53" t="inlineStr">
        <is>
          <t>Airframe</t>
        </is>
      </c>
      <c r="E4214" s="53" t="inlineStr">
        <is>
          <t>2025-11-20</t>
        </is>
      </c>
      <c r="F4214" s="53">
        <v>6.7</v>
      </c>
      <c r="G4214" s="53">
        <v>0.3</v>
      </c>
      <c r="H4214" s="51" t="str">
        <f>TEXT(tblLaborEntries[[#This Row],[Work date serial]]-WEEKDAY(tblLaborEntries[[#This Row],[Work date serial]],3),"yyyy-mm-dd")</f>
        <v>2025-11-17</v>
      </c>
      <c r="I4214" s="64">
        <f>DATEVALUE(tblLaborEntries[[#This Row],[Work date]])</f>
        <v>45981.0</v>
      </c>
    </row>
    <row r="4215" spans="1:9" ht="15" x14ac:dyDescent="0.25">
      <c r="A4215" s="53" t="inlineStr">
        <is>
          <t>LAB-004214</t>
        </is>
      </c>
      <c r="B4215" s="53" t="inlineStr">
        <is>
          <t>WP-01856</t>
        </is>
      </c>
      <c r="C4215" s="53" t="inlineStr">
        <is>
          <t>TECH-005</t>
        </is>
      </c>
      <c r="D4215" s="53" t="inlineStr">
        <is>
          <t>Structures</t>
        </is>
      </c>
      <c r="E4215" s="53" t="inlineStr">
        <is>
          <t>2025-07-02</t>
        </is>
      </c>
      <c r="F4215" s="53">
        <v>3.8</v>
      </c>
      <c r="G4215" s="53">
        <v>0</v>
      </c>
      <c r="H4215" s="51" t="str">
        <f>TEXT(tblLaborEntries[[#This Row],[Work date serial]]-WEEKDAY(tblLaborEntries[[#This Row],[Work date serial]],3),"yyyy-mm-dd")</f>
        <v>2025-06-30</v>
      </c>
      <c r="I4215" s="64">
        <f>DATEVALUE(tblLaborEntries[[#This Row],[Work date]])</f>
        <v>45840.0</v>
      </c>
    </row>
    <row r="4216" spans="1:9" ht="15" x14ac:dyDescent="0.25">
      <c r="A4216" s="53" t="inlineStr">
        <is>
          <t>LAB-004215</t>
        </is>
      </c>
      <c r="B4216" s="53" t="inlineStr">
        <is>
          <t>WP-01856</t>
        </is>
      </c>
      <c r="C4216" s="53" t="inlineStr">
        <is>
          <t>TECH-071</t>
        </is>
      </c>
      <c r="D4216" s="53" t="inlineStr">
        <is>
          <t>Structures</t>
        </is>
      </c>
      <c r="E4216" s="53" t="inlineStr">
        <is>
          <t>2025-07-03</t>
        </is>
      </c>
      <c r="F4216" s="53">
        <v>4.4</v>
      </c>
      <c r="G4216" s="53">
        <v>0</v>
      </c>
      <c r="H4216" s="51" t="str">
        <f>TEXT(tblLaborEntries[[#This Row],[Work date serial]]-WEEKDAY(tblLaborEntries[[#This Row],[Work date serial]],3),"yyyy-mm-dd")</f>
        <v>2025-06-30</v>
      </c>
      <c r="I4216" s="64">
        <f>DATEVALUE(tblLaborEntries[[#This Row],[Work date]])</f>
        <v>45841.0</v>
      </c>
    </row>
    <row r="4217" spans="1:9" ht="15" x14ac:dyDescent="0.25">
      <c r="A4217" s="53" t="inlineStr">
        <is>
          <t>LAB-004216</t>
        </is>
      </c>
      <c r="B4217" s="53" t="inlineStr">
        <is>
          <t>WP-01856</t>
        </is>
      </c>
      <c r="C4217" s="53" t="inlineStr">
        <is>
          <t>TECH-041</t>
        </is>
      </c>
      <c r="D4217" s="53" t="inlineStr">
        <is>
          <t>Structures</t>
        </is>
      </c>
      <c r="E4217" s="53" t="inlineStr">
        <is>
          <t>2025-07-04</t>
        </is>
      </c>
      <c r="F4217" s="53">
        <v>5.1</v>
      </c>
      <c r="G4217" s="53">
        <v>0</v>
      </c>
      <c r="H4217" s="51" t="str">
        <f>TEXT(tblLaborEntries[[#This Row],[Work date serial]]-WEEKDAY(tblLaborEntries[[#This Row],[Work date serial]],3),"yyyy-mm-dd")</f>
        <v>2025-06-30</v>
      </c>
      <c r="I4217" s="64">
        <f>DATEVALUE(tblLaborEntries[[#This Row],[Work date]])</f>
        <v>45842.0</v>
      </c>
    </row>
    <row r="4218" spans="1:9" ht="15" x14ac:dyDescent="0.25">
      <c r="A4218" s="53" t="inlineStr">
        <is>
          <t>LAB-004217</t>
        </is>
      </c>
      <c r="B4218" s="53" t="inlineStr">
        <is>
          <t>WP-01857</t>
        </is>
      </c>
      <c r="C4218" s="53" t="inlineStr">
        <is>
          <t>TECH-050</t>
        </is>
      </c>
      <c r="D4218" s="53" t="inlineStr">
        <is>
          <t>Avionics</t>
        </is>
      </c>
      <c r="E4218" s="53" t="inlineStr">
        <is>
          <t>2024-02-11</t>
        </is>
      </c>
      <c r="F4218" s="53">
        <v>1.9</v>
      </c>
      <c r="G4218" s="53">
        <v>0</v>
      </c>
      <c r="H4218" s="51" t="str">
        <f>TEXT(tblLaborEntries[[#This Row],[Work date serial]]-WEEKDAY(tblLaborEntries[[#This Row],[Work date serial]],3),"yyyy-mm-dd")</f>
        <v>2024-02-05</v>
      </c>
      <c r="I4218" s="64">
        <f>DATEVALUE(tblLaborEntries[[#This Row],[Work date]])</f>
        <v>45333.0</v>
      </c>
    </row>
    <row r="4219" spans="1:9" ht="15" x14ac:dyDescent="0.25">
      <c r="A4219" s="53" t="inlineStr">
        <is>
          <t>LAB-004218</t>
        </is>
      </c>
      <c r="B4219" s="53" t="inlineStr">
        <is>
          <t>WP-01857</t>
        </is>
      </c>
      <c r="C4219" s="53" t="inlineStr">
        <is>
          <t>TECH-044</t>
        </is>
      </c>
      <c r="D4219" s="53" t="inlineStr">
        <is>
          <t>Avionics</t>
        </is>
      </c>
      <c r="E4219" s="53" t="inlineStr">
        <is>
          <t>2024-02-12</t>
        </is>
      </c>
      <c r="F4219" s="53">
        <v>2.8</v>
      </c>
      <c r="G4219" s="53">
        <v>0</v>
      </c>
      <c r="H4219" s="51" t="str">
        <f>TEXT(tblLaborEntries[[#This Row],[Work date serial]]-WEEKDAY(tblLaborEntries[[#This Row],[Work date serial]],3),"yyyy-mm-dd")</f>
        <v>2024-02-12</v>
      </c>
      <c r="I4219" s="64">
        <f>DATEVALUE(tblLaborEntries[[#This Row],[Work date]])</f>
        <v>45334.0</v>
      </c>
    </row>
    <row r="4220" spans="1:9" ht="15" x14ac:dyDescent="0.25">
      <c r="A4220" s="53" t="inlineStr">
        <is>
          <t>LAB-004219</t>
        </is>
      </c>
      <c r="B4220" s="53" t="inlineStr">
        <is>
          <t>WP-01858</t>
        </is>
      </c>
      <c r="C4220" s="53" t="inlineStr">
        <is>
          <t>TECH-058</t>
        </is>
      </c>
      <c r="D4220" s="53" t="inlineStr">
        <is>
          <t>Electrical</t>
        </is>
      </c>
      <c r="E4220" s="53" t="inlineStr">
        <is>
          <t>2025-07-03</t>
        </is>
      </c>
      <c r="F4220" s="53">
        <v>3.6</v>
      </c>
      <c r="G4220" s="53">
        <v>0</v>
      </c>
      <c r="H4220" s="51" t="str">
        <f>TEXT(tblLaborEntries[[#This Row],[Work date serial]]-WEEKDAY(tblLaborEntries[[#This Row],[Work date serial]],3),"yyyy-mm-dd")</f>
        <v>2025-06-30</v>
      </c>
      <c r="I4220" s="64">
        <f>DATEVALUE(tblLaborEntries[[#This Row],[Work date]])</f>
        <v>45841.0</v>
      </c>
    </row>
    <row r="4221" spans="1:9" ht="15" x14ac:dyDescent="0.25">
      <c r="A4221" s="53" t="inlineStr">
        <is>
          <t>LAB-004220</t>
        </is>
      </c>
      <c r="B4221" s="53" t="inlineStr">
        <is>
          <t>WP-01858</t>
        </is>
      </c>
      <c r="C4221" s="53" t="inlineStr">
        <is>
          <t>TECH-052</t>
        </is>
      </c>
      <c r="D4221" s="53" t="inlineStr">
        <is>
          <t>Electrical</t>
        </is>
      </c>
      <c r="E4221" s="53" t="inlineStr">
        <is>
          <t>2025-07-04</t>
        </is>
      </c>
      <c r="F4221" s="53">
        <v>5.8</v>
      </c>
      <c r="G4221" s="53">
        <v>0</v>
      </c>
      <c r="H4221" s="51" t="str">
        <f>TEXT(tblLaborEntries[[#This Row],[Work date serial]]-WEEKDAY(tblLaborEntries[[#This Row],[Work date serial]],3),"yyyy-mm-dd")</f>
        <v>2025-06-30</v>
      </c>
      <c r="I4221" s="64">
        <f>DATEVALUE(tblLaborEntries[[#This Row],[Work date]])</f>
        <v>45842.0</v>
      </c>
    </row>
    <row r="4222" spans="1:9" ht="15" x14ac:dyDescent="0.25">
      <c r="A4222" s="53" t="inlineStr">
        <is>
          <t>LAB-004221</t>
        </is>
      </c>
      <c r="B4222" s="53" t="inlineStr">
        <is>
          <t>WP-01858</t>
        </is>
      </c>
      <c r="C4222" s="53" t="inlineStr">
        <is>
          <t>TECH-004</t>
        </is>
      </c>
      <c r="D4222" s="53" t="inlineStr">
        <is>
          <t>Electrical</t>
        </is>
      </c>
      <c r="E4222" s="53" t="inlineStr">
        <is>
          <t>2025-07-05</t>
        </is>
      </c>
      <c r="F4222" s="53">
        <v>4.3</v>
      </c>
      <c r="G4222" s="53">
        <v>0</v>
      </c>
      <c r="H4222" s="51" t="str">
        <f>TEXT(tblLaborEntries[[#This Row],[Work date serial]]-WEEKDAY(tblLaborEntries[[#This Row],[Work date serial]],3),"yyyy-mm-dd")</f>
        <v>2025-06-30</v>
      </c>
      <c r="I4222" s="64">
        <f>DATEVALUE(tblLaborEntries[[#This Row],[Work date]])</f>
        <v>45843.0</v>
      </c>
    </row>
    <row r="4223" spans="1:9" ht="15" x14ac:dyDescent="0.25">
      <c r="A4223" s="53" t="inlineStr">
        <is>
          <t>LAB-004222</t>
        </is>
      </c>
      <c r="B4223" s="53" t="inlineStr">
        <is>
          <t>WP-01859</t>
        </is>
      </c>
      <c r="C4223" s="53" t="inlineStr">
        <is>
          <t>TECH-005</t>
        </is>
      </c>
      <c r="D4223" s="53" t="inlineStr">
        <is>
          <t>Structures</t>
        </is>
      </c>
      <c r="E4223" s="53" t="inlineStr">
        <is>
          <t>2024-08-24</t>
        </is>
      </c>
      <c r="F4223" s="53">
        <v>5</v>
      </c>
      <c r="G4223" s="53">
        <v>0</v>
      </c>
      <c r="H4223" s="51" t="str">
        <f>TEXT(tblLaborEntries[[#This Row],[Work date serial]]-WEEKDAY(tblLaborEntries[[#This Row],[Work date serial]],3),"yyyy-mm-dd")</f>
        <v>2024-08-19</v>
      </c>
      <c r="I4223" s="64">
        <f>DATEVALUE(tblLaborEntries[[#This Row],[Work date]])</f>
        <v>45528.0</v>
      </c>
    </row>
    <row r="4224" spans="1:9" ht="15" x14ac:dyDescent="0.25">
      <c r="A4224" s="53" t="inlineStr">
        <is>
          <t>LAB-004223</t>
        </is>
      </c>
      <c r="B4224" s="53" t="inlineStr">
        <is>
          <t>WP-01859</t>
        </is>
      </c>
      <c r="C4224" s="53" t="inlineStr">
        <is>
          <t>TECH-065</t>
        </is>
      </c>
      <c r="D4224" s="53" t="inlineStr">
        <is>
          <t>Structures</t>
        </is>
      </c>
      <c r="E4224" s="53" t="inlineStr">
        <is>
          <t>2024-08-24</t>
        </is>
      </c>
      <c r="F4224" s="53">
        <v>12</v>
      </c>
      <c r="G4224" s="53">
        <v>4</v>
      </c>
      <c r="H4224" s="51" t="str">
        <f>TEXT(tblLaborEntries[[#This Row],[Work date serial]]-WEEKDAY(tblLaborEntries[[#This Row],[Work date serial]],3),"yyyy-mm-dd")</f>
        <v>2024-08-19</v>
      </c>
      <c r="I4224" s="64">
        <f>DATEVALUE(tblLaborEntries[[#This Row],[Work date]])</f>
        <v>45528.0</v>
      </c>
    </row>
    <row r="4225" spans="1:9" ht="15" x14ac:dyDescent="0.25">
      <c r="A4225" s="53" t="inlineStr">
        <is>
          <t>LAB-004224</t>
        </is>
      </c>
      <c r="B4225" s="53" t="inlineStr">
        <is>
          <t>WP-01859</t>
        </is>
      </c>
      <c r="C4225" s="53" t="inlineStr">
        <is>
          <t>TECH-005</t>
        </is>
      </c>
      <c r="D4225" s="53" t="inlineStr">
        <is>
          <t>Structures</t>
        </is>
      </c>
      <c r="E4225" s="53" t="inlineStr">
        <is>
          <t>2024-08-25</t>
        </is>
      </c>
      <c r="F4225" s="53">
        <v>5.7</v>
      </c>
      <c r="G4225" s="53">
        <v>0</v>
      </c>
      <c r="H4225" s="51" t="str">
        <f>TEXT(tblLaborEntries[[#This Row],[Work date serial]]-WEEKDAY(tblLaborEntries[[#This Row],[Work date serial]],3),"yyyy-mm-dd")</f>
        <v>2024-08-19</v>
      </c>
      <c r="I4225" s="64">
        <f>DATEVALUE(tblLaborEntries[[#This Row],[Work date]])</f>
        <v>45529.0</v>
      </c>
    </row>
    <row r="4226" spans="1:9" ht="15" x14ac:dyDescent="0.25">
      <c r="A4226" s="53" t="inlineStr">
        <is>
          <t>LAB-004225</t>
        </is>
      </c>
      <c r="B4226" s="53" t="inlineStr">
        <is>
          <t>WP-01859</t>
        </is>
      </c>
      <c r="C4226" s="53" t="inlineStr">
        <is>
          <t>TECH-023</t>
        </is>
      </c>
      <c r="D4226" s="53" t="inlineStr">
        <is>
          <t>Structures</t>
        </is>
      </c>
      <c r="E4226" s="53" t="inlineStr">
        <is>
          <t>2024-08-25</t>
        </is>
      </c>
      <c r="F4226" s="53">
        <v>12</v>
      </c>
      <c r="G4226" s="53">
        <v>4</v>
      </c>
      <c r="H4226" s="51" t="str">
        <f>TEXT(tblLaborEntries[[#This Row],[Work date serial]]-WEEKDAY(tblLaborEntries[[#This Row],[Work date serial]],3),"yyyy-mm-dd")</f>
        <v>2024-08-19</v>
      </c>
      <c r="I4226" s="64">
        <f>DATEVALUE(tblLaborEntries[[#This Row],[Work date]])</f>
        <v>45529.0</v>
      </c>
    </row>
    <row r="4227" spans="1:9" ht="15" x14ac:dyDescent="0.25">
      <c r="A4227" s="53" t="inlineStr">
        <is>
          <t>LAB-004226</t>
        </is>
      </c>
      <c r="B4227" s="53" t="inlineStr">
        <is>
          <t>WP-01859</t>
        </is>
      </c>
      <c r="C4227" s="53" t="inlineStr">
        <is>
          <t>TECH-005</t>
        </is>
      </c>
      <c r="D4227" s="53" t="inlineStr">
        <is>
          <t>Structures</t>
        </is>
      </c>
      <c r="E4227" s="53" t="inlineStr">
        <is>
          <t>2024-08-26</t>
        </is>
      </c>
      <c r="F4227" s="53">
        <v>0.3</v>
      </c>
      <c r="G4227" s="53">
        <v>0</v>
      </c>
      <c r="H4227" s="51" t="str">
        <f>TEXT(tblLaborEntries[[#This Row],[Work date serial]]-WEEKDAY(tblLaborEntries[[#This Row],[Work date serial]],3),"yyyy-mm-dd")</f>
        <v>2024-08-26</v>
      </c>
      <c r="I4227" s="64">
        <f>DATEVALUE(tblLaborEntries[[#This Row],[Work date]])</f>
        <v>45530.0</v>
      </c>
    </row>
    <row r="4228" spans="1:9" ht="15" x14ac:dyDescent="0.25">
      <c r="A4228" s="53" t="inlineStr">
        <is>
          <t>LAB-004227</t>
        </is>
      </c>
      <c r="B4228" s="53" t="inlineStr">
        <is>
          <t>WP-01859</t>
        </is>
      </c>
      <c r="C4228" s="53" t="inlineStr">
        <is>
          <t>TECH-047</t>
        </is>
      </c>
      <c r="D4228" s="53" t="inlineStr">
        <is>
          <t>Structures</t>
        </is>
      </c>
      <c r="E4228" s="53" t="inlineStr">
        <is>
          <t>2024-08-26</t>
        </is>
      </c>
      <c r="F4228" s="53">
        <v>12</v>
      </c>
      <c r="G4228" s="53">
        <v>4</v>
      </c>
      <c r="H4228" s="51" t="str">
        <f>TEXT(tblLaborEntries[[#This Row],[Work date serial]]-WEEKDAY(tblLaborEntries[[#This Row],[Work date serial]],3),"yyyy-mm-dd")</f>
        <v>2024-08-26</v>
      </c>
      <c r="I4228" s="64">
        <f>DATEVALUE(tblLaborEntries[[#This Row],[Work date]])</f>
        <v>45530.0</v>
      </c>
    </row>
    <row r="4229" spans="1:9" ht="15" x14ac:dyDescent="0.25">
      <c r="A4229" s="53" t="inlineStr">
        <is>
          <t>LAB-004228</t>
        </is>
      </c>
      <c r="B4229" s="53" t="inlineStr">
        <is>
          <t>WP-01860</t>
        </is>
      </c>
      <c r="C4229" s="53" t="inlineStr">
        <is>
          <t>TECH-003</t>
        </is>
      </c>
      <c r="D4229" s="53" t="inlineStr">
        <is>
          <t>Hydraulics</t>
        </is>
      </c>
      <c r="E4229" s="53" t="inlineStr">
        <is>
          <t>2025-08-09</t>
        </is>
      </c>
      <c r="F4229" s="53">
        <v>2.4</v>
      </c>
      <c r="G4229" s="53">
        <v>0</v>
      </c>
      <c r="H4229" s="51" t="str">
        <f>TEXT(tblLaborEntries[[#This Row],[Work date serial]]-WEEKDAY(tblLaborEntries[[#This Row],[Work date serial]],3),"yyyy-mm-dd")</f>
        <v>2025-08-04</v>
      </c>
      <c r="I4229" s="64">
        <f>DATEVALUE(tblLaborEntries[[#This Row],[Work date]])</f>
        <v>45878.0</v>
      </c>
    </row>
    <row r="4230" spans="1:9" ht="15" x14ac:dyDescent="0.25">
      <c r="A4230" s="53" t="inlineStr">
        <is>
          <t>LAB-004229</t>
        </is>
      </c>
      <c r="B4230" s="53" t="inlineStr">
        <is>
          <t>WP-01860</t>
        </is>
      </c>
      <c r="C4230" s="53" t="inlineStr">
        <is>
          <t>TECH-063</t>
        </is>
      </c>
      <c r="D4230" s="53" t="inlineStr">
        <is>
          <t>Hydraulics</t>
        </is>
      </c>
      <c r="E4230" s="53" t="inlineStr">
        <is>
          <t>2025-08-09</t>
        </is>
      </c>
      <c r="F4230" s="53">
        <v>12</v>
      </c>
      <c r="G4230" s="53">
        <v>4</v>
      </c>
      <c r="H4230" s="51" t="str">
        <f>TEXT(tblLaborEntries[[#This Row],[Work date serial]]-WEEKDAY(tblLaborEntries[[#This Row],[Work date serial]],3),"yyyy-mm-dd")</f>
        <v>2025-08-04</v>
      </c>
      <c r="I4230" s="64">
        <f>DATEVALUE(tblLaborEntries[[#This Row],[Work date]])</f>
        <v>45878.0</v>
      </c>
    </row>
    <row r="4231" spans="1:9" ht="15" x14ac:dyDescent="0.25">
      <c r="A4231" s="53" t="inlineStr">
        <is>
          <t>LAB-004230</t>
        </is>
      </c>
      <c r="B4231" s="53" t="inlineStr">
        <is>
          <t>WP-01861</t>
        </is>
      </c>
      <c r="C4231" s="53" t="inlineStr">
        <is>
          <t>TECH-034</t>
        </is>
      </c>
      <c r="D4231" s="53" t="inlineStr">
        <is>
          <t>Electrical</t>
        </is>
      </c>
      <c r="E4231" s="53" t="inlineStr">
        <is>
          <t>2025-10-12</t>
        </is>
      </c>
      <c r="F4231" s="53">
        <v>8</v>
      </c>
      <c r="G4231" s="53">
        <v>0</v>
      </c>
      <c r="H4231" s="51" t="str">
        <f>TEXT(tblLaborEntries[[#This Row],[Work date serial]]-WEEKDAY(tblLaborEntries[[#This Row],[Work date serial]],3),"yyyy-mm-dd")</f>
        <v>2025-10-06</v>
      </c>
      <c r="I4231" s="64">
        <f>DATEVALUE(tblLaborEntries[[#This Row],[Work date]])</f>
        <v>45942.0</v>
      </c>
    </row>
    <row r="4232" spans="1:9" ht="15" x14ac:dyDescent="0.25">
      <c r="A4232" s="53" t="inlineStr">
        <is>
          <t>LAB-004231</t>
        </is>
      </c>
      <c r="B4232" s="53" t="inlineStr">
        <is>
          <t>WP-01862</t>
        </is>
      </c>
      <c r="C4232" s="53" t="inlineStr">
        <is>
          <t>TECH-054</t>
        </is>
      </c>
      <c r="D4232" s="53" t="inlineStr">
        <is>
          <t>Powerplant</t>
        </is>
      </c>
      <c r="E4232" s="53" t="inlineStr">
        <is>
          <t>2024-11-06</t>
        </is>
      </c>
      <c r="F4232" s="53">
        <v>7</v>
      </c>
      <c r="G4232" s="53">
        <v>0</v>
      </c>
      <c r="H4232" s="51" t="str">
        <f>TEXT(tblLaborEntries[[#This Row],[Work date serial]]-WEEKDAY(tblLaborEntries[[#This Row],[Work date serial]],3),"yyyy-mm-dd")</f>
        <v>2024-11-04</v>
      </c>
      <c r="I4232" s="64">
        <f>DATEVALUE(tblLaborEntries[[#This Row],[Work date]])</f>
        <v>45602.0</v>
      </c>
    </row>
    <row r="4233" spans="1:9" ht="15" x14ac:dyDescent="0.25">
      <c r="A4233" s="53" t="inlineStr">
        <is>
          <t>LAB-004232</t>
        </is>
      </c>
      <c r="B4233" s="53" t="inlineStr">
        <is>
          <t>WP-01862</t>
        </is>
      </c>
      <c r="C4233" s="53" t="inlineStr">
        <is>
          <t>TECH-006</t>
        </is>
      </c>
      <c r="D4233" s="53" t="inlineStr">
        <is>
          <t>Powerplant</t>
        </is>
      </c>
      <c r="E4233" s="53" t="inlineStr">
        <is>
          <t>2024-11-07</t>
        </is>
      </c>
      <c r="F4233" s="53">
        <v>5.8</v>
      </c>
      <c r="G4233" s="53">
        <v>0</v>
      </c>
      <c r="H4233" s="51" t="str">
        <f>TEXT(tblLaborEntries[[#This Row],[Work date serial]]-WEEKDAY(tblLaborEntries[[#This Row],[Work date serial]],3),"yyyy-mm-dd")</f>
        <v>2024-11-04</v>
      </c>
      <c r="I4233" s="64">
        <f>DATEVALUE(tblLaborEntries[[#This Row],[Work date]])</f>
        <v>45603.0</v>
      </c>
    </row>
    <row r="4234" spans="1:9" ht="15" x14ac:dyDescent="0.25">
      <c r="A4234" s="53" t="inlineStr">
        <is>
          <t>LAB-004233</t>
        </is>
      </c>
      <c r="B4234" s="53" t="inlineStr">
        <is>
          <t>WP-01862</t>
        </is>
      </c>
      <c r="C4234" s="53" t="inlineStr">
        <is>
          <t>TECH-036</t>
        </is>
      </c>
      <c r="D4234" s="53" t="inlineStr">
        <is>
          <t>Powerplant</t>
        </is>
      </c>
      <c r="E4234" s="53" t="inlineStr">
        <is>
          <t>2024-11-08</t>
        </is>
      </c>
      <c r="F4234" s="53">
        <v>8</v>
      </c>
      <c r="G4234" s="53">
        <v>0</v>
      </c>
      <c r="H4234" s="51" t="str">
        <f>TEXT(tblLaborEntries[[#This Row],[Work date serial]]-WEEKDAY(tblLaborEntries[[#This Row],[Work date serial]],3),"yyyy-mm-dd")</f>
        <v>2024-11-04</v>
      </c>
      <c r="I4234" s="64">
        <f>DATEVALUE(tblLaborEntries[[#This Row],[Work date]])</f>
        <v>45604.0</v>
      </c>
    </row>
    <row r="4235" spans="1:9" ht="15" x14ac:dyDescent="0.25">
      <c r="A4235" s="53" t="inlineStr">
        <is>
          <t>LAB-004234</t>
        </is>
      </c>
      <c r="B4235" s="53" t="inlineStr">
        <is>
          <t>WP-01863</t>
        </is>
      </c>
      <c r="C4235" s="53" t="inlineStr">
        <is>
          <t>TECH-073</t>
        </is>
      </c>
      <c r="D4235" s="53" t="inlineStr">
        <is>
          <t>Airframe</t>
        </is>
      </c>
      <c r="E4235" s="53" t="inlineStr">
        <is>
          <t>2025-01-18</t>
        </is>
      </c>
      <c r="F4235" s="53">
        <v>3.3</v>
      </c>
      <c r="G4235" s="53">
        <v>0</v>
      </c>
      <c r="H4235" s="51" t="str">
        <f>TEXT(tblLaborEntries[[#This Row],[Work date serial]]-WEEKDAY(tblLaborEntries[[#This Row],[Work date serial]],3),"yyyy-mm-dd")</f>
        <v>2025-01-13</v>
      </c>
      <c r="I4235" s="64">
        <f>DATEVALUE(tblLaborEntries[[#This Row],[Work date]])</f>
        <v>45675.0</v>
      </c>
    </row>
    <row r="4236" spans="1:9" ht="15" x14ac:dyDescent="0.25">
      <c r="A4236" s="53" t="inlineStr">
        <is>
          <t>LAB-004235</t>
        </is>
      </c>
      <c r="B4236" s="53" t="inlineStr">
        <is>
          <t>WP-01864</t>
        </is>
      </c>
      <c r="C4236" s="53" t="inlineStr">
        <is>
          <t>TECH-005</t>
        </is>
      </c>
      <c r="D4236" s="53" t="inlineStr">
        <is>
          <t>Structures</t>
        </is>
      </c>
      <c r="E4236" s="53" t="inlineStr">
        <is>
          <t>2024-03-02</t>
        </is>
      </c>
      <c r="F4236" s="53">
        <v>10.8</v>
      </c>
      <c r="G4236" s="53">
        <v>2.8</v>
      </c>
      <c r="H4236" s="51" t="str">
        <f>TEXT(tblLaborEntries[[#This Row],[Work date serial]]-WEEKDAY(tblLaborEntries[[#This Row],[Work date serial]],3),"yyyy-mm-dd")</f>
        <v>2024-02-26</v>
      </c>
      <c r="I4236" s="64">
        <f>DATEVALUE(tblLaborEntries[[#This Row],[Work date]])</f>
        <v>45353.0</v>
      </c>
    </row>
    <row r="4237" spans="1:9" ht="15" x14ac:dyDescent="0.25">
      <c r="A4237" s="53" t="inlineStr">
        <is>
          <t>LAB-004236</t>
        </is>
      </c>
      <c r="B4237" s="53" t="inlineStr">
        <is>
          <t>WP-01864</t>
        </is>
      </c>
      <c r="C4237" s="53" t="inlineStr">
        <is>
          <t>TECH-035</t>
        </is>
      </c>
      <c r="D4237" s="53" t="inlineStr">
        <is>
          <t>Structures</t>
        </is>
      </c>
      <c r="E4237" s="53" t="inlineStr">
        <is>
          <t>2024-03-02</t>
        </is>
      </c>
      <c r="F4237" s="53">
        <v>0.6</v>
      </c>
      <c r="G4237" s="53">
        <v>0.6</v>
      </c>
      <c r="H4237" s="51" t="str">
        <f>TEXT(tblLaborEntries[[#This Row],[Work date serial]]-WEEKDAY(tblLaborEntries[[#This Row],[Work date serial]],3),"yyyy-mm-dd")</f>
        <v>2024-02-26</v>
      </c>
      <c r="I4237" s="64">
        <f>DATEVALUE(tblLaborEntries[[#This Row],[Work date]])</f>
        <v>45353.0</v>
      </c>
    </row>
    <row r="4238" spans="1:9" ht="15" x14ac:dyDescent="0.25">
      <c r="A4238" s="53" t="inlineStr">
        <is>
          <t>LAB-004237</t>
        </is>
      </c>
      <c r="B4238" s="53" t="inlineStr">
        <is>
          <t>WP-01864</t>
        </is>
      </c>
      <c r="C4238" s="53" t="inlineStr">
        <is>
          <t>TECH-005</t>
        </is>
      </c>
      <c r="D4238" s="53" t="inlineStr">
        <is>
          <t>Structures</t>
        </is>
      </c>
      <c r="E4238" s="53" t="inlineStr">
        <is>
          <t>2024-03-03</t>
        </is>
      </c>
      <c r="F4238" s="53">
        <v>12</v>
      </c>
      <c r="G4238" s="53">
        <v>4</v>
      </c>
      <c r="H4238" s="51" t="str">
        <f>TEXT(tblLaborEntries[[#This Row],[Work date serial]]-WEEKDAY(tblLaborEntries[[#This Row],[Work date serial]],3),"yyyy-mm-dd")</f>
        <v>2024-02-26</v>
      </c>
      <c r="I4238" s="64">
        <f>DATEVALUE(tblLaborEntries[[#This Row],[Work date]])</f>
        <v>45354.0</v>
      </c>
    </row>
    <row r="4239" spans="1:9" ht="15" x14ac:dyDescent="0.25">
      <c r="A4239" s="53" t="inlineStr">
        <is>
          <t>LAB-004238</t>
        </is>
      </c>
      <c r="B4239" s="53" t="inlineStr">
        <is>
          <t>WP-01864</t>
        </is>
      </c>
      <c r="C4239" s="53" t="inlineStr">
        <is>
          <t>TECH-011</t>
        </is>
      </c>
      <c r="D4239" s="53" t="inlineStr">
        <is>
          <t>Structures</t>
        </is>
      </c>
      <c r="E4239" s="53" t="inlineStr">
        <is>
          <t>2024-03-03</t>
        </is>
      </c>
      <c r="F4239" s="53">
        <v>12</v>
      </c>
      <c r="G4239" s="53">
        <v>4</v>
      </c>
      <c r="H4239" s="51" t="str">
        <f>TEXT(tblLaborEntries[[#This Row],[Work date serial]]-WEEKDAY(tblLaborEntries[[#This Row],[Work date serial]],3),"yyyy-mm-dd")</f>
        <v>2024-02-26</v>
      </c>
      <c r="I4239" s="64">
        <f>DATEVALUE(tblLaborEntries[[#This Row],[Work date]])</f>
        <v>45354.0</v>
      </c>
    </row>
    <row r="4240" spans="1:9" ht="15" x14ac:dyDescent="0.25">
      <c r="A4240" s="53" t="inlineStr">
        <is>
          <t>LAB-004239</t>
        </is>
      </c>
      <c r="B4240" s="53" t="inlineStr">
        <is>
          <t>WP-01864</t>
        </is>
      </c>
      <c r="C4240" s="53" t="inlineStr">
        <is>
          <t>TECH-035</t>
        </is>
      </c>
      <c r="D4240" s="53" t="inlineStr">
        <is>
          <t>Structures</t>
        </is>
      </c>
      <c r="E4240" s="53" t="inlineStr">
        <is>
          <t>2024-03-03</t>
        </is>
      </c>
      <c r="F4240" s="53">
        <v>12</v>
      </c>
      <c r="G4240" s="53">
        <v>4</v>
      </c>
      <c r="H4240" s="51" t="str">
        <f>TEXT(tblLaborEntries[[#This Row],[Work date serial]]-WEEKDAY(tblLaborEntries[[#This Row],[Work date serial]],3),"yyyy-mm-dd")</f>
        <v>2024-02-26</v>
      </c>
      <c r="I4240" s="64">
        <f>DATEVALUE(tblLaborEntries[[#This Row],[Work date]])</f>
        <v>45354.0</v>
      </c>
    </row>
    <row r="4241" spans="1:9" ht="15" x14ac:dyDescent="0.25">
      <c r="A4241" s="53" t="inlineStr">
        <is>
          <t>LAB-004240</t>
        </is>
      </c>
      <c r="B4241" s="53" t="inlineStr">
        <is>
          <t>WP-01865</t>
        </is>
      </c>
      <c r="C4241" s="53" t="inlineStr">
        <is>
          <t>TECH-057</t>
        </is>
      </c>
      <c r="D4241" s="53" t="inlineStr">
        <is>
          <t>Hydraulics</t>
        </is>
      </c>
      <c r="E4241" s="53" t="inlineStr">
        <is>
          <t>2025-03-24</t>
        </is>
      </c>
      <c r="F4241" s="53">
        <v>9.3</v>
      </c>
      <c r="G4241" s="53">
        <v>1.3</v>
      </c>
      <c r="H4241" s="51" t="str">
        <f>TEXT(tblLaborEntries[[#This Row],[Work date serial]]-WEEKDAY(tblLaborEntries[[#This Row],[Work date serial]],3),"yyyy-mm-dd")</f>
        <v>2025-03-24</v>
      </c>
      <c r="I4241" s="64">
        <f>DATEVALUE(tblLaborEntries[[#This Row],[Work date]])</f>
        <v>45740.0</v>
      </c>
    </row>
    <row r="4242" spans="1:9" ht="15" x14ac:dyDescent="0.25">
      <c r="A4242" s="53" t="inlineStr">
        <is>
          <t>LAB-004241</t>
        </is>
      </c>
      <c r="B4242" s="53" t="inlineStr">
        <is>
          <t>WP-01865</t>
        </is>
      </c>
      <c r="C4242" s="53" t="inlineStr">
        <is>
          <t>TECH-051</t>
        </is>
      </c>
      <c r="D4242" s="53" t="inlineStr">
        <is>
          <t>Hydraulics</t>
        </is>
      </c>
      <c r="E4242" s="53" t="inlineStr">
        <is>
          <t>2025-03-25</t>
        </is>
      </c>
      <c r="F4242" s="53">
        <v>8.9</v>
      </c>
      <c r="G4242" s="53">
        <v>0.9</v>
      </c>
      <c r="H4242" s="51" t="str">
        <f>TEXT(tblLaborEntries[[#This Row],[Work date serial]]-WEEKDAY(tblLaborEntries[[#This Row],[Work date serial]],3),"yyyy-mm-dd")</f>
        <v>2025-03-24</v>
      </c>
      <c r="I4242" s="64">
        <f>DATEVALUE(tblLaborEntries[[#This Row],[Work date]])</f>
        <v>45741.0</v>
      </c>
    </row>
    <row r="4243" spans="1:9" ht="15" x14ac:dyDescent="0.25">
      <c r="A4243" s="53" t="inlineStr">
        <is>
          <t>LAB-004242</t>
        </is>
      </c>
      <c r="B4243" s="53" t="inlineStr">
        <is>
          <t>WP-01866</t>
        </is>
      </c>
      <c r="C4243" s="53" t="inlineStr">
        <is>
          <t>TECH-014</t>
        </is>
      </c>
      <c r="D4243" s="53" t="inlineStr">
        <is>
          <t>Avionics</t>
        </is>
      </c>
      <c r="E4243" s="53" t="inlineStr">
        <is>
          <t>2024-11-22</t>
        </is>
      </c>
      <c r="F4243" s="53">
        <v>3.9</v>
      </c>
      <c r="G4243" s="53">
        <v>0</v>
      </c>
      <c r="H4243" s="51" t="str">
        <f>TEXT(tblLaborEntries[[#This Row],[Work date serial]]-WEEKDAY(tblLaborEntries[[#This Row],[Work date serial]],3),"yyyy-mm-dd")</f>
        <v>2024-11-18</v>
      </c>
      <c r="I4243" s="64">
        <f>DATEVALUE(tblLaborEntries[[#This Row],[Work date]])</f>
        <v>45618.0</v>
      </c>
    </row>
    <row r="4244" spans="1:9" ht="15" x14ac:dyDescent="0.25">
      <c r="A4244" s="53" t="inlineStr">
        <is>
          <t>LAB-004243</t>
        </is>
      </c>
      <c r="B4244" s="53" t="inlineStr">
        <is>
          <t>WP-01867</t>
        </is>
      </c>
      <c r="C4244" s="53" t="inlineStr">
        <is>
          <t>TECH-013</t>
        </is>
      </c>
      <c r="D4244" s="53" t="inlineStr">
        <is>
          <t>Airframe</t>
        </is>
      </c>
      <c r="E4244" s="53" t="inlineStr">
        <is>
          <t>2024-12-10</t>
        </is>
      </c>
      <c r="F4244" s="53">
        <v>1.1</v>
      </c>
      <c r="G4244" s="53">
        <v>0</v>
      </c>
      <c r="H4244" s="51" t="str">
        <f>TEXT(tblLaborEntries[[#This Row],[Work date serial]]-WEEKDAY(tblLaborEntries[[#This Row],[Work date serial]],3),"yyyy-mm-dd")</f>
        <v>2024-12-09</v>
      </c>
      <c r="I4244" s="64">
        <f>DATEVALUE(tblLaborEntries[[#This Row],[Work date]])</f>
        <v>45636.0</v>
      </c>
    </row>
    <row r="4245" spans="1:9" ht="15" x14ac:dyDescent="0.25">
      <c r="A4245" s="53" t="inlineStr">
        <is>
          <t>LAB-004244</t>
        </is>
      </c>
      <c r="B4245" s="53" t="inlineStr">
        <is>
          <t>WP-01867</t>
        </is>
      </c>
      <c r="C4245" s="53" t="inlineStr">
        <is>
          <t>TECH-049</t>
        </is>
      </c>
      <c r="D4245" s="53" t="inlineStr">
        <is>
          <t>Airframe</t>
        </is>
      </c>
      <c r="E4245" s="53" t="inlineStr">
        <is>
          <t>2024-12-11</t>
        </is>
      </c>
      <c r="F4245" s="53">
        <v>1.3</v>
      </c>
      <c r="G4245" s="53">
        <v>0</v>
      </c>
      <c r="H4245" s="51" t="str">
        <f>TEXT(tblLaborEntries[[#This Row],[Work date serial]]-WEEKDAY(tblLaborEntries[[#This Row],[Work date serial]],3),"yyyy-mm-dd")</f>
        <v>2024-12-09</v>
      </c>
      <c r="I4245" s="64">
        <f>DATEVALUE(tblLaborEntries[[#This Row],[Work date]])</f>
        <v>45637.0</v>
      </c>
    </row>
    <row r="4246" spans="1:9" ht="15" x14ac:dyDescent="0.25">
      <c r="A4246" s="53" t="inlineStr">
        <is>
          <t>LAB-004245</t>
        </is>
      </c>
      <c r="B4246" s="53" t="inlineStr">
        <is>
          <t>WP-01867</t>
        </is>
      </c>
      <c r="C4246" s="53" t="inlineStr">
        <is>
          <t>TECH-043</t>
        </is>
      </c>
      <c r="D4246" s="53" t="inlineStr">
        <is>
          <t>Airframe</t>
        </is>
      </c>
      <c r="E4246" s="53" t="inlineStr">
        <is>
          <t>2024-12-12</t>
        </is>
      </c>
      <c r="F4246" s="53">
        <v>1.7</v>
      </c>
      <c r="G4246" s="53">
        <v>0</v>
      </c>
      <c r="H4246" s="51" t="str">
        <f>TEXT(tblLaborEntries[[#This Row],[Work date serial]]-WEEKDAY(tblLaborEntries[[#This Row],[Work date serial]],3),"yyyy-mm-dd")</f>
        <v>2024-12-09</v>
      </c>
      <c r="I4246" s="64">
        <f>DATEVALUE(tblLaborEntries[[#This Row],[Work date]])</f>
        <v>45638.0</v>
      </c>
    </row>
    <row r="4247" spans="1:9" ht="15" x14ac:dyDescent="0.25">
      <c r="A4247" s="53" t="inlineStr">
        <is>
          <t>LAB-004246</t>
        </is>
      </c>
      <c r="B4247" s="53" t="inlineStr">
        <is>
          <t>WP-01868</t>
        </is>
      </c>
      <c r="C4247" s="53" t="inlineStr">
        <is>
          <t>TECH-006</t>
        </is>
      </c>
      <c r="D4247" s="53" t="inlineStr">
        <is>
          <t>Powerplant</t>
        </is>
      </c>
      <c r="E4247" s="53" t="inlineStr">
        <is>
          <t>2024-01-27</t>
        </is>
      </c>
      <c r="F4247" s="53">
        <v>5.3</v>
      </c>
      <c r="G4247" s="53">
        <v>0</v>
      </c>
      <c r="H4247" s="51" t="str">
        <f>TEXT(tblLaborEntries[[#This Row],[Work date serial]]-WEEKDAY(tblLaborEntries[[#This Row],[Work date serial]],3),"yyyy-mm-dd")</f>
        <v>2024-01-22</v>
      </c>
      <c r="I4247" s="64">
        <f>DATEVALUE(tblLaborEntries[[#This Row],[Work date]])</f>
        <v>45318.0</v>
      </c>
    </row>
    <row r="4248" spans="1:9" ht="15" x14ac:dyDescent="0.25">
      <c r="A4248" s="53" t="inlineStr">
        <is>
          <t>LAB-004247</t>
        </is>
      </c>
      <c r="B4248" s="53" t="inlineStr">
        <is>
          <t>WP-01868</t>
        </is>
      </c>
      <c r="C4248" s="53" t="inlineStr">
        <is>
          <t>TECH-018</t>
        </is>
      </c>
      <c r="D4248" s="53" t="inlineStr">
        <is>
          <t>Powerplant</t>
        </is>
      </c>
      <c r="E4248" s="53" t="inlineStr">
        <is>
          <t>2024-01-27</t>
        </is>
      </c>
      <c r="F4248" s="53">
        <v>4.2</v>
      </c>
      <c r="G4248" s="53">
        <v>4</v>
      </c>
      <c r="H4248" s="51" t="str">
        <f>TEXT(tblLaborEntries[[#This Row],[Work date serial]]-WEEKDAY(tblLaborEntries[[#This Row],[Work date serial]],3),"yyyy-mm-dd")</f>
        <v>2024-01-22</v>
      </c>
      <c r="I4248" s="64">
        <f>DATEVALUE(tblLaborEntries[[#This Row],[Work date]])</f>
        <v>45318.0</v>
      </c>
    </row>
    <row r="4249" spans="1:9" ht="15" x14ac:dyDescent="0.25">
      <c r="A4249" s="53" t="inlineStr">
        <is>
          <t>LAB-004248</t>
        </is>
      </c>
      <c r="B4249" s="53" t="inlineStr">
        <is>
          <t>WP-01868</t>
        </is>
      </c>
      <c r="C4249" s="53" t="inlineStr">
        <is>
          <t>TECH-048</t>
        </is>
      </c>
      <c r="D4249" s="53" t="inlineStr">
        <is>
          <t>Powerplant</t>
        </is>
      </c>
      <c r="E4249" s="53" t="inlineStr">
        <is>
          <t>2024-01-28</t>
        </is>
      </c>
      <c r="F4249" s="53">
        <v>10.8</v>
      </c>
      <c r="G4249" s="53">
        <v>2.8</v>
      </c>
      <c r="H4249" s="51" t="str">
        <f>TEXT(tblLaborEntries[[#This Row],[Work date serial]]-WEEKDAY(tblLaborEntries[[#This Row],[Work date serial]],3),"yyyy-mm-dd")</f>
        <v>2024-01-22</v>
      </c>
      <c r="I4249" s="64">
        <f>DATEVALUE(tblLaborEntries[[#This Row],[Work date]])</f>
        <v>45319.0</v>
      </c>
    </row>
    <row r="4250" spans="1:9" ht="15" x14ac:dyDescent="0.25">
      <c r="A4250" s="53" t="inlineStr">
        <is>
          <t>LAB-004249</t>
        </is>
      </c>
      <c r="B4250" s="53" t="inlineStr">
        <is>
          <t>WP-01869</t>
        </is>
      </c>
      <c r="C4250" s="53" t="inlineStr">
        <is>
          <t>TECH-048</t>
        </is>
      </c>
      <c r="D4250" s="53" t="inlineStr">
        <is>
          <t>Powerplant</t>
        </is>
      </c>
      <c r="E4250" s="53" t="inlineStr">
        <is>
          <t>2025-12-25</t>
        </is>
      </c>
      <c r="F4250" s="53">
        <v>6</v>
      </c>
      <c r="G4250" s="53">
        <v>0</v>
      </c>
      <c r="H4250" s="51" t="str">
        <f>TEXT(tblLaborEntries[[#This Row],[Work date serial]]-WEEKDAY(tblLaborEntries[[#This Row],[Work date serial]],3),"yyyy-mm-dd")</f>
        <v>2025-12-22</v>
      </c>
      <c r="I4250" s="64">
        <f>DATEVALUE(tblLaborEntries[[#This Row],[Work date]])</f>
        <v>46016.0</v>
      </c>
    </row>
    <row r="4251" spans="1:9" ht="15" x14ac:dyDescent="0.25">
      <c r="A4251" s="53" t="inlineStr">
        <is>
          <t>LAB-004250</t>
        </is>
      </c>
      <c r="B4251" s="53" t="inlineStr">
        <is>
          <t>WP-01869</t>
        </is>
      </c>
      <c r="C4251" s="53" t="inlineStr">
        <is>
          <t>TECH-006</t>
        </is>
      </c>
      <c r="D4251" s="53" t="inlineStr">
        <is>
          <t>Powerplant</t>
        </is>
      </c>
      <c r="E4251" s="53" t="inlineStr">
        <is>
          <t>2025-12-26</t>
        </is>
      </c>
      <c r="F4251" s="53">
        <v>0.2</v>
      </c>
      <c r="G4251" s="53">
        <v>0</v>
      </c>
      <c r="H4251" s="51" t="str">
        <f>TEXT(tblLaborEntries[[#This Row],[Work date serial]]-WEEKDAY(tblLaborEntries[[#This Row],[Work date serial]],3),"yyyy-mm-dd")</f>
        <v>2025-12-22</v>
      </c>
      <c r="I4251" s="64">
        <f>DATEVALUE(tblLaborEntries[[#This Row],[Work date]])</f>
        <v>46017.0</v>
      </c>
    </row>
    <row r="4252" spans="1:9" ht="15" x14ac:dyDescent="0.25">
      <c r="A4252" s="53" t="inlineStr">
        <is>
          <t>LAB-004251</t>
        </is>
      </c>
      <c r="B4252" s="53" t="inlineStr">
        <is>
          <t>WP-01869</t>
        </is>
      </c>
      <c r="C4252" s="53" t="inlineStr">
        <is>
          <t>TECH-066</t>
        </is>
      </c>
      <c r="D4252" s="53" t="inlineStr">
        <is>
          <t>Powerplant</t>
        </is>
      </c>
      <c r="E4252" s="53" t="inlineStr">
        <is>
          <t>2025-12-26</t>
        </is>
      </c>
      <c r="F4252" s="53">
        <v>6.3</v>
      </c>
      <c r="G4252" s="53">
        <v>4</v>
      </c>
      <c r="H4252" s="51" t="str">
        <f>TEXT(tblLaborEntries[[#This Row],[Work date serial]]-WEEKDAY(tblLaborEntries[[#This Row],[Work date serial]],3),"yyyy-mm-dd")</f>
        <v>2025-12-22</v>
      </c>
      <c r="I4252" s="64">
        <f>DATEVALUE(tblLaborEntries[[#This Row],[Work date]])</f>
        <v>46017.0</v>
      </c>
    </row>
    <row r="4253" spans="1:9" ht="15" x14ac:dyDescent="0.25">
      <c r="A4253" s="53" t="inlineStr">
        <is>
          <t>LAB-004252</t>
        </is>
      </c>
      <c r="B4253" s="53" t="inlineStr">
        <is>
          <t>WP-01870</t>
        </is>
      </c>
      <c r="C4253" s="53" t="inlineStr">
        <is>
          <t>TECH-020</t>
        </is>
      </c>
      <c r="D4253" s="53" t="inlineStr">
        <is>
          <t>Avionics</t>
        </is>
      </c>
      <c r="E4253" s="53" t="inlineStr">
        <is>
          <t>2024-11-27</t>
        </is>
      </c>
      <c r="F4253" s="53">
        <v>1.9</v>
      </c>
      <c r="G4253" s="53">
        <v>0</v>
      </c>
      <c r="H4253" s="51" t="str">
        <f>TEXT(tblLaborEntries[[#This Row],[Work date serial]]-WEEKDAY(tblLaborEntries[[#This Row],[Work date serial]],3),"yyyy-mm-dd")</f>
        <v>2024-11-25</v>
      </c>
      <c r="I4253" s="64">
        <f>DATEVALUE(tblLaborEntries[[#This Row],[Work date]])</f>
        <v>45623.0</v>
      </c>
    </row>
    <row r="4254" spans="1:9" ht="15" x14ac:dyDescent="0.25">
      <c r="A4254" s="53" t="inlineStr">
        <is>
          <t>LAB-004253</t>
        </is>
      </c>
      <c r="B4254" s="53" t="inlineStr">
        <is>
          <t>WP-01870</t>
        </is>
      </c>
      <c r="C4254" s="53" t="inlineStr">
        <is>
          <t>TECH-062</t>
        </is>
      </c>
      <c r="D4254" s="53" t="inlineStr">
        <is>
          <t>Avionics</t>
        </is>
      </c>
      <c r="E4254" s="53" t="inlineStr">
        <is>
          <t>2024-11-28</t>
        </is>
      </c>
      <c r="F4254" s="53">
        <v>1.9</v>
      </c>
      <c r="G4254" s="53">
        <v>0</v>
      </c>
      <c r="H4254" s="51" t="str">
        <f>TEXT(tblLaborEntries[[#This Row],[Work date serial]]-WEEKDAY(tblLaborEntries[[#This Row],[Work date serial]],3),"yyyy-mm-dd")</f>
        <v>2024-11-25</v>
      </c>
      <c r="I4254" s="64">
        <f>DATEVALUE(tblLaborEntries[[#This Row],[Work date]])</f>
        <v>45624.0</v>
      </c>
    </row>
    <row r="4255" spans="1:9" ht="15" x14ac:dyDescent="0.25">
      <c r="A4255" s="53" t="inlineStr">
        <is>
          <t>LAB-004254</t>
        </is>
      </c>
      <c r="B4255" s="53" t="inlineStr">
        <is>
          <t>WP-01870</t>
        </is>
      </c>
      <c r="C4255" s="53" t="inlineStr">
        <is>
          <t>TECH-032</t>
        </is>
      </c>
      <c r="D4255" s="53" t="inlineStr">
        <is>
          <t>Avionics</t>
        </is>
      </c>
      <c r="E4255" s="53" t="inlineStr">
        <is>
          <t>2024-11-29</t>
        </is>
      </c>
      <c r="F4255" s="53">
        <v>2.5</v>
      </c>
      <c r="G4255" s="53">
        <v>0</v>
      </c>
      <c r="H4255" s="51" t="str">
        <f>TEXT(tblLaborEntries[[#This Row],[Work date serial]]-WEEKDAY(tblLaborEntries[[#This Row],[Work date serial]],3),"yyyy-mm-dd")</f>
        <v>2024-11-25</v>
      </c>
      <c r="I4255" s="64">
        <f>DATEVALUE(tblLaborEntries[[#This Row],[Work date]])</f>
        <v>45625.0</v>
      </c>
    </row>
    <row r="4256" spans="1:9" ht="15" x14ac:dyDescent="0.25">
      <c r="A4256" s="53" t="inlineStr">
        <is>
          <t>LAB-004255</t>
        </is>
      </c>
      <c r="B4256" s="53" t="inlineStr">
        <is>
          <t>WP-01871</t>
        </is>
      </c>
      <c r="C4256" s="53" t="inlineStr">
        <is>
          <t>TECH-057</t>
        </is>
      </c>
      <c r="D4256" s="53" t="inlineStr">
        <is>
          <t>Hydraulics</t>
        </is>
      </c>
      <c r="E4256" s="53" t="inlineStr">
        <is>
          <t>2024-04-29</t>
        </is>
      </c>
      <c r="F4256" s="53">
        <v>7</v>
      </c>
      <c r="G4256" s="53">
        <v>0</v>
      </c>
      <c r="H4256" s="51" t="str">
        <f>TEXT(tblLaborEntries[[#This Row],[Work date serial]]-WEEKDAY(tblLaborEntries[[#This Row],[Work date serial]],3),"yyyy-mm-dd")</f>
        <v>2024-04-29</v>
      </c>
      <c r="I4256" s="64">
        <f>DATEVALUE(tblLaborEntries[[#This Row],[Work date]])</f>
        <v>45411.0</v>
      </c>
    </row>
    <row r="4257" spans="1:9" ht="15" x14ac:dyDescent="0.25">
      <c r="A4257" s="53" t="inlineStr">
        <is>
          <t>LAB-004256</t>
        </is>
      </c>
      <c r="B4257" s="53" t="inlineStr">
        <is>
          <t>WP-01871</t>
        </is>
      </c>
      <c r="C4257" s="53" t="inlineStr">
        <is>
          <t>TECH-075</t>
        </is>
      </c>
      <c r="D4257" s="53" t="inlineStr">
        <is>
          <t>Hydraulics</t>
        </is>
      </c>
      <c r="E4257" s="53" t="inlineStr">
        <is>
          <t>2024-04-30</t>
        </is>
      </c>
      <c r="F4257" s="53">
        <v>7</v>
      </c>
      <c r="G4257" s="53">
        <v>0</v>
      </c>
      <c r="H4257" s="51" t="str">
        <f>TEXT(tblLaborEntries[[#This Row],[Work date serial]]-WEEKDAY(tblLaborEntries[[#This Row],[Work date serial]],3),"yyyy-mm-dd")</f>
        <v>2024-04-29</v>
      </c>
      <c r="I4257" s="64">
        <f>DATEVALUE(tblLaborEntries[[#This Row],[Work date]])</f>
        <v>45412.0</v>
      </c>
    </row>
    <row r="4258" spans="1:9" ht="15" x14ac:dyDescent="0.25">
      <c r="A4258" s="53" t="inlineStr">
        <is>
          <t>LAB-004257</t>
        </is>
      </c>
      <c r="B4258" s="53" t="inlineStr">
        <is>
          <t>WP-01871</t>
        </is>
      </c>
      <c r="C4258" s="53" t="inlineStr">
        <is>
          <t>TECH-075</t>
        </is>
      </c>
      <c r="D4258" s="53" t="inlineStr">
        <is>
          <t>Hydraulics</t>
        </is>
      </c>
      <c r="E4258" s="53" t="inlineStr">
        <is>
          <t>2024-05-01</t>
        </is>
      </c>
      <c r="F4258" s="53">
        <v>9.6</v>
      </c>
      <c r="G4258" s="53">
        <v>1.6</v>
      </c>
      <c r="H4258" s="51" t="str">
        <f>TEXT(tblLaborEntries[[#This Row],[Work date serial]]-WEEKDAY(tblLaborEntries[[#This Row],[Work date serial]],3),"yyyy-mm-dd")</f>
        <v>2024-04-29</v>
      </c>
      <c r="I4258" s="64">
        <f>DATEVALUE(tblLaborEntries[[#This Row],[Work date]])</f>
        <v>45413.0</v>
      </c>
    </row>
    <row r="4259" spans="1:9" ht="15" x14ac:dyDescent="0.25">
      <c r="A4259" s="53" t="inlineStr">
        <is>
          <t>LAB-004258</t>
        </is>
      </c>
      <c r="B4259" s="53" t="inlineStr">
        <is>
          <t>WP-01872</t>
        </is>
      </c>
      <c r="C4259" s="53" t="inlineStr">
        <is>
          <t>TECH-009</t>
        </is>
      </c>
      <c r="D4259" s="53" t="inlineStr">
        <is>
          <t>Hydraulics</t>
        </is>
      </c>
      <c r="E4259" s="53" t="inlineStr">
        <is>
          <t>2025-03-05</t>
        </is>
      </c>
      <c r="F4259" s="53">
        <v>5.8</v>
      </c>
      <c r="G4259" s="53">
        <v>0</v>
      </c>
      <c r="H4259" s="51" t="str">
        <f>TEXT(tblLaborEntries[[#This Row],[Work date serial]]-WEEKDAY(tblLaborEntries[[#This Row],[Work date serial]],3),"yyyy-mm-dd")</f>
        <v>2025-03-03</v>
      </c>
      <c r="I4259" s="64">
        <f>DATEVALUE(tblLaborEntries[[#This Row],[Work date]])</f>
        <v>45721.0</v>
      </c>
    </row>
    <row r="4260" spans="1:9" ht="15" x14ac:dyDescent="0.25">
      <c r="A4260" s="53" t="inlineStr">
        <is>
          <t>LAB-004259</t>
        </is>
      </c>
      <c r="B4260" s="53" t="inlineStr">
        <is>
          <t>WP-01872</t>
        </is>
      </c>
      <c r="C4260" s="53" t="inlineStr">
        <is>
          <t>TECH-009</t>
        </is>
      </c>
      <c r="D4260" s="53" t="inlineStr">
        <is>
          <t>Hydraulics</t>
        </is>
      </c>
      <c r="E4260" s="53" t="inlineStr">
        <is>
          <t>2025-03-06</t>
        </is>
      </c>
      <c r="F4260" s="53">
        <v>5.5</v>
      </c>
      <c r="G4260" s="53">
        <v>0</v>
      </c>
      <c r="H4260" s="51" t="str">
        <f>TEXT(tblLaborEntries[[#This Row],[Work date serial]]-WEEKDAY(tblLaborEntries[[#This Row],[Work date serial]],3),"yyyy-mm-dd")</f>
        <v>2025-03-03</v>
      </c>
      <c r="I4260" s="64">
        <f>DATEVALUE(tblLaborEntries[[#This Row],[Work date]])</f>
        <v>45722.0</v>
      </c>
    </row>
    <row r="4261" spans="1:9" ht="15" x14ac:dyDescent="0.25">
      <c r="A4261" s="53" t="inlineStr">
        <is>
          <t>LAB-004260</t>
        </is>
      </c>
      <c r="B4261" s="53" t="inlineStr">
        <is>
          <t>WP-01872</t>
        </is>
      </c>
      <c r="C4261" s="53" t="inlineStr">
        <is>
          <t>TECH-057</t>
        </is>
      </c>
      <c r="D4261" s="53" t="inlineStr">
        <is>
          <t>Hydraulics</t>
        </is>
      </c>
      <c r="E4261" s="53" t="inlineStr">
        <is>
          <t>2025-03-07</t>
        </is>
      </c>
      <c r="F4261" s="53">
        <v>3.9</v>
      </c>
      <c r="G4261" s="53">
        <v>0</v>
      </c>
      <c r="H4261" s="51" t="str">
        <f>TEXT(tblLaborEntries[[#This Row],[Work date serial]]-WEEKDAY(tblLaborEntries[[#This Row],[Work date serial]],3),"yyyy-mm-dd")</f>
        <v>2025-03-03</v>
      </c>
      <c r="I4261" s="64">
        <f>DATEVALUE(tblLaborEntries[[#This Row],[Work date]])</f>
        <v>45723.0</v>
      </c>
    </row>
    <row r="4262" spans="1:9" ht="15" x14ac:dyDescent="0.25">
      <c r="A4262" s="53" t="inlineStr">
        <is>
          <t>LAB-004261</t>
        </is>
      </c>
      <c r="B4262" s="53" t="inlineStr">
        <is>
          <t>WP-01873</t>
        </is>
      </c>
      <c r="C4262" s="53" t="inlineStr">
        <is>
          <t>TECH-016</t>
        </is>
      </c>
      <c r="D4262" s="53" t="inlineStr">
        <is>
          <t>Electrical</t>
        </is>
      </c>
      <c r="E4262" s="53" t="inlineStr">
        <is>
          <t>2025-03-18</t>
        </is>
      </c>
      <c r="F4262" s="53">
        <v>4.9</v>
      </c>
      <c r="G4262" s="53">
        <v>0</v>
      </c>
      <c r="H4262" s="51" t="str">
        <f>TEXT(tblLaborEntries[[#This Row],[Work date serial]]-WEEKDAY(tblLaborEntries[[#This Row],[Work date serial]],3),"yyyy-mm-dd")</f>
        <v>2025-03-17</v>
      </c>
      <c r="I4262" s="64">
        <f>DATEVALUE(tblLaborEntries[[#This Row],[Work date]])</f>
        <v>45734.0</v>
      </c>
    </row>
    <row r="4263" spans="1:9" ht="15" x14ac:dyDescent="0.25">
      <c r="A4263" s="53" t="inlineStr">
        <is>
          <t>LAB-004262</t>
        </is>
      </c>
      <c r="B4263" s="53" t="inlineStr">
        <is>
          <t>WP-01873</t>
        </is>
      </c>
      <c r="C4263" s="53" t="inlineStr">
        <is>
          <t>TECH-064</t>
        </is>
      </c>
      <c r="D4263" s="53" t="inlineStr">
        <is>
          <t>Electrical</t>
        </is>
      </c>
      <c r="E4263" s="53" t="inlineStr">
        <is>
          <t>2025-03-19</t>
        </is>
      </c>
      <c r="F4263" s="53">
        <v>4.7</v>
      </c>
      <c r="G4263" s="53">
        <v>0</v>
      </c>
      <c r="H4263" s="51" t="str">
        <f>TEXT(tblLaborEntries[[#This Row],[Work date serial]]-WEEKDAY(tblLaborEntries[[#This Row],[Work date serial]],3),"yyyy-mm-dd")</f>
        <v>2025-03-17</v>
      </c>
      <c r="I4263" s="64">
        <f>DATEVALUE(tblLaborEntries[[#This Row],[Work date]])</f>
        <v>45735.0</v>
      </c>
    </row>
    <row r="4264" spans="1:9" ht="15" x14ac:dyDescent="0.25">
      <c r="A4264" s="53" t="inlineStr">
        <is>
          <t>LAB-004263</t>
        </is>
      </c>
      <c r="B4264" s="53" t="inlineStr">
        <is>
          <t>WP-01873</t>
        </is>
      </c>
      <c r="C4264" s="53" t="inlineStr">
        <is>
          <t>TECH-046</t>
        </is>
      </c>
      <c r="D4264" s="53" t="inlineStr">
        <is>
          <t>Electrical</t>
        </is>
      </c>
      <c r="E4264" s="53" t="inlineStr">
        <is>
          <t>2025-03-20</t>
        </is>
      </c>
      <c r="F4264" s="53">
        <v>5</v>
      </c>
      <c r="G4264" s="53">
        <v>0</v>
      </c>
      <c r="H4264" s="51" t="str">
        <f>TEXT(tblLaborEntries[[#This Row],[Work date serial]]-WEEKDAY(tblLaborEntries[[#This Row],[Work date serial]],3),"yyyy-mm-dd")</f>
        <v>2025-03-17</v>
      </c>
      <c r="I4264" s="64">
        <f>DATEVALUE(tblLaborEntries[[#This Row],[Work date]])</f>
        <v>45736.0</v>
      </c>
    </row>
    <row r="4265" spans="1:9" ht="15" x14ac:dyDescent="0.25">
      <c r="A4265" s="53" t="inlineStr">
        <is>
          <t>LAB-004264</t>
        </is>
      </c>
      <c r="B4265" s="53" t="inlineStr">
        <is>
          <t>WP-01874</t>
        </is>
      </c>
      <c r="C4265" s="53" t="inlineStr">
        <is>
          <t>TECH-034</t>
        </is>
      </c>
      <c r="D4265" s="53" t="inlineStr">
        <is>
          <t>Electrical</t>
        </is>
      </c>
      <c r="E4265" s="53" t="inlineStr">
        <is>
          <t>2025-01-14</t>
        </is>
      </c>
      <c r="F4265" s="53">
        <v>4.1</v>
      </c>
      <c r="G4265" s="53">
        <v>0</v>
      </c>
      <c r="H4265" s="51" t="str">
        <f>TEXT(tblLaborEntries[[#This Row],[Work date serial]]-WEEKDAY(tblLaborEntries[[#This Row],[Work date serial]],3),"yyyy-mm-dd")</f>
        <v>2025-01-13</v>
      </c>
      <c r="I4265" s="64">
        <f>DATEVALUE(tblLaborEntries[[#This Row],[Work date]])</f>
        <v>45671.0</v>
      </c>
    </row>
    <row r="4266" spans="1:9" ht="15" x14ac:dyDescent="0.25">
      <c r="A4266" s="53" t="inlineStr">
        <is>
          <t>LAB-004265</t>
        </is>
      </c>
      <c r="B4266" s="53" t="inlineStr">
        <is>
          <t>WP-01874</t>
        </is>
      </c>
      <c r="C4266" s="53" t="inlineStr">
        <is>
          <t>TECH-064</t>
        </is>
      </c>
      <c r="D4266" s="53" t="inlineStr">
        <is>
          <t>Electrical</t>
        </is>
      </c>
      <c r="E4266" s="53" t="inlineStr">
        <is>
          <t>2025-01-15</t>
        </is>
      </c>
      <c r="F4266" s="53">
        <v>5.3</v>
      </c>
      <c r="G4266" s="53">
        <v>0</v>
      </c>
      <c r="H4266" s="51" t="str">
        <f>TEXT(tblLaborEntries[[#This Row],[Work date serial]]-WEEKDAY(tblLaborEntries[[#This Row],[Work date serial]],3),"yyyy-mm-dd")</f>
        <v>2025-01-13</v>
      </c>
      <c r="I4266" s="64">
        <f>DATEVALUE(tblLaborEntries[[#This Row],[Work date]])</f>
        <v>45672.0</v>
      </c>
    </row>
    <row r="4267" spans="1:9" ht="15" x14ac:dyDescent="0.25">
      <c r="A4267" s="53" t="inlineStr">
        <is>
          <t>LAB-004266</t>
        </is>
      </c>
      <c r="B4267" s="53" t="inlineStr">
        <is>
          <t>WP-01875</t>
        </is>
      </c>
      <c r="C4267" s="53" t="inlineStr">
        <is>
          <t>TECH-056</t>
        </is>
      </c>
      <c r="D4267" s="53" t="inlineStr">
        <is>
          <t>Avionics</t>
        </is>
      </c>
      <c r="E4267" s="53" t="inlineStr">
        <is>
          <t>2024-09-24</t>
        </is>
      </c>
      <c r="F4267" s="53">
        <v>4.2</v>
      </c>
      <c r="G4267" s="53">
        <v>0</v>
      </c>
      <c r="H4267" s="51" t="str">
        <f>TEXT(tblLaborEntries[[#This Row],[Work date serial]]-WEEKDAY(tblLaborEntries[[#This Row],[Work date serial]],3),"yyyy-mm-dd")</f>
        <v>2024-09-23</v>
      </c>
      <c r="I4267" s="64">
        <f>DATEVALUE(tblLaborEntries[[#This Row],[Work date]])</f>
        <v>45559.0</v>
      </c>
    </row>
    <row r="4268" spans="1:9" ht="15" x14ac:dyDescent="0.25">
      <c r="A4268" s="53" t="inlineStr">
        <is>
          <t>LAB-004267</t>
        </is>
      </c>
      <c r="B4268" s="53" t="inlineStr">
        <is>
          <t>WP-01875</t>
        </is>
      </c>
      <c r="C4268" s="53" t="inlineStr">
        <is>
          <t>TECH-014</t>
        </is>
      </c>
      <c r="D4268" s="53" t="inlineStr">
        <is>
          <t>Avionics</t>
        </is>
      </c>
      <c r="E4268" s="53" t="inlineStr">
        <is>
          <t>2024-09-25</t>
        </is>
      </c>
      <c r="F4268" s="53">
        <v>4.9</v>
      </c>
      <c r="G4268" s="53">
        <v>0</v>
      </c>
      <c r="H4268" s="51" t="str">
        <f>TEXT(tblLaborEntries[[#This Row],[Work date serial]]-WEEKDAY(tblLaborEntries[[#This Row],[Work date serial]],3),"yyyy-mm-dd")</f>
        <v>2024-09-23</v>
      </c>
      <c r="I4268" s="64">
        <f>DATEVALUE(tblLaborEntries[[#This Row],[Work date]])</f>
        <v>45560.0</v>
      </c>
    </row>
    <row r="4269" spans="1:9" ht="15" x14ac:dyDescent="0.25">
      <c r="A4269" s="53" t="inlineStr">
        <is>
          <t>LAB-004268</t>
        </is>
      </c>
      <c r="B4269" s="53" t="inlineStr">
        <is>
          <t>WP-01875</t>
        </is>
      </c>
      <c r="C4269" s="53" t="inlineStr">
        <is>
          <t>TECH-044</t>
        </is>
      </c>
      <c r="D4269" s="53" t="inlineStr">
        <is>
          <t>Avionics</t>
        </is>
      </c>
      <c r="E4269" s="53" t="inlineStr">
        <is>
          <t>2024-09-26</t>
        </is>
      </c>
      <c r="F4269" s="53">
        <v>6.3</v>
      </c>
      <c r="G4269" s="53">
        <v>0</v>
      </c>
      <c r="H4269" s="51" t="str">
        <f>TEXT(tblLaborEntries[[#This Row],[Work date serial]]-WEEKDAY(tblLaborEntries[[#This Row],[Work date serial]],3),"yyyy-mm-dd")</f>
        <v>2024-09-23</v>
      </c>
      <c r="I4269" s="64">
        <f>DATEVALUE(tblLaborEntries[[#This Row],[Work date]])</f>
        <v>45561.0</v>
      </c>
    </row>
    <row r="4270" spans="1:9" ht="15" x14ac:dyDescent="0.25">
      <c r="A4270" s="53" t="inlineStr">
        <is>
          <t>LAB-004269</t>
        </is>
      </c>
      <c r="B4270" s="53" t="inlineStr">
        <is>
          <t>WP-01876</t>
        </is>
      </c>
      <c r="C4270" s="53" t="inlineStr">
        <is>
          <t>TECH-066</t>
        </is>
      </c>
      <c r="D4270" s="53" t="inlineStr">
        <is>
          <t>Powerplant</t>
        </is>
      </c>
      <c r="E4270" s="53" t="inlineStr">
        <is>
          <t>2024-02-22</t>
        </is>
      </c>
      <c r="F4270" s="53">
        <v>11.6</v>
      </c>
      <c r="G4270" s="53">
        <v>3.6</v>
      </c>
      <c r="H4270" s="51" t="str">
        <f>TEXT(tblLaborEntries[[#This Row],[Work date serial]]-WEEKDAY(tblLaborEntries[[#This Row],[Work date serial]],3),"yyyy-mm-dd")</f>
        <v>2024-02-19</v>
      </c>
      <c r="I4270" s="64">
        <f>DATEVALUE(tblLaborEntries[[#This Row],[Work date]])</f>
        <v>45344.0</v>
      </c>
    </row>
    <row r="4271" spans="1:9" ht="15" x14ac:dyDescent="0.25">
      <c r="A4271" s="53" t="inlineStr">
        <is>
          <t>LAB-004270</t>
        </is>
      </c>
      <c r="B4271" s="53" t="inlineStr">
        <is>
          <t>WP-01877</t>
        </is>
      </c>
      <c r="C4271" s="53" t="inlineStr">
        <is>
          <t>TECH-005</t>
        </is>
      </c>
      <c r="D4271" s="53" t="inlineStr">
        <is>
          <t>Structures</t>
        </is>
      </c>
      <c r="E4271" s="53" t="inlineStr">
        <is>
          <t>2025-03-05</t>
        </is>
      </c>
      <c r="F4271" s="53">
        <v>1.8</v>
      </c>
      <c r="G4271" s="53">
        <v>0</v>
      </c>
      <c r="H4271" s="51" t="str">
        <f>TEXT(tblLaborEntries[[#This Row],[Work date serial]]-WEEKDAY(tblLaborEntries[[#This Row],[Work date serial]],3),"yyyy-mm-dd")</f>
        <v>2025-03-03</v>
      </c>
      <c r="I4271" s="64">
        <f>DATEVALUE(tblLaborEntries[[#This Row],[Work date]])</f>
        <v>45721.0</v>
      </c>
    </row>
    <row r="4272" spans="1:9" ht="15" x14ac:dyDescent="0.25">
      <c r="A4272" s="53" t="inlineStr">
        <is>
          <t>LAB-004271</t>
        </is>
      </c>
      <c r="B4272" s="53" t="inlineStr">
        <is>
          <t>WP-01877</t>
        </is>
      </c>
      <c r="C4272" s="53" t="inlineStr">
        <is>
          <t>TECH-035</t>
        </is>
      </c>
      <c r="D4272" s="53" t="inlineStr">
        <is>
          <t>Structures</t>
        </is>
      </c>
      <c r="E4272" s="53" t="inlineStr">
        <is>
          <t>2025-03-05</t>
        </is>
      </c>
      <c r="F4272" s="53">
        <v>12</v>
      </c>
      <c r="G4272" s="53">
        <v>4</v>
      </c>
      <c r="H4272" s="51" t="str">
        <f>TEXT(tblLaborEntries[[#This Row],[Work date serial]]-WEEKDAY(tblLaborEntries[[#This Row],[Work date serial]],3),"yyyy-mm-dd")</f>
        <v>2025-03-03</v>
      </c>
      <c r="I4272" s="64">
        <f>DATEVALUE(tblLaborEntries[[#This Row],[Work date]])</f>
        <v>45721.0</v>
      </c>
    </row>
    <row r="4273" spans="1:9" ht="15" x14ac:dyDescent="0.25">
      <c r="A4273" s="53" t="inlineStr">
        <is>
          <t>LAB-004272</t>
        </is>
      </c>
      <c r="B4273" s="53" t="inlineStr">
        <is>
          <t>WP-01877</t>
        </is>
      </c>
      <c r="C4273" s="53" t="inlineStr">
        <is>
          <t>TECH-005</t>
        </is>
      </c>
      <c r="D4273" s="53" t="inlineStr">
        <is>
          <t>Structures</t>
        </is>
      </c>
      <c r="E4273" s="53" t="inlineStr">
        <is>
          <t>2025-03-06</t>
        </is>
      </c>
      <c r="F4273" s="53">
        <v>12</v>
      </c>
      <c r="G4273" s="53">
        <v>4</v>
      </c>
      <c r="H4273" s="51" t="str">
        <f>TEXT(tblLaborEntries[[#This Row],[Work date serial]]-WEEKDAY(tblLaborEntries[[#This Row],[Work date serial]],3),"yyyy-mm-dd")</f>
        <v>2025-03-03</v>
      </c>
      <c r="I4273" s="64">
        <f>DATEVALUE(tblLaborEntries[[#This Row],[Work date]])</f>
        <v>45722.0</v>
      </c>
    </row>
    <row r="4274" spans="1:9" ht="15" x14ac:dyDescent="0.25">
      <c r="A4274" s="53" t="inlineStr">
        <is>
          <t>LAB-004273</t>
        </is>
      </c>
      <c r="B4274" s="53" t="inlineStr">
        <is>
          <t>WP-01877</t>
        </is>
      </c>
      <c r="C4274" s="53" t="inlineStr">
        <is>
          <t>TECH-011</t>
        </is>
      </c>
      <c r="D4274" s="53" t="inlineStr">
        <is>
          <t>Structures</t>
        </is>
      </c>
      <c r="E4274" s="53" t="inlineStr">
        <is>
          <t>2025-03-06</t>
        </is>
      </c>
      <c r="F4274" s="53">
        <v>12</v>
      </c>
      <c r="G4274" s="53">
        <v>4</v>
      </c>
      <c r="H4274" s="51" t="str">
        <f>TEXT(tblLaborEntries[[#This Row],[Work date serial]]-WEEKDAY(tblLaborEntries[[#This Row],[Work date serial]],3),"yyyy-mm-dd")</f>
        <v>2025-03-03</v>
      </c>
      <c r="I4274" s="64">
        <f>DATEVALUE(tblLaborEntries[[#This Row],[Work date]])</f>
        <v>45722.0</v>
      </c>
    </row>
    <row r="4275" spans="1:9" ht="15" x14ac:dyDescent="0.25">
      <c r="A4275" s="53" t="inlineStr">
        <is>
          <t>LAB-004274</t>
        </is>
      </c>
      <c r="B4275" s="53" t="inlineStr">
        <is>
          <t>WP-01877</t>
        </is>
      </c>
      <c r="C4275" s="53" t="inlineStr">
        <is>
          <t>TECH-035</t>
        </is>
      </c>
      <c r="D4275" s="53" t="inlineStr">
        <is>
          <t>Structures</t>
        </is>
      </c>
      <c r="E4275" s="53" t="inlineStr">
        <is>
          <t>2025-03-06</t>
        </is>
      </c>
      <c r="F4275" s="53">
        <v>12</v>
      </c>
      <c r="G4275" s="53">
        <v>4</v>
      </c>
      <c r="H4275" s="51" t="str">
        <f>TEXT(tblLaborEntries[[#This Row],[Work date serial]]-WEEKDAY(tblLaborEntries[[#This Row],[Work date serial]],3),"yyyy-mm-dd")</f>
        <v>2025-03-03</v>
      </c>
      <c r="I4275" s="64">
        <f>DATEVALUE(tblLaborEntries[[#This Row],[Work date]])</f>
        <v>45722.0</v>
      </c>
    </row>
    <row r="4276" spans="1:9" ht="15" x14ac:dyDescent="0.25">
      <c r="A4276" s="53" t="inlineStr">
        <is>
          <t>LAB-004275</t>
        </is>
      </c>
      <c r="B4276" s="53" t="inlineStr">
        <is>
          <t>WP-01878</t>
        </is>
      </c>
      <c r="C4276" s="53" t="inlineStr">
        <is>
          <t>TECH-002</t>
        </is>
      </c>
      <c r="D4276" s="53" t="inlineStr">
        <is>
          <t>Avionics</t>
        </is>
      </c>
      <c r="E4276" s="53" t="inlineStr">
        <is>
          <t>2024-02-09</t>
        </is>
      </c>
      <c r="F4276" s="53">
        <v>4.6</v>
      </c>
      <c r="G4276" s="53">
        <v>0</v>
      </c>
      <c r="H4276" s="51" t="str">
        <f>TEXT(tblLaborEntries[[#This Row],[Work date serial]]-WEEKDAY(tblLaborEntries[[#This Row],[Work date serial]],3),"yyyy-mm-dd")</f>
        <v>2024-02-05</v>
      </c>
      <c r="I4276" s="64">
        <f>DATEVALUE(tblLaborEntries[[#This Row],[Work date]])</f>
        <v>45331.0</v>
      </c>
    </row>
    <row r="4277" spans="1:9" ht="15" x14ac:dyDescent="0.25">
      <c r="A4277" s="53" t="inlineStr">
        <is>
          <t>LAB-004276</t>
        </is>
      </c>
      <c r="B4277" s="53" t="inlineStr">
        <is>
          <t>WP-01878</t>
        </is>
      </c>
      <c r="C4277" s="53" t="inlineStr">
        <is>
          <t>TECH-032</t>
        </is>
      </c>
      <c r="D4277" s="53" t="inlineStr">
        <is>
          <t>Avionics</t>
        </is>
      </c>
      <c r="E4277" s="53" t="inlineStr">
        <is>
          <t>2024-02-10</t>
        </is>
      </c>
      <c r="F4277" s="53">
        <v>5.4</v>
      </c>
      <c r="G4277" s="53">
        <v>0</v>
      </c>
      <c r="H4277" s="51" t="str">
        <f>TEXT(tblLaborEntries[[#This Row],[Work date serial]]-WEEKDAY(tblLaborEntries[[#This Row],[Work date serial]],3),"yyyy-mm-dd")</f>
        <v>2024-02-05</v>
      </c>
      <c r="I4277" s="64">
        <f>DATEVALUE(tblLaborEntries[[#This Row],[Work date]])</f>
        <v>45332.0</v>
      </c>
    </row>
    <row r="4278" spans="1:9" ht="15" x14ac:dyDescent="0.25">
      <c r="A4278" s="53" t="inlineStr">
        <is>
          <t>LAB-004277</t>
        </is>
      </c>
      <c r="B4278" s="53" t="inlineStr">
        <is>
          <t>WP-01879</t>
        </is>
      </c>
      <c r="C4278" s="53" t="inlineStr">
        <is>
          <t>TECH-005</t>
        </is>
      </c>
      <c r="D4278" s="53" t="inlineStr">
        <is>
          <t>Structures</t>
        </is>
      </c>
      <c r="E4278" s="53" t="inlineStr">
        <is>
          <t>2025-05-04</t>
        </is>
      </c>
      <c r="F4278" s="53">
        <v>12</v>
      </c>
      <c r="G4278" s="53">
        <v>4</v>
      </c>
      <c r="H4278" s="51" t="str">
        <f>TEXT(tblLaborEntries[[#This Row],[Work date serial]]-WEEKDAY(tblLaborEntries[[#This Row],[Work date serial]],3),"yyyy-mm-dd")</f>
        <v>2025-04-28</v>
      </c>
      <c r="I4278" s="64">
        <f>DATEVALUE(tblLaborEntries[[#This Row],[Work date]])</f>
        <v>45781.0</v>
      </c>
    </row>
    <row r="4279" spans="1:9" ht="15" x14ac:dyDescent="0.25">
      <c r="A4279" s="53" t="inlineStr">
        <is>
          <t>LAB-004278</t>
        </is>
      </c>
      <c r="B4279" s="53" t="inlineStr">
        <is>
          <t>WP-01879</t>
        </is>
      </c>
      <c r="C4279" s="53" t="inlineStr">
        <is>
          <t>TECH-011</t>
        </is>
      </c>
      <c r="D4279" s="53" t="inlineStr">
        <is>
          <t>Structures</t>
        </is>
      </c>
      <c r="E4279" s="53" t="inlineStr">
        <is>
          <t>2025-05-04</t>
        </is>
      </c>
      <c r="F4279" s="53">
        <v>5.5</v>
      </c>
      <c r="G4279" s="53">
        <v>0</v>
      </c>
      <c r="H4279" s="51" t="str">
        <f>TEXT(tblLaborEntries[[#This Row],[Work date serial]]-WEEKDAY(tblLaborEntries[[#This Row],[Work date serial]],3),"yyyy-mm-dd")</f>
        <v>2025-04-28</v>
      </c>
      <c r="I4279" s="64">
        <f>DATEVALUE(tblLaborEntries[[#This Row],[Work date]])</f>
        <v>45781.0</v>
      </c>
    </row>
    <row r="4280" spans="1:9" ht="15" x14ac:dyDescent="0.25">
      <c r="A4280" s="53" t="inlineStr">
        <is>
          <t>LAB-004279</t>
        </is>
      </c>
      <c r="B4280" s="53" t="inlineStr">
        <is>
          <t>WP-01879</t>
        </is>
      </c>
      <c r="C4280" s="53" t="inlineStr">
        <is>
          <t>TECH-017</t>
        </is>
      </c>
      <c r="D4280" s="53" t="inlineStr">
        <is>
          <t>Structures</t>
        </is>
      </c>
      <c r="E4280" s="53" t="inlineStr">
        <is>
          <t>2025-05-04</t>
        </is>
      </c>
      <c r="F4280" s="53">
        <v>12</v>
      </c>
      <c r="G4280" s="53">
        <v>4</v>
      </c>
      <c r="H4280" s="51" t="str">
        <f>TEXT(tblLaborEntries[[#This Row],[Work date serial]]-WEEKDAY(tblLaborEntries[[#This Row],[Work date serial]],3),"yyyy-mm-dd")</f>
        <v>2025-04-28</v>
      </c>
      <c r="I4280" s="64">
        <f>DATEVALUE(tblLaborEntries[[#This Row],[Work date]])</f>
        <v>45781.0</v>
      </c>
    </row>
    <row r="4281" spans="1:9" ht="15" x14ac:dyDescent="0.25">
      <c r="A4281" s="53" t="inlineStr">
        <is>
          <t>LAB-004280</t>
        </is>
      </c>
      <c r="B4281" s="53" t="inlineStr">
        <is>
          <t>WP-01880</t>
        </is>
      </c>
      <c r="C4281" s="53" t="inlineStr">
        <is>
          <t>TECH-013</t>
        </is>
      </c>
      <c r="D4281" s="53" t="inlineStr">
        <is>
          <t>Airframe</t>
        </is>
      </c>
      <c r="E4281" s="53" t="inlineStr">
        <is>
          <t>2025-05-22</t>
        </is>
      </c>
      <c r="F4281" s="53">
        <v>4.4</v>
      </c>
      <c r="G4281" s="53">
        <v>0</v>
      </c>
      <c r="H4281" s="51" t="str">
        <f>TEXT(tblLaborEntries[[#This Row],[Work date serial]]-WEEKDAY(tblLaborEntries[[#This Row],[Work date serial]],3),"yyyy-mm-dd")</f>
        <v>2025-05-19</v>
      </c>
      <c r="I4281" s="64">
        <f>DATEVALUE(tblLaborEntries[[#This Row],[Work date]])</f>
        <v>45799.0</v>
      </c>
    </row>
    <row r="4282" spans="1:9" ht="15" x14ac:dyDescent="0.25">
      <c r="A4282" s="53" t="inlineStr">
        <is>
          <t>LAB-004281</t>
        </is>
      </c>
      <c r="B4282" s="53" t="inlineStr">
        <is>
          <t>WP-01880</t>
        </is>
      </c>
      <c r="C4282" s="53" t="inlineStr">
        <is>
          <t>TECH-037</t>
        </is>
      </c>
      <c r="D4282" s="53" t="inlineStr">
        <is>
          <t>Airframe</t>
        </is>
      </c>
      <c r="E4282" s="53" t="inlineStr">
        <is>
          <t>2025-05-23</t>
        </is>
      </c>
      <c r="F4282" s="53">
        <v>5</v>
      </c>
      <c r="G4282" s="53">
        <v>0</v>
      </c>
      <c r="H4282" s="51" t="str">
        <f>TEXT(tblLaborEntries[[#This Row],[Work date serial]]-WEEKDAY(tblLaborEntries[[#This Row],[Work date serial]],3),"yyyy-mm-dd")</f>
        <v>2025-05-19</v>
      </c>
      <c r="I4282" s="64">
        <f>DATEVALUE(tblLaborEntries[[#This Row],[Work date]])</f>
        <v>45800.0</v>
      </c>
    </row>
    <row r="4283" spans="1:9" ht="15" x14ac:dyDescent="0.25">
      <c r="A4283" s="53" t="inlineStr">
        <is>
          <t>LAB-004282</t>
        </is>
      </c>
      <c r="B4283" s="53" t="inlineStr">
        <is>
          <t>WP-01880</t>
        </is>
      </c>
      <c r="C4283" s="53" t="inlineStr">
        <is>
          <t>TECH-049</t>
        </is>
      </c>
      <c r="D4283" s="53" t="inlineStr">
        <is>
          <t>Airframe</t>
        </is>
      </c>
      <c r="E4283" s="53" t="inlineStr">
        <is>
          <t>2025-05-24</t>
        </is>
      </c>
      <c r="F4283" s="53">
        <v>4.3</v>
      </c>
      <c r="G4283" s="53">
        <v>0</v>
      </c>
      <c r="H4283" s="51" t="str">
        <f>TEXT(tblLaborEntries[[#This Row],[Work date serial]]-WEEKDAY(tblLaborEntries[[#This Row],[Work date serial]],3),"yyyy-mm-dd")</f>
        <v>2025-05-19</v>
      </c>
      <c r="I4283" s="64">
        <f>DATEVALUE(tblLaborEntries[[#This Row],[Work date]])</f>
        <v>45801.0</v>
      </c>
    </row>
    <row r="4284" spans="1:9" ht="15" x14ac:dyDescent="0.25">
      <c r="A4284" s="53" t="inlineStr">
        <is>
          <t>LAB-004283</t>
        </is>
      </c>
      <c r="B4284" s="53" t="inlineStr">
        <is>
          <t>WP-01881</t>
        </is>
      </c>
      <c r="C4284" s="53" t="inlineStr">
        <is>
          <t>TECH-002</t>
        </is>
      </c>
      <c r="D4284" s="53" t="inlineStr">
        <is>
          <t>Avionics</t>
        </is>
      </c>
      <c r="E4284" s="53" t="inlineStr">
        <is>
          <t>2024-10-17</t>
        </is>
      </c>
      <c r="F4284" s="53">
        <v>0.7</v>
      </c>
      <c r="G4284" s="53">
        <v>0</v>
      </c>
      <c r="H4284" s="51" t="str">
        <f>TEXT(tblLaborEntries[[#This Row],[Work date serial]]-WEEKDAY(tblLaborEntries[[#This Row],[Work date serial]],3),"yyyy-mm-dd")</f>
        <v>2024-10-14</v>
      </c>
      <c r="I4284" s="64">
        <f>DATEVALUE(tblLaborEntries[[#This Row],[Work date]])</f>
        <v>45582.0</v>
      </c>
    </row>
    <row r="4285" spans="1:9" ht="15" x14ac:dyDescent="0.25">
      <c r="A4285" s="53" t="inlineStr">
        <is>
          <t>LAB-004284</t>
        </is>
      </c>
      <c r="B4285" s="53" t="inlineStr">
        <is>
          <t>WP-01881</t>
        </is>
      </c>
      <c r="C4285" s="53" t="inlineStr">
        <is>
          <t>TECH-020</t>
        </is>
      </c>
      <c r="D4285" s="53" t="inlineStr">
        <is>
          <t>Avionics</t>
        </is>
      </c>
      <c r="E4285" s="53" t="inlineStr">
        <is>
          <t>2024-10-17</t>
        </is>
      </c>
      <c r="F4285" s="53">
        <v>12</v>
      </c>
      <c r="G4285" s="53">
        <v>4</v>
      </c>
      <c r="H4285" s="51" t="str">
        <f>TEXT(tblLaborEntries[[#This Row],[Work date serial]]-WEEKDAY(tblLaborEntries[[#This Row],[Work date serial]],3),"yyyy-mm-dd")</f>
        <v>2024-10-14</v>
      </c>
      <c r="I4285" s="64">
        <f>DATEVALUE(tblLaborEntries[[#This Row],[Work date]])</f>
        <v>45582.0</v>
      </c>
    </row>
    <row r="4286" spans="1:9" ht="15" x14ac:dyDescent="0.25">
      <c r="A4286" s="53" t="inlineStr">
        <is>
          <t>LAB-004285</t>
        </is>
      </c>
      <c r="B4286" s="53" t="inlineStr">
        <is>
          <t>WP-01882</t>
        </is>
      </c>
      <c r="C4286" s="53" t="inlineStr">
        <is>
          <t>TECH-047</t>
        </is>
      </c>
      <c r="D4286" s="53" t="inlineStr">
        <is>
          <t>Structures</t>
        </is>
      </c>
      <c r="E4286" s="53" t="inlineStr">
        <is>
          <t>2025-06-15</t>
        </is>
      </c>
      <c r="F4286" s="53">
        <v>10.3</v>
      </c>
      <c r="G4286" s="53">
        <v>2.3</v>
      </c>
      <c r="H4286" s="51" t="str">
        <f>TEXT(tblLaborEntries[[#This Row],[Work date serial]]-WEEKDAY(tblLaborEntries[[#This Row],[Work date serial]],3),"yyyy-mm-dd")</f>
        <v>2025-06-09</v>
      </c>
      <c r="I4286" s="64">
        <f>DATEVALUE(tblLaborEntries[[#This Row],[Work date]])</f>
        <v>45823.0</v>
      </c>
    </row>
    <row r="4287" spans="1:9" ht="15" x14ac:dyDescent="0.25">
      <c r="A4287" s="53" t="inlineStr">
        <is>
          <t>LAB-004286</t>
        </is>
      </c>
      <c r="B4287" s="53" t="inlineStr">
        <is>
          <t>WP-01882</t>
        </is>
      </c>
      <c r="C4287" s="53" t="inlineStr">
        <is>
          <t>TECH-023</t>
        </is>
      </c>
      <c r="D4287" s="53" t="inlineStr">
        <is>
          <t>Structures</t>
        </is>
      </c>
      <c r="E4287" s="53" t="inlineStr">
        <is>
          <t>2025-06-16</t>
        </is>
      </c>
      <c r="F4287" s="53">
        <v>8.7</v>
      </c>
      <c r="G4287" s="53">
        <v>0.7</v>
      </c>
      <c r="H4287" s="51" t="str">
        <f>TEXT(tblLaborEntries[[#This Row],[Work date serial]]-WEEKDAY(tblLaborEntries[[#This Row],[Work date serial]],3),"yyyy-mm-dd")</f>
        <v>2025-06-16</v>
      </c>
      <c r="I4287" s="64">
        <f>DATEVALUE(tblLaborEntries[[#This Row],[Work date]])</f>
        <v>45824.0</v>
      </c>
    </row>
    <row r="4288" spans="1:9" ht="15" x14ac:dyDescent="0.25">
      <c r="A4288" s="53" t="inlineStr">
        <is>
          <t>LAB-004287</t>
        </is>
      </c>
      <c r="B4288" s="53" t="inlineStr">
        <is>
          <t>WP-01882</t>
        </is>
      </c>
      <c r="C4288" s="53" t="inlineStr">
        <is>
          <t>TECH-053</t>
        </is>
      </c>
      <c r="D4288" s="53" t="inlineStr">
        <is>
          <t>Structures</t>
        </is>
      </c>
      <c r="E4288" s="53" t="inlineStr">
        <is>
          <t>2025-06-17</t>
        </is>
      </c>
      <c r="F4288" s="53">
        <v>7.9</v>
      </c>
      <c r="G4288" s="53">
        <v>0</v>
      </c>
      <c r="H4288" s="51" t="str">
        <f>TEXT(tblLaborEntries[[#This Row],[Work date serial]]-WEEKDAY(tblLaborEntries[[#This Row],[Work date serial]],3),"yyyy-mm-dd")</f>
        <v>2025-06-16</v>
      </c>
      <c r="I4288" s="64">
        <f>DATEVALUE(tblLaborEntries[[#This Row],[Work date]])</f>
        <v>45825.0</v>
      </c>
    </row>
    <row r="4289" spans="1:9" ht="15" x14ac:dyDescent="0.25">
      <c r="A4289" s="53" t="inlineStr">
        <is>
          <t>LAB-004288</t>
        </is>
      </c>
      <c r="B4289" s="53" t="inlineStr">
        <is>
          <t>WP-01883</t>
        </is>
      </c>
      <c r="C4289" s="53" t="inlineStr">
        <is>
          <t>TECH-025</t>
        </is>
      </c>
      <c r="D4289" s="53" t="inlineStr">
        <is>
          <t>Airframe</t>
        </is>
      </c>
      <c r="E4289" s="53" t="inlineStr">
        <is>
          <t>2025-07-26</t>
        </is>
      </c>
      <c r="F4289" s="53">
        <v>1.3</v>
      </c>
      <c r="G4289" s="53">
        <v>0</v>
      </c>
      <c r="H4289" s="51" t="str">
        <f>TEXT(tblLaborEntries[[#This Row],[Work date serial]]-WEEKDAY(tblLaborEntries[[#This Row],[Work date serial]],3),"yyyy-mm-dd")</f>
        <v>2025-07-21</v>
      </c>
      <c r="I4289" s="64">
        <f>DATEVALUE(tblLaborEntries[[#This Row],[Work date]])</f>
        <v>45864.0</v>
      </c>
    </row>
    <row r="4290" spans="1:9" ht="15" x14ac:dyDescent="0.25">
      <c r="A4290" s="53" t="inlineStr">
        <is>
          <t>LAB-004289</t>
        </is>
      </c>
      <c r="B4290" s="53" t="inlineStr">
        <is>
          <t>WP-01883</t>
        </is>
      </c>
      <c r="C4290" s="53" t="inlineStr">
        <is>
          <t>TECH-013</t>
        </is>
      </c>
      <c r="D4290" s="53" t="inlineStr">
        <is>
          <t>Airframe</t>
        </is>
      </c>
      <c r="E4290" s="53" t="inlineStr">
        <is>
          <t>2025-07-27</t>
        </is>
      </c>
      <c r="F4290" s="53">
        <v>1</v>
      </c>
      <c r="G4290" s="53">
        <v>0</v>
      </c>
      <c r="H4290" s="51" t="str">
        <f>TEXT(tblLaborEntries[[#This Row],[Work date serial]]-WEEKDAY(tblLaborEntries[[#This Row],[Work date serial]],3),"yyyy-mm-dd")</f>
        <v>2025-07-21</v>
      </c>
      <c r="I4290" s="64">
        <f>DATEVALUE(tblLaborEntries[[#This Row],[Work date]])</f>
        <v>45865.0</v>
      </c>
    </row>
    <row r="4291" spans="1:9" ht="15" x14ac:dyDescent="0.25">
      <c r="A4291" s="53" t="inlineStr">
        <is>
          <t>LAB-004290</t>
        </is>
      </c>
      <c r="B4291" s="53" t="inlineStr">
        <is>
          <t>WP-01884</t>
        </is>
      </c>
      <c r="C4291" s="53" t="inlineStr">
        <is>
          <t>TECH-038</t>
        </is>
      </c>
      <c r="D4291" s="53" t="inlineStr">
        <is>
          <t>Avionics</t>
        </is>
      </c>
      <c r="E4291" s="53" t="inlineStr">
        <is>
          <t>2025-12-07</t>
        </is>
      </c>
      <c r="F4291" s="53">
        <v>3.1</v>
      </c>
      <c r="G4291" s="53">
        <v>0</v>
      </c>
      <c r="H4291" s="51" t="str">
        <f>TEXT(tblLaborEntries[[#This Row],[Work date serial]]-WEEKDAY(tblLaborEntries[[#This Row],[Work date serial]],3),"yyyy-mm-dd")</f>
        <v>2025-12-01</v>
      </c>
      <c r="I4291" s="64">
        <f>DATEVALUE(tblLaborEntries[[#This Row],[Work date]])</f>
        <v>45998.0</v>
      </c>
    </row>
    <row r="4292" spans="1:9" ht="15" x14ac:dyDescent="0.25">
      <c r="A4292" s="53" t="inlineStr">
        <is>
          <t>LAB-004291</t>
        </is>
      </c>
      <c r="B4292" s="53" t="inlineStr">
        <is>
          <t>WP-01884</t>
        </is>
      </c>
      <c r="C4292" s="53" t="inlineStr">
        <is>
          <t>TECH-014</t>
        </is>
      </c>
      <c r="D4292" s="53" t="inlineStr">
        <is>
          <t>Avionics</t>
        </is>
      </c>
      <c r="E4292" s="53" t="inlineStr">
        <is>
          <t>2025-12-08</t>
        </is>
      </c>
      <c r="F4292" s="53">
        <v>2.7</v>
      </c>
      <c r="G4292" s="53">
        <v>0</v>
      </c>
      <c r="H4292" s="51" t="str">
        <f>TEXT(tblLaborEntries[[#This Row],[Work date serial]]-WEEKDAY(tblLaborEntries[[#This Row],[Work date serial]],3),"yyyy-mm-dd")</f>
        <v>2025-12-08</v>
      </c>
      <c r="I4292" s="64">
        <f>DATEVALUE(tblLaborEntries[[#This Row],[Work date]])</f>
        <v>45999.0</v>
      </c>
    </row>
    <row r="4293" spans="1:9" ht="15" x14ac:dyDescent="0.25">
      <c r="A4293" s="53" t="inlineStr">
        <is>
          <t>LAB-004292</t>
        </is>
      </c>
      <c r="B4293" s="53" t="inlineStr">
        <is>
          <t>WP-01884</t>
        </is>
      </c>
      <c r="C4293" s="53" t="inlineStr">
        <is>
          <t>TECH-062</t>
        </is>
      </c>
      <c r="D4293" s="53" t="inlineStr">
        <is>
          <t>Avionics</t>
        </is>
      </c>
      <c r="E4293" s="53" t="inlineStr">
        <is>
          <t>2025-12-09</t>
        </is>
      </c>
      <c r="F4293" s="53">
        <v>3.1</v>
      </c>
      <c r="G4293" s="53">
        <v>0</v>
      </c>
      <c r="H4293" s="51" t="str">
        <f>TEXT(tblLaborEntries[[#This Row],[Work date serial]]-WEEKDAY(tblLaborEntries[[#This Row],[Work date serial]],3),"yyyy-mm-dd")</f>
        <v>2025-12-08</v>
      </c>
      <c r="I4293" s="64">
        <f>DATEVALUE(tblLaborEntries[[#This Row],[Work date]])</f>
        <v>46000.0</v>
      </c>
    </row>
    <row r="4294" spans="1:9" ht="15" x14ac:dyDescent="0.25">
      <c r="A4294" s="53" t="inlineStr">
        <is>
          <t>LAB-004293</t>
        </is>
      </c>
      <c r="B4294" s="53" t="inlineStr">
        <is>
          <t>WP-01885</t>
        </is>
      </c>
      <c r="C4294" s="53" t="inlineStr">
        <is>
          <t>TECH-054</t>
        </is>
      </c>
      <c r="D4294" s="53" t="inlineStr">
        <is>
          <t>Powerplant</t>
        </is>
      </c>
      <c r="E4294" s="53" t="inlineStr">
        <is>
          <t>2026-01-17</t>
        </is>
      </c>
      <c r="F4294" s="53">
        <v>8.1</v>
      </c>
      <c r="G4294" s="53">
        <v>0.1</v>
      </c>
      <c r="H4294" s="51" t="str">
        <f>TEXT(tblLaborEntries[[#This Row],[Work date serial]]-WEEKDAY(tblLaborEntries[[#This Row],[Work date serial]],3),"yyyy-mm-dd")</f>
        <v>2026-01-12</v>
      </c>
      <c r="I4294" s="64">
        <f>DATEVALUE(tblLaborEntries[[#This Row],[Work date]])</f>
        <v>46039.0</v>
      </c>
    </row>
    <row r="4295" spans="1:9" ht="15" x14ac:dyDescent="0.25">
      <c r="A4295" s="53" t="inlineStr">
        <is>
          <t>LAB-004294</t>
        </is>
      </c>
      <c r="B4295" s="53" t="inlineStr">
        <is>
          <t>WP-01885</t>
        </is>
      </c>
      <c r="C4295" s="53" t="inlineStr">
        <is>
          <t>TECH-030</t>
        </is>
      </c>
      <c r="D4295" s="53" t="inlineStr">
        <is>
          <t>Powerplant</t>
        </is>
      </c>
      <c r="E4295" s="53" t="inlineStr">
        <is>
          <t>2026-01-18</t>
        </is>
      </c>
      <c r="F4295" s="53">
        <v>9.7</v>
      </c>
      <c r="G4295" s="53">
        <v>1.7</v>
      </c>
      <c r="H4295" s="51" t="str">
        <f>TEXT(tblLaborEntries[[#This Row],[Work date serial]]-WEEKDAY(tblLaborEntries[[#This Row],[Work date serial]],3),"yyyy-mm-dd")</f>
        <v>2026-01-12</v>
      </c>
      <c r="I4295" s="64">
        <f>DATEVALUE(tblLaborEntries[[#This Row],[Work date]])</f>
        <v>46040.0</v>
      </c>
    </row>
    <row r="4296" spans="1:9" ht="15" x14ac:dyDescent="0.25">
      <c r="A4296" s="53" t="inlineStr">
        <is>
          <t>LAB-004295</t>
        </is>
      </c>
      <c r="B4296" s="53" t="inlineStr">
        <is>
          <t>WP-01885</t>
        </is>
      </c>
      <c r="C4296" s="53" t="inlineStr">
        <is>
          <t>TECH-042</t>
        </is>
      </c>
      <c r="D4296" s="53" t="inlineStr">
        <is>
          <t>Powerplant</t>
        </is>
      </c>
      <c r="E4296" s="53" t="inlineStr">
        <is>
          <t>2026-01-19</t>
        </is>
      </c>
      <c r="F4296" s="53">
        <v>7</v>
      </c>
      <c r="G4296" s="53">
        <v>0</v>
      </c>
      <c r="H4296" s="51" t="str">
        <f>TEXT(tblLaborEntries[[#This Row],[Work date serial]]-WEEKDAY(tblLaborEntries[[#This Row],[Work date serial]],3),"yyyy-mm-dd")</f>
        <v>2026-01-19</v>
      </c>
      <c r="I4296" s="64">
        <f>DATEVALUE(tblLaborEntries[[#This Row],[Work date]])</f>
        <v>46041.0</v>
      </c>
    </row>
    <row r="4297" spans="1:9" ht="15" x14ac:dyDescent="0.25">
      <c r="A4297" s="53" t="inlineStr">
        <is>
          <t>LAB-004296</t>
        </is>
      </c>
      <c r="B4297" s="53" t="inlineStr">
        <is>
          <t>WP-01886</t>
        </is>
      </c>
      <c r="C4297" s="53" t="inlineStr">
        <is>
          <t>TECH-002</t>
        </is>
      </c>
      <c r="D4297" s="53" t="inlineStr">
        <is>
          <t>Avionics</t>
        </is>
      </c>
      <c r="E4297" s="53" t="inlineStr">
        <is>
          <t>2024-10-05</t>
        </is>
      </c>
      <c r="F4297" s="53">
        <v>4.3</v>
      </c>
      <c r="G4297" s="53">
        <v>0</v>
      </c>
      <c r="H4297" s="51" t="str">
        <f>TEXT(tblLaborEntries[[#This Row],[Work date serial]]-WEEKDAY(tblLaborEntries[[#This Row],[Work date serial]],3),"yyyy-mm-dd")</f>
        <v>2024-09-30</v>
      </c>
      <c r="I4297" s="64">
        <f>DATEVALUE(tblLaborEntries[[#This Row],[Work date]])</f>
        <v>45570.0</v>
      </c>
    </row>
    <row r="4298" spans="1:9" ht="15" x14ac:dyDescent="0.25">
      <c r="A4298" s="53" t="inlineStr">
        <is>
          <t>LAB-004297</t>
        </is>
      </c>
      <c r="B4298" s="53" t="inlineStr">
        <is>
          <t>WP-01886</t>
        </is>
      </c>
      <c r="C4298" s="53" t="inlineStr">
        <is>
          <t>TECH-062</t>
        </is>
      </c>
      <c r="D4298" s="53" t="inlineStr">
        <is>
          <t>Avionics</t>
        </is>
      </c>
      <c r="E4298" s="53" t="inlineStr">
        <is>
          <t>2024-10-06</t>
        </is>
      </c>
      <c r="F4298" s="53">
        <v>5.2</v>
      </c>
      <c r="G4298" s="53">
        <v>0</v>
      </c>
      <c r="H4298" s="51" t="str">
        <f>TEXT(tblLaborEntries[[#This Row],[Work date serial]]-WEEKDAY(tblLaborEntries[[#This Row],[Work date serial]],3),"yyyy-mm-dd")</f>
        <v>2024-09-30</v>
      </c>
      <c r="I4298" s="64">
        <f>DATEVALUE(tblLaborEntries[[#This Row],[Work date]])</f>
        <v>45571.0</v>
      </c>
    </row>
    <row r="4299" spans="1:9" ht="15" x14ac:dyDescent="0.25">
      <c r="A4299" s="53" t="inlineStr">
        <is>
          <t>LAB-004298</t>
        </is>
      </c>
      <c r="B4299" s="53" t="inlineStr">
        <is>
          <t>WP-01886</t>
        </is>
      </c>
      <c r="C4299" s="53" t="inlineStr">
        <is>
          <t>TECH-032</t>
        </is>
      </c>
      <c r="D4299" s="53" t="inlineStr">
        <is>
          <t>Avionics</t>
        </is>
      </c>
      <c r="E4299" s="53" t="inlineStr">
        <is>
          <t>2024-10-07</t>
        </is>
      </c>
      <c r="F4299" s="53">
        <v>5.1</v>
      </c>
      <c r="G4299" s="53">
        <v>0</v>
      </c>
      <c r="H4299" s="51" t="str">
        <f>TEXT(tblLaborEntries[[#This Row],[Work date serial]]-WEEKDAY(tblLaborEntries[[#This Row],[Work date serial]],3),"yyyy-mm-dd")</f>
        <v>2024-10-07</v>
      </c>
      <c r="I4299" s="64">
        <f>DATEVALUE(tblLaborEntries[[#This Row],[Work date]])</f>
        <v>45572.0</v>
      </c>
    </row>
    <row r="4300" spans="1:9" ht="15" x14ac:dyDescent="0.25">
      <c r="A4300" s="53" t="inlineStr">
        <is>
          <t>LAB-004299</t>
        </is>
      </c>
      <c r="B4300" s="53" t="inlineStr">
        <is>
          <t>WP-01887</t>
        </is>
      </c>
      <c r="C4300" s="53" t="inlineStr">
        <is>
          <t>TECH-050</t>
        </is>
      </c>
      <c r="D4300" s="53" t="inlineStr">
        <is>
          <t>Avionics</t>
        </is>
      </c>
      <c r="E4300" s="53" t="inlineStr">
        <is>
          <t>2025-07-16</t>
        </is>
      </c>
      <c r="F4300" s="53">
        <v>5.7</v>
      </c>
      <c r="G4300" s="53">
        <v>0</v>
      </c>
      <c r="H4300" s="51" t="str">
        <f>TEXT(tblLaborEntries[[#This Row],[Work date serial]]-WEEKDAY(tblLaborEntries[[#This Row],[Work date serial]],3),"yyyy-mm-dd")</f>
        <v>2025-07-14</v>
      </c>
      <c r="I4300" s="64">
        <f>DATEVALUE(tblLaborEntries[[#This Row],[Work date]])</f>
        <v>45854.0</v>
      </c>
    </row>
    <row r="4301" spans="1:9" ht="15" x14ac:dyDescent="0.25">
      <c r="A4301" s="53" t="inlineStr">
        <is>
          <t>LAB-004300</t>
        </is>
      </c>
      <c r="B4301" s="53" t="inlineStr">
        <is>
          <t>WP-01887</t>
        </is>
      </c>
      <c r="C4301" s="53" t="inlineStr">
        <is>
          <t>TECH-014</t>
        </is>
      </c>
      <c r="D4301" s="53" t="inlineStr">
        <is>
          <t>Avionics</t>
        </is>
      </c>
      <c r="E4301" s="53" t="inlineStr">
        <is>
          <t>2025-07-17</t>
        </is>
      </c>
      <c r="F4301" s="53">
        <v>4.1</v>
      </c>
      <c r="G4301" s="53">
        <v>4</v>
      </c>
      <c r="H4301" s="51" t="str">
        <f>TEXT(tblLaborEntries[[#This Row],[Work date serial]]-WEEKDAY(tblLaborEntries[[#This Row],[Work date serial]],3),"yyyy-mm-dd")</f>
        <v>2025-07-14</v>
      </c>
      <c r="I4301" s="64">
        <f>DATEVALUE(tblLaborEntries[[#This Row],[Work date]])</f>
        <v>45855.0</v>
      </c>
    </row>
    <row r="4302" spans="1:9" ht="15" x14ac:dyDescent="0.25">
      <c r="A4302" s="53" t="inlineStr">
        <is>
          <t>LAB-004301</t>
        </is>
      </c>
      <c r="B4302" s="53" t="inlineStr">
        <is>
          <t>WP-01888</t>
        </is>
      </c>
      <c r="C4302" s="53" t="inlineStr">
        <is>
          <t>TECH-008</t>
        </is>
      </c>
      <c r="D4302" s="53" t="inlineStr">
        <is>
          <t>Avionics</t>
        </is>
      </c>
      <c r="E4302" s="53" t="inlineStr">
        <is>
          <t>2024-03-26</t>
        </is>
      </c>
      <c r="F4302" s="53">
        <v>12</v>
      </c>
      <c r="G4302" s="53">
        <v>4</v>
      </c>
      <c r="H4302" s="51" t="str">
        <f>TEXT(tblLaborEntries[[#This Row],[Work date serial]]-WEEKDAY(tblLaborEntries[[#This Row],[Work date serial]],3),"yyyy-mm-dd")</f>
        <v>2024-03-25</v>
      </c>
      <c r="I4302" s="64">
        <f>DATEVALUE(tblLaborEntries[[#This Row],[Work date]])</f>
        <v>45377.0</v>
      </c>
    </row>
    <row r="4303" spans="1:9" ht="15" x14ac:dyDescent="0.25">
      <c r="A4303" s="53" t="inlineStr">
        <is>
          <t>LAB-004302</t>
        </is>
      </c>
      <c r="B4303" s="53" t="inlineStr">
        <is>
          <t>WP-01888</t>
        </is>
      </c>
      <c r="C4303" s="53" t="inlineStr">
        <is>
          <t>TECH-014</t>
        </is>
      </c>
      <c r="D4303" s="53" t="inlineStr">
        <is>
          <t>Avionics</t>
        </is>
      </c>
      <c r="E4303" s="53" t="inlineStr">
        <is>
          <t>2024-03-26</t>
        </is>
      </c>
      <c r="F4303" s="53">
        <v>9.6</v>
      </c>
      <c r="G4303" s="53">
        <v>1.6</v>
      </c>
      <c r="H4303" s="51" t="str">
        <f>TEXT(tblLaborEntries[[#This Row],[Work date serial]]-WEEKDAY(tblLaborEntries[[#This Row],[Work date serial]],3),"yyyy-mm-dd")</f>
        <v>2024-03-25</v>
      </c>
      <c r="I4303" s="64">
        <f>DATEVALUE(tblLaborEntries[[#This Row],[Work date]])</f>
        <v>45377.0</v>
      </c>
    </row>
    <row r="4304" spans="1:9" ht="15" x14ac:dyDescent="0.25">
      <c r="A4304" s="53" t="inlineStr">
        <is>
          <t>LAB-004303</t>
        </is>
      </c>
      <c r="B4304" s="53" t="inlineStr">
        <is>
          <t>WP-01888</t>
        </is>
      </c>
      <c r="C4304" s="53" t="inlineStr">
        <is>
          <t>TECH-020</t>
        </is>
      </c>
      <c r="D4304" s="53" t="inlineStr">
        <is>
          <t>Avionics</t>
        </is>
      </c>
      <c r="E4304" s="53" t="inlineStr">
        <is>
          <t>2024-03-26</t>
        </is>
      </c>
      <c r="F4304" s="53">
        <v>12</v>
      </c>
      <c r="G4304" s="53">
        <v>4</v>
      </c>
      <c r="H4304" s="51" t="str">
        <f>TEXT(tblLaborEntries[[#This Row],[Work date serial]]-WEEKDAY(tblLaborEntries[[#This Row],[Work date serial]],3),"yyyy-mm-dd")</f>
        <v>2024-03-25</v>
      </c>
      <c r="I4304" s="64">
        <f>DATEVALUE(tblLaborEntries[[#This Row],[Work date]])</f>
        <v>45377.0</v>
      </c>
    </row>
    <row r="4305" spans="1:9" ht="15" x14ac:dyDescent="0.25">
      <c r="A4305" s="53" t="inlineStr">
        <is>
          <t>LAB-004304</t>
        </is>
      </c>
      <c r="B4305" s="53" t="inlineStr">
        <is>
          <t>WP-01889</t>
        </is>
      </c>
      <c r="C4305" s="53" t="inlineStr">
        <is>
          <t>TECH-018</t>
        </is>
      </c>
      <c r="D4305" s="53" t="inlineStr">
        <is>
          <t>Powerplant</t>
        </is>
      </c>
      <c r="E4305" s="53" t="inlineStr">
        <is>
          <t>2025-03-09</t>
        </is>
      </c>
      <c r="F4305" s="53">
        <v>4.1</v>
      </c>
      <c r="G4305" s="53">
        <v>0</v>
      </c>
      <c r="H4305" s="51" t="str">
        <f>TEXT(tblLaborEntries[[#This Row],[Work date serial]]-WEEKDAY(tblLaborEntries[[#This Row],[Work date serial]],3),"yyyy-mm-dd")</f>
        <v>2025-03-03</v>
      </c>
      <c r="I4305" s="64">
        <f>DATEVALUE(tblLaborEntries[[#This Row],[Work date]])</f>
        <v>45725.0</v>
      </c>
    </row>
    <row r="4306" spans="1:9" ht="15" x14ac:dyDescent="0.25">
      <c r="A4306" s="53" t="inlineStr">
        <is>
          <t>LAB-004305</t>
        </is>
      </c>
      <c r="B4306" s="53" t="inlineStr">
        <is>
          <t>WP-01889</t>
        </is>
      </c>
      <c r="C4306" s="53" t="inlineStr">
        <is>
          <t>TECH-006</t>
        </is>
      </c>
      <c r="D4306" s="53" t="inlineStr">
        <is>
          <t>Powerplant</t>
        </is>
      </c>
      <c r="E4306" s="53" t="inlineStr">
        <is>
          <t>2025-03-10</t>
        </is>
      </c>
      <c r="F4306" s="53">
        <v>3.3</v>
      </c>
      <c r="G4306" s="53">
        <v>0</v>
      </c>
      <c r="H4306" s="51" t="str">
        <f>TEXT(tblLaborEntries[[#This Row],[Work date serial]]-WEEKDAY(tblLaborEntries[[#This Row],[Work date serial]],3),"yyyy-mm-dd")</f>
        <v>2025-03-10</v>
      </c>
      <c r="I4306" s="64">
        <f>DATEVALUE(tblLaborEntries[[#This Row],[Work date]])</f>
        <v>45726.0</v>
      </c>
    </row>
    <row r="4307" spans="1:9" ht="15" x14ac:dyDescent="0.25">
      <c r="A4307" s="53" t="inlineStr">
        <is>
          <t>LAB-004306</t>
        </is>
      </c>
      <c r="B4307" s="53" t="inlineStr">
        <is>
          <t>WP-01890</t>
        </is>
      </c>
      <c r="C4307" s="53" t="inlineStr">
        <is>
          <t>TECH-030</t>
        </is>
      </c>
      <c r="D4307" s="53" t="inlineStr">
        <is>
          <t>Powerplant</t>
        </is>
      </c>
      <c r="E4307" s="53" t="inlineStr">
        <is>
          <t>2024-05-13</t>
        </is>
      </c>
      <c r="F4307" s="53">
        <v>7.1</v>
      </c>
      <c r="G4307" s="53">
        <v>0</v>
      </c>
      <c r="H4307" s="51" t="str">
        <f>TEXT(tblLaborEntries[[#This Row],[Work date serial]]-WEEKDAY(tblLaborEntries[[#This Row],[Work date serial]],3),"yyyy-mm-dd")</f>
        <v>2024-05-13</v>
      </c>
      <c r="I4307" s="64">
        <f>DATEVALUE(tblLaborEntries[[#This Row],[Work date]])</f>
        <v>45425.0</v>
      </c>
    </row>
    <row r="4308" spans="1:9" ht="15" x14ac:dyDescent="0.25">
      <c r="A4308" s="53" t="inlineStr">
        <is>
          <t>LAB-004307</t>
        </is>
      </c>
      <c r="B4308" s="53" t="inlineStr">
        <is>
          <t>WP-01890</t>
        </is>
      </c>
      <c r="C4308" s="53" t="inlineStr">
        <is>
          <t>TECH-072</t>
        </is>
      </c>
      <c r="D4308" s="53" t="inlineStr">
        <is>
          <t>Powerplant</t>
        </is>
      </c>
      <c r="E4308" s="53" t="inlineStr">
        <is>
          <t>2024-05-14</t>
        </is>
      </c>
      <c r="F4308" s="53">
        <v>10.2</v>
      </c>
      <c r="G4308" s="53">
        <v>2.2</v>
      </c>
      <c r="H4308" s="51" t="str">
        <f>TEXT(tblLaborEntries[[#This Row],[Work date serial]]-WEEKDAY(tblLaborEntries[[#This Row],[Work date serial]],3),"yyyy-mm-dd")</f>
        <v>2024-05-13</v>
      </c>
      <c r="I4308" s="64">
        <f>DATEVALUE(tblLaborEntries[[#This Row],[Work date]])</f>
        <v>45426.0</v>
      </c>
    </row>
    <row r="4309" spans="1:9" ht="15" x14ac:dyDescent="0.25">
      <c r="A4309" s="53" t="inlineStr">
        <is>
          <t>LAB-004308</t>
        </is>
      </c>
      <c r="B4309" s="53" t="inlineStr">
        <is>
          <t>WP-01891</t>
        </is>
      </c>
      <c r="C4309" s="53" t="inlineStr">
        <is>
          <t>TECH-026</t>
        </is>
      </c>
      <c r="D4309" s="53" t="inlineStr">
        <is>
          <t>Avionics</t>
        </is>
      </c>
      <c r="E4309" s="53" t="inlineStr">
        <is>
          <t>2025-04-21</t>
        </is>
      </c>
      <c r="F4309" s="53">
        <v>7.1</v>
      </c>
      <c r="G4309" s="53">
        <v>0</v>
      </c>
      <c r="H4309" s="51" t="str">
        <f>TEXT(tblLaborEntries[[#This Row],[Work date serial]]-WEEKDAY(tblLaborEntries[[#This Row],[Work date serial]],3),"yyyy-mm-dd")</f>
        <v>2025-04-21</v>
      </c>
      <c r="I4309" s="64">
        <f>DATEVALUE(tblLaborEntries[[#This Row],[Work date]])</f>
        <v>45768.0</v>
      </c>
    </row>
    <row r="4310" spans="1:9" ht="15" x14ac:dyDescent="0.25">
      <c r="A4310" s="53" t="inlineStr">
        <is>
          <t>LAB-004309</t>
        </is>
      </c>
      <c r="B4310" s="53" t="inlineStr">
        <is>
          <t>WP-01891</t>
        </is>
      </c>
      <c r="C4310" s="53" t="inlineStr">
        <is>
          <t>TECH-002</t>
        </is>
      </c>
      <c r="D4310" s="53" t="inlineStr">
        <is>
          <t>Avionics</t>
        </is>
      </c>
      <c r="E4310" s="53" t="inlineStr">
        <is>
          <t>2025-04-22</t>
        </is>
      </c>
      <c r="F4310" s="53">
        <v>10.4</v>
      </c>
      <c r="G4310" s="53">
        <v>2.4</v>
      </c>
      <c r="H4310" s="51" t="str">
        <f>TEXT(tblLaborEntries[[#This Row],[Work date serial]]-WEEKDAY(tblLaborEntries[[#This Row],[Work date serial]],3),"yyyy-mm-dd")</f>
        <v>2025-04-21</v>
      </c>
      <c r="I4310" s="64">
        <f>DATEVALUE(tblLaborEntries[[#This Row],[Work date]])</f>
        <v>45769.0</v>
      </c>
    </row>
    <row r="4311" spans="1:9" ht="15" x14ac:dyDescent="0.25">
      <c r="A4311" s="53" t="inlineStr">
        <is>
          <t>LAB-004310</t>
        </is>
      </c>
      <c r="B4311" s="53" t="inlineStr">
        <is>
          <t>WP-01892</t>
        </is>
      </c>
      <c r="C4311" s="53" t="inlineStr">
        <is>
          <t>TECH-039</t>
        </is>
      </c>
      <c r="D4311" s="53" t="inlineStr">
        <is>
          <t>Hydraulics</t>
        </is>
      </c>
      <c r="E4311" s="53" t="inlineStr">
        <is>
          <t>2024-04-08</t>
        </is>
      </c>
      <c r="F4311" s="53">
        <v>7.4</v>
      </c>
      <c r="G4311" s="53">
        <v>0</v>
      </c>
      <c r="H4311" s="51" t="str">
        <f>TEXT(tblLaborEntries[[#This Row],[Work date serial]]-WEEKDAY(tblLaborEntries[[#This Row],[Work date serial]],3),"yyyy-mm-dd")</f>
        <v>2024-04-08</v>
      </c>
      <c r="I4311" s="64">
        <f>DATEVALUE(tblLaborEntries[[#This Row],[Work date]])</f>
        <v>45390.0</v>
      </c>
    </row>
    <row r="4312" spans="1:9" ht="15" x14ac:dyDescent="0.25">
      <c r="A4312" s="53" t="inlineStr">
        <is>
          <t>LAB-004311</t>
        </is>
      </c>
      <c r="B4312" s="53" t="inlineStr">
        <is>
          <t>WP-01892</t>
        </is>
      </c>
      <c r="C4312" s="53" t="inlineStr">
        <is>
          <t>TECH-039</t>
        </is>
      </c>
      <c r="D4312" s="53" t="inlineStr">
        <is>
          <t>Hydraulics</t>
        </is>
      </c>
      <c r="E4312" s="53" t="inlineStr">
        <is>
          <t>2024-04-09</t>
        </is>
      </c>
      <c r="F4312" s="53">
        <v>6.5</v>
      </c>
      <c r="G4312" s="53">
        <v>0</v>
      </c>
      <c r="H4312" s="51" t="str">
        <f>TEXT(tblLaborEntries[[#This Row],[Work date serial]]-WEEKDAY(tblLaborEntries[[#This Row],[Work date serial]],3),"yyyy-mm-dd")</f>
        <v>2024-04-08</v>
      </c>
      <c r="I4312" s="64">
        <f>DATEVALUE(tblLaborEntries[[#This Row],[Work date]])</f>
        <v>45391.0</v>
      </c>
    </row>
    <row r="4313" spans="1:9" ht="15" x14ac:dyDescent="0.25">
      <c r="A4313" s="53" t="inlineStr">
        <is>
          <t>LAB-004312</t>
        </is>
      </c>
      <c r="B4313" s="53" t="inlineStr">
        <is>
          <t>WP-01892</t>
        </is>
      </c>
      <c r="C4313" s="53" t="inlineStr">
        <is>
          <t>TECH-063</t>
        </is>
      </c>
      <c r="D4313" s="53" t="inlineStr">
        <is>
          <t>Hydraulics</t>
        </is>
      </c>
      <c r="E4313" s="53" t="inlineStr">
        <is>
          <t>2024-04-10</t>
        </is>
      </c>
      <c r="F4313" s="53">
        <v>7.2</v>
      </c>
      <c r="G4313" s="53">
        <v>0</v>
      </c>
      <c r="H4313" s="51" t="str">
        <f>TEXT(tblLaborEntries[[#This Row],[Work date serial]]-WEEKDAY(tblLaborEntries[[#This Row],[Work date serial]],3),"yyyy-mm-dd")</f>
        <v>2024-04-08</v>
      </c>
      <c r="I4313" s="64">
        <f>DATEVALUE(tblLaborEntries[[#This Row],[Work date]])</f>
        <v>45392.0</v>
      </c>
    </row>
    <row r="4314" spans="1:9" ht="15" x14ac:dyDescent="0.25">
      <c r="A4314" s="53" t="inlineStr">
        <is>
          <t>LAB-004313</t>
        </is>
      </c>
      <c r="B4314" s="53" t="inlineStr">
        <is>
          <t>WP-01893</t>
        </is>
      </c>
      <c r="C4314" s="53" t="inlineStr">
        <is>
          <t>TECH-031</t>
        </is>
      </c>
      <c r="D4314" s="53" t="inlineStr">
        <is>
          <t>Airframe</t>
        </is>
      </c>
      <c r="E4314" s="53" t="inlineStr">
        <is>
          <t>2024-05-26</t>
        </is>
      </c>
      <c r="F4314" s="53">
        <v>1.6</v>
      </c>
      <c r="G4314" s="53">
        <v>0</v>
      </c>
      <c r="H4314" s="51" t="str">
        <f>TEXT(tblLaborEntries[[#This Row],[Work date serial]]-WEEKDAY(tblLaborEntries[[#This Row],[Work date serial]],3),"yyyy-mm-dd")</f>
        <v>2024-05-20</v>
      </c>
      <c r="I4314" s="64">
        <f>DATEVALUE(tblLaborEntries[[#This Row],[Work date]])</f>
        <v>45438.0</v>
      </c>
    </row>
    <row r="4315" spans="1:9" ht="15" x14ac:dyDescent="0.25">
      <c r="A4315" s="53" t="inlineStr">
        <is>
          <t>LAB-004314</t>
        </is>
      </c>
      <c r="B4315" s="53" t="inlineStr">
        <is>
          <t>WP-01893</t>
        </is>
      </c>
      <c r="C4315" s="53" t="inlineStr">
        <is>
          <t>TECH-031</t>
        </is>
      </c>
      <c r="D4315" s="53" t="inlineStr">
        <is>
          <t>Airframe</t>
        </is>
      </c>
      <c r="E4315" s="53" t="inlineStr">
        <is>
          <t>2024-05-27</t>
        </is>
      </c>
      <c r="F4315" s="53">
        <v>1.6</v>
      </c>
      <c r="G4315" s="53">
        <v>0</v>
      </c>
      <c r="H4315" s="51" t="str">
        <f>TEXT(tblLaborEntries[[#This Row],[Work date serial]]-WEEKDAY(tblLaborEntries[[#This Row],[Work date serial]],3),"yyyy-mm-dd")</f>
        <v>2024-05-27</v>
      </c>
      <c r="I4315" s="64">
        <f>DATEVALUE(tblLaborEntries[[#This Row],[Work date]])</f>
        <v>45439.0</v>
      </c>
    </row>
    <row r="4316" spans="1:9" ht="15" x14ac:dyDescent="0.25">
      <c r="A4316" s="53" t="inlineStr">
        <is>
          <t>LAB-004315</t>
        </is>
      </c>
      <c r="B4316" s="53" t="inlineStr">
        <is>
          <t>WP-01893</t>
        </is>
      </c>
      <c r="C4316" s="53" t="inlineStr">
        <is>
          <t>TECH-061</t>
        </is>
      </c>
      <c r="D4316" s="53" t="inlineStr">
        <is>
          <t>Airframe</t>
        </is>
      </c>
      <c r="E4316" s="53" t="inlineStr">
        <is>
          <t>2024-05-28</t>
        </is>
      </c>
      <c r="F4316" s="53">
        <v>2.2</v>
      </c>
      <c r="G4316" s="53">
        <v>0</v>
      </c>
      <c r="H4316" s="51" t="str">
        <f>TEXT(tblLaborEntries[[#This Row],[Work date serial]]-WEEKDAY(tblLaborEntries[[#This Row],[Work date serial]],3),"yyyy-mm-dd")</f>
        <v>2024-05-27</v>
      </c>
      <c r="I4316" s="64">
        <f>DATEVALUE(tblLaborEntries[[#This Row],[Work date]])</f>
        <v>45440.0</v>
      </c>
    </row>
    <row r="4317" spans="1:9" ht="15" x14ac:dyDescent="0.25">
      <c r="A4317" s="53" t="inlineStr">
        <is>
          <t>LAB-004316</t>
        </is>
      </c>
      <c r="B4317" s="53" t="inlineStr">
        <is>
          <t>WP-01894</t>
        </is>
      </c>
      <c r="C4317" s="53" t="inlineStr">
        <is>
          <t>TECH-008</t>
        </is>
      </c>
      <c r="D4317" s="53" t="inlineStr">
        <is>
          <t>Avionics</t>
        </is>
      </c>
      <c r="E4317" s="53" t="inlineStr">
        <is>
          <t>2024-10-20</t>
        </is>
      </c>
      <c r="F4317" s="53">
        <v>9.2</v>
      </c>
      <c r="G4317" s="53">
        <v>1.2</v>
      </c>
      <c r="H4317" s="51" t="str">
        <f>TEXT(tblLaborEntries[[#This Row],[Work date serial]]-WEEKDAY(tblLaborEntries[[#This Row],[Work date serial]],3),"yyyy-mm-dd")</f>
        <v>2024-10-14</v>
      </c>
      <c r="I4317" s="64">
        <f>DATEVALUE(tblLaborEntries[[#This Row],[Work date]])</f>
        <v>45585.0</v>
      </c>
    </row>
    <row r="4318" spans="1:9" ht="15" x14ac:dyDescent="0.25">
      <c r="A4318" s="53" t="inlineStr">
        <is>
          <t>LAB-004317</t>
        </is>
      </c>
      <c r="B4318" s="53" t="inlineStr">
        <is>
          <t>WP-01895</t>
        </is>
      </c>
      <c r="C4318" s="53" t="inlineStr">
        <is>
          <t>TECH-024</t>
        </is>
      </c>
      <c r="D4318" s="53" t="inlineStr">
        <is>
          <t>Powerplant</t>
        </is>
      </c>
      <c r="E4318" s="53" t="inlineStr">
        <is>
          <t>2025-10-12</t>
        </is>
      </c>
      <c r="F4318" s="53">
        <v>8.7</v>
      </c>
      <c r="G4318" s="53">
        <v>0.7</v>
      </c>
      <c r="H4318" s="51" t="str">
        <f>TEXT(tblLaborEntries[[#This Row],[Work date serial]]-WEEKDAY(tblLaborEntries[[#This Row],[Work date serial]],3),"yyyy-mm-dd")</f>
        <v>2025-10-06</v>
      </c>
      <c r="I4318" s="64">
        <f>DATEVALUE(tblLaborEntries[[#This Row],[Work date]])</f>
        <v>45942.0</v>
      </c>
    </row>
    <row r="4319" spans="1:9" ht="15" x14ac:dyDescent="0.25">
      <c r="A4319" s="53" t="inlineStr">
        <is>
          <t>LAB-004318</t>
        </is>
      </c>
      <c r="B4319" s="53" t="inlineStr">
        <is>
          <t>WP-01896</t>
        </is>
      </c>
      <c r="C4319" s="53" t="inlineStr">
        <is>
          <t>TECH-073</t>
        </is>
      </c>
      <c r="D4319" s="53" t="inlineStr">
        <is>
          <t>Airframe</t>
        </is>
      </c>
      <c r="E4319" s="53" t="inlineStr">
        <is>
          <t>2025-12-26</t>
        </is>
      </c>
      <c r="F4319" s="53">
        <v>3.2</v>
      </c>
      <c r="G4319" s="53">
        <v>0</v>
      </c>
      <c r="H4319" s="51" t="str">
        <f>TEXT(tblLaborEntries[[#This Row],[Work date serial]]-WEEKDAY(tblLaborEntries[[#This Row],[Work date serial]],3),"yyyy-mm-dd")</f>
        <v>2025-12-22</v>
      </c>
      <c r="I4319" s="64">
        <f>DATEVALUE(tblLaborEntries[[#This Row],[Work date]])</f>
        <v>46017.0</v>
      </c>
    </row>
    <row r="4320" spans="1:9" ht="15" x14ac:dyDescent="0.25">
      <c r="A4320" s="53" t="inlineStr">
        <is>
          <t>LAB-004319</t>
        </is>
      </c>
      <c r="B4320" s="53" t="inlineStr">
        <is>
          <t>WP-01896</t>
        </is>
      </c>
      <c r="C4320" s="53" t="inlineStr">
        <is>
          <t>TECH-025</t>
        </is>
      </c>
      <c r="D4320" s="53" t="inlineStr">
        <is>
          <t>Airframe</t>
        </is>
      </c>
      <c r="E4320" s="53" t="inlineStr">
        <is>
          <t>2025-12-27</t>
        </is>
      </c>
      <c r="F4320" s="53">
        <v>3.5</v>
      </c>
      <c r="G4320" s="53">
        <v>0</v>
      </c>
      <c r="H4320" s="51" t="str">
        <f>TEXT(tblLaborEntries[[#This Row],[Work date serial]]-WEEKDAY(tblLaborEntries[[#This Row],[Work date serial]],3),"yyyy-mm-dd")</f>
        <v>2025-12-22</v>
      </c>
      <c r="I4320" s="64">
        <f>DATEVALUE(tblLaborEntries[[#This Row],[Work date]])</f>
        <v>46018.0</v>
      </c>
    </row>
    <row r="4321" spans="1:9" ht="15" x14ac:dyDescent="0.25">
      <c r="A4321" s="53" t="inlineStr">
        <is>
          <t>LAB-004320</t>
        </is>
      </c>
      <c r="B4321" s="53" t="inlineStr">
        <is>
          <t>WP-01896</t>
        </is>
      </c>
      <c r="C4321" s="53" t="inlineStr">
        <is>
          <t>TECH-031</t>
        </is>
      </c>
      <c r="D4321" s="53" t="inlineStr">
        <is>
          <t>Airframe</t>
        </is>
      </c>
      <c r="E4321" s="53" t="inlineStr">
        <is>
          <t>2025-12-28</t>
        </is>
      </c>
      <c r="F4321" s="53">
        <v>3.2</v>
      </c>
      <c r="G4321" s="53">
        <v>0</v>
      </c>
      <c r="H4321" s="51" t="str">
        <f>TEXT(tblLaborEntries[[#This Row],[Work date serial]]-WEEKDAY(tblLaborEntries[[#This Row],[Work date serial]],3),"yyyy-mm-dd")</f>
        <v>2025-12-22</v>
      </c>
      <c r="I4321" s="64">
        <f>DATEVALUE(tblLaborEntries[[#This Row],[Work date]])</f>
        <v>46019.0</v>
      </c>
    </row>
    <row r="4322" spans="1:9" ht="15" x14ac:dyDescent="0.25">
      <c r="A4322" s="53" t="inlineStr">
        <is>
          <t>LAB-004321</t>
        </is>
      </c>
      <c r="B4322" s="53" t="inlineStr">
        <is>
          <t>WP-01897</t>
        </is>
      </c>
      <c r="C4322" s="53" t="inlineStr">
        <is>
          <t>TECH-006</t>
        </is>
      </c>
      <c r="D4322" s="53" t="inlineStr">
        <is>
          <t>Powerplant</t>
        </is>
      </c>
      <c r="E4322" s="53" t="inlineStr">
        <is>
          <t>2025-12-17</t>
        </is>
      </c>
      <c r="F4322" s="53">
        <v>3.4</v>
      </c>
      <c r="G4322" s="53">
        <v>0</v>
      </c>
      <c r="H4322" s="51" t="str">
        <f>TEXT(tblLaborEntries[[#This Row],[Work date serial]]-WEEKDAY(tblLaborEntries[[#This Row],[Work date serial]],3),"yyyy-mm-dd")</f>
        <v>2025-12-15</v>
      </c>
      <c r="I4322" s="64">
        <f>DATEVALUE(tblLaborEntries[[#This Row],[Work date]])</f>
        <v>46008.0</v>
      </c>
    </row>
    <row r="4323" spans="1:9" ht="15" x14ac:dyDescent="0.25">
      <c r="A4323" s="53" t="inlineStr">
        <is>
          <t>LAB-004322</t>
        </is>
      </c>
      <c r="B4323" s="53" t="inlineStr">
        <is>
          <t>WP-01897</t>
        </is>
      </c>
      <c r="C4323" s="53" t="inlineStr">
        <is>
          <t>TECH-018</t>
        </is>
      </c>
      <c r="D4323" s="53" t="inlineStr">
        <is>
          <t>Powerplant</t>
        </is>
      </c>
      <c r="E4323" s="53" t="inlineStr">
        <is>
          <t>2025-12-18</t>
        </is>
      </c>
      <c r="F4323" s="53">
        <v>3.5</v>
      </c>
      <c r="G4323" s="53">
        <v>0</v>
      </c>
      <c r="H4323" s="51" t="str">
        <f>TEXT(tblLaborEntries[[#This Row],[Work date serial]]-WEEKDAY(tblLaborEntries[[#This Row],[Work date serial]],3),"yyyy-mm-dd")</f>
        <v>2025-12-15</v>
      </c>
      <c r="I4323" s="64">
        <f>DATEVALUE(tblLaborEntries[[#This Row],[Work date]])</f>
        <v>46009.0</v>
      </c>
    </row>
    <row r="4324" spans="1:9" ht="15" x14ac:dyDescent="0.25">
      <c r="A4324" s="53" t="inlineStr">
        <is>
          <t>LAB-004323</t>
        </is>
      </c>
      <c r="B4324" s="53" t="inlineStr">
        <is>
          <t>WP-01898</t>
        </is>
      </c>
      <c r="C4324" s="53" t="inlineStr">
        <is>
          <t>TECH-002</t>
        </is>
      </c>
      <c r="D4324" s="53" t="inlineStr">
        <is>
          <t>Avionics</t>
        </is>
      </c>
      <c r="E4324" s="53" t="inlineStr">
        <is>
          <t>2024-05-12</t>
        </is>
      </c>
      <c r="F4324" s="53">
        <v>0.2</v>
      </c>
      <c r="G4324" s="53">
        <v>0</v>
      </c>
      <c r="H4324" s="51" t="str">
        <f>TEXT(tblLaborEntries[[#This Row],[Work date serial]]-WEEKDAY(tblLaborEntries[[#This Row],[Work date serial]],3),"yyyy-mm-dd")</f>
        <v>2024-05-06</v>
      </c>
      <c r="I4324" s="64">
        <f>DATEVALUE(tblLaborEntries[[#This Row],[Work date]])</f>
        <v>45424.0</v>
      </c>
    </row>
    <row r="4325" spans="1:9" ht="15" x14ac:dyDescent="0.25">
      <c r="A4325" s="53" t="inlineStr">
        <is>
          <t>LAB-004324</t>
        </is>
      </c>
      <c r="B4325" s="53" t="inlineStr">
        <is>
          <t>WP-01898</t>
        </is>
      </c>
      <c r="C4325" s="53" t="inlineStr">
        <is>
          <t>TECH-062</t>
        </is>
      </c>
      <c r="D4325" s="53" t="inlineStr">
        <is>
          <t>Avionics</t>
        </is>
      </c>
      <c r="E4325" s="53" t="inlineStr">
        <is>
          <t>2024-05-12</t>
        </is>
      </c>
      <c r="F4325" s="53">
        <v>12</v>
      </c>
      <c r="G4325" s="53">
        <v>4</v>
      </c>
      <c r="H4325" s="51" t="str">
        <f>TEXT(tblLaborEntries[[#This Row],[Work date serial]]-WEEKDAY(tblLaborEntries[[#This Row],[Work date serial]],3),"yyyy-mm-dd")</f>
        <v>2024-05-06</v>
      </c>
      <c r="I4325" s="64">
        <f>DATEVALUE(tblLaborEntries[[#This Row],[Work date]])</f>
        <v>45424.0</v>
      </c>
    </row>
    <row r="4326" spans="1:9" ht="15" x14ac:dyDescent="0.25">
      <c r="A4326" s="53" t="inlineStr">
        <is>
          <t>LAB-004325</t>
        </is>
      </c>
      <c r="B4326" s="53" t="inlineStr">
        <is>
          <t>WP-01899</t>
        </is>
      </c>
      <c r="C4326" s="53" t="inlineStr">
        <is>
          <t>TECH-067</t>
        </is>
      </c>
      <c r="D4326" s="53" t="inlineStr">
        <is>
          <t>Airframe</t>
        </is>
      </c>
      <c r="E4326" s="53" t="inlineStr">
        <is>
          <t>2024-11-29</t>
        </is>
      </c>
      <c r="F4326" s="53">
        <v>1.2</v>
      </c>
      <c r="G4326" s="53">
        <v>0</v>
      </c>
      <c r="H4326" s="51" t="str">
        <f>TEXT(tblLaborEntries[[#This Row],[Work date serial]]-WEEKDAY(tblLaborEntries[[#This Row],[Work date serial]],3),"yyyy-mm-dd")</f>
        <v>2024-11-25</v>
      </c>
      <c r="I4326" s="64">
        <f>DATEVALUE(tblLaborEntries[[#This Row],[Work date]])</f>
        <v>45625.0</v>
      </c>
    </row>
    <row r="4327" spans="1:9" ht="15" x14ac:dyDescent="0.25">
      <c r="A4327" s="53" t="inlineStr">
        <is>
          <t>LAB-004326</t>
        </is>
      </c>
      <c r="B4327" s="53" t="inlineStr">
        <is>
          <t>WP-01899</t>
        </is>
      </c>
      <c r="C4327" s="53" t="inlineStr">
        <is>
          <t>TECH-073</t>
        </is>
      </c>
      <c r="D4327" s="53" t="inlineStr">
        <is>
          <t>Airframe</t>
        </is>
      </c>
      <c r="E4327" s="53" t="inlineStr">
        <is>
          <t>2024-11-30</t>
        </is>
      </c>
      <c r="F4327" s="53">
        <v>0.8</v>
      </c>
      <c r="G4327" s="53">
        <v>0</v>
      </c>
      <c r="H4327" s="51" t="str">
        <f>TEXT(tblLaborEntries[[#This Row],[Work date serial]]-WEEKDAY(tblLaborEntries[[#This Row],[Work date serial]],3),"yyyy-mm-dd")</f>
        <v>2024-11-25</v>
      </c>
      <c r="I4327" s="64">
        <f>DATEVALUE(tblLaborEntries[[#This Row],[Work date]])</f>
        <v>45626.0</v>
      </c>
    </row>
    <row r="4328" spans="1:9" ht="15" x14ac:dyDescent="0.25">
      <c r="A4328" s="53" t="inlineStr">
        <is>
          <t>LAB-004327</t>
        </is>
      </c>
      <c r="B4328" s="53" t="inlineStr">
        <is>
          <t>WP-01899</t>
        </is>
      </c>
      <c r="C4328" s="53" t="inlineStr">
        <is>
          <t>TECH-025</t>
        </is>
      </c>
      <c r="D4328" s="53" t="inlineStr">
        <is>
          <t>Airframe</t>
        </is>
      </c>
      <c r="E4328" s="53" t="inlineStr">
        <is>
          <t>2024-12-01</t>
        </is>
      </c>
      <c r="F4328" s="53">
        <v>1.2</v>
      </c>
      <c r="G4328" s="53">
        <v>0</v>
      </c>
      <c r="H4328" s="51" t="str">
        <f>TEXT(tblLaborEntries[[#This Row],[Work date serial]]-WEEKDAY(tblLaborEntries[[#This Row],[Work date serial]],3),"yyyy-mm-dd")</f>
        <v>2024-11-25</v>
      </c>
      <c r="I4328" s="64">
        <f>DATEVALUE(tblLaborEntries[[#This Row],[Work date]])</f>
        <v>45627.0</v>
      </c>
    </row>
    <row r="4329" spans="1:9" ht="15" x14ac:dyDescent="0.25">
      <c r="A4329" s="53" t="inlineStr">
        <is>
          <t>LAB-004328</t>
        </is>
      </c>
      <c r="B4329" s="53" t="inlineStr">
        <is>
          <t>WP-01900</t>
        </is>
      </c>
      <c r="C4329" s="53" t="inlineStr">
        <is>
          <t>TECH-005</t>
        </is>
      </c>
      <c r="D4329" s="53" t="inlineStr">
        <is>
          <t>Structures</t>
        </is>
      </c>
      <c r="E4329" s="53" t="inlineStr">
        <is>
          <t>2024-06-20</t>
        </is>
      </c>
      <c r="F4329" s="53">
        <v>8.5</v>
      </c>
      <c r="G4329" s="53">
        <v>0.5</v>
      </c>
      <c r="H4329" s="51" t="str">
        <f>TEXT(tblLaborEntries[[#This Row],[Work date serial]]-WEEKDAY(tblLaborEntries[[#This Row],[Work date serial]],3),"yyyy-mm-dd")</f>
        <v>2024-06-17</v>
      </c>
      <c r="I4329" s="64">
        <f>DATEVALUE(tblLaborEntries[[#This Row],[Work date]])</f>
        <v>45463.0</v>
      </c>
    </row>
    <row r="4330" spans="1:9" ht="15" x14ac:dyDescent="0.25">
      <c r="A4330" s="53" t="inlineStr">
        <is>
          <t>LAB-004329</t>
        </is>
      </c>
      <c r="B4330" s="53" t="inlineStr">
        <is>
          <t>WP-01900</t>
        </is>
      </c>
      <c r="C4330" s="53" t="inlineStr">
        <is>
          <t>TECH-023</t>
        </is>
      </c>
      <c r="D4330" s="53" t="inlineStr">
        <is>
          <t>Structures</t>
        </is>
      </c>
      <c r="E4330" s="53" t="inlineStr">
        <is>
          <t>2024-06-21</t>
        </is>
      </c>
      <c r="F4330" s="53">
        <v>9.1</v>
      </c>
      <c r="G4330" s="53">
        <v>1.1</v>
      </c>
      <c r="H4330" s="51" t="str">
        <f>TEXT(tblLaborEntries[[#This Row],[Work date serial]]-WEEKDAY(tblLaborEntries[[#This Row],[Work date serial]],3),"yyyy-mm-dd")</f>
        <v>2024-06-17</v>
      </c>
      <c r="I4330" s="64">
        <f>DATEVALUE(tblLaborEntries[[#This Row],[Work date]])</f>
        <v>45464.0</v>
      </c>
    </row>
    <row r="4331" spans="1:9" ht="15" x14ac:dyDescent="0.25">
      <c r="A4331" s="53" t="inlineStr">
        <is>
          <t>LAB-004330</t>
        </is>
      </c>
      <c r="B4331" s="53" t="inlineStr">
        <is>
          <t>WP-01900</t>
        </is>
      </c>
      <c r="C4331" s="53" t="inlineStr">
        <is>
          <t>TECH-005</t>
        </is>
      </c>
      <c r="D4331" s="53" t="inlineStr">
        <is>
          <t>Structures</t>
        </is>
      </c>
      <c r="E4331" s="53" t="inlineStr">
        <is>
          <t>2024-06-22</t>
        </is>
      </c>
      <c r="F4331" s="53">
        <v>1.9</v>
      </c>
      <c r="G4331" s="53">
        <v>0</v>
      </c>
      <c r="H4331" s="51" t="str">
        <f>TEXT(tblLaborEntries[[#This Row],[Work date serial]]-WEEKDAY(tblLaborEntries[[#This Row],[Work date serial]],3),"yyyy-mm-dd")</f>
        <v>2024-06-17</v>
      </c>
      <c r="I4331" s="64">
        <f>DATEVALUE(tblLaborEntries[[#This Row],[Work date]])</f>
        <v>45465.0</v>
      </c>
    </row>
    <row r="4332" spans="1:9" ht="15" x14ac:dyDescent="0.25">
      <c r="A4332" s="53" t="inlineStr">
        <is>
          <t>LAB-004331</t>
        </is>
      </c>
      <c r="B4332" s="53" t="inlineStr">
        <is>
          <t>WP-01900</t>
        </is>
      </c>
      <c r="C4332" s="53" t="inlineStr">
        <is>
          <t>TECH-047</t>
        </is>
      </c>
      <c r="D4332" s="53" t="inlineStr">
        <is>
          <t>Structures</t>
        </is>
      </c>
      <c r="E4332" s="53" t="inlineStr">
        <is>
          <t>2024-06-22</t>
        </is>
      </c>
      <c r="F4332" s="53">
        <v>12</v>
      </c>
      <c r="G4332" s="53">
        <v>4</v>
      </c>
      <c r="H4332" s="51" t="str">
        <f>TEXT(tblLaborEntries[[#This Row],[Work date serial]]-WEEKDAY(tblLaborEntries[[#This Row],[Work date serial]],3),"yyyy-mm-dd")</f>
        <v>2024-06-17</v>
      </c>
      <c r="I4332" s="64">
        <f>DATEVALUE(tblLaborEntries[[#This Row],[Work date]])</f>
        <v>45465.0</v>
      </c>
    </row>
    <row r="4333" spans="1:9" ht="15" x14ac:dyDescent="0.25">
      <c r="A4333" s="53" t="inlineStr">
        <is>
          <t>LAB-004332</t>
        </is>
      </c>
      <c r="B4333" s="53" t="inlineStr">
        <is>
          <t>WP-01901</t>
        </is>
      </c>
      <c r="C4333" s="53" t="inlineStr">
        <is>
          <t>TECH-031</t>
        </is>
      </c>
      <c r="D4333" s="53" t="inlineStr">
        <is>
          <t>Airframe</t>
        </is>
      </c>
      <c r="E4333" s="53" t="inlineStr">
        <is>
          <t>2025-03-28</t>
        </is>
      </c>
      <c r="F4333" s="53">
        <v>8.2</v>
      </c>
      <c r="G4333" s="53">
        <v>0.2</v>
      </c>
      <c r="H4333" s="51" t="str">
        <f>TEXT(tblLaborEntries[[#This Row],[Work date serial]]-WEEKDAY(tblLaborEntries[[#This Row],[Work date serial]],3),"yyyy-mm-dd")</f>
        <v>2025-03-24</v>
      </c>
      <c r="I4333" s="64">
        <f>DATEVALUE(tblLaborEntries[[#This Row],[Work date]])</f>
        <v>45744.0</v>
      </c>
    </row>
    <row r="4334" spans="1:9" ht="15" x14ac:dyDescent="0.25">
      <c r="A4334" s="53" t="inlineStr">
        <is>
          <t>LAB-004333</t>
        </is>
      </c>
      <c r="B4334" s="53" t="inlineStr">
        <is>
          <t>WP-01901</t>
        </is>
      </c>
      <c r="C4334" s="53" t="inlineStr">
        <is>
          <t>TECH-061</t>
        </is>
      </c>
      <c r="D4334" s="53" t="inlineStr">
        <is>
          <t>Airframe</t>
        </is>
      </c>
      <c r="E4334" s="53" t="inlineStr">
        <is>
          <t>2025-03-29</t>
        </is>
      </c>
      <c r="F4334" s="53">
        <v>8.8</v>
      </c>
      <c r="G4334" s="53">
        <v>0.8</v>
      </c>
      <c r="H4334" s="51" t="str">
        <f>TEXT(tblLaborEntries[[#This Row],[Work date serial]]-WEEKDAY(tblLaborEntries[[#This Row],[Work date serial]],3),"yyyy-mm-dd")</f>
        <v>2025-03-24</v>
      </c>
      <c r="I4334" s="64">
        <f>DATEVALUE(tblLaborEntries[[#This Row],[Work date]])</f>
        <v>45745.0</v>
      </c>
    </row>
    <row r="4335" spans="1:9" ht="15" x14ac:dyDescent="0.25">
      <c r="A4335" s="53" t="inlineStr">
        <is>
          <t>LAB-004334</t>
        </is>
      </c>
      <c r="B4335" s="53" t="inlineStr">
        <is>
          <t>WP-01902</t>
        </is>
      </c>
      <c r="C4335" s="53" t="inlineStr">
        <is>
          <t>TECH-001</t>
        </is>
      </c>
      <c r="D4335" s="53" t="inlineStr">
        <is>
          <t>Airframe</t>
        </is>
      </c>
      <c r="E4335" s="53" t="inlineStr">
        <is>
          <t>2024-10-04</t>
        </is>
      </c>
      <c r="F4335" s="53">
        <v>5.1</v>
      </c>
      <c r="G4335" s="53">
        <v>0</v>
      </c>
      <c r="H4335" s="51" t="str">
        <f>TEXT(tblLaborEntries[[#This Row],[Work date serial]]-WEEKDAY(tblLaborEntries[[#This Row],[Work date serial]],3),"yyyy-mm-dd")</f>
        <v>2024-09-30</v>
      </c>
      <c r="I4335" s="64">
        <f>DATEVALUE(tblLaborEntries[[#This Row],[Work date]])</f>
        <v>45569.0</v>
      </c>
    </row>
    <row r="4336" spans="1:9" ht="15" x14ac:dyDescent="0.25">
      <c r="A4336" s="53" t="inlineStr">
        <is>
          <t>LAB-004335</t>
        </is>
      </c>
      <c r="B4336" s="53" t="inlineStr">
        <is>
          <t>WP-01902</t>
        </is>
      </c>
      <c r="C4336" s="53" t="inlineStr">
        <is>
          <t>TECH-073</t>
        </is>
      </c>
      <c r="D4336" s="53" t="inlineStr">
        <is>
          <t>Airframe</t>
        </is>
      </c>
      <c r="E4336" s="53" t="inlineStr">
        <is>
          <t>2024-10-05</t>
        </is>
      </c>
      <c r="F4336" s="53">
        <v>5.8</v>
      </c>
      <c r="G4336" s="53">
        <v>0</v>
      </c>
      <c r="H4336" s="51" t="str">
        <f>TEXT(tblLaborEntries[[#This Row],[Work date serial]]-WEEKDAY(tblLaborEntries[[#This Row],[Work date serial]],3),"yyyy-mm-dd")</f>
        <v>2024-09-30</v>
      </c>
      <c r="I4336" s="64">
        <f>DATEVALUE(tblLaborEntries[[#This Row],[Work date]])</f>
        <v>45570.0</v>
      </c>
    </row>
    <row r="4337" spans="1:9" ht="15" x14ac:dyDescent="0.25">
      <c r="A4337" s="53" t="inlineStr">
        <is>
          <t>LAB-004336</t>
        </is>
      </c>
      <c r="B4337" s="53" t="inlineStr">
        <is>
          <t>WP-01903</t>
        </is>
      </c>
      <c r="C4337" s="53" t="inlineStr">
        <is>
          <t>TECH-007</t>
        </is>
      </c>
      <c r="D4337" s="53" t="inlineStr">
        <is>
          <t>Airframe</t>
        </is>
      </c>
      <c r="E4337" s="53" t="inlineStr">
        <is>
          <t>2025-01-27</t>
        </is>
      </c>
      <c r="F4337" s="53">
        <v>8.3</v>
      </c>
      <c r="G4337" s="53">
        <v>0.3</v>
      </c>
      <c r="H4337" s="51" t="str">
        <f>TEXT(tblLaborEntries[[#This Row],[Work date serial]]-WEEKDAY(tblLaborEntries[[#This Row],[Work date serial]],3),"yyyy-mm-dd")</f>
        <v>2025-01-27</v>
      </c>
      <c r="I4337" s="64">
        <f>DATEVALUE(tblLaborEntries[[#This Row],[Work date]])</f>
        <v>45684.0</v>
      </c>
    </row>
    <row r="4338" spans="1:9" ht="15" x14ac:dyDescent="0.25">
      <c r="A4338" s="53" t="inlineStr">
        <is>
          <t>LAB-004337</t>
        </is>
      </c>
      <c r="B4338" s="53" t="inlineStr">
        <is>
          <t>WP-01904</t>
        </is>
      </c>
      <c r="C4338" s="53" t="inlineStr">
        <is>
          <t>TECH-044</t>
        </is>
      </c>
      <c r="D4338" s="53" t="inlineStr">
        <is>
          <t>Avionics</t>
        </is>
      </c>
      <c r="E4338" s="53" t="inlineStr">
        <is>
          <t>2025-02-23</t>
        </is>
      </c>
      <c r="F4338" s="53">
        <v>6.2</v>
      </c>
      <c r="G4338" s="53">
        <v>0</v>
      </c>
      <c r="H4338" s="51" t="str">
        <f>TEXT(tblLaborEntries[[#This Row],[Work date serial]]-WEEKDAY(tblLaborEntries[[#This Row],[Work date serial]],3),"yyyy-mm-dd")</f>
        <v>2025-02-17</v>
      </c>
      <c r="I4338" s="64">
        <f>DATEVALUE(tblLaborEntries[[#This Row],[Work date]])</f>
        <v>45711.0</v>
      </c>
    </row>
    <row r="4339" spans="1:9" ht="15" x14ac:dyDescent="0.25">
      <c r="A4339" s="53" t="inlineStr">
        <is>
          <t>LAB-004338</t>
        </is>
      </c>
      <c r="B4339" s="53" t="inlineStr">
        <is>
          <t>WP-01904</t>
        </is>
      </c>
      <c r="C4339" s="53" t="inlineStr">
        <is>
          <t>TECH-002</t>
        </is>
      </c>
      <c r="D4339" s="53" t="inlineStr">
        <is>
          <t>Avionics</t>
        </is>
      </c>
      <c r="E4339" s="53" t="inlineStr">
        <is>
          <t>2025-02-24</t>
        </is>
      </c>
      <c r="F4339" s="53">
        <v>5.8</v>
      </c>
      <c r="G4339" s="53">
        <v>0</v>
      </c>
      <c r="H4339" s="51" t="str">
        <f>TEXT(tblLaborEntries[[#This Row],[Work date serial]]-WEEKDAY(tblLaborEntries[[#This Row],[Work date serial]],3),"yyyy-mm-dd")</f>
        <v>2025-02-24</v>
      </c>
      <c r="I4339" s="64">
        <f>DATEVALUE(tblLaborEntries[[#This Row],[Work date]])</f>
        <v>45712.0</v>
      </c>
    </row>
    <row r="4340" spans="1:9" ht="15" x14ac:dyDescent="0.25">
      <c r="A4340" s="53" t="inlineStr">
        <is>
          <t>LAB-004339</t>
        </is>
      </c>
      <c r="B4340" s="53" t="inlineStr">
        <is>
          <t>WP-01905</t>
        </is>
      </c>
      <c r="C4340" s="53" t="inlineStr">
        <is>
          <t>TECH-001</t>
        </is>
      </c>
      <c r="D4340" s="53" t="inlineStr">
        <is>
          <t>Airframe</t>
        </is>
      </c>
      <c r="E4340" s="53" t="inlineStr">
        <is>
          <t>2025-07-01</t>
        </is>
      </c>
      <c r="F4340" s="53">
        <v>3.3</v>
      </c>
      <c r="G4340" s="53">
        <v>0</v>
      </c>
      <c r="H4340" s="51" t="str">
        <f>TEXT(tblLaborEntries[[#This Row],[Work date serial]]-WEEKDAY(tblLaborEntries[[#This Row],[Work date serial]],3),"yyyy-mm-dd")</f>
        <v>2025-06-30</v>
      </c>
      <c r="I4340" s="64">
        <f>DATEVALUE(tblLaborEntries[[#This Row],[Work date]])</f>
        <v>45839.0</v>
      </c>
    </row>
    <row r="4341" spans="1:9" ht="15" x14ac:dyDescent="0.25">
      <c r="A4341" s="53" t="inlineStr">
        <is>
          <t>LAB-004340</t>
        </is>
      </c>
      <c r="B4341" s="53" t="inlineStr">
        <is>
          <t>WP-01905</t>
        </is>
      </c>
      <c r="C4341" s="53" t="inlineStr">
        <is>
          <t>TECH-031</t>
        </is>
      </c>
      <c r="D4341" s="53" t="inlineStr">
        <is>
          <t>Airframe</t>
        </is>
      </c>
      <c r="E4341" s="53" t="inlineStr">
        <is>
          <t>2025-07-01</t>
        </is>
      </c>
      <c r="F4341" s="53">
        <v>4.6</v>
      </c>
      <c r="G4341" s="53">
        <v>4</v>
      </c>
      <c r="H4341" s="51" t="str">
        <f>TEXT(tblLaborEntries[[#This Row],[Work date serial]]-WEEKDAY(tblLaborEntries[[#This Row],[Work date serial]],3),"yyyy-mm-dd")</f>
        <v>2025-06-30</v>
      </c>
      <c r="I4341" s="64">
        <f>DATEVALUE(tblLaborEntries[[#This Row],[Work date]])</f>
        <v>45839.0</v>
      </c>
    </row>
    <row r="4342" spans="1:9" ht="15" x14ac:dyDescent="0.25">
      <c r="A4342" s="53" t="inlineStr">
        <is>
          <t>LAB-004341</t>
        </is>
      </c>
      <c r="B4342" s="53" t="inlineStr">
        <is>
          <t>WP-01905</t>
        </is>
      </c>
      <c r="C4342" s="53" t="inlineStr">
        <is>
          <t>TECH-019</t>
        </is>
      </c>
      <c r="D4342" s="53" t="inlineStr">
        <is>
          <t>Airframe</t>
        </is>
      </c>
      <c r="E4342" s="53" t="inlineStr">
        <is>
          <t>2025-07-02</t>
        </is>
      </c>
      <c r="F4342" s="53">
        <v>5.6</v>
      </c>
      <c r="G4342" s="53">
        <v>0</v>
      </c>
      <c r="H4342" s="51" t="str">
        <f>TEXT(tblLaborEntries[[#This Row],[Work date serial]]-WEEKDAY(tblLaborEntries[[#This Row],[Work date serial]],3),"yyyy-mm-dd")</f>
        <v>2025-06-30</v>
      </c>
      <c r="I4342" s="64">
        <f>DATEVALUE(tblLaborEntries[[#This Row],[Work date]])</f>
        <v>45840.0</v>
      </c>
    </row>
    <row r="4343" spans="1:9" ht="15" x14ac:dyDescent="0.25">
      <c r="A4343" s="53" t="inlineStr">
        <is>
          <t>LAB-004342</t>
        </is>
      </c>
      <c r="B4343" s="53" t="inlineStr">
        <is>
          <t>WP-01906</t>
        </is>
      </c>
      <c r="C4343" s="53" t="inlineStr">
        <is>
          <t>TECH-013</t>
        </is>
      </c>
      <c r="D4343" s="53" t="inlineStr">
        <is>
          <t>Airframe</t>
        </is>
      </c>
      <c r="E4343" s="53" t="inlineStr">
        <is>
          <t>2025-06-04</t>
        </is>
      </c>
      <c r="F4343" s="53">
        <v>6.2</v>
      </c>
      <c r="G4343" s="53">
        <v>1.5</v>
      </c>
      <c r="H4343" s="51" t="str">
        <f>TEXT(tblLaborEntries[[#This Row],[Work date serial]]-WEEKDAY(tblLaborEntries[[#This Row],[Work date serial]],3),"yyyy-mm-dd")</f>
        <v>2025-06-02</v>
      </c>
      <c r="I4343" s="64">
        <f>DATEVALUE(tblLaborEntries[[#This Row],[Work date]])</f>
        <v>45812.0</v>
      </c>
    </row>
    <row r="4344" spans="1:9" ht="15" x14ac:dyDescent="0.25">
      <c r="A4344" s="53" t="inlineStr">
        <is>
          <t>LAB-004343</t>
        </is>
      </c>
      <c r="B4344" s="53" t="inlineStr">
        <is>
          <t>WP-01907</t>
        </is>
      </c>
      <c r="C4344" s="53" t="inlineStr">
        <is>
          <t>TECH-009</t>
        </is>
      </c>
      <c r="D4344" s="53" t="inlineStr">
        <is>
          <t>Hydraulics</t>
        </is>
      </c>
      <c r="E4344" s="53" t="inlineStr">
        <is>
          <t>2024-09-13</t>
        </is>
      </c>
      <c r="F4344" s="53">
        <v>8.4</v>
      </c>
      <c r="G4344" s="53">
        <v>0.4</v>
      </c>
      <c r="H4344" s="51" t="str">
        <f>TEXT(tblLaborEntries[[#This Row],[Work date serial]]-WEEKDAY(tblLaborEntries[[#This Row],[Work date serial]],3),"yyyy-mm-dd")</f>
        <v>2024-09-09</v>
      </c>
      <c r="I4344" s="64">
        <f>DATEVALUE(tblLaborEntries[[#This Row],[Work date]])</f>
        <v>45548.0</v>
      </c>
    </row>
    <row r="4345" spans="1:9" ht="15" x14ac:dyDescent="0.25">
      <c r="A4345" s="53" t="inlineStr">
        <is>
          <t>LAB-004344</t>
        </is>
      </c>
      <c r="B4345" s="53" t="inlineStr">
        <is>
          <t>WP-01907</t>
        </is>
      </c>
      <c r="C4345" s="53" t="inlineStr">
        <is>
          <t>TECH-003</t>
        </is>
      </c>
      <c r="D4345" s="53" t="inlineStr">
        <is>
          <t>Hydraulics</t>
        </is>
      </c>
      <c r="E4345" s="53" t="inlineStr">
        <is>
          <t>2024-09-14</t>
        </is>
      </c>
      <c r="F4345" s="53">
        <v>7.4</v>
      </c>
      <c r="G4345" s="53">
        <v>0</v>
      </c>
      <c r="H4345" s="51" t="str">
        <f>TEXT(tblLaborEntries[[#This Row],[Work date serial]]-WEEKDAY(tblLaborEntries[[#This Row],[Work date serial]],3),"yyyy-mm-dd")</f>
        <v>2024-09-09</v>
      </c>
      <c r="I4345" s="64">
        <f>DATEVALUE(tblLaborEntries[[#This Row],[Work date]])</f>
        <v>45549.0</v>
      </c>
    </row>
    <row r="4346" spans="1:9" ht="15" x14ac:dyDescent="0.25">
      <c r="A4346" s="53" t="inlineStr">
        <is>
          <t>LAB-004345</t>
        </is>
      </c>
      <c r="B4346" s="53" t="inlineStr">
        <is>
          <t>WP-01908</t>
        </is>
      </c>
      <c r="C4346" s="53" t="inlineStr">
        <is>
          <t>TECH-004</t>
        </is>
      </c>
      <c r="D4346" s="53" t="inlineStr">
        <is>
          <t>Electrical</t>
        </is>
      </c>
      <c r="E4346" s="53" t="inlineStr">
        <is>
          <t>2025-09-21</t>
        </is>
      </c>
      <c r="F4346" s="53">
        <v>0.9</v>
      </c>
      <c r="G4346" s="53">
        <v>0</v>
      </c>
      <c r="H4346" s="51" t="str">
        <f>TEXT(tblLaborEntries[[#This Row],[Work date serial]]-WEEKDAY(tblLaborEntries[[#This Row],[Work date serial]],3),"yyyy-mm-dd")</f>
        <v>2025-09-15</v>
      </c>
      <c r="I4346" s="64">
        <f>DATEVALUE(tblLaborEntries[[#This Row],[Work date]])</f>
        <v>45921.0</v>
      </c>
    </row>
    <row r="4347" spans="1:9" ht="15" x14ac:dyDescent="0.25">
      <c r="A4347" s="53" t="inlineStr">
        <is>
          <t>LAB-004346</t>
        </is>
      </c>
      <c r="B4347" s="53" t="inlineStr">
        <is>
          <t>WP-01908</t>
        </is>
      </c>
      <c r="C4347" s="53" t="inlineStr">
        <is>
          <t>TECH-022</t>
        </is>
      </c>
      <c r="D4347" s="53" t="inlineStr">
        <is>
          <t>Electrical</t>
        </is>
      </c>
      <c r="E4347" s="53" t="inlineStr">
        <is>
          <t>2025-09-21</t>
        </is>
      </c>
      <c r="F4347" s="53">
        <v>12</v>
      </c>
      <c r="G4347" s="53">
        <v>4</v>
      </c>
      <c r="H4347" s="51" t="str">
        <f>TEXT(tblLaborEntries[[#This Row],[Work date serial]]-WEEKDAY(tblLaborEntries[[#This Row],[Work date serial]],3),"yyyy-mm-dd")</f>
        <v>2025-09-15</v>
      </c>
      <c r="I4347" s="64">
        <f>DATEVALUE(tblLaborEntries[[#This Row],[Work date]])</f>
        <v>45921.0</v>
      </c>
    </row>
    <row r="4348" spans="1:9" ht="15" x14ac:dyDescent="0.25">
      <c r="A4348" s="53" t="inlineStr">
        <is>
          <t>LAB-004347</t>
        </is>
      </c>
      <c r="B4348" s="53" t="inlineStr">
        <is>
          <t>WP-01909</t>
        </is>
      </c>
      <c r="C4348" s="53" t="inlineStr">
        <is>
          <t>TECH-013</t>
        </is>
      </c>
      <c r="D4348" s="53" t="inlineStr">
        <is>
          <t>Airframe</t>
        </is>
      </c>
      <c r="E4348" s="53" t="inlineStr">
        <is>
          <t>2025-05-06</t>
        </is>
      </c>
      <c r="F4348" s="53">
        <v>1.9</v>
      </c>
      <c r="G4348" s="53">
        <v>0</v>
      </c>
      <c r="H4348" s="51" t="str">
        <f>TEXT(tblLaborEntries[[#This Row],[Work date serial]]-WEEKDAY(tblLaborEntries[[#This Row],[Work date serial]],3),"yyyy-mm-dd")</f>
        <v>2025-05-05</v>
      </c>
      <c r="I4348" s="64">
        <f>DATEVALUE(tblLaborEntries[[#This Row],[Work date]])</f>
        <v>45783.0</v>
      </c>
    </row>
    <row r="4349" spans="1:9" ht="15" x14ac:dyDescent="0.25">
      <c r="A4349" s="53" t="inlineStr">
        <is>
          <t>LAB-004348</t>
        </is>
      </c>
      <c r="B4349" s="53" t="inlineStr">
        <is>
          <t>WP-01909</t>
        </is>
      </c>
      <c r="C4349" s="53" t="inlineStr">
        <is>
          <t>TECH-031</t>
        </is>
      </c>
      <c r="D4349" s="53" t="inlineStr">
        <is>
          <t>Airframe</t>
        </is>
      </c>
      <c r="E4349" s="53" t="inlineStr">
        <is>
          <t>2025-05-07</t>
        </is>
      </c>
      <c r="F4349" s="53">
        <v>1.4</v>
      </c>
      <c r="G4349" s="53">
        <v>0</v>
      </c>
      <c r="H4349" s="51" t="str">
        <f>TEXT(tblLaborEntries[[#This Row],[Work date serial]]-WEEKDAY(tblLaborEntries[[#This Row],[Work date serial]],3),"yyyy-mm-dd")</f>
        <v>2025-05-05</v>
      </c>
      <c r="I4349" s="64">
        <f>DATEVALUE(tblLaborEntries[[#This Row],[Work date]])</f>
        <v>45784.0</v>
      </c>
    </row>
    <row r="4350" spans="1:9" ht="15" x14ac:dyDescent="0.25">
      <c r="A4350" s="53" t="inlineStr">
        <is>
          <t>LAB-004349</t>
        </is>
      </c>
      <c r="B4350" s="53" t="inlineStr">
        <is>
          <t>WP-01909</t>
        </is>
      </c>
      <c r="C4350" s="53" t="inlineStr">
        <is>
          <t>TECH-073</t>
        </is>
      </c>
      <c r="D4350" s="53" t="inlineStr">
        <is>
          <t>Airframe</t>
        </is>
      </c>
      <c r="E4350" s="53" t="inlineStr">
        <is>
          <t>2025-05-08</t>
        </is>
      </c>
      <c r="F4350" s="53">
        <v>1.8</v>
      </c>
      <c r="G4350" s="53">
        <v>0</v>
      </c>
      <c r="H4350" s="51" t="str">
        <f>TEXT(tblLaborEntries[[#This Row],[Work date serial]]-WEEKDAY(tblLaborEntries[[#This Row],[Work date serial]],3),"yyyy-mm-dd")</f>
        <v>2025-05-05</v>
      </c>
      <c r="I4350" s="64">
        <f>DATEVALUE(tblLaborEntries[[#This Row],[Work date]])</f>
        <v>45785.0</v>
      </c>
    </row>
    <row r="4351" spans="1:9" ht="15" x14ac:dyDescent="0.25">
      <c r="A4351" s="53" t="inlineStr">
        <is>
          <t>LAB-004350</t>
        </is>
      </c>
      <c r="B4351" s="53" t="inlineStr">
        <is>
          <t>WP-01910</t>
        </is>
      </c>
      <c r="C4351" s="53" t="inlineStr">
        <is>
          <t>TECH-005</t>
        </is>
      </c>
      <c r="D4351" s="53" t="inlineStr">
        <is>
          <t>Structures</t>
        </is>
      </c>
      <c r="E4351" s="53" t="inlineStr">
        <is>
          <t>2025-10-29</t>
        </is>
      </c>
      <c r="F4351" s="53">
        <v>3.2</v>
      </c>
      <c r="G4351" s="53">
        <v>0</v>
      </c>
      <c r="H4351" s="51" t="str">
        <f>TEXT(tblLaborEntries[[#This Row],[Work date serial]]-WEEKDAY(tblLaborEntries[[#This Row],[Work date serial]],3),"yyyy-mm-dd")</f>
        <v>2025-10-27</v>
      </c>
      <c r="I4351" s="64">
        <f>DATEVALUE(tblLaborEntries[[#This Row],[Work date]])</f>
        <v>45959.0</v>
      </c>
    </row>
    <row r="4352" spans="1:9" ht="15" x14ac:dyDescent="0.25">
      <c r="A4352" s="53" t="inlineStr">
        <is>
          <t>LAB-004351</t>
        </is>
      </c>
      <c r="B4352" s="53" t="inlineStr">
        <is>
          <t>WP-01910</t>
        </is>
      </c>
      <c r="C4352" s="53" t="inlineStr">
        <is>
          <t>TECH-053</t>
        </is>
      </c>
      <c r="D4352" s="53" t="inlineStr">
        <is>
          <t>Structures</t>
        </is>
      </c>
      <c r="E4352" s="53" t="inlineStr">
        <is>
          <t>2025-10-29</t>
        </is>
      </c>
      <c r="F4352" s="53">
        <v>12</v>
      </c>
      <c r="G4352" s="53">
        <v>4</v>
      </c>
      <c r="H4352" s="51" t="str">
        <f>TEXT(tblLaborEntries[[#This Row],[Work date serial]]-WEEKDAY(tblLaborEntries[[#This Row],[Work date serial]],3),"yyyy-mm-dd")</f>
        <v>2025-10-27</v>
      </c>
      <c r="I4352" s="64">
        <f>DATEVALUE(tblLaborEntries[[#This Row],[Work date]])</f>
        <v>45959.0</v>
      </c>
    </row>
    <row r="4353" spans="1:9" ht="15" x14ac:dyDescent="0.25">
      <c r="A4353" s="53" t="inlineStr">
        <is>
          <t>LAB-004352</t>
        </is>
      </c>
      <c r="B4353" s="53" t="inlineStr">
        <is>
          <t>WP-01911</t>
        </is>
      </c>
      <c r="C4353" s="53" t="inlineStr">
        <is>
          <t>TECH-066</t>
        </is>
      </c>
      <c r="D4353" s="53" t="inlineStr">
        <is>
          <t>Powerplant</t>
        </is>
      </c>
      <c r="E4353" s="53" t="inlineStr">
        <is>
          <t>2025-02-25</t>
        </is>
      </c>
      <c r="F4353" s="53">
        <v>11.4</v>
      </c>
      <c r="G4353" s="53">
        <v>3.4</v>
      </c>
      <c r="H4353" s="51" t="str">
        <f>TEXT(tblLaborEntries[[#This Row],[Work date serial]]-WEEKDAY(tblLaborEntries[[#This Row],[Work date serial]],3),"yyyy-mm-dd")</f>
        <v>2025-02-24</v>
      </c>
      <c r="I4353" s="64">
        <f>DATEVALUE(tblLaborEntries[[#This Row],[Work date]])</f>
        <v>45713.0</v>
      </c>
    </row>
    <row r="4354" spans="1:9" ht="15" x14ac:dyDescent="0.25">
      <c r="A4354" s="53" t="inlineStr">
        <is>
          <t>LAB-004353</t>
        </is>
      </c>
      <c r="B4354" s="53" t="inlineStr">
        <is>
          <t>WP-01911</t>
        </is>
      </c>
      <c r="C4354" s="53" t="inlineStr">
        <is>
          <t>TECH-024</t>
        </is>
      </c>
      <c r="D4354" s="53" t="inlineStr">
        <is>
          <t>Powerplant</t>
        </is>
      </c>
      <c r="E4354" s="53" t="inlineStr">
        <is>
          <t>2025-02-26</t>
        </is>
      </c>
      <c r="F4354" s="53">
        <v>11</v>
      </c>
      <c r="G4354" s="53">
        <v>3</v>
      </c>
      <c r="H4354" s="51" t="str">
        <f>TEXT(tblLaborEntries[[#This Row],[Work date serial]]-WEEKDAY(tblLaborEntries[[#This Row],[Work date serial]],3),"yyyy-mm-dd")</f>
        <v>2025-02-24</v>
      </c>
      <c r="I4354" s="64">
        <f>DATEVALUE(tblLaborEntries[[#This Row],[Work date]])</f>
        <v>45714.0</v>
      </c>
    </row>
    <row r="4355" spans="1:9" ht="15" x14ac:dyDescent="0.25">
      <c r="A4355" s="53" t="inlineStr">
        <is>
          <t>LAB-004354</t>
        </is>
      </c>
      <c r="B4355" s="53" t="inlineStr">
        <is>
          <t>WP-01911</t>
        </is>
      </c>
      <c r="C4355" s="53" t="inlineStr">
        <is>
          <t>TECH-054</t>
        </is>
      </c>
      <c r="D4355" s="53" t="inlineStr">
        <is>
          <t>Powerplant</t>
        </is>
      </c>
      <c r="E4355" s="53" t="inlineStr">
        <is>
          <t>2025-02-27</t>
        </is>
      </c>
      <c r="F4355" s="53">
        <v>7.7</v>
      </c>
      <c r="G4355" s="53">
        <v>0</v>
      </c>
      <c r="H4355" s="51" t="str">
        <f>TEXT(tblLaborEntries[[#This Row],[Work date serial]]-WEEKDAY(tblLaborEntries[[#This Row],[Work date serial]],3),"yyyy-mm-dd")</f>
        <v>2025-02-24</v>
      </c>
      <c r="I4355" s="64">
        <f>DATEVALUE(tblLaborEntries[[#This Row],[Work date]])</f>
        <v>45715.0</v>
      </c>
    </row>
    <row r="4356" spans="1:9" ht="15" x14ac:dyDescent="0.25">
      <c r="A4356" s="53" t="inlineStr">
        <is>
          <t>LAB-004355</t>
        </is>
      </c>
      <c r="B4356" s="53" t="inlineStr">
        <is>
          <t>WP-01912</t>
        </is>
      </c>
      <c r="C4356" s="53" t="inlineStr">
        <is>
          <t>TECH-006</t>
        </is>
      </c>
      <c r="D4356" s="53" t="inlineStr">
        <is>
          <t>Powerplant</t>
        </is>
      </c>
      <c r="E4356" s="53" t="inlineStr">
        <is>
          <t>2025-01-24</t>
        </is>
      </c>
      <c r="F4356" s="53">
        <v>1.5</v>
      </c>
      <c r="G4356" s="53">
        <v>0</v>
      </c>
      <c r="H4356" s="51" t="str">
        <f>TEXT(tblLaborEntries[[#This Row],[Work date serial]]-WEEKDAY(tblLaborEntries[[#This Row],[Work date serial]],3),"yyyy-mm-dd")</f>
        <v>2025-01-20</v>
      </c>
      <c r="I4356" s="64">
        <f>DATEVALUE(tblLaborEntries[[#This Row],[Work date]])</f>
        <v>45681.0</v>
      </c>
    </row>
    <row r="4357" spans="1:9" ht="15" x14ac:dyDescent="0.25">
      <c r="A4357" s="53" t="inlineStr">
        <is>
          <t>LAB-004356</t>
        </is>
      </c>
      <c r="B4357" s="53" t="inlineStr">
        <is>
          <t>WP-01912</t>
        </is>
      </c>
      <c r="C4357" s="53" t="inlineStr">
        <is>
          <t>TECH-060</t>
        </is>
      </c>
      <c r="D4357" s="53" t="inlineStr">
        <is>
          <t>Powerplant</t>
        </is>
      </c>
      <c r="E4357" s="53" t="inlineStr">
        <is>
          <t>2025-01-24</t>
        </is>
      </c>
      <c r="F4357" s="53">
        <v>12</v>
      </c>
      <c r="G4357" s="53">
        <v>4</v>
      </c>
      <c r="H4357" s="51" t="str">
        <f>TEXT(tblLaborEntries[[#This Row],[Work date serial]]-WEEKDAY(tblLaborEntries[[#This Row],[Work date serial]],3),"yyyy-mm-dd")</f>
        <v>2025-01-20</v>
      </c>
      <c r="I4357" s="64">
        <f>DATEVALUE(tblLaborEntries[[#This Row],[Work date]])</f>
        <v>45681.0</v>
      </c>
    </row>
    <row r="4358" spans="1:9" ht="15" x14ac:dyDescent="0.25">
      <c r="A4358" s="53" t="inlineStr">
        <is>
          <t>LAB-004357</t>
        </is>
      </c>
      <c r="B4358" s="53" t="inlineStr">
        <is>
          <t>WP-01913</t>
        </is>
      </c>
      <c r="C4358" s="53" t="inlineStr">
        <is>
          <t>TECH-002</t>
        </is>
      </c>
      <c r="D4358" s="53" t="inlineStr">
        <is>
          <t>Avionics</t>
        </is>
      </c>
      <c r="E4358" s="53" t="inlineStr">
        <is>
          <t>2025-01-06</t>
        </is>
      </c>
      <c r="F4358" s="53">
        <v>7.2</v>
      </c>
      <c r="G4358" s="53">
        <v>0</v>
      </c>
      <c r="H4358" s="51" t="str">
        <f>TEXT(tblLaborEntries[[#This Row],[Work date serial]]-WEEKDAY(tblLaborEntries[[#This Row],[Work date serial]],3),"yyyy-mm-dd")</f>
        <v>2025-01-06</v>
      </c>
      <c r="I4358" s="64">
        <f>DATEVALUE(tblLaborEntries[[#This Row],[Work date]])</f>
        <v>45663.0</v>
      </c>
    </row>
    <row r="4359" spans="1:9" ht="15" x14ac:dyDescent="0.25">
      <c r="A4359" s="53" t="inlineStr">
        <is>
          <t>LAB-004358</t>
        </is>
      </c>
      <c r="B4359" s="53" t="inlineStr">
        <is>
          <t>WP-01914</t>
        </is>
      </c>
      <c r="C4359" s="53" t="inlineStr">
        <is>
          <t>TECH-059</t>
        </is>
      </c>
      <c r="D4359" s="53" t="inlineStr">
        <is>
          <t>Structures</t>
        </is>
      </c>
      <c r="E4359" s="53" t="inlineStr">
        <is>
          <t>2025-07-28</t>
        </is>
      </c>
      <c r="F4359" s="53">
        <v>6.1</v>
      </c>
      <c r="G4359" s="53">
        <v>0</v>
      </c>
      <c r="H4359" s="51" t="str">
        <f>TEXT(tblLaborEntries[[#This Row],[Work date serial]]-WEEKDAY(tblLaborEntries[[#This Row],[Work date serial]],3),"yyyy-mm-dd")</f>
        <v>2025-07-28</v>
      </c>
      <c r="I4359" s="64">
        <f>DATEVALUE(tblLaborEntries[[#This Row],[Work date]])</f>
        <v>45866.0</v>
      </c>
    </row>
    <row r="4360" spans="1:9" ht="15" x14ac:dyDescent="0.25">
      <c r="A4360" s="53" t="inlineStr">
        <is>
          <t>LAB-004359</t>
        </is>
      </c>
      <c r="B4360" s="53" t="inlineStr">
        <is>
          <t>WP-01914</t>
        </is>
      </c>
      <c r="C4360" s="53" t="inlineStr">
        <is>
          <t>TECH-035</t>
        </is>
      </c>
      <c r="D4360" s="53" t="inlineStr">
        <is>
          <t>Structures</t>
        </is>
      </c>
      <c r="E4360" s="53" t="inlineStr">
        <is>
          <t>2025-07-29</t>
        </is>
      </c>
      <c r="F4360" s="53">
        <v>8.8</v>
      </c>
      <c r="G4360" s="53">
        <v>0.8</v>
      </c>
      <c r="H4360" s="51" t="str">
        <f>TEXT(tblLaborEntries[[#This Row],[Work date serial]]-WEEKDAY(tblLaborEntries[[#This Row],[Work date serial]],3),"yyyy-mm-dd")</f>
        <v>2025-07-28</v>
      </c>
      <c r="I4360" s="64">
        <f>DATEVALUE(tblLaborEntries[[#This Row],[Work date]])</f>
        <v>45867.0</v>
      </c>
    </row>
    <row r="4361" spans="1:9" ht="15" x14ac:dyDescent="0.25">
      <c r="A4361" s="53" t="inlineStr">
        <is>
          <t>LAB-004360</t>
        </is>
      </c>
      <c r="B4361" s="53" t="inlineStr">
        <is>
          <t>WP-01914</t>
        </is>
      </c>
      <c r="C4361" s="53" t="inlineStr">
        <is>
          <t>TECH-017</t>
        </is>
      </c>
      <c r="D4361" s="53" t="inlineStr">
        <is>
          <t>Structures</t>
        </is>
      </c>
      <c r="E4361" s="53" t="inlineStr">
        <is>
          <t>2025-07-30</t>
        </is>
      </c>
      <c r="F4361" s="53">
        <v>7.6</v>
      </c>
      <c r="G4361" s="53">
        <v>0</v>
      </c>
      <c r="H4361" s="51" t="str">
        <f>TEXT(tblLaborEntries[[#This Row],[Work date serial]]-WEEKDAY(tblLaborEntries[[#This Row],[Work date serial]],3),"yyyy-mm-dd")</f>
        <v>2025-07-28</v>
      </c>
      <c r="I4361" s="64">
        <f>DATEVALUE(tblLaborEntries[[#This Row],[Work date]])</f>
        <v>45868.0</v>
      </c>
    </row>
    <row r="4362" spans="1:9" ht="15" x14ac:dyDescent="0.25">
      <c r="A4362" s="53" t="inlineStr">
        <is>
          <t>LAB-004361</t>
        </is>
      </c>
      <c r="B4362" s="53" t="inlineStr">
        <is>
          <t>WP-01915</t>
        </is>
      </c>
      <c r="C4362" s="53" t="inlineStr">
        <is>
          <t>TECH-055</t>
        </is>
      </c>
      <c r="D4362" s="53" t="inlineStr">
        <is>
          <t>Airframe</t>
        </is>
      </c>
      <c r="E4362" s="53" t="inlineStr">
        <is>
          <t>2025-02-27</t>
        </is>
      </c>
      <c r="F4362" s="53">
        <v>6.8</v>
      </c>
      <c r="G4362" s="53">
        <v>0</v>
      </c>
      <c r="H4362" s="51" t="str">
        <f>TEXT(tblLaborEntries[[#This Row],[Work date serial]]-WEEKDAY(tblLaborEntries[[#This Row],[Work date serial]],3),"yyyy-mm-dd")</f>
        <v>2025-02-24</v>
      </c>
      <c r="I4362" s="64">
        <f>DATEVALUE(tblLaborEntries[[#This Row],[Work date]])</f>
        <v>45715.0</v>
      </c>
    </row>
    <row r="4363" spans="1:9" ht="15" x14ac:dyDescent="0.25">
      <c r="A4363" s="53" t="inlineStr">
        <is>
          <t>LAB-004362</t>
        </is>
      </c>
      <c r="B4363" s="53" t="inlineStr">
        <is>
          <t>WP-01915</t>
        </is>
      </c>
      <c r="C4363" s="53" t="inlineStr">
        <is>
          <t>TECH-013</t>
        </is>
      </c>
      <c r="D4363" s="53" t="inlineStr">
        <is>
          <t>Airframe</t>
        </is>
      </c>
      <c r="E4363" s="53" t="inlineStr">
        <is>
          <t>2025-02-28</t>
        </is>
      </c>
      <c r="F4363" s="53">
        <v>7.4</v>
      </c>
      <c r="G4363" s="53">
        <v>3.2</v>
      </c>
      <c r="H4363" s="51" t="str">
        <f>TEXT(tblLaborEntries[[#This Row],[Work date serial]]-WEEKDAY(tblLaborEntries[[#This Row],[Work date serial]],3),"yyyy-mm-dd")</f>
        <v>2025-02-24</v>
      </c>
      <c r="I4363" s="64">
        <f>DATEVALUE(tblLaborEntries[[#This Row],[Work date]])</f>
        <v>45716.0</v>
      </c>
    </row>
    <row r="4364" spans="1:9" ht="15" x14ac:dyDescent="0.25">
      <c r="A4364" s="53" t="inlineStr">
        <is>
          <t>LAB-004363</t>
        </is>
      </c>
      <c r="B4364" s="53" t="inlineStr">
        <is>
          <t>WP-01916</t>
        </is>
      </c>
      <c r="C4364" s="53" t="inlineStr">
        <is>
          <t>TECH-021</t>
        </is>
      </c>
      <c r="D4364" s="53" t="inlineStr">
        <is>
          <t>Hydraulics</t>
        </is>
      </c>
      <c r="E4364" s="53" t="inlineStr">
        <is>
          <t>2024-11-24</t>
        </is>
      </c>
      <c r="F4364" s="53">
        <v>2.2</v>
      </c>
      <c r="G4364" s="53">
        <v>0</v>
      </c>
      <c r="H4364" s="51" t="str">
        <f>TEXT(tblLaborEntries[[#This Row],[Work date serial]]-WEEKDAY(tblLaborEntries[[#This Row],[Work date serial]],3),"yyyy-mm-dd")</f>
        <v>2024-11-18</v>
      </c>
      <c r="I4364" s="64">
        <f>DATEVALUE(tblLaborEntries[[#This Row],[Work date]])</f>
        <v>45620.0</v>
      </c>
    </row>
    <row r="4365" spans="1:9" ht="15" x14ac:dyDescent="0.25">
      <c r="A4365" s="53" t="inlineStr">
        <is>
          <t>LAB-004364</t>
        </is>
      </c>
      <c r="B4365" s="53" t="inlineStr">
        <is>
          <t>WP-01916</t>
        </is>
      </c>
      <c r="C4365" s="53" t="inlineStr">
        <is>
          <t>TECH-045</t>
        </is>
      </c>
      <c r="D4365" s="53" t="inlineStr">
        <is>
          <t>Hydraulics</t>
        </is>
      </c>
      <c r="E4365" s="53" t="inlineStr">
        <is>
          <t>2024-11-25</t>
        </is>
      </c>
      <c r="F4365" s="53">
        <v>2.7</v>
      </c>
      <c r="G4365" s="53">
        <v>0</v>
      </c>
      <c r="H4365" s="51" t="str">
        <f>TEXT(tblLaborEntries[[#This Row],[Work date serial]]-WEEKDAY(tblLaborEntries[[#This Row],[Work date serial]],3),"yyyy-mm-dd")</f>
        <v>2024-11-25</v>
      </c>
      <c r="I4365" s="64">
        <f>DATEVALUE(tblLaborEntries[[#This Row],[Work date]])</f>
        <v>45621.0</v>
      </c>
    </row>
    <row r="4366" spans="1:9" ht="15" x14ac:dyDescent="0.25">
      <c r="A4366" s="53" t="inlineStr">
        <is>
          <t>LAB-004365</t>
        </is>
      </c>
      <c r="B4366" s="53" t="inlineStr">
        <is>
          <t>WP-01917</t>
        </is>
      </c>
      <c r="C4366" s="53" t="inlineStr">
        <is>
          <t>TECH-032</t>
        </is>
      </c>
      <c r="D4366" s="53" t="inlineStr">
        <is>
          <t>Avionics</t>
        </is>
      </c>
      <c r="E4366" s="53" t="inlineStr">
        <is>
          <t>2025-11-28</t>
        </is>
      </c>
      <c r="F4366" s="53">
        <v>1.8</v>
      </c>
      <c r="G4366" s="53">
        <v>0</v>
      </c>
      <c r="H4366" s="51" t="str">
        <f>TEXT(tblLaborEntries[[#This Row],[Work date serial]]-WEEKDAY(tblLaborEntries[[#This Row],[Work date serial]],3),"yyyy-mm-dd")</f>
        <v>2025-11-24</v>
      </c>
      <c r="I4366" s="64">
        <f>DATEVALUE(tblLaborEntries[[#This Row],[Work date]])</f>
        <v>45989.0</v>
      </c>
    </row>
    <row r="4367" spans="1:9" ht="15" x14ac:dyDescent="0.25">
      <c r="A4367" s="53" t="inlineStr">
        <is>
          <t>LAB-004366</t>
        </is>
      </c>
      <c r="B4367" s="53" t="inlineStr">
        <is>
          <t>WP-01917</t>
        </is>
      </c>
      <c r="C4367" s="53" t="inlineStr">
        <is>
          <t>TECH-026</t>
        </is>
      </c>
      <c r="D4367" s="53" t="inlineStr">
        <is>
          <t>Avionics</t>
        </is>
      </c>
      <c r="E4367" s="53" t="inlineStr">
        <is>
          <t>2025-11-29</t>
        </is>
      </c>
      <c r="F4367" s="53">
        <v>2.1</v>
      </c>
      <c r="G4367" s="53">
        <v>0</v>
      </c>
      <c r="H4367" s="51" t="str">
        <f>TEXT(tblLaborEntries[[#This Row],[Work date serial]]-WEEKDAY(tblLaborEntries[[#This Row],[Work date serial]],3),"yyyy-mm-dd")</f>
        <v>2025-11-24</v>
      </c>
      <c r="I4367" s="64">
        <f>DATEVALUE(tblLaborEntries[[#This Row],[Work date]])</f>
        <v>45990.0</v>
      </c>
    </row>
    <row r="4368" spans="1:9" ht="15" x14ac:dyDescent="0.25">
      <c r="A4368" s="53" t="inlineStr">
        <is>
          <t>LAB-004367</t>
        </is>
      </c>
      <c r="B4368" s="53" t="inlineStr">
        <is>
          <t>WP-01917</t>
        </is>
      </c>
      <c r="C4368" s="53" t="inlineStr">
        <is>
          <t>TECH-026</t>
        </is>
      </c>
      <c r="D4368" s="53" t="inlineStr">
        <is>
          <t>Avionics</t>
        </is>
      </c>
      <c r="E4368" s="53" t="inlineStr">
        <is>
          <t>2025-11-30</t>
        </is>
      </c>
      <c r="F4368" s="53">
        <v>2</v>
      </c>
      <c r="G4368" s="53">
        <v>0</v>
      </c>
      <c r="H4368" s="51" t="str">
        <f>TEXT(tblLaborEntries[[#This Row],[Work date serial]]-WEEKDAY(tblLaborEntries[[#This Row],[Work date serial]],3),"yyyy-mm-dd")</f>
        <v>2025-11-24</v>
      </c>
      <c r="I4368" s="64">
        <f>DATEVALUE(tblLaborEntries[[#This Row],[Work date]])</f>
        <v>45991.0</v>
      </c>
    </row>
    <row r="4369" spans="1:9" ht="15" x14ac:dyDescent="0.25">
      <c r="A4369" s="53" t="inlineStr">
        <is>
          <t>LAB-004368</t>
        </is>
      </c>
      <c r="B4369" s="53" t="inlineStr">
        <is>
          <t>WP-01918</t>
        </is>
      </c>
      <c r="C4369" s="53" t="inlineStr">
        <is>
          <t>TECH-067</t>
        </is>
      </c>
      <c r="D4369" s="53" t="inlineStr">
        <is>
          <t>Airframe</t>
        </is>
      </c>
      <c r="E4369" s="53" t="inlineStr">
        <is>
          <t>2024-11-27</t>
        </is>
      </c>
      <c r="F4369" s="53">
        <v>2.3</v>
      </c>
      <c r="G4369" s="53">
        <v>0</v>
      </c>
      <c r="H4369" s="51" t="str">
        <f>TEXT(tblLaborEntries[[#This Row],[Work date serial]]-WEEKDAY(tblLaborEntries[[#This Row],[Work date serial]],3),"yyyy-mm-dd")</f>
        <v>2024-11-25</v>
      </c>
      <c r="I4369" s="64">
        <f>DATEVALUE(tblLaborEntries[[#This Row],[Work date]])</f>
        <v>45623.0</v>
      </c>
    </row>
    <row r="4370" spans="1:9" ht="15" x14ac:dyDescent="0.25">
      <c r="A4370" s="53" t="inlineStr">
        <is>
          <t>LAB-004369</t>
        </is>
      </c>
      <c r="B4370" s="53" t="inlineStr">
        <is>
          <t>WP-01918</t>
        </is>
      </c>
      <c r="C4370" s="53" t="inlineStr">
        <is>
          <t>TECH-019</t>
        </is>
      </c>
      <c r="D4370" s="53" t="inlineStr">
        <is>
          <t>Airframe</t>
        </is>
      </c>
      <c r="E4370" s="53" t="inlineStr">
        <is>
          <t>2024-11-28</t>
        </is>
      </c>
      <c r="F4370" s="53">
        <v>2.9</v>
      </c>
      <c r="G4370" s="53">
        <v>0</v>
      </c>
      <c r="H4370" s="51" t="str">
        <f>TEXT(tblLaborEntries[[#This Row],[Work date serial]]-WEEKDAY(tblLaborEntries[[#This Row],[Work date serial]],3),"yyyy-mm-dd")</f>
        <v>2024-11-25</v>
      </c>
      <c r="I4370" s="64">
        <f>DATEVALUE(tblLaborEntries[[#This Row],[Work date]])</f>
        <v>45624.0</v>
      </c>
    </row>
    <row r="4371" spans="1:9" ht="15" x14ac:dyDescent="0.25">
      <c r="A4371" s="53" t="inlineStr">
        <is>
          <t>LAB-004370</t>
        </is>
      </c>
      <c r="B4371" s="53" t="inlineStr">
        <is>
          <t>WP-01919</t>
        </is>
      </c>
      <c r="C4371" s="53" t="inlineStr">
        <is>
          <t>TECH-056</t>
        </is>
      </c>
      <c r="D4371" s="53" t="inlineStr">
        <is>
          <t>Avionics</t>
        </is>
      </c>
      <c r="E4371" s="53" t="inlineStr">
        <is>
          <t>2024-01-06</t>
        </is>
      </c>
      <c r="F4371" s="53">
        <v>10.3</v>
      </c>
      <c r="G4371" s="53">
        <v>2.3</v>
      </c>
      <c r="H4371" s="51" t="str">
        <f>TEXT(tblLaborEntries[[#This Row],[Work date serial]]-WEEKDAY(tblLaborEntries[[#This Row],[Work date serial]],3),"yyyy-mm-dd")</f>
        <v>2024-01-01</v>
      </c>
      <c r="I4371" s="64">
        <f>DATEVALUE(tblLaborEntries[[#This Row],[Work date]])</f>
        <v>45297.0</v>
      </c>
    </row>
    <row r="4372" spans="1:9" ht="15" x14ac:dyDescent="0.25">
      <c r="A4372" s="53" t="inlineStr">
        <is>
          <t>LAB-004371</t>
        </is>
      </c>
      <c r="B4372" s="53" t="inlineStr">
        <is>
          <t>WP-01919</t>
        </is>
      </c>
      <c r="C4372" s="53" t="inlineStr">
        <is>
          <t>TECH-002</t>
        </is>
      </c>
      <c r="D4372" s="53" t="inlineStr">
        <is>
          <t>Avionics</t>
        </is>
      </c>
      <c r="E4372" s="53" t="inlineStr">
        <is>
          <t>2024-01-07</t>
        </is>
      </c>
      <c r="F4372" s="53">
        <v>1</v>
      </c>
      <c r="G4372" s="53">
        <v>0</v>
      </c>
      <c r="H4372" s="51" t="str">
        <f>TEXT(tblLaborEntries[[#This Row],[Work date serial]]-WEEKDAY(tblLaborEntries[[#This Row],[Work date serial]],3),"yyyy-mm-dd")</f>
        <v>2024-01-01</v>
      </c>
      <c r="I4372" s="64">
        <f>DATEVALUE(tblLaborEntries[[#This Row],[Work date]])</f>
        <v>45298.0</v>
      </c>
    </row>
    <row r="4373" spans="1:9" ht="15" x14ac:dyDescent="0.25">
      <c r="A4373" s="53" t="inlineStr">
        <is>
          <t>LAB-004372</t>
        </is>
      </c>
      <c r="B4373" s="53" t="inlineStr">
        <is>
          <t>WP-01919</t>
        </is>
      </c>
      <c r="C4373" s="53" t="inlineStr">
        <is>
          <t>TECH-038</t>
        </is>
      </c>
      <c r="D4373" s="53" t="inlineStr">
        <is>
          <t>Avionics</t>
        </is>
      </c>
      <c r="E4373" s="53" t="inlineStr">
        <is>
          <t>2024-01-07</t>
        </is>
      </c>
      <c r="F4373" s="53">
        <v>12</v>
      </c>
      <c r="G4373" s="53">
        <v>4</v>
      </c>
      <c r="H4373" s="51" t="str">
        <f>TEXT(tblLaborEntries[[#This Row],[Work date serial]]-WEEKDAY(tblLaborEntries[[#This Row],[Work date serial]],3),"yyyy-mm-dd")</f>
        <v>2024-01-01</v>
      </c>
      <c r="I4373" s="64">
        <f>DATEVALUE(tblLaborEntries[[#This Row],[Work date]])</f>
        <v>45298.0</v>
      </c>
    </row>
    <row r="4374" spans="1:9" ht="15" x14ac:dyDescent="0.25">
      <c r="A4374" s="53" t="inlineStr">
        <is>
          <t>LAB-004373</t>
        </is>
      </c>
      <c r="B4374" s="53" t="inlineStr">
        <is>
          <t>WP-01920</t>
        </is>
      </c>
      <c r="C4374" s="53" t="inlineStr">
        <is>
          <t>TECH-020</t>
        </is>
      </c>
      <c r="D4374" s="53" t="inlineStr">
        <is>
          <t>Avionics</t>
        </is>
      </c>
      <c r="E4374" s="53" t="inlineStr">
        <is>
          <t>2025-03-16</t>
        </is>
      </c>
      <c r="F4374" s="53">
        <v>3.9</v>
      </c>
      <c r="G4374" s="53">
        <v>0</v>
      </c>
      <c r="H4374" s="51" t="str">
        <f>TEXT(tblLaborEntries[[#This Row],[Work date serial]]-WEEKDAY(tblLaborEntries[[#This Row],[Work date serial]],3),"yyyy-mm-dd")</f>
        <v>2025-03-10</v>
      </c>
      <c r="I4374" s="64">
        <f>DATEVALUE(tblLaborEntries[[#This Row],[Work date]])</f>
        <v>45732.0</v>
      </c>
    </row>
    <row r="4375" spans="1:9" ht="15" x14ac:dyDescent="0.25">
      <c r="A4375" s="53" t="inlineStr">
        <is>
          <t>LAB-004374</t>
        </is>
      </c>
      <c r="B4375" s="53" t="inlineStr">
        <is>
          <t>WP-01920</t>
        </is>
      </c>
      <c r="C4375" s="53" t="inlineStr">
        <is>
          <t>TECH-062</t>
        </is>
      </c>
      <c r="D4375" s="53" t="inlineStr">
        <is>
          <t>Avionics</t>
        </is>
      </c>
      <c r="E4375" s="53" t="inlineStr">
        <is>
          <t>2025-03-17</t>
        </is>
      </c>
      <c r="F4375" s="53">
        <v>4.3</v>
      </c>
      <c r="G4375" s="53">
        <v>0</v>
      </c>
      <c r="H4375" s="51" t="str">
        <f>TEXT(tblLaborEntries[[#This Row],[Work date serial]]-WEEKDAY(tblLaborEntries[[#This Row],[Work date serial]],3),"yyyy-mm-dd")</f>
        <v>2025-03-17</v>
      </c>
      <c r="I4375" s="64">
        <f>DATEVALUE(tblLaborEntries[[#This Row],[Work date]])</f>
        <v>45733.0</v>
      </c>
    </row>
    <row r="4376" spans="1:9" ht="15" x14ac:dyDescent="0.25">
      <c r="A4376" s="53" t="inlineStr">
        <is>
          <t>LAB-004375</t>
        </is>
      </c>
      <c r="B4376" s="53" t="inlineStr">
        <is>
          <t>WP-01921</t>
        </is>
      </c>
      <c r="C4376" s="53" t="inlineStr">
        <is>
          <t>TECH-015</t>
        </is>
      </c>
      <c r="D4376" s="53" t="inlineStr">
        <is>
          <t>Hydraulics</t>
        </is>
      </c>
      <c r="E4376" s="53" t="inlineStr">
        <is>
          <t>2024-09-07</t>
        </is>
      </c>
      <c r="F4376" s="53">
        <v>4.2</v>
      </c>
      <c r="G4376" s="53">
        <v>0</v>
      </c>
      <c r="H4376" s="51" t="str">
        <f>TEXT(tblLaborEntries[[#This Row],[Work date serial]]-WEEKDAY(tblLaborEntries[[#This Row],[Work date serial]],3),"yyyy-mm-dd")</f>
        <v>2024-09-02</v>
      </c>
      <c r="I4376" s="64">
        <f>DATEVALUE(tblLaborEntries[[#This Row],[Work date]])</f>
        <v>45542.0</v>
      </c>
    </row>
    <row r="4377" spans="1:9" ht="15" x14ac:dyDescent="0.25">
      <c r="A4377" s="53" t="inlineStr">
        <is>
          <t>LAB-004376</t>
        </is>
      </c>
      <c r="B4377" s="53" t="inlineStr">
        <is>
          <t>WP-01921</t>
        </is>
      </c>
      <c r="C4377" s="53" t="inlineStr">
        <is>
          <t>TECH-051</t>
        </is>
      </c>
      <c r="D4377" s="53" t="inlineStr">
        <is>
          <t>Hydraulics</t>
        </is>
      </c>
      <c r="E4377" s="53" t="inlineStr">
        <is>
          <t>2024-09-08</t>
        </is>
      </c>
      <c r="F4377" s="53">
        <v>4.7</v>
      </c>
      <c r="G4377" s="53">
        <v>0</v>
      </c>
      <c r="H4377" s="51" t="str">
        <f>TEXT(tblLaborEntries[[#This Row],[Work date serial]]-WEEKDAY(tblLaborEntries[[#This Row],[Work date serial]],3),"yyyy-mm-dd")</f>
        <v>2024-09-02</v>
      </c>
      <c r="I4377" s="64">
        <f>DATEVALUE(tblLaborEntries[[#This Row],[Work date]])</f>
        <v>45543.0</v>
      </c>
    </row>
    <row r="4378" spans="1:9" ht="15" x14ac:dyDescent="0.25">
      <c r="A4378" s="53" t="inlineStr">
        <is>
          <t>LAB-004377</t>
        </is>
      </c>
      <c r="B4378" s="53" t="inlineStr">
        <is>
          <t>WP-01922</t>
        </is>
      </c>
      <c r="C4378" s="53" t="inlineStr">
        <is>
          <t>TECH-006</t>
        </is>
      </c>
      <c r="D4378" s="53" t="inlineStr">
        <is>
          <t>Powerplant</t>
        </is>
      </c>
      <c r="E4378" s="53" t="inlineStr">
        <is>
          <t>2024-10-09</t>
        </is>
      </c>
      <c r="F4378" s="53">
        <v>0.4</v>
      </c>
      <c r="G4378" s="53">
        <v>0</v>
      </c>
      <c r="H4378" s="51" t="str">
        <f>TEXT(tblLaborEntries[[#This Row],[Work date serial]]-WEEKDAY(tblLaborEntries[[#This Row],[Work date serial]],3),"yyyy-mm-dd")</f>
        <v>2024-10-07</v>
      </c>
      <c r="I4378" s="64">
        <f>DATEVALUE(tblLaborEntries[[#This Row],[Work date]])</f>
        <v>45574.0</v>
      </c>
    </row>
    <row r="4379" spans="1:9" ht="15" x14ac:dyDescent="0.25">
      <c r="A4379" s="53" t="inlineStr">
        <is>
          <t>LAB-004378</t>
        </is>
      </c>
      <c r="B4379" s="53" t="inlineStr">
        <is>
          <t>WP-01922</t>
        </is>
      </c>
      <c r="C4379" s="53" t="inlineStr">
        <is>
          <t>TECH-012</t>
        </is>
      </c>
      <c r="D4379" s="53" t="inlineStr">
        <is>
          <t>Powerplant</t>
        </is>
      </c>
      <c r="E4379" s="53" t="inlineStr">
        <is>
          <t>2024-10-09</t>
        </is>
      </c>
      <c r="F4379" s="53">
        <v>7.7</v>
      </c>
      <c r="G4379" s="53">
        <v>4</v>
      </c>
      <c r="H4379" s="51" t="str">
        <f>TEXT(tblLaborEntries[[#This Row],[Work date serial]]-WEEKDAY(tblLaborEntries[[#This Row],[Work date serial]],3),"yyyy-mm-dd")</f>
        <v>2024-10-07</v>
      </c>
      <c r="I4379" s="64">
        <f>DATEVALUE(tblLaborEntries[[#This Row],[Work date]])</f>
        <v>45574.0</v>
      </c>
    </row>
    <row r="4380" spans="1:9" ht="15" x14ac:dyDescent="0.25">
      <c r="A4380" s="53" t="inlineStr">
        <is>
          <t>LAB-004379</t>
        </is>
      </c>
      <c r="B4380" s="53" t="inlineStr">
        <is>
          <t>WP-01922</t>
        </is>
      </c>
      <c r="C4380" s="53" t="inlineStr">
        <is>
          <t>TECH-066</t>
        </is>
      </c>
      <c r="D4380" s="53" t="inlineStr">
        <is>
          <t>Powerplant</t>
        </is>
      </c>
      <c r="E4380" s="53" t="inlineStr">
        <is>
          <t>2024-10-10</t>
        </is>
      </c>
      <c r="F4380" s="53">
        <v>6.7</v>
      </c>
      <c r="G4380" s="53">
        <v>0</v>
      </c>
      <c r="H4380" s="51" t="str">
        <f>TEXT(tblLaborEntries[[#This Row],[Work date serial]]-WEEKDAY(tblLaborEntries[[#This Row],[Work date serial]],3),"yyyy-mm-dd")</f>
        <v>2024-10-07</v>
      </c>
      <c r="I4380" s="64">
        <f>DATEVALUE(tblLaborEntries[[#This Row],[Work date]])</f>
        <v>45575.0</v>
      </c>
    </row>
    <row r="4381" spans="1:9" ht="15" x14ac:dyDescent="0.25">
      <c r="A4381" s="53" t="inlineStr">
        <is>
          <t>LAB-004380</t>
        </is>
      </c>
      <c r="B4381" s="53" t="inlineStr">
        <is>
          <t>WP-01923</t>
        </is>
      </c>
      <c r="C4381" s="53" t="inlineStr">
        <is>
          <t>TECH-020</t>
        </is>
      </c>
      <c r="D4381" s="53" t="inlineStr">
        <is>
          <t>Avionics</t>
        </is>
      </c>
      <c r="E4381" s="53" t="inlineStr">
        <is>
          <t>2025-11-05</t>
        </is>
      </c>
      <c r="F4381" s="53">
        <v>6.3</v>
      </c>
      <c r="G4381" s="53">
        <v>0</v>
      </c>
      <c r="H4381" s="51" t="str">
        <f>TEXT(tblLaborEntries[[#This Row],[Work date serial]]-WEEKDAY(tblLaborEntries[[#This Row],[Work date serial]],3),"yyyy-mm-dd")</f>
        <v>2025-11-03</v>
      </c>
      <c r="I4381" s="64">
        <f>DATEVALUE(tblLaborEntries[[#This Row],[Work date]])</f>
        <v>45966.0</v>
      </c>
    </row>
    <row r="4382" spans="1:9" ht="15" x14ac:dyDescent="0.25">
      <c r="A4382" s="53" t="inlineStr">
        <is>
          <t>LAB-004381</t>
        </is>
      </c>
      <c r="B4382" s="53" t="inlineStr">
        <is>
          <t>WP-01924</t>
        </is>
      </c>
      <c r="C4382" s="53" t="inlineStr">
        <is>
          <t>TECH-001</t>
        </is>
      </c>
      <c r="D4382" s="53" t="inlineStr">
        <is>
          <t>Airframe</t>
        </is>
      </c>
      <c r="E4382" s="53" t="inlineStr">
        <is>
          <t>2025-01-14</t>
        </is>
      </c>
      <c r="F4382" s="53">
        <v>0.2</v>
      </c>
      <c r="G4382" s="53">
        <v>0</v>
      </c>
      <c r="H4382" s="51" t="str">
        <f>TEXT(tblLaborEntries[[#This Row],[Work date serial]]-WEEKDAY(tblLaborEntries[[#This Row],[Work date serial]],3),"yyyy-mm-dd")</f>
        <v>2025-01-13</v>
      </c>
      <c r="I4382" s="64">
        <f>DATEVALUE(tblLaborEntries[[#This Row],[Work date]])</f>
        <v>45671.0</v>
      </c>
    </row>
    <row r="4383" spans="1:9" ht="15" x14ac:dyDescent="0.25">
      <c r="A4383" s="53" t="inlineStr">
        <is>
          <t>LAB-004382</t>
        </is>
      </c>
      <c r="B4383" s="53" t="inlineStr">
        <is>
          <t>WP-01924</t>
        </is>
      </c>
      <c r="C4383" s="53" t="inlineStr">
        <is>
          <t>TECH-025</t>
        </is>
      </c>
      <c r="D4383" s="53" t="inlineStr">
        <is>
          <t>Airframe</t>
        </is>
      </c>
      <c r="E4383" s="53" t="inlineStr">
        <is>
          <t>2025-01-14</t>
        </is>
      </c>
      <c r="F4383" s="53">
        <v>11</v>
      </c>
      <c r="G4383" s="53">
        <v>4</v>
      </c>
      <c r="H4383" s="51" t="str">
        <f>TEXT(tblLaborEntries[[#This Row],[Work date serial]]-WEEKDAY(tblLaborEntries[[#This Row],[Work date serial]],3),"yyyy-mm-dd")</f>
        <v>2025-01-13</v>
      </c>
      <c r="I4383" s="64">
        <f>DATEVALUE(tblLaborEntries[[#This Row],[Work date]])</f>
        <v>45671.0</v>
      </c>
    </row>
    <row r="4384" spans="1:9" ht="15" x14ac:dyDescent="0.25">
      <c r="A4384" s="53" t="inlineStr">
        <is>
          <t>LAB-004383</t>
        </is>
      </c>
      <c r="B4384" s="53" t="inlineStr">
        <is>
          <t>WP-01924</t>
        </is>
      </c>
      <c r="C4384" s="53" t="inlineStr">
        <is>
          <t>TECH-025</t>
        </is>
      </c>
      <c r="D4384" s="53" t="inlineStr">
        <is>
          <t>Airframe</t>
        </is>
      </c>
      <c r="E4384" s="53" t="inlineStr">
        <is>
          <t>2025-01-15</t>
        </is>
      </c>
      <c r="F4384" s="53">
        <v>8.7</v>
      </c>
      <c r="G4384" s="53">
        <v>0.7</v>
      </c>
      <c r="H4384" s="51" t="str">
        <f>TEXT(tblLaborEntries[[#This Row],[Work date serial]]-WEEKDAY(tblLaborEntries[[#This Row],[Work date serial]],3),"yyyy-mm-dd")</f>
        <v>2025-01-13</v>
      </c>
      <c r="I4384" s="64">
        <f>DATEVALUE(tblLaborEntries[[#This Row],[Work date]])</f>
        <v>45672.0</v>
      </c>
    </row>
    <row r="4385" spans="1:9" ht="15" x14ac:dyDescent="0.25">
      <c r="A4385" s="53" t="inlineStr">
        <is>
          <t>LAB-004384</t>
        </is>
      </c>
      <c r="B4385" s="53" t="inlineStr">
        <is>
          <t>WP-01925</t>
        </is>
      </c>
      <c r="C4385" s="53" t="inlineStr">
        <is>
          <t>TECH-042</t>
        </is>
      </c>
      <c r="D4385" s="53" t="inlineStr">
        <is>
          <t>Powerplant</t>
        </is>
      </c>
      <c r="E4385" s="53" t="inlineStr">
        <is>
          <t>2024-02-03</t>
        </is>
      </c>
      <c r="F4385" s="53">
        <v>2.7</v>
      </c>
      <c r="G4385" s="53">
        <v>0</v>
      </c>
      <c r="H4385" s="51" t="str">
        <f>TEXT(tblLaborEntries[[#This Row],[Work date serial]]-WEEKDAY(tblLaborEntries[[#This Row],[Work date serial]],3),"yyyy-mm-dd")</f>
        <v>2024-01-29</v>
      </c>
      <c r="I4385" s="64">
        <f>DATEVALUE(tblLaborEntries[[#This Row],[Work date]])</f>
        <v>45325.0</v>
      </c>
    </row>
    <row r="4386" spans="1:9" ht="15" x14ac:dyDescent="0.25">
      <c r="A4386" s="53" t="inlineStr">
        <is>
          <t>LAB-004385</t>
        </is>
      </c>
      <c r="B4386" s="53" t="inlineStr">
        <is>
          <t>WP-01925</t>
        </is>
      </c>
      <c r="C4386" s="53" t="inlineStr">
        <is>
          <t>TECH-024</t>
        </is>
      </c>
      <c r="D4386" s="53" t="inlineStr">
        <is>
          <t>Powerplant</t>
        </is>
      </c>
      <c r="E4386" s="53" t="inlineStr">
        <is>
          <t>2024-02-04</t>
        </is>
      </c>
      <c r="F4386" s="53">
        <v>2.3</v>
      </c>
      <c r="G4386" s="53">
        <v>0</v>
      </c>
      <c r="H4386" s="51" t="str">
        <f>TEXT(tblLaborEntries[[#This Row],[Work date serial]]-WEEKDAY(tblLaborEntries[[#This Row],[Work date serial]],3),"yyyy-mm-dd")</f>
        <v>2024-01-29</v>
      </c>
      <c r="I4386" s="64">
        <f>DATEVALUE(tblLaborEntries[[#This Row],[Work date]])</f>
        <v>45326.0</v>
      </c>
    </row>
    <row r="4387" spans="1:9" ht="15" x14ac:dyDescent="0.25">
      <c r="A4387" s="53" t="inlineStr">
        <is>
          <t>LAB-004386</t>
        </is>
      </c>
      <c r="B4387" s="53" t="inlineStr">
        <is>
          <t>WP-01925</t>
        </is>
      </c>
      <c r="C4387" s="53" t="inlineStr">
        <is>
          <t>TECH-060</t>
        </is>
      </c>
      <c r="D4387" s="53" t="inlineStr">
        <is>
          <t>Powerplant</t>
        </is>
      </c>
      <c r="E4387" s="53" t="inlineStr">
        <is>
          <t>2024-02-05</t>
        </is>
      </c>
      <c r="F4387" s="53">
        <v>2.7</v>
      </c>
      <c r="G4387" s="53">
        <v>0</v>
      </c>
      <c r="H4387" s="51" t="str">
        <f>TEXT(tblLaborEntries[[#This Row],[Work date serial]]-WEEKDAY(tblLaborEntries[[#This Row],[Work date serial]],3),"yyyy-mm-dd")</f>
        <v>2024-02-05</v>
      </c>
      <c r="I4387" s="64">
        <f>DATEVALUE(tblLaborEntries[[#This Row],[Work date]])</f>
        <v>45327.0</v>
      </c>
    </row>
    <row r="4388" spans="1:9" ht="15" x14ac:dyDescent="0.25">
      <c r="A4388" s="53" t="inlineStr">
        <is>
          <t>LAB-004387</t>
        </is>
      </c>
      <c r="B4388" s="53" t="inlineStr">
        <is>
          <t>WP-01926</t>
        </is>
      </c>
      <c r="C4388" s="53" t="inlineStr">
        <is>
          <t>TECH-055</t>
        </is>
      </c>
      <c r="D4388" s="53" t="inlineStr">
        <is>
          <t>Airframe</t>
        </is>
      </c>
      <c r="E4388" s="53" t="inlineStr">
        <is>
          <t>2024-05-23</t>
        </is>
      </c>
      <c r="F4388" s="53">
        <v>6.4</v>
      </c>
      <c r="G4388" s="53">
        <v>0</v>
      </c>
      <c r="H4388" s="51" t="str">
        <f>TEXT(tblLaborEntries[[#This Row],[Work date serial]]-WEEKDAY(tblLaborEntries[[#This Row],[Work date serial]],3),"yyyy-mm-dd")</f>
        <v>2024-05-20</v>
      </c>
      <c r="I4388" s="64">
        <f>DATEVALUE(tblLaborEntries[[#This Row],[Work date]])</f>
        <v>45435.0</v>
      </c>
    </row>
    <row r="4389" spans="1:9" ht="15" x14ac:dyDescent="0.25">
      <c r="A4389" s="53" t="inlineStr">
        <is>
          <t>LAB-004388</t>
        </is>
      </c>
      <c r="B4389" s="53" t="inlineStr">
        <is>
          <t>WP-01926</t>
        </is>
      </c>
      <c r="C4389" s="53" t="inlineStr">
        <is>
          <t>TECH-031</t>
        </is>
      </c>
      <c r="D4389" s="53" t="inlineStr">
        <is>
          <t>Airframe</t>
        </is>
      </c>
      <c r="E4389" s="53" t="inlineStr">
        <is>
          <t>2024-05-24</t>
        </is>
      </c>
      <c r="F4389" s="53">
        <v>7.9</v>
      </c>
      <c r="G4389" s="53">
        <v>0</v>
      </c>
      <c r="H4389" s="51" t="str">
        <f>TEXT(tblLaborEntries[[#This Row],[Work date serial]]-WEEKDAY(tblLaborEntries[[#This Row],[Work date serial]],3),"yyyy-mm-dd")</f>
        <v>2024-05-20</v>
      </c>
      <c r="I4389" s="64">
        <f>DATEVALUE(tblLaborEntries[[#This Row],[Work date]])</f>
        <v>45436.0</v>
      </c>
    </row>
    <row r="4390" spans="1:9" ht="15" x14ac:dyDescent="0.25">
      <c r="A4390" s="53" t="inlineStr">
        <is>
          <t>LAB-004389</t>
        </is>
      </c>
      <c r="B4390" s="53" t="inlineStr">
        <is>
          <t>WP-01927</t>
        </is>
      </c>
      <c r="C4390" s="53" t="inlineStr">
        <is>
          <t>TECH-043</t>
        </is>
      </c>
      <c r="D4390" s="53" t="inlineStr">
        <is>
          <t>Airframe</t>
        </is>
      </c>
      <c r="E4390" s="53" t="inlineStr">
        <is>
          <t>2025-01-04</t>
        </is>
      </c>
      <c r="F4390" s="53">
        <v>6.3</v>
      </c>
      <c r="G4390" s="53">
        <v>0</v>
      </c>
      <c r="H4390" s="51" t="str">
        <f>TEXT(tblLaborEntries[[#This Row],[Work date serial]]-WEEKDAY(tblLaborEntries[[#This Row],[Work date serial]],3),"yyyy-mm-dd")</f>
        <v>2024-12-30</v>
      </c>
      <c r="I4390" s="64">
        <f>DATEVALUE(tblLaborEntries[[#This Row],[Work date]])</f>
        <v>45661.0</v>
      </c>
    </row>
    <row r="4391" spans="1:9" ht="15" x14ac:dyDescent="0.25">
      <c r="A4391" s="53" t="inlineStr">
        <is>
          <t>LAB-004390</t>
        </is>
      </c>
      <c r="B4391" s="53" t="inlineStr">
        <is>
          <t>WP-01927</t>
        </is>
      </c>
      <c r="C4391" s="53" t="inlineStr">
        <is>
          <t>TECH-073</t>
        </is>
      </c>
      <c r="D4391" s="53" t="inlineStr">
        <is>
          <t>Airframe</t>
        </is>
      </c>
      <c r="E4391" s="53" t="inlineStr">
        <is>
          <t>2025-01-05</t>
        </is>
      </c>
      <c r="F4391" s="53">
        <v>5.5</v>
      </c>
      <c r="G4391" s="53">
        <v>0</v>
      </c>
      <c r="H4391" s="51" t="str">
        <f>TEXT(tblLaborEntries[[#This Row],[Work date serial]]-WEEKDAY(tblLaborEntries[[#This Row],[Work date serial]],3),"yyyy-mm-dd")</f>
        <v>2024-12-30</v>
      </c>
      <c r="I4391" s="64">
        <f>DATEVALUE(tblLaborEntries[[#This Row],[Work date]])</f>
        <v>45662.0</v>
      </c>
    </row>
    <row r="4392" spans="1:9" ht="15" x14ac:dyDescent="0.25">
      <c r="A4392" s="53" t="inlineStr">
        <is>
          <t>LAB-004391</t>
        </is>
      </c>
      <c r="B4392" s="53" t="inlineStr">
        <is>
          <t>WP-01928</t>
        </is>
      </c>
      <c r="C4392" s="53" t="inlineStr">
        <is>
          <t>TECH-062</t>
        </is>
      </c>
      <c r="D4392" s="53" t="inlineStr">
        <is>
          <t>Avionics</t>
        </is>
      </c>
      <c r="E4392" s="53" t="inlineStr">
        <is>
          <t>2025-04-05</t>
        </is>
      </c>
      <c r="F4392" s="53">
        <v>10.4</v>
      </c>
      <c r="G4392" s="53">
        <v>2.4</v>
      </c>
      <c r="H4392" s="51" t="str">
        <f>TEXT(tblLaborEntries[[#This Row],[Work date serial]]-WEEKDAY(tblLaborEntries[[#This Row],[Work date serial]],3),"yyyy-mm-dd")</f>
        <v>2025-03-31</v>
      </c>
      <c r="I4392" s="64">
        <f>DATEVALUE(tblLaborEntries[[#This Row],[Work date]])</f>
        <v>45752.0</v>
      </c>
    </row>
    <row r="4393" spans="1:9" ht="15" x14ac:dyDescent="0.25">
      <c r="A4393" s="53" t="inlineStr">
        <is>
          <t>LAB-004392</t>
        </is>
      </c>
      <c r="B4393" s="53" t="inlineStr">
        <is>
          <t>WP-01929</t>
        </is>
      </c>
      <c r="C4393" s="53" t="inlineStr">
        <is>
          <t>TECH-002</t>
        </is>
      </c>
      <c r="D4393" s="53" t="inlineStr">
        <is>
          <t>Avionics</t>
        </is>
      </c>
      <c r="E4393" s="53" t="inlineStr">
        <is>
          <t>2025-03-15</t>
        </is>
      </c>
      <c r="F4393" s="53">
        <v>6</v>
      </c>
      <c r="G4393" s="53">
        <v>0</v>
      </c>
      <c r="H4393" s="51" t="str">
        <f>TEXT(tblLaborEntries[[#This Row],[Work date serial]]-WEEKDAY(tblLaborEntries[[#This Row],[Work date serial]],3),"yyyy-mm-dd")</f>
        <v>2025-03-10</v>
      </c>
      <c r="I4393" s="64">
        <f>DATEVALUE(tblLaborEntries[[#This Row],[Work date]])</f>
        <v>45731.0</v>
      </c>
    </row>
    <row r="4394" spans="1:9" ht="15" x14ac:dyDescent="0.25">
      <c r="A4394" s="53" t="inlineStr">
        <is>
          <t>LAB-004393</t>
        </is>
      </c>
      <c r="B4394" s="53" t="inlineStr">
        <is>
          <t>WP-01929</t>
        </is>
      </c>
      <c r="C4394" s="53" t="inlineStr">
        <is>
          <t>TECH-074</t>
        </is>
      </c>
      <c r="D4394" s="53" t="inlineStr">
        <is>
          <t>Avionics</t>
        </is>
      </c>
      <c r="E4394" s="53" t="inlineStr">
        <is>
          <t>2025-03-16</t>
        </is>
      </c>
      <c r="F4394" s="53">
        <v>5.4</v>
      </c>
      <c r="G4394" s="53">
        <v>0</v>
      </c>
      <c r="H4394" s="51" t="str">
        <f>TEXT(tblLaborEntries[[#This Row],[Work date serial]]-WEEKDAY(tblLaborEntries[[#This Row],[Work date serial]],3),"yyyy-mm-dd")</f>
        <v>2025-03-10</v>
      </c>
      <c r="I4394" s="64">
        <f>DATEVALUE(tblLaborEntries[[#This Row],[Work date]])</f>
        <v>45732.0</v>
      </c>
    </row>
    <row r="4395" spans="1:9" ht="15" x14ac:dyDescent="0.25">
      <c r="A4395" s="53" t="inlineStr">
        <is>
          <t>LAB-004394</t>
        </is>
      </c>
      <c r="B4395" s="53" t="inlineStr">
        <is>
          <t>WP-01929</t>
        </is>
      </c>
      <c r="C4395" s="53" t="inlineStr">
        <is>
          <t>TECH-050</t>
        </is>
      </c>
      <c r="D4395" s="53" t="inlineStr">
        <is>
          <t>Avionics</t>
        </is>
      </c>
      <c r="E4395" s="53" t="inlineStr">
        <is>
          <t>2025-03-17</t>
        </is>
      </c>
      <c r="F4395" s="53">
        <v>4.7</v>
      </c>
      <c r="G4395" s="53">
        <v>0.7</v>
      </c>
      <c r="H4395" s="51" t="str">
        <f>TEXT(tblLaborEntries[[#This Row],[Work date serial]]-WEEKDAY(tblLaborEntries[[#This Row],[Work date serial]],3),"yyyy-mm-dd")</f>
        <v>2025-03-17</v>
      </c>
      <c r="I4395" s="64">
        <f>DATEVALUE(tblLaborEntries[[#This Row],[Work date]])</f>
        <v>45733.0</v>
      </c>
    </row>
    <row r="4396" spans="1:9" ht="15" x14ac:dyDescent="0.25">
      <c r="A4396" s="53" t="inlineStr">
        <is>
          <t>LAB-004395</t>
        </is>
      </c>
      <c r="B4396" s="53" t="inlineStr">
        <is>
          <t>WP-01930</t>
        </is>
      </c>
      <c r="C4396" s="53" t="inlineStr">
        <is>
          <t>TECH-019</t>
        </is>
      </c>
      <c r="D4396" s="53" t="inlineStr">
        <is>
          <t>Airframe</t>
        </is>
      </c>
      <c r="E4396" s="53" t="inlineStr">
        <is>
          <t>2025-02-02</t>
        </is>
      </c>
      <c r="F4396" s="53">
        <v>9.4</v>
      </c>
      <c r="G4396" s="53">
        <v>1.4</v>
      </c>
      <c r="H4396" s="51" t="str">
        <f>TEXT(tblLaborEntries[[#This Row],[Work date serial]]-WEEKDAY(tblLaborEntries[[#This Row],[Work date serial]],3),"yyyy-mm-dd")</f>
        <v>2025-01-27</v>
      </c>
      <c r="I4396" s="64">
        <f>DATEVALUE(tblLaborEntries[[#This Row],[Work date]])</f>
        <v>45690.0</v>
      </c>
    </row>
    <row r="4397" spans="1:9" ht="15" x14ac:dyDescent="0.25">
      <c r="A4397" s="53" t="inlineStr">
        <is>
          <t>LAB-004396</t>
        </is>
      </c>
      <c r="B4397" s="53" t="inlineStr">
        <is>
          <t>WP-01931</t>
        </is>
      </c>
      <c r="C4397" s="53" t="inlineStr">
        <is>
          <t>TECH-060</t>
        </is>
      </c>
      <c r="D4397" s="53" t="inlineStr">
        <is>
          <t>Powerplant</t>
        </is>
      </c>
      <c r="E4397" s="53" t="inlineStr">
        <is>
          <t>2025-03-05</t>
        </is>
      </c>
      <c r="F4397" s="53">
        <v>10.8</v>
      </c>
      <c r="G4397" s="53">
        <v>2.8</v>
      </c>
      <c r="H4397" s="51" t="str">
        <f>TEXT(tblLaborEntries[[#This Row],[Work date serial]]-WEEKDAY(tblLaborEntries[[#This Row],[Work date serial]],3),"yyyy-mm-dd")</f>
        <v>2025-03-03</v>
      </c>
      <c r="I4397" s="64">
        <f>DATEVALUE(tblLaborEntries[[#This Row],[Work date]])</f>
        <v>45721.0</v>
      </c>
    </row>
    <row r="4398" spans="1:9" ht="15" x14ac:dyDescent="0.25">
      <c r="A4398" s="53" t="inlineStr">
        <is>
          <t>LAB-004397</t>
        </is>
      </c>
      <c r="B4398" s="53" t="inlineStr">
        <is>
          <t>WP-01931</t>
        </is>
      </c>
      <c r="C4398" s="53" t="inlineStr">
        <is>
          <t>TECH-048</t>
        </is>
      </c>
      <c r="D4398" s="53" t="inlineStr">
        <is>
          <t>Powerplant</t>
        </is>
      </c>
      <c r="E4398" s="53" t="inlineStr">
        <is>
          <t>2025-03-06</t>
        </is>
      </c>
      <c r="F4398" s="53">
        <v>10.4</v>
      </c>
      <c r="G4398" s="53">
        <v>2.4</v>
      </c>
      <c r="H4398" s="51" t="str">
        <f>TEXT(tblLaborEntries[[#This Row],[Work date serial]]-WEEKDAY(tblLaborEntries[[#This Row],[Work date serial]],3),"yyyy-mm-dd")</f>
        <v>2025-03-03</v>
      </c>
      <c r="I4398" s="64">
        <f>DATEVALUE(tblLaborEntries[[#This Row],[Work date]])</f>
        <v>45722.0</v>
      </c>
    </row>
    <row r="4399" spans="1:9" ht="15" x14ac:dyDescent="0.25">
      <c r="A4399" s="53" t="inlineStr">
        <is>
          <t>LAB-004398</t>
        </is>
      </c>
      <c r="B4399" s="53" t="inlineStr">
        <is>
          <t>WP-01932</t>
        </is>
      </c>
      <c r="C4399" s="53" t="inlineStr">
        <is>
          <t>TECH-038</t>
        </is>
      </c>
      <c r="D4399" s="53" t="inlineStr">
        <is>
          <t>Avionics</t>
        </is>
      </c>
      <c r="E4399" s="53" t="inlineStr">
        <is>
          <t>2025-07-07</t>
        </is>
      </c>
      <c r="F4399" s="53">
        <v>2</v>
      </c>
      <c r="G4399" s="53">
        <v>0</v>
      </c>
      <c r="H4399" s="51" t="str">
        <f>TEXT(tblLaborEntries[[#This Row],[Work date serial]]-WEEKDAY(tblLaborEntries[[#This Row],[Work date serial]],3),"yyyy-mm-dd")</f>
        <v>2025-07-07</v>
      </c>
      <c r="I4399" s="64">
        <f>DATEVALUE(tblLaborEntries[[#This Row],[Work date]])</f>
        <v>45845.0</v>
      </c>
    </row>
    <row r="4400" spans="1:9" ht="15" x14ac:dyDescent="0.25">
      <c r="A4400" s="53" t="inlineStr">
        <is>
          <t>LAB-004399</t>
        </is>
      </c>
      <c r="B4400" s="53" t="inlineStr">
        <is>
          <t>WP-01932</t>
        </is>
      </c>
      <c r="C4400" s="53" t="inlineStr">
        <is>
          <t>TECH-008</t>
        </is>
      </c>
      <c r="D4400" s="53" t="inlineStr">
        <is>
          <t>Avionics</t>
        </is>
      </c>
      <c r="E4400" s="53" t="inlineStr">
        <is>
          <t>2025-07-08</t>
        </is>
      </c>
      <c r="F4400" s="53">
        <v>1.8</v>
      </c>
      <c r="G4400" s="53">
        <v>0</v>
      </c>
      <c r="H4400" s="51" t="str">
        <f>TEXT(tblLaborEntries[[#This Row],[Work date serial]]-WEEKDAY(tblLaborEntries[[#This Row],[Work date serial]],3),"yyyy-mm-dd")</f>
        <v>2025-07-07</v>
      </c>
      <c r="I4400" s="64">
        <f>DATEVALUE(tblLaborEntries[[#This Row],[Work date]])</f>
        <v>45846.0</v>
      </c>
    </row>
    <row r="4401" spans="1:9" ht="15" x14ac:dyDescent="0.25">
      <c r="A4401" s="53" t="inlineStr">
        <is>
          <t>LAB-004400</t>
        </is>
      </c>
      <c r="B4401" s="53" t="inlineStr">
        <is>
          <t>WP-01933</t>
        </is>
      </c>
      <c r="C4401" s="53" t="inlineStr">
        <is>
          <t>TECH-026</t>
        </is>
      </c>
      <c r="D4401" s="53" t="inlineStr">
        <is>
          <t>Avionics</t>
        </is>
      </c>
      <c r="E4401" s="53" t="inlineStr">
        <is>
          <t>2024-02-14</t>
        </is>
      </c>
      <c r="F4401" s="53">
        <v>4.5</v>
      </c>
      <c r="G4401" s="53">
        <v>0</v>
      </c>
      <c r="H4401" s="51" t="str">
        <f>TEXT(tblLaborEntries[[#This Row],[Work date serial]]-WEEKDAY(tblLaborEntries[[#This Row],[Work date serial]],3),"yyyy-mm-dd")</f>
        <v>2024-02-12</v>
      </c>
      <c r="I4401" s="64">
        <f>DATEVALUE(tblLaborEntries[[#This Row],[Work date]])</f>
        <v>45336.0</v>
      </c>
    </row>
    <row r="4402" spans="1:9" ht="15" x14ac:dyDescent="0.25">
      <c r="A4402" s="53" t="inlineStr">
        <is>
          <t>LAB-004401</t>
        </is>
      </c>
      <c r="B4402" s="53" t="inlineStr">
        <is>
          <t>WP-01933</t>
        </is>
      </c>
      <c r="C4402" s="53" t="inlineStr">
        <is>
          <t>TECH-056</t>
        </is>
      </c>
      <c r="D4402" s="53" t="inlineStr">
        <is>
          <t>Avionics</t>
        </is>
      </c>
      <c r="E4402" s="53" t="inlineStr">
        <is>
          <t>2024-02-15</t>
        </is>
      </c>
      <c r="F4402" s="53">
        <v>5.1</v>
      </c>
      <c r="G4402" s="53">
        <v>0</v>
      </c>
      <c r="H4402" s="51" t="str">
        <f>TEXT(tblLaborEntries[[#This Row],[Work date serial]]-WEEKDAY(tblLaborEntries[[#This Row],[Work date serial]],3),"yyyy-mm-dd")</f>
        <v>2024-02-12</v>
      </c>
      <c r="I4402" s="64">
        <f>DATEVALUE(tblLaborEntries[[#This Row],[Work date]])</f>
        <v>45337.0</v>
      </c>
    </row>
    <row r="4403" spans="1:9" ht="15" x14ac:dyDescent="0.25">
      <c r="A4403" s="53" t="inlineStr">
        <is>
          <t>LAB-004402</t>
        </is>
      </c>
      <c r="B4403" s="53" t="inlineStr">
        <is>
          <t>WP-01934</t>
        </is>
      </c>
      <c r="C4403" s="53" t="inlineStr">
        <is>
          <t>TECH-003</t>
        </is>
      </c>
      <c r="D4403" s="53" t="inlineStr">
        <is>
          <t>Hydraulics</t>
        </is>
      </c>
      <c r="E4403" s="53" t="inlineStr">
        <is>
          <t>2025-09-03</t>
        </is>
      </c>
      <c r="F4403" s="53">
        <v>0.4</v>
      </c>
      <c r="G4403" s="53">
        <v>0</v>
      </c>
      <c r="H4403" s="51" t="str">
        <f>TEXT(tblLaborEntries[[#This Row],[Work date serial]]-WEEKDAY(tblLaborEntries[[#This Row],[Work date serial]],3),"yyyy-mm-dd")</f>
        <v>2025-09-01</v>
      </c>
      <c r="I4403" s="64">
        <f>DATEVALUE(tblLaborEntries[[#This Row],[Work date]])</f>
        <v>45903.0</v>
      </c>
    </row>
    <row r="4404" spans="1:9" ht="15" x14ac:dyDescent="0.25">
      <c r="A4404" s="53" t="inlineStr">
        <is>
          <t>LAB-004403</t>
        </is>
      </c>
      <c r="B4404" s="53" t="inlineStr">
        <is>
          <t>WP-01934</t>
        </is>
      </c>
      <c r="C4404" s="53" t="inlineStr">
        <is>
          <t>TECH-027</t>
        </is>
      </c>
      <c r="D4404" s="53" t="inlineStr">
        <is>
          <t>Hydraulics</t>
        </is>
      </c>
      <c r="E4404" s="53" t="inlineStr">
        <is>
          <t>2025-09-03</t>
        </is>
      </c>
      <c r="F4404" s="53">
        <v>12</v>
      </c>
      <c r="G4404" s="53">
        <v>4</v>
      </c>
      <c r="H4404" s="51" t="str">
        <f>TEXT(tblLaborEntries[[#This Row],[Work date serial]]-WEEKDAY(tblLaborEntries[[#This Row],[Work date serial]],3),"yyyy-mm-dd")</f>
        <v>2025-09-01</v>
      </c>
      <c r="I4404" s="64">
        <f>DATEVALUE(tblLaborEntries[[#This Row],[Work date]])</f>
        <v>45903.0</v>
      </c>
    </row>
    <row r="4405" spans="1:9" ht="15" x14ac:dyDescent="0.25">
      <c r="A4405" s="53" t="inlineStr">
        <is>
          <t>LAB-004404</t>
        </is>
      </c>
      <c r="B4405" s="53" t="inlineStr">
        <is>
          <t>WP-01935</t>
        </is>
      </c>
      <c r="C4405" s="53" t="inlineStr">
        <is>
          <t>TECH-002</t>
        </is>
      </c>
      <c r="D4405" s="53" t="inlineStr">
        <is>
          <t>Avionics</t>
        </is>
      </c>
      <c r="E4405" s="53" t="inlineStr">
        <is>
          <t>2025-02-12</t>
        </is>
      </c>
      <c r="F4405" s="53">
        <v>10.5</v>
      </c>
      <c r="G4405" s="53">
        <v>2.5</v>
      </c>
      <c r="H4405" s="51" t="str">
        <f>TEXT(tblLaborEntries[[#This Row],[Work date serial]]-WEEKDAY(tblLaborEntries[[#This Row],[Work date serial]],3),"yyyy-mm-dd")</f>
        <v>2025-02-10</v>
      </c>
      <c r="I4405" s="64">
        <f>DATEVALUE(tblLaborEntries[[#This Row],[Work date]])</f>
        <v>45700.0</v>
      </c>
    </row>
    <row r="4406" spans="1:9" ht="15" x14ac:dyDescent="0.25">
      <c r="A4406" s="53" t="inlineStr">
        <is>
          <t>LAB-004405</t>
        </is>
      </c>
      <c r="B4406" s="53" t="inlineStr">
        <is>
          <t>WP-01935</t>
        </is>
      </c>
      <c r="C4406" s="53" t="inlineStr">
        <is>
          <t>TECH-026</t>
        </is>
      </c>
      <c r="D4406" s="53" t="inlineStr">
        <is>
          <t>Avionics</t>
        </is>
      </c>
      <c r="E4406" s="53" t="inlineStr">
        <is>
          <t>2025-02-12</t>
        </is>
      </c>
      <c r="F4406" s="53">
        <v>12</v>
      </c>
      <c r="G4406" s="53">
        <v>4</v>
      </c>
      <c r="H4406" s="51" t="str">
        <f>TEXT(tblLaborEntries[[#This Row],[Work date serial]]-WEEKDAY(tblLaborEntries[[#This Row],[Work date serial]],3),"yyyy-mm-dd")</f>
        <v>2025-02-10</v>
      </c>
      <c r="I4406" s="64">
        <f>DATEVALUE(tblLaborEntries[[#This Row],[Work date]])</f>
        <v>45700.0</v>
      </c>
    </row>
    <row r="4407" spans="1:9" ht="15" x14ac:dyDescent="0.25">
      <c r="A4407" s="53" t="inlineStr">
        <is>
          <t>LAB-004406</t>
        </is>
      </c>
      <c r="B4407" s="53" t="inlineStr">
        <is>
          <t>WP-01936</t>
        </is>
      </c>
      <c r="C4407" s="53" t="inlineStr">
        <is>
          <t>TECH-008</t>
        </is>
      </c>
      <c r="D4407" s="53" t="inlineStr">
        <is>
          <t>Avionics</t>
        </is>
      </c>
      <c r="E4407" s="53" t="inlineStr">
        <is>
          <t>2024-04-20</t>
        </is>
      </c>
      <c r="F4407" s="53">
        <v>5</v>
      </c>
      <c r="G4407" s="53">
        <v>0</v>
      </c>
      <c r="H4407" s="51" t="str">
        <f>TEXT(tblLaborEntries[[#This Row],[Work date serial]]-WEEKDAY(tblLaborEntries[[#This Row],[Work date serial]],3),"yyyy-mm-dd")</f>
        <v>2024-04-15</v>
      </c>
      <c r="I4407" s="64">
        <f>DATEVALUE(tblLaborEntries[[#This Row],[Work date]])</f>
        <v>45402.0</v>
      </c>
    </row>
    <row r="4408" spans="1:9" ht="15" x14ac:dyDescent="0.25">
      <c r="A4408" s="53" t="inlineStr">
        <is>
          <t>LAB-004407</t>
        </is>
      </c>
      <c r="B4408" s="53" t="inlineStr">
        <is>
          <t>WP-01936</t>
        </is>
      </c>
      <c r="C4408" s="53" t="inlineStr">
        <is>
          <t>TECH-026</t>
        </is>
      </c>
      <c r="D4408" s="53" t="inlineStr">
        <is>
          <t>Avionics</t>
        </is>
      </c>
      <c r="E4408" s="53" t="inlineStr">
        <is>
          <t>2024-04-21</t>
        </is>
      </c>
      <c r="F4408" s="53">
        <v>5.4</v>
      </c>
      <c r="G4408" s="53">
        <v>0</v>
      </c>
      <c r="H4408" s="51" t="str">
        <f>TEXT(tblLaborEntries[[#This Row],[Work date serial]]-WEEKDAY(tblLaborEntries[[#This Row],[Work date serial]],3),"yyyy-mm-dd")</f>
        <v>2024-04-15</v>
      </c>
      <c r="I4408" s="64">
        <f>DATEVALUE(tblLaborEntries[[#This Row],[Work date]])</f>
        <v>45403.0</v>
      </c>
    </row>
    <row r="4409" spans="1:9" ht="15" x14ac:dyDescent="0.25">
      <c r="A4409" s="53" t="inlineStr">
        <is>
          <t>LAB-004408</t>
        </is>
      </c>
      <c r="B4409" s="53" t="inlineStr">
        <is>
          <t>WP-01937</t>
        </is>
      </c>
      <c r="C4409" s="53" t="inlineStr">
        <is>
          <t>TECH-038</t>
        </is>
      </c>
      <c r="D4409" s="53" t="inlineStr">
        <is>
          <t>Avionics</t>
        </is>
      </c>
      <c r="E4409" s="53" t="inlineStr">
        <is>
          <t>2025-06-22</t>
        </is>
      </c>
      <c r="F4409" s="53">
        <v>1.7</v>
      </c>
      <c r="G4409" s="53">
        <v>0</v>
      </c>
      <c r="H4409" s="51" t="str">
        <f>TEXT(tblLaborEntries[[#This Row],[Work date serial]]-WEEKDAY(tblLaborEntries[[#This Row],[Work date serial]],3),"yyyy-mm-dd")</f>
        <v>2025-06-16</v>
      </c>
      <c r="I4409" s="64">
        <f>DATEVALUE(tblLaborEntries[[#This Row],[Work date]])</f>
        <v>45830.0</v>
      </c>
    </row>
    <row r="4410" spans="1:9" ht="15" x14ac:dyDescent="0.25">
      <c r="A4410" s="53" t="inlineStr">
        <is>
          <t>LAB-004409</t>
        </is>
      </c>
      <c r="B4410" s="53" t="inlineStr">
        <is>
          <t>WP-01937</t>
        </is>
      </c>
      <c r="C4410" s="53" t="inlineStr">
        <is>
          <t>TECH-020</t>
        </is>
      </c>
      <c r="D4410" s="53" t="inlineStr">
        <is>
          <t>Avionics</t>
        </is>
      </c>
      <c r="E4410" s="53" t="inlineStr">
        <is>
          <t>2025-06-23</t>
        </is>
      </c>
      <c r="F4410" s="53">
        <v>1.6</v>
      </c>
      <c r="G4410" s="53">
        <v>0</v>
      </c>
      <c r="H4410" s="51" t="str">
        <f>TEXT(tblLaborEntries[[#This Row],[Work date serial]]-WEEKDAY(tblLaborEntries[[#This Row],[Work date serial]],3),"yyyy-mm-dd")</f>
        <v>2025-06-23</v>
      </c>
      <c r="I4410" s="64">
        <f>DATEVALUE(tblLaborEntries[[#This Row],[Work date]])</f>
        <v>45831.0</v>
      </c>
    </row>
    <row r="4411" spans="1:9" ht="15" x14ac:dyDescent="0.25">
      <c r="A4411" s="53" t="inlineStr">
        <is>
          <t>LAB-004410</t>
        </is>
      </c>
      <c r="B4411" s="53" t="inlineStr">
        <is>
          <t>WP-01937</t>
        </is>
      </c>
      <c r="C4411" s="53" t="inlineStr">
        <is>
          <t>TECH-020</t>
        </is>
      </c>
      <c r="D4411" s="53" t="inlineStr">
        <is>
          <t>Avionics</t>
        </is>
      </c>
      <c r="E4411" s="53" t="inlineStr">
        <is>
          <t>2025-06-24</t>
        </is>
      </c>
      <c r="F4411" s="53">
        <v>1.8</v>
      </c>
      <c r="G4411" s="53">
        <v>0</v>
      </c>
      <c r="H4411" s="51" t="str">
        <f>TEXT(tblLaborEntries[[#This Row],[Work date serial]]-WEEKDAY(tblLaborEntries[[#This Row],[Work date serial]],3),"yyyy-mm-dd")</f>
        <v>2025-06-23</v>
      </c>
      <c r="I4411" s="64">
        <f>DATEVALUE(tblLaborEntries[[#This Row],[Work date]])</f>
        <v>45832.0</v>
      </c>
    </row>
    <row r="4412" spans="1:9" ht="15" x14ac:dyDescent="0.25">
      <c r="A4412" s="53" t="inlineStr">
        <is>
          <t>LAB-004411</t>
        </is>
      </c>
      <c r="B4412" s="53" t="inlineStr">
        <is>
          <t>WP-01938</t>
        </is>
      </c>
      <c r="C4412" s="53" t="inlineStr">
        <is>
          <t>TECH-006</t>
        </is>
      </c>
      <c r="D4412" s="53" t="inlineStr">
        <is>
          <t>Powerplant</t>
        </is>
      </c>
      <c r="E4412" s="53" t="inlineStr">
        <is>
          <t>2024-09-12</t>
        </is>
      </c>
      <c r="F4412" s="53">
        <v>4.4</v>
      </c>
      <c r="G4412" s="53">
        <v>0</v>
      </c>
      <c r="H4412" s="51" t="str">
        <f>TEXT(tblLaborEntries[[#This Row],[Work date serial]]-WEEKDAY(tblLaborEntries[[#This Row],[Work date serial]],3),"yyyy-mm-dd")</f>
        <v>2024-09-09</v>
      </c>
      <c r="I4412" s="64">
        <f>DATEVALUE(tblLaborEntries[[#This Row],[Work date]])</f>
        <v>45547.0</v>
      </c>
    </row>
    <row r="4413" spans="1:9" ht="15" x14ac:dyDescent="0.25">
      <c r="A4413" s="53" t="inlineStr">
        <is>
          <t>LAB-004412</t>
        </is>
      </c>
      <c r="B4413" s="53" t="inlineStr">
        <is>
          <t>WP-01938</t>
        </is>
      </c>
      <c r="C4413" s="53" t="inlineStr">
        <is>
          <t>TECH-054</t>
        </is>
      </c>
      <c r="D4413" s="53" t="inlineStr">
        <is>
          <t>Powerplant</t>
        </is>
      </c>
      <c r="E4413" s="53" t="inlineStr">
        <is>
          <t>2024-09-12</t>
        </is>
      </c>
      <c r="F4413" s="53">
        <v>12</v>
      </c>
      <c r="G4413" s="53">
        <v>4</v>
      </c>
      <c r="H4413" s="51" t="str">
        <f>TEXT(tblLaborEntries[[#This Row],[Work date serial]]-WEEKDAY(tblLaborEntries[[#This Row],[Work date serial]],3),"yyyy-mm-dd")</f>
        <v>2024-09-09</v>
      </c>
      <c r="I4413" s="64">
        <f>DATEVALUE(tblLaborEntries[[#This Row],[Work date]])</f>
        <v>45547.0</v>
      </c>
    </row>
    <row r="4414" spans="1:9" ht="15" x14ac:dyDescent="0.25">
      <c r="A4414" s="53" t="inlineStr">
        <is>
          <t>LAB-004413</t>
        </is>
      </c>
      <c r="B4414" s="53" t="inlineStr">
        <is>
          <t>WP-01939</t>
        </is>
      </c>
      <c r="C4414" s="53" t="inlineStr">
        <is>
          <t>TECH-015</t>
        </is>
      </c>
      <c r="D4414" s="53" t="inlineStr">
        <is>
          <t>Hydraulics</t>
        </is>
      </c>
      <c r="E4414" s="53" t="inlineStr">
        <is>
          <t>2024-02-19</t>
        </is>
      </c>
      <c r="F4414" s="53">
        <v>10.2</v>
      </c>
      <c r="G4414" s="53">
        <v>2.2</v>
      </c>
      <c r="H4414" s="51" t="str">
        <f>TEXT(tblLaborEntries[[#This Row],[Work date serial]]-WEEKDAY(tblLaborEntries[[#This Row],[Work date serial]],3),"yyyy-mm-dd")</f>
        <v>2024-02-19</v>
      </c>
      <c r="I4414" s="64">
        <f>DATEVALUE(tblLaborEntries[[#This Row],[Work date]])</f>
        <v>45341.0</v>
      </c>
    </row>
    <row r="4415" spans="1:9" ht="15" x14ac:dyDescent="0.25">
      <c r="A4415" s="53" t="inlineStr">
        <is>
          <t>LAB-004414</t>
        </is>
      </c>
      <c r="B4415" s="53" t="inlineStr">
        <is>
          <t>WP-01939</t>
        </is>
      </c>
      <c r="C4415" s="53" t="inlineStr">
        <is>
          <t>TECH-057</t>
        </is>
      </c>
      <c r="D4415" s="53" t="inlineStr">
        <is>
          <t>Hydraulics</t>
        </is>
      </c>
      <c r="E4415" s="53" t="inlineStr">
        <is>
          <t>2024-02-20</t>
        </is>
      </c>
      <c r="F4415" s="53">
        <v>9</v>
      </c>
      <c r="G4415" s="53">
        <v>1</v>
      </c>
      <c r="H4415" s="51" t="str">
        <f>TEXT(tblLaborEntries[[#This Row],[Work date serial]]-WEEKDAY(tblLaborEntries[[#This Row],[Work date serial]],3),"yyyy-mm-dd")</f>
        <v>2024-02-19</v>
      </c>
      <c r="I4415" s="64">
        <f>DATEVALUE(tblLaborEntries[[#This Row],[Work date]])</f>
        <v>45342.0</v>
      </c>
    </row>
    <row r="4416" spans="1:9" ht="15" x14ac:dyDescent="0.25">
      <c r="A4416" s="53" t="inlineStr">
        <is>
          <t>LAB-004415</t>
        </is>
      </c>
      <c r="B4416" s="53" t="inlineStr">
        <is>
          <t>WP-01940</t>
        </is>
      </c>
      <c r="C4416" s="53" t="inlineStr">
        <is>
          <t>TECH-026</t>
        </is>
      </c>
      <c r="D4416" s="53" t="inlineStr">
        <is>
          <t>Avionics</t>
        </is>
      </c>
      <c r="E4416" s="53" t="inlineStr">
        <is>
          <t>2024-05-29</t>
        </is>
      </c>
      <c r="F4416" s="53">
        <v>3.8</v>
      </c>
      <c r="G4416" s="53">
        <v>0</v>
      </c>
      <c r="H4416" s="51" t="str">
        <f>TEXT(tblLaborEntries[[#This Row],[Work date serial]]-WEEKDAY(tblLaborEntries[[#This Row],[Work date serial]],3),"yyyy-mm-dd")</f>
        <v>2024-05-27</v>
      </c>
      <c r="I4416" s="64">
        <f>DATEVALUE(tblLaborEntries[[#This Row],[Work date]])</f>
        <v>45441.0</v>
      </c>
    </row>
    <row r="4417" spans="1:9" ht="15" x14ac:dyDescent="0.25">
      <c r="A4417" s="53" t="inlineStr">
        <is>
          <t>LAB-004416</t>
        </is>
      </c>
      <c r="B4417" s="53" t="inlineStr">
        <is>
          <t>WP-01940</t>
        </is>
      </c>
      <c r="C4417" s="53" t="inlineStr">
        <is>
          <t>TECH-074</t>
        </is>
      </c>
      <c r="D4417" s="53" t="inlineStr">
        <is>
          <t>Avionics</t>
        </is>
      </c>
      <c r="E4417" s="53" t="inlineStr">
        <is>
          <t>2024-05-30</t>
        </is>
      </c>
      <c r="F4417" s="53">
        <v>3.5</v>
      </c>
      <c r="G4417" s="53">
        <v>0</v>
      </c>
      <c r="H4417" s="51" t="str">
        <f>TEXT(tblLaborEntries[[#This Row],[Work date serial]]-WEEKDAY(tblLaborEntries[[#This Row],[Work date serial]],3),"yyyy-mm-dd")</f>
        <v>2024-05-27</v>
      </c>
      <c r="I4417" s="64">
        <f>DATEVALUE(tblLaborEntries[[#This Row],[Work date]])</f>
        <v>45442.0</v>
      </c>
    </row>
    <row r="4418" spans="1:9" ht="15" x14ac:dyDescent="0.25">
      <c r="A4418" s="53" t="inlineStr">
        <is>
          <t>LAB-004417</t>
        </is>
      </c>
      <c r="B4418" s="53" t="inlineStr">
        <is>
          <t>WP-01941</t>
        </is>
      </c>
      <c r="C4418" s="53" t="inlineStr">
        <is>
          <t>TECH-020</t>
        </is>
      </c>
      <c r="D4418" s="53" t="inlineStr">
        <is>
          <t>Avionics</t>
        </is>
      </c>
      <c r="E4418" s="53" t="inlineStr">
        <is>
          <t>2024-04-26</t>
        </is>
      </c>
      <c r="F4418" s="53">
        <v>2.3</v>
      </c>
      <c r="G4418" s="53">
        <v>0</v>
      </c>
      <c r="H4418" s="51" t="str">
        <f>TEXT(tblLaborEntries[[#This Row],[Work date serial]]-WEEKDAY(tblLaborEntries[[#This Row],[Work date serial]],3),"yyyy-mm-dd")</f>
        <v>2024-04-22</v>
      </c>
      <c r="I4418" s="64">
        <f>DATEVALUE(tblLaborEntries[[#This Row],[Work date]])</f>
        <v>45408.0</v>
      </c>
    </row>
    <row r="4419" spans="1:9" ht="15" x14ac:dyDescent="0.25">
      <c r="A4419" s="53" t="inlineStr">
        <is>
          <t>LAB-004418</t>
        </is>
      </c>
      <c r="B4419" s="53" t="inlineStr">
        <is>
          <t>WP-01941</t>
        </is>
      </c>
      <c r="C4419" s="53" t="inlineStr">
        <is>
          <t>TECH-020</t>
        </is>
      </c>
      <c r="D4419" s="53" t="inlineStr">
        <is>
          <t>Avionics</t>
        </is>
      </c>
      <c r="E4419" s="53" t="inlineStr">
        <is>
          <t>2024-04-27</t>
        </is>
      </c>
      <c r="F4419" s="53">
        <v>2.4</v>
      </c>
      <c r="G4419" s="53">
        <v>0</v>
      </c>
      <c r="H4419" s="51" t="str">
        <f>TEXT(tblLaborEntries[[#This Row],[Work date serial]]-WEEKDAY(tblLaborEntries[[#This Row],[Work date serial]],3),"yyyy-mm-dd")</f>
        <v>2024-04-22</v>
      </c>
      <c r="I4419" s="64">
        <f>DATEVALUE(tblLaborEntries[[#This Row],[Work date]])</f>
        <v>45409.0</v>
      </c>
    </row>
    <row r="4420" spans="1:9" ht="15" x14ac:dyDescent="0.25">
      <c r="A4420" s="53" t="inlineStr">
        <is>
          <t>LAB-004419</t>
        </is>
      </c>
      <c r="B4420" s="53" t="inlineStr">
        <is>
          <t>WP-01941</t>
        </is>
      </c>
      <c r="C4420" s="53" t="inlineStr">
        <is>
          <t>TECH-032</t>
        </is>
      </c>
      <c r="D4420" s="53" t="inlineStr">
        <is>
          <t>Avionics</t>
        </is>
      </c>
      <c r="E4420" s="53" t="inlineStr">
        <is>
          <t>2024-04-28</t>
        </is>
      </c>
      <c r="F4420" s="53">
        <v>2.4</v>
      </c>
      <c r="G4420" s="53">
        <v>0</v>
      </c>
      <c r="H4420" s="51" t="str">
        <f>TEXT(tblLaborEntries[[#This Row],[Work date serial]]-WEEKDAY(tblLaborEntries[[#This Row],[Work date serial]],3),"yyyy-mm-dd")</f>
        <v>2024-04-22</v>
      </c>
      <c r="I4420" s="64">
        <f>DATEVALUE(tblLaborEntries[[#This Row],[Work date]])</f>
        <v>45410.0</v>
      </c>
    </row>
    <row r="4421" spans="1:9" ht="15" x14ac:dyDescent="0.25">
      <c r="A4421" s="53" t="inlineStr">
        <is>
          <t>LAB-004420</t>
        </is>
      </c>
      <c r="B4421" s="53" t="inlineStr">
        <is>
          <t>WP-01942</t>
        </is>
      </c>
      <c r="C4421" s="53" t="inlineStr">
        <is>
          <t>TECH-074</t>
        </is>
      </c>
      <c r="D4421" s="53" t="inlineStr">
        <is>
          <t>Avionics</t>
        </is>
      </c>
      <c r="E4421" s="53" t="inlineStr">
        <is>
          <t>2024-08-14</t>
        </is>
      </c>
      <c r="F4421" s="53">
        <v>1.3</v>
      </c>
      <c r="G4421" s="53">
        <v>0</v>
      </c>
      <c r="H4421" s="51" t="str">
        <f>TEXT(tblLaborEntries[[#This Row],[Work date serial]]-WEEKDAY(tblLaborEntries[[#This Row],[Work date serial]],3),"yyyy-mm-dd")</f>
        <v>2024-08-12</v>
      </c>
      <c r="I4421" s="64">
        <f>DATEVALUE(tblLaborEntries[[#This Row],[Work date]])</f>
        <v>45518.0</v>
      </c>
    </row>
    <row r="4422" spans="1:9" ht="15" x14ac:dyDescent="0.25">
      <c r="A4422" s="53" t="inlineStr">
        <is>
          <t>LAB-004421</t>
        </is>
      </c>
      <c r="B4422" s="53" t="inlineStr">
        <is>
          <t>WP-01942</t>
        </is>
      </c>
      <c r="C4422" s="53" t="inlineStr">
        <is>
          <t>TECH-038</t>
        </is>
      </c>
      <c r="D4422" s="53" t="inlineStr">
        <is>
          <t>Avionics</t>
        </is>
      </c>
      <c r="E4422" s="53" t="inlineStr">
        <is>
          <t>2024-08-15</t>
        </is>
      </c>
      <c r="F4422" s="53">
        <v>1.4</v>
      </c>
      <c r="G4422" s="53">
        <v>0</v>
      </c>
      <c r="H4422" s="51" t="str">
        <f>TEXT(tblLaborEntries[[#This Row],[Work date serial]]-WEEKDAY(tblLaborEntries[[#This Row],[Work date serial]],3),"yyyy-mm-dd")</f>
        <v>2024-08-12</v>
      </c>
      <c r="I4422" s="64">
        <f>DATEVALUE(tblLaborEntries[[#This Row],[Work date]])</f>
        <v>45519.0</v>
      </c>
    </row>
    <row r="4423" spans="1:9" ht="15" x14ac:dyDescent="0.25">
      <c r="A4423" s="53" t="inlineStr">
        <is>
          <t>LAB-004422</t>
        </is>
      </c>
      <c r="B4423" s="53" t="inlineStr">
        <is>
          <t>WP-01942</t>
        </is>
      </c>
      <c r="C4423" s="53" t="inlineStr">
        <is>
          <t>TECH-008</t>
        </is>
      </c>
      <c r="D4423" s="53" t="inlineStr">
        <is>
          <t>Avionics</t>
        </is>
      </c>
      <c r="E4423" s="53" t="inlineStr">
        <is>
          <t>2024-08-16</t>
        </is>
      </c>
      <c r="F4423" s="53">
        <v>1.3</v>
      </c>
      <c r="G4423" s="53">
        <v>0</v>
      </c>
      <c r="H4423" s="51" t="str">
        <f>TEXT(tblLaborEntries[[#This Row],[Work date serial]]-WEEKDAY(tblLaborEntries[[#This Row],[Work date serial]],3),"yyyy-mm-dd")</f>
        <v>2024-08-12</v>
      </c>
      <c r="I4423" s="64">
        <f>DATEVALUE(tblLaborEntries[[#This Row],[Work date]])</f>
        <v>45520.0</v>
      </c>
    </row>
    <row r="4424" spans="1:9" ht="15" x14ac:dyDescent="0.25">
      <c r="A4424" s="53" t="inlineStr">
        <is>
          <t>LAB-004423</t>
        </is>
      </c>
      <c r="B4424" s="53" t="inlineStr">
        <is>
          <t>WP-01943</t>
        </is>
      </c>
      <c r="C4424" s="53" t="inlineStr">
        <is>
          <t>TECH-005</t>
        </is>
      </c>
      <c r="D4424" s="53" t="inlineStr">
        <is>
          <t>Structures</t>
        </is>
      </c>
      <c r="E4424" s="53" t="inlineStr">
        <is>
          <t>2025-08-25</t>
        </is>
      </c>
      <c r="F4424" s="53">
        <v>5.2</v>
      </c>
      <c r="G4424" s="53">
        <v>0</v>
      </c>
      <c r="H4424" s="51" t="str">
        <f>TEXT(tblLaborEntries[[#This Row],[Work date serial]]-WEEKDAY(tblLaborEntries[[#This Row],[Work date serial]],3),"yyyy-mm-dd")</f>
        <v>2025-08-25</v>
      </c>
      <c r="I4424" s="64">
        <f>DATEVALUE(tblLaborEntries[[#This Row],[Work date]])</f>
        <v>45894.0</v>
      </c>
    </row>
    <row r="4425" spans="1:9" ht="15" x14ac:dyDescent="0.25">
      <c r="A4425" s="53" t="inlineStr">
        <is>
          <t>LAB-004424</t>
        </is>
      </c>
      <c r="B4425" s="53" t="inlineStr">
        <is>
          <t>WP-01943</t>
        </is>
      </c>
      <c r="C4425" s="53" t="inlineStr">
        <is>
          <t>TECH-059</t>
        </is>
      </c>
      <c r="D4425" s="53" t="inlineStr">
        <is>
          <t>Structures</t>
        </is>
      </c>
      <c r="E4425" s="53" t="inlineStr">
        <is>
          <t>2025-08-25</t>
        </is>
      </c>
      <c r="F4425" s="53">
        <v>12</v>
      </c>
      <c r="G4425" s="53">
        <v>4</v>
      </c>
      <c r="H4425" s="51" t="str">
        <f>TEXT(tblLaborEntries[[#This Row],[Work date serial]]-WEEKDAY(tblLaborEntries[[#This Row],[Work date serial]],3),"yyyy-mm-dd")</f>
        <v>2025-08-25</v>
      </c>
      <c r="I4425" s="64">
        <f>DATEVALUE(tblLaborEntries[[#This Row],[Work date]])</f>
        <v>45894.0</v>
      </c>
    </row>
    <row r="4426" spans="1:9" ht="15" x14ac:dyDescent="0.25">
      <c r="A4426" s="53" t="inlineStr">
        <is>
          <t>LAB-004425</t>
        </is>
      </c>
      <c r="B4426" s="53" t="inlineStr">
        <is>
          <t>WP-01944</t>
        </is>
      </c>
      <c r="C4426" s="53" t="inlineStr">
        <is>
          <t>TECH-050</t>
        </is>
      </c>
      <c r="D4426" s="53" t="inlineStr">
        <is>
          <t>Avionics</t>
        </is>
      </c>
      <c r="E4426" s="53" t="inlineStr">
        <is>
          <t>2025-09-10</t>
        </is>
      </c>
      <c r="F4426" s="53">
        <v>4.1</v>
      </c>
      <c r="G4426" s="53">
        <v>0</v>
      </c>
      <c r="H4426" s="51" t="str">
        <f>TEXT(tblLaborEntries[[#This Row],[Work date serial]]-WEEKDAY(tblLaborEntries[[#This Row],[Work date serial]],3),"yyyy-mm-dd")</f>
        <v>2025-09-08</v>
      </c>
      <c r="I4426" s="64">
        <f>DATEVALUE(tblLaborEntries[[#This Row],[Work date]])</f>
        <v>45910.0</v>
      </c>
    </row>
    <row r="4427" spans="1:9" ht="15" x14ac:dyDescent="0.25">
      <c r="A4427" s="53" t="inlineStr">
        <is>
          <t>LAB-004426</t>
        </is>
      </c>
      <c r="B4427" s="53" t="inlineStr">
        <is>
          <t>WP-01944</t>
        </is>
      </c>
      <c r="C4427" s="53" t="inlineStr">
        <is>
          <t>TECH-068</t>
        </is>
      </c>
      <c r="D4427" s="53" t="inlineStr">
        <is>
          <t>Avionics</t>
        </is>
      </c>
      <c r="E4427" s="53" t="inlineStr">
        <is>
          <t>2025-09-11</t>
        </is>
      </c>
      <c r="F4427" s="53">
        <v>4.4</v>
      </c>
      <c r="G4427" s="53">
        <v>0</v>
      </c>
      <c r="H4427" s="51" t="str">
        <f>TEXT(tblLaborEntries[[#This Row],[Work date serial]]-WEEKDAY(tblLaborEntries[[#This Row],[Work date serial]],3),"yyyy-mm-dd")</f>
        <v>2025-09-08</v>
      </c>
      <c r="I4427" s="64">
        <f>DATEVALUE(tblLaborEntries[[#This Row],[Work date]])</f>
        <v>45911.0</v>
      </c>
    </row>
    <row r="4428" spans="1:9" ht="15" x14ac:dyDescent="0.25">
      <c r="A4428" s="53" t="inlineStr">
        <is>
          <t>LAB-004427</t>
        </is>
      </c>
      <c r="B4428" s="53" t="inlineStr">
        <is>
          <t>WP-01944</t>
        </is>
      </c>
      <c r="C4428" s="53" t="inlineStr">
        <is>
          <t>TECH-050</t>
        </is>
      </c>
      <c r="D4428" s="53" t="inlineStr">
        <is>
          <t>Avionics</t>
        </is>
      </c>
      <c r="E4428" s="53" t="inlineStr">
        <is>
          <t>2025-09-12</t>
        </is>
      </c>
      <c r="F4428" s="53">
        <v>4</v>
      </c>
      <c r="G4428" s="53">
        <v>0</v>
      </c>
      <c r="H4428" s="51" t="str">
        <f>TEXT(tblLaborEntries[[#This Row],[Work date serial]]-WEEKDAY(tblLaborEntries[[#This Row],[Work date serial]],3),"yyyy-mm-dd")</f>
        <v>2025-09-08</v>
      </c>
      <c r="I4428" s="64">
        <f>DATEVALUE(tblLaborEntries[[#This Row],[Work date]])</f>
        <v>45912.0</v>
      </c>
    </row>
    <row r="4429" spans="1:9" ht="15" x14ac:dyDescent="0.25">
      <c r="A4429" s="53" t="inlineStr">
        <is>
          <t>LAB-004428</t>
        </is>
      </c>
      <c r="B4429" s="53" t="inlineStr">
        <is>
          <t>WP-01945</t>
        </is>
      </c>
      <c r="C4429" s="53" t="inlineStr">
        <is>
          <t>TECH-056</t>
        </is>
      </c>
      <c r="D4429" s="53" t="inlineStr">
        <is>
          <t>Avionics</t>
        </is>
      </c>
      <c r="E4429" s="53" t="inlineStr">
        <is>
          <t>2024-09-23</t>
        </is>
      </c>
      <c r="F4429" s="53">
        <v>3.9</v>
      </c>
      <c r="G4429" s="53">
        <v>0</v>
      </c>
      <c r="H4429" s="51" t="str">
        <f>TEXT(tblLaborEntries[[#This Row],[Work date serial]]-WEEKDAY(tblLaborEntries[[#This Row],[Work date serial]],3),"yyyy-mm-dd")</f>
        <v>2024-09-23</v>
      </c>
      <c r="I4429" s="64">
        <f>DATEVALUE(tblLaborEntries[[#This Row],[Work date]])</f>
        <v>45558.0</v>
      </c>
    </row>
    <row r="4430" spans="1:9" ht="15" x14ac:dyDescent="0.25">
      <c r="A4430" s="53" t="inlineStr">
        <is>
          <t>LAB-004429</t>
        </is>
      </c>
      <c r="B4430" s="53" t="inlineStr">
        <is>
          <t>WP-01946</t>
        </is>
      </c>
      <c r="C4430" s="53" t="inlineStr">
        <is>
          <t>TECH-045</t>
        </is>
      </c>
      <c r="D4430" s="53" t="inlineStr">
        <is>
          <t>Hydraulics</t>
        </is>
      </c>
      <c r="E4430" s="53" t="inlineStr">
        <is>
          <t>2024-09-05</t>
        </is>
      </c>
      <c r="F4430" s="53">
        <v>4.8</v>
      </c>
      <c r="G4430" s="53">
        <v>0</v>
      </c>
      <c r="H4430" s="51" t="str">
        <f>TEXT(tblLaborEntries[[#This Row],[Work date serial]]-WEEKDAY(tblLaborEntries[[#This Row],[Work date serial]],3),"yyyy-mm-dd")</f>
        <v>2024-09-02</v>
      </c>
      <c r="I4430" s="64">
        <f>DATEVALUE(tblLaborEntries[[#This Row],[Work date]])</f>
        <v>45540.0</v>
      </c>
    </row>
    <row r="4431" spans="1:9" ht="15" x14ac:dyDescent="0.25">
      <c r="A4431" s="53" t="inlineStr">
        <is>
          <t>LAB-004430</t>
        </is>
      </c>
      <c r="B4431" s="53" t="inlineStr">
        <is>
          <t>WP-01946</t>
        </is>
      </c>
      <c r="C4431" s="53" t="inlineStr">
        <is>
          <t>TECH-009</t>
        </is>
      </c>
      <c r="D4431" s="53" t="inlineStr">
        <is>
          <t>Hydraulics</t>
        </is>
      </c>
      <c r="E4431" s="53" t="inlineStr">
        <is>
          <t>2024-09-06</t>
        </is>
      </c>
      <c r="F4431" s="53">
        <v>3.3</v>
      </c>
      <c r="G4431" s="53">
        <v>0</v>
      </c>
      <c r="H4431" s="51" t="str">
        <f>TEXT(tblLaborEntries[[#This Row],[Work date serial]]-WEEKDAY(tblLaborEntries[[#This Row],[Work date serial]],3),"yyyy-mm-dd")</f>
        <v>2024-09-02</v>
      </c>
      <c r="I4431" s="64">
        <f>DATEVALUE(tblLaborEntries[[#This Row],[Work date]])</f>
        <v>45541.0</v>
      </c>
    </row>
    <row r="4432" spans="1:9" ht="15" x14ac:dyDescent="0.25">
      <c r="A4432" s="53" t="inlineStr">
        <is>
          <t>LAB-004431</t>
        </is>
      </c>
      <c r="B4432" s="53" t="inlineStr">
        <is>
          <t>WP-01946</t>
        </is>
      </c>
      <c r="C4432" s="53" t="inlineStr">
        <is>
          <t>TECH-063</t>
        </is>
      </c>
      <c r="D4432" s="53" t="inlineStr">
        <is>
          <t>Hydraulics</t>
        </is>
      </c>
      <c r="E4432" s="53" t="inlineStr">
        <is>
          <t>2024-09-07</t>
        </is>
      </c>
      <c r="F4432" s="53">
        <v>4.5</v>
      </c>
      <c r="G4432" s="53">
        <v>0</v>
      </c>
      <c r="H4432" s="51" t="str">
        <f>TEXT(tblLaborEntries[[#This Row],[Work date serial]]-WEEKDAY(tblLaborEntries[[#This Row],[Work date serial]],3),"yyyy-mm-dd")</f>
        <v>2024-09-02</v>
      </c>
      <c r="I4432" s="64">
        <f>DATEVALUE(tblLaborEntries[[#This Row],[Work date]])</f>
        <v>45542.0</v>
      </c>
    </row>
    <row r="4433" spans="1:9" ht="15" x14ac:dyDescent="0.25">
      <c r="A4433" s="53" t="inlineStr">
        <is>
          <t>LAB-004432</t>
        </is>
      </c>
      <c r="B4433" s="53" t="inlineStr">
        <is>
          <t>WP-01947</t>
        </is>
      </c>
      <c r="C4433" s="53" t="inlineStr">
        <is>
          <t>TECH-012</t>
        </is>
      </c>
      <c r="D4433" s="53" t="inlineStr">
        <is>
          <t>Powerplant</t>
        </is>
      </c>
      <c r="E4433" s="53" t="inlineStr">
        <is>
          <t>2025-10-04</t>
        </is>
      </c>
      <c r="F4433" s="53">
        <v>12</v>
      </c>
      <c r="G4433" s="53">
        <v>4</v>
      </c>
      <c r="H4433" s="51" t="str">
        <f>TEXT(tblLaborEntries[[#This Row],[Work date serial]]-WEEKDAY(tblLaborEntries[[#This Row],[Work date serial]],3),"yyyy-mm-dd")</f>
        <v>2025-09-29</v>
      </c>
      <c r="I4433" s="64">
        <f>DATEVALUE(tblLaborEntries[[#This Row],[Work date]])</f>
        <v>45934.0</v>
      </c>
    </row>
    <row r="4434" spans="1:9" ht="15" x14ac:dyDescent="0.25">
      <c r="A4434" s="53" t="inlineStr">
        <is>
          <t>LAB-004433</t>
        </is>
      </c>
      <c r="B4434" s="53" t="inlineStr">
        <is>
          <t>WP-01947</t>
        </is>
      </c>
      <c r="C4434" s="53" t="inlineStr">
        <is>
          <t>TECH-018</t>
        </is>
      </c>
      <c r="D4434" s="53" t="inlineStr">
        <is>
          <t>Powerplant</t>
        </is>
      </c>
      <c r="E4434" s="53" t="inlineStr">
        <is>
          <t>2025-10-04</t>
        </is>
      </c>
      <c r="F4434" s="53">
        <v>5.9</v>
      </c>
      <c r="G4434" s="53">
        <v>4</v>
      </c>
      <c r="H4434" s="51" t="str">
        <f>TEXT(tblLaborEntries[[#This Row],[Work date serial]]-WEEKDAY(tblLaborEntries[[#This Row],[Work date serial]],3),"yyyy-mm-dd")</f>
        <v>2025-09-29</v>
      </c>
      <c r="I4434" s="64">
        <f>DATEVALUE(tblLaborEntries[[#This Row],[Work date]])</f>
        <v>45934.0</v>
      </c>
    </row>
    <row r="4435" spans="1:9" ht="15" x14ac:dyDescent="0.25">
      <c r="A4435" s="53" t="inlineStr">
        <is>
          <t>LAB-004434</t>
        </is>
      </c>
      <c r="B4435" s="53" t="inlineStr">
        <is>
          <t>WP-01947</t>
        </is>
      </c>
      <c r="C4435" s="53" t="inlineStr">
        <is>
          <t>TECH-024</t>
        </is>
      </c>
      <c r="D4435" s="53" t="inlineStr">
        <is>
          <t>Powerplant</t>
        </is>
      </c>
      <c r="E4435" s="53" t="inlineStr">
        <is>
          <t>2025-10-04</t>
        </is>
      </c>
      <c r="F4435" s="53">
        <v>6.1</v>
      </c>
      <c r="G4435" s="53">
        <v>0</v>
      </c>
      <c r="H4435" s="51" t="str">
        <f>TEXT(tblLaborEntries[[#This Row],[Work date serial]]-WEEKDAY(tblLaborEntries[[#This Row],[Work date serial]],3),"yyyy-mm-dd")</f>
        <v>2025-09-29</v>
      </c>
      <c r="I4435" s="64">
        <f>DATEVALUE(tblLaborEntries[[#This Row],[Work date]])</f>
        <v>45934.0</v>
      </c>
    </row>
    <row r="4436" spans="1:9" ht="15" x14ac:dyDescent="0.25">
      <c r="A4436" s="53" t="inlineStr">
        <is>
          <t>LAB-004435</t>
        </is>
      </c>
      <c r="B4436" s="53" t="inlineStr">
        <is>
          <t>WP-01948</t>
        </is>
      </c>
      <c r="C4436" s="53" t="inlineStr">
        <is>
          <t>TECH-025</t>
        </is>
      </c>
      <c r="D4436" s="53" t="inlineStr">
        <is>
          <t>Airframe</t>
        </is>
      </c>
      <c r="E4436" s="53" t="inlineStr">
        <is>
          <t>2025-06-03</t>
        </is>
      </c>
      <c r="F4436" s="53">
        <v>4.7</v>
      </c>
      <c r="G4436" s="53">
        <v>0</v>
      </c>
      <c r="H4436" s="51" t="str">
        <f>TEXT(tblLaborEntries[[#This Row],[Work date serial]]-WEEKDAY(tblLaborEntries[[#This Row],[Work date serial]],3),"yyyy-mm-dd")</f>
        <v>2025-06-02</v>
      </c>
      <c r="I4436" s="64">
        <f>DATEVALUE(tblLaborEntries[[#This Row],[Work date]])</f>
        <v>45811.0</v>
      </c>
    </row>
    <row r="4437" spans="1:9" ht="15" x14ac:dyDescent="0.25">
      <c r="A4437" s="53" t="inlineStr">
        <is>
          <t>LAB-004436</t>
        </is>
      </c>
      <c r="B4437" s="53" t="inlineStr">
        <is>
          <t>WP-01949</t>
        </is>
      </c>
      <c r="C4437" s="53" t="inlineStr">
        <is>
          <t>TECH-057</t>
        </is>
      </c>
      <c r="D4437" s="53" t="inlineStr">
        <is>
          <t>Hydraulics</t>
        </is>
      </c>
      <c r="E4437" s="53" t="inlineStr">
        <is>
          <t>2024-06-28</t>
        </is>
      </c>
      <c r="F4437" s="53">
        <v>10</v>
      </c>
      <c r="G4437" s="53">
        <v>2</v>
      </c>
      <c r="H4437" s="51" t="str">
        <f>TEXT(tblLaborEntries[[#This Row],[Work date serial]]-WEEKDAY(tblLaborEntries[[#This Row],[Work date serial]],3),"yyyy-mm-dd")</f>
        <v>2024-06-24</v>
      </c>
      <c r="I4437" s="64">
        <f>DATEVALUE(tblLaborEntries[[#This Row],[Work date]])</f>
        <v>45471.0</v>
      </c>
    </row>
    <row r="4438" spans="1:9" ht="15" x14ac:dyDescent="0.25">
      <c r="A4438" s="53" t="inlineStr">
        <is>
          <t>LAB-004437</t>
        </is>
      </c>
      <c r="B4438" s="53" t="inlineStr">
        <is>
          <t>WP-01950</t>
        </is>
      </c>
      <c r="C4438" s="53" t="inlineStr">
        <is>
          <t>TECH-045</t>
        </is>
      </c>
      <c r="D4438" s="53" t="inlineStr">
        <is>
          <t>Hydraulics</t>
        </is>
      </c>
      <c r="E4438" s="53" t="inlineStr">
        <is>
          <t>2024-03-28</t>
        </is>
      </c>
      <c r="F4438" s="53">
        <v>6.3</v>
      </c>
      <c r="G4438" s="53">
        <v>0</v>
      </c>
      <c r="H4438" s="51" t="str">
        <f>TEXT(tblLaborEntries[[#This Row],[Work date serial]]-WEEKDAY(tblLaborEntries[[#This Row],[Work date serial]],3),"yyyy-mm-dd")</f>
        <v>2024-03-25</v>
      </c>
      <c r="I4438" s="64">
        <f>DATEVALUE(tblLaborEntries[[#This Row],[Work date]])</f>
        <v>45379.0</v>
      </c>
    </row>
    <row r="4439" spans="1:9" ht="15" x14ac:dyDescent="0.25">
      <c r="A4439" s="53" t="inlineStr">
        <is>
          <t>LAB-004438</t>
        </is>
      </c>
      <c r="B4439" s="53" t="inlineStr">
        <is>
          <t>WP-01950</t>
        </is>
      </c>
      <c r="C4439" s="53" t="inlineStr">
        <is>
          <t>TECH-027</t>
        </is>
      </c>
      <c r="D4439" s="53" t="inlineStr">
        <is>
          <t>Hydraulics</t>
        </is>
      </c>
      <c r="E4439" s="53" t="inlineStr">
        <is>
          <t>2024-03-29</t>
        </is>
      </c>
      <c r="F4439" s="53">
        <v>9.1</v>
      </c>
      <c r="G4439" s="53">
        <v>1.1</v>
      </c>
      <c r="H4439" s="51" t="str">
        <f>TEXT(tblLaborEntries[[#This Row],[Work date serial]]-WEEKDAY(tblLaborEntries[[#This Row],[Work date serial]],3),"yyyy-mm-dd")</f>
        <v>2024-03-25</v>
      </c>
      <c r="I4439" s="64">
        <f>DATEVALUE(tblLaborEntries[[#This Row],[Work date]])</f>
        <v>45380.0</v>
      </c>
    </row>
    <row r="4440" spans="1:9" ht="15" x14ac:dyDescent="0.25">
      <c r="A4440" s="53" t="inlineStr">
        <is>
          <t>LAB-004439</t>
        </is>
      </c>
      <c r="B4440" s="53" t="inlineStr">
        <is>
          <t>WP-01951</t>
        </is>
      </c>
      <c r="C4440" s="53" t="inlineStr">
        <is>
          <t>TECH-054</t>
        </is>
      </c>
      <c r="D4440" s="53" t="inlineStr">
        <is>
          <t>Powerplant</t>
        </is>
      </c>
      <c r="E4440" s="53" t="inlineStr">
        <is>
          <t>2025-02-21</t>
        </is>
      </c>
      <c r="F4440" s="53">
        <v>10.4</v>
      </c>
      <c r="G4440" s="53">
        <v>2.4</v>
      </c>
      <c r="H4440" s="51" t="str">
        <f>TEXT(tblLaborEntries[[#This Row],[Work date serial]]-WEEKDAY(tblLaborEntries[[#This Row],[Work date serial]],3),"yyyy-mm-dd")</f>
        <v>2025-02-17</v>
      </c>
      <c r="I4440" s="64">
        <f>DATEVALUE(tblLaborEntries[[#This Row],[Work date]])</f>
        <v>45709.0</v>
      </c>
    </row>
    <row r="4441" spans="1:9" ht="15" x14ac:dyDescent="0.25">
      <c r="A4441" s="53" t="inlineStr">
        <is>
          <t>LAB-004440</t>
        </is>
      </c>
      <c r="B4441" s="53" t="inlineStr">
        <is>
          <t>WP-01952</t>
        </is>
      </c>
      <c r="C4441" s="53" t="inlineStr">
        <is>
          <t>TECH-043</t>
        </is>
      </c>
      <c r="D4441" s="53" t="inlineStr">
        <is>
          <t>Airframe</t>
        </is>
      </c>
      <c r="E4441" s="53" t="inlineStr">
        <is>
          <t>2024-07-29</t>
        </is>
      </c>
      <c r="F4441" s="53">
        <v>2.4</v>
      </c>
      <c r="G4441" s="53">
        <v>0</v>
      </c>
      <c r="H4441" s="51" t="str">
        <f>TEXT(tblLaborEntries[[#This Row],[Work date serial]]-WEEKDAY(tblLaborEntries[[#This Row],[Work date serial]],3),"yyyy-mm-dd")</f>
        <v>2024-07-29</v>
      </c>
      <c r="I4441" s="64">
        <f>DATEVALUE(tblLaborEntries[[#This Row],[Work date]])</f>
        <v>45502.0</v>
      </c>
    </row>
    <row r="4442" spans="1:9" ht="15" x14ac:dyDescent="0.25">
      <c r="A4442" s="53" t="inlineStr">
        <is>
          <t>LAB-004441</t>
        </is>
      </c>
      <c r="B4442" s="53" t="inlineStr">
        <is>
          <t>WP-01952</t>
        </is>
      </c>
      <c r="C4442" s="53" t="inlineStr">
        <is>
          <t>TECH-013</t>
        </is>
      </c>
      <c r="D4442" s="53" t="inlineStr">
        <is>
          <t>Airframe</t>
        </is>
      </c>
      <c r="E4442" s="53" t="inlineStr">
        <is>
          <t>2024-07-30</t>
        </is>
      </c>
      <c r="F4442" s="53">
        <v>1.9</v>
      </c>
      <c r="G4442" s="53">
        <v>0</v>
      </c>
      <c r="H4442" s="51" t="str">
        <f>TEXT(tblLaborEntries[[#This Row],[Work date serial]]-WEEKDAY(tblLaborEntries[[#This Row],[Work date serial]],3),"yyyy-mm-dd")</f>
        <v>2024-07-29</v>
      </c>
      <c r="I4442" s="64">
        <f>DATEVALUE(tblLaborEntries[[#This Row],[Work date]])</f>
        <v>45503.0</v>
      </c>
    </row>
    <row r="4443" spans="1:9" ht="15" x14ac:dyDescent="0.25">
      <c r="A4443" s="53" t="inlineStr">
        <is>
          <t>LAB-004442</t>
        </is>
      </c>
      <c r="B4443" s="53" t="inlineStr">
        <is>
          <t>WP-01952</t>
        </is>
      </c>
      <c r="C4443" s="53" t="inlineStr">
        <is>
          <t>TECH-007</t>
        </is>
      </c>
      <c r="D4443" s="53" t="inlineStr">
        <is>
          <t>Airframe</t>
        </is>
      </c>
      <c r="E4443" s="53" t="inlineStr">
        <is>
          <t>2024-07-31</t>
        </is>
      </c>
      <c r="F4443" s="53">
        <v>2.4</v>
      </c>
      <c r="G4443" s="53">
        <v>0</v>
      </c>
      <c r="H4443" s="51" t="str">
        <f>TEXT(tblLaborEntries[[#This Row],[Work date serial]]-WEEKDAY(tblLaborEntries[[#This Row],[Work date serial]],3),"yyyy-mm-dd")</f>
        <v>2024-07-29</v>
      </c>
      <c r="I4443" s="64">
        <f>DATEVALUE(tblLaborEntries[[#This Row],[Work date]])</f>
        <v>45504.0</v>
      </c>
    </row>
    <row r="4444" spans="1:9" ht="15" x14ac:dyDescent="0.25">
      <c r="A4444" s="53" t="inlineStr">
        <is>
          <t>LAB-004443</t>
        </is>
      </c>
      <c r="B4444" s="53" t="inlineStr">
        <is>
          <t>WP-01953</t>
        </is>
      </c>
      <c r="C4444" s="53" t="inlineStr">
        <is>
          <t>TECH-038</t>
        </is>
      </c>
      <c r="D4444" s="53" t="inlineStr">
        <is>
          <t>Avionics</t>
        </is>
      </c>
      <c r="E4444" s="53" t="inlineStr">
        <is>
          <t>2025-01-24</t>
        </is>
      </c>
      <c r="F4444" s="53">
        <v>4.9</v>
      </c>
      <c r="G4444" s="53">
        <v>0</v>
      </c>
      <c r="H4444" s="51" t="str">
        <f>TEXT(tblLaborEntries[[#This Row],[Work date serial]]-WEEKDAY(tblLaborEntries[[#This Row],[Work date serial]],3),"yyyy-mm-dd")</f>
        <v>2025-01-20</v>
      </c>
      <c r="I4444" s="64">
        <f>DATEVALUE(tblLaborEntries[[#This Row],[Work date]])</f>
        <v>45681.0</v>
      </c>
    </row>
    <row r="4445" spans="1:9" ht="15" x14ac:dyDescent="0.25">
      <c r="A4445" s="53" t="inlineStr">
        <is>
          <t>LAB-004444</t>
        </is>
      </c>
      <c r="B4445" s="53" t="inlineStr">
        <is>
          <t>WP-01953</t>
        </is>
      </c>
      <c r="C4445" s="53" t="inlineStr">
        <is>
          <t>TECH-038</t>
        </is>
      </c>
      <c r="D4445" s="53" t="inlineStr">
        <is>
          <t>Avionics</t>
        </is>
      </c>
      <c r="E4445" s="53" t="inlineStr">
        <is>
          <t>2025-01-25</t>
        </is>
      </c>
      <c r="F4445" s="53">
        <v>5.4</v>
      </c>
      <c r="G4445" s="53">
        <v>0</v>
      </c>
      <c r="H4445" s="51" t="str">
        <f>TEXT(tblLaborEntries[[#This Row],[Work date serial]]-WEEKDAY(tblLaborEntries[[#This Row],[Work date serial]],3),"yyyy-mm-dd")</f>
        <v>2025-01-20</v>
      </c>
      <c r="I4445" s="64">
        <f>DATEVALUE(tblLaborEntries[[#This Row],[Work date]])</f>
        <v>45682.0</v>
      </c>
    </row>
    <row r="4446" spans="1:9" ht="15" x14ac:dyDescent="0.25">
      <c r="A4446" s="53" t="inlineStr">
        <is>
          <t>LAB-004445</t>
        </is>
      </c>
      <c r="B4446" s="53" t="inlineStr">
        <is>
          <t>WP-01953</t>
        </is>
      </c>
      <c r="C4446" s="53" t="inlineStr">
        <is>
          <t>TECH-044</t>
        </is>
      </c>
      <c r="D4446" s="53" t="inlineStr">
        <is>
          <t>Avionics</t>
        </is>
      </c>
      <c r="E4446" s="53" t="inlineStr">
        <is>
          <t>2025-01-26</t>
        </is>
      </c>
      <c r="F4446" s="53">
        <v>4.9</v>
      </c>
      <c r="G4446" s="53">
        <v>0</v>
      </c>
      <c r="H4446" s="51" t="str">
        <f>TEXT(tblLaborEntries[[#This Row],[Work date serial]]-WEEKDAY(tblLaborEntries[[#This Row],[Work date serial]],3),"yyyy-mm-dd")</f>
        <v>2025-01-20</v>
      </c>
      <c r="I4446" s="64">
        <f>DATEVALUE(tblLaborEntries[[#This Row],[Work date]])</f>
        <v>45683.0</v>
      </c>
    </row>
    <row r="4447" spans="1:9" ht="15" x14ac:dyDescent="0.25">
      <c r="A4447" s="53" t="inlineStr">
        <is>
          <t>LAB-004446</t>
        </is>
      </c>
      <c r="B4447" s="53" t="inlineStr">
        <is>
          <t>WP-01954</t>
        </is>
      </c>
      <c r="C4447" s="53" t="inlineStr">
        <is>
          <t>TECH-043</t>
        </is>
      </c>
      <c r="D4447" s="53" t="inlineStr">
        <is>
          <t>Airframe</t>
        </is>
      </c>
      <c r="E4447" s="53" t="inlineStr">
        <is>
          <t>2025-10-17</t>
        </is>
      </c>
      <c r="F4447" s="53">
        <v>0.8</v>
      </c>
      <c r="G4447" s="53">
        <v>0</v>
      </c>
      <c r="H4447" s="51" t="str">
        <f>TEXT(tblLaborEntries[[#This Row],[Work date serial]]-WEEKDAY(tblLaborEntries[[#This Row],[Work date serial]],3),"yyyy-mm-dd")</f>
        <v>2025-10-13</v>
      </c>
      <c r="I4447" s="64">
        <f>DATEVALUE(tblLaborEntries[[#This Row],[Work date]])</f>
        <v>45947.0</v>
      </c>
    </row>
    <row r="4448" spans="1:9" ht="15" x14ac:dyDescent="0.25">
      <c r="A4448" s="53" t="inlineStr">
        <is>
          <t>LAB-004447</t>
        </is>
      </c>
      <c r="B4448" s="53" t="inlineStr">
        <is>
          <t>WP-01954</t>
        </is>
      </c>
      <c r="C4448" s="53" t="inlineStr">
        <is>
          <t>TECH-025</t>
        </is>
      </c>
      <c r="D4448" s="53" t="inlineStr">
        <is>
          <t>Airframe</t>
        </is>
      </c>
      <c r="E4448" s="53" t="inlineStr">
        <is>
          <t>2025-10-18</t>
        </is>
      </c>
      <c r="F4448" s="53">
        <v>1</v>
      </c>
      <c r="G4448" s="53">
        <v>0</v>
      </c>
      <c r="H4448" s="51" t="str">
        <f>TEXT(tblLaborEntries[[#This Row],[Work date serial]]-WEEKDAY(tblLaborEntries[[#This Row],[Work date serial]],3),"yyyy-mm-dd")</f>
        <v>2025-10-13</v>
      </c>
      <c r="I4448" s="64">
        <f>DATEVALUE(tblLaborEntries[[#This Row],[Work date]])</f>
        <v>45948.0</v>
      </c>
    </row>
    <row r="4449" spans="1:9" ht="15" x14ac:dyDescent="0.25">
      <c r="A4449" s="53" t="inlineStr">
        <is>
          <t>LAB-004448</t>
        </is>
      </c>
      <c r="B4449" s="53" t="inlineStr">
        <is>
          <t>WP-01955</t>
        </is>
      </c>
      <c r="C4449" s="53" t="inlineStr">
        <is>
          <t>TECH-026</t>
        </is>
      </c>
      <c r="D4449" s="53" t="inlineStr">
        <is>
          <t>Avionics</t>
        </is>
      </c>
      <c r="E4449" s="53" t="inlineStr">
        <is>
          <t>2024-01-26</t>
        </is>
      </c>
      <c r="F4449" s="53">
        <v>10.1</v>
      </c>
      <c r="G4449" s="53">
        <v>2.1</v>
      </c>
      <c r="H4449" s="51" t="str">
        <f>TEXT(tblLaborEntries[[#This Row],[Work date serial]]-WEEKDAY(tblLaborEntries[[#This Row],[Work date serial]],3),"yyyy-mm-dd")</f>
        <v>2024-01-22</v>
      </c>
      <c r="I4449" s="64">
        <f>DATEVALUE(tblLaborEntries[[#This Row],[Work date]])</f>
        <v>45317.0</v>
      </c>
    </row>
    <row r="4450" spans="1:9" ht="15" x14ac:dyDescent="0.25">
      <c r="A4450" s="53" t="inlineStr">
        <is>
          <t>LAB-004449</t>
        </is>
      </c>
      <c r="B4450" s="53" t="inlineStr">
        <is>
          <t>WP-01956</t>
        </is>
      </c>
      <c r="C4450" s="53" t="inlineStr">
        <is>
          <t>TECH-006</t>
        </is>
      </c>
      <c r="D4450" s="53" t="inlineStr">
        <is>
          <t>Powerplant</t>
        </is>
      </c>
      <c r="E4450" s="53" t="inlineStr">
        <is>
          <t>2024-02-27</t>
        </is>
      </c>
      <c r="F4450" s="53">
        <v>5.5</v>
      </c>
      <c r="G4450" s="53">
        <v>0</v>
      </c>
      <c r="H4450" s="51" t="str">
        <f>TEXT(tblLaborEntries[[#This Row],[Work date serial]]-WEEKDAY(tblLaborEntries[[#This Row],[Work date serial]],3),"yyyy-mm-dd")</f>
        <v>2024-02-26</v>
      </c>
      <c r="I4450" s="64">
        <f>DATEVALUE(tblLaborEntries[[#This Row],[Work date]])</f>
        <v>45349.0</v>
      </c>
    </row>
    <row r="4451" spans="1:9" ht="15" x14ac:dyDescent="0.25">
      <c r="A4451" s="53" t="inlineStr">
        <is>
          <t>LAB-004450</t>
        </is>
      </c>
      <c r="B4451" s="53" t="inlineStr">
        <is>
          <t>WP-01956</t>
        </is>
      </c>
      <c r="C4451" s="53" t="inlineStr">
        <is>
          <t>TECH-030</t>
        </is>
      </c>
      <c r="D4451" s="53" t="inlineStr">
        <is>
          <t>Powerplant</t>
        </is>
      </c>
      <c r="E4451" s="53" t="inlineStr">
        <is>
          <t>2024-02-28</t>
        </is>
      </c>
      <c r="F4451" s="53">
        <v>6.6</v>
      </c>
      <c r="G4451" s="53">
        <v>0</v>
      </c>
      <c r="H4451" s="51" t="str">
        <f>TEXT(tblLaborEntries[[#This Row],[Work date serial]]-WEEKDAY(tblLaborEntries[[#This Row],[Work date serial]],3),"yyyy-mm-dd")</f>
        <v>2024-02-26</v>
      </c>
      <c r="I4451" s="64">
        <f>DATEVALUE(tblLaborEntries[[#This Row],[Work date]])</f>
        <v>45350.0</v>
      </c>
    </row>
    <row r="4452" spans="1:9" ht="15" x14ac:dyDescent="0.25">
      <c r="A4452" s="53" t="inlineStr">
        <is>
          <t>LAB-004451</t>
        </is>
      </c>
      <c r="B4452" s="53" t="inlineStr">
        <is>
          <t>WP-01957</t>
        </is>
      </c>
      <c r="C4452" s="53" t="inlineStr">
        <is>
          <t>TECH-026</t>
        </is>
      </c>
      <c r="D4452" s="53" t="inlineStr">
        <is>
          <t>Avionics</t>
        </is>
      </c>
      <c r="E4452" s="53" t="inlineStr">
        <is>
          <t>2024-07-04</t>
        </is>
      </c>
      <c r="F4452" s="53">
        <v>3.6</v>
      </c>
      <c r="G4452" s="53">
        <v>0</v>
      </c>
      <c r="H4452" s="51" t="str">
        <f>TEXT(tblLaborEntries[[#This Row],[Work date serial]]-WEEKDAY(tblLaborEntries[[#This Row],[Work date serial]],3),"yyyy-mm-dd")</f>
        <v>2024-07-01</v>
      </c>
      <c r="I4452" s="64">
        <f>DATEVALUE(tblLaborEntries[[#This Row],[Work date]])</f>
        <v>45477.0</v>
      </c>
    </row>
    <row r="4453" spans="1:9" ht="15" x14ac:dyDescent="0.25">
      <c r="A4453" s="53" t="inlineStr">
        <is>
          <t>LAB-004452</t>
        </is>
      </c>
      <c r="B4453" s="53" t="inlineStr">
        <is>
          <t>WP-01957</t>
        </is>
      </c>
      <c r="C4453" s="53" t="inlineStr">
        <is>
          <t>TECH-074</t>
        </is>
      </c>
      <c r="D4453" s="53" t="inlineStr">
        <is>
          <t>Avionics</t>
        </is>
      </c>
      <c r="E4453" s="53" t="inlineStr">
        <is>
          <t>2024-07-05</t>
        </is>
      </c>
      <c r="F4453" s="53">
        <v>3.9</v>
      </c>
      <c r="G4453" s="53">
        <v>0</v>
      </c>
      <c r="H4453" s="51" t="str">
        <f>TEXT(tblLaborEntries[[#This Row],[Work date serial]]-WEEKDAY(tblLaborEntries[[#This Row],[Work date serial]],3),"yyyy-mm-dd")</f>
        <v>2024-07-01</v>
      </c>
      <c r="I4453" s="64">
        <f>DATEVALUE(tblLaborEntries[[#This Row],[Work date]])</f>
        <v>45478.0</v>
      </c>
    </row>
    <row r="4454" spans="1:9" ht="15" x14ac:dyDescent="0.25">
      <c r="A4454" s="53" t="inlineStr">
        <is>
          <t>LAB-004453</t>
        </is>
      </c>
      <c r="B4454" s="53" t="inlineStr">
        <is>
          <t>WP-01958</t>
        </is>
      </c>
      <c r="C4454" s="53" t="inlineStr">
        <is>
          <t>TECH-055</t>
        </is>
      </c>
      <c r="D4454" s="53" t="inlineStr">
        <is>
          <t>Airframe</t>
        </is>
      </c>
      <c r="E4454" s="53" t="inlineStr">
        <is>
          <t>2025-05-16</t>
        </is>
      </c>
      <c r="F4454" s="53">
        <v>10</v>
      </c>
      <c r="G4454" s="53">
        <v>2</v>
      </c>
      <c r="H4454" s="51" t="str">
        <f>TEXT(tblLaborEntries[[#This Row],[Work date serial]]-WEEKDAY(tblLaborEntries[[#This Row],[Work date serial]],3),"yyyy-mm-dd")</f>
        <v>2025-05-12</v>
      </c>
      <c r="I4454" s="64">
        <f>DATEVALUE(tblLaborEntries[[#This Row],[Work date]])</f>
        <v>45793.0</v>
      </c>
    </row>
    <row r="4455" spans="1:9" ht="15" x14ac:dyDescent="0.25">
      <c r="A4455" s="53" t="inlineStr">
        <is>
          <t>LAB-004454</t>
        </is>
      </c>
      <c r="B4455" s="53" t="inlineStr">
        <is>
          <t>WP-01959</t>
        </is>
      </c>
      <c r="C4455" s="53" t="inlineStr">
        <is>
          <t>TECH-038</t>
        </is>
      </c>
      <c r="D4455" s="53" t="inlineStr">
        <is>
          <t>Avionics</t>
        </is>
      </c>
      <c r="E4455" s="53" t="inlineStr">
        <is>
          <t>2024-01-26</t>
        </is>
      </c>
      <c r="F4455" s="53">
        <v>4.2</v>
      </c>
      <c r="G4455" s="53">
        <v>0</v>
      </c>
      <c r="H4455" s="51" t="str">
        <f>TEXT(tblLaborEntries[[#This Row],[Work date serial]]-WEEKDAY(tblLaborEntries[[#This Row],[Work date serial]],3),"yyyy-mm-dd")</f>
        <v>2024-01-22</v>
      </c>
      <c r="I4455" s="64">
        <f>DATEVALUE(tblLaborEntries[[#This Row],[Work date]])</f>
        <v>45317.0</v>
      </c>
    </row>
    <row r="4456" spans="1:9" ht="15" x14ac:dyDescent="0.25">
      <c r="A4456" s="53" t="inlineStr">
        <is>
          <t>LAB-004455</t>
        </is>
      </c>
      <c r="B4456" s="53" t="inlineStr">
        <is>
          <t>WP-01959</t>
        </is>
      </c>
      <c r="C4456" s="53" t="inlineStr">
        <is>
          <t>TECH-002</t>
        </is>
      </c>
      <c r="D4456" s="53" t="inlineStr">
        <is>
          <t>Avionics</t>
        </is>
      </c>
      <c r="E4456" s="53" t="inlineStr">
        <is>
          <t>2024-01-27</t>
        </is>
      </c>
      <c r="F4456" s="53">
        <v>4.4</v>
      </c>
      <c r="G4456" s="53">
        <v>0</v>
      </c>
      <c r="H4456" s="51" t="str">
        <f>TEXT(tblLaborEntries[[#This Row],[Work date serial]]-WEEKDAY(tblLaborEntries[[#This Row],[Work date serial]],3),"yyyy-mm-dd")</f>
        <v>2024-01-22</v>
      </c>
      <c r="I4456" s="64">
        <f>DATEVALUE(tblLaborEntries[[#This Row],[Work date]])</f>
        <v>45318.0</v>
      </c>
    </row>
    <row r="4457" spans="1:9" ht="15" x14ac:dyDescent="0.25">
      <c r="A4457" s="53" t="inlineStr">
        <is>
          <t>LAB-004456</t>
        </is>
      </c>
      <c r="B4457" s="53" t="inlineStr">
        <is>
          <t>WP-01959</t>
        </is>
      </c>
      <c r="C4457" s="53" t="inlineStr">
        <is>
          <t>TECH-002</t>
        </is>
      </c>
      <c r="D4457" s="53" t="inlineStr">
        <is>
          <t>Avionics</t>
        </is>
      </c>
      <c r="E4457" s="53" t="inlineStr">
        <is>
          <t>2024-01-28</t>
        </is>
      </c>
      <c r="F4457" s="53">
        <v>3.5</v>
      </c>
      <c r="G4457" s="53">
        <v>0</v>
      </c>
      <c r="H4457" s="51" t="str">
        <f>TEXT(tblLaborEntries[[#This Row],[Work date serial]]-WEEKDAY(tblLaborEntries[[#This Row],[Work date serial]],3),"yyyy-mm-dd")</f>
        <v>2024-01-22</v>
      </c>
      <c r="I4457" s="64">
        <f>DATEVALUE(tblLaborEntries[[#This Row],[Work date]])</f>
        <v>45319.0</v>
      </c>
    </row>
    <row r="4458" spans="1:9" ht="15" x14ac:dyDescent="0.25">
      <c r="A4458" s="53" t="inlineStr">
        <is>
          <t>LAB-004457</t>
        </is>
      </c>
      <c r="B4458" s="53" t="inlineStr">
        <is>
          <t>WP-01960</t>
        </is>
      </c>
      <c r="C4458" s="53" t="inlineStr">
        <is>
          <t>TECH-012</t>
        </is>
      </c>
      <c r="D4458" s="53" t="inlineStr">
        <is>
          <t>Powerplant</t>
        </is>
      </c>
      <c r="E4458" s="53" t="inlineStr">
        <is>
          <t>2024-01-15</t>
        </is>
      </c>
      <c r="F4458" s="53">
        <v>7.5</v>
      </c>
      <c r="G4458" s="53">
        <v>0</v>
      </c>
      <c r="H4458" s="51" t="str">
        <f>TEXT(tblLaborEntries[[#This Row],[Work date serial]]-WEEKDAY(tblLaborEntries[[#This Row],[Work date serial]],3),"yyyy-mm-dd")</f>
        <v>2024-01-15</v>
      </c>
      <c r="I4458" s="64">
        <f>DATEVALUE(tblLaborEntries[[#This Row],[Work date]])</f>
        <v>45306.0</v>
      </c>
    </row>
    <row r="4459" spans="1:9" ht="15" x14ac:dyDescent="0.25">
      <c r="A4459" s="53" t="inlineStr">
        <is>
          <t>LAB-004458</t>
        </is>
      </c>
      <c r="B4459" s="53" t="inlineStr">
        <is>
          <t>WP-01960</t>
        </is>
      </c>
      <c r="C4459" s="53" t="inlineStr">
        <is>
          <t>TECH-018</t>
        </is>
      </c>
      <c r="D4459" s="53" t="inlineStr">
        <is>
          <t>Powerplant</t>
        </is>
      </c>
      <c r="E4459" s="53" t="inlineStr">
        <is>
          <t>2024-01-16</t>
        </is>
      </c>
      <c r="F4459" s="53">
        <v>8.5</v>
      </c>
      <c r="G4459" s="53">
        <v>0.5</v>
      </c>
      <c r="H4459" s="51" t="str">
        <f>TEXT(tblLaborEntries[[#This Row],[Work date serial]]-WEEKDAY(tblLaborEntries[[#This Row],[Work date serial]],3),"yyyy-mm-dd")</f>
        <v>2024-01-15</v>
      </c>
      <c r="I4459" s="64">
        <f>DATEVALUE(tblLaborEntries[[#This Row],[Work date]])</f>
        <v>45307.0</v>
      </c>
    </row>
    <row r="4460" spans="1:9" ht="15" x14ac:dyDescent="0.25">
      <c r="A4460" s="53" t="inlineStr">
        <is>
          <t>LAB-004459</t>
        </is>
      </c>
      <c r="B4460" s="53" t="inlineStr">
        <is>
          <t>WP-01960</t>
        </is>
      </c>
      <c r="C4460" s="53" t="inlineStr">
        <is>
          <t>TECH-030</t>
        </is>
      </c>
      <c r="D4460" s="53" t="inlineStr">
        <is>
          <t>Powerplant</t>
        </is>
      </c>
      <c r="E4460" s="53" t="inlineStr">
        <is>
          <t>2024-01-17</t>
        </is>
      </c>
      <c r="F4460" s="53">
        <v>9.1</v>
      </c>
      <c r="G4460" s="53">
        <v>1.1</v>
      </c>
      <c r="H4460" s="51" t="str">
        <f>TEXT(tblLaborEntries[[#This Row],[Work date serial]]-WEEKDAY(tblLaborEntries[[#This Row],[Work date serial]],3),"yyyy-mm-dd")</f>
        <v>2024-01-15</v>
      </c>
      <c r="I4460" s="64">
        <f>DATEVALUE(tblLaborEntries[[#This Row],[Work date]])</f>
        <v>45308.0</v>
      </c>
    </row>
    <row r="4461" spans="1:9" ht="15" x14ac:dyDescent="0.25">
      <c r="A4461" s="53" t="inlineStr">
        <is>
          <t>LAB-004460</t>
        </is>
      </c>
      <c r="B4461" s="53" t="inlineStr">
        <is>
          <t>WP-01961</t>
        </is>
      </c>
      <c r="C4461" s="53" t="inlineStr">
        <is>
          <t>TECH-001</t>
        </is>
      </c>
      <c r="D4461" s="53" t="inlineStr">
        <is>
          <t>Airframe</t>
        </is>
      </c>
      <c r="E4461" s="53" t="inlineStr">
        <is>
          <t>2024-03-18</t>
        </is>
      </c>
      <c r="F4461" s="53">
        <v>10.4</v>
      </c>
      <c r="G4461" s="53">
        <v>2.4</v>
      </c>
      <c r="H4461" s="51" t="str">
        <f>TEXT(tblLaborEntries[[#This Row],[Work date serial]]-WEEKDAY(tblLaborEntries[[#This Row],[Work date serial]],3),"yyyy-mm-dd")</f>
        <v>2024-03-18</v>
      </c>
      <c r="I4461" s="64">
        <f>DATEVALUE(tblLaborEntries[[#This Row],[Work date]])</f>
        <v>45369.0</v>
      </c>
    </row>
    <row r="4462" spans="1:9" ht="15" x14ac:dyDescent="0.25">
      <c r="A4462" s="53" t="inlineStr">
        <is>
          <t>LAB-004461</t>
        </is>
      </c>
      <c r="B4462" s="53" t="inlineStr">
        <is>
          <t>WP-01961</t>
        </is>
      </c>
      <c r="C4462" s="53" t="inlineStr">
        <is>
          <t>TECH-031</t>
        </is>
      </c>
      <c r="D4462" s="53" t="inlineStr">
        <is>
          <t>Airframe</t>
        </is>
      </c>
      <c r="E4462" s="53" t="inlineStr">
        <is>
          <t>2024-03-18</t>
        </is>
      </c>
      <c r="F4462" s="53">
        <v>12</v>
      </c>
      <c r="G4462" s="53">
        <v>4</v>
      </c>
      <c r="H4462" s="51" t="str">
        <f>TEXT(tblLaborEntries[[#This Row],[Work date serial]]-WEEKDAY(tblLaborEntries[[#This Row],[Work date serial]],3),"yyyy-mm-dd")</f>
        <v>2024-03-18</v>
      </c>
      <c r="I4462" s="64">
        <f>DATEVALUE(tblLaborEntries[[#This Row],[Work date]])</f>
        <v>45369.0</v>
      </c>
    </row>
    <row r="4463" spans="1:9" ht="15" x14ac:dyDescent="0.25">
      <c r="A4463" s="53" t="inlineStr">
        <is>
          <t>LAB-004462</t>
        </is>
      </c>
      <c r="B4463" s="53" t="inlineStr">
        <is>
          <t>WP-01962</t>
        </is>
      </c>
      <c r="C4463" s="53" t="inlineStr">
        <is>
          <t>TECH-062</t>
        </is>
      </c>
      <c r="D4463" s="53" t="inlineStr">
        <is>
          <t>Avionics</t>
        </is>
      </c>
      <c r="E4463" s="53" t="inlineStr">
        <is>
          <t>2024-12-25</t>
        </is>
      </c>
      <c r="F4463" s="53">
        <v>3.8</v>
      </c>
      <c r="G4463" s="53">
        <v>0</v>
      </c>
      <c r="H4463" s="51" t="str">
        <f>TEXT(tblLaborEntries[[#This Row],[Work date serial]]-WEEKDAY(tblLaborEntries[[#This Row],[Work date serial]],3),"yyyy-mm-dd")</f>
        <v>2024-12-23</v>
      </c>
      <c r="I4463" s="64">
        <f>DATEVALUE(tblLaborEntries[[#This Row],[Work date]])</f>
        <v>45651.0</v>
      </c>
    </row>
    <row r="4464" spans="1:9" ht="15" x14ac:dyDescent="0.25">
      <c r="A4464" s="53" t="inlineStr">
        <is>
          <t>LAB-004463</t>
        </is>
      </c>
      <c r="B4464" s="53" t="inlineStr">
        <is>
          <t>WP-01962</t>
        </is>
      </c>
      <c r="C4464" s="53" t="inlineStr">
        <is>
          <t>TECH-050</t>
        </is>
      </c>
      <c r="D4464" s="53" t="inlineStr">
        <is>
          <t>Avionics</t>
        </is>
      </c>
      <c r="E4464" s="53" t="inlineStr">
        <is>
          <t>2024-12-26</t>
        </is>
      </c>
      <c r="F4464" s="53">
        <v>5.5</v>
      </c>
      <c r="G4464" s="53">
        <v>0</v>
      </c>
      <c r="H4464" s="51" t="str">
        <f>TEXT(tblLaborEntries[[#This Row],[Work date serial]]-WEEKDAY(tblLaborEntries[[#This Row],[Work date serial]],3),"yyyy-mm-dd")</f>
        <v>2024-12-23</v>
      </c>
      <c r="I4464" s="64">
        <f>DATEVALUE(tblLaborEntries[[#This Row],[Work date]])</f>
        <v>45652.0</v>
      </c>
    </row>
    <row r="4465" spans="1:9" ht="15" x14ac:dyDescent="0.25">
      <c r="A4465" s="53" t="inlineStr">
        <is>
          <t>LAB-004464</t>
        </is>
      </c>
      <c r="B4465" s="53" t="inlineStr">
        <is>
          <t>WP-01962</t>
        </is>
      </c>
      <c r="C4465" s="53" t="inlineStr">
        <is>
          <t>TECH-044</t>
        </is>
      </c>
      <c r="D4465" s="53" t="inlineStr">
        <is>
          <t>Avionics</t>
        </is>
      </c>
      <c r="E4465" s="53" t="inlineStr">
        <is>
          <t>2024-12-27</t>
        </is>
      </c>
      <c r="F4465" s="53">
        <v>3.9</v>
      </c>
      <c r="G4465" s="53">
        <v>0</v>
      </c>
      <c r="H4465" s="51" t="str">
        <f>TEXT(tblLaborEntries[[#This Row],[Work date serial]]-WEEKDAY(tblLaborEntries[[#This Row],[Work date serial]],3),"yyyy-mm-dd")</f>
        <v>2024-12-23</v>
      </c>
      <c r="I4465" s="64">
        <f>DATEVALUE(tblLaborEntries[[#This Row],[Work date]])</f>
        <v>45653.0</v>
      </c>
    </row>
    <row r="4466" spans="1:9" ht="15" x14ac:dyDescent="0.25">
      <c r="A4466" s="53" t="inlineStr">
        <is>
          <t>LAB-004465</t>
        </is>
      </c>
      <c r="B4466" s="53" t="inlineStr">
        <is>
          <t>WP-01963</t>
        </is>
      </c>
      <c r="C4466" s="53" t="inlineStr">
        <is>
          <t>TECH-066</t>
        </is>
      </c>
      <c r="D4466" s="53" t="inlineStr">
        <is>
          <t>Powerplant</t>
        </is>
      </c>
      <c r="E4466" s="53" t="inlineStr">
        <is>
          <t>2025-04-01</t>
        </is>
      </c>
      <c r="F4466" s="53">
        <v>4.4</v>
      </c>
      <c r="G4466" s="53">
        <v>0</v>
      </c>
      <c r="H4466" s="51" t="str">
        <f>TEXT(tblLaborEntries[[#This Row],[Work date serial]]-WEEKDAY(tblLaborEntries[[#This Row],[Work date serial]],3),"yyyy-mm-dd")</f>
        <v>2025-03-31</v>
      </c>
      <c r="I4466" s="64">
        <f>DATEVALUE(tblLaborEntries[[#This Row],[Work date]])</f>
        <v>45748.0</v>
      </c>
    </row>
    <row r="4467" spans="1:9" ht="15" x14ac:dyDescent="0.25">
      <c r="A4467" s="53" t="inlineStr">
        <is>
          <t>LAB-004466</t>
        </is>
      </c>
      <c r="B4467" s="53" t="inlineStr">
        <is>
          <t>WP-01963</t>
        </is>
      </c>
      <c r="C4467" s="53" t="inlineStr">
        <is>
          <t>TECH-072</t>
        </is>
      </c>
      <c r="D4467" s="53" t="inlineStr">
        <is>
          <t>Powerplant</t>
        </is>
      </c>
      <c r="E4467" s="53" t="inlineStr">
        <is>
          <t>2025-04-02</t>
        </is>
      </c>
      <c r="F4467" s="53">
        <v>4.6</v>
      </c>
      <c r="G4467" s="53">
        <v>0</v>
      </c>
      <c r="H4467" s="51" t="str">
        <f>TEXT(tblLaborEntries[[#This Row],[Work date serial]]-WEEKDAY(tblLaborEntries[[#This Row],[Work date serial]],3),"yyyy-mm-dd")</f>
        <v>2025-03-31</v>
      </c>
      <c r="I4467" s="64">
        <f>DATEVALUE(tblLaborEntries[[#This Row],[Work date]])</f>
        <v>45749.0</v>
      </c>
    </row>
    <row r="4468" spans="1:9" ht="15" x14ac:dyDescent="0.25">
      <c r="A4468" s="53" t="inlineStr">
        <is>
          <t>LAB-004467</t>
        </is>
      </c>
      <c r="B4468" s="53" t="inlineStr">
        <is>
          <t>WP-01964</t>
        </is>
      </c>
      <c r="C4468" s="53" t="inlineStr">
        <is>
          <t>TECH-050</t>
        </is>
      </c>
      <c r="D4468" s="53" t="inlineStr">
        <is>
          <t>Avionics</t>
        </is>
      </c>
      <c r="E4468" s="53" t="inlineStr">
        <is>
          <t>2024-03-21</t>
        </is>
      </c>
      <c r="F4468" s="53">
        <v>5.3</v>
      </c>
      <c r="G4468" s="53">
        <v>0</v>
      </c>
      <c r="H4468" s="51" t="str">
        <f>TEXT(tblLaborEntries[[#This Row],[Work date serial]]-WEEKDAY(tblLaborEntries[[#This Row],[Work date serial]],3),"yyyy-mm-dd")</f>
        <v>2024-03-18</v>
      </c>
      <c r="I4468" s="64">
        <f>DATEVALUE(tblLaborEntries[[#This Row],[Work date]])</f>
        <v>45372.0</v>
      </c>
    </row>
    <row r="4469" spans="1:9" ht="15" x14ac:dyDescent="0.25">
      <c r="A4469" s="53" t="inlineStr">
        <is>
          <t>LAB-004468</t>
        </is>
      </c>
      <c r="B4469" s="53" t="inlineStr">
        <is>
          <t>WP-01964</t>
        </is>
      </c>
      <c r="C4469" s="53" t="inlineStr">
        <is>
          <t>TECH-002</t>
        </is>
      </c>
      <c r="D4469" s="53" t="inlineStr">
        <is>
          <t>Avionics</t>
        </is>
      </c>
      <c r="E4469" s="53" t="inlineStr">
        <is>
          <t>2024-03-22</t>
        </is>
      </c>
      <c r="F4469" s="53">
        <v>5.6</v>
      </c>
      <c r="G4469" s="53">
        <v>0</v>
      </c>
      <c r="H4469" s="51" t="str">
        <f>TEXT(tblLaborEntries[[#This Row],[Work date serial]]-WEEKDAY(tblLaborEntries[[#This Row],[Work date serial]],3),"yyyy-mm-dd")</f>
        <v>2024-03-18</v>
      </c>
      <c r="I4469" s="64">
        <f>DATEVALUE(tblLaborEntries[[#This Row],[Work date]])</f>
        <v>45373.0</v>
      </c>
    </row>
    <row r="4470" spans="1:9" ht="15" x14ac:dyDescent="0.25">
      <c r="A4470" s="53" t="inlineStr">
        <is>
          <t>LAB-004469</t>
        </is>
      </c>
      <c r="B4470" s="53" t="inlineStr">
        <is>
          <t>WP-01965</t>
        </is>
      </c>
      <c r="C4470" s="53" t="inlineStr">
        <is>
          <t>TECH-068</t>
        </is>
      </c>
      <c r="D4470" s="53" t="inlineStr">
        <is>
          <t>Avionics</t>
        </is>
      </c>
      <c r="E4470" s="53" t="inlineStr">
        <is>
          <t>2025-06-30</t>
        </is>
      </c>
      <c r="F4470" s="53">
        <v>7.7</v>
      </c>
      <c r="G4470" s="53">
        <v>0</v>
      </c>
      <c r="H4470" s="51" t="str">
        <f>TEXT(tblLaborEntries[[#This Row],[Work date serial]]-WEEKDAY(tblLaborEntries[[#This Row],[Work date serial]],3),"yyyy-mm-dd")</f>
        <v>2025-06-30</v>
      </c>
      <c r="I4470" s="64">
        <f>DATEVALUE(tblLaborEntries[[#This Row],[Work date]])</f>
        <v>45838.0</v>
      </c>
    </row>
    <row r="4471" spans="1:9" ht="15" x14ac:dyDescent="0.25">
      <c r="A4471" s="53" t="inlineStr">
        <is>
          <t>LAB-004470</t>
        </is>
      </c>
      <c r="B4471" s="53" t="inlineStr">
        <is>
          <t>WP-01965</t>
        </is>
      </c>
      <c r="C4471" s="53" t="inlineStr">
        <is>
          <t>TECH-002</t>
        </is>
      </c>
      <c r="D4471" s="53" t="inlineStr">
        <is>
          <t>Avionics</t>
        </is>
      </c>
      <c r="E4471" s="53" t="inlineStr">
        <is>
          <t>2025-07-01</t>
        </is>
      </c>
      <c r="F4471" s="53">
        <v>5.7</v>
      </c>
      <c r="G4471" s="53">
        <v>0</v>
      </c>
      <c r="H4471" s="51" t="str">
        <f>TEXT(tblLaborEntries[[#This Row],[Work date serial]]-WEEKDAY(tblLaborEntries[[#This Row],[Work date serial]],3),"yyyy-mm-dd")</f>
        <v>2025-06-30</v>
      </c>
      <c r="I4471" s="64">
        <f>DATEVALUE(tblLaborEntries[[#This Row],[Work date]])</f>
        <v>45839.0</v>
      </c>
    </row>
    <row r="4472" spans="1:9" ht="15" x14ac:dyDescent="0.25">
      <c r="A4472" s="53" t="inlineStr">
        <is>
          <t>LAB-004471</t>
        </is>
      </c>
      <c r="B4472" s="53" t="inlineStr">
        <is>
          <t>WP-01965</t>
        </is>
      </c>
      <c r="C4472" s="53" t="inlineStr">
        <is>
          <t>TECH-020</t>
        </is>
      </c>
      <c r="D4472" s="53" t="inlineStr">
        <is>
          <t>Avionics</t>
        </is>
      </c>
      <c r="E4472" s="53" t="inlineStr">
        <is>
          <t>2025-07-02</t>
        </is>
      </c>
      <c r="F4472" s="53">
        <v>7.2</v>
      </c>
      <c r="G4472" s="53">
        <v>0</v>
      </c>
      <c r="H4472" s="51" t="str">
        <f>TEXT(tblLaborEntries[[#This Row],[Work date serial]]-WEEKDAY(tblLaborEntries[[#This Row],[Work date serial]],3),"yyyy-mm-dd")</f>
        <v>2025-06-30</v>
      </c>
      <c r="I4472" s="64">
        <f>DATEVALUE(tblLaborEntries[[#This Row],[Work date]])</f>
        <v>45840.0</v>
      </c>
    </row>
    <row r="4473" spans="1:9" ht="15" x14ac:dyDescent="0.25">
      <c r="A4473" s="53" t="inlineStr">
        <is>
          <t>LAB-004472</t>
        </is>
      </c>
      <c r="B4473" s="53" t="inlineStr">
        <is>
          <t>WP-01966</t>
        </is>
      </c>
      <c r="C4473" s="53" t="inlineStr">
        <is>
          <t>TECH-025</t>
        </is>
      </c>
      <c r="D4473" s="53" t="inlineStr">
        <is>
          <t>Airframe</t>
        </is>
      </c>
      <c r="E4473" s="53" t="inlineStr">
        <is>
          <t>2024-08-26</t>
        </is>
      </c>
      <c r="F4473" s="53">
        <v>1.7</v>
      </c>
      <c r="G4473" s="53">
        <v>0</v>
      </c>
      <c r="H4473" s="51" t="str">
        <f>TEXT(tblLaborEntries[[#This Row],[Work date serial]]-WEEKDAY(tblLaborEntries[[#This Row],[Work date serial]],3),"yyyy-mm-dd")</f>
        <v>2024-08-26</v>
      </c>
      <c r="I4473" s="64">
        <f>DATEVALUE(tblLaborEntries[[#This Row],[Work date]])</f>
        <v>45530.0</v>
      </c>
    </row>
    <row r="4474" spans="1:9" ht="15" x14ac:dyDescent="0.25">
      <c r="A4474" s="53" t="inlineStr">
        <is>
          <t>LAB-004473</t>
        </is>
      </c>
      <c r="B4474" s="53" t="inlineStr">
        <is>
          <t>WP-01966</t>
        </is>
      </c>
      <c r="C4474" s="53" t="inlineStr">
        <is>
          <t>TECH-043</t>
        </is>
      </c>
      <c r="D4474" s="53" t="inlineStr">
        <is>
          <t>Airframe</t>
        </is>
      </c>
      <c r="E4474" s="53" t="inlineStr">
        <is>
          <t>2024-08-27</t>
        </is>
      </c>
      <c r="F4474" s="53">
        <v>1.7</v>
      </c>
      <c r="G4474" s="53">
        <v>0</v>
      </c>
      <c r="H4474" s="51" t="str">
        <f>TEXT(tblLaborEntries[[#This Row],[Work date serial]]-WEEKDAY(tblLaborEntries[[#This Row],[Work date serial]],3),"yyyy-mm-dd")</f>
        <v>2024-08-26</v>
      </c>
      <c r="I4474" s="64">
        <f>DATEVALUE(tblLaborEntries[[#This Row],[Work date]])</f>
        <v>45531.0</v>
      </c>
    </row>
    <row r="4475" spans="1:9" ht="15" x14ac:dyDescent="0.25">
      <c r="A4475" s="53" t="inlineStr">
        <is>
          <t>LAB-004474</t>
        </is>
      </c>
      <c r="B4475" s="53" t="inlineStr">
        <is>
          <t>WP-01966</t>
        </is>
      </c>
      <c r="C4475" s="53" t="inlineStr">
        <is>
          <t>TECH-031</t>
        </is>
      </c>
      <c r="D4475" s="53" t="inlineStr">
        <is>
          <t>Airframe</t>
        </is>
      </c>
      <c r="E4475" s="53" t="inlineStr">
        <is>
          <t>2024-08-28</t>
        </is>
      </c>
      <c r="F4475" s="53">
        <v>2.4</v>
      </c>
      <c r="G4475" s="53">
        <v>0</v>
      </c>
      <c r="H4475" s="51" t="str">
        <f>TEXT(tblLaborEntries[[#This Row],[Work date serial]]-WEEKDAY(tblLaborEntries[[#This Row],[Work date serial]],3),"yyyy-mm-dd")</f>
        <v>2024-08-26</v>
      </c>
      <c r="I4475" s="64">
        <f>DATEVALUE(tblLaborEntries[[#This Row],[Work date]])</f>
        <v>45532.0</v>
      </c>
    </row>
    <row r="4476" spans="1:9" ht="15" x14ac:dyDescent="0.25">
      <c r="A4476" s="53" t="inlineStr">
        <is>
          <t>LAB-004475</t>
        </is>
      </c>
      <c r="B4476" s="53" t="inlineStr">
        <is>
          <t>WP-01967</t>
        </is>
      </c>
      <c r="C4476" s="53" t="inlineStr">
        <is>
          <t>TECH-072</t>
        </is>
      </c>
      <c r="D4476" s="53" t="inlineStr">
        <is>
          <t>Powerplant</t>
        </is>
      </c>
      <c r="E4476" s="53" t="inlineStr">
        <is>
          <t>2025-01-01</t>
        </is>
      </c>
      <c r="F4476" s="53">
        <v>5.5</v>
      </c>
      <c r="G4476" s="53">
        <v>0</v>
      </c>
      <c r="H4476" s="51" t="str">
        <f>TEXT(tblLaborEntries[[#This Row],[Work date serial]]-WEEKDAY(tblLaborEntries[[#This Row],[Work date serial]],3),"yyyy-mm-dd")</f>
        <v>2024-12-30</v>
      </c>
      <c r="I4476" s="64">
        <f>DATEVALUE(tblLaborEntries[[#This Row],[Work date]])</f>
        <v>45658.0</v>
      </c>
    </row>
    <row r="4477" spans="1:9" ht="15" x14ac:dyDescent="0.25">
      <c r="A4477" s="53" t="inlineStr">
        <is>
          <t>LAB-004476</t>
        </is>
      </c>
      <c r="B4477" s="53" t="inlineStr">
        <is>
          <t>WP-01968</t>
        </is>
      </c>
      <c r="C4477" s="53" t="inlineStr">
        <is>
          <t>TECH-068</t>
        </is>
      </c>
      <c r="D4477" s="53" t="inlineStr">
        <is>
          <t>Avionics</t>
        </is>
      </c>
      <c r="E4477" s="53" t="inlineStr">
        <is>
          <t>2024-06-13</t>
        </is>
      </c>
      <c r="F4477" s="53">
        <v>7</v>
      </c>
      <c r="G4477" s="53">
        <v>0</v>
      </c>
      <c r="H4477" s="51" t="str">
        <f>TEXT(tblLaborEntries[[#This Row],[Work date serial]]-WEEKDAY(tblLaborEntries[[#This Row],[Work date serial]],3),"yyyy-mm-dd")</f>
        <v>2024-06-10</v>
      </c>
      <c r="I4477" s="64">
        <f>DATEVALUE(tblLaborEntries[[#This Row],[Work date]])</f>
        <v>45456.0</v>
      </c>
    </row>
    <row r="4478" spans="1:9" ht="15" x14ac:dyDescent="0.25">
      <c r="A4478" s="53" t="inlineStr">
        <is>
          <t>LAB-004477</t>
        </is>
      </c>
      <c r="B4478" s="53" t="inlineStr">
        <is>
          <t>WP-01969</t>
        </is>
      </c>
      <c r="C4478" s="53" t="inlineStr">
        <is>
          <t>TECH-049</t>
        </is>
      </c>
      <c r="D4478" s="53" t="inlineStr">
        <is>
          <t>Airframe</t>
        </is>
      </c>
      <c r="E4478" s="53" t="inlineStr">
        <is>
          <t>2025-08-20</t>
        </is>
      </c>
      <c r="F4478" s="53">
        <v>2.7</v>
      </c>
      <c r="G4478" s="53">
        <v>0</v>
      </c>
      <c r="H4478" s="51" t="str">
        <f>TEXT(tblLaborEntries[[#This Row],[Work date serial]]-WEEKDAY(tblLaborEntries[[#This Row],[Work date serial]],3),"yyyy-mm-dd")</f>
        <v>2025-08-18</v>
      </c>
      <c r="I4478" s="64">
        <f>DATEVALUE(tblLaborEntries[[#This Row],[Work date]])</f>
        <v>45889.0</v>
      </c>
    </row>
    <row r="4479" spans="1:9" ht="15" x14ac:dyDescent="0.25">
      <c r="A4479" s="53" t="inlineStr">
        <is>
          <t>LAB-004478</t>
        </is>
      </c>
      <c r="B4479" s="53" t="inlineStr">
        <is>
          <t>WP-01969</t>
        </is>
      </c>
      <c r="C4479" s="53" t="inlineStr">
        <is>
          <t>TECH-061</t>
        </is>
      </c>
      <c r="D4479" s="53" t="inlineStr">
        <is>
          <t>Airframe</t>
        </is>
      </c>
      <c r="E4479" s="53" t="inlineStr">
        <is>
          <t>2025-08-21</t>
        </is>
      </c>
      <c r="F4479" s="53">
        <v>3.4</v>
      </c>
      <c r="G4479" s="53">
        <v>0</v>
      </c>
      <c r="H4479" s="51" t="str">
        <f>TEXT(tblLaborEntries[[#This Row],[Work date serial]]-WEEKDAY(tblLaborEntries[[#This Row],[Work date serial]],3),"yyyy-mm-dd")</f>
        <v>2025-08-18</v>
      </c>
      <c r="I4479" s="64">
        <f>DATEVALUE(tblLaborEntries[[#This Row],[Work date]])</f>
        <v>45890.0</v>
      </c>
    </row>
    <row r="4480" spans="1:9" ht="15" x14ac:dyDescent="0.25">
      <c r="A4480" s="53" t="inlineStr">
        <is>
          <t>LAB-004479</t>
        </is>
      </c>
      <c r="B4480" s="53" t="inlineStr">
        <is>
          <t>WP-01970</t>
        </is>
      </c>
      <c r="C4480" s="53" t="inlineStr">
        <is>
          <t>TECH-030</t>
        </is>
      </c>
      <c r="D4480" s="53" t="inlineStr">
        <is>
          <t>Powerplant</t>
        </is>
      </c>
      <c r="E4480" s="53" t="inlineStr">
        <is>
          <t>2024-03-29</t>
        </is>
      </c>
      <c r="F4480" s="53">
        <v>2.8</v>
      </c>
      <c r="G4480" s="53">
        <v>0</v>
      </c>
      <c r="H4480" s="51" t="str">
        <f>TEXT(tblLaborEntries[[#This Row],[Work date serial]]-WEEKDAY(tblLaborEntries[[#This Row],[Work date serial]],3),"yyyy-mm-dd")</f>
        <v>2024-03-25</v>
      </c>
      <c r="I4480" s="64">
        <f>DATEVALUE(tblLaborEntries[[#This Row],[Work date]])</f>
        <v>45380.0</v>
      </c>
    </row>
    <row r="4481" spans="1:9" ht="15" x14ac:dyDescent="0.25">
      <c r="A4481" s="53" t="inlineStr">
        <is>
          <t>LAB-004480</t>
        </is>
      </c>
      <c r="B4481" s="53" t="inlineStr">
        <is>
          <t>WP-01970</t>
        </is>
      </c>
      <c r="C4481" s="53" t="inlineStr">
        <is>
          <t>TECH-072</t>
        </is>
      </c>
      <c r="D4481" s="53" t="inlineStr">
        <is>
          <t>Powerplant</t>
        </is>
      </c>
      <c r="E4481" s="53" t="inlineStr">
        <is>
          <t>2024-03-30</t>
        </is>
      </c>
      <c r="F4481" s="53">
        <v>3.6</v>
      </c>
      <c r="G4481" s="53">
        <v>0</v>
      </c>
      <c r="H4481" s="51" t="str">
        <f>TEXT(tblLaborEntries[[#This Row],[Work date serial]]-WEEKDAY(tblLaborEntries[[#This Row],[Work date serial]],3),"yyyy-mm-dd")</f>
        <v>2024-03-25</v>
      </c>
      <c r="I4481" s="64">
        <f>DATEVALUE(tblLaborEntries[[#This Row],[Work date]])</f>
        <v>45381.0</v>
      </c>
    </row>
    <row r="4482" spans="1:9" ht="15" x14ac:dyDescent="0.25">
      <c r="A4482" s="53" t="inlineStr">
        <is>
          <t>LAB-004481</t>
        </is>
      </c>
      <c r="B4482" s="53" t="inlineStr">
        <is>
          <t>WP-01970</t>
        </is>
      </c>
      <c r="C4482" s="53" t="inlineStr">
        <is>
          <t>TECH-048</t>
        </is>
      </c>
      <c r="D4482" s="53" t="inlineStr">
        <is>
          <t>Powerplant</t>
        </is>
      </c>
      <c r="E4482" s="53" t="inlineStr">
        <is>
          <t>2024-03-31</t>
        </is>
      </c>
      <c r="F4482" s="53">
        <v>3.7</v>
      </c>
      <c r="G4482" s="53">
        <v>0</v>
      </c>
      <c r="H4482" s="51" t="str">
        <f>TEXT(tblLaborEntries[[#This Row],[Work date serial]]-WEEKDAY(tblLaborEntries[[#This Row],[Work date serial]],3),"yyyy-mm-dd")</f>
        <v>2024-03-25</v>
      </c>
      <c r="I4482" s="64">
        <f>DATEVALUE(tblLaborEntries[[#This Row],[Work date]])</f>
        <v>45382.0</v>
      </c>
    </row>
    <row r="4483" spans="1:9" ht="15" x14ac:dyDescent="0.25">
      <c r="A4483" s="53" t="inlineStr">
        <is>
          <t>LAB-004482</t>
        </is>
      </c>
      <c r="B4483" s="53" t="inlineStr">
        <is>
          <t>WP-01971</t>
        </is>
      </c>
      <c r="C4483" s="53" t="inlineStr">
        <is>
          <t>TECH-002</t>
        </is>
      </c>
      <c r="D4483" s="53" t="inlineStr">
        <is>
          <t>Avionics</t>
        </is>
      </c>
      <c r="E4483" s="53" t="inlineStr">
        <is>
          <t>2024-05-30</t>
        </is>
      </c>
      <c r="F4483" s="53">
        <v>2</v>
      </c>
      <c r="G4483" s="53">
        <v>0</v>
      </c>
      <c r="H4483" s="51" t="str">
        <f>TEXT(tblLaborEntries[[#This Row],[Work date serial]]-WEEKDAY(tblLaborEntries[[#This Row],[Work date serial]],3),"yyyy-mm-dd")</f>
        <v>2024-05-27</v>
      </c>
      <c r="I4483" s="64">
        <f>DATEVALUE(tblLaborEntries[[#This Row],[Work date]])</f>
        <v>45442.0</v>
      </c>
    </row>
    <row r="4484" spans="1:9" ht="15" x14ac:dyDescent="0.25">
      <c r="A4484" s="53" t="inlineStr">
        <is>
          <t>LAB-004483</t>
        </is>
      </c>
      <c r="B4484" s="53" t="inlineStr">
        <is>
          <t>WP-01971</t>
        </is>
      </c>
      <c r="C4484" s="53" t="inlineStr">
        <is>
          <t>TECH-014</t>
        </is>
      </c>
      <c r="D4484" s="53" t="inlineStr">
        <is>
          <t>Avionics</t>
        </is>
      </c>
      <c r="E4484" s="53" t="inlineStr">
        <is>
          <t>2024-05-30</t>
        </is>
      </c>
      <c r="F4484" s="53">
        <v>12</v>
      </c>
      <c r="G4484" s="53">
        <v>4</v>
      </c>
      <c r="H4484" s="51" t="str">
        <f>TEXT(tblLaborEntries[[#This Row],[Work date serial]]-WEEKDAY(tblLaborEntries[[#This Row],[Work date serial]],3),"yyyy-mm-dd")</f>
        <v>2024-05-27</v>
      </c>
      <c r="I4484" s="64">
        <f>DATEVALUE(tblLaborEntries[[#This Row],[Work date]])</f>
        <v>45442.0</v>
      </c>
    </row>
    <row r="4485" spans="1:9" ht="15" x14ac:dyDescent="0.25">
      <c r="A4485" s="53" t="inlineStr">
        <is>
          <t>LAB-004484</t>
        </is>
      </c>
      <c r="B4485" s="53" t="inlineStr">
        <is>
          <t>WP-01972</t>
        </is>
      </c>
      <c r="C4485" s="53" t="inlineStr">
        <is>
          <t>TECH-030</t>
        </is>
      </c>
      <c r="D4485" s="53" t="inlineStr">
        <is>
          <t>Powerplant</t>
        </is>
      </c>
      <c r="E4485" s="53" t="inlineStr">
        <is>
          <t>2024-03-23</t>
        </is>
      </c>
      <c r="F4485" s="53">
        <v>11.5</v>
      </c>
      <c r="G4485" s="53">
        <v>3.5</v>
      </c>
      <c r="H4485" s="51" t="str">
        <f>TEXT(tblLaborEntries[[#This Row],[Work date serial]]-WEEKDAY(tblLaborEntries[[#This Row],[Work date serial]],3),"yyyy-mm-dd")</f>
        <v>2024-03-18</v>
      </c>
      <c r="I4485" s="64">
        <f>DATEVALUE(tblLaborEntries[[#This Row],[Work date]])</f>
        <v>45374.0</v>
      </c>
    </row>
    <row r="4486" spans="1:9" ht="15" x14ac:dyDescent="0.25">
      <c r="A4486" s="53" t="inlineStr">
        <is>
          <t>LAB-004485</t>
        </is>
      </c>
      <c r="B4486" s="53" t="inlineStr">
        <is>
          <t>WP-01973</t>
        </is>
      </c>
      <c r="C4486" s="53" t="inlineStr">
        <is>
          <t>TECH-044</t>
        </is>
      </c>
      <c r="D4486" s="53" t="inlineStr">
        <is>
          <t>Avionics</t>
        </is>
      </c>
      <c r="E4486" s="53" t="inlineStr">
        <is>
          <t>2025-03-05</t>
        </is>
      </c>
      <c r="F4486" s="53">
        <v>5.4</v>
      </c>
      <c r="G4486" s="53">
        <v>0</v>
      </c>
      <c r="H4486" s="51" t="str">
        <f>TEXT(tblLaborEntries[[#This Row],[Work date serial]]-WEEKDAY(tblLaborEntries[[#This Row],[Work date serial]],3),"yyyy-mm-dd")</f>
        <v>2025-03-03</v>
      </c>
      <c r="I4486" s="64">
        <f>DATEVALUE(tblLaborEntries[[#This Row],[Work date]])</f>
        <v>45721.0</v>
      </c>
    </row>
    <row r="4487" spans="1:9" ht="15" x14ac:dyDescent="0.25">
      <c r="A4487" s="53" t="inlineStr">
        <is>
          <t>LAB-004486</t>
        </is>
      </c>
      <c r="B4487" s="53" t="inlineStr">
        <is>
          <t>WP-01974</t>
        </is>
      </c>
      <c r="C4487" s="53" t="inlineStr">
        <is>
          <t>TECH-014</t>
        </is>
      </c>
      <c r="D4487" s="53" t="inlineStr">
        <is>
          <t>Avionics</t>
        </is>
      </c>
      <c r="E4487" s="53" t="inlineStr">
        <is>
          <t>2025-09-25</t>
        </is>
      </c>
      <c r="F4487" s="53">
        <v>1.4</v>
      </c>
      <c r="G4487" s="53">
        <v>0</v>
      </c>
      <c r="H4487" s="51" t="str">
        <f>TEXT(tblLaborEntries[[#This Row],[Work date serial]]-WEEKDAY(tblLaborEntries[[#This Row],[Work date serial]],3),"yyyy-mm-dd")</f>
        <v>2025-09-22</v>
      </c>
      <c r="I4487" s="64">
        <f>DATEVALUE(tblLaborEntries[[#This Row],[Work date]])</f>
        <v>45925.0</v>
      </c>
    </row>
    <row r="4488" spans="1:9" ht="15" x14ac:dyDescent="0.25">
      <c r="A4488" s="53" t="inlineStr">
        <is>
          <t>LAB-004487</t>
        </is>
      </c>
      <c r="B4488" s="53" t="inlineStr">
        <is>
          <t>WP-01974</t>
        </is>
      </c>
      <c r="C4488" s="53" t="inlineStr">
        <is>
          <t>TECH-074</t>
        </is>
      </c>
      <c r="D4488" s="53" t="inlineStr">
        <is>
          <t>Avionics</t>
        </is>
      </c>
      <c r="E4488" s="53" t="inlineStr">
        <is>
          <t>2025-09-25</t>
        </is>
      </c>
      <c r="F4488" s="53">
        <v>7.7</v>
      </c>
      <c r="G4488" s="53">
        <v>0</v>
      </c>
      <c r="H4488" s="51" t="str">
        <f>TEXT(tblLaborEntries[[#This Row],[Work date serial]]-WEEKDAY(tblLaborEntries[[#This Row],[Work date serial]],3),"yyyy-mm-dd")</f>
        <v>2025-09-22</v>
      </c>
      <c r="I4488" s="64">
        <f>DATEVALUE(tblLaborEntries[[#This Row],[Work date]])</f>
        <v>45925.0</v>
      </c>
    </row>
    <row r="4489" spans="1:9" ht="15" x14ac:dyDescent="0.25">
      <c r="A4489" s="53" t="inlineStr">
        <is>
          <t>LAB-004488</t>
        </is>
      </c>
      <c r="B4489" s="53" t="inlineStr">
        <is>
          <t>WP-01974</t>
        </is>
      </c>
      <c r="C4489" s="53" t="inlineStr">
        <is>
          <t>TECH-050</t>
        </is>
      </c>
      <c r="D4489" s="53" t="inlineStr">
        <is>
          <t>Avionics</t>
        </is>
      </c>
      <c r="E4489" s="53" t="inlineStr">
        <is>
          <t>2025-09-26</t>
        </is>
      </c>
      <c r="F4489" s="53">
        <v>7.9</v>
      </c>
      <c r="G4489" s="53">
        <v>0</v>
      </c>
      <c r="H4489" s="51" t="str">
        <f>TEXT(tblLaborEntries[[#This Row],[Work date serial]]-WEEKDAY(tblLaborEntries[[#This Row],[Work date serial]],3),"yyyy-mm-dd")</f>
        <v>2025-09-22</v>
      </c>
      <c r="I4489" s="64">
        <f>DATEVALUE(tblLaborEntries[[#This Row],[Work date]])</f>
        <v>45926.0</v>
      </c>
    </row>
    <row r="4490" spans="1:9" ht="15" x14ac:dyDescent="0.25">
      <c r="A4490" s="53" t="inlineStr">
        <is>
          <t>LAB-004489</t>
        </is>
      </c>
      <c r="B4490" s="53" t="inlineStr">
        <is>
          <t>WP-01975</t>
        </is>
      </c>
      <c r="C4490" s="53" t="inlineStr">
        <is>
          <t>TECH-032</t>
        </is>
      </c>
      <c r="D4490" s="53" t="inlineStr">
        <is>
          <t>Avionics</t>
        </is>
      </c>
      <c r="E4490" s="53" t="inlineStr">
        <is>
          <t>2025-01-12</t>
        </is>
      </c>
      <c r="F4490" s="53">
        <v>2.5</v>
      </c>
      <c r="G4490" s="53">
        <v>0</v>
      </c>
      <c r="H4490" s="51" t="str">
        <f>TEXT(tblLaborEntries[[#This Row],[Work date serial]]-WEEKDAY(tblLaborEntries[[#This Row],[Work date serial]],3),"yyyy-mm-dd")</f>
        <v>2025-01-06</v>
      </c>
      <c r="I4490" s="64">
        <f>DATEVALUE(tblLaborEntries[[#This Row],[Work date]])</f>
        <v>45669.0</v>
      </c>
    </row>
    <row r="4491" spans="1:9" ht="15" x14ac:dyDescent="0.25">
      <c r="A4491" s="53" t="inlineStr">
        <is>
          <t>LAB-004490</t>
        </is>
      </c>
      <c r="B4491" s="53" t="inlineStr">
        <is>
          <t>WP-01975</t>
        </is>
      </c>
      <c r="C4491" s="53" t="inlineStr">
        <is>
          <t>TECH-026</t>
        </is>
      </c>
      <c r="D4491" s="53" t="inlineStr">
        <is>
          <t>Avionics</t>
        </is>
      </c>
      <c r="E4491" s="53" t="inlineStr">
        <is>
          <t>2025-01-13</t>
        </is>
      </c>
      <c r="F4491" s="53">
        <v>3.6</v>
      </c>
      <c r="G4491" s="53">
        <v>0</v>
      </c>
      <c r="H4491" s="51" t="str">
        <f>TEXT(tblLaborEntries[[#This Row],[Work date serial]]-WEEKDAY(tblLaborEntries[[#This Row],[Work date serial]],3),"yyyy-mm-dd")</f>
        <v>2025-01-13</v>
      </c>
      <c r="I4491" s="64">
        <f>DATEVALUE(tblLaborEntries[[#This Row],[Work date]])</f>
        <v>45670.0</v>
      </c>
    </row>
    <row r="4492" spans="1:9" ht="15" x14ac:dyDescent="0.25">
      <c r="A4492" s="53" t="inlineStr">
        <is>
          <t>LAB-004491</t>
        </is>
      </c>
      <c r="B4492" s="53" t="inlineStr">
        <is>
          <t>WP-01975</t>
        </is>
      </c>
      <c r="C4492" s="53" t="inlineStr">
        <is>
          <t>TECH-026</t>
        </is>
      </c>
      <c r="D4492" s="53" t="inlineStr">
        <is>
          <t>Avionics</t>
        </is>
      </c>
      <c r="E4492" s="53" t="inlineStr">
        <is>
          <t>2025-01-14</t>
        </is>
      </c>
      <c r="F4492" s="53">
        <v>2.9</v>
      </c>
      <c r="G4492" s="53">
        <v>0</v>
      </c>
      <c r="H4492" s="51" t="str">
        <f>TEXT(tblLaborEntries[[#This Row],[Work date serial]]-WEEKDAY(tblLaborEntries[[#This Row],[Work date serial]],3),"yyyy-mm-dd")</f>
        <v>2025-01-13</v>
      </c>
      <c r="I4492" s="64">
        <f>DATEVALUE(tblLaborEntries[[#This Row],[Work date]])</f>
        <v>45671.0</v>
      </c>
    </row>
    <row r="4493" spans="1:9" ht="15" x14ac:dyDescent="0.25">
      <c r="A4493" s="53" t="inlineStr">
        <is>
          <t>LAB-004492</t>
        </is>
      </c>
      <c r="B4493" s="53" t="inlineStr">
        <is>
          <t>WP-01976</t>
        </is>
      </c>
      <c r="C4493" s="53" t="inlineStr">
        <is>
          <t>TECH-062</t>
        </is>
      </c>
      <c r="D4493" s="53" t="inlineStr">
        <is>
          <t>Avionics</t>
        </is>
      </c>
      <c r="E4493" s="53" t="inlineStr">
        <is>
          <t>2024-07-16</t>
        </is>
      </c>
      <c r="F4493" s="53">
        <v>3.7</v>
      </c>
      <c r="G4493" s="53">
        <v>0</v>
      </c>
      <c r="H4493" s="51" t="str">
        <f>TEXT(tblLaborEntries[[#This Row],[Work date serial]]-WEEKDAY(tblLaborEntries[[#This Row],[Work date serial]],3),"yyyy-mm-dd")</f>
        <v>2024-07-15</v>
      </c>
      <c r="I4493" s="64">
        <f>DATEVALUE(tblLaborEntries[[#This Row],[Work date]])</f>
        <v>45489.0</v>
      </c>
    </row>
    <row r="4494" spans="1:9" ht="15" x14ac:dyDescent="0.25">
      <c r="A4494" s="53" t="inlineStr">
        <is>
          <t>LAB-004493</t>
        </is>
      </c>
      <c r="B4494" s="53" t="inlineStr">
        <is>
          <t>WP-01976</t>
        </is>
      </c>
      <c r="C4494" s="53" t="inlineStr">
        <is>
          <t>TECH-020</t>
        </is>
      </c>
      <c r="D4494" s="53" t="inlineStr">
        <is>
          <t>Avionics</t>
        </is>
      </c>
      <c r="E4494" s="53" t="inlineStr">
        <is>
          <t>2024-07-17</t>
        </is>
      </c>
      <c r="F4494" s="53">
        <v>4</v>
      </c>
      <c r="G4494" s="53">
        <v>0</v>
      </c>
      <c r="H4494" s="51" t="str">
        <f>TEXT(tblLaborEntries[[#This Row],[Work date serial]]-WEEKDAY(tblLaborEntries[[#This Row],[Work date serial]],3),"yyyy-mm-dd")</f>
        <v>2024-07-15</v>
      </c>
      <c r="I4494" s="64">
        <f>DATEVALUE(tblLaborEntries[[#This Row],[Work date]])</f>
        <v>45490.0</v>
      </c>
    </row>
    <row r="4495" spans="1:9" ht="15" x14ac:dyDescent="0.25">
      <c r="A4495" s="53" t="inlineStr">
        <is>
          <t>LAB-004494</t>
        </is>
      </c>
      <c r="B4495" s="53" t="inlineStr">
        <is>
          <t>WP-01976</t>
        </is>
      </c>
      <c r="C4495" s="53" t="inlineStr">
        <is>
          <t>TECH-056</t>
        </is>
      </c>
      <c r="D4495" s="53" t="inlineStr">
        <is>
          <t>Avionics</t>
        </is>
      </c>
      <c r="E4495" s="53" t="inlineStr">
        <is>
          <t>2024-07-18</t>
        </is>
      </c>
      <c r="F4495" s="53">
        <v>3.6</v>
      </c>
      <c r="G4495" s="53">
        <v>0</v>
      </c>
      <c r="H4495" s="51" t="str">
        <f>TEXT(tblLaborEntries[[#This Row],[Work date serial]]-WEEKDAY(tblLaborEntries[[#This Row],[Work date serial]],3),"yyyy-mm-dd")</f>
        <v>2024-07-15</v>
      </c>
      <c r="I4495" s="64">
        <f>DATEVALUE(tblLaborEntries[[#This Row],[Work date]])</f>
        <v>45491.0</v>
      </c>
    </row>
    <row r="4496" spans="1:9" ht="15" x14ac:dyDescent="0.25">
      <c r="A4496" s="53" t="inlineStr">
        <is>
          <t>LAB-004495</t>
        </is>
      </c>
      <c r="B4496" s="53" t="inlineStr">
        <is>
          <t>WP-01977</t>
        </is>
      </c>
      <c r="C4496" s="53" t="inlineStr">
        <is>
          <t>TECH-014</t>
        </is>
      </c>
      <c r="D4496" s="53" t="inlineStr">
        <is>
          <t>Avionics</t>
        </is>
      </c>
      <c r="E4496" s="53" t="inlineStr">
        <is>
          <t>2025-03-21</t>
        </is>
      </c>
      <c r="F4496" s="53">
        <v>0.3</v>
      </c>
      <c r="G4496" s="53">
        <v>0</v>
      </c>
      <c r="H4496" s="51" t="str">
        <f>TEXT(tblLaborEntries[[#This Row],[Work date serial]]-WEEKDAY(tblLaborEntries[[#This Row],[Work date serial]],3),"yyyy-mm-dd")</f>
        <v>2025-03-17</v>
      </c>
      <c r="I4496" s="64">
        <f>DATEVALUE(tblLaborEntries[[#This Row],[Work date]])</f>
        <v>45737.0</v>
      </c>
    </row>
    <row r="4497" spans="1:9" ht="15" x14ac:dyDescent="0.25">
      <c r="A4497" s="53" t="inlineStr">
        <is>
          <t>LAB-004496</t>
        </is>
      </c>
      <c r="B4497" s="53" t="inlineStr">
        <is>
          <t>WP-01977</t>
        </is>
      </c>
      <c r="C4497" s="53" t="inlineStr">
        <is>
          <t>TECH-038</t>
        </is>
      </c>
      <c r="D4497" s="53" t="inlineStr">
        <is>
          <t>Avionics</t>
        </is>
      </c>
      <c r="E4497" s="53" t="inlineStr">
        <is>
          <t>2025-03-21</t>
        </is>
      </c>
      <c r="F4497" s="53">
        <v>12</v>
      </c>
      <c r="G4497" s="53">
        <v>4</v>
      </c>
      <c r="H4497" s="51" t="str">
        <f>TEXT(tblLaborEntries[[#This Row],[Work date serial]]-WEEKDAY(tblLaborEntries[[#This Row],[Work date serial]],3),"yyyy-mm-dd")</f>
        <v>2025-03-17</v>
      </c>
      <c r="I4497" s="64">
        <f>DATEVALUE(tblLaborEntries[[#This Row],[Work date]])</f>
        <v>45737.0</v>
      </c>
    </row>
    <row r="4498" spans="1:9" ht="15" x14ac:dyDescent="0.25">
      <c r="A4498" s="53" t="inlineStr">
        <is>
          <t>LAB-004497</t>
        </is>
      </c>
      <c r="B4498" s="53" t="inlineStr">
        <is>
          <t>WP-01978</t>
        </is>
      </c>
      <c r="C4498" s="53" t="inlineStr">
        <is>
          <t>TECH-054</t>
        </is>
      </c>
      <c r="D4498" s="53" t="inlineStr">
        <is>
          <t>Powerplant</t>
        </is>
      </c>
      <c r="E4498" s="53" t="inlineStr">
        <is>
          <t>2025-07-18</t>
        </is>
      </c>
      <c r="F4498" s="53">
        <v>6.9</v>
      </c>
      <c r="G4498" s="53">
        <v>3.9</v>
      </c>
      <c r="H4498" s="51" t="str">
        <f>TEXT(tblLaborEntries[[#This Row],[Work date serial]]-WEEKDAY(tblLaborEntries[[#This Row],[Work date serial]],3),"yyyy-mm-dd")</f>
        <v>2025-07-14</v>
      </c>
      <c r="I4498" s="64">
        <f>DATEVALUE(tblLaborEntries[[#This Row],[Work date]])</f>
        <v>45856.0</v>
      </c>
    </row>
    <row r="4499" spans="1:9" ht="15" x14ac:dyDescent="0.25">
      <c r="A4499" s="53" t="inlineStr">
        <is>
          <t>LAB-004498</t>
        </is>
      </c>
      <c r="B4499" s="53" t="inlineStr">
        <is>
          <t>WP-01978</t>
        </is>
      </c>
      <c r="C4499" s="53" t="inlineStr">
        <is>
          <t>TECH-042</t>
        </is>
      </c>
      <c r="D4499" s="53" t="inlineStr">
        <is>
          <t>Powerplant</t>
        </is>
      </c>
      <c r="E4499" s="53" t="inlineStr">
        <is>
          <t>2025-07-19</t>
        </is>
      </c>
      <c r="F4499" s="53">
        <v>9.5</v>
      </c>
      <c r="G4499" s="53">
        <v>1.5</v>
      </c>
      <c r="H4499" s="51" t="str">
        <f>TEXT(tblLaborEntries[[#This Row],[Work date serial]]-WEEKDAY(tblLaborEntries[[#This Row],[Work date serial]],3),"yyyy-mm-dd")</f>
        <v>2025-07-14</v>
      </c>
      <c r="I4499" s="64">
        <f>DATEVALUE(tblLaborEntries[[#This Row],[Work date]])</f>
        <v>45857.0</v>
      </c>
    </row>
    <row r="4500" spans="1:9" ht="15" x14ac:dyDescent="0.25">
      <c r="A4500" s="53" t="inlineStr">
        <is>
          <t>LAB-004499</t>
        </is>
      </c>
      <c r="B4500" s="53" t="inlineStr">
        <is>
          <t>WP-01979</t>
        </is>
      </c>
      <c r="C4500" s="53" t="inlineStr">
        <is>
          <t>TECH-032</t>
        </is>
      </c>
      <c r="D4500" s="53" t="inlineStr">
        <is>
          <t>Avionics</t>
        </is>
      </c>
      <c r="E4500" s="53" t="inlineStr">
        <is>
          <t>2024-12-11</t>
        </is>
      </c>
      <c r="F4500" s="53">
        <v>6</v>
      </c>
      <c r="G4500" s="53">
        <v>0</v>
      </c>
      <c r="H4500" s="51" t="str">
        <f>TEXT(tblLaborEntries[[#This Row],[Work date serial]]-WEEKDAY(tblLaborEntries[[#This Row],[Work date serial]],3),"yyyy-mm-dd")</f>
        <v>2024-12-09</v>
      </c>
      <c r="I4500" s="64">
        <f>DATEVALUE(tblLaborEntries[[#This Row],[Work date]])</f>
        <v>45637.0</v>
      </c>
    </row>
    <row r="4501" spans="1:9" ht="15" x14ac:dyDescent="0.25">
      <c r="A4501" s="53" t="inlineStr">
        <is>
          <t>LAB-004500</t>
        </is>
      </c>
      <c r="B4501" s="53" t="inlineStr">
        <is>
          <t>WP-01980</t>
        </is>
      </c>
      <c r="C4501" s="53" t="inlineStr">
        <is>
          <t>TECH-047</t>
        </is>
      </c>
      <c r="D4501" s="53" t="inlineStr">
        <is>
          <t>Structures</t>
        </is>
      </c>
      <c r="E4501" s="53" t="inlineStr">
        <is>
          <t>2024-03-09</t>
        </is>
      </c>
      <c r="F4501" s="53">
        <v>4.8</v>
      </c>
      <c r="G4501" s="53">
        <v>0</v>
      </c>
      <c r="H4501" s="51" t="str">
        <f>TEXT(tblLaborEntries[[#This Row],[Work date serial]]-WEEKDAY(tblLaborEntries[[#This Row],[Work date serial]],3),"yyyy-mm-dd")</f>
        <v>2024-03-04</v>
      </c>
      <c r="I4501" s="64">
        <f>DATEVALUE(tblLaborEntries[[#This Row],[Work date]])</f>
        <v>45360.0</v>
      </c>
    </row>
    <row r="4502" spans="1:9" ht="15" x14ac:dyDescent="0.25">
      <c r="A4502" s="53" t="inlineStr">
        <is>
          <t>LAB-004501</t>
        </is>
      </c>
      <c r="B4502" s="53" t="inlineStr">
        <is>
          <t>WP-01980</t>
        </is>
      </c>
      <c r="C4502" s="53" t="inlineStr">
        <is>
          <t>TECH-071</t>
        </is>
      </c>
      <c r="D4502" s="53" t="inlineStr">
        <is>
          <t>Structures</t>
        </is>
      </c>
      <c r="E4502" s="53" t="inlineStr">
        <is>
          <t>2024-03-10</t>
        </is>
      </c>
      <c r="F4502" s="53">
        <v>6.2</v>
      </c>
      <c r="G4502" s="53">
        <v>0</v>
      </c>
      <c r="H4502" s="51" t="str">
        <f>TEXT(tblLaborEntries[[#This Row],[Work date serial]]-WEEKDAY(tblLaborEntries[[#This Row],[Work date serial]],3),"yyyy-mm-dd")</f>
        <v>2024-03-04</v>
      </c>
      <c r="I4502" s="64">
        <f>DATEVALUE(tblLaborEntries[[#This Row],[Work date]])</f>
        <v>45361.0</v>
      </c>
    </row>
    <row r="4503" spans="1:9" ht="15" x14ac:dyDescent="0.25">
      <c r="A4503" s="53" t="inlineStr">
        <is>
          <t>LAB-004502</t>
        </is>
      </c>
      <c r="B4503" s="53" t="inlineStr">
        <is>
          <t>WP-01981</t>
        </is>
      </c>
      <c r="C4503" s="53" t="inlineStr">
        <is>
          <t>TECH-069</t>
        </is>
      </c>
      <c r="D4503" s="53" t="inlineStr">
        <is>
          <t>Hydraulics</t>
        </is>
      </c>
      <c r="E4503" s="53" t="inlineStr">
        <is>
          <t>2025-10-31</t>
        </is>
      </c>
      <c r="F4503" s="53">
        <v>6.1</v>
      </c>
      <c r="G4503" s="53">
        <v>0</v>
      </c>
      <c r="H4503" s="51" t="str">
        <f>TEXT(tblLaborEntries[[#This Row],[Work date serial]]-WEEKDAY(tblLaborEntries[[#This Row],[Work date serial]],3),"yyyy-mm-dd")</f>
        <v>2025-10-27</v>
      </c>
      <c r="I4503" s="64">
        <f>DATEVALUE(tblLaborEntries[[#This Row],[Work date]])</f>
        <v>45961.0</v>
      </c>
    </row>
    <row r="4504" spans="1:9" ht="15" x14ac:dyDescent="0.25">
      <c r="A4504" s="53" t="inlineStr">
        <is>
          <t>LAB-004503</t>
        </is>
      </c>
      <c r="B4504" s="53" t="inlineStr">
        <is>
          <t>WP-01981</t>
        </is>
      </c>
      <c r="C4504" s="53" t="inlineStr">
        <is>
          <t>TECH-063</t>
        </is>
      </c>
      <c r="D4504" s="53" t="inlineStr">
        <is>
          <t>Hydraulics</t>
        </is>
      </c>
      <c r="E4504" s="53" t="inlineStr">
        <is>
          <t>2025-11-01</t>
        </is>
      </c>
      <c r="F4504" s="53">
        <v>7.7</v>
      </c>
      <c r="G4504" s="53">
        <v>0</v>
      </c>
      <c r="H4504" s="51" t="str">
        <f>TEXT(tblLaborEntries[[#This Row],[Work date serial]]-WEEKDAY(tblLaborEntries[[#This Row],[Work date serial]],3),"yyyy-mm-dd")</f>
        <v>2025-10-27</v>
      </c>
      <c r="I4504" s="64">
        <f>DATEVALUE(tblLaborEntries[[#This Row],[Work date]])</f>
        <v>45962.0</v>
      </c>
    </row>
    <row r="4505" spans="1:9" ht="15" x14ac:dyDescent="0.25">
      <c r="A4505" s="53" t="inlineStr">
        <is>
          <t>LAB-004504</t>
        </is>
      </c>
      <c r="B4505" s="53" t="inlineStr">
        <is>
          <t>WP-01982</t>
        </is>
      </c>
      <c r="C4505" s="53" t="inlineStr">
        <is>
          <t>TECH-013</t>
        </is>
      </c>
      <c r="D4505" s="53" t="inlineStr">
        <is>
          <t>Airframe</t>
        </is>
      </c>
      <c r="E4505" s="53" t="inlineStr">
        <is>
          <t>2025-06-01</t>
        </is>
      </c>
      <c r="F4505" s="53">
        <v>6.5</v>
      </c>
      <c r="G4505" s="53">
        <v>0</v>
      </c>
      <c r="H4505" s="51" t="str">
        <f>TEXT(tblLaborEntries[[#This Row],[Work date serial]]-WEEKDAY(tblLaborEntries[[#This Row],[Work date serial]],3),"yyyy-mm-dd")</f>
        <v>2025-05-26</v>
      </c>
      <c r="I4505" s="64">
        <f>DATEVALUE(tblLaborEntries[[#This Row],[Work date]])</f>
        <v>45809.0</v>
      </c>
    </row>
    <row r="4506" spans="1:9" ht="15" x14ac:dyDescent="0.25">
      <c r="A4506" s="53" t="inlineStr">
        <is>
          <t>LAB-004505</t>
        </is>
      </c>
      <c r="B4506" s="53" t="inlineStr">
        <is>
          <t>WP-01982</t>
        </is>
      </c>
      <c r="C4506" s="53" t="inlineStr">
        <is>
          <t>TECH-025</t>
        </is>
      </c>
      <c r="D4506" s="53" t="inlineStr">
        <is>
          <t>Airframe</t>
        </is>
      </c>
      <c r="E4506" s="53" t="inlineStr">
        <is>
          <t>2025-06-02</t>
        </is>
      </c>
      <c r="F4506" s="53">
        <v>4.7</v>
      </c>
      <c r="G4506" s="53">
        <v>0</v>
      </c>
      <c r="H4506" s="51" t="str">
        <f>TEXT(tblLaborEntries[[#This Row],[Work date serial]]-WEEKDAY(tblLaborEntries[[#This Row],[Work date serial]],3),"yyyy-mm-dd")</f>
        <v>2025-06-02</v>
      </c>
      <c r="I4506" s="64">
        <f>DATEVALUE(tblLaborEntries[[#This Row],[Work date]])</f>
        <v>45810.0</v>
      </c>
    </row>
    <row r="4507" spans="1:9" ht="15" x14ac:dyDescent="0.25">
      <c r="A4507" s="53" t="inlineStr">
        <is>
          <t>LAB-004506</t>
        </is>
      </c>
      <c r="B4507" s="53" t="inlineStr">
        <is>
          <t>WP-01983</t>
        </is>
      </c>
      <c r="C4507" s="53" t="inlineStr">
        <is>
          <t>TECH-028</t>
        </is>
      </c>
      <c r="D4507" s="53" t="inlineStr">
        <is>
          <t>Electrical</t>
        </is>
      </c>
      <c r="E4507" s="53" t="inlineStr">
        <is>
          <t>2025-10-01</t>
        </is>
      </c>
      <c r="F4507" s="53">
        <v>10.3</v>
      </c>
      <c r="G4507" s="53">
        <v>2.3</v>
      </c>
      <c r="H4507" s="51" t="str">
        <f>TEXT(tblLaborEntries[[#This Row],[Work date serial]]-WEEKDAY(tblLaborEntries[[#This Row],[Work date serial]],3),"yyyy-mm-dd")</f>
        <v>2025-09-29</v>
      </c>
      <c r="I4507" s="64">
        <f>DATEVALUE(tblLaborEntries[[#This Row],[Work date]])</f>
        <v>45931.0</v>
      </c>
    </row>
    <row r="4508" spans="1:9" ht="15" x14ac:dyDescent="0.25">
      <c r="A4508" s="53" t="inlineStr">
        <is>
          <t>LAB-004507</t>
        </is>
      </c>
      <c r="B4508" s="53" t="inlineStr">
        <is>
          <t>WP-01983</t>
        </is>
      </c>
      <c r="C4508" s="53" t="inlineStr">
        <is>
          <t>TECH-004</t>
        </is>
      </c>
      <c r="D4508" s="53" t="inlineStr">
        <is>
          <t>Electrical</t>
        </is>
      </c>
      <c r="E4508" s="53" t="inlineStr">
        <is>
          <t>2025-10-02</t>
        </is>
      </c>
      <c r="F4508" s="53">
        <v>1.4</v>
      </c>
      <c r="G4508" s="53">
        <v>0</v>
      </c>
      <c r="H4508" s="51" t="str">
        <f>TEXT(tblLaborEntries[[#This Row],[Work date serial]]-WEEKDAY(tblLaborEntries[[#This Row],[Work date serial]],3),"yyyy-mm-dd")</f>
        <v>2025-09-29</v>
      </c>
      <c r="I4508" s="64">
        <f>DATEVALUE(tblLaborEntries[[#This Row],[Work date]])</f>
        <v>45932.0</v>
      </c>
    </row>
    <row r="4509" spans="1:9" ht="15" x14ac:dyDescent="0.25">
      <c r="A4509" s="53" t="inlineStr">
        <is>
          <t>LAB-004508</t>
        </is>
      </c>
      <c r="B4509" s="53" t="inlineStr">
        <is>
          <t>WP-01983</t>
        </is>
      </c>
      <c r="C4509" s="53" t="inlineStr">
        <is>
          <t>TECH-016</t>
        </is>
      </c>
      <c r="D4509" s="53" t="inlineStr">
        <is>
          <t>Electrical</t>
        </is>
      </c>
      <c r="E4509" s="53" t="inlineStr">
        <is>
          <t>2025-10-02</t>
        </is>
      </c>
      <c r="F4509" s="53">
        <v>12</v>
      </c>
      <c r="G4509" s="53">
        <v>4</v>
      </c>
      <c r="H4509" s="51" t="str">
        <f>TEXT(tblLaborEntries[[#This Row],[Work date serial]]-WEEKDAY(tblLaborEntries[[#This Row],[Work date serial]],3),"yyyy-mm-dd")</f>
        <v>2025-09-29</v>
      </c>
      <c r="I4509" s="64">
        <f>DATEVALUE(tblLaborEntries[[#This Row],[Work date]])</f>
        <v>45932.0</v>
      </c>
    </row>
    <row r="4510" spans="1:9" ht="15" x14ac:dyDescent="0.25">
      <c r="A4510" s="53" t="inlineStr">
        <is>
          <t>LAB-004509</t>
        </is>
      </c>
      <c r="B4510" s="53" t="inlineStr">
        <is>
          <t>WP-01984</t>
        </is>
      </c>
      <c r="C4510" s="53" t="inlineStr">
        <is>
          <t>TECH-044</t>
        </is>
      </c>
      <c r="D4510" s="53" t="inlineStr">
        <is>
          <t>Avionics</t>
        </is>
      </c>
      <c r="E4510" s="53" t="inlineStr">
        <is>
          <t>2024-10-16</t>
        </is>
      </c>
      <c r="F4510" s="53">
        <v>8.2</v>
      </c>
      <c r="G4510" s="53">
        <v>0.2</v>
      </c>
      <c r="H4510" s="51" t="str">
        <f>TEXT(tblLaborEntries[[#This Row],[Work date serial]]-WEEKDAY(tblLaborEntries[[#This Row],[Work date serial]],3),"yyyy-mm-dd")</f>
        <v>2024-10-14</v>
      </c>
      <c r="I4510" s="64">
        <f>DATEVALUE(tblLaborEntries[[#This Row],[Work date]])</f>
        <v>45581.0</v>
      </c>
    </row>
    <row r="4511" spans="1:9" ht="15" x14ac:dyDescent="0.25">
      <c r="A4511" s="53" t="inlineStr">
        <is>
          <t>LAB-004510</t>
        </is>
      </c>
      <c r="B4511" s="53" t="inlineStr">
        <is>
          <t>WP-01984</t>
        </is>
      </c>
      <c r="C4511" s="53" t="inlineStr">
        <is>
          <t>TECH-056</t>
        </is>
      </c>
      <c r="D4511" s="53" t="inlineStr">
        <is>
          <t>Avionics</t>
        </is>
      </c>
      <c r="E4511" s="53" t="inlineStr">
        <is>
          <t>2024-10-17</t>
        </is>
      </c>
      <c r="F4511" s="53">
        <v>5.9</v>
      </c>
      <c r="G4511" s="53">
        <v>0</v>
      </c>
      <c r="H4511" s="51" t="str">
        <f>TEXT(tblLaborEntries[[#This Row],[Work date serial]]-WEEKDAY(tblLaborEntries[[#This Row],[Work date serial]],3),"yyyy-mm-dd")</f>
        <v>2024-10-14</v>
      </c>
      <c r="I4511" s="64">
        <f>DATEVALUE(tblLaborEntries[[#This Row],[Work date]])</f>
        <v>45582.0</v>
      </c>
    </row>
    <row r="4512" spans="1:9" ht="15" x14ac:dyDescent="0.25">
      <c r="A4512" s="53" t="inlineStr">
        <is>
          <t>LAB-004511</t>
        </is>
      </c>
      <c r="B4512" s="53" t="inlineStr">
        <is>
          <t>WP-01984</t>
        </is>
      </c>
      <c r="C4512" s="53" t="inlineStr">
        <is>
          <t>TECH-002</t>
        </is>
      </c>
      <c r="D4512" s="53" t="inlineStr">
        <is>
          <t>Avionics</t>
        </is>
      </c>
      <c r="E4512" s="53" t="inlineStr">
        <is>
          <t>2024-10-18</t>
        </is>
      </c>
      <c r="F4512" s="53">
        <v>8.3</v>
      </c>
      <c r="G4512" s="53">
        <v>0.3</v>
      </c>
      <c r="H4512" s="51" t="str">
        <f>TEXT(tblLaborEntries[[#This Row],[Work date serial]]-WEEKDAY(tblLaborEntries[[#This Row],[Work date serial]],3),"yyyy-mm-dd")</f>
        <v>2024-10-14</v>
      </c>
      <c r="I4512" s="64">
        <f>DATEVALUE(tblLaborEntries[[#This Row],[Work date]])</f>
        <v>45583.0</v>
      </c>
    </row>
    <row r="4513" spans="1:9" ht="15" x14ac:dyDescent="0.25">
      <c r="A4513" s="53" t="inlineStr">
        <is>
          <t>LAB-004512</t>
        </is>
      </c>
      <c r="B4513" s="53" t="inlineStr">
        <is>
          <t>WP-01985</t>
        </is>
      </c>
      <c r="C4513" s="53" t="inlineStr">
        <is>
          <t>TECH-003</t>
        </is>
      </c>
      <c r="D4513" s="53" t="inlineStr">
        <is>
          <t>Hydraulics</t>
        </is>
      </c>
      <c r="E4513" s="53" t="inlineStr">
        <is>
          <t>2025-10-13</t>
        </is>
      </c>
      <c r="F4513" s="53">
        <v>12</v>
      </c>
      <c r="G4513" s="53">
        <v>4</v>
      </c>
      <c r="H4513" s="51" t="str">
        <f>TEXT(tblLaborEntries[[#This Row],[Work date serial]]-WEEKDAY(tblLaborEntries[[#This Row],[Work date serial]],3),"yyyy-mm-dd")</f>
        <v>2025-10-13</v>
      </c>
      <c r="I4513" s="64">
        <f>DATEVALUE(tblLaborEntries[[#This Row],[Work date]])</f>
        <v>45943.0</v>
      </c>
    </row>
    <row r="4514" spans="1:9" ht="15" x14ac:dyDescent="0.25">
      <c r="A4514" s="53" t="inlineStr">
        <is>
          <t>LAB-004513</t>
        </is>
      </c>
      <c r="B4514" s="53" t="inlineStr">
        <is>
          <t>WP-01985</t>
        </is>
      </c>
      <c r="C4514" s="53" t="inlineStr">
        <is>
          <t>TECH-009</t>
        </is>
      </c>
      <c r="D4514" s="53" t="inlineStr">
        <is>
          <t>Hydraulics</t>
        </is>
      </c>
      <c r="E4514" s="53" t="inlineStr">
        <is>
          <t>2025-10-13</t>
        </is>
      </c>
      <c r="F4514" s="53">
        <v>3.3</v>
      </c>
      <c r="G4514" s="53">
        <v>0</v>
      </c>
      <c r="H4514" s="51" t="str">
        <f>TEXT(tblLaborEntries[[#This Row],[Work date serial]]-WEEKDAY(tblLaborEntries[[#This Row],[Work date serial]],3),"yyyy-mm-dd")</f>
        <v>2025-10-13</v>
      </c>
      <c r="I4514" s="64">
        <f>DATEVALUE(tblLaborEntries[[#This Row],[Work date]])</f>
        <v>45943.0</v>
      </c>
    </row>
    <row r="4515" spans="1:9" ht="15" x14ac:dyDescent="0.25">
      <c r="A4515" s="53" t="inlineStr">
        <is>
          <t>LAB-004514</t>
        </is>
      </c>
      <c r="B4515" s="53" t="inlineStr">
        <is>
          <t>WP-01986</t>
        </is>
      </c>
      <c r="C4515" s="53" t="inlineStr">
        <is>
          <t>TECH-004</t>
        </is>
      </c>
      <c r="D4515" s="53" t="inlineStr">
        <is>
          <t>Electrical</t>
        </is>
      </c>
      <c r="E4515" s="53" t="inlineStr">
        <is>
          <t>2024-07-14</t>
        </is>
      </c>
      <c r="F4515" s="53">
        <v>0.9</v>
      </c>
      <c r="G4515" s="53">
        <v>0</v>
      </c>
      <c r="H4515" s="51" t="str">
        <f>TEXT(tblLaborEntries[[#This Row],[Work date serial]]-WEEKDAY(tblLaborEntries[[#This Row],[Work date serial]],3),"yyyy-mm-dd")</f>
        <v>2024-07-08</v>
      </c>
      <c r="I4515" s="64">
        <f>DATEVALUE(tblLaborEntries[[#This Row],[Work date]])</f>
        <v>45487.0</v>
      </c>
    </row>
    <row r="4516" spans="1:9" ht="15" x14ac:dyDescent="0.25">
      <c r="A4516" s="53" t="inlineStr">
        <is>
          <t>LAB-004515</t>
        </is>
      </c>
      <c r="B4516" s="53" t="inlineStr">
        <is>
          <t>WP-01986</t>
        </is>
      </c>
      <c r="C4516" s="53" t="inlineStr">
        <is>
          <t>TECH-070</t>
        </is>
      </c>
      <c r="D4516" s="53" t="inlineStr">
        <is>
          <t>Electrical</t>
        </is>
      </c>
      <c r="E4516" s="53" t="inlineStr">
        <is>
          <t>2024-07-14</t>
        </is>
      </c>
      <c r="F4516" s="53">
        <v>12</v>
      </c>
      <c r="G4516" s="53">
        <v>4</v>
      </c>
      <c r="H4516" s="51" t="str">
        <f>TEXT(tblLaborEntries[[#This Row],[Work date serial]]-WEEKDAY(tblLaborEntries[[#This Row],[Work date serial]],3),"yyyy-mm-dd")</f>
        <v>2024-07-08</v>
      </c>
      <c r="I4516" s="64">
        <f>DATEVALUE(tblLaborEntries[[#This Row],[Work date]])</f>
        <v>45487.0</v>
      </c>
    </row>
    <row r="4517" spans="1:9" ht="15" x14ac:dyDescent="0.25">
      <c r="A4517" s="53" t="inlineStr">
        <is>
          <t>LAB-004516</t>
        </is>
      </c>
      <c r="B4517" s="53" t="inlineStr">
        <is>
          <t>WP-01987</t>
        </is>
      </c>
      <c r="C4517" s="53" t="inlineStr">
        <is>
          <t>TECH-020</t>
        </is>
      </c>
      <c r="D4517" s="53" t="inlineStr">
        <is>
          <t>Avionics</t>
        </is>
      </c>
      <c r="E4517" s="53" t="inlineStr">
        <is>
          <t>2025-09-02</t>
        </is>
      </c>
      <c r="F4517" s="53">
        <v>3.7</v>
      </c>
      <c r="G4517" s="53">
        <v>0</v>
      </c>
      <c r="H4517" s="51" t="str">
        <f>TEXT(tblLaborEntries[[#This Row],[Work date serial]]-WEEKDAY(tblLaborEntries[[#This Row],[Work date serial]],3),"yyyy-mm-dd")</f>
        <v>2025-09-01</v>
      </c>
      <c r="I4517" s="64">
        <f>DATEVALUE(tblLaborEntries[[#This Row],[Work date]])</f>
        <v>45902.0</v>
      </c>
    </row>
    <row r="4518" spans="1:9" ht="15" x14ac:dyDescent="0.25">
      <c r="A4518" s="53" t="inlineStr">
        <is>
          <t>LAB-004517</t>
        </is>
      </c>
      <c r="B4518" s="53" t="inlineStr">
        <is>
          <t>WP-01987</t>
        </is>
      </c>
      <c r="C4518" s="53" t="inlineStr">
        <is>
          <t>TECH-056</t>
        </is>
      </c>
      <c r="D4518" s="53" t="inlineStr">
        <is>
          <t>Avionics</t>
        </is>
      </c>
      <c r="E4518" s="53" t="inlineStr">
        <is>
          <t>2025-09-03</t>
        </is>
      </c>
      <c r="F4518" s="53">
        <v>4.2</v>
      </c>
      <c r="G4518" s="53">
        <v>0</v>
      </c>
      <c r="H4518" s="51" t="str">
        <f>TEXT(tblLaborEntries[[#This Row],[Work date serial]]-WEEKDAY(tblLaborEntries[[#This Row],[Work date serial]],3),"yyyy-mm-dd")</f>
        <v>2025-09-01</v>
      </c>
      <c r="I4518" s="64">
        <f>DATEVALUE(tblLaborEntries[[#This Row],[Work date]])</f>
        <v>45903.0</v>
      </c>
    </row>
    <row r="4519" spans="1:9" ht="15" x14ac:dyDescent="0.25">
      <c r="A4519" s="53" t="inlineStr">
        <is>
          <t>LAB-004518</t>
        </is>
      </c>
      <c r="B4519" s="53" t="inlineStr">
        <is>
          <t>WP-01988</t>
        </is>
      </c>
      <c r="C4519" s="53" t="inlineStr">
        <is>
          <t>TECH-008</t>
        </is>
      </c>
      <c r="D4519" s="53" t="inlineStr">
        <is>
          <t>Avionics</t>
        </is>
      </c>
      <c r="E4519" s="53" t="inlineStr">
        <is>
          <t>2024-04-15</t>
        </is>
      </c>
      <c r="F4519" s="53">
        <v>1.6</v>
      </c>
      <c r="G4519" s="53">
        <v>0</v>
      </c>
      <c r="H4519" s="51" t="str">
        <f>TEXT(tblLaborEntries[[#This Row],[Work date serial]]-WEEKDAY(tblLaborEntries[[#This Row],[Work date serial]],3),"yyyy-mm-dd")</f>
        <v>2024-04-15</v>
      </c>
      <c r="I4519" s="64">
        <f>DATEVALUE(tblLaborEntries[[#This Row],[Work date]])</f>
        <v>45397.0</v>
      </c>
    </row>
    <row r="4520" spans="1:9" ht="15" x14ac:dyDescent="0.25">
      <c r="A4520" s="53" t="inlineStr">
        <is>
          <t>LAB-004519</t>
        </is>
      </c>
      <c r="B4520" s="53" t="inlineStr">
        <is>
          <t>WP-01988</t>
        </is>
      </c>
      <c r="C4520" s="53" t="inlineStr">
        <is>
          <t>TECH-068</t>
        </is>
      </c>
      <c r="D4520" s="53" t="inlineStr">
        <is>
          <t>Avionics</t>
        </is>
      </c>
      <c r="E4520" s="53" t="inlineStr">
        <is>
          <t>2024-04-16</t>
        </is>
      </c>
      <c r="F4520" s="53">
        <v>1.8</v>
      </c>
      <c r="G4520" s="53">
        <v>0</v>
      </c>
      <c r="H4520" s="51" t="str">
        <f>TEXT(tblLaborEntries[[#This Row],[Work date serial]]-WEEKDAY(tblLaborEntries[[#This Row],[Work date serial]],3),"yyyy-mm-dd")</f>
        <v>2024-04-15</v>
      </c>
      <c r="I4520" s="64">
        <f>DATEVALUE(tblLaborEntries[[#This Row],[Work date]])</f>
        <v>45398.0</v>
      </c>
    </row>
    <row r="4521" spans="1:9" ht="15" x14ac:dyDescent="0.25">
      <c r="A4521" s="53" t="inlineStr">
        <is>
          <t>LAB-004520</t>
        </is>
      </c>
      <c r="B4521" s="53" t="inlineStr">
        <is>
          <t>WP-01988</t>
        </is>
      </c>
      <c r="C4521" s="53" t="inlineStr">
        <is>
          <t>TECH-032</t>
        </is>
      </c>
      <c r="D4521" s="53" t="inlineStr">
        <is>
          <t>Avionics</t>
        </is>
      </c>
      <c r="E4521" s="53" t="inlineStr">
        <is>
          <t>2024-04-17</t>
        </is>
      </c>
      <c r="F4521" s="53">
        <v>1.4</v>
      </c>
      <c r="G4521" s="53">
        <v>0</v>
      </c>
      <c r="H4521" s="51" t="str">
        <f>TEXT(tblLaborEntries[[#This Row],[Work date serial]]-WEEKDAY(tblLaborEntries[[#This Row],[Work date serial]],3),"yyyy-mm-dd")</f>
        <v>2024-04-15</v>
      </c>
      <c r="I4521" s="64">
        <f>DATEVALUE(tblLaborEntries[[#This Row],[Work date]])</f>
        <v>45399.0</v>
      </c>
    </row>
    <row r="4522" spans="1:9" ht="15" x14ac:dyDescent="0.25">
      <c r="A4522" s="53" t="inlineStr">
        <is>
          <t>LAB-004521</t>
        </is>
      </c>
      <c r="B4522" s="53" t="inlineStr">
        <is>
          <t>WP-01989</t>
        </is>
      </c>
      <c r="C4522" s="53" t="inlineStr">
        <is>
          <t>TECH-048</t>
        </is>
      </c>
      <c r="D4522" s="53" t="inlineStr">
        <is>
          <t>Powerplant</t>
        </is>
      </c>
      <c r="E4522" s="53" t="inlineStr">
        <is>
          <t>2024-07-27</t>
        </is>
      </c>
      <c r="F4522" s="53">
        <v>3.9</v>
      </c>
      <c r="G4522" s="53">
        <v>0</v>
      </c>
      <c r="H4522" s="51" t="str">
        <f>TEXT(tblLaborEntries[[#This Row],[Work date serial]]-WEEKDAY(tblLaborEntries[[#This Row],[Work date serial]],3),"yyyy-mm-dd")</f>
        <v>2024-07-22</v>
      </c>
      <c r="I4522" s="64">
        <f>DATEVALUE(tblLaborEntries[[#This Row],[Work date]])</f>
        <v>45500.0</v>
      </c>
    </row>
    <row r="4523" spans="1:9" ht="15" x14ac:dyDescent="0.25">
      <c r="A4523" s="53" t="inlineStr">
        <is>
          <t>LAB-004522</t>
        </is>
      </c>
      <c r="B4523" s="53" t="inlineStr">
        <is>
          <t>WP-01989</t>
        </is>
      </c>
      <c r="C4523" s="53" t="inlineStr">
        <is>
          <t>TECH-018</t>
        </is>
      </c>
      <c r="D4523" s="53" t="inlineStr">
        <is>
          <t>Powerplant</t>
        </is>
      </c>
      <c r="E4523" s="53" t="inlineStr">
        <is>
          <t>2024-07-28</t>
        </is>
      </c>
      <c r="F4523" s="53">
        <v>4.1</v>
      </c>
      <c r="G4523" s="53">
        <v>0</v>
      </c>
      <c r="H4523" s="51" t="str">
        <f>TEXT(tblLaborEntries[[#This Row],[Work date serial]]-WEEKDAY(tblLaborEntries[[#This Row],[Work date serial]],3),"yyyy-mm-dd")</f>
        <v>2024-07-22</v>
      </c>
      <c r="I4523" s="64">
        <f>DATEVALUE(tblLaborEntries[[#This Row],[Work date]])</f>
        <v>45501.0</v>
      </c>
    </row>
    <row r="4524" spans="1:9" ht="15" x14ac:dyDescent="0.25">
      <c r="A4524" s="53" t="inlineStr">
        <is>
          <t>LAB-004523</t>
        </is>
      </c>
      <c r="B4524" s="53" t="inlineStr">
        <is>
          <t>WP-01989</t>
        </is>
      </c>
      <c r="C4524" s="53" t="inlineStr">
        <is>
          <t>TECH-048</t>
        </is>
      </c>
      <c r="D4524" s="53" t="inlineStr">
        <is>
          <t>Powerplant</t>
        </is>
      </c>
      <c r="E4524" s="53" t="inlineStr">
        <is>
          <t>2024-07-29</t>
        </is>
      </c>
      <c r="F4524" s="53">
        <v>3.4</v>
      </c>
      <c r="G4524" s="53">
        <v>0</v>
      </c>
      <c r="H4524" s="51" t="str">
        <f>TEXT(tblLaborEntries[[#This Row],[Work date serial]]-WEEKDAY(tblLaborEntries[[#This Row],[Work date serial]],3),"yyyy-mm-dd")</f>
        <v>2024-07-29</v>
      </c>
      <c r="I4524" s="64">
        <f>DATEVALUE(tblLaborEntries[[#This Row],[Work date]])</f>
        <v>45502.0</v>
      </c>
    </row>
    <row r="4525" spans="1:9" ht="15" x14ac:dyDescent="0.25">
      <c r="A4525" s="53" t="inlineStr">
        <is>
          <t>LAB-004524</t>
        </is>
      </c>
      <c r="B4525" s="53" t="inlineStr">
        <is>
          <t>WP-01990</t>
        </is>
      </c>
      <c r="C4525" s="53" t="inlineStr">
        <is>
          <t>TECH-051</t>
        </is>
      </c>
      <c r="D4525" s="53" t="inlineStr">
        <is>
          <t>Hydraulics</t>
        </is>
      </c>
      <c r="E4525" s="53" t="inlineStr">
        <is>
          <t>2024-11-17</t>
        </is>
      </c>
      <c r="F4525" s="53">
        <v>6.7</v>
      </c>
      <c r="G4525" s="53">
        <v>0</v>
      </c>
      <c r="H4525" s="51" t="str">
        <f>TEXT(tblLaborEntries[[#This Row],[Work date serial]]-WEEKDAY(tblLaborEntries[[#This Row],[Work date serial]],3),"yyyy-mm-dd")</f>
        <v>2024-11-11</v>
      </c>
      <c r="I4525" s="64">
        <f>DATEVALUE(tblLaborEntries[[#This Row],[Work date]])</f>
        <v>45613.0</v>
      </c>
    </row>
    <row r="4526" spans="1:9" ht="15" x14ac:dyDescent="0.25">
      <c r="A4526" s="53" t="inlineStr">
        <is>
          <t>LAB-004525</t>
        </is>
      </c>
      <c r="B4526" s="53" t="inlineStr">
        <is>
          <t>WP-01991</t>
        </is>
      </c>
      <c r="C4526" s="53" t="inlineStr">
        <is>
          <t>TECH-013</t>
        </is>
      </c>
      <c r="D4526" s="53" t="inlineStr">
        <is>
          <t>Airframe</t>
        </is>
      </c>
      <c r="E4526" s="53" t="inlineStr">
        <is>
          <t>2025-03-15</t>
        </is>
      </c>
      <c r="F4526" s="53">
        <v>7.3</v>
      </c>
      <c r="G4526" s="53">
        <v>0</v>
      </c>
      <c r="H4526" s="51" t="str">
        <f>TEXT(tblLaborEntries[[#This Row],[Work date serial]]-WEEKDAY(tblLaborEntries[[#This Row],[Work date serial]],3),"yyyy-mm-dd")</f>
        <v>2025-03-10</v>
      </c>
      <c r="I4526" s="64">
        <f>DATEVALUE(tblLaborEntries[[#This Row],[Work date]])</f>
        <v>45731.0</v>
      </c>
    </row>
    <row r="4527" spans="1:9" ht="15" x14ac:dyDescent="0.25">
      <c r="A4527" s="53" t="inlineStr">
        <is>
          <t>LAB-004526</t>
        </is>
      </c>
      <c r="B4527" s="53" t="inlineStr">
        <is>
          <t>WP-01991</t>
        </is>
      </c>
      <c r="C4527" s="53" t="inlineStr">
        <is>
          <t>TECH-019</t>
        </is>
      </c>
      <c r="D4527" s="53" t="inlineStr">
        <is>
          <t>Airframe</t>
        </is>
      </c>
      <c r="E4527" s="53" t="inlineStr">
        <is>
          <t>2025-03-16</t>
        </is>
      </c>
      <c r="F4527" s="53">
        <v>5.6</v>
      </c>
      <c r="G4527" s="53">
        <v>0</v>
      </c>
      <c r="H4527" s="51" t="str">
        <f>TEXT(tblLaborEntries[[#This Row],[Work date serial]]-WEEKDAY(tblLaborEntries[[#This Row],[Work date serial]],3),"yyyy-mm-dd")</f>
        <v>2025-03-10</v>
      </c>
      <c r="I4527" s="64">
        <f>DATEVALUE(tblLaborEntries[[#This Row],[Work date]])</f>
        <v>45732.0</v>
      </c>
    </row>
    <row r="4528" spans="1:9" ht="15" x14ac:dyDescent="0.25">
      <c r="A4528" s="53" t="inlineStr">
        <is>
          <t>LAB-004527</t>
        </is>
      </c>
      <c r="B4528" s="53" t="inlineStr">
        <is>
          <t>WP-01992</t>
        </is>
      </c>
      <c r="C4528" s="53" t="inlineStr">
        <is>
          <t>TECH-026</t>
        </is>
      </c>
      <c r="D4528" s="53" t="inlineStr">
        <is>
          <t>Avionics</t>
        </is>
      </c>
      <c r="E4528" s="53" t="inlineStr">
        <is>
          <t>2025-05-16</t>
        </is>
      </c>
      <c r="F4528" s="53">
        <v>11.6</v>
      </c>
      <c r="G4528" s="53">
        <v>3.6</v>
      </c>
      <c r="H4528" s="51" t="str">
        <f>TEXT(tblLaborEntries[[#This Row],[Work date serial]]-WEEKDAY(tblLaborEntries[[#This Row],[Work date serial]],3),"yyyy-mm-dd")</f>
        <v>2025-05-12</v>
      </c>
      <c r="I4528" s="64">
        <f>DATEVALUE(tblLaborEntries[[#This Row],[Work date]])</f>
        <v>45793.0</v>
      </c>
    </row>
    <row r="4529" spans="1:9" ht="15" x14ac:dyDescent="0.25">
      <c r="A4529" s="53" t="inlineStr">
        <is>
          <t>LAB-004528</t>
        </is>
      </c>
      <c r="B4529" s="53" t="inlineStr">
        <is>
          <t>WP-01993</t>
        </is>
      </c>
      <c r="C4529" s="53" t="inlineStr">
        <is>
          <t>TECH-052</t>
        </is>
      </c>
      <c r="D4529" s="53" t="inlineStr">
        <is>
          <t>Electrical</t>
        </is>
      </c>
      <c r="E4529" s="53" t="inlineStr">
        <is>
          <t>2024-11-03</t>
        </is>
      </c>
      <c r="F4529" s="53">
        <v>8.5</v>
      </c>
      <c r="G4529" s="53">
        <v>0.5</v>
      </c>
      <c r="H4529" s="51" t="str">
        <f>TEXT(tblLaborEntries[[#This Row],[Work date serial]]-WEEKDAY(tblLaborEntries[[#This Row],[Work date serial]],3),"yyyy-mm-dd")</f>
        <v>2024-10-28</v>
      </c>
      <c r="I4529" s="64">
        <f>DATEVALUE(tblLaborEntries[[#This Row],[Work date]])</f>
        <v>45599.0</v>
      </c>
    </row>
    <row r="4530" spans="1:9" ht="15" x14ac:dyDescent="0.25">
      <c r="A4530" s="53" t="inlineStr">
        <is>
          <t>LAB-004529</t>
        </is>
      </c>
      <c r="B4530" s="53" t="inlineStr">
        <is>
          <t>WP-01993</t>
        </is>
      </c>
      <c r="C4530" s="53" t="inlineStr">
        <is>
          <t>TECH-010</t>
        </is>
      </c>
      <c r="D4530" s="53" t="inlineStr">
        <is>
          <t>Electrical</t>
        </is>
      </c>
      <c r="E4530" s="53" t="inlineStr">
        <is>
          <t>2024-11-04</t>
        </is>
      </c>
      <c r="F4530" s="53">
        <v>7.3</v>
      </c>
      <c r="G4530" s="53">
        <v>0</v>
      </c>
      <c r="H4530" s="51" t="str">
        <f>TEXT(tblLaborEntries[[#This Row],[Work date serial]]-WEEKDAY(tblLaborEntries[[#This Row],[Work date serial]],3),"yyyy-mm-dd")</f>
        <v>2024-11-04</v>
      </c>
      <c r="I4530" s="64">
        <f>DATEVALUE(tblLaborEntries[[#This Row],[Work date]])</f>
        <v>45600.0</v>
      </c>
    </row>
    <row r="4531" spans="1:9" ht="15" x14ac:dyDescent="0.25">
      <c r="A4531" s="53" t="inlineStr">
        <is>
          <t>LAB-004530</t>
        </is>
      </c>
      <c r="B4531" s="53" t="inlineStr">
        <is>
          <t>WP-01993</t>
        </is>
      </c>
      <c r="C4531" s="53" t="inlineStr">
        <is>
          <t>TECH-046</t>
        </is>
      </c>
      <c r="D4531" s="53" t="inlineStr">
        <is>
          <t>Electrical</t>
        </is>
      </c>
      <c r="E4531" s="53" t="inlineStr">
        <is>
          <t>2024-11-05</t>
        </is>
      </c>
      <c r="F4531" s="53">
        <v>7.8</v>
      </c>
      <c r="G4531" s="53">
        <v>0</v>
      </c>
      <c r="H4531" s="51" t="str">
        <f>TEXT(tblLaborEntries[[#This Row],[Work date serial]]-WEEKDAY(tblLaborEntries[[#This Row],[Work date serial]],3),"yyyy-mm-dd")</f>
        <v>2024-11-04</v>
      </c>
      <c r="I4531" s="64">
        <f>DATEVALUE(tblLaborEntries[[#This Row],[Work date]])</f>
        <v>45601.0</v>
      </c>
    </row>
    <row r="4532" spans="1:9" ht="15" x14ac:dyDescent="0.25">
      <c r="A4532" s="53" t="inlineStr">
        <is>
          <t>LAB-004531</t>
        </is>
      </c>
      <c r="B4532" s="53" t="inlineStr">
        <is>
          <t>WP-01994</t>
        </is>
      </c>
      <c r="C4532" s="53" t="inlineStr">
        <is>
          <t>TECH-032</t>
        </is>
      </c>
      <c r="D4532" s="53" t="inlineStr">
        <is>
          <t>Avionics</t>
        </is>
      </c>
      <c r="E4532" s="53" t="inlineStr">
        <is>
          <t>2024-08-26</t>
        </is>
      </c>
      <c r="F4532" s="53">
        <v>4.9</v>
      </c>
      <c r="G4532" s="53">
        <v>0</v>
      </c>
      <c r="H4532" s="51" t="str">
        <f>TEXT(tblLaborEntries[[#This Row],[Work date serial]]-WEEKDAY(tblLaborEntries[[#This Row],[Work date serial]],3),"yyyy-mm-dd")</f>
        <v>2024-08-26</v>
      </c>
      <c r="I4532" s="64">
        <f>DATEVALUE(tblLaborEntries[[#This Row],[Work date]])</f>
        <v>45530.0</v>
      </c>
    </row>
    <row r="4533" spans="1:9" ht="15" x14ac:dyDescent="0.25">
      <c r="A4533" s="53" t="inlineStr">
        <is>
          <t>LAB-004532</t>
        </is>
      </c>
      <c r="B4533" s="53" t="inlineStr">
        <is>
          <t>WP-01994</t>
        </is>
      </c>
      <c r="C4533" s="53" t="inlineStr">
        <is>
          <t>TECH-050</t>
        </is>
      </c>
      <c r="D4533" s="53" t="inlineStr">
        <is>
          <t>Avionics</t>
        </is>
      </c>
      <c r="E4533" s="53" t="inlineStr">
        <is>
          <t>2024-08-27</t>
        </is>
      </c>
      <c r="F4533" s="53">
        <v>5</v>
      </c>
      <c r="G4533" s="53">
        <v>0</v>
      </c>
      <c r="H4533" s="51" t="str">
        <f>TEXT(tblLaborEntries[[#This Row],[Work date serial]]-WEEKDAY(tblLaborEntries[[#This Row],[Work date serial]],3),"yyyy-mm-dd")</f>
        <v>2024-08-26</v>
      </c>
      <c r="I4533" s="64">
        <f>DATEVALUE(tblLaborEntries[[#This Row],[Work date]])</f>
        <v>45531.0</v>
      </c>
    </row>
    <row r="4534" spans="1:9" ht="15" x14ac:dyDescent="0.25">
      <c r="A4534" s="53" t="inlineStr">
        <is>
          <t>LAB-004533</t>
        </is>
      </c>
      <c r="B4534" s="53" t="inlineStr">
        <is>
          <t>WP-01995</t>
        </is>
      </c>
      <c r="C4534" s="53" t="inlineStr">
        <is>
          <t>TECH-051</t>
        </is>
      </c>
      <c r="D4534" s="53" t="inlineStr">
        <is>
          <t>Hydraulics</t>
        </is>
      </c>
      <c r="E4534" s="53" t="inlineStr">
        <is>
          <t>2024-03-30</t>
        </is>
      </c>
      <c r="F4534" s="53">
        <v>6.9</v>
      </c>
      <c r="G4534" s="53">
        <v>0</v>
      </c>
      <c r="H4534" s="51" t="str">
        <f>TEXT(tblLaborEntries[[#This Row],[Work date serial]]-WEEKDAY(tblLaborEntries[[#This Row],[Work date serial]],3),"yyyy-mm-dd")</f>
        <v>2024-03-25</v>
      </c>
      <c r="I4534" s="64">
        <f>DATEVALUE(tblLaborEntries[[#This Row],[Work date]])</f>
        <v>45381.0</v>
      </c>
    </row>
    <row r="4535" spans="1:9" ht="15" x14ac:dyDescent="0.25">
      <c r="A4535" s="53" t="inlineStr">
        <is>
          <t>LAB-004534</t>
        </is>
      </c>
      <c r="B4535" s="53" t="inlineStr">
        <is>
          <t>WP-01996</t>
        </is>
      </c>
      <c r="C4535" s="53" t="inlineStr">
        <is>
          <t>TECH-013</t>
        </is>
      </c>
      <c r="D4535" s="53" t="inlineStr">
        <is>
          <t>Airframe</t>
        </is>
      </c>
      <c r="E4535" s="53" t="inlineStr">
        <is>
          <t>2025-11-08</t>
        </is>
      </c>
      <c r="F4535" s="53">
        <v>5.4</v>
      </c>
      <c r="G4535" s="53">
        <v>0</v>
      </c>
      <c r="H4535" s="51" t="str">
        <f>TEXT(tblLaborEntries[[#This Row],[Work date serial]]-WEEKDAY(tblLaborEntries[[#This Row],[Work date serial]],3),"yyyy-mm-dd")</f>
        <v>2025-11-03</v>
      </c>
      <c r="I4535" s="64">
        <f>DATEVALUE(tblLaborEntries[[#This Row],[Work date]])</f>
        <v>45969.0</v>
      </c>
    </row>
    <row r="4536" spans="1:9" ht="15" x14ac:dyDescent="0.25">
      <c r="A4536" s="53" t="inlineStr">
        <is>
          <t>LAB-004535</t>
        </is>
      </c>
      <c r="B4536" s="53" t="inlineStr">
        <is>
          <t>WP-01996</t>
        </is>
      </c>
      <c r="C4536" s="53" t="inlineStr">
        <is>
          <t>TECH-067</t>
        </is>
      </c>
      <c r="D4536" s="53" t="inlineStr">
        <is>
          <t>Airframe</t>
        </is>
      </c>
      <c r="E4536" s="53" t="inlineStr">
        <is>
          <t>2025-11-09</t>
        </is>
      </c>
      <c r="F4536" s="53">
        <v>6.1</v>
      </c>
      <c r="G4536" s="53">
        <v>0</v>
      </c>
      <c r="H4536" s="51" t="str">
        <f>TEXT(tblLaborEntries[[#This Row],[Work date serial]]-WEEKDAY(tblLaborEntries[[#This Row],[Work date serial]],3),"yyyy-mm-dd")</f>
        <v>2025-11-03</v>
      </c>
      <c r="I4536" s="64">
        <f>DATEVALUE(tblLaborEntries[[#This Row],[Work date]])</f>
        <v>45970.0</v>
      </c>
    </row>
    <row r="4537" spans="1:9" ht="15" x14ac:dyDescent="0.25">
      <c r="A4537" s="53" t="inlineStr">
        <is>
          <t>LAB-004536</t>
        </is>
      </c>
      <c r="B4537" s="53" t="inlineStr">
        <is>
          <t>WP-01997</t>
        </is>
      </c>
      <c r="C4537" s="53" t="inlineStr">
        <is>
          <t>TECH-050</t>
        </is>
      </c>
      <c r="D4537" s="53" t="inlineStr">
        <is>
          <t>Avionics</t>
        </is>
      </c>
      <c r="E4537" s="53" t="inlineStr">
        <is>
          <t>2025-07-21</t>
        </is>
      </c>
      <c r="F4537" s="53">
        <v>1.7</v>
      </c>
      <c r="G4537" s="53">
        <v>0</v>
      </c>
      <c r="H4537" s="51" t="str">
        <f>TEXT(tblLaborEntries[[#This Row],[Work date serial]]-WEEKDAY(tblLaborEntries[[#This Row],[Work date serial]],3),"yyyy-mm-dd")</f>
        <v>2025-07-21</v>
      </c>
      <c r="I4537" s="64">
        <f>DATEVALUE(tblLaborEntries[[#This Row],[Work date]])</f>
        <v>45859.0</v>
      </c>
    </row>
    <row r="4538" spans="1:9" ht="15" x14ac:dyDescent="0.25">
      <c r="A4538" s="53" t="inlineStr">
        <is>
          <t>LAB-004537</t>
        </is>
      </c>
      <c r="B4538" s="53" t="inlineStr">
        <is>
          <t>WP-01997</t>
        </is>
      </c>
      <c r="C4538" s="53" t="inlineStr">
        <is>
          <t>TECH-014</t>
        </is>
      </c>
      <c r="D4538" s="53" t="inlineStr">
        <is>
          <t>Avionics</t>
        </is>
      </c>
      <c r="E4538" s="53" t="inlineStr">
        <is>
          <t>2025-07-22</t>
        </is>
      </c>
      <c r="F4538" s="53">
        <v>1.2</v>
      </c>
      <c r="G4538" s="53">
        <v>0</v>
      </c>
      <c r="H4538" s="51" t="str">
        <f>TEXT(tblLaborEntries[[#This Row],[Work date serial]]-WEEKDAY(tblLaborEntries[[#This Row],[Work date serial]],3),"yyyy-mm-dd")</f>
        <v>2025-07-21</v>
      </c>
      <c r="I4538" s="64">
        <f>DATEVALUE(tblLaborEntries[[#This Row],[Work date]])</f>
        <v>45860.0</v>
      </c>
    </row>
    <row r="4539" spans="1:9" ht="15" x14ac:dyDescent="0.25">
      <c r="A4539" s="53" t="inlineStr">
        <is>
          <t>LAB-004538</t>
        </is>
      </c>
      <c r="B4539" s="53" t="inlineStr">
        <is>
          <t>WP-01998</t>
        </is>
      </c>
      <c r="C4539" s="53" t="inlineStr">
        <is>
          <t>TECH-006</t>
        </is>
      </c>
      <c r="D4539" s="53" t="inlineStr">
        <is>
          <t>Powerplant</t>
        </is>
      </c>
      <c r="E4539" s="53" t="inlineStr">
        <is>
          <t>2024-02-09</t>
        </is>
      </c>
      <c r="F4539" s="53">
        <v>6.2</v>
      </c>
      <c r="G4539" s="53">
        <v>4</v>
      </c>
      <c r="H4539" s="51" t="str">
        <f>TEXT(tblLaborEntries[[#This Row],[Work date serial]]-WEEKDAY(tblLaborEntries[[#This Row],[Work date serial]],3),"yyyy-mm-dd")</f>
        <v>2024-02-05</v>
      </c>
      <c r="I4539" s="64">
        <f>DATEVALUE(tblLaborEntries[[#This Row],[Work date]])</f>
        <v>45331.0</v>
      </c>
    </row>
    <row r="4540" spans="1:9" ht="15" x14ac:dyDescent="0.25">
      <c r="A4540" s="53" t="inlineStr">
        <is>
          <t>LAB-004539</t>
        </is>
      </c>
      <c r="B4540" s="53" t="inlineStr">
        <is>
          <t>WP-01998</t>
        </is>
      </c>
      <c r="C4540" s="53" t="inlineStr">
        <is>
          <t>TECH-012</t>
        </is>
      </c>
      <c r="D4540" s="53" t="inlineStr">
        <is>
          <t>Powerplant</t>
        </is>
      </c>
      <c r="E4540" s="53" t="inlineStr">
        <is>
          <t>2024-02-09</t>
        </is>
      </c>
      <c r="F4540" s="53">
        <v>7.9</v>
      </c>
      <c r="G4540" s="53">
        <v>0</v>
      </c>
      <c r="H4540" s="51" t="str">
        <f>TEXT(tblLaborEntries[[#This Row],[Work date serial]]-WEEKDAY(tblLaborEntries[[#This Row],[Work date serial]],3),"yyyy-mm-dd")</f>
        <v>2024-02-05</v>
      </c>
      <c r="I4540" s="64">
        <f>DATEVALUE(tblLaborEntries[[#This Row],[Work date]])</f>
        <v>45331.0</v>
      </c>
    </row>
    <row r="4541" spans="1:9" ht="15" x14ac:dyDescent="0.25">
      <c r="A4541" s="53" t="inlineStr">
        <is>
          <t>LAB-004540</t>
        </is>
      </c>
      <c r="B4541" s="53" t="inlineStr">
        <is>
          <t>WP-01999</t>
        </is>
      </c>
      <c r="C4541" s="53" t="inlineStr">
        <is>
          <t>TECH-070</t>
        </is>
      </c>
      <c r="D4541" s="53" t="inlineStr">
        <is>
          <t>Electrical</t>
        </is>
      </c>
      <c r="E4541" s="53" t="inlineStr">
        <is>
          <t>2025-08-14</t>
        </is>
      </c>
      <c r="F4541" s="53">
        <v>3.1</v>
      </c>
      <c r="G4541" s="53">
        <v>0</v>
      </c>
      <c r="H4541" s="51" t="str">
        <f>TEXT(tblLaborEntries[[#This Row],[Work date serial]]-WEEKDAY(tblLaborEntries[[#This Row],[Work date serial]],3),"yyyy-mm-dd")</f>
        <v>2025-08-11</v>
      </c>
      <c r="I4541" s="64">
        <f>DATEVALUE(tblLaborEntries[[#This Row],[Work date]])</f>
        <v>45883.0</v>
      </c>
    </row>
    <row r="4542" spans="1:9" ht="15" x14ac:dyDescent="0.25">
      <c r="A4542" s="53" t="inlineStr">
        <is>
          <t>LAB-004541</t>
        </is>
      </c>
      <c r="B4542" s="53" t="inlineStr">
        <is>
          <t>WP-01999</t>
        </is>
      </c>
      <c r="C4542" s="53" t="inlineStr">
        <is>
          <t>TECH-052</t>
        </is>
      </c>
      <c r="D4542" s="53" t="inlineStr">
        <is>
          <t>Electrical</t>
        </is>
      </c>
      <c r="E4542" s="53" t="inlineStr">
        <is>
          <t>2025-08-15</t>
        </is>
      </c>
      <c r="F4542" s="53">
        <v>3</v>
      </c>
      <c r="G4542" s="53">
        <v>0</v>
      </c>
      <c r="H4542" s="51" t="str">
        <f>TEXT(tblLaborEntries[[#This Row],[Work date serial]]-WEEKDAY(tblLaborEntries[[#This Row],[Work date serial]],3),"yyyy-mm-dd")</f>
        <v>2025-08-11</v>
      </c>
      <c r="I4542" s="64">
        <f>DATEVALUE(tblLaborEntries[[#This Row],[Work date]])</f>
        <v>45884.0</v>
      </c>
    </row>
    <row r="4543" spans="1:9" ht="15" x14ac:dyDescent="0.25">
      <c r="A4543" s="53" t="inlineStr">
        <is>
          <t>LAB-004542</t>
        </is>
      </c>
      <c r="B4543" s="53" t="inlineStr">
        <is>
          <t>WP-01999</t>
        </is>
      </c>
      <c r="C4543" s="53" t="inlineStr">
        <is>
          <t>TECH-022</t>
        </is>
      </c>
      <c r="D4543" s="53" t="inlineStr">
        <is>
          <t>Electrical</t>
        </is>
      </c>
      <c r="E4543" s="53" t="inlineStr">
        <is>
          <t>2025-08-16</t>
        </is>
      </c>
      <c r="F4543" s="53">
        <v>3</v>
      </c>
      <c r="G4543" s="53">
        <v>0</v>
      </c>
      <c r="H4543" s="51" t="str">
        <f>TEXT(tblLaborEntries[[#This Row],[Work date serial]]-WEEKDAY(tblLaborEntries[[#This Row],[Work date serial]],3),"yyyy-mm-dd")</f>
        <v>2025-08-11</v>
      </c>
      <c r="I4543" s="64">
        <f>DATEVALUE(tblLaborEntries[[#This Row],[Work date]])</f>
        <v>45885.0</v>
      </c>
    </row>
    <row r="4544" spans="1:9" ht="15" x14ac:dyDescent="0.25">
      <c r="A4544" s="53" t="inlineStr">
        <is>
          <t>LAB-004543</t>
        </is>
      </c>
      <c r="B4544" s="53" t="inlineStr">
        <is>
          <t>WP-02000</t>
        </is>
      </c>
      <c r="C4544" s="53" t="inlineStr">
        <is>
          <t>TECH-013</t>
        </is>
      </c>
      <c r="D4544" s="53" t="inlineStr">
        <is>
          <t>Airframe</t>
        </is>
      </c>
      <c r="E4544" s="53" t="inlineStr">
        <is>
          <t>2025-08-04</t>
        </is>
      </c>
      <c r="F4544" s="53">
        <v>2.8</v>
      </c>
      <c r="G4544" s="53">
        <v>0</v>
      </c>
      <c r="H4544" s="51" t="str">
        <f>TEXT(tblLaborEntries[[#This Row],[Work date serial]]-WEEKDAY(tblLaborEntries[[#This Row],[Work date serial]],3),"yyyy-mm-dd")</f>
        <v>2025-08-04</v>
      </c>
      <c r="I4544" s="64">
        <f>DATEVALUE(tblLaborEntries[[#This Row],[Work date]])</f>
        <v>45873.0</v>
      </c>
    </row>
    <row r="4545" spans="1:9" ht="15" x14ac:dyDescent="0.25">
      <c r="A4545" s="53" t="inlineStr">
        <is>
          <t>LAB-004544</t>
        </is>
      </c>
      <c r="B4545" s="53" t="inlineStr">
        <is>
          <t>WP-02000</t>
        </is>
      </c>
      <c r="C4545" s="53" t="inlineStr">
        <is>
          <t>TECH-019</t>
        </is>
      </c>
      <c r="D4545" s="53" t="inlineStr">
        <is>
          <t>Airframe</t>
        </is>
      </c>
      <c r="E4545" s="53" t="inlineStr">
        <is>
          <t>2025-08-05</t>
        </is>
      </c>
      <c r="F4545" s="53">
        <v>2.5</v>
      </c>
      <c r="G4545" s="53">
        <v>0</v>
      </c>
      <c r="H4545" s="51" t="str">
        <f>TEXT(tblLaborEntries[[#This Row],[Work date serial]]-WEEKDAY(tblLaborEntries[[#This Row],[Work date serial]],3),"yyyy-mm-dd")</f>
        <v>2025-08-04</v>
      </c>
      <c r="I4545" s="64">
        <f>DATEVALUE(tblLaborEntries[[#This Row],[Work date]])</f>
        <v>45874.0</v>
      </c>
    </row>
    <row r="4546" spans="1:9" ht="15" x14ac:dyDescent="0.25">
      <c r="A4546" s="53" t="inlineStr">
        <is>
          <t>LAB-004545</t>
        </is>
      </c>
      <c r="B4546" s="53" t="inlineStr">
        <is>
          <t>WP-02000</t>
        </is>
      </c>
      <c r="C4546" s="53" t="inlineStr">
        <is>
          <t>TECH-031</t>
        </is>
      </c>
      <c r="D4546" s="53" t="inlineStr">
        <is>
          <t>Airframe</t>
        </is>
      </c>
      <c r="E4546" s="53" t="inlineStr">
        <is>
          <t>2025-08-06</t>
        </is>
      </c>
      <c r="F4546" s="53">
        <v>3.1</v>
      </c>
      <c r="G4546" s="53">
        <v>0</v>
      </c>
      <c r="H4546" s="51" t="str">
        <f>TEXT(tblLaborEntries[[#This Row],[Work date serial]]-WEEKDAY(tblLaborEntries[[#This Row],[Work date serial]],3),"yyyy-mm-dd")</f>
        <v>2025-08-04</v>
      </c>
      <c r="I4546" s="64">
        <f>DATEVALUE(tblLaborEntries[[#This Row],[Work date]])</f>
        <v>45875.0</v>
      </c>
    </row>
    <row r="4547" spans="1:9" ht="15" x14ac:dyDescent="0.25">
      <c r="A4547" s="53" t="inlineStr">
        <is>
          <t>LAB-004546</t>
        </is>
      </c>
      <c r="B4547" s="53" t="inlineStr">
        <is>
          <t>WP-02001</t>
        </is>
      </c>
      <c r="C4547" s="53" t="inlineStr">
        <is>
          <t>TECH-016</t>
        </is>
      </c>
      <c r="D4547" s="53" t="inlineStr">
        <is>
          <t>Electrical</t>
        </is>
      </c>
      <c r="E4547" s="53" t="inlineStr">
        <is>
          <t>2025-12-19</t>
        </is>
      </c>
      <c r="F4547" s="53">
        <v>5.4</v>
      </c>
      <c r="G4547" s="53">
        <v>0</v>
      </c>
      <c r="H4547" s="51" t="str">
        <f>TEXT(tblLaborEntries[[#This Row],[Work date serial]]-WEEKDAY(tblLaborEntries[[#This Row],[Work date serial]],3),"yyyy-mm-dd")</f>
        <v>2025-12-15</v>
      </c>
      <c r="I4547" s="64">
        <f>DATEVALUE(tblLaborEntries[[#This Row],[Work date]])</f>
        <v>46010.0</v>
      </c>
    </row>
    <row r="4548" spans="1:9" ht="15" x14ac:dyDescent="0.25">
      <c r="A4548" s="53" t="inlineStr">
        <is>
          <t>LAB-004547</t>
        </is>
      </c>
      <c r="B4548" s="53" t="inlineStr">
        <is>
          <t>WP-02001</t>
        </is>
      </c>
      <c r="C4548" s="53" t="inlineStr">
        <is>
          <t>TECH-034</t>
        </is>
      </c>
      <c r="D4548" s="53" t="inlineStr">
        <is>
          <t>Electrical</t>
        </is>
      </c>
      <c r="E4548" s="53" t="inlineStr">
        <is>
          <t>2025-12-20</t>
        </is>
      </c>
      <c r="F4548" s="53">
        <v>4.3</v>
      </c>
      <c r="G4548" s="53">
        <v>0</v>
      </c>
      <c r="H4548" s="51" t="str">
        <f>TEXT(tblLaborEntries[[#This Row],[Work date serial]]-WEEKDAY(tblLaborEntries[[#This Row],[Work date serial]],3),"yyyy-mm-dd")</f>
        <v>2025-12-15</v>
      </c>
      <c r="I4548" s="64">
        <f>DATEVALUE(tblLaborEntries[[#This Row],[Work date]])</f>
        <v>46011.0</v>
      </c>
    </row>
    <row r="4549" spans="1:9" ht="15" x14ac:dyDescent="0.25">
      <c r="A4549" s="53" t="inlineStr">
        <is>
          <t>LAB-004548</t>
        </is>
      </c>
      <c r="B4549" s="53" t="inlineStr">
        <is>
          <t>WP-02001</t>
        </is>
      </c>
      <c r="C4549" s="53" t="inlineStr">
        <is>
          <t>TECH-040</t>
        </is>
      </c>
      <c r="D4549" s="53" t="inlineStr">
        <is>
          <t>Electrical</t>
        </is>
      </c>
      <c r="E4549" s="53" t="inlineStr">
        <is>
          <t>2025-12-21</t>
        </is>
      </c>
      <c r="F4549" s="53">
        <v>5.3</v>
      </c>
      <c r="G4549" s="53">
        <v>0</v>
      </c>
      <c r="H4549" s="51" t="str">
        <f>TEXT(tblLaborEntries[[#This Row],[Work date serial]]-WEEKDAY(tblLaborEntries[[#This Row],[Work date serial]],3),"yyyy-mm-dd")</f>
        <v>2025-12-15</v>
      </c>
      <c r="I4549" s="64">
        <f>DATEVALUE(tblLaborEntries[[#This Row],[Work date]])</f>
        <v>46012.0</v>
      </c>
    </row>
    <row r="4550" spans="1:9" ht="15" x14ac:dyDescent="0.25">
      <c r="A4550" s="53" t="inlineStr">
        <is>
          <t>LAB-004549</t>
        </is>
      </c>
      <c r="B4550" s="53" t="inlineStr">
        <is>
          <t>WP-02002</t>
        </is>
      </c>
      <c r="C4550" s="53" t="inlineStr">
        <is>
          <t>TECH-067</t>
        </is>
      </c>
      <c r="D4550" s="53" t="inlineStr">
        <is>
          <t>Airframe</t>
        </is>
      </c>
      <c r="E4550" s="53" t="inlineStr">
        <is>
          <t>2025-11-10</t>
        </is>
      </c>
      <c r="F4550" s="53">
        <v>6.2</v>
      </c>
      <c r="G4550" s="53">
        <v>0</v>
      </c>
      <c r="H4550" s="51" t="str">
        <f>TEXT(tblLaborEntries[[#This Row],[Work date serial]]-WEEKDAY(tblLaborEntries[[#This Row],[Work date serial]],3),"yyyy-mm-dd")</f>
        <v>2025-11-10</v>
      </c>
      <c r="I4550" s="64">
        <f>DATEVALUE(tblLaborEntries[[#This Row],[Work date]])</f>
        <v>45971.0</v>
      </c>
    </row>
    <row r="4551" spans="1:9" ht="15" x14ac:dyDescent="0.25">
      <c r="A4551" s="53" t="inlineStr">
        <is>
          <t>LAB-004550</t>
        </is>
      </c>
      <c r="B4551" s="53" t="inlineStr">
        <is>
          <t>WP-02003</t>
        </is>
      </c>
      <c r="C4551" s="53" t="inlineStr">
        <is>
          <t>TECH-039</t>
        </is>
      </c>
      <c r="D4551" s="53" t="inlineStr">
        <is>
          <t>Hydraulics</t>
        </is>
      </c>
      <c r="E4551" s="53" t="inlineStr">
        <is>
          <t>2025-03-07</t>
        </is>
      </c>
      <c r="F4551" s="53">
        <v>5.9</v>
      </c>
      <c r="G4551" s="53">
        <v>0</v>
      </c>
      <c r="H4551" s="51" t="str">
        <f>TEXT(tblLaborEntries[[#This Row],[Work date serial]]-WEEKDAY(tblLaborEntries[[#This Row],[Work date serial]],3),"yyyy-mm-dd")</f>
        <v>2025-03-03</v>
      </c>
      <c r="I4551" s="64">
        <f>DATEVALUE(tblLaborEntries[[#This Row],[Work date]])</f>
        <v>45723.0</v>
      </c>
    </row>
    <row r="4552" spans="1:9" ht="15" x14ac:dyDescent="0.25">
      <c r="A4552" s="53" t="inlineStr">
        <is>
          <t>LAB-004551</t>
        </is>
      </c>
      <c r="B4552" s="53" t="inlineStr">
        <is>
          <t>WP-02003</t>
        </is>
      </c>
      <c r="C4552" s="53" t="inlineStr">
        <is>
          <t>TECH-015</t>
        </is>
      </c>
      <c r="D4552" s="53" t="inlineStr">
        <is>
          <t>Hydraulics</t>
        </is>
      </c>
      <c r="E4552" s="53" t="inlineStr">
        <is>
          <t>2025-03-08</t>
        </is>
      </c>
      <c r="F4552" s="53">
        <v>5.4</v>
      </c>
      <c r="G4552" s="53">
        <v>0</v>
      </c>
      <c r="H4552" s="51" t="str">
        <f>TEXT(tblLaborEntries[[#This Row],[Work date serial]]-WEEKDAY(tblLaborEntries[[#This Row],[Work date serial]],3),"yyyy-mm-dd")</f>
        <v>2025-03-03</v>
      </c>
      <c r="I4552" s="64">
        <f>DATEVALUE(tblLaborEntries[[#This Row],[Work date]])</f>
        <v>45724.0</v>
      </c>
    </row>
    <row r="4553" spans="1:9" ht="15" x14ac:dyDescent="0.25">
      <c r="A4553" s="53" t="inlineStr">
        <is>
          <t>LAB-004552</t>
        </is>
      </c>
      <c r="B4553" s="53" t="inlineStr">
        <is>
          <t>WP-02003</t>
        </is>
      </c>
      <c r="C4553" s="53" t="inlineStr">
        <is>
          <t>TECH-039</t>
        </is>
      </c>
      <c r="D4553" s="53" t="inlineStr">
        <is>
          <t>Hydraulics</t>
        </is>
      </c>
      <c r="E4553" s="53" t="inlineStr">
        <is>
          <t>2025-03-09</t>
        </is>
      </c>
      <c r="F4553" s="53">
        <v>6.1</v>
      </c>
      <c r="G4553" s="53">
        <v>0</v>
      </c>
      <c r="H4553" s="51" t="str">
        <f>TEXT(tblLaborEntries[[#This Row],[Work date serial]]-WEEKDAY(tblLaborEntries[[#This Row],[Work date serial]],3),"yyyy-mm-dd")</f>
        <v>2025-03-03</v>
      </c>
      <c r="I4553" s="64">
        <f>DATEVALUE(tblLaborEntries[[#This Row],[Work date]])</f>
        <v>45725.0</v>
      </c>
    </row>
    <row r="4554" spans="1:9" ht="15" x14ac:dyDescent="0.25">
      <c r="A4554" s="53" t="inlineStr">
        <is>
          <t>LAB-004553</t>
        </is>
      </c>
      <c r="B4554" s="53" t="inlineStr">
        <is>
          <t>WP-02004</t>
        </is>
      </c>
      <c r="C4554" s="53" t="inlineStr">
        <is>
          <t>TECH-009</t>
        </is>
      </c>
      <c r="D4554" s="53" t="inlineStr">
        <is>
          <t>Hydraulics</t>
        </is>
      </c>
      <c r="E4554" s="53" t="inlineStr">
        <is>
          <t>2025-05-07</t>
        </is>
      </c>
      <c r="F4554" s="53">
        <v>10.7</v>
      </c>
      <c r="G4554" s="53">
        <v>2.7</v>
      </c>
      <c r="H4554" s="51" t="str">
        <f>TEXT(tblLaborEntries[[#This Row],[Work date serial]]-WEEKDAY(tblLaborEntries[[#This Row],[Work date serial]],3),"yyyy-mm-dd")</f>
        <v>2025-05-05</v>
      </c>
      <c r="I4554" s="64">
        <f>DATEVALUE(tblLaborEntries[[#This Row],[Work date]])</f>
        <v>45784.0</v>
      </c>
    </row>
    <row r="4555" spans="1:9" ht="15" x14ac:dyDescent="0.25">
      <c r="A4555" s="53" t="inlineStr">
        <is>
          <t>LAB-004554</t>
        </is>
      </c>
      <c r="B4555" s="53" t="inlineStr">
        <is>
          <t>WP-02004</t>
        </is>
      </c>
      <c r="C4555" s="53" t="inlineStr">
        <is>
          <t>TECH-015</t>
        </is>
      </c>
      <c r="D4555" s="53" t="inlineStr">
        <is>
          <t>Hydraulics</t>
        </is>
      </c>
      <c r="E4555" s="53" t="inlineStr">
        <is>
          <t>2025-05-08</t>
        </is>
      </c>
      <c r="F4555" s="53">
        <v>11.9</v>
      </c>
      <c r="G4555" s="53">
        <v>3.9</v>
      </c>
      <c r="H4555" s="51" t="str">
        <f>TEXT(tblLaborEntries[[#This Row],[Work date serial]]-WEEKDAY(tblLaborEntries[[#This Row],[Work date serial]],3),"yyyy-mm-dd")</f>
        <v>2025-05-05</v>
      </c>
      <c r="I4555" s="64">
        <f>DATEVALUE(tblLaborEntries[[#This Row],[Work date]])</f>
        <v>45785.0</v>
      </c>
    </row>
    <row r="4556" spans="1:9" ht="15" x14ac:dyDescent="0.25">
      <c r="A4556" s="53" t="inlineStr">
        <is>
          <t>LAB-004555</t>
        </is>
      </c>
      <c r="B4556" s="53" t="inlineStr">
        <is>
          <t>WP-02005</t>
        </is>
      </c>
      <c r="C4556" s="53" t="inlineStr">
        <is>
          <t>TECH-010</t>
        </is>
      </c>
      <c r="D4556" s="53" t="inlineStr">
        <is>
          <t>Electrical</t>
        </is>
      </c>
      <c r="E4556" s="53" t="inlineStr">
        <is>
          <t>2025-11-18</t>
        </is>
      </c>
      <c r="F4556" s="53">
        <v>3.4</v>
      </c>
      <c r="G4556" s="53">
        <v>3.4</v>
      </c>
      <c r="H4556" s="51" t="str">
        <f>TEXT(tblLaborEntries[[#This Row],[Work date serial]]-WEEKDAY(tblLaborEntries[[#This Row],[Work date serial]],3),"yyyy-mm-dd")</f>
        <v>2025-11-17</v>
      </c>
      <c r="I4556" s="64">
        <f>DATEVALUE(tblLaborEntries[[#This Row],[Work date]])</f>
        <v>45979.0</v>
      </c>
    </row>
    <row r="4557" spans="1:9" ht="15" x14ac:dyDescent="0.25">
      <c r="A4557" s="53" t="inlineStr">
        <is>
          <t>LAB-004556</t>
        </is>
      </c>
      <c r="B4557" s="53" t="inlineStr">
        <is>
          <t>WP-02005</t>
        </is>
      </c>
      <c r="C4557" s="53" t="inlineStr">
        <is>
          <t>TECH-034</t>
        </is>
      </c>
      <c r="D4557" s="53" t="inlineStr">
        <is>
          <t>Electrical</t>
        </is>
      </c>
      <c r="E4557" s="53" t="inlineStr">
        <is>
          <t>2025-11-19</t>
        </is>
      </c>
      <c r="F4557" s="53">
        <v>4.8</v>
      </c>
      <c r="G4557" s="53">
        <v>0</v>
      </c>
      <c r="H4557" s="51" t="str">
        <f>TEXT(tblLaborEntries[[#This Row],[Work date serial]]-WEEKDAY(tblLaborEntries[[#This Row],[Work date serial]],3),"yyyy-mm-dd")</f>
        <v>2025-11-17</v>
      </c>
      <c r="I4557" s="64">
        <f>DATEVALUE(tblLaborEntries[[#This Row],[Work date]])</f>
        <v>45980.0</v>
      </c>
    </row>
    <row r="4558" spans="1:9" ht="15" x14ac:dyDescent="0.25">
      <c r="A4558" s="53" t="inlineStr">
        <is>
          <t>LAB-004557</t>
        </is>
      </c>
      <c r="B4558" s="53" t="inlineStr">
        <is>
          <t>WP-02006</t>
        </is>
      </c>
      <c r="C4558" s="53" t="inlineStr">
        <is>
          <t>TECH-066</t>
        </is>
      </c>
      <c r="D4558" s="53" t="inlineStr">
        <is>
          <t>Powerplant</t>
        </is>
      </c>
      <c r="E4558" s="53" t="inlineStr">
        <is>
          <t>2024-07-01</t>
        </is>
      </c>
      <c r="F4558" s="53">
        <v>6.9</v>
      </c>
      <c r="G4558" s="53">
        <v>2.6</v>
      </c>
      <c r="H4558" s="51" t="str">
        <f>TEXT(tblLaborEntries[[#This Row],[Work date serial]]-WEEKDAY(tblLaborEntries[[#This Row],[Work date serial]],3),"yyyy-mm-dd")</f>
        <v>2024-07-01</v>
      </c>
      <c r="I4558" s="64">
        <f>DATEVALUE(tblLaborEntries[[#This Row],[Work date]])</f>
        <v>45474.0</v>
      </c>
    </row>
    <row r="4559" spans="1:9" ht="15" x14ac:dyDescent="0.25">
      <c r="A4559" s="53" t="inlineStr">
        <is>
          <t>LAB-004558</t>
        </is>
      </c>
      <c r="B4559" s="53" t="inlineStr">
        <is>
          <t>WP-02006</t>
        </is>
      </c>
      <c r="C4559" s="53" t="inlineStr">
        <is>
          <t>TECH-054</t>
        </is>
      </c>
      <c r="D4559" s="53" t="inlineStr">
        <is>
          <t>Powerplant</t>
        </is>
      </c>
      <c r="E4559" s="53" t="inlineStr">
        <is>
          <t>2024-07-02</t>
        </is>
      </c>
      <c r="F4559" s="53">
        <v>8.3</v>
      </c>
      <c r="G4559" s="53">
        <v>0.3</v>
      </c>
      <c r="H4559" s="51" t="str">
        <f>TEXT(tblLaborEntries[[#This Row],[Work date serial]]-WEEKDAY(tblLaborEntries[[#This Row],[Work date serial]],3),"yyyy-mm-dd")</f>
        <v>2024-07-01</v>
      </c>
      <c r="I4559" s="64">
        <f>DATEVALUE(tblLaborEntries[[#This Row],[Work date]])</f>
        <v>45475.0</v>
      </c>
    </row>
    <row r="4560" spans="1:9" ht="15" x14ac:dyDescent="0.25">
      <c r="A4560" s="53" t="inlineStr">
        <is>
          <t>LAB-004559</t>
        </is>
      </c>
      <c r="B4560" s="53" t="inlineStr">
        <is>
          <t>WP-02007</t>
        </is>
      </c>
      <c r="C4560" s="53" t="inlineStr">
        <is>
          <t>TECH-021</t>
        </is>
      </c>
      <c r="D4560" s="53" t="inlineStr">
        <is>
          <t>Hydraulics</t>
        </is>
      </c>
      <c r="E4560" s="53" t="inlineStr">
        <is>
          <t>2025-11-07</t>
        </is>
      </c>
      <c r="F4560" s="53">
        <v>4.7</v>
      </c>
      <c r="G4560" s="53">
        <v>0</v>
      </c>
      <c r="H4560" s="51" t="str">
        <f>TEXT(tblLaborEntries[[#This Row],[Work date serial]]-WEEKDAY(tblLaborEntries[[#This Row],[Work date serial]],3),"yyyy-mm-dd")</f>
        <v>2025-11-03</v>
      </c>
      <c r="I4560" s="64">
        <f>DATEVALUE(tblLaborEntries[[#This Row],[Work date]])</f>
        <v>45968.0</v>
      </c>
    </row>
    <row r="4561" spans="1:9" ht="15" x14ac:dyDescent="0.25">
      <c r="A4561" s="53" t="inlineStr">
        <is>
          <t>LAB-004560</t>
        </is>
      </c>
      <c r="B4561" s="53" t="inlineStr">
        <is>
          <t>WP-02007</t>
        </is>
      </c>
      <c r="C4561" s="53" t="inlineStr">
        <is>
          <t>TECH-015</t>
        </is>
      </c>
      <c r="D4561" s="53" t="inlineStr">
        <is>
          <t>Hydraulics</t>
        </is>
      </c>
      <c r="E4561" s="53" t="inlineStr">
        <is>
          <t>2025-11-08</t>
        </is>
      </c>
      <c r="F4561" s="53">
        <v>6.6</v>
      </c>
      <c r="G4561" s="53">
        <v>0</v>
      </c>
      <c r="H4561" s="51" t="str">
        <f>TEXT(tblLaborEntries[[#This Row],[Work date serial]]-WEEKDAY(tblLaborEntries[[#This Row],[Work date serial]],3),"yyyy-mm-dd")</f>
        <v>2025-11-03</v>
      </c>
      <c r="I4561" s="64">
        <f>DATEVALUE(tblLaborEntries[[#This Row],[Work date]])</f>
        <v>45969.0</v>
      </c>
    </row>
    <row r="4562" spans="1:9" ht="15" x14ac:dyDescent="0.25">
      <c r="A4562" s="53" t="inlineStr">
        <is>
          <t>LAB-004561</t>
        </is>
      </c>
      <c r="B4562" s="53" t="inlineStr">
        <is>
          <t>WP-02008</t>
        </is>
      </c>
      <c r="C4562" s="53" t="inlineStr">
        <is>
          <t>TECH-074</t>
        </is>
      </c>
      <c r="D4562" s="53" t="inlineStr">
        <is>
          <t>Avionics</t>
        </is>
      </c>
      <c r="E4562" s="53" t="inlineStr">
        <is>
          <t>2025-06-11</t>
        </is>
      </c>
      <c r="F4562" s="53">
        <v>1.2</v>
      </c>
      <c r="G4562" s="53">
        <v>0</v>
      </c>
      <c r="H4562" s="51" t="str">
        <f>TEXT(tblLaborEntries[[#This Row],[Work date serial]]-WEEKDAY(tblLaborEntries[[#This Row],[Work date serial]],3),"yyyy-mm-dd")</f>
        <v>2025-06-09</v>
      </c>
      <c r="I4562" s="64">
        <f>DATEVALUE(tblLaborEntries[[#This Row],[Work date]])</f>
        <v>45819.0</v>
      </c>
    </row>
    <row r="4563" spans="1:9" ht="15" x14ac:dyDescent="0.25">
      <c r="A4563" s="53" t="inlineStr">
        <is>
          <t>LAB-004562</t>
        </is>
      </c>
      <c r="B4563" s="53" t="inlineStr">
        <is>
          <t>WP-02008</t>
        </is>
      </c>
      <c r="C4563" s="53" t="inlineStr">
        <is>
          <t>TECH-020</t>
        </is>
      </c>
      <c r="D4563" s="53" t="inlineStr">
        <is>
          <t>Avionics</t>
        </is>
      </c>
      <c r="E4563" s="53" t="inlineStr">
        <is>
          <t>2025-06-12</t>
        </is>
      </c>
      <c r="F4563" s="53">
        <v>1.4</v>
      </c>
      <c r="G4563" s="53">
        <v>0</v>
      </c>
      <c r="H4563" s="51" t="str">
        <f>TEXT(tblLaborEntries[[#This Row],[Work date serial]]-WEEKDAY(tblLaborEntries[[#This Row],[Work date serial]],3),"yyyy-mm-dd")</f>
        <v>2025-06-09</v>
      </c>
      <c r="I4563" s="64">
        <f>DATEVALUE(tblLaborEntries[[#This Row],[Work date]])</f>
        <v>45820.0</v>
      </c>
    </row>
    <row r="4564" spans="1:9" ht="15" x14ac:dyDescent="0.25">
      <c r="A4564" s="53" t="inlineStr">
        <is>
          <t>LAB-004563</t>
        </is>
      </c>
      <c r="B4564" s="53" t="inlineStr">
        <is>
          <t>WP-02008</t>
        </is>
      </c>
      <c r="C4564" s="53" t="inlineStr">
        <is>
          <t>TECH-002</t>
        </is>
      </c>
      <c r="D4564" s="53" t="inlineStr">
        <is>
          <t>Avionics</t>
        </is>
      </c>
      <c r="E4564" s="53" t="inlineStr">
        <is>
          <t>2025-06-13</t>
        </is>
      </c>
      <c r="F4564" s="53">
        <v>1.8</v>
      </c>
      <c r="G4564" s="53">
        <v>0</v>
      </c>
      <c r="H4564" s="51" t="str">
        <f>TEXT(tblLaborEntries[[#This Row],[Work date serial]]-WEEKDAY(tblLaborEntries[[#This Row],[Work date serial]],3),"yyyy-mm-dd")</f>
        <v>2025-06-09</v>
      </c>
      <c r="I4564" s="64">
        <f>DATEVALUE(tblLaborEntries[[#This Row],[Work date]])</f>
        <v>45821.0</v>
      </c>
    </row>
    <row r="4565" spans="1:9" ht="15" x14ac:dyDescent="0.25">
      <c r="A4565" s="53" t="inlineStr">
        <is>
          <t>LAB-004564</t>
        </is>
      </c>
      <c r="B4565" s="53" t="inlineStr">
        <is>
          <t>WP-02009</t>
        </is>
      </c>
      <c r="C4565" s="53" t="inlineStr">
        <is>
          <t>TECH-020</t>
        </is>
      </c>
      <c r="D4565" s="53" t="inlineStr">
        <is>
          <t>Avionics</t>
        </is>
      </c>
      <c r="E4565" s="53" t="inlineStr">
        <is>
          <t>2025-03-02</t>
        </is>
      </c>
      <c r="F4565" s="53">
        <v>2.9</v>
      </c>
      <c r="G4565" s="53">
        <v>0</v>
      </c>
      <c r="H4565" s="51" t="str">
        <f>TEXT(tblLaborEntries[[#This Row],[Work date serial]]-WEEKDAY(tblLaborEntries[[#This Row],[Work date serial]],3),"yyyy-mm-dd")</f>
        <v>2025-02-24</v>
      </c>
      <c r="I4565" s="64">
        <f>DATEVALUE(tblLaborEntries[[#This Row],[Work date]])</f>
        <v>45718.0</v>
      </c>
    </row>
    <row r="4566" spans="1:9" ht="15" x14ac:dyDescent="0.25">
      <c r="A4566" s="53" t="inlineStr">
        <is>
          <t>LAB-004565</t>
        </is>
      </c>
      <c r="B4566" s="53" t="inlineStr">
        <is>
          <t>WP-02009</t>
        </is>
      </c>
      <c r="C4566" s="53" t="inlineStr">
        <is>
          <t>TECH-014</t>
        </is>
      </c>
      <c r="D4566" s="53" t="inlineStr">
        <is>
          <t>Avionics</t>
        </is>
      </c>
      <c r="E4566" s="53" t="inlineStr">
        <is>
          <t>2025-03-03</t>
        </is>
      </c>
      <c r="F4566" s="53">
        <v>2.5</v>
      </c>
      <c r="G4566" s="53">
        <v>0</v>
      </c>
      <c r="H4566" s="51" t="str">
        <f>TEXT(tblLaborEntries[[#This Row],[Work date serial]]-WEEKDAY(tblLaborEntries[[#This Row],[Work date serial]],3),"yyyy-mm-dd")</f>
        <v>2025-03-03</v>
      </c>
      <c r="I4566" s="64">
        <f>DATEVALUE(tblLaborEntries[[#This Row],[Work date]])</f>
        <v>45719.0</v>
      </c>
    </row>
    <row r="4567" spans="1:9" ht="15" x14ac:dyDescent="0.25">
      <c r="A4567" s="53" t="inlineStr">
        <is>
          <t>LAB-004566</t>
        </is>
      </c>
      <c r="B4567" s="53" t="inlineStr">
        <is>
          <t>WP-02009</t>
        </is>
      </c>
      <c r="C4567" s="53" t="inlineStr">
        <is>
          <t>TECH-014</t>
        </is>
      </c>
      <c r="D4567" s="53" t="inlineStr">
        <is>
          <t>Avionics</t>
        </is>
      </c>
      <c r="E4567" s="53" t="inlineStr">
        <is>
          <t>2025-03-04</t>
        </is>
      </c>
      <c r="F4567" s="53">
        <v>3.6</v>
      </c>
      <c r="G4567" s="53">
        <v>0</v>
      </c>
      <c r="H4567" s="51" t="str">
        <f>TEXT(tblLaborEntries[[#This Row],[Work date serial]]-WEEKDAY(tblLaborEntries[[#This Row],[Work date serial]],3),"yyyy-mm-dd")</f>
        <v>2025-03-03</v>
      </c>
      <c r="I4567" s="64">
        <f>DATEVALUE(tblLaborEntries[[#This Row],[Work date]])</f>
        <v>45720.0</v>
      </c>
    </row>
    <row r="4568" spans="1:9" ht="15" x14ac:dyDescent="0.25">
      <c r="A4568" s="53" t="inlineStr">
        <is>
          <t>LAB-004567</t>
        </is>
      </c>
      <c r="B4568" s="53" t="inlineStr">
        <is>
          <t>WP-02010</t>
        </is>
      </c>
      <c r="C4568" s="53" t="inlineStr">
        <is>
          <t>TECH-074</t>
        </is>
      </c>
      <c r="D4568" s="53" t="inlineStr">
        <is>
          <t>Avionics</t>
        </is>
      </c>
      <c r="E4568" s="53" t="inlineStr">
        <is>
          <t>2024-07-14</t>
        </is>
      </c>
      <c r="F4568" s="53">
        <v>5.9</v>
      </c>
      <c r="G4568" s="53">
        <v>0</v>
      </c>
      <c r="H4568" s="51" t="str">
        <f>TEXT(tblLaborEntries[[#This Row],[Work date serial]]-WEEKDAY(tblLaborEntries[[#This Row],[Work date serial]],3),"yyyy-mm-dd")</f>
        <v>2024-07-08</v>
      </c>
      <c r="I4568" s="64">
        <f>DATEVALUE(tblLaborEntries[[#This Row],[Work date]])</f>
        <v>45487.0</v>
      </c>
    </row>
    <row r="4569" spans="1:9" ht="15" x14ac:dyDescent="0.25">
      <c r="A4569" s="53" t="inlineStr">
        <is>
          <t>LAB-004568</t>
        </is>
      </c>
      <c r="B4569" s="53" t="inlineStr">
        <is>
          <t>WP-02011</t>
        </is>
      </c>
      <c r="C4569" s="53" t="inlineStr">
        <is>
          <t>TECH-070</t>
        </is>
      </c>
      <c r="D4569" s="53" t="inlineStr">
        <is>
          <t>Electrical</t>
        </is>
      </c>
      <c r="E4569" s="53" t="inlineStr">
        <is>
          <t>2024-12-07</t>
        </is>
      </c>
      <c r="F4569" s="53">
        <v>4.9</v>
      </c>
      <c r="G4569" s="53">
        <v>0</v>
      </c>
      <c r="H4569" s="51" t="str">
        <f>TEXT(tblLaborEntries[[#This Row],[Work date serial]]-WEEKDAY(tblLaborEntries[[#This Row],[Work date serial]],3),"yyyy-mm-dd")</f>
        <v>2024-12-02</v>
      </c>
      <c r="I4569" s="64">
        <f>DATEVALUE(tblLaborEntries[[#This Row],[Work date]])</f>
        <v>45633.0</v>
      </c>
    </row>
    <row r="4570" spans="1:9" ht="15" x14ac:dyDescent="0.25">
      <c r="A4570" s="53" t="inlineStr">
        <is>
          <t>LAB-004569</t>
        </is>
      </c>
      <c r="B4570" s="53" t="inlineStr">
        <is>
          <t>WP-02011</t>
        </is>
      </c>
      <c r="C4570" s="53" t="inlineStr">
        <is>
          <t>TECH-028</t>
        </is>
      </c>
      <c r="D4570" s="53" t="inlineStr">
        <is>
          <t>Electrical</t>
        </is>
      </c>
      <c r="E4570" s="53" t="inlineStr">
        <is>
          <t>2024-12-08</t>
        </is>
      </c>
      <c r="F4570" s="53">
        <v>5</v>
      </c>
      <c r="G4570" s="53">
        <v>0</v>
      </c>
      <c r="H4570" s="51" t="str">
        <f>TEXT(tblLaborEntries[[#This Row],[Work date serial]]-WEEKDAY(tblLaborEntries[[#This Row],[Work date serial]],3),"yyyy-mm-dd")</f>
        <v>2024-12-02</v>
      </c>
      <c r="I4570" s="64">
        <f>DATEVALUE(tblLaborEntries[[#This Row],[Work date]])</f>
        <v>45634.0</v>
      </c>
    </row>
    <row r="4571" spans="1:9" ht="15" x14ac:dyDescent="0.25">
      <c r="A4571" s="53" t="inlineStr">
        <is>
          <t>LAB-004570</t>
        </is>
      </c>
      <c r="B4571" s="53" t="inlineStr">
        <is>
          <t>WP-02011</t>
        </is>
      </c>
      <c r="C4571" s="53" t="inlineStr">
        <is>
          <t>TECH-016</t>
        </is>
      </c>
      <c r="D4571" s="53" t="inlineStr">
        <is>
          <t>Electrical</t>
        </is>
      </c>
      <c r="E4571" s="53" t="inlineStr">
        <is>
          <t>2024-12-09</t>
        </is>
      </c>
      <c r="F4571" s="53">
        <v>7.7</v>
      </c>
      <c r="G4571" s="53">
        <v>0</v>
      </c>
      <c r="H4571" s="51" t="str">
        <f>TEXT(tblLaborEntries[[#This Row],[Work date serial]]-WEEKDAY(tblLaborEntries[[#This Row],[Work date serial]],3),"yyyy-mm-dd")</f>
        <v>2024-12-09</v>
      </c>
      <c r="I4571" s="64">
        <f>DATEVALUE(tblLaborEntries[[#This Row],[Work date]])</f>
        <v>45635.0</v>
      </c>
    </row>
    <row r="4572" spans="1:9" ht="15" x14ac:dyDescent="0.25">
      <c r="A4572" s="53" t="inlineStr">
        <is>
          <t>LAB-004571</t>
        </is>
      </c>
      <c r="B4572" s="53" t="inlineStr">
        <is>
          <t>WP-02012</t>
        </is>
      </c>
      <c r="C4572" s="53" t="inlineStr">
        <is>
          <t>TECH-006</t>
        </is>
      </c>
      <c r="D4572" s="53" t="inlineStr">
        <is>
          <t>Powerplant</t>
        </is>
      </c>
      <c r="E4572" s="53" t="inlineStr">
        <is>
          <t>2025-05-29</t>
        </is>
      </c>
      <c r="F4572" s="53">
        <v>0.2</v>
      </c>
      <c r="G4572" s="53">
        <v>0</v>
      </c>
      <c r="H4572" s="51" t="str">
        <f>TEXT(tblLaborEntries[[#This Row],[Work date serial]]-WEEKDAY(tblLaborEntries[[#This Row],[Work date serial]],3),"yyyy-mm-dd")</f>
        <v>2025-05-26</v>
      </c>
      <c r="I4572" s="64">
        <f>DATEVALUE(tblLaborEntries[[#This Row],[Work date]])</f>
        <v>45806.0</v>
      </c>
    </row>
    <row r="4573" spans="1:9" ht="15" x14ac:dyDescent="0.25">
      <c r="A4573" s="53" t="inlineStr">
        <is>
          <t>LAB-004572</t>
        </is>
      </c>
      <c r="B4573" s="53" t="inlineStr">
        <is>
          <t>WP-02012</t>
        </is>
      </c>
      <c r="C4573" s="53" t="inlineStr">
        <is>
          <t>TECH-024</t>
        </is>
      </c>
      <c r="D4573" s="53" t="inlineStr">
        <is>
          <t>Powerplant</t>
        </is>
      </c>
      <c r="E4573" s="53" t="inlineStr">
        <is>
          <t>2025-05-29</t>
        </is>
      </c>
      <c r="F4573" s="53">
        <v>12</v>
      </c>
      <c r="G4573" s="53">
        <v>4</v>
      </c>
      <c r="H4573" s="51" t="str">
        <f>TEXT(tblLaborEntries[[#This Row],[Work date serial]]-WEEKDAY(tblLaborEntries[[#This Row],[Work date serial]],3),"yyyy-mm-dd")</f>
        <v>2025-05-26</v>
      </c>
      <c r="I4573" s="64">
        <f>DATEVALUE(tblLaborEntries[[#This Row],[Work date]])</f>
        <v>45806.0</v>
      </c>
    </row>
    <row r="4574" spans="1:9" ht="15" x14ac:dyDescent="0.25">
      <c r="A4574" s="53" t="inlineStr">
        <is>
          <t>LAB-004573</t>
        </is>
      </c>
      <c r="B4574" s="53" t="inlineStr">
        <is>
          <t>WP-02012</t>
        </is>
      </c>
      <c r="C4574" s="53" t="inlineStr">
        <is>
          <t>TECH-006</t>
        </is>
      </c>
      <c r="D4574" s="53" t="inlineStr">
        <is>
          <t>Powerplant</t>
        </is>
      </c>
      <c r="E4574" s="53" t="inlineStr">
        <is>
          <t>2025-05-30</t>
        </is>
      </c>
      <c r="F4574" s="53">
        <v>6.5</v>
      </c>
      <c r="G4574" s="53">
        <v>0</v>
      </c>
      <c r="H4574" s="51" t="str">
        <f>TEXT(tblLaborEntries[[#This Row],[Work date serial]]-WEEKDAY(tblLaborEntries[[#This Row],[Work date serial]],3),"yyyy-mm-dd")</f>
        <v>2025-05-26</v>
      </c>
      <c r="I4574" s="64">
        <f>DATEVALUE(tblLaborEntries[[#This Row],[Work date]])</f>
        <v>45807.0</v>
      </c>
    </row>
    <row r="4575" spans="1:9" ht="15" x14ac:dyDescent="0.25">
      <c r="A4575" s="53" t="inlineStr">
        <is>
          <t>LAB-004574</t>
        </is>
      </c>
      <c r="B4575" s="53" t="inlineStr">
        <is>
          <t>WP-02012</t>
        </is>
      </c>
      <c r="C4575" s="53" t="inlineStr">
        <is>
          <t>TECH-054</t>
        </is>
      </c>
      <c r="D4575" s="53" t="inlineStr">
        <is>
          <t>Powerplant</t>
        </is>
      </c>
      <c r="E4575" s="53" t="inlineStr">
        <is>
          <t>2025-05-30</t>
        </is>
      </c>
      <c r="F4575" s="53">
        <v>12</v>
      </c>
      <c r="G4575" s="53">
        <v>4</v>
      </c>
      <c r="H4575" s="51" t="str">
        <f>TEXT(tblLaborEntries[[#This Row],[Work date serial]]-WEEKDAY(tblLaborEntries[[#This Row],[Work date serial]],3),"yyyy-mm-dd")</f>
        <v>2025-05-26</v>
      </c>
      <c r="I4575" s="64">
        <f>DATEVALUE(tblLaborEntries[[#This Row],[Work date]])</f>
        <v>45807.0</v>
      </c>
    </row>
    <row r="4576" spans="1:9" ht="15" x14ac:dyDescent="0.25">
      <c r="A4576" s="53" t="inlineStr">
        <is>
          <t>LAB-004575</t>
        </is>
      </c>
      <c r="B4576" s="53" t="inlineStr">
        <is>
          <t>WP-02013</t>
        </is>
      </c>
      <c r="C4576" s="53" t="inlineStr">
        <is>
          <t>TECH-064</t>
        </is>
      </c>
      <c r="D4576" s="53" t="inlineStr">
        <is>
          <t>Electrical</t>
        </is>
      </c>
      <c r="E4576" s="53" t="inlineStr">
        <is>
          <t>2024-09-23</t>
        </is>
      </c>
      <c r="F4576" s="53">
        <v>2</v>
      </c>
      <c r="G4576" s="53">
        <v>0</v>
      </c>
      <c r="H4576" s="51" t="str">
        <f>TEXT(tblLaborEntries[[#This Row],[Work date serial]]-WEEKDAY(tblLaborEntries[[#This Row],[Work date serial]],3),"yyyy-mm-dd")</f>
        <v>2024-09-23</v>
      </c>
      <c r="I4576" s="64">
        <f>DATEVALUE(tblLaborEntries[[#This Row],[Work date]])</f>
        <v>45558.0</v>
      </c>
    </row>
    <row r="4577" spans="1:9" ht="15" x14ac:dyDescent="0.25">
      <c r="A4577" s="53" t="inlineStr">
        <is>
          <t>LAB-004576</t>
        </is>
      </c>
      <c r="B4577" s="53" t="inlineStr">
        <is>
          <t>WP-02013</t>
        </is>
      </c>
      <c r="C4577" s="53" t="inlineStr">
        <is>
          <t>TECH-028</t>
        </is>
      </c>
      <c r="D4577" s="53" t="inlineStr">
        <is>
          <t>Electrical</t>
        </is>
      </c>
      <c r="E4577" s="53" t="inlineStr">
        <is>
          <t>2024-09-24</t>
        </is>
      </c>
      <c r="F4577" s="53">
        <v>2.3</v>
      </c>
      <c r="G4577" s="53">
        <v>0</v>
      </c>
      <c r="H4577" s="51" t="str">
        <f>TEXT(tblLaborEntries[[#This Row],[Work date serial]]-WEEKDAY(tblLaborEntries[[#This Row],[Work date serial]],3),"yyyy-mm-dd")</f>
        <v>2024-09-23</v>
      </c>
      <c r="I4577" s="64">
        <f>DATEVALUE(tblLaborEntries[[#This Row],[Work date]])</f>
        <v>45559.0</v>
      </c>
    </row>
    <row r="4578" spans="1:9" ht="15" x14ac:dyDescent="0.25">
      <c r="A4578" s="53" t="inlineStr">
        <is>
          <t>LAB-004577</t>
        </is>
      </c>
      <c r="B4578" s="53" t="inlineStr">
        <is>
          <t>WP-02013</t>
        </is>
      </c>
      <c r="C4578" s="53" t="inlineStr">
        <is>
          <t>TECH-052</t>
        </is>
      </c>
      <c r="D4578" s="53" t="inlineStr">
        <is>
          <t>Electrical</t>
        </is>
      </c>
      <c r="E4578" s="53" t="inlineStr">
        <is>
          <t>2024-09-25</t>
        </is>
      </c>
      <c r="F4578" s="53">
        <v>3.2</v>
      </c>
      <c r="G4578" s="53">
        <v>0</v>
      </c>
      <c r="H4578" s="51" t="str">
        <f>TEXT(tblLaborEntries[[#This Row],[Work date serial]]-WEEKDAY(tblLaborEntries[[#This Row],[Work date serial]],3),"yyyy-mm-dd")</f>
        <v>2024-09-23</v>
      </c>
      <c r="I4578" s="64">
        <f>DATEVALUE(tblLaborEntries[[#This Row],[Work date]])</f>
        <v>45560.0</v>
      </c>
    </row>
    <row r="4579" spans="1:9" ht="15" x14ac:dyDescent="0.25">
      <c r="A4579" s="53" t="inlineStr">
        <is>
          <t>LAB-004578</t>
        </is>
      </c>
      <c r="B4579" s="53" t="inlineStr">
        <is>
          <t>WP-02014</t>
        </is>
      </c>
      <c r="C4579" s="53" t="inlineStr">
        <is>
          <t>TECH-060</t>
        </is>
      </c>
      <c r="D4579" s="53" t="inlineStr">
        <is>
          <t>Powerplant</t>
        </is>
      </c>
      <c r="E4579" s="53" t="inlineStr">
        <is>
          <t>2025-03-14</t>
        </is>
      </c>
      <c r="F4579" s="53">
        <v>4.5</v>
      </c>
      <c r="G4579" s="53">
        <v>0</v>
      </c>
      <c r="H4579" s="51" t="str">
        <f>TEXT(tblLaborEntries[[#This Row],[Work date serial]]-WEEKDAY(tblLaborEntries[[#This Row],[Work date serial]],3),"yyyy-mm-dd")</f>
        <v>2025-03-10</v>
      </c>
      <c r="I4579" s="64">
        <f>DATEVALUE(tblLaborEntries[[#This Row],[Work date]])</f>
        <v>45730.0</v>
      </c>
    </row>
    <row r="4580" spans="1:9" ht="15" x14ac:dyDescent="0.25">
      <c r="A4580" s="53" t="inlineStr">
        <is>
          <t>LAB-004579</t>
        </is>
      </c>
      <c r="B4580" s="53" t="inlineStr">
        <is>
          <t>WP-02014</t>
        </is>
      </c>
      <c r="C4580" s="53" t="inlineStr">
        <is>
          <t>TECH-042</t>
        </is>
      </c>
      <c r="D4580" s="53" t="inlineStr">
        <is>
          <t>Powerplant</t>
        </is>
      </c>
      <c r="E4580" s="53" t="inlineStr">
        <is>
          <t>2025-03-15</t>
        </is>
      </c>
      <c r="F4580" s="53">
        <v>3.9</v>
      </c>
      <c r="G4580" s="53">
        <v>0</v>
      </c>
      <c r="H4580" s="51" t="str">
        <f>TEXT(tblLaborEntries[[#This Row],[Work date serial]]-WEEKDAY(tblLaborEntries[[#This Row],[Work date serial]],3),"yyyy-mm-dd")</f>
        <v>2025-03-10</v>
      </c>
      <c r="I4580" s="64">
        <f>DATEVALUE(tblLaborEntries[[#This Row],[Work date]])</f>
        <v>45731.0</v>
      </c>
    </row>
    <row r="4581" spans="1:9" ht="15" x14ac:dyDescent="0.25">
      <c r="A4581" s="53" t="inlineStr">
        <is>
          <t>LAB-004580</t>
        </is>
      </c>
      <c r="B4581" s="53" t="inlineStr">
        <is>
          <t>WP-02014</t>
        </is>
      </c>
      <c r="C4581" s="53" t="inlineStr">
        <is>
          <t>TECH-030</t>
        </is>
      </c>
      <c r="D4581" s="53" t="inlineStr">
        <is>
          <t>Powerplant</t>
        </is>
      </c>
      <c r="E4581" s="53" t="inlineStr">
        <is>
          <t>2025-03-16</t>
        </is>
      </c>
      <c r="F4581" s="53">
        <v>4.5</v>
      </c>
      <c r="G4581" s="53">
        <v>0</v>
      </c>
      <c r="H4581" s="51" t="str">
        <f>TEXT(tblLaborEntries[[#This Row],[Work date serial]]-WEEKDAY(tblLaborEntries[[#This Row],[Work date serial]],3),"yyyy-mm-dd")</f>
        <v>2025-03-10</v>
      </c>
      <c r="I4581" s="64">
        <f>DATEVALUE(tblLaborEntries[[#This Row],[Work date]])</f>
        <v>45732.0</v>
      </c>
    </row>
    <row r="4582" spans="1:9" ht="15" x14ac:dyDescent="0.25">
      <c r="A4582" s="53" t="inlineStr">
        <is>
          <t>LAB-004581</t>
        </is>
      </c>
      <c r="B4582" s="53" t="inlineStr">
        <is>
          <t>WP-02015</t>
        </is>
      </c>
      <c r="C4582" s="53" t="inlineStr">
        <is>
          <t>TECH-002</t>
        </is>
      </c>
      <c r="D4582" s="53" t="inlineStr">
        <is>
          <t>Avionics</t>
        </is>
      </c>
      <c r="E4582" s="53" t="inlineStr">
        <is>
          <t>2024-02-21</t>
        </is>
      </c>
      <c r="F4582" s="53">
        <v>9.2</v>
      </c>
      <c r="G4582" s="53">
        <v>1.2</v>
      </c>
      <c r="H4582" s="51" t="str">
        <f>TEXT(tblLaborEntries[[#This Row],[Work date serial]]-WEEKDAY(tblLaborEntries[[#This Row],[Work date serial]],3),"yyyy-mm-dd")</f>
        <v>2024-02-19</v>
      </c>
      <c r="I4582" s="64">
        <f>DATEVALUE(tblLaborEntries[[#This Row],[Work date]])</f>
        <v>45343.0</v>
      </c>
    </row>
    <row r="4583" spans="1:9" ht="15" x14ac:dyDescent="0.25">
      <c r="A4583" s="53" t="inlineStr">
        <is>
          <t>LAB-004582</t>
        </is>
      </c>
      <c r="B4583" s="53" t="inlineStr">
        <is>
          <t>WP-02015</t>
        </is>
      </c>
      <c r="C4583" s="53" t="inlineStr">
        <is>
          <t>TECH-062</t>
        </is>
      </c>
      <c r="D4583" s="53" t="inlineStr">
        <is>
          <t>Avionics</t>
        </is>
      </c>
      <c r="E4583" s="53" t="inlineStr">
        <is>
          <t>2024-02-21</t>
        </is>
      </c>
      <c r="F4583" s="53">
        <v>12</v>
      </c>
      <c r="G4583" s="53">
        <v>4</v>
      </c>
      <c r="H4583" s="51" t="str">
        <f>TEXT(tblLaborEntries[[#This Row],[Work date serial]]-WEEKDAY(tblLaborEntries[[#This Row],[Work date serial]],3),"yyyy-mm-dd")</f>
        <v>2024-02-19</v>
      </c>
      <c r="I4583" s="64">
        <f>DATEVALUE(tblLaborEntries[[#This Row],[Work date]])</f>
        <v>45343.0</v>
      </c>
    </row>
    <row r="4584" spans="1:9" ht="15" x14ac:dyDescent="0.25">
      <c r="A4584" s="53" t="inlineStr">
        <is>
          <t>LAB-004583</t>
        </is>
      </c>
      <c r="B4584" s="53" t="inlineStr">
        <is>
          <t>WP-02016</t>
        </is>
      </c>
      <c r="C4584" s="53" t="inlineStr">
        <is>
          <t>TECH-068</t>
        </is>
      </c>
      <c r="D4584" s="53" t="inlineStr">
        <is>
          <t>Avionics</t>
        </is>
      </c>
      <c r="E4584" s="53" t="inlineStr">
        <is>
          <t>2025-01-28</t>
        </is>
      </c>
      <c r="F4584" s="53">
        <v>5.9</v>
      </c>
      <c r="G4584" s="53">
        <v>0</v>
      </c>
      <c r="H4584" s="51" t="str">
        <f>TEXT(tblLaborEntries[[#This Row],[Work date serial]]-WEEKDAY(tblLaborEntries[[#This Row],[Work date serial]],3),"yyyy-mm-dd")</f>
        <v>2025-01-27</v>
      </c>
      <c r="I4584" s="64">
        <f>DATEVALUE(tblLaborEntries[[#This Row],[Work date]])</f>
        <v>45685.0</v>
      </c>
    </row>
    <row r="4585" spans="1:9" ht="15" x14ac:dyDescent="0.25">
      <c r="A4585" s="53" t="inlineStr">
        <is>
          <t>LAB-004584</t>
        </is>
      </c>
      <c r="B4585" s="53" t="inlineStr">
        <is>
          <t>WP-02016</t>
        </is>
      </c>
      <c r="C4585" s="53" t="inlineStr">
        <is>
          <t>TECH-008</t>
        </is>
      </c>
      <c r="D4585" s="53" t="inlineStr">
        <is>
          <t>Avionics</t>
        </is>
      </c>
      <c r="E4585" s="53" t="inlineStr">
        <is>
          <t>2025-01-29</t>
        </is>
      </c>
      <c r="F4585" s="53">
        <v>4.2</v>
      </c>
      <c r="G4585" s="53">
        <v>0</v>
      </c>
      <c r="H4585" s="51" t="str">
        <f>TEXT(tblLaborEntries[[#This Row],[Work date serial]]-WEEKDAY(tblLaborEntries[[#This Row],[Work date serial]],3),"yyyy-mm-dd")</f>
        <v>2025-01-27</v>
      </c>
      <c r="I4585" s="64">
        <f>DATEVALUE(tblLaborEntries[[#This Row],[Work date]])</f>
        <v>45686.0</v>
      </c>
    </row>
    <row r="4586" spans="1:9" ht="15" x14ac:dyDescent="0.25">
      <c r="A4586" s="53" t="inlineStr">
        <is>
          <t>LAB-004585</t>
        </is>
      </c>
      <c r="B4586" s="53" t="inlineStr">
        <is>
          <t>WP-02017</t>
        </is>
      </c>
      <c r="C4586" s="53" t="inlineStr">
        <is>
          <t>TECH-066</t>
        </is>
      </c>
      <c r="D4586" s="53" t="inlineStr">
        <is>
          <t>Powerplant</t>
        </is>
      </c>
      <c r="E4586" s="53" t="inlineStr">
        <is>
          <t>2024-09-11</t>
        </is>
      </c>
      <c r="F4586" s="53">
        <v>3.2</v>
      </c>
      <c r="G4586" s="53">
        <v>0</v>
      </c>
      <c r="H4586" s="51" t="str">
        <f>TEXT(tblLaborEntries[[#This Row],[Work date serial]]-WEEKDAY(tblLaborEntries[[#This Row],[Work date serial]],3),"yyyy-mm-dd")</f>
        <v>2024-09-09</v>
      </c>
      <c r="I4586" s="64">
        <f>DATEVALUE(tblLaborEntries[[#This Row],[Work date]])</f>
        <v>45546.0</v>
      </c>
    </row>
    <row r="4587" spans="1:9" ht="15" x14ac:dyDescent="0.25">
      <c r="A4587" s="53" t="inlineStr">
        <is>
          <t>LAB-004586</t>
        </is>
      </c>
      <c r="B4587" s="53" t="inlineStr">
        <is>
          <t>WP-02017</t>
        </is>
      </c>
      <c r="C4587" s="53" t="inlineStr">
        <is>
          <t>TECH-042</t>
        </is>
      </c>
      <c r="D4587" s="53" t="inlineStr">
        <is>
          <t>Powerplant</t>
        </is>
      </c>
      <c r="E4587" s="53" t="inlineStr">
        <is>
          <t>2024-09-12</t>
        </is>
      </c>
      <c r="F4587" s="53">
        <v>3.1</v>
      </c>
      <c r="G4587" s="53">
        <v>0</v>
      </c>
      <c r="H4587" s="51" t="str">
        <f>TEXT(tblLaborEntries[[#This Row],[Work date serial]]-WEEKDAY(tblLaborEntries[[#This Row],[Work date serial]],3),"yyyy-mm-dd")</f>
        <v>2024-09-09</v>
      </c>
      <c r="I4587" s="64">
        <f>DATEVALUE(tblLaborEntries[[#This Row],[Work date]])</f>
        <v>45547.0</v>
      </c>
    </row>
    <row r="4588" spans="1:9" ht="15" x14ac:dyDescent="0.25">
      <c r="A4588" s="53" t="inlineStr">
        <is>
          <t>LAB-004587</t>
        </is>
      </c>
      <c r="B4588" s="53" t="inlineStr">
        <is>
          <t>WP-02017</t>
        </is>
      </c>
      <c r="C4588" s="53" t="inlineStr">
        <is>
          <t>TECH-066</t>
        </is>
      </c>
      <c r="D4588" s="53" t="inlineStr">
        <is>
          <t>Powerplant</t>
        </is>
      </c>
      <c r="E4588" s="53" t="inlineStr">
        <is>
          <t>2024-09-13</t>
        </is>
      </c>
      <c r="F4588" s="53">
        <v>4.7</v>
      </c>
      <c r="G4588" s="53">
        <v>0</v>
      </c>
      <c r="H4588" s="51" t="str">
        <f>TEXT(tblLaborEntries[[#This Row],[Work date serial]]-WEEKDAY(tblLaborEntries[[#This Row],[Work date serial]],3),"yyyy-mm-dd")</f>
        <v>2024-09-09</v>
      </c>
      <c r="I4588" s="64">
        <f>DATEVALUE(tblLaborEntries[[#This Row],[Work date]])</f>
        <v>45548.0</v>
      </c>
    </row>
    <row r="4589" spans="1:9" ht="15" x14ac:dyDescent="0.25">
      <c r="A4589" s="53" t="inlineStr">
        <is>
          <t>LAB-004588</t>
        </is>
      </c>
      <c r="B4589" s="53" t="inlineStr">
        <is>
          <t>WP-02018</t>
        </is>
      </c>
      <c r="C4589" s="53" t="inlineStr">
        <is>
          <t>TECH-067</t>
        </is>
      </c>
      <c r="D4589" s="53" t="inlineStr">
        <is>
          <t>Airframe</t>
        </is>
      </c>
      <c r="E4589" s="53" t="inlineStr">
        <is>
          <t>2024-03-11</t>
        </is>
      </c>
      <c r="F4589" s="53">
        <v>5.6</v>
      </c>
      <c r="G4589" s="53">
        <v>0</v>
      </c>
      <c r="H4589" s="51" t="str">
        <f>TEXT(tblLaborEntries[[#This Row],[Work date serial]]-WEEKDAY(tblLaborEntries[[#This Row],[Work date serial]],3),"yyyy-mm-dd")</f>
        <v>2024-03-11</v>
      </c>
      <c r="I4589" s="64">
        <f>DATEVALUE(tblLaborEntries[[#This Row],[Work date]])</f>
        <v>45362.0</v>
      </c>
    </row>
    <row r="4590" spans="1:9" ht="15" x14ac:dyDescent="0.25">
      <c r="A4590" s="53" t="inlineStr">
        <is>
          <t>LAB-004589</t>
        </is>
      </c>
      <c r="B4590" s="53" t="inlineStr">
        <is>
          <t>WP-02018</t>
        </is>
      </c>
      <c r="C4590" s="53" t="inlineStr">
        <is>
          <t>TECH-001</t>
        </is>
      </c>
      <c r="D4590" s="53" t="inlineStr">
        <is>
          <t>Airframe</t>
        </is>
      </c>
      <c r="E4590" s="53" t="inlineStr">
        <is>
          <t>2024-03-12</t>
        </is>
      </c>
      <c r="F4590" s="53">
        <v>5.5</v>
      </c>
      <c r="G4590" s="53">
        <v>0</v>
      </c>
      <c r="H4590" s="51" t="str">
        <f>TEXT(tblLaborEntries[[#This Row],[Work date serial]]-WEEKDAY(tblLaborEntries[[#This Row],[Work date serial]],3),"yyyy-mm-dd")</f>
        <v>2024-03-11</v>
      </c>
      <c r="I4590" s="64">
        <f>DATEVALUE(tblLaborEntries[[#This Row],[Work date]])</f>
        <v>45363.0</v>
      </c>
    </row>
    <row r="4591" spans="1:9" ht="15" x14ac:dyDescent="0.25">
      <c r="A4591" s="53" t="inlineStr">
        <is>
          <t>LAB-004590</t>
        </is>
      </c>
      <c r="B4591" s="53" t="inlineStr">
        <is>
          <t>WP-02018</t>
        </is>
      </c>
      <c r="C4591" s="53" t="inlineStr">
        <is>
          <t>TECH-061</t>
        </is>
      </c>
      <c r="D4591" s="53" t="inlineStr">
        <is>
          <t>Airframe</t>
        </is>
      </c>
      <c r="E4591" s="53" t="inlineStr">
        <is>
          <t>2024-03-13</t>
        </is>
      </c>
      <c r="F4591" s="53">
        <v>7.3</v>
      </c>
      <c r="G4591" s="53">
        <v>0</v>
      </c>
      <c r="H4591" s="51" t="str">
        <f>TEXT(tblLaborEntries[[#This Row],[Work date serial]]-WEEKDAY(tblLaborEntries[[#This Row],[Work date serial]],3),"yyyy-mm-dd")</f>
        <v>2024-03-11</v>
      </c>
      <c r="I4591" s="64">
        <f>DATEVALUE(tblLaborEntries[[#This Row],[Work date]])</f>
        <v>45364.0</v>
      </c>
    </row>
    <row r="4592" spans="1:9" ht="15" x14ac:dyDescent="0.25">
      <c r="A4592" s="53" t="inlineStr">
        <is>
          <t>LAB-004591</t>
        </is>
      </c>
      <c r="B4592" s="53" t="inlineStr">
        <is>
          <t>WP-02019</t>
        </is>
      </c>
      <c r="C4592" s="53" t="inlineStr">
        <is>
          <t>TECH-050</t>
        </is>
      </c>
      <c r="D4592" s="53" t="inlineStr">
        <is>
          <t>Avionics</t>
        </is>
      </c>
      <c r="E4592" s="53" t="inlineStr">
        <is>
          <t>2025-10-09</t>
        </is>
      </c>
      <c r="F4592" s="53">
        <v>2.3</v>
      </c>
      <c r="G4592" s="53">
        <v>0</v>
      </c>
      <c r="H4592" s="51" t="str">
        <f>TEXT(tblLaborEntries[[#This Row],[Work date serial]]-WEEKDAY(tblLaborEntries[[#This Row],[Work date serial]],3),"yyyy-mm-dd")</f>
        <v>2025-10-06</v>
      </c>
      <c r="I4592" s="64">
        <f>DATEVALUE(tblLaborEntries[[#This Row],[Work date]])</f>
        <v>45939.0</v>
      </c>
    </row>
    <row r="4593" spans="1:9" ht="15" x14ac:dyDescent="0.25">
      <c r="A4593" s="53" t="inlineStr">
        <is>
          <t>LAB-004592</t>
        </is>
      </c>
      <c r="B4593" s="53" t="inlineStr">
        <is>
          <t>WP-02019</t>
        </is>
      </c>
      <c r="C4593" s="53" t="inlineStr">
        <is>
          <t>TECH-008</t>
        </is>
      </c>
      <c r="D4593" s="53" t="inlineStr">
        <is>
          <t>Avionics</t>
        </is>
      </c>
      <c r="E4593" s="53" t="inlineStr">
        <is>
          <t>2025-10-10</t>
        </is>
      </c>
      <c r="F4593" s="53">
        <v>1.7</v>
      </c>
      <c r="G4593" s="53">
        <v>0</v>
      </c>
      <c r="H4593" s="51" t="str">
        <f>TEXT(tblLaborEntries[[#This Row],[Work date serial]]-WEEKDAY(tblLaborEntries[[#This Row],[Work date serial]],3),"yyyy-mm-dd")</f>
        <v>2025-10-06</v>
      </c>
      <c r="I4593" s="64">
        <f>DATEVALUE(tblLaborEntries[[#This Row],[Work date]])</f>
        <v>45940.0</v>
      </c>
    </row>
    <row r="4594" spans="1:9" ht="15" x14ac:dyDescent="0.25">
      <c r="A4594" s="53" t="inlineStr">
        <is>
          <t>LAB-004593</t>
        </is>
      </c>
      <c r="B4594" s="53" t="inlineStr">
        <is>
          <t>WP-02020</t>
        </is>
      </c>
      <c r="C4594" s="53" t="inlineStr">
        <is>
          <t>TECH-013</t>
        </is>
      </c>
      <c r="D4594" s="53" t="inlineStr">
        <is>
          <t>Airframe</t>
        </is>
      </c>
      <c r="E4594" s="53" t="inlineStr">
        <is>
          <t>2025-02-14</t>
        </is>
      </c>
      <c r="F4594" s="53">
        <v>3.1</v>
      </c>
      <c r="G4594" s="53">
        <v>0</v>
      </c>
      <c r="H4594" s="51" t="str">
        <f>TEXT(tblLaborEntries[[#This Row],[Work date serial]]-WEEKDAY(tblLaborEntries[[#This Row],[Work date serial]],3),"yyyy-mm-dd")</f>
        <v>2025-02-10</v>
      </c>
      <c r="I4594" s="64">
        <f>DATEVALUE(tblLaborEntries[[#This Row],[Work date]])</f>
        <v>45702.0</v>
      </c>
    </row>
    <row r="4595" spans="1:9" ht="15" x14ac:dyDescent="0.25">
      <c r="A4595" s="53" t="inlineStr">
        <is>
          <t>LAB-004594</t>
        </is>
      </c>
      <c r="B4595" s="53" t="inlineStr">
        <is>
          <t>WP-02020</t>
        </is>
      </c>
      <c r="C4595" s="53" t="inlineStr">
        <is>
          <t>TECH-049</t>
        </is>
      </c>
      <c r="D4595" s="53" t="inlineStr">
        <is>
          <t>Airframe</t>
        </is>
      </c>
      <c r="E4595" s="53" t="inlineStr">
        <is>
          <t>2025-02-15</t>
        </is>
      </c>
      <c r="F4595" s="53">
        <v>2.7</v>
      </c>
      <c r="G4595" s="53">
        <v>0</v>
      </c>
      <c r="H4595" s="51" t="str">
        <f>TEXT(tblLaborEntries[[#This Row],[Work date serial]]-WEEKDAY(tblLaborEntries[[#This Row],[Work date serial]],3),"yyyy-mm-dd")</f>
        <v>2025-02-10</v>
      </c>
      <c r="I4595" s="64">
        <f>DATEVALUE(tblLaborEntries[[#This Row],[Work date]])</f>
        <v>45703.0</v>
      </c>
    </row>
    <row r="4596" spans="1:9" ht="15" x14ac:dyDescent="0.25">
      <c r="A4596" s="53" t="inlineStr">
        <is>
          <t>LAB-004595</t>
        </is>
      </c>
      <c r="B4596" s="53" t="inlineStr">
        <is>
          <t>WP-02020</t>
        </is>
      </c>
      <c r="C4596" s="53" t="inlineStr">
        <is>
          <t>TECH-013</t>
        </is>
      </c>
      <c r="D4596" s="53" t="inlineStr">
        <is>
          <t>Airframe</t>
        </is>
      </c>
      <c r="E4596" s="53" t="inlineStr">
        <is>
          <t>2025-02-16</t>
        </is>
      </c>
      <c r="F4596" s="53">
        <v>2.9</v>
      </c>
      <c r="G4596" s="53">
        <v>0</v>
      </c>
      <c r="H4596" s="51" t="str">
        <f>TEXT(tblLaborEntries[[#This Row],[Work date serial]]-WEEKDAY(tblLaborEntries[[#This Row],[Work date serial]],3),"yyyy-mm-dd")</f>
        <v>2025-02-10</v>
      </c>
      <c r="I4596" s="64">
        <f>DATEVALUE(tblLaborEntries[[#This Row],[Work date]])</f>
        <v>45704.0</v>
      </c>
    </row>
    <row r="4597" spans="1:9" ht="15" x14ac:dyDescent="0.25">
      <c r="A4597" s="53" t="inlineStr">
        <is>
          <t>LAB-004596</t>
        </is>
      </c>
      <c r="B4597" s="53" t="inlineStr">
        <is>
          <t>WP-02021</t>
        </is>
      </c>
      <c r="C4597" s="53" t="inlineStr">
        <is>
          <t>TECH-005</t>
        </is>
      </c>
      <c r="D4597" s="53" t="inlineStr">
        <is>
          <t>Structures</t>
        </is>
      </c>
      <c r="E4597" s="53" t="inlineStr">
        <is>
          <t>2025-02-14</t>
        </is>
      </c>
      <c r="F4597" s="53">
        <v>1.3</v>
      </c>
      <c r="G4597" s="53">
        <v>0</v>
      </c>
      <c r="H4597" s="51" t="str">
        <f>TEXT(tblLaborEntries[[#This Row],[Work date serial]]-WEEKDAY(tblLaborEntries[[#This Row],[Work date serial]],3),"yyyy-mm-dd")</f>
        <v>2025-02-10</v>
      </c>
      <c r="I4597" s="64">
        <f>DATEVALUE(tblLaborEntries[[#This Row],[Work date]])</f>
        <v>45702.0</v>
      </c>
    </row>
    <row r="4598" spans="1:9" ht="15" x14ac:dyDescent="0.25">
      <c r="A4598" s="53" t="inlineStr">
        <is>
          <t>LAB-004597</t>
        </is>
      </c>
      <c r="B4598" s="53" t="inlineStr">
        <is>
          <t>WP-02021</t>
        </is>
      </c>
      <c r="C4598" s="53" t="inlineStr">
        <is>
          <t>TECH-029</t>
        </is>
      </c>
      <c r="D4598" s="53" t="inlineStr">
        <is>
          <t>Structures</t>
        </is>
      </c>
      <c r="E4598" s="53" t="inlineStr">
        <is>
          <t>2025-02-14</t>
        </is>
      </c>
      <c r="F4598" s="53">
        <v>12</v>
      </c>
      <c r="G4598" s="53">
        <v>4</v>
      </c>
      <c r="H4598" s="51" t="str">
        <f>TEXT(tblLaborEntries[[#This Row],[Work date serial]]-WEEKDAY(tblLaborEntries[[#This Row],[Work date serial]],3),"yyyy-mm-dd")</f>
        <v>2025-02-10</v>
      </c>
      <c r="I4598" s="64">
        <f>DATEVALUE(tblLaborEntries[[#This Row],[Work date]])</f>
        <v>45702.0</v>
      </c>
    </row>
    <row r="4599" spans="1:9" ht="15" x14ac:dyDescent="0.25">
      <c r="A4599" s="53" t="inlineStr">
        <is>
          <t>LAB-004598</t>
        </is>
      </c>
      <c r="B4599" s="53" t="inlineStr">
        <is>
          <t>WP-02021</t>
        </is>
      </c>
      <c r="C4599" s="53" t="inlineStr">
        <is>
          <t>TECH-005</t>
        </is>
      </c>
      <c r="D4599" s="53" t="inlineStr">
        <is>
          <t>Structures</t>
        </is>
      </c>
      <c r="E4599" s="53" t="inlineStr">
        <is>
          <t>2025-02-15</t>
        </is>
      </c>
      <c r="F4599" s="53">
        <v>8.3</v>
      </c>
      <c r="G4599" s="53">
        <v>0.3</v>
      </c>
      <c r="H4599" s="51" t="str">
        <f>TEXT(tblLaborEntries[[#This Row],[Work date serial]]-WEEKDAY(tblLaborEntries[[#This Row],[Work date serial]],3),"yyyy-mm-dd")</f>
        <v>2025-02-10</v>
      </c>
      <c r="I4599" s="64">
        <f>DATEVALUE(tblLaborEntries[[#This Row],[Work date]])</f>
        <v>45703.0</v>
      </c>
    </row>
    <row r="4600" spans="1:9" ht="15" x14ac:dyDescent="0.25">
      <c r="A4600" s="53" t="inlineStr">
        <is>
          <t>LAB-004599</t>
        </is>
      </c>
      <c r="B4600" s="53" t="inlineStr">
        <is>
          <t>WP-02021</t>
        </is>
      </c>
      <c r="C4600" s="53" t="inlineStr">
        <is>
          <t>TECH-065</t>
        </is>
      </c>
      <c r="D4600" s="53" t="inlineStr">
        <is>
          <t>Structures</t>
        </is>
      </c>
      <c r="E4600" s="53" t="inlineStr">
        <is>
          <t>2025-02-15</t>
        </is>
      </c>
      <c r="F4600" s="53">
        <v>12</v>
      </c>
      <c r="G4600" s="53">
        <v>4</v>
      </c>
      <c r="H4600" s="51" t="str">
        <f>TEXT(tblLaborEntries[[#This Row],[Work date serial]]-WEEKDAY(tblLaborEntries[[#This Row],[Work date serial]],3),"yyyy-mm-dd")</f>
        <v>2025-02-10</v>
      </c>
      <c r="I4600" s="64">
        <f>DATEVALUE(tblLaborEntries[[#This Row],[Work date]])</f>
        <v>45703.0</v>
      </c>
    </row>
    <row r="4601" spans="1:9" ht="15" x14ac:dyDescent="0.25">
      <c r="A4601" s="53" t="inlineStr">
        <is>
          <t>LAB-004600</t>
        </is>
      </c>
      <c r="B4601" s="53" t="inlineStr">
        <is>
          <t>WP-02022</t>
        </is>
      </c>
      <c r="C4601" s="53" t="inlineStr">
        <is>
          <t>TECH-049</t>
        </is>
      </c>
      <c r="D4601" s="53" t="inlineStr">
        <is>
          <t>Airframe</t>
        </is>
      </c>
      <c r="E4601" s="53" t="inlineStr">
        <is>
          <t>2025-07-14</t>
        </is>
      </c>
      <c r="F4601" s="53">
        <v>5</v>
      </c>
      <c r="G4601" s="53">
        <v>0</v>
      </c>
      <c r="H4601" s="51" t="str">
        <f>TEXT(tblLaborEntries[[#This Row],[Work date serial]]-WEEKDAY(tblLaborEntries[[#This Row],[Work date serial]],3),"yyyy-mm-dd")</f>
        <v>2025-07-14</v>
      </c>
      <c r="I4601" s="64">
        <f>DATEVALUE(tblLaborEntries[[#This Row],[Work date]])</f>
        <v>45852.0</v>
      </c>
    </row>
    <row r="4602" spans="1:9" ht="15" x14ac:dyDescent="0.25">
      <c r="A4602" s="53" t="inlineStr">
        <is>
          <t>LAB-004601</t>
        </is>
      </c>
      <c r="B4602" s="53" t="inlineStr">
        <is>
          <t>WP-02023</t>
        </is>
      </c>
      <c r="C4602" s="53" t="inlineStr">
        <is>
          <t>TECH-055</t>
        </is>
      </c>
      <c r="D4602" s="53" t="inlineStr">
        <is>
          <t>Airframe</t>
        </is>
      </c>
      <c r="E4602" s="53" t="inlineStr">
        <is>
          <t>2025-12-30</t>
        </is>
      </c>
      <c r="F4602" s="53">
        <v>5.9</v>
      </c>
      <c r="G4602" s="53">
        <v>0</v>
      </c>
      <c r="H4602" s="51" t="str">
        <f>TEXT(tblLaborEntries[[#This Row],[Work date serial]]-WEEKDAY(tblLaborEntries[[#This Row],[Work date serial]],3),"yyyy-mm-dd")</f>
        <v>2025-12-29</v>
      </c>
      <c r="I4602" s="64">
        <f>DATEVALUE(tblLaborEntries[[#This Row],[Work date]])</f>
        <v>46021.0</v>
      </c>
    </row>
    <row r="4603" spans="1:9" ht="15" x14ac:dyDescent="0.25">
      <c r="A4603" s="53" t="inlineStr">
        <is>
          <t>LAB-004602</t>
        </is>
      </c>
      <c r="B4603" s="53" t="inlineStr">
        <is>
          <t>WP-02024</t>
        </is>
      </c>
      <c r="C4603" s="53" t="inlineStr">
        <is>
          <t>TECH-019</t>
        </is>
      </c>
      <c r="D4603" s="53" t="inlineStr">
        <is>
          <t>Airframe</t>
        </is>
      </c>
      <c r="E4603" s="53" t="inlineStr">
        <is>
          <t>2024-05-03</t>
        </is>
      </c>
      <c r="F4603" s="53">
        <v>9.7</v>
      </c>
      <c r="G4603" s="53">
        <v>1.7</v>
      </c>
      <c r="H4603" s="51" t="str">
        <f>TEXT(tblLaborEntries[[#This Row],[Work date serial]]-WEEKDAY(tblLaborEntries[[#This Row],[Work date serial]],3),"yyyy-mm-dd")</f>
        <v>2024-04-29</v>
      </c>
      <c r="I4603" s="64">
        <f>DATEVALUE(tblLaborEntries[[#This Row],[Work date]])</f>
        <v>45415.0</v>
      </c>
    </row>
    <row r="4604" spans="1:9" ht="15" x14ac:dyDescent="0.25">
      <c r="A4604" s="53" t="inlineStr">
        <is>
          <t>LAB-004603</t>
        </is>
      </c>
      <c r="B4604" s="53" t="inlineStr">
        <is>
          <t>WP-02025</t>
        </is>
      </c>
      <c r="C4604" s="53" t="inlineStr">
        <is>
          <t>TECH-029</t>
        </is>
      </c>
      <c r="D4604" s="53" t="inlineStr">
        <is>
          <t>Structures</t>
        </is>
      </c>
      <c r="E4604" s="53" t="inlineStr">
        <is>
          <t>2025-10-04</t>
        </is>
      </c>
      <c r="F4604" s="53">
        <v>11</v>
      </c>
      <c r="G4604" s="53">
        <v>3</v>
      </c>
      <c r="H4604" s="51" t="str">
        <f>TEXT(tblLaborEntries[[#This Row],[Work date serial]]-WEEKDAY(tblLaborEntries[[#This Row],[Work date serial]],3),"yyyy-mm-dd")</f>
        <v>2025-09-29</v>
      </c>
      <c r="I4604" s="64">
        <f>DATEVALUE(tblLaborEntries[[#This Row],[Work date]])</f>
        <v>45934.0</v>
      </c>
    </row>
    <row r="4605" spans="1:9" ht="15" x14ac:dyDescent="0.25">
      <c r="A4605" s="53" t="inlineStr">
        <is>
          <t>LAB-004604</t>
        </is>
      </c>
      <c r="B4605" s="53" t="inlineStr">
        <is>
          <t>WP-02025</t>
        </is>
      </c>
      <c r="C4605" s="53" t="inlineStr">
        <is>
          <t>TECH-005</t>
        </is>
      </c>
      <c r="D4605" s="53" t="inlineStr">
        <is>
          <t>Structures</t>
        </is>
      </c>
      <c r="E4605" s="53" t="inlineStr">
        <is>
          <t>2025-10-05</t>
        </is>
      </c>
      <c r="F4605" s="53">
        <v>0.2</v>
      </c>
      <c r="G4605" s="53">
        <v>0</v>
      </c>
      <c r="H4605" s="51" t="str">
        <f>TEXT(tblLaborEntries[[#This Row],[Work date serial]]-WEEKDAY(tblLaborEntries[[#This Row],[Work date serial]],3),"yyyy-mm-dd")</f>
        <v>2025-09-29</v>
      </c>
      <c r="I4605" s="64">
        <f>DATEVALUE(tblLaborEntries[[#This Row],[Work date]])</f>
        <v>45935.0</v>
      </c>
    </row>
    <row r="4606" spans="1:9" ht="15" x14ac:dyDescent="0.25">
      <c r="A4606" s="53" t="inlineStr">
        <is>
          <t>LAB-004605</t>
        </is>
      </c>
      <c r="B4606" s="53" t="inlineStr">
        <is>
          <t>WP-02025</t>
        </is>
      </c>
      <c r="C4606" s="53" t="inlineStr">
        <is>
          <t>TECH-035</t>
        </is>
      </c>
      <c r="D4606" s="53" t="inlineStr">
        <is>
          <t>Structures</t>
        </is>
      </c>
      <c r="E4606" s="53" t="inlineStr">
        <is>
          <t>2025-10-05</t>
        </is>
      </c>
      <c r="F4606" s="53">
        <v>12</v>
      </c>
      <c r="G4606" s="53">
        <v>4</v>
      </c>
      <c r="H4606" s="51" t="str">
        <f>TEXT(tblLaborEntries[[#This Row],[Work date serial]]-WEEKDAY(tblLaborEntries[[#This Row],[Work date serial]],3),"yyyy-mm-dd")</f>
        <v>2025-09-29</v>
      </c>
      <c r="I4606" s="64">
        <f>DATEVALUE(tblLaborEntries[[#This Row],[Work date]])</f>
        <v>45935.0</v>
      </c>
    </row>
    <row r="4607" spans="1:9" ht="15" x14ac:dyDescent="0.25">
      <c r="A4607" s="53" t="inlineStr">
        <is>
          <t>LAB-004606</t>
        </is>
      </c>
      <c r="B4607" s="53" t="inlineStr">
        <is>
          <t>WP-02025</t>
        </is>
      </c>
      <c r="C4607" s="53" t="inlineStr">
        <is>
          <t>TECH-005</t>
        </is>
      </c>
      <c r="D4607" s="53" t="inlineStr">
        <is>
          <t>Structures</t>
        </is>
      </c>
      <c r="E4607" s="53" t="inlineStr">
        <is>
          <t>2025-10-06</t>
        </is>
      </c>
      <c r="F4607" s="53">
        <v>2.4</v>
      </c>
      <c r="G4607" s="53">
        <v>0</v>
      </c>
      <c r="H4607" s="51" t="str">
        <f>TEXT(tblLaborEntries[[#This Row],[Work date serial]]-WEEKDAY(tblLaborEntries[[#This Row],[Work date serial]],3),"yyyy-mm-dd")</f>
        <v>2025-10-06</v>
      </c>
      <c r="I4607" s="64">
        <f>DATEVALUE(tblLaborEntries[[#This Row],[Work date]])</f>
        <v>45936.0</v>
      </c>
    </row>
    <row r="4608" spans="1:9" ht="15" x14ac:dyDescent="0.25">
      <c r="A4608" s="53" t="inlineStr">
        <is>
          <t>LAB-004607</t>
        </is>
      </c>
      <c r="B4608" s="53" t="inlineStr">
        <is>
          <t>WP-02025</t>
        </is>
      </c>
      <c r="C4608" s="53" t="inlineStr">
        <is>
          <t>TECH-047</t>
        </is>
      </c>
      <c r="D4608" s="53" t="inlineStr">
        <is>
          <t>Structures</t>
        </is>
      </c>
      <c r="E4608" s="53" t="inlineStr">
        <is>
          <t>2025-10-06</t>
        </is>
      </c>
      <c r="F4608" s="53">
        <v>12</v>
      </c>
      <c r="G4608" s="53">
        <v>4</v>
      </c>
      <c r="H4608" s="51" t="str">
        <f>TEXT(tblLaborEntries[[#This Row],[Work date serial]]-WEEKDAY(tblLaborEntries[[#This Row],[Work date serial]],3),"yyyy-mm-dd")</f>
        <v>2025-10-06</v>
      </c>
      <c r="I4608" s="64">
        <f>DATEVALUE(tblLaborEntries[[#This Row],[Work date]])</f>
        <v>45936.0</v>
      </c>
    </row>
    <row r="4609" spans="1:9" ht="15" x14ac:dyDescent="0.25">
      <c r="A4609" s="53" t="inlineStr">
        <is>
          <t>LAB-004608</t>
        </is>
      </c>
      <c r="B4609" s="53" t="inlineStr">
        <is>
          <t>WP-02026</t>
        </is>
      </c>
      <c r="C4609" s="53" t="inlineStr">
        <is>
          <t>TECH-037</t>
        </is>
      </c>
      <c r="D4609" s="53" t="inlineStr">
        <is>
          <t>Airframe</t>
        </is>
      </c>
      <c r="E4609" s="53" t="inlineStr">
        <is>
          <t>2025-08-22</t>
        </is>
      </c>
      <c r="F4609" s="53">
        <v>2.3</v>
      </c>
      <c r="G4609" s="53">
        <v>0</v>
      </c>
      <c r="H4609" s="51" t="str">
        <f>TEXT(tblLaborEntries[[#This Row],[Work date serial]]-WEEKDAY(tblLaborEntries[[#This Row],[Work date serial]],3),"yyyy-mm-dd")</f>
        <v>2025-08-18</v>
      </c>
      <c r="I4609" s="64">
        <f>DATEVALUE(tblLaborEntries[[#This Row],[Work date]])</f>
        <v>45891.0</v>
      </c>
    </row>
    <row r="4610" spans="1:9" ht="15" x14ac:dyDescent="0.25">
      <c r="A4610" s="53" t="inlineStr">
        <is>
          <t>LAB-004609</t>
        </is>
      </c>
      <c r="B4610" s="53" t="inlineStr">
        <is>
          <t>WP-02026</t>
        </is>
      </c>
      <c r="C4610" s="53" t="inlineStr">
        <is>
          <t>TECH-001</t>
        </is>
      </c>
      <c r="D4610" s="53" t="inlineStr">
        <is>
          <t>Airframe</t>
        </is>
      </c>
      <c r="E4610" s="53" t="inlineStr">
        <is>
          <t>2025-08-23</t>
        </is>
      </c>
      <c r="F4610" s="53">
        <v>2.6</v>
      </c>
      <c r="G4610" s="53">
        <v>0</v>
      </c>
      <c r="H4610" s="51" t="str">
        <f>TEXT(tblLaborEntries[[#This Row],[Work date serial]]-WEEKDAY(tblLaborEntries[[#This Row],[Work date serial]],3),"yyyy-mm-dd")</f>
        <v>2025-08-18</v>
      </c>
      <c r="I4610" s="64">
        <f>DATEVALUE(tblLaborEntries[[#This Row],[Work date]])</f>
        <v>45892.0</v>
      </c>
    </row>
    <row r="4611" spans="1:9" ht="15" x14ac:dyDescent="0.25">
      <c r="A4611" s="53" t="inlineStr">
        <is>
          <t>LAB-004610</t>
        </is>
      </c>
      <c r="B4611" s="53" t="inlineStr">
        <is>
          <t>WP-02027</t>
        </is>
      </c>
      <c r="C4611" s="53" t="inlineStr">
        <is>
          <t>TECH-020</t>
        </is>
      </c>
      <c r="D4611" s="53" t="inlineStr">
        <is>
          <t>Avionics</t>
        </is>
      </c>
      <c r="E4611" s="53" t="inlineStr">
        <is>
          <t>2024-10-04</t>
        </is>
      </c>
      <c r="F4611" s="53">
        <v>3.6</v>
      </c>
      <c r="G4611" s="53">
        <v>0</v>
      </c>
      <c r="H4611" s="51" t="str">
        <f>TEXT(tblLaborEntries[[#This Row],[Work date serial]]-WEEKDAY(tblLaborEntries[[#This Row],[Work date serial]],3),"yyyy-mm-dd")</f>
        <v>2024-09-30</v>
      </c>
      <c r="I4611" s="64">
        <f>DATEVALUE(tblLaborEntries[[#This Row],[Work date]])</f>
        <v>45569.0</v>
      </c>
    </row>
    <row r="4612" spans="1:9" ht="15" x14ac:dyDescent="0.25">
      <c r="A4612" s="53" t="inlineStr">
        <is>
          <t>LAB-004611</t>
        </is>
      </c>
      <c r="B4612" s="53" t="inlineStr">
        <is>
          <t>WP-02027</t>
        </is>
      </c>
      <c r="C4612" s="53" t="inlineStr">
        <is>
          <t>TECH-014</t>
        </is>
      </c>
      <c r="D4612" s="53" t="inlineStr">
        <is>
          <t>Avionics</t>
        </is>
      </c>
      <c r="E4612" s="53" t="inlineStr">
        <is>
          <t>2024-10-05</t>
        </is>
      </c>
      <c r="F4612" s="53">
        <v>2.4</v>
      </c>
      <c r="G4612" s="53">
        <v>0</v>
      </c>
      <c r="H4612" s="51" t="str">
        <f>TEXT(tblLaborEntries[[#This Row],[Work date serial]]-WEEKDAY(tblLaborEntries[[#This Row],[Work date serial]],3),"yyyy-mm-dd")</f>
        <v>2024-09-30</v>
      </c>
      <c r="I4612" s="64">
        <f>DATEVALUE(tblLaborEntries[[#This Row],[Work date]])</f>
        <v>45570.0</v>
      </c>
    </row>
    <row r="4613" spans="1:9" ht="15" x14ac:dyDescent="0.25">
      <c r="A4613" s="53" t="inlineStr">
        <is>
          <t>LAB-004612</t>
        </is>
      </c>
      <c r="B4613" s="53" t="inlineStr">
        <is>
          <t>WP-02027</t>
        </is>
      </c>
      <c r="C4613" s="53" t="inlineStr">
        <is>
          <t>TECH-062</t>
        </is>
      </c>
      <c r="D4613" s="53" t="inlineStr">
        <is>
          <t>Avionics</t>
        </is>
      </c>
      <c r="E4613" s="53" t="inlineStr">
        <is>
          <t>2024-10-06</t>
        </is>
      </c>
      <c r="F4613" s="53">
        <v>3.5</v>
      </c>
      <c r="G4613" s="53">
        <v>0.7</v>
      </c>
      <c r="H4613" s="51" t="str">
        <f>TEXT(tblLaborEntries[[#This Row],[Work date serial]]-WEEKDAY(tblLaborEntries[[#This Row],[Work date serial]],3),"yyyy-mm-dd")</f>
        <v>2024-09-30</v>
      </c>
      <c r="I4613" s="64">
        <f>DATEVALUE(tblLaborEntries[[#This Row],[Work date]])</f>
        <v>45571.0</v>
      </c>
    </row>
    <row r="4614" spans="1:9" ht="15" x14ac:dyDescent="0.25">
      <c r="A4614" s="53" t="inlineStr">
        <is>
          <t>LAB-004613</t>
        </is>
      </c>
      <c r="B4614" s="53" t="inlineStr">
        <is>
          <t>WP-02028</t>
        </is>
      </c>
      <c r="C4614" s="53" t="inlineStr">
        <is>
          <t>TECH-011</t>
        </is>
      </c>
      <c r="D4614" s="53" t="inlineStr">
        <is>
          <t>Structures</t>
        </is>
      </c>
      <c r="E4614" s="53" t="inlineStr">
        <is>
          <t>2024-05-19</t>
        </is>
      </c>
      <c r="F4614" s="53">
        <v>10.1</v>
      </c>
      <c r="G4614" s="53">
        <v>2.1</v>
      </c>
      <c r="H4614" s="51" t="str">
        <f>TEXT(tblLaborEntries[[#This Row],[Work date serial]]-WEEKDAY(tblLaborEntries[[#This Row],[Work date serial]],3),"yyyy-mm-dd")</f>
        <v>2024-05-13</v>
      </c>
      <c r="I4614" s="64">
        <f>DATEVALUE(tblLaborEntries[[#This Row],[Work date]])</f>
        <v>45431.0</v>
      </c>
    </row>
    <row r="4615" spans="1:9" ht="15" x14ac:dyDescent="0.25">
      <c r="A4615" s="53" t="inlineStr">
        <is>
          <t>LAB-004614</t>
        </is>
      </c>
      <c r="B4615" s="53" t="inlineStr">
        <is>
          <t>WP-02028</t>
        </is>
      </c>
      <c r="C4615" s="53" t="inlineStr">
        <is>
          <t>TECH-005</t>
        </is>
      </c>
      <c r="D4615" s="53" t="inlineStr">
        <is>
          <t>Structures</t>
        </is>
      </c>
      <c r="E4615" s="53" t="inlineStr">
        <is>
          <t>2024-05-20</t>
        </is>
      </c>
      <c r="F4615" s="53">
        <v>3.8</v>
      </c>
      <c r="G4615" s="53">
        <v>0</v>
      </c>
      <c r="H4615" s="51" t="str">
        <f>TEXT(tblLaborEntries[[#This Row],[Work date serial]]-WEEKDAY(tblLaborEntries[[#This Row],[Work date serial]],3),"yyyy-mm-dd")</f>
        <v>2024-05-20</v>
      </c>
      <c r="I4615" s="64">
        <f>DATEVALUE(tblLaborEntries[[#This Row],[Work date]])</f>
        <v>45432.0</v>
      </c>
    </row>
    <row r="4616" spans="1:9" ht="15" x14ac:dyDescent="0.25">
      <c r="A4616" s="53" t="inlineStr">
        <is>
          <t>LAB-004615</t>
        </is>
      </c>
      <c r="B4616" s="53" t="inlineStr">
        <is>
          <t>WP-02028</t>
        </is>
      </c>
      <c r="C4616" s="53" t="inlineStr">
        <is>
          <t>TECH-029</t>
        </is>
      </c>
      <c r="D4616" s="53" t="inlineStr">
        <is>
          <t>Structures</t>
        </is>
      </c>
      <c r="E4616" s="53" t="inlineStr">
        <is>
          <t>2024-05-20</t>
        </is>
      </c>
      <c r="F4616" s="53">
        <v>12</v>
      </c>
      <c r="G4616" s="53">
        <v>4</v>
      </c>
      <c r="H4616" s="51" t="str">
        <f>TEXT(tblLaborEntries[[#This Row],[Work date serial]]-WEEKDAY(tblLaborEntries[[#This Row],[Work date serial]],3),"yyyy-mm-dd")</f>
        <v>2024-05-20</v>
      </c>
      <c r="I4616" s="64">
        <f>DATEVALUE(tblLaborEntries[[#This Row],[Work date]])</f>
        <v>45432.0</v>
      </c>
    </row>
    <row r="4617" spans="1:9" ht="15" x14ac:dyDescent="0.25">
      <c r="A4617" s="53" t="inlineStr">
        <is>
          <t>LAB-004616</t>
        </is>
      </c>
      <c r="B4617" s="53" t="inlineStr">
        <is>
          <t>WP-02028</t>
        </is>
      </c>
      <c r="C4617" s="53" t="inlineStr">
        <is>
          <t>TECH-005</t>
        </is>
      </c>
      <c r="D4617" s="53" t="inlineStr">
        <is>
          <t>Structures</t>
        </is>
      </c>
      <c r="E4617" s="53" t="inlineStr">
        <is>
          <t>2024-05-21</t>
        </is>
      </c>
      <c r="F4617" s="53">
        <v>12</v>
      </c>
      <c r="G4617" s="53">
        <v>4</v>
      </c>
      <c r="H4617" s="51" t="str">
        <f>TEXT(tblLaborEntries[[#This Row],[Work date serial]]-WEEKDAY(tblLaborEntries[[#This Row],[Work date serial]],3),"yyyy-mm-dd")</f>
        <v>2024-05-20</v>
      </c>
      <c r="I4617" s="64">
        <f>DATEVALUE(tblLaborEntries[[#This Row],[Work date]])</f>
        <v>45433.0</v>
      </c>
    </row>
    <row r="4618" spans="1:9" ht="15" x14ac:dyDescent="0.25">
      <c r="A4618" s="53" t="inlineStr">
        <is>
          <t>LAB-004617</t>
        </is>
      </c>
      <c r="B4618" s="53" t="inlineStr">
        <is>
          <t>WP-02028</t>
        </is>
      </c>
      <c r="C4618" s="53" t="inlineStr">
        <is>
          <t>TECH-011</t>
        </is>
      </c>
      <c r="D4618" s="53" t="inlineStr">
        <is>
          <t>Structures</t>
        </is>
      </c>
      <c r="E4618" s="53" t="inlineStr">
        <is>
          <t>2024-05-21</t>
        </is>
      </c>
      <c r="F4618" s="53">
        <v>0.5</v>
      </c>
      <c r="G4618" s="53">
        <v>0</v>
      </c>
      <c r="H4618" s="51" t="str">
        <f>TEXT(tblLaborEntries[[#This Row],[Work date serial]]-WEEKDAY(tblLaborEntries[[#This Row],[Work date serial]],3),"yyyy-mm-dd")</f>
        <v>2024-05-20</v>
      </c>
      <c r="I4618" s="64">
        <f>DATEVALUE(tblLaborEntries[[#This Row],[Work date]])</f>
        <v>45433.0</v>
      </c>
    </row>
    <row r="4619" spans="1:9" ht="15" x14ac:dyDescent="0.25">
      <c r="A4619" s="53" t="inlineStr">
        <is>
          <t>LAB-004618</t>
        </is>
      </c>
      <c r="B4619" s="53" t="inlineStr">
        <is>
          <t>WP-02029</t>
        </is>
      </c>
      <c r="C4619" s="53" t="inlineStr">
        <is>
          <t>TECH-049</t>
        </is>
      </c>
      <c r="D4619" s="53" t="inlineStr">
        <is>
          <t>Airframe</t>
        </is>
      </c>
      <c r="E4619" s="53" t="inlineStr">
        <is>
          <t>2026-01-27</t>
        </is>
      </c>
      <c r="F4619" s="53">
        <v>1.7</v>
      </c>
      <c r="G4619" s="53">
        <v>0</v>
      </c>
      <c r="H4619" s="51" t="str">
        <f>TEXT(tblLaborEntries[[#This Row],[Work date serial]]-WEEKDAY(tblLaborEntries[[#This Row],[Work date serial]],3),"yyyy-mm-dd")</f>
        <v>2026-01-26</v>
      </c>
      <c r="I4619" s="64">
        <f>DATEVALUE(tblLaborEntries[[#This Row],[Work date]])</f>
        <v>46049.0</v>
      </c>
    </row>
    <row r="4620" spans="1:9" ht="15" x14ac:dyDescent="0.25">
      <c r="A4620" s="53" t="inlineStr">
        <is>
          <t>LAB-004619</t>
        </is>
      </c>
      <c r="B4620" s="53" t="inlineStr">
        <is>
          <t>WP-02029</t>
        </is>
      </c>
      <c r="C4620" s="53" t="inlineStr">
        <is>
          <t>TECH-049</t>
        </is>
      </c>
      <c r="D4620" s="53" t="inlineStr">
        <is>
          <t>Airframe</t>
        </is>
      </c>
      <c r="E4620" s="53" t="inlineStr">
        <is>
          <t>2026-01-28</t>
        </is>
      </c>
      <c r="F4620" s="53">
        <v>2.5</v>
      </c>
      <c r="G4620" s="53">
        <v>0</v>
      </c>
      <c r="H4620" s="51" t="str">
        <f>TEXT(tblLaborEntries[[#This Row],[Work date serial]]-WEEKDAY(tblLaborEntries[[#This Row],[Work date serial]],3),"yyyy-mm-dd")</f>
        <v>2026-01-26</v>
      </c>
      <c r="I4620" s="64">
        <f>DATEVALUE(tblLaborEntries[[#This Row],[Work date]])</f>
        <v>46050.0</v>
      </c>
    </row>
    <row r="4621" spans="1:9" ht="15" x14ac:dyDescent="0.25">
      <c r="A4621" s="53" t="inlineStr">
        <is>
          <t>LAB-004620</t>
        </is>
      </c>
      <c r="B4621" s="53" t="inlineStr">
        <is>
          <t>WP-02030</t>
        </is>
      </c>
      <c r="C4621" s="53" t="inlineStr">
        <is>
          <t>TECH-007</t>
        </is>
      </c>
      <c r="D4621" s="53" t="inlineStr">
        <is>
          <t>Airframe</t>
        </is>
      </c>
      <c r="E4621" s="53" t="inlineStr">
        <is>
          <t>2024-08-25</t>
        </is>
      </c>
      <c r="F4621" s="53">
        <v>2.7</v>
      </c>
      <c r="G4621" s="53">
        <v>0</v>
      </c>
      <c r="H4621" s="51" t="str">
        <f>TEXT(tblLaborEntries[[#This Row],[Work date serial]]-WEEKDAY(tblLaborEntries[[#This Row],[Work date serial]],3),"yyyy-mm-dd")</f>
        <v>2024-08-19</v>
      </c>
      <c r="I4621" s="64">
        <f>DATEVALUE(tblLaborEntries[[#This Row],[Work date]])</f>
        <v>45529.0</v>
      </c>
    </row>
    <row r="4622" spans="1:9" ht="15" x14ac:dyDescent="0.25">
      <c r="A4622" s="53" t="inlineStr">
        <is>
          <t>LAB-004621</t>
        </is>
      </c>
      <c r="B4622" s="53" t="inlineStr">
        <is>
          <t>WP-02030</t>
        </is>
      </c>
      <c r="C4622" s="53" t="inlineStr">
        <is>
          <t>TECH-013</t>
        </is>
      </c>
      <c r="D4622" s="53" t="inlineStr">
        <is>
          <t>Airframe</t>
        </is>
      </c>
      <c r="E4622" s="53" t="inlineStr">
        <is>
          <t>2024-08-26</t>
        </is>
      </c>
      <c r="F4622" s="53">
        <v>2.6</v>
      </c>
      <c r="G4622" s="53">
        <v>0</v>
      </c>
      <c r="H4622" s="51" t="str">
        <f>TEXT(tblLaborEntries[[#This Row],[Work date serial]]-WEEKDAY(tblLaborEntries[[#This Row],[Work date serial]],3),"yyyy-mm-dd")</f>
        <v>2024-08-26</v>
      </c>
      <c r="I4622" s="64">
        <f>DATEVALUE(tblLaborEntries[[#This Row],[Work date]])</f>
        <v>45530.0</v>
      </c>
    </row>
    <row r="4623" spans="1:9" ht="15" x14ac:dyDescent="0.25">
      <c r="A4623" s="53" t="inlineStr">
        <is>
          <t>LAB-004622</t>
        </is>
      </c>
      <c r="B4623" s="53" t="inlineStr">
        <is>
          <t>WP-02031</t>
        </is>
      </c>
      <c r="C4623" s="53" t="inlineStr">
        <is>
          <t>TECH-067</t>
        </is>
      </c>
      <c r="D4623" s="53" t="inlineStr">
        <is>
          <t>Airframe</t>
        </is>
      </c>
      <c r="E4623" s="53" t="inlineStr">
        <is>
          <t>2024-05-31</t>
        </is>
      </c>
      <c r="F4623" s="53">
        <v>1.7</v>
      </c>
      <c r="G4623" s="53">
        <v>0</v>
      </c>
      <c r="H4623" s="51" t="str">
        <f>TEXT(tblLaborEntries[[#This Row],[Work date serial]]-WEEKDAY(tblLaborEntries[[#This Row],[Work date serial]],3),"yyyy-mm-dd")</f>
        <v>2024-05-27</v>
      </c>
      <c r="I4623" s="64">
        <f>DATEVALUE(tblLaborEntries[[#This Row],[Work date]])</f>
        <v>45443.0</v>
      </c>
    </row>
    <row r="4624" spans="1:9" ht="15" x14ac:dyDescent="0.25">
      <c r="A4624" s="53" t="inlineStr">
        <is>
          <t>LAB-004623</t>
        </is>
      </c>
      <c r="B4624" s="53" t="inlineStr">
        <is>
          <t>WP-02031</t>
        </is>
      </c>
      <c r="C4624" s="53" t="inlineStr">
        <is>
          <t>TECH-013</t>
        </is>
      </c>
      <c r="D4624" s="53" t="inlineStr">
        <is>
          <t>Airframe</t>
        </is>
      </c>
      <c r="E4624" s="53" t="inlineStr">
        <is>
          <t>2024-06-01</t>
        </is>
      </c>
      <c r="F4624" s="53">
        <v>1.6</v>
      </c>
      <c r="G4624" s="53">
        <v>0</v>
      </c>
      <c r="H4624" s="51" t="str">
        <f>TEXT(tblLaborEntries[[#This Row],[Work date serial]]-WEEKDAY(tblLaborEntries[[#This Row],[Work date serial]],3),"yyyy-mm-dd")</f>
        <v>2024-05-27</v>
      </c>
      <c r="I4624" s="64">
        <f>DATEVALUE(tblLaborEntries[[#This Row],[Work date]])</f>
        <v>45444.0</v>
      </c>
    </row>
    <row r="4625" spans="1:9" ht="15" x14ac:dyDescent="0.25">
      <c r="A4625" s="53" t="inlineStr">
        <is>
          <t>LAB-004624</t>
        </is>
      </c>
      <c r="B4625" s="53" t="inlineStr">
        <is>
          <t>WP-02031</t>
        </is>
      </c>
      <c r="C4625" s="53" t="inlineStr">
        <is>
          <t>TECH-073</t>
        </is>
      </c>
      <c r="D4625" s="53" t="inlineStr">
        <is>
          <t>Airframe</t>
        </is>
      </c>
      <c r="E4625" s="53" t="inlineStr">
        <is>
          <t>2024-06-02</t>
        </is>
      </c>
      <c r="F4625" s="53">
        <v>1.4</v>
      </c>
      <c r="G4625" s="53">
        <v>0</v>
      </c>
      <c r="H4625" s="51" t="str">
        <f>TEXT(tblLaborEntries[[#This Row],[Work date serial]]-WEEKDAY(tblLaborEntries[[#This Row],[Work date serial]],3),"yyyy-mm-dd")</f>
        <v>2024-05-27</v>
      </c>
      <c r="I4625" s="64">
        <f>DATEVALUE(tblLaborEntries[[#This Row],[Work date]])</f>
        <v>45445.0</v>
      </c>
    </row>
    <row r="4626" spans="1:9" ht="15" x14ac:dyDescent="0.25">
      <c r="A4626" s="53" t="inlineStr">
        <is>
          <t>LAB-004625</t>
        </is>
      </c>
      <c r="B4626" s="53" t="inlineStr">
        <is>
          <t>WP-02032</t>
        </is>
      </c>
      <c r="C4626" s="53" t="inlineStr">
        <is>
          <t>TECH-002</t>
        </is>
      </c>
      <c r="D4626" s="53" t="inlineStr">
        <is>
          <t>Avionics</t>
        </is>
      </c>
      <c r="E4626" s="53" t="inlineStr">
        <is>
          <t>2024-08-14</t>
        </is>
      </c>
      <c r="F4626" s="53">
        <v>2.7</v>
      </c>
      <c r="G4626" s="53">
        <v>0</v>
      </c>
      <c r="H4626" s="51" t="str">
        <f>TEXT(tblLaborEntries[[#This Row],[Work date serial]]-WEEKDAY(tblLaborEntries[[#This Row],[Work date serial]],3),"yyyy-mm-dd")</f>
        <v>2024-08-12</v>
      </c>
      <c r="I4626" s="64">
        <f>DATEVALUE(tblLaborEntries[[#This Row],[Work date]])</f>
        <v>45518.0</v>
      </c>
    </row>
    <row r="4627" spans="1:9" ht="15" x14ac:dyDescent="0.25">
      <c r="A4627" s="53" t="inlineStr">
        <is>
          <t>LAB-004626</t>
        </is>
      </c>
      <c r="B4627" s="53" t="inlineStr">
        <is>
          <t>WP-02032</t>
        </is>
      </c>
      <c r="C4627" s="53" t="inlineStr">
        <is>
          <t>TECH-062</t>
        </is>
      </c>
      <c r="D4627" s="53" t="inlineStr">
        <is>
          <t>Avionics</t>
        </is>
      </c>
      <c r="E4627" s="53" t="inlineStr">
        <is>
          <t>2024-08-15</t>
        </is>
      </c>
      <c r="F4627" s="53">
        <v>2.8</v>
      </c>
      <c r="G4627" s="53">
        <v>0</v>
      </c>
      <c r="H4627" s="51" t="str">
        <f>TEXT(tblLaborEntries[[#This Row],[Work date serial]]-WEEKDAY(tblLaborEntries[[#This Row],[Work date serial]],3),"yyyy-mm-dd")</f>
        <v>2024-08-12</v>
      </c>
      <c r="I4627" s="64">
        <f>DATEVALUE(tblLaborEntries[[#This Row],[Work date]])</f>
        <v>45519.0</v>
      </c>
    </row>
    <row r="4628" spans="1:9" ht="15" x14ac:dyDescent="0.25">
      <c r="A4628" s="53" t="inlineStr">
        <is>
          <t>LAB-004627</t>
        </is>
      </c>
      <c r="B4628" s="53" t="inlineStr">
        <is>
          <t>WP-02032</t>
        </is>
      </c>
      <c r="C4628" s="53" t="inlineStr">
        <is>
          <t>TECH-062</t>
        </is>
      </c>
      <c r="D4628" s="53" t="inlineStr">
        <is>
          <t>Avionics</t>
        </is>
      </c>
      <c r="E4628" s="53" t="inlineStr">
        <is>
          <t>2024-08-16</t>
        </is>
      </c>
      <c r="F4628" s="53">
        <v>2.1</v>
      </c>
      <c r="G4628" s="53">
        <v>0</v>
      </c>
      <c r="H4628" s="51" t="str">
        <f>TEXT(tblLaborEntries[[#This Row],[Work date serial]]-WEEKDAY(tblLaborEntries[[#This Row],[Work date serial]],3),"yyyy-mm-dd")</f>
        <v>2024-08-12</v>
      </c>
      <c r="I4628" s="64">
        <f>DATEVALUE(tblLaborEntries[[#This Row],[Work date]])</f>
        <v>45520.0</v>
      </c>
    </row>
    <row r="4629" spans="1:9" ht="15" x14ac:dyDescent="0.25">
      <c r="A4629" s="53" t="inlineStr">
        <is>
          <t>LAB-004628</t>
        </is>
      </c>
      <c r="B4629" s="53" t="inlineStr">
        <is>
          <t>WP-02033</t>
        </is>
      </c>
      <c r="C4629" s="53" t="inlineStr">
        <is>
          <t>TECH-001</t>
        </is>
      </c>
      <c r="D4629" s="53" t="inlineStr">
        <is>
          <t>Airframe</t>
        </is>
      </c>
      <c r="E4629" s="53" t="inlineStr">
        <is>
          <t>2025-04-05</t>
        </is>
      </c>
      <c r="F4629" s="53">
        <v>0.2</v>
      </c>
      <c r="G4629" s="53">
        <v>0</v>
      </c>
      <c r="H4629" s="51" t="str">
        <f>TEXT(tblLaborEntries[[#This Row],[Work date serial]]-WEEKDAY(tblLaborEntries[[#This Row],[Work date serial]],3),"yyyy-mm-dd")</f>
        <v>2025-03-31</v>
      </c>
      <c r="I4629" s="64">
        <f>DATEVALUE(tblLaborEntries[[#This Row],[Work date]])</f>
        <v>45752.0</v>
      </c>
    </row>
    <row r="4630" spans="1:9" ht="15" x14ac:dyDescent="0.25">
      <c r="A4630" s="53" t="inlineStr">
        <is>
          <t>LAB-004629</t>
        </is>
      </c>
      <c r="B4630" s="53" t="inlineStr">
        <is>
          <t>WP-02033</t>
        </is>
      </c>
      <c r="C4630" s="53" t="inlineStr">
        <is>
          <t>TECH-061</t>
        </is>
      </c>
      <c r="D4630" s="53" t="inlineStr">
        <is>
          <t>Airframe</t>
        </is>
      </c>
      <c r="E4630" s="53" t="inlineStr">
        <is>
          <t>2025-04-05</t>
        </is>
      </c>
      <c r="F4630" s="53">
        <v>12</v>
      </c>
      <c r="G4630" s="53">
        <v>4</v>
      </c>
      <c r="H4630" s="51" t="str">
        <f>TEXT(tblLaborEntries[[#This Row],[Work date serial]]-WEEKDAY(tblLaborEntries[[#This Row],[Work date serial]],3),"yyyy-mm-dd")</f>
        <v>2025-03-31</v>
      </c>
      <c r="I4630" s="64">
        <f>DATEVALUE(tblLaborEntries[[#This Row],[Work date]])</f>
        <v>45752.0</v>
      </c>
    </row>
    <row r="4631" spans="1:9" ht="15" x14ac:dyDescent="0.25">
      <c r="A4631" s="53" t="inlineStr">
        <is>
          <t>LAB-004630</t>
        </is>
      </c>
      <c r="B4631" s="53" t="inlineStr">
        <is>
          <t>WP-02034</t>
        </is>
      </c>
      <c r="C4631" s="53" t="inlineStr">
        <is>
          <t>TECH-004</t>
        </is>
      </c>
      <c r="D4631" s="53" t="inlineStr">
        <is>
          <t>Electrical</t>
        </is>
      </c>
      <c r="E4631" s="53" t="inlineStr">
        <is>
          <t>2025-01-27</t>
        </is>
      </c>
      <c r="F4631" s="53">
        <v>7</v>
      </c>
      <c r="G4631" s="53">
        <v>0</v>
      </c>
      <c r="H4631" s="51" t="str">
        <f>TEXT(tblLaborEntries[[#This Row],[Work date serial]]-WEEKDAY(tblLaborEntries[[#This Row],[Work date serial]],3),"yyyy-mm-dd")</f>
        <v>2025-01-27</v>
      </c>
      <c r="I4631" s="64">
        <f>DATEVALUE(tblLaborEntries[[#This Row],[Work date]])</f>
        <v>45684.0</v>
      </c>
    </row>
    <row r="4632" spans="1:9" ht="15" x14ac:dyDescent="0.25">
      <c r="A4632" s="53" t="inlineStr">
        <is>
          <t>LAB-004631</t>
        </is>
      </c>
      <c r="B4632" s="53" t="inlineStr">
        <is>
          <t>WP-02034</t>
        </is>
      </c>
      <c r="C4632" s="53" t="inlineStr">
        <is>
          <t>TECH-058</t>
        </is>
      </c>
      <c r="D4632" s="53" t="inlineStr">
        <is>
          <t>Electrical</t>
        </is>
      </c>
      <c r="E4632" s="53" t="inlineStr">
        <is>
          <t>2025-01-27</t>
        </is>
      </c>
      <c r="F4632" s="53">
        <v>12</v>
      </c>
      <c r="G4632" s="53">
        <v>4</v>
      </c>
      <c r="H4632" s="51" t="str">
        <f>TEXT(tblLaborEntries[[#This Row],[Work date serial]]-WEEKDAY(tblLaborEntries[[#This Row],[Work date serial]],3),"yyyy-mm-dd")</f>
        <v>2025-01-27</v>
      </c>
      <c r="I4632" s="64">
        <f>DATEVALUE(tblLaborEntries[[#This Row],[Work date]])</f>
        <v>45684.0</v>
      </c>
    </row>
    <row r="4633" spans="1:9" ht="15" x14ac:dyDescent="0.25">
      <c r="A4633" s="53" t="inlineStr">
        <is>
          <t>LAB-004632</t>
        </is>
      </c>
      <c r="B4633" s="53" t="inlineStr">
        <is>
          <t>WP-02035</t>
        </is>
      </c>
      <c r="C4633" s="53" t="inlineStr">
        <is>
          <t>TECH-008</t>
        </is>
      </c>
      <c r="D4633" s="53" t="inlineStr">
        <is>
          <t>Avionics</t>
        </is>
      </c>
      <c r="E4633" s="53" t="inlineStr">
        <is>
          <t>2025-09-02</t>
        </is>
      </c>
      <c r="F4633" s="53">
        <v>1.2</v>
      </c>
      <c r="G4633" s="53">
        <v>0</v>
      </c>
      <c r="H4633" s="51" t="str">
        <f>TEXT(tblLaborEntries[[#This Row],[Work date serial]]-WEEKDAY(tblLaborEntries[[#This Row],[Work date serial]],3),"yyyy-mm-dd")</f>
        <v>2025-09-01</v>
      </c>
      <c r="I4633" s="64">
        <f>DATEVALUE(tblLaborEntries[[#This Row],[Work date]])</f>
        <v>45902.0</v>
      </c>
    </row>
    <row r="4634" spans="1:9" ht="15" x14ac:dyDescent="0.25">
      <c r="A4634" s="53" t="inlineStr">
        <is>
          <t>LAB-004633</t>
        </is>
      </c>
      <c r="B4634" s="53" t="inlineStr">
        <is>
          <t>WP-02035</t>
        </is>
      </c>
      <c r="C4634" s="53" t="inlineStr">
        <is>
          <t>TECH-062</t>
        </is>
      </c>
      <c r="D4634" s="53" t="inlineStr">
        <is>
          <t>Avionics</t>
        </is>
      </c>
      <c r="E4634" s="53" t="inlineStr">
        <is>
          <t>2025-09-03</t>
        </is>
      </c>
      <c r="F4634" s="53">
        <v>1.2</v>
      </c>
      <c r="G4634" s="53">
        <v>0</v>
      </c>
      <c r="H4634" s="51" t="str">
        <f>TEXT(tblLaborEntries[[#This Row],[Work date serial]]-WEEKDAY(tblLaborEntries[[#This Row],[Work date serial]],3),"yyyy-mm-dd")</f>
        <v>2025-09-01</v>
      </c>
      <c r="I4634" s="64">
        <f>DATEVALUE(tblLaborEntries[[#This Row],[Work date]])</f>
        <v>45903.0</v>
      </c>
    </row>
    <row r="4635" spans="1:9" ht="15" x14ac:dyDescent="0.25">
      <c r="A4635" s="53" t="inlineStr">
        <is>
          <t>LAB-004634</t>
        </is>
      </c>
      <c r="B4635" s="53" t="inlineStr">
        <is>
          <t>WP-02036</t>
        </is>
      </c>
      <c r="C4635" s="53" t="inlineStr">
        <is>
          <t>TECH-037</t>
        </is>
      </c>
      <c r="D4635" s="53" t="inlineStr">
        <is>
          <t>Airframe</t>
        </is>
      </c>
      <c r="E4635" s="53" t="inlineStr">
        <is>
          <t>2024-09-06</t>
        </is>
      </c>
      <c r="F4635" s="53">
        <v>2.8</v>
      </c>
      <c r="G4635" s="53">
        <v>0</v>
      </c>
      <c r="H4635" s="51" t="str">
        <f>TEXT(tblLaborEntries[[#This Row],[Work date serial]]-WEEKDAY(tblLaborEntries[[#This Row],[Work date serial]],3),"yyyy-mm-dd")</f>
        <v>2024-09-02</v>
      </c>
      <c r="I4635" s="64">
        <f>DATEVALUE(tblLaborEntries[[#This Row],[Work date]])</f>
        <v>45541.0</v>
      </c>
    </row>
    <row r="4636" spans="1:9" ht="15" x14ac:dyDescent="0.25">
      <c r="A4636" s="53" t="inlineStr">
        <is>
          <t>LAB-004635</t>
        </is>
      </c>
      <c r="B4636" s="53" t="inlineStr">
        <is>
          <t>WP-02036</t>
        </is>
      </c>
      <c r="C4636" s="53" t="inlineStr">
        <is>
          <t>TECH-013</t>
        </is>
      </c>
      <c r="D4636" s="53" t="inlineStr">
        <is>
          <t>Airframe</t>
        </is>
      </c>
      <c r="E4636" s="53" t="inlineStr">
        <is>
          <t>2024-09-07</t>
        </is>
      </c>
      <c r="F4636" s="53">
        <v>3.4</v>
      </c>
      <c r="G4636" s="53">
        <v>0</v>
      </c>
      <c r="H4636" s="51" t="str">
        <f>TEXT(tblLaborEntries[[#This Row],[Work date serial]]-WEEKDAY(tblLaborEntries[[#This Row],[Work date serial]],3),"yyyy-mm-dd")</f>
        <v>2024-09-02</v>
      </c>
      <c r="I4636" s="64">
        <f>DATEVALUE(tblLaborEntries[[#This Row],[Work date]])</f>
        <v>45542.0</v>
      </c>
    </row>
    <row r="4637" spans="1:9" ht="15" x14ac:dyDescent="0.25">
      <c r="A4637" s="53" t="inlineStr">
        <is>
          <t>LAB-004636</t>
        </is>
      </c>
      <c r="B4637" s="53" t="inlineStr">
        <is>
          <t>WP-02036</t>
        </is>
      </c>
      <c r="C4637" s="53" t="inlineStr">
        <is>
          <t>TECH-001</t>
        </is>
      </c>
      <c r="D4637" s="53" t="inlineStr">
        <is>
          <t>Airframe</t>
        </is>
      </c>
      <c r="E4637" s="53" t="inlineStr">
        <is>
          <t>2024-09-08</t>
        </is>
      </c>
      <c r="F4637" s="53">
        <v>2.7</v>
      </c>
      <c r="G4637" s="53">
        <v>0</v>
      </c>
      <c r="H4637" s="51" t="str">
        <f>TEXT(tblLaborEntries[[#This Row],[Work date serial]]-WEEKDAY(tblLaborEntries[[#This Row],[Work date serial]],3),"yyyy-mm-dd")</f>
        <v>2024-09-02</v>
      </c>
      <c r="I4637" s="64">
        <f>DATEVALUE(tblLaborEntries[[#This Row],[Work date]])</f>
        <v>45543.0</v>
      </c>
    </row>
    <row r="4638" spans="1:9" ht="15" x14ac:dyDescent="0.25">
      <c r="A4638" s="53" t="inlineStr">
        <is>
          <t>LAB-004637</t>
        </is>
      </c>
      <c r="B4638" s="53" t="inlineStr">
        <is>
          <t>WP-02037</t>
        </is>
      </c>
      <c r="C4638" s="53" t="inlineStr">
        <is>
          <t>TECH-005</t>
        </is>
      </c>
      <c r="D4638" s="53" t="inlineStr">
        <is>
          <t>Structures</t>
        </is>
      </c>
      <c r="E4638" s="53" t="inlineStr">
        <is>
          <t>2025-10-15</t>
        </is>
      </c>
      <c r="F4638" s="53">
        <v>12</v>
      </c>
      <c r="G4638" s="53">
        <v>4</v>
      </c>
      <c r="H4638" s="51" t="str">
        <f>TEXT(tblLaborEntries[[#This Row],[Work date serial]]-WEEKDAY(tblLaborEntries[[#This Row],[Work date serial]],3),"yyyy-mm-dd")</f>
        <v>2025-10-13</v>
      </c>
      <c r="I4638" s="64">
        <f>DATEVALUE(tblLaborEntries[[#This Row],[Work date]])</f>
        <v>45945.0</v>
      </c>
    </row>
    <row r="4639" spans="1:9" ht="15" x14ac:dyDescent="0.25">
      <c r="A4639" s="53" t="inlineStr">
        <is>
          <t>LAB-004638</t>
        </is>
      </c>
      <c r="B4639" s="53" t="inlineStr">
        <is>
          <t>WP-02037</t>
        </is>
      </c>
      <c r="C4639" s="53" t="inlineStr">
        <is>
          <t>TECH-011</t>
        </is>
      </c>
      <c r="D4639" s="53" t="inlineStr">
        <is>
          <t>Structures</t>
        </is>
      </c>
      <c r="E4639" s="53" t="inlineStr">
        <is>
          <t>2025-10-15</t>
        </is>
      </c>
      <c r="F4639" s="53">
        <v>2.8</v>
      </c>
      <c r="G4639" s="53">
        <v>0</v>
      </c>
      <c r="H4639" s="51" t="str">
        <f>TEXT(tblLaborEntries[[#This Row],[Work date serial]]-WEEKDAY(tblLaborEntries[[#This Row],[Work date serial]],3),"yyyy-mm-dd")</f>
        <v>2025-10-13</v>
      </c>
      <c r="I4639" s="64">
        <f>DATEVALUE(tblLaborEntries[[#This Row],[Work date]])</f>
        <v>45945.0</v>
      </c>
    </row>
    <row r="4640" spans="1:9" ht="15" x14ac:dyDescent="0.25">
      <c r="A4640" s="53" t="inlineStr">
        <is>
          <t>LAB-004639</t>
        </is>
      </c>
      <c r="B4640" s="53" t="inlineStr">
        <is>
          <t>WP-02037</t>
        </is>
      </c>
      <c r="C4640" s="53" t="inlineStr">
        <is>
          <t>TECH-041</t>
        </is>
      </c>
      <c r="D4640" s="53" t="inlineStr">
        <is>
          <t>Structures</t>
        </is>
      </c>
      <c r="E4640" s="53" t="inlineStr">
        <is>
          <t>2025-10-15</t>
        </is>
      </c>
      <c r="F4640" s="53">
        <v>12</v>
      </c>
      <c r="G4640" s="53">
        <v>4</v>
      </c>
      <c r="H4640" s="51" t="str">
        <f>TEXT(tblLaborEntries[[#This Row],[Work date serial]]-WEEKDAY(tblLaborEntries[[#This Row],[Work date serial]],3),"yyyy-mm-dd")</f>
        <v>2025-10-13</v>
      </c>
      <c r="I4640" s="64">
        <f>DATEVALUE(tblLaborEntries[[#This Row],[Work date]])</f>
        <v>45945.0</v>
      </c>
    </row>
    <row r="4641" spans="1:9" ht="15" x14ac:dyDescent="0.25">
      <c r="A4641" s="53" t="inlineStr">
        <is>
          <t>LAB-004640</t>
        </is>
      </c>
      <c r="B4641" s="53" t="inlineStr">
        <is>
          <t>WP-02038</t>
        </is>
      </c>
      <c r="C4641" s="53" t="inlineStr">
        <is>
          <t>TECH-019</t>
        </is>
      </c>
      <c r="D4641" s="53" t="inlineStr">
        <is>
          <t>Airframe</t>
        </is>
      </c>
      <c r="E4641" s="53" t="inlineStr">
        <is>
          <t>2025-09-09</t>
        </is>
      </c>
      <c r="F4641" s="53">
        <v>1.9</v>
      </c>
      <c r="G4641" s="53">
        <v>0</v>
      </c>
      <c r="H4641" s="51" t="str">
        <f>TEXT(tblLaborEntries[[#This Row],[Work date serial]]-WEEKDAY(tblLaborEntries[[#This Row],[Work date serial]],3),"yyyy-mm-dd")</f>
        <v>2025-09-08</v>
      </c>
      <c r="I4641" s="64">
        <f>DATEVALUE(tblLaborEntries[[#This Row],[Work date]])</f>
        <v>45909.0</v>
      </c>
    </row>
    <row r="4642" spans="1:9" ht="15" x14ac:dyDescent="0.25">
      <c r="A4642" s="53" t="inlineStr">
        <is>
          <t>LAB-004641</t>
        </is>
      </c>
      <c r="B4642" s="53" t="inlineStr">
        <is>
          <t>WP-02039</t>
        </is>
      </c>
      <c r="C4642" s="53" t="inlineStr">
        <is>
          <t>TECH-016</t>
        </is>
      </c>
      <c r="D4642" s="53" t="inlineStr">
        <is>
          <t>Electrical</t>
        </is>
      </c>
      <c r="E4642" s="53" t="inlineStr">
        <is>
          <t>2025-06-07</t>
        </is>
      </c>
      <c r="F4642" s="53">
        <v>4.4</v>
      </c>
      <c r="G4642" s="53">
        <v>0</v>
      </c>
      <c r="H4642" s="51" t="str">
        <f>TEXT(tblLaborEntries[[#This Row],[Work date serial]]-WEEKDAY(tblLaborEntries[[#This Row],[Work date serial]],3),"yyyy-mm-dd")</f>
        <v>2025-06-02</v>
      </c>
      <c r="I4642" s="64">
        <f>DATEVALUE(tblLaborEntries[[#This Row],[Work date]])</f>
        <v>45815.0</v>
      </c>
    </row>
    <row r="4643" spans="1:9" ht="15" x14ac:dyDescent="0.25">
      <c r="A4643" s="53" t="inlineStr">
        <is>
          <t>LAB-004642</t>
        </is>
      </c>
      <c r="B4643" s="53" t="inlineStr">
        <is>
          <t>WP-02039</t>
        </is>
      </c>
      <c r="C4643" s="53" t="inlineStr">
        <is>
          <t>TECH-064</t>
        </is>
      </c>
      <c r="D4643" s="53" t="inlineStr">
        <is>
          <t>Electrical</t>
        </is>
      </c>
      <c r="E4643" s="53" t="inlineStr">
        <is>
          <t>2025-06-08</t>
        </is>
      </c>
      <c r="F4643" s="53">
        <v>4.3</v>
      </c>
      <c r="G4643" s="53">
        <v>0</v>
      </c>
      <c r="H4643" s="51" t="str">
        <f>TEXT(tblLaborEntries[[#This Row],[Work date serial]]-WEEKDAY(tblLaborEntries[[#This Row],[Work date serial]],3),"yyyy-mm-dd")</f>
        <v>2025-06-02</v>
      </c>
      <c r="I4643" s="64">
        <f>DATEVALUE(tblLaborEntries[[#This Row],[Work date]])</f>
        <v>45816.0</v>
      </c>
    </row>
    <row r="4644" spans="1:9" ht="15" x14ac:dyDescent="0.25">
      <c r="A4644" s="53" t="inlineStr">
        <is>
          <t>LAB-004643</t>
        </is>
      </c>
      <c r="B4644" s="53" t="inlineStr">
        <is>
          <t>WP-02039</t>
        </is>
      </c>
      <c r="C4644" s="53" t="inlineStr">
        <is>
          <t>TECH-040</t>
        </is>
      </c>
      <c r="D4644" s="53" t="inlineStr">
        <is>
          <t>Electrical</t>
        </is>
      </c>
      <c r="E4644" s="53" t="inlineStr">
        <is>
          <t>2025-06-09</t>
        </is>
      </c>
      <c r="F4644" s="53">
        <v>4.7</v>
      </c>
      <c r="G4644" s="53">
        <v>0</v>
      </c>
      <c r="H4644" s="51" t="str">
        <f>TEXT(tblLaborEntries[[#This Row],[Work date serial]]-WEEKDAY(tblLaborEntries[[#This Row],[Work date serial]],3),"yyyy-mm-dd")</f>
        <v>2025-06-09</v>
      </c>
      <c r="I4644" s="64">
        <f>DATEVALUE(tblLaborEntries[[#This Row],[Work date]])</f>
        <v>45817.0</v>
      </c>
    </row>
    <row r="4645" spans="1:9" ht="15" x14ac:dyDescent="0.25">
      <c r="A4645" s="53" t="inlineStr">
        <is>
          <t>LAB-004644</t>
        </is>
      </c>
      <c r="B4645" s="53" t="inlineStr">
        <is>
          <t>WP-02040</t>
        </is>
      </c>
      <c r="C4645" s="53" t="inlineStr">
        <is>
          <t>TECH-025</t>
        </is>
      </c>
      <c r="D4645" s="53" t="inlineStr">
        <is>
          <t>Airframe</t>
        </is>
      </c>
      <c r="E4645" s="53" t="inlineStr">
        <is>
          <t>2025-08-08</t>
        </is>
      </c>
      <c r="F4645" s="53">
        <v>3</v>
      </c>
      <c r="G4645" s="53">
        <v>0</v>
      </c>
      <c r="H4645" s="51" t="str">
        <f>TEXT(tblLaborEntries[[#This Row],[Work date serial]]-WEEKDAY(tblLaborEntries[[#This Row],[Work date serial]],3),"yyyy-mm-dd")</f>
        <v>2025-08-04</v>
      </c>
      <c r="I4645" s="64">
        <f>DATEVALUE(tblLaborEntries[[#This Row],[Work date]])</f>
        <v>45877.0</v>
      </c>
    </row>
    <row r="4646" spans="1:9" ht="15" x14ac:dyDescent="0.25">
      <c r="A4646" s="53" t="inlineStr">
        <is>
          <t>LAB-004645</t>
        </is>
      </c>
      <c r="B4646" s="53" t="inlineStr">
        <is>
          <t>WP-02040</t>
        </is>
      </c>
      <c r="C4646" s="53" t="inlineStr">
        <is>
          <t>TECH-049</t>
        </is>
      </c>
      <c r="D4646" s="53" t="inlineStr">
        <is>
          <t>Airframe</t>
        </is>
      </c>
      <c r="E4646" s="53" t="inlineStr">
        <is>
          <t>2025-08-09</t>
        </is>
      </c>
      <c r="F4646" s="53">
        <v>2.4</v>
      </c>
      <c r="G4646" s="53">
        <v>0</v>
      </c>
      <c r="H4646" s="51" t="str">
        <f>TEXT(tblLaborEntries[[#This Row],[Work date serial]]-WEEKDAY(tblLaborEntries[[#This Row],[Work date serial]],3),"yyyy-mm-dd")</f>
        <v>2025-08-04</v>
      </c>
      <c r="I4646" s="64">
        <f>DATEVALUE(tblLaborEntries[[#This Row],[Work date]])</f>
        <v>45878.0</v>
      </c>
    </row>
    <row r="4647" spans="1:9" ht="15" x14ac:dyDescent="0.25">
      <c r="A4647" s="53" t="inlineStr">
        <is>
          <t>LAB-004646</t>
        </is>
      </c>
      <c r="B4647" s="53" t="inlineStr">
        <is>
          <t>WP-02041</t>
        </is>
      </c>
      <c r="C4647" s="53" t="inlineStr">
        <is>
          <t>TECH-055</t>
        </is>
      </c>
      <c r="D4647" s="53" t="inlineStr">
        <is>
          <t>Airframe</t>
        </is>
      </c>
      <c r="E4647" s="53" t="inlineStr">
        <is>
          <t>2024-07-29</t>
        </is>
      </c>
      <c r="F4647" s="53">
        <v>4.3</v>
      </c>
      <c r="G4647" s="53">
        <v>0</v>
      </c>
      <c r="H4647" s="51" t="str">
        <f>TEXT(tblLaborEntries[[#This Row],[Work date serial]]-WEEKDAY(tblLaborEntries[[#This Row],[Work date serial]],3),"yyyy-mm-dd")</f>
        <v>2024-07-29</v>
      </c>
      <c r="I4647" s="64">
        <f>DATEVALUE(tblLaborEntries[[#This Row],[Work date]])</f>
        <v>45502.0</v>
      </c>
    </row>
    <row r="4648" spans="1:9" ht="15" x14ac:dyDescent="0.25">
      <c r="A4648" s="53" t="inlineStr">
        <is>
          <t>LAB-004647</t>
        </is>
      </c>
      <c r="B4648" s="53" t="inlineStr">
        <is>
          <t>WP-02042</t>
        </is>
      </c>
      <c r="C4648" s="53" t="inlineStr">
        <is>
          <t>TECH-034</t>
        </is>
      </c>
      <c r="D4648" s="53" t="inlineStr">
        <is>
          <t>Electrical</t>
        </is>
      </c>
      <c r="E4648" s="53" t="inlineStr">
        <is>
          <t>2024-04-12</t>
        </is>
      </c>
      <c r="F4648" s="53">
        <v>6</v>
      </c>
      <c r="G4648" s="53">
        <v>0</v>
      </c>
      <c r="H4648" s="51" t="str">
        <f>TEXT(tblLaborEntries[[#This Row],[Work date serial]]-WEEKDAY(tblLaborEntries[[#This Row],[Work date serial]],3),"yyyy-mm-dd")</f>
        <v>2024-04-08</v>
      </c>
      <c r="I4648" s="64">
        <f>DATEVALUE(tblLaborEntries[[#This Row],[Work date]])</f>
        <v>45394.0</v>
      </c>
    </row>
    <row r="4649" spans="1:9" ht="15" x14ac:dyDescent="0.25">
      <c r="A4649" s="53" t="inlineStr">
        <is>
          <t>LAB-004648</t>
        </is>
      </c>
      <c r="B4649" s="53" t="inlineStr">
        <is>
          <t>WP-02042</t>
        </is>
      </c>
      <c r="C4649" s="53" t="inlineStr">
        <is>
          <t>TECH-022</t>
        </is>
      </c>
      <c r="D4649" s="53" t="inlineStr">
        <is>
          <t>Electrical</t>
        </is>
      </c>
      <c r="E4649" s="53" t="inlineStr">
        <is>
          <t>2024-04-13</t>
        </is>
      </c>
      <c r="F4649" s="53">
        <v>5.9</v>
      </c>
      <c r="G4649" s="53">
        <v>0</v>
      </c>
      <c r="H4649" s="51" t="str">
        <f>TEXT(tblLaborEntries[[#This Row],[Work date serial]]-WEEKDAY(tblLaborEntries[[#This Row],[Work date serial]],3),"yyyy-mm-dd")</f>
        <v>2024-04-08</v>
      </c>
      <c r="I4649" s="64">
        <f>DATEVALUE(tblLaborEntries[[#This Row],[Work date]])</f>
        <v>45395.0</v>
      </c>
    </row>
    <row r="4650" spans="1:9" ht="15" x14ac:dyDescent="0.25">
      <c r="A4650" s="53" t="inlineStr">
        <is>
          <t>LAB-004649</t>
        </is>
      </c>
      <c r="B4650" s="53" t="inlineStr">
        <is>
          <t>WP-02042</t>
        </is>
      </c>
      <c r="C4650" s="53" t="inlineStr">
        <is>
          <t>TECH-034</t>
        </is>
      </c>
      <c r="D4650" s="53" t="inlineStr">
        <is>
          <t>Electrical</t>
        </is>
      </c>
      <c r="E4650" s="53" t="inlineStr">
        <is>
          <t>2024-04-14</t>
        </is>
      </c>
      <c r="F4650" s="53">
        <v>4.1</v>
      </c>
      <c r="G4650" s="53">
        <v>0</v>
      </c>
      <c r="H4650" s="51" t="str">
        <f>TEXT(tblLaborEntries[[#This Row],[Work date serial]]-WEEKDAY(tblLaborEntries[[#This Row],[Work date serial]],3),"yyyy-mm-dd")</f>
        <v>2024-04-08</v>
      </c>
      <c r="I4650" s="64">
        <f>DATEVALUE(tblLaborEntries[[#This Row],[Work date]])</f>
        <v>45396.0</v>
      </c>
    </row>
    <row r="4651" spans="1:9" ht="15" x14ac:dyDescent="0.25">
      <c r="A4651" s="53" t="inlineStr">
        <is>
          <t>LAB-004650</t>
        </is>
      </c>
      <c r="B4651" s="53" t="inlineStr">
        <is>
          <t>WP-02043</t>
        </is>
      </c>
      <c r="C4651" s="53" t="inlineStr">
        <is>
          <t>TECH-039</t>
        </is>
      </c>
      <c r="D4651" s="53" t="inlineStr">
        <is>
          <t>Hydraulics</t>
        </is>
      </c>
      <c r="E4651" s="53" t="inlineStr">
        <is>
          <t>2025-10-28</t>
        </is>
      </c>
      <c r="F4651" s="53">
        <v>11.3</v>
      </c>
      <c r="G4651" s="53">
        <v>3.3</v>
      </c>
      <c r="H4651" s="51" t="str">
        <f>TEXT(tblLaborEntries[[#This Row],[Work date serial]]-WEEKDAY(tblLaborEntries[[#This Row],[Work date serial]],3),"yyyy-mm-dd")</f>
        <v>2025-10-27</v>
      </c>
      <c r="I4651" s="64">
        <f>DATEVALUE(tblLaborEntries[[#This Row],[Work date]])</f>
        <v>45958.0</v>
      </c>
    </row>
    <row r="4652" spans="1:9" ht="15" x14ac:dyDescent="0.25">
      <c r="A4652" s="53" t="inlineStr">
        <is>
          <t>LAB-004651</t>
        </is>
      </c>
      <c r="B4652" s="53" t="inlineStr">
        <is>
          <t>WP-02044</t>
        </is>
      </c>
      <c r="C4652" s="53" t="inlineStr">
        <is>
          <t>TECH-030</t>
        </is>
      </c>
      <c r="D4652" s="53" t="inlineStr">
        <is>
          <t>Powerplant</t>
        </is>
      </c>
      <c r="E4652" s="53" t="inlineStr">
        <is>
          <t>2025-01-17</t>
        </is>
      </c>
      <c r="F4652" s="53">
        <v>3.2</v>
      </c>
      <c r="G4652" s="53">
        <v>1.5</v>
      </c>
      <c r="H4652" s="51" t="str">
        <f>TEXT(tblLaborEntries[[#This Row],[Work date serial]]-WEEKDAY(tblLaborEntries[[#This Row],[Work date serial]],3),"yyyy-mm-dd")</f>
        <v>2025-01-13</v>
      </c>
      <c r="I4652" s="64">
        <f>DATEVALUE(tblLaborEntries[[#This Row],[Work date]])</f>
        <v>45674.0</v>
      </c>
    </row>
    <row r="4653" spans="1:9" ht="15" x14ac:dyDescent="0.25">
      <c r="A4653" s="53" t="inlineStr">
        <is>
          <t>LAB-004652</t>
        </is>
      </c>
      <c r="B4653" s="53" t="inlineStr">
        <is>
          <t>WP-02044</t>
        </is>
      </c>
      <c r="C4653" s="53" t="inlineStr">
        <is>
          <t>TECH-036</t>
        </is>
      </c>
      <c r="D4653" s="53" t="inlineStr">
        <is>
          <t>Powerplant</t>
        </is>
      </c>
      <c r="E4653" s="53" t="inlineStr">
        <is>
          <t>2025-01-18</t>
        </is>
      </c>
      <c r="F4653" s="53">
        <v>4.7</v>
      </c>
      <c r="G4653" s="53">
        <v>0</v>
      </c>
      <c r="H4653" s="51" t="str">
        <f>TEXT(tblLaborEntries[[#This Row],[Work date serial]]-WEEKDAY(tblLaborEntries[[#This Row],[Work date serial]],3),"yyyy-mm-dd")</f>
        <v>2025-01-13</v>
      </c>
      <c r="I4653" s="64">
        <f>DATEVALUE(tblLaborEntries[[#This Row],[Work date]])</f>
        <v>45675.0</v>
      </c>
    </row>
    <row r="4654" spans="1:9" ht="15" x14ac:dyDescent="0.25">
      <c r="A4654" s="53" t="inlineStr">
        <is>
          <t>LAB-004653</t>
        </is>
      </c>
      <c r="B4654" s="53" t="inlineStr">
        <is>
          <t>WP-02045</t>
        </is>
      </c>
      <c r="C4654" s="53" t="inlineStr">
        <is>
          <t>TECH-008</t>
        </is>
      </c>
      <c r="D4654" s="53" t="inlineStr">
        <is>
          <t>Avionics</t>
        </is>
      </c>
      <c r="E4654" s="53" t="inlineStr">
        <is>
          <t>2024-07-26</t>
        </is>
      </c>
      <c r="F4654" s="53">
        <v>0.2</v>
      </c>
      <c r="G4654" s="53">
        <v>0</v>
      </c>
      <c r="H4654" s="51" t="str">
        <f>TEXT(tblLaborEntries[[#This Row],[Work date serial]]-WEEKDAY(tblLaborEntries[[#This Row],[Work date serial]],3),"yyyy-mm-dd")</f>
        <v>2024-07-22</v>
      </c>
      <c r="I4654" s="64">
        <f>DATEVALUE(tblLaborEntries[[#This Row],[Work date]])</f>
        <v>45499.0</v>
      </c>
    </row>
    <row r="4655" spans="1:9" ht="15" x14ac:dyDescent="0.25">
      <c r="A4655" s="53" t="inlineStr">
        <is>
          <t>LAB-004654</t>
        </is>
      </c>
      <c r="B4655" s="53" t="inlineStr">
        <is>
          <t>WP-02045</t>
        </is>
      </c>
      <c r="C4655" s="53" t="inlineStr">
        <is>
          <t>TECH-032</t>
        </is>
      </c>
      <c r="D4655" s="53" t="inlineStr">
        <is>
          <t>Avionics</t>
        </is>
      </c>
      <c r="E4655" s="53" t="inlineStr">
        <is>
          <t>2024-07-26</t>
        </is>
      </c>
      <c r="F4655" s="53">
        <v>9.1</v>
      </c>
      <c r="G4655" s="53">
        <v>4</v>
      </c>
      <c r="H4655" s="51" t="str">
        <f>TEXT(tblLaborEntries[[#This Row],[Work date serial]]-WEEKDAY(tblLaborEntries[[#This Row],[Work date serial]],3),"yyyy-mm-dd")</f>
        <v>2024-07-22</v>
      </c>
      <c r="I4655" s="64">
        <f>DATEVALUE(tblLaborEntries[[#This Row],[Work date]])</f>
        <v>45499.0</v>
      </c>
    </row>
    <row r="4656" spans="1:9" ht="15" x14ac:dyDescent="0.25">
      <c r="A4656" s="53" t="inlineStr">
        <is>
          <t>LAB-004655</t>
        </is>
      </c>
      <c r="B4656" s="53" t="inlineStr">
        <is>
          <t>WP-02046</t>
        </is>
      </c>
      <c r="C4656" s="53" t="inlineStr">
        <is>
          <t>TECH-002</t>
        </is>
      </c>
      <c r="D4656" s="53" t="inlineStr">
        <is>
          <t>Avionics</t>
        </is>
      </c>
      <c r="E4656" s="53" t="inlineStr">
        <is>
          <t>2024-01-25</t>
        </is>
      </c>
      <c r="F4656" s="53">
        <v>7.7</v>
      </c>
      <c r="G4656" s="53">
        <v>0</v>
      </c>
      <c r="H4656" s="51" t="str">
        <f>TEXT(tblLaborEntries[[#This Row],[Work date serial]]-WEEKDAY(tblLaborEntries[[#This Row],[Work date serial]],3),"yyyy-mm-dd")</f>
        <v>2024-01-22</v>
      </c>
      <c r="I4656" s="64">
        <f>DATEVALUE(tblLaborEntries[[#This Row],[Work date]])</f>
        <v>45316.0</v>
      </c>
    </row>
    <row r="4657" spans="1:9" ht="15" x14ac:dyDescent="0.25">
      <c r="A4657" s="53" t="inlineStr">
        <is>
          <t>LAB-004656</t>
        </is>
      </c>
      <c r="B4657" s="53" t="inlineStr">
        <is>
          <t>WP-02046</t>
        </is>
      </c>
      <c r="C4657" s="53" t="inlineStr">
        <is>
          <t>TECH-020</t>
        </is>
      </c>
      <c r="D4657" s="53" t="inlineStr">
        <is>
          <t>Avionics</t>
        </is>
      </c>
      <c r="E4657" s="53" t="inlineStr">
        <is>
          <t>2024-01-25</t>
        </is>
      </c>
      <c r="F4657" s="53">
        <v>12</v>
      </c>
      <c r="G4657" s="53">
        <v>4</v>
      </c>
      <c r="H4657" s="51" t="str">
        <f>TEXT(tblLaborEntries[[#This Row],[Work date serial]]-WEEKDAY(tblLaborEntries[[#This Row],[Work date serial]],3),"yyyy-mm-dd")</f>
        <v>2024-01-22</v>
      </c>
      <c r="I4657" s="64">
        <f>DATEVALUE(tblLaborEntries[[#This Row],[Work date]])</f>
        <v>45316.0</v>
      </c>
    </row>
    <row r="4658" spans="1:9" ht="15" x14ac:dyDescent="0.25">
      <c r="A4658" s="53" t="inlineStr">
        <is>
          <t>LAB-004657</t>
        </is>
      </c>
      <c r="B4658" s="53" t="inlineStr">
        <is>
          <t>WP-02047</t>
        </is>
      </c>
      <c r="C4658" s="53" t="inlineStr">
        <is>
          <t>TECH-026</t>
        </is>
      </c>
      <c r="D4658" s="53" t="inlineStr">
        <is>
          <t>Avionics</t>
        </is>
      </c>
      <c r="E4658" s="53" t="inlineStr">
        <is>
          <t>2025-02-25</t>
        </is>
      </c>
      <c r="F4658" s="53">
        <v>5</v>
      </c>
      <c r="G4658" s="53">
        <v>0</v>
      </c>
      <c r="H4658" s="51" t="str">
        <f>TEXT(tblLaborEntries[[#This Row],[Work date serial]]-WEEKDAY(tblLaborEntries[[#This Row],[Work date serial]],3),"yyyy-mm-dd")</f>
        <v>2025-02-24</v>
      </c>
      <c r="I4658" s="64">
        <f>DATEVALUE(tblLaborEntries[[#This Row],[Work date]])</f>
        <v>45713.0</v>
      </c>
    </row>
    <row r="4659" spans="1:9" ht="15" x14ac:dyDescent="0.25">
      <c r="A4659" s="53" t="inlineStr">
        <is>
          <t>LAB-004658</t>
        </is>
      </c>
      <c r="B4659" s="53" t="inlineStr">
        <is>
          <t>WP-02048</t>
        </is>
      </c>
      <c r="C4659" s="53" t="inlineStr">
        <is>
          <t>TECH-005</t>
        </is>
      </c>
      <c r="D4659" s="53" t="inlineStr">
        <is>
          <t>Structures</t>
        </is>
      </c>
      <c r="E4659" s="53" t="inlineStr">
        <is>
          <t>2024-04-19</t>
        </is>
      </c>
      <c r="F4659" s="53">
        <v>12</v>
      </c>
      <c r="G4659" s="53">
        <v>4</v>
      </c>
      <c r="H4659" s="51" t="str">
        <f>TEXT(tblLaborEntries[[#This Row],[Work date serial]]-WEEKDAY(tblLaborEntries[[#This Row],[Work date serial]],3),"yyyy-mm-dd")</f>
        <v>2024-04-15</v>
      </c>
      <c r="I4659" s="64">
        <f>DATEVALUE(tblLaborEntries[[#This Row],[Work date]])</f>
        <v>45401.0</v>
      </c>
    </row>
    <row r="4660" spans="1:9" ht="15" x14ac:dyDescent="0.25">
      <c r="A4660" s="53" t="inlineStr">
        <is>
          <t>LAB-004659</t>
        </is>
      </c>
      <c r="B4660" s="53" t="inlineStr">
        <is>
          <t>WP-02048</t>
        </is>
      </c>
      <c r="C4660" s="53" t="inlineStr">
        <is>
          <t>TECH-011</t>
        </is>
      </c>
      <c r="D4660" s="53" t="inlineStr">
        <is>
          <t>Structures</t>
        </is>
      </c>
      <c r="E4660" s="53" t="inlineStr">
        <is>
          <t>2024-04-19</t>
        </is>
      </c>
      <c r="F4660" s="53">
        <v>2.5</v>
      </c>
      <c r="G4660" s="53">
        <v>0</v>
      </c>
      <c r="H4660" s="51" t="str">
        <f>TEXT(tblLaborEntries[[#This Row],[Work date serial]]-WEEKDAY(tblLaborEntries[[#This Row],[Work date serial]],3),"yyyy-mm-dd")</f>
        <v>2024-04-15</v>
      </c>
      <c r="I4660" s="64">
        <f>DATEVALUE(tblLaborEntries[[#This Row],[Work date]])</f>
        <v>45401.0</v>
      </c>
    </row>
    <row r="4661" spans="1:9" ht="15" x14ac:dyDescent="0.25">
      <c r="A4661" s="53" t="inlineStr">
        <is>
          <t>LAB-004660</t>
        </is>
      </c>
      <c r="B4661" s="53" t="inlineStr">
        <is>
          <t>WP-02048</t>
        </is>
      </c>
      <c r="C4661" s="53" t="inlineStr">
        <is>
          <t>TECH-011</t>
        </is>
      </c>
      <c r="D4661" s="53" t="inlineStr">
        <is>
          <t>Structures</t>
        </is>
      </c>
      <c r="E4661" s="53" t="inlineStr">
        <is>
          <t>2024-04-20</t>
        </is>
      </c>
      <c r="F4661" s="53">
        <v>0.1</v>
      </c>
      <c r="G4661" s="53">
        <v>0</v>
      </c>
      <c r="H4661" s="51" t="str">
        <f>TEXT(tblLaborEntries[[#This Row],[Work date serial]]-WEEKDAY(tblLaborEntries[[#This Row],[Work date serial]],3),"yyyy-mm-dd")</f>
        <v>2024-04-15</v>
      </c>
      <c r="I4661" s="64">
        <f>DATEVALUE(tblLaborEntries[[#This Row],[Work date]])</f>
        <v>45402.0</v>
      </c>
    </row>
    <row r="4662" spans="1:9" ht="15" x14ac:dyDescent="0.25">
      <c r="A4662" s="53" t="inlineStr">
        <is>
          <t>LAB-004661</t>
        </is>
      </c>
      <c r="B4662" s="53" t="inlineStr">
        <is>
          <t>WP-02048</t>
        </is>
      </c>
      <c r="C4662" s="53" t="inlineStr">
        <is>
          <t>TECH-029</t>
        </is>
      </c>
      <c r="D4662" s="53" t="inlineStr">
        <is>
          <t>Structures</t>
        </is>
      </c>
      <c r="E4662" s="53" t="inlineStr">
        <is>
          <t>2024-04-20</t>
        </is>
      </c>
      <c r="F4662" s="53">
        <v>12</v>
      </c>
      <c r="G4662" s="53">
        <v>4</v>
      </c>
      <c r="H4662" s="51" t="str">
        <f>TEXT(tblLaborEntries[[#This Row],[Work date serial]]-WEEKDAY(tblLaborEntries[[#This Row],[Work date serial]],3),"yyyy-mm-dd")</f>
        <v>2024-04-15</v>
      </c>
      <c r="I4662" s="64">
        <f>DATEVALUE(tblLaborEntries[[#This Row],[Work date]])</f>
        <v>45402.0</v>
      </c>
    </row>
    <row r="4663" spans="1:9" ht="15" x14ac:dyDescent="0.25">
      <c r="A4663" s="53" t="inlineStr">
        <is>
          <t>LAB-004662</t>
        </is>
      </c>
      <c r="B4663" s="53" t="inlineStr">
        <is>
          <t>WP-02048</t>
        </is>
      </c>
      <c r="C4663" s="53" t="inlineStr">
        <is>
          <t>TECH-017</t>
        </is>
      </c>
      <c r="D4663" s="53" t="inlineStr">
        <is>
          <t>Structures</t>
        </is>
      </c>
      <c r="E4663" s="53" t="inlineStr">
        <is>
          <t>2024-04-21</t>
        </is>
      </c>
      <c r="F4663" s="53">
        <v>11.4</v>
      </c>
      <c r="G4663" s="53">
        <v>3.4</v>
      </c>
      <c r="H4663" s="51" t="str">
        <f>TEXT(tblLaborEntries[[#This Row],[Work date serial]]-WEEKDAY(tblLaborEntries[[#This Row],[Work date serial]],3),"yyyy-mm-dd")</f>
        <v>2024-04-15</v>
      </c>
      <c r="I4663" s="64">
        <f>DATEVALUE(tblLaborEntries[[#This Row],[Work date]])</f>
        <v>45403.0</v>
      </c>
    </row>
    <row r="4664" spans="1:9" ht="15" x14ac:dyDescent="0.25">
      <c r="A4664" s="53" t="inlineStr">
        <is>
          <t>LAB-004663</t>
        </is>
      </c>
      <c r="B4664" s="53" t="inlineStr">
        <is>
          <t>WP-02049</t>
        </is>
      </c>
      <c r="C4664" s="53" t="inlineStr">
        <is>
          <t>TECH-002</t>
        </is>
      </c>
      <c r="D4664" s="53" t="inlineStr">
        <is>
          <t>Avionics</t>
        </is>
      </c>
      <c r="E4664" s="53" t="inlineStr">
        <is>
          <t>2025-04-09</t>
        </is>
      </c>
      <c r="F4664" s="53">
        <v>6.6</v>
      </c>
      <c r="G4664" s="53">
        <v>0</v>
      </c>
      <c r="H4664" s="51" t="str">
        <f>TEXT(tblLaborEntries[[#This Row],[Work date serial]]-WEEKDAY(tblLaborEntries[[#This Row],[Work date serial]],3),"yyyy-mm-dd")</f>
        <v>2025-04-07</v>
      </c>
      <c r="I4664" s="64">
        <f>DATEVALUE(tblLaborEntries[[#This Row],[Work date]])</f>
        <v>45756.0</v>
      </c>
    </row>
    <row r="4665" spans="1:9" ht="15" x14ac:dyDescent="0.25">
      <c r="A4665" s="53" t="inlineStr">
        <is>
          <t>LAB-004664</t>
        </is>
      </c>
      <c r="B4665" s="53" t="inlineStr">
        <is>
          <t>WP-02049</t>
        </is>
      </c>
      <c r="C4665" s="53" t="inlineStr">
        <is>
          <t>TECH-026</t>
        </is>
      </c>
      <c r="D4665" s="53" t="inlineStr">
        <is>
          <t>Avionics</t>
        </is>
      </c>
      <c r="E4665" s="53" t="inlineStr">
        <is>
          <t>2025-04-10</t>
        </is>
      </c>
      <c r="F4665" s="53">
        <v>6.4</v>
      </c>
      <c r="G4665" s="53">
        <v>0</v>
      </c>
      <c r="H4665" s="51" t="str">
        <f>TEXT(tblLaborEntries[[#This Row],[Work date serial]]-WEEKDAY(tblLaborEntries[[#This Row],[Work date serial]],3),"yyyy-mm-dd")</f>
        <v>2025-04-07</v>
      </c>
      <c r="I4665" s="64">
        <f>DATEVALUE(tblLaborEntries[[#This Row],[Work date]])</f>
        <v>45757.0</v>
      </c>
    </row>
    <row r="4666" spans="1:9" ht="15" x14ac:dyDescent="0.25">
      <c r="A4666" s="53" t="inlineStr">
        <is>
          <t>LAB-004665</t>
        </is>
      </c>
      <c r="B4666" s="53" t="inlineStr">
        <is>
          <t>WP-02049</t>
        </is>
      </c>
      <c r="C4666" s="53" t="inlineStr">
        <is>
          <t>TECH-044</t>
        </is>
      </c>
      <c r="D4666" s="53" t="inlineStr">
        <is>
          <t>Avionics</t>
        </is>
      </c>
      <c r="E4666" s="53" t="inlineStr">
        <is>
          <t>2025-04-11</t>
        </is>
      </c>
      <c r="F4666" s="53">
        <v>10</v>
      </c>
      <c r="G4666" s="53">
        <v>2</v>
      </c>
      <c r="H4666" s="51" t="str">
        <f>TEXT(tblLaborEntries[[#This Row],[Work date serial]]-WEEKDAY(tblLaborEntries[[#This Row],[Work date serial]],3),"yyyy-mm-dd")</f>
        <v>2025-04-07</v>
      </c>
      <c r="I4666" s="64">
        <f>DATEVALUE(tblLaborEntries[[#This Row],[Work date]])</f>
        <v>45758.0</v>
      </c>
    </row>
    <row r="4667" spans="1:9" ht="15" x14ac:dyDescent="0.25">
      <c r="A4667" s="53" t="inlineStr">
        <is>
          <t>LAB-004666</t>
        </is>
      </c>
      <c r="B4667" s="53" t="inlineStr">
        <is>
          <t>WP-02050</t>
        </is>
      </c>
      <c r="C4667" s="53" t="inlineStr">
        <is>
          <t>TECH-009</t>
        </is>
      </c>
      <c r="D4667" s="53" t="inlineStr">
        <is>
          <t>Hydraulics</t>
        </is>
      </c>
      <c r="E4667" s="53" t="inlineStr">
        <is>
          <t>2025-01-24</t>
        </is>
      </c>
      <c r="F4667" s="53">
        <v>3.7</v>
      </c>
      <c r="G4667" s="53">
        <v>0</v>
      </c>
      <c r="H4667" s="51" t="str">
        <f>TEXT(tblLaborEntries[[#This Row],[Work date serial]]-WEEKDAY(tblLaborEntries[[#This Row],[Work date serial]],3),"yyyy-mm-dd")</f>
        <v>2025-01-20</v>
      </c>
      <c r="I4667" s="64">
        <f>DATEVALUE(tblLaborEntries[[#This Row],[Work date]])</f>
        <v>45681.0</v>
      </c>
    </row>
    <row r="4668" spans="1:9" ht="15" x14ac:dyDescent="0.25">
      <c r="A4668" s="53" t="inlineStr">
        <is>
          <t>LAB-004667</t>
        </is>
      </c>
      <c r="B4668" s="53" t="inlineStr">
        <is>
          <t>WP-02050</t>
        </is>
      </c>
      <c r="C4668" s="53" t="inlineStr">
        <is>
          <t>TECH-021</t>
        </is>
      </c>
      <c r="D4668" s="53" t="inlineStr">
        <is>
          <t>Hydraulics</t>
        </is>
      </c>
      <c r="E4668" s="53" t="inlineStr">
        <is>
          <t>2025-01-25</t>
        </is>
      </c>
      <c r="F4668" s="53">
        <v>4.5</v>
      </c>
      <c r="G4668" s="53">
        <v>0</v>
      </c>
      <c r="H4668" s="51" t="str">
        <f>TEXT(tblLaborEntries[[#This Row],[Work date serial]]-WEEKDAY(tblLaborEntries[[#This Row],[Work date serial]],3),"yyyy-mm-dd")</f>
        <v>2025-01-20</v>
      </c>
      <c r="I4668" s="64">
        <f>DATEVALUE(tblLaborEntries[[#This Row],[Work date]])</f>
        <v>45682.0</v>
      </c>
    </row>
    <row r="4669" spans="1:9" ht="15" x14ac:dyDescent="0.25">
      <c r="A4669" s="53" t="inlineStr">
        <is>
          <t>LAB-004668</t>
        </is>
      </c>
      <c r="B4669" s="53" t="inlineStr">
        <is>
          <t>WP-02050</t>
        </is>
      </c>
      <c r="C4669" s="53" t="inlineStr">
        <is>
          <t>TECH-051</t>
        </is>
      </c>
      <c r="D4669" s="53" t="inlineStr">
        <is>
          <t>Hydraulics</t>
        </is>
      </c>
      <c r="E4669" s="53" t="inlineStr">
        <is>
          <t>2025-01-26</t>
        </is>
      </c>
      <c r="F4669" s="53">
        <v>5</v>
      </c>
      <c r="G4669" s="53">
        <v>0</v>
      </c>
      <c r="H4669" s="51" t="str">
        <f>TEXT(tblLaborEntries[[#This Row],[Work date serial]]-WEEKDAY(tblLaborEntries[[#This Row],[Work date serial]],3),"yyyy-mm-dd")</f>
        <v>2025-01-20</v>
      </c>
      <c r="I4669" s="64">
        <f>DATEVALUE(tblLaborEntries[[#This Row],[Work date]])</f>
        <v>45683.0</v>
      </c>
    </row>
    <row r="4670" spans="1:9" ht="15" x14ac:dyDescent="0.25">
      <c r="A4670" s="53" t="inlineStr">
        <is>
          <t>LAB-004669</t>
        </is>
      </c>
      <c r="B4670" s="53" t="inlineStr">
        <is>
          <t>WP-02051</t>
        </is>
      </c>
      <c r="C4670" s="53" t="inlineStr">
        <is>
          <t>TECH-061</t>
        </is>
      </c>
      <c r="D4670" s="53" t="inlineStr">
        <is>
          <t>Airframe</t>
        </is>
      </c>
      <c r="E4670" s="53" t="inlineStr">
        <is>
          <t>2025-01-05</t>
        </is>
      </c>
      <c r="F4670" s="53">
        <v>1.6</v>
      </c>
      <c r="G4670" s="53">
        <v>0</v>
      </c>
      <c r="H4670" s="51" t="str">
        <f>TEXT(tblLaborEntries[[#This Row],[Work date serial]]-WEEKDAY(tblLaborEntries[[#This Row],[Work date serial]],3),"yyyy-mm-dd")</f>
        <v>2024-12-30</v>
      </c>
      <c r="I4670" s="64">
        <f>DATEVALUE(tblLaborEntries[[#This Row],[Work date]])</f>
        <v>45662.0</v>
      </c>
    </row>
    <row r="4671" spans="1:9" ht="15" x14ac:dyDescent="0.25">
      <c r="A4671" s="53" t="inlineStr">
        <is>
          <t>LAB-004670</t>
        </is>
      </c>
      <c r="B4671" s="53" t="inlineStr">
        <is>
          <t>WP-02051</t>
        </is>
      </c>
      <c r="C4671" s="53" t="inlineStr">
        <is>
          <t>TECH-013</t>
        </is>
      </c>
      <c r="D4671" s="53" t="inlineStr">
        <is>
          <t>Airframe</t>
        </is>
      </c>
      <c r="E4671" s="53" t="inlineStr">
        <is>
          <t>2025-01-06</t>
        </is>
      </c>
      <c r="F4671" s="53">
        <v>1.3</v>
      </c>
      <c r="G4671" s="53">
        <v>0</v>
      </c>
      <c r="H4671" s="51" t="str">
        <f>TEXT(tblLaborEntries[[#This Row],[Work date serial]]-WEEKDAY(tblLaborEntries[[#This Row],[Work date serial]],3),"yyyy-mm-dd")</f>
        <v>2025-01-06</v>
      </c>
      <c r="I4671" s="64">
        <f>DATEVALUE(tblLaborEntries[[#This Row],[Work date]])</f>
        <v>45663.0</v>
      </c>
    </row>
    <row r="4672" spans="1:9" ht="15" x14ac:dyDescent="0.25">
      <c r="A4672" s="53" t="inlineStr">
        <is>
          <t>LAB-004671</t>
        </is>
      </c>
      <c r="B4672" s="53" t="inlineStr">
        <is>
          <t>WP-02052</t>
        </is>
      </c>
      <c r="C4672" s="53" t="inlineStr">
        <is>
          <t>TECH-046</t>
        </is>
      </c>
      <c r="D4672" s="53" t="inlineStr">
        <is>
          <t>Electrical</t>
        </is>
      </c>
      <c r="E4672" s="53" t="inlineStr">
        <is>
          <t>2025-02-24</t>
        </is>
      </c>
      <c r="F4672" s="53">
        <v>3.7</v>
      </c>
      <c r="G4672" s="53">
        <v>0</v>
      </c>
      <c r="H4672" s="51" t="str">
        <f>TEXT(tblLaborEntries[[#This Row],[Work date serial]]-WEEKDAY(tblLaborEntries[[#This Row],[Work date serial]],3),"yyyy-mm-dd")</f>
        <v>2025-02-24</v>
      </c>
      <c r="I4672" s="64">
        <f>DATEVALUE(tblLaborEntries[[#This Row],[Work date]])</f>
        <v>45712.0</v>
      </c>
    </row>
    <row r="4673" spans="1:9" ht="15" x14ac:dyDescent="0.25">
      <c r="A4673" s="53" t="inlineStr">
        <is>
          <t>LAB-004672</t>
        </is>
      </c>
      <c r="B4673" s="53" t="inlineStr">
        <is>
          <t>WP-02052</t>
        </is>
      </c>
      <c r="C4673" s="53" t="inlineStr">
        <is>
          <t>TECH-052</t>
        </is>
      </c>
      <c r="D4673" s="53" t="inlineStr">
        <is>
          <t>Electrical</t>
        </is>
      </c>
      <c r="E4673" s="53" t="inlineStr">
        <is>
          <t>2025-02-25</t>
        </is>
      </c>
      <c r="F4673" s="53">
        <v>5.6</v>
      </c>
      <c r="G4673" s="53">
        <v>0</v>
      </c>
      <c r="H4673" s="51" t="str">
        <f>TEXT(tblLaborEntries[[#This Row],[Work date serial]]-WEEKDAY(tblLaborEntries[[#This Row],[Work date serial]],3),"yyyy-mm-dd")</f>
        <v>2025-02-24</v>
      </c>
      <c r="I4673" s="64">
        <f>DATEVALUE(tblLaborEntries[[#This Row],[Work date]])</f>
        <v>45713.0</v>
      </c>
    </row>
    <row r="4674" spans="1:9" ht="15" x14ac:dyDescent="0.25">
      <c r="A4674" s="53" t="inlineStr">
        <is>
          <t>LAB-004673</t>
        </is>
      </c>
      <c r="B4674" s="53" t="inlineStr">
        <is>
          <t>WP-02052</t>
        </is>
      </c>
      <c r="C4674" s="53" t="inlineStr">
        <is>
          <t>TECH-004</t>
        </is>
      </c>
      <c r="D4674" s="53" t="inlineStr">
        <is>
          <t>Electrical</t>
        </is>
      </c>
      <c r="E4674" s="53" t="inlineStr">
        <is>
          <t>2025-02-26</t>
        </is>
      </c>
      <c r="F4674" s="53">
        <v>3.9</v>
      </c>
      <c r="G4674" s="53">
        <v>0</v>
      </c>
      <c r="H4674" s="51" t="str">
        <f>TEXT(tblLaborEntries[[#This Row],[Work date serial]]-WEEKDAY(tblLaborEntries[[#This Row],[Work date serial]],3),"yyyy-mm-dd")</f>
        <v>2025-02-24</v>
      </c>
      <c r="I4674" s="64">
        <f>DATEVALUE(tblLaborEntries[[#This Row],[Work date]])</f>
        <v>45714.0</v>
      </c>
    </row>
    <row r="4675" spans="1:9" ht="15" x14ac:dyDescent="0.25">
      <c r="A4675" s="53" t="inlineStr">
        <is>
          <t>LAB-004674</t>
        </is>
      </c>
      <c r="B4675" s="53" t="inlineStr">
        <is>
          <t>WP-02053</t>
        </is>
      </c>
      <c r="C4675" s="53" t="inlineStr">
        <is>
          <t>TECH-026</t>
        </is>
      </c>
      <c r="D4675" s="53" t="inlineStr">
        <is>
          <t>Avionics</t>
        </is>
      </c>
      <c r="E4675" s="53" t="inlineStr">
        <is>
          <t>2025-08-21</t>
        </is>
      </c>
      <c r="F4675" s="53">
        <v>5.9</v>
      </c>
      <c r="G4675" s="53">
        <v>0</v>
      </c>
      <c r="H4675" s="51" t="str">
        <f>TEXT(tblLaborEntries[[#This Row],[Work date serial]]-WEEKDAY(tblLaborEntries[[#This Row],[Work date serial]],3),"yyyy-mm-dd")</f>
        <v>2025-08-18</v>
      </c>
      <c r="I4675" s="64">
        <f>DATEVALUE(tblLaborEntries[[#This Row],[Work date]])</f>
        <v>45890.0</v>
      </c>
    </row>
    <row r="4676" spans="1:9" ht="15" x14ac:dyDescent="0.25">
      <c r="A4676" s="53" t="inlineStr">
        <is>
          <t>LAB-004675</t>
        </is>
      </c>
      <c r="B4676" s="53" t="inlineStr">
        <is>
          <t>WP-02054</t>
        </is>
      </c>
      <c r="C4676" s="53" t="inlineStr">
        <is>
          <t>TECH-055</t>
        </is>
      </c>
      <c r="D4676" s="53" t="inlineStr">
        <is>
          <t>Airframe</t>
        </is>
      </c>
      <c r="E4676" s="53" t="inlineStr">
        <is>
          <t>2025-01-24</t>
        </is>
      </c>
      <c r="F4676" s="53">
        <v>3.4</v>
      </c>
      <c r="G4676" s="53">
        <v>0</v>
      </c>
      <c r="H4676" s="51" t="str">
        <f>TEXT(tblLaborEntries[[#This Row],[Work date serial]]-WEEKDAY(tblLaborEntries[[#This Row],[Work date serial]],3),"yyyy-mm-dd")</f>
        <v>2025-01-20</v>
      </c>
      <c r="I4676" s="64">
        <f>DATEVALUE(tblLaborEntries[[#This Row],[Work date]])</f>
        <v>45681.0</v>
      </c>
    </row>
    <row r="4677" spans="1:9" ht="15" x14ac:dyDescent="0.25">
      <c r="A4677" s="53" t="inlineStr">
        <is>
          <t>LAB-004676</t>
        </is>
      </c>
      <c r="B4677" s="53" t="inlineStr">
        <is>
          <t>WP-02055</t>
        </is>
      </c>
      <c r="C4677" s="53" t="inlineStr">
        <is>
          <t>TECH-072</t>
        </is>
      </c>
      <c r="D4677" s="53" t="inlineStr">
        <is>
          <t>Powerplant</t>
        </is>
      </c>
      <c r="E4677" s="53" t="inlineStr">
        <is>
          <t>2025-04-05</t>
        </is>
      </c>
      <c r="F4677" s="53">
        <v>5.3</v>
      </c>
      <c r="G4677" s="53">
        <v>0</v>
      </c>
      <c r="H4677" s="51" t="str">
        <f>TEXT(tblLaborEntries[[#This Row],[Work date serial]]-WEEKDAY(tblLaborEntries[[#This Row],[Work date serial]],3),"yyyy-mm-dd")</f>
        <v>2025-03-31</v>
      </c>
      <c r="I4677" s="64">
        <f>DATEVALUE(tblLaborEntries[[#This Row],[Work date]])</f>
        <v>45752.0</v>
      </c>
    </row>
    <row r="4678" spans="1:9" ht="15" x14ac:dyDescent="0.25">
      <c r="A4678" s="53" t="inlineStr">
        <is>
          <t>LAB-004677</t>
        </is>
      </c>
      <c r="B4678" s="53" t="inlineStr">
        <is>
          <t>WP-02055</t>
        </is>
      </c>
      <c r="C4678" s="53" t="inlineStr">
        <is>
          <t>TECH-072</t>
        </is>
      </c>
      <c r="D4678" s="53" t="inlineStr">
        <is>
          <t>Powerplant</t>
        </is>
      </c>
      <c r="E4678" s="53" t="inlineStr">
        <is>
          <t>2025-04-06</t>
        </is>
      </c>
      <c r="F4678" s="53">
        <v>6.8</v>
      </c>
      <c r="G4678" s="53">
        <v>0</v>
      </c>
      <c r="H4678" s="51" t="str">
        <f>TEXT(tblLaborEntries[[#This Row],[Work date serial]]-WEEKDAY(tblLaborEntries[[#This Row],[Work date serial]],3),"yyyy-mm-dd")</f>
        <v>2025-03-31</v>
      </c>
      <c r="I4678" s="64">
        <f>DATEVALUE(tblLaborEntries[[#This Row],[Work date]])</f>
        <v>45753.0</v>
      </c>
    </row>
    <row r="4679" spans="1:9" ht="15" x14ac:dyDescent="0.25">
      <c r="A4679" s="53" t="inlineStr">
        <is>
          <t>LAB-004678</t>
        </is>
      </c>
      <c r="B4679" s="53" t="inlineStr">
        <is>
          <t>WP-02055</t>
        </is>
      </c>
      <c r="C4679" s="53" t="inlineStr">
        <is>
          <t>TECH-006</t>
        </is>
      </c>
      <c r="D4679" s="53" t="inlineStr">
        <is>
          <t>Powerplant</t>
        </is>
      </c>
      <c r="E4679" s="53" t="inlineStr">
        <is>
          <t>2025-04-07</t>
        </is>
      </c>
      <c r="F4679" s="53">
        <v>4.7</v>
      </c>
      <c r="G4679" s="53">
        <v>0</v>
      </c>
      <c r="H4679" s="51" t="str">
        <f>TEXT(tblLaborEntries[[#This Row],[Work date serial]]-WEEKDAY(tblLaborEntries[[#This Row],[Work date serial]],3),"yyyy-mm-dd")</f>
        <v>2025-04-07</v>
      </c>
      <c r="I4679" s="64">
        <f>DATEVALUE(tblLaborEntries[[#This Row],[Work date]])</f>
        <v>45754.0</v>
      </c>
    </row>
    <row r="4680" spans="1:9" ht="15" x14ac:dyDescent="0.25">
      <c r="A4680" s="53" t="inlineStr">
        <is>
          <t>LAB-004679</t>
        </is>
      </c>
      <c r="B4680" s="53" t="inlineStr">
        <is>
          <t>WP-02056</t>
        </is>
      </c>
      <c r="C4680" s="53" t="inlineStr">
        <is>
          <t>TECH-037</t>
        </is>
      </c>
      <c r="D4680" s="53" t="inlineStr">
        <is>
          <t>Airframe</t>
        </is>
      </c>
      <c r="E4680" s="53" t="inlineStr">
        <is>
          <t>2024-02-06</t>
        </is>
      </c>
      <c r="F4680" s="53">
        <v>1.3</v>
      </c>
      <c r="G4680" s="53">
        <v>0</v>
      </c>
      <c r="H4680" s="51" t="str">
        <f>TEXT(tblLaborEntries[[#This Row],[Work date serial]]-WEEKDAY(tblLaborEntries[[#This Row],[Work date serial]],3),"yyyy-mm-dd")</f>
        <v>2024-02-05</v>
      </c>
      <c r="I4680" s="64">
        <f>DATEVALUE(tblLaborEntries[[#This Row],[Work date]])</f>
        <v>45328.0</v>
      </c>
    </row>
    <row r="4681" spans="1:9" ht="15" x14ac:dyDescent="0.25">
      <c r="A4681" s="53" t="inlineStr">
        <is>
          <t>LAB-004680</t>
        </is>
      </c>
      <c r="B4681" s="53" t="inlineStr">
        <is>
          <t>WP-02056</t>
        </is>
      </c>
      <c r="C4681" s="53" t="inlineStr">
        <is>
          <t>TECH-061</t>
        </is>
      </c>
      <c r="D4681" s="53" t="inlineStr">
        <is>
          <t>Airframe</t>
        </is>
      </c>
      <c r="E4681" s="53" t="inlineStr">
        <is>
          <t>2024-02-07</t>
        </is>
      </c>
      <c r="F4681" s="53">
        <v>1.1</v>
      </c>
      <c r="G4681" s="53">
        <v>0</v>
      </c>
      <c r="H4681" s="51" t="str">
        <f>TEXT(tblLaborEntries[[#This Row],[Work date serial]]-WEEKDAY(tblLaborEntries[[#This Row],[Work date serial]],3),"yyyy-mm-dd")</f>
        <v>2024-02-05</v>
      </c>
      <c r="I4681" s="64">
        <f>DATEVALUE(tblLaborEntries[[#This Row],[Work date]])</f>
        <v>45329.0</v>
      </c>
    </row>
    <row r="4682" spans="1:9" ht="15" x14ac:dyDescent="0.25">
      <c r="A4682" s="53" t="inlineStr">
        <is>
          <t>LAB-004681</t>
        </is>
      </c>
      <c r="B4682" s="53" t="inlineStr">
        <is>
          <t>WP-02056</t>
        </is>
      </c>
      <c r="C4682" s="53" t="inlineStr">
        <is>
          <t>TECH-031</t>
        </is>
      </c>
      <c r="D4682" s="53" t="inlineStr">
        <is>
          <t>Airframe</t>
        </is>
      </c>
      <c r="E4682" s="53" t="inlineStr">
        <is>
          <t>2024-02-08</t>
        </is>
      </c>
      <c r="F4682" s="53">
        <v>1.4</v>
      </c>
      <c r="G4682" s="53">
        <v>0</v>
      </c>
      <c r="H4682" s="51" t="str">
        <f>TEXT(tblLaborEntries[[#This Row],[Work date serial]]-WEEKDAY(tblLaborEntries[[#This Row],[Work date serial]],3),"yyyy-mm-dd")</f>
        <v>2024-02-05</v>
      </c>
      <c r="I4682" s="64">
        <f>DATEVALUE(tblLaborEntries[[#This Row],[Work date]])</f>
        <v>45330.0</v>
      </c>
    </row>
    <row r="4683" spans="1:9" ht="15" x14ac:dyDescent="0.25">
      <c r="A4683" s="53" t="inlineStr">
        <is>
          <t>LAB-004682</t>
        </is>
      </c>
      <c r="B4683" s="53" t="inlineStr">
        <is>
          <t>WP-02057</t>
        </is>
      </c>
      <c r="C4683" s="53" t="inlineStr">
        <is>
          <t>TECH-051</t>
        </is>
      </c>
      <c r="D4683" s="53" t="inlineStr">
        <is>
          <t>Hydraulics</t>
        </is>
      </c>
      <c r="E4683" s="53" t="inlineStr">
        <is>
          <t>2025-12-31</t>
        </is>
      </c>
      <c r="F4683" s="53">
        <v>10.4</v>
      </c>
      <c r="G4683" s="53">
        <v>2.4</v>
      </c>
      <c r="H4683" s="51" t="str">
        <f>TEXT(tblLaborEntries[[#This Row],[Work date serial]]-WEEKDAY(tblLaborEntries[[#This Row],[Work date serial]],3),"yyyy-mm-dd")</f>
        <v>2025-12-29</v>
      </c>
      <c r="I4683" s="64">
        <f>DATEVALUE(tblLaborEntries[[#This Row],[Work date]])</f>
        <v>46022.0</v>
      </c>
    </row>
    <row r="4684" spans="1:9" ht="15" x14ac:dyDescent="0.25">
      <c r="A4684" s="53" t="inlineStr">
        <is>
          <t>LAB-004683</t>
        </is>
      </c>
      <c r="B4684" s="53" t="inlineStr">
        <is>
          <t>WP-02058</t>
        </is>
      </c>
      <c r="C4684" s="53" t="inlineStr">
        <is>
          <t>TECH-002</t>
        </is>
      </c>
      <c r="D4684" s="53" t="inlineStr">
        <is>
          <t>Avionics</t>
        </is>
      </c>
      <c r="E4684" s="53" t="inlineStr">
        <is>
          <t>2025-09-01</t>
        </is>
      </c>
      <c r="F4684" s="53">
        <v>2.8</v>
      </c>
      <c r="G4684" s="53">
        <v>0</v>
      </c>
      <c r="H4684" s="51" t="str">
        <f>TEXT(tblLaborEntries[[#This Row],[Work date serial]]-WEEKDAY(tblLaborEntries[[#This Row],[Work date serial]],3),"yyyy-mm-dd")</f>
        <v>2025-09-01</v>
      </c>
      <c r="I4684" s="64">
        <f>DATEVALUE(tblLaborEntries[[#This Row],[Work date]])</f>
        <v>45901.0</v>
      </c>
    </row>
    <row r="4685" spans="1:9" ht="15" x14ac:dyDescent="0.25">
      <c r="A4685" s="53" t="inlineStr">
        <is>
          <t>LAB-004684</t>
        </is>
      </c>
      <c r="B4685" s="53" t="inlineStr">
        <is>
          <t>WP-02058</t>
        </is>
      </c>
      <c r="C4685" s="53" t="inlineStr">
        <is>
          <t>TECH-056</t>
        </is>
      </c>
      <c r="D4685" s="53" t="inlineStr">
        <is>
          <t>Avionics</t>
        </is>
      </c>
      <c r="E4685" s="53" t="inlineStr">
        <is>
          <t>2025-09-02</t>
        </is>
      </c>
      <c r="F4685" s="53">
        <v>2.5</v>
      </c>
      <c r="G4685" s="53">
        <v>0</v>
      </c>
      <c r="H4685" s="51" t="str">
        <f>TEXT(tblLaborEntries[[#This Row],[Work date serial]]-WEEKDAY(tblLaborEntries[[#This Row],[Work date serial]],3),"yyyy-mm-dd")</f>
        <v>2025-09-01</v>
      </c>
      <c r="I4685" s="64">
        <f>DATEVALUE(tblLaborEntries[[#This Row],[Work date]])</f>
        <v>45902.0</v>
      </c>
    </row>
    <row r="4686" spans="1:9" ht="15" x14ac:dyDescent="0.25">
      <c r="A4686" s="53" t="inlineStr">
        <is>
          <t>LAB-004685</t>
        </is>
      </c>
      <c r="B4686" s="53" t="inlineStr">
        <is>
          <t>WP-02059</t>
        </is>
      </c>
      <c r="C4686" s="53" t="inlineStr">
        <is>
          <t>TECH-032</t>
        </is>
      </c>
      <c r="D4686" s="53" t="inlineStr">
        <is>
          <t>Avionics</t>
        </is>
      </c>
      <c r="E4686" s="53" t="inlineStr">
        <is>
          <t>2025-09-15</t>
        </is>
      </c>
      <c r="F4686" s="53">
        <v>3</v>
      </c>
      <c r="G4686" s="53">
        <v>3</v>
      </c>
      <c r="H4686" s="51" t="str">
        <f>TEXT(tblLaborEntries[[#This Row],[Work date serial]]-WEEKDAY(tblLaborEntries[[#This Row],[Work date serial]],3),"yyyy-mm-dd")</f>
        <v>2025-09-15</v>
      </c>
      <c r="I4686" s="64">
        <f>DATEVALUE(tblLaborEntries[[#This Row],[Work date]])</f>
        <v>45915.0</v>
      </c>
    </row>
    <row r="4687" spans="1:9" ht="15" x14ac:dyDescent="0.25">
      <c r="A4687" s="53" t="inlineStr">
        <is>
          <t>LAB-004686</t>
        </is>
      </c>
      <c r="B4687" s="53" t="inlineStr">
        <is>
          <t>WP-02060</t>
        </is>
      </c>
      <c r="C4687" s="53" t="inlineStr">
        <is>
          <t>TECH-002</t>
        </is>
      </c>
      <c r="D4687" s="53" t="inlineStr">
        <is>
          <t>Avionics</t>
        </is>
      </c>
      <c r="E4687" s="53" t="inlineStr">
        <is>
          <t>2024-07-14</t>
        </is>
      </c>
      <c r="F4687" s="53">
        <v>4.4</v>
      </c>
      <c r="G4687" s="53">
        <v>0</v>
      </c>
      <c r="H4687" s="51" t="str">
        <f>TEXT(tblLaborEntries[[#This Row],[Work date serial]]-WEEKDAY(tblLaborEntries[[#This Row],[Work date serial]],3),"yyyy-mm-dd")</f>
        <v>2024-07-08</v>
      </c>
      <c r="I4687" s="64">
        <f>DATEVALUE(tblLaborEntries[[#This Row],[Work date]])</f>
        <v>45487.0</v>
      </c>
    </row>
    <row r="4688" spans="1:9" ht="15" x14ac:dyDescent="0.25">
      <c r="A4688" s="53" t="inlineStr">
        <is>
          <t>LAB-004687</t>
        </is>
      </c>
      <c r="B4688" s="53" t="inlineStr">
        <is>
          <t>WP-02061</t>
        </is>
      </c>
      <c r="C4688" s="53" t="inlineStr">
        <is>
          <t>TECH-068</t>
        </is>
      </c>
      <c r="D4688" s="53" t="inlineStr">
        <is>
          <t>Avionics</t>
        </is>
      </c>
      <c r="E4688" s="53" t="inlineStr">
        <is>
          <t>2025-04-30</t>
        </is>
      </c>
      <c r="F4688" s="53">
        <v>4.7</v>
      </c>
      <c r="G4688" s="53">
        <v>0</v>
      </c>
      <c r="H4688" s="51" t="str">
        <f>TEXT(tblLaborEntries[[#This Row],[Work date serial]]-WEEKDAY(tblLaborEntries[[#This Row],[Work date serial]],3),"yyyy-mm-dd")</f>
        <v>2025-04-28</v>
      </c>
      <c r="I4688" s="64">
        <f>DATEVALUE(tblLaborEntries[[#This Row],[Work date]])</f>
        <v>45777.0</v>
      </c>
    </row>
    <row r="4689" spans="1:9" ht="15" x14ac:dyDescent="0.25">
      <c r="A4689" s="53" t="inlineStr">
        <is>
          <t>LAB-004688</t>
        </is>
      </c>
      <c r="B4689" s="53" t="inlineStr">
        <is>
          <t>WP-02061</t>
        </is>
      </c>
      <c r="C4689" s="53" t="inlineStr">
        <is>
          <t>TECH-056</t>
        </is>
      </c>
      <c r="D4689" s="53" t="inlineStr">
        <is>
          <t>Avionics</t>
        </is>
      </c>
      <c r="E4689" s="53" t="inlineStr">
        <is>
          <t>2025-05-01</t>
        </is>
      </c>
      <c r="F4689" s="53">
        <v>6.9</v>
      </c>
      <c r="G4689" s="53">
        <v>0</v>
      </c>
      <c r="H4689" s="51" t="str">
        <f>TEXT(tblLaborEntries[[#This Row],[Work date serial]]-WEEKDAY(tblLaborEntries[[#This Row],[Work date serial]],3),"yyyy-mm-dd")</f>
        <v>2025-04-28</v>
      </c>
      <c r="I4689" s="64">
        <f>DATEVALUE(tblLaborEntries[[#This Row],[Work date]])</f>
        <v>45778.0</v>
      </c>
    </row>
    <row r="4690" spans="1:9" ht="15" x14ac:dyDescent="0.25">
      <c r="A4690" s="53" t="inlineStr">
        <is>
          <t>LAB-004689</t>
        </is>
      </c>
      <c r="B4690" s="53" t="inlineStr">
        <is>
          <t>WP-02061</t>
        </is>
      </c>
      <c r="C4690" s="53" t="inlineStr">
        <is>
          <t>TECH-062</t>
        </is>
      </c>
      <c r="D4690" s="53" t="inlineStr">
        <is>
          <t>Avionics</t>
        </is>
      </c>
      <c r="E4690" s="53" t="inlineStr">
        <is>
          <t>2025-05-02</t>
        </is>
      </c>
      <c r="F4690" s="53">
        <v>4.9</v>
      </c>
      <c r="G4690" s="53">
        <v>4</v>
      </c>
      <c r="H4690" s="51" t="str">
        <f>TEXT(tblLaborEntries[[#This Row],[Work date serial]]-WEEKDAY(tblLaborEntries[[#This Row],[Work date serial]],3),"yyyy-mm-dd")</f>
        <v>2025-04-28</v>
      </c>
      <c r="I4690" s="64">
        <f>DATEVALUE(tblLaborEntries[[#This Row],[Work date]])</f>
        <v>45779.0</v>
      </c>
    </row>
    <row r="4691" spans="1:9" ht="15" x14ac:dyDescent="0.25">
      <c r="A4691" s="53" t="inlineStr">
        <is>
          <t>LAB-004690</t>
        </is>
      </c>
      <c r="B4691" s="53" t="inlineStr">
        <is>
          <t>WP-02062</t>
        </is>
      </c>
      <c r="C4691" s="53" t="inlineStr">
        <is>
          <t>TECH-073</t>
        </is>
      </c>
      <c r="D4691" s="53" t="inlineStr">
        <is>
          <t>Airframe</t>
        </is>
      </c>
      <c r="E4691" s="53" t="inlineStr">
        <is>
          <t>2025-05-05</t>
        </is>
      </c>
      <c r="F4691" s="53">
        <v>3.6</v>
      </c>
      <c r="G4691" s="53">
        <v>0</v>
      </c>
      <c r="H4691" s="51" t="str">
        <f>TEXT(tblLaborEntries[[#This Row],[Work date serial]]-WEEKDAY(tblLaborEntries[[#This Row],[Work date serial]],3),"yyyy-mm-dd")</f>
        <v>2025-05-05</v>
      </c>
      <c r="I4691" s="64">
        <f>DATEVALUE(tblLaborEntries[[#This Row],[Work date]])</f>
        <v>45782.0</v>
      </c>
    </row>
    <row r="4692" spans="1:9" ht="15" x14ac:dyDescent="0.25">
      <c r="A4692" s="53" t="inlineStr">
        <is>
          <t>LAB-004691</t>
        </is>
      </c>
      <c r="B4692" s="53" t="inlineStr">
        <is>
          <t>WP-02062</t>
        </is>
      </c>
      <c r="C4692" s="53" t="inlineStr">
        <is>
          <t>TECH-001</t>
        </is>
      </c>
      <c r="D4692" s="53" t="inlineStr">
        <is>
          <t>Airframe</t>
        </is>
      </c>
      <c r="E4692" s="53" t="inlineStr">
        <is>
          <t>2025-05-06</t>
        </is>
      </c>
      <c r="F4692" s="53">
        <v>2.9</v>
      </c>
      <c r="G4692" s="53">
        <v>0</v>
      </c>
      <c r="H4692" s="51" t="str">
        <f>TEXT(tblLaborEntries[[#This Row],[Work date serial]]-WEEKDAY(tblLaborEntries[[#This Row],[Work date serial]],3),"yyyy-mm-dd")</f>
        <v>2025-05-05</v>
      </c>
      <c r="I4692" s="64">
        <f>DATEVALUE(tblLaborEntries[[#This Row],[Work date]])</f>
        <v>45783.0</v>
      </c>
    </row>
    <row r="4693" spans="1:9" ht="15" x14ac:dyDescent="0.25">
      <c r="A4693" s="53" t="inlineStr">
        <is>
          <t>LAB-004692</t>
        </is>
      </c>
      <c r="B4693" s="53" t="inlineStr">
        <is>
          <t>WP-02063</t>
        </is>
      </c>
      <c r="C4693" s="53" t="inlineStr">
        <is>
          <t>TECH-026</t>
        </is>
      </c>
      <c r="D4693" s="53" t="inlineStr">
        <is>
          <t>Avionics</t>
        </is>
      </c>
      <c r="E4693" s="53" t="inlineStr">
        <is>
          <t>2024-04-22</t>
        </is>
      </c>
      <c r="F4693" s="53">
        <v>11.4</v>
      </c>
      <c r="G4693" s="53">
        <v>3.4</v>
      </c>
      <c r="H4693" s="51" t="str">
        <f>TEXT(tblLaborEntries[[#This Row],[Work date serial]]-WEEKDAY(tblLaborEntries[[#This Row],[Work date serial]],3),"yyyy-mm-dd")</f>
        <v>2024-04-22</v>
      </c>
      <c r="I4693" s="64">
        <f>DATEVALUE(tblLaborEntries[[#This Row],[Work date]])</f>
        <v>45404.0</v>
      </c>
    </row>
    <row r="4694" spans="1:9" ht="15" x14ac:dyDescent="0.25">
      <c r="A4694" s="53" t="inlineStr">
        <is>
          <t>LAB-004693</t>
        </is>
      </c>
      <c r="B4694" s="53" t="inlineStr">
        <is>
          <t>WP-02063</t>
        </is>
      </c>
      <c r="C4694" s="53" t="inlineStr">
        <is>
          <t>TECH-002</t>
        </is>
      </c>
      <c r="D4694" s="53" t="inlineStr">
        <is>
          <t>Avionics</t>
        </is>
      </c>
      <c r="E4694" s="53" t="inlineStr">
        <is>
          <t>2024-04-23</t>
        </is>
      </c>
      <c r="F4694" s="53">
        <v>2</v>
      </c>
      <c r="G4694" s="53">
        <v>0</v>
      </c>
      <c r="H4694" s="51" t="str">
        <f>TEXT(tblLaborEntries[[#This Row],[Work date serial]]-WEEKDAY(tblLaborEntries[[#This Row],[Work date serial]],3),"yyyy-mm-dd")</f>
        <v>2024-04-22</v>
      </c>
      <c r="I4694" s="64">
        <f>DATEVALUE(tblLaborEntries[[#This Row],[Work date]])</f>
        <v>45405.0</v>
      </c>
    </row>
    <row r="4695" spans="1:9" ht="15" x14ac:dyDescent="0.25">
      <c r="A4695" s="53" t="inlineStr">
        <is>
          <t>LAB-004694</t>
        </is>
      </c>
      <c r="B4695" s="53" t="inlineStr">
        <is>
          <t>WP-02063</t>
        </is>
      </c>
      <c r="C4695" s="53" t="inlineStr">
        <is>
          <t>TECH-026</t>
        </is>
      </c>
      <c r="D4695" s="53" t="inlineStr">
        <is>
          <t>Avionics</t>
        </is>
      </c>
      <c r="E4695" s="53" t="inlineStr">
        <is>
          <t>2024-04-23</t>
        </is>
      </c>
      <c r="F4695" s="53">
        <v>12</v>
      </c>
      <c r="G4695" s="53">
        <v>4</v>
      </c>
      <c r="H4695" s="51" t="str">
        <f>TEXT(tblLaborEntries[[#This Row],[Work date serial]]-WEEKDAY(tblLaborEntries[[#This Row],[Work date serial]],3),"yyyy-mm-dd")</f>
        <v>2024-04-22</v>
      </c>
      <c r="I4695" s="64">
        <f>DATEVALUE(tblLaborEntries[[#This Row],[Work date]])</f>
        <v>45405.0</v>
      </c>
    </row>
    <row r="4696" spans="1:9" ht="15" x14ac:dyDescent="0.25">
      <c r="A4696" s="53" t="inlineStr">
        <is>
          <t>LAB-004695</t>
        </is>
      </c>
      <c r="B4696" s="53" t="inlineStr">
        <is>
          <t>WP-02064</t>
        </is>
      </c>
      <c r="C4696" s="53" t="inlineStr">
        <is>
          <t>TECH-062</t>
        </is>
      </c>
      <c r="D4696" s="53" t="inlineStr">
        <is>
          <t>Avionics</t>
        </is>
      </c>
      <c r="E4696" s="53" t="inlineStr">
        <is>
          <t>2024-03-11</t>
        </is>
      </c>
      <c r="F4696" s="53">
        <v>2.7</v>
      </c>
      <c r="G4696" s="53">
        <v>0</v>
      </c>
      <c r="H4696" s="51" t="str">
        <f>TEXT(tblLaborEntries[[#This Row],[Work date serial]]-WEEKDAY(tblLaborEntries[[#This Row],[Work date serial]],3),"yyyy-mm-dd")</f>
        <v>2024-03-11</v>
      </c>
      <c r="I4696" s="64">
        <f>DATEVALUE(tblLaborEntries[[#This Row],[Work date]])</f>
        <v>45362.0</v>
      </c>
    </row>
    <row r="4697" spans="1:9" ht="15" x14ac:dyDescent="0.25">
      <c r="A4697" s="53" t="inlineStr">
        <is>
          <t>LAB-004696</t>
        </is>
      </c>
      <c r="B4697" s="53" t="inlineStr">
        <is>
          <t>WP-02064</t>
        </is>
      </c>
      <c r="C4697" s="53" t="inlineStr">
        <is>
          <t>TECH-026</t>
        </is>
      </c>
      <c r="D4697" s="53" t="inlineStr">
        <is>
          <t>Avionics</t>
        </is>
      </c>
      <c r="E4697" s="53" t="inlineStr">
        <is>
          <t>2024-03-12</t>
        </is>
      </c>
      <c r="F4697" s="53">
        <v>3.7</v>
      </c>
      <c r="G4697" s="53">
        <v>0</v>
      </c>
      <c r="H4697" s="51" t="str">
        <f>TEXT(tblLaborEntries[[#This Row],[Work date serial]]-WEEKDAY(tblLaborEntries[[#This Row],[Work date serial]],3),"yyyy-mm-dd")</f>
        <v>2024-03-11</v>
      </c>
      <c r="I4697" s="64">
        <f>DATEVALUE(tblLaborEntries[[#This Row],[Work date]])</f>
        <v>45363.0</v>
      </c>
    </row>
    <row r="4698" spans="1:9" ht="15" x14ac:dyDescent="0.25">
      <c r="A4698" s="53" t="inlineStr">
        <is>
          <t>LAB-004697</t>
        </is>
      </c>
      <c r="B4698" s="53" t="inlineStr">
        <is>
          <t>WP-02064</t>
        </is>
      </c>
      <c r="C4698" s="53" t="inlineStr">
        <is>
          <t>TECH-074</t>
        </is>
      </c>
      <c r="D4698" s="53" t="inlineStr">
        <is>
          <t>Avionics</t>
        </is>
      </c>
      <c r="E4698" s="53" t="inlineStr">
        <is>
          <t>2024-03-13</t>
        </is>
      </c>
      <c r="F4698" s="53">
        <v>3.1</v>
      </c>
      <c r="G4698" s="53">
        <v>0</v>
      </c>
      <c r="H4698" s="51" t="str">
        <f>TEXT(tblLaborEntries[[#This Row],[Work date serial]]-WEEKDAY(tblLaborEntries[[#This Row],[Work date serial]],3),"yyyy-mm-dd")</f>
        <v>2024-03-11</v>
      </c>
      <c r="I4698" s="64">
        <f>DATEVALUE(tblLaborEntries[[#This Row],[Work date]])</f>
        <v>45364.0</v>
      </c>
    </row>
    <row r="4699" spans="1:9" ht="15" x14ac:dyDescent="0.25">
      <c r="A4699" s="53" t="inlineStr">
        <is>
          <t>LAB-004698</t>
        </is>
      </c>
      <c r="B4699" s="53" t="inlineStr">
        <is>
          <t>WP-02065</t>
        </is>
      </c>
      <c r="C4699" s="53" t="inlineStr">
        <is>
          <t>TECH-032</t>
        </is>
      </c>
      <c r="D4699" s="53" t="inlineStr">
        <is>
          <t>Avionics</t>
        </is>
      </c>
      <c r="E4699" s="53" t="inlineStr">
        <is>
          <t>2025-10-24</t>
        </is>
      </c>
      <c r="F4699" s="53">
        <v>4.2</v>
      </c>
      <c r="G4699" s="53">
        <v>0</v>
      </c>
      <c r="H4699" s="51" t="str">
        <f>TEXT(tblLaborEntries[[#This Row],[Work date serial]]-WEEKDAY(tblLaborEntries[[#This Row],[Work date serial]],3),"yyyy-mm-dd")</f>
        <v>2025-10-20</v>
      </c>
      <c r="I4699" s="64">
        <f>DATEVALUE(tblLaborEntries[[#This Row],[Work date]])</f>
        <v>45954.0</v>
      </c>
    </row>
    <row r="4700" spans="1:9" ht="15" x14ac:dyDescent="0.25">
      <c r="A4700" s="53" t="inlineStr">
        <is>
          <t>LAB-004699</t>
        </is>
      </c>
      <c r="B4700" s="53" t="inlineStr">
        <is>
          <t>WP-02065</t>
        </is>
      </c>
      <c r="C4700" s="53" t="inlineStr">
        <is>
          <t>TECH-068</t>
        </is>
      </c>
      <c r="D4700" s="53" t="inlineStr">
        <is>
          <t>Avionics</t>
        </is>
      </c>
      <c r="E4700" s="53" t="inlineStr">
        <is>
          <t>2025-10-25</t>
        </is>
      </c>
      <c r="F4700" s="53">
        <v>5.8</v>
      </c>
      <c r="G4700" s="53">
        <v>0</v>
      </c>
      <c r="H4700" s="51" t="str">
        <f>TEXT(tblLaborEntries[[#This Row],[Work date serial]]-WEEKDAY(tblLaborEntries[[#This Row],[Work date serial]],3),"yyyy-mm-dd")</f>
        <v>2025-10-20</v>
      </c>
      <c r="I4700" s="64">
        <f>DATEVALUE(tblLaborEntries[[#This Row],[Work date]])</f>
        <v>45955.0</v>
      </c>
    </row>
    <row r="4701" spans="1:9" ht="15" x14ac:dyDescent="0.25">
      <c r="A4701" s="53" t="inlineStr">
        <is>
          <t>LAB-004700</t>
        </is>
      </c>
      <c r="B4701" s="53" t="inlineStr">
        <is>
          <t>WP-02066</t>
        </is>
      </c>
      <c r="C4701" s="53" t="inlineStr">
        <is>
          <t>TECH-042</t>
        </is>
      </c>
      <c r="D4701" s="53" t="inlineStr">
        <is>
          <t>Powerplant</t>
        </is>
      </c>
      <c r="E4701" s="53" t="inlineStr">
        <is>
          <t>2025-12-03</t>
        </is>
      </c>
      <c r="F4701" s="53">
        <v>6.2</v>
      </c>
      <c r="G4701" s="53">
        <v>0</v>
      </c>
      <c r="H4701" s="51" t="str">
        <f>TEXT(tblLaborEntries[[#This Row],[Work date serial]]-WEEKDAY(tblLaborEntries[[#This Row],[Work date serial]],3),"yyyy-mm-dd")</f>
        <v>2025-12-01</v>
      </c>
      <c r="I4701" s="64">
        <f>DATEVALUE(tblLaborEntries[[#This Row],[Work date]])</f>
        <v>45994.0</v>
      </c>
    </row>
    <row r="4702" spans="1:9" ht="15" x14ac:dyDescent="0.25">
      <c r="A4702" s="53" t="inlineStr">
        <is>
          <t>LAB-004701</t>
        </is>
      </c>
      <c r="B4702" s="53" t="inlineStr">
        <is>
          <t>WP-02066</t>
        </is>
      </c>
      <c r="C4702" s="53" t="inlineStr">
        <is>
          <t>TECH-042</t>
        </is>
      </c>
      <c r="D4702" s="53" t="inlineStr">
        <is>
          <t>Powerplant</t>
        </is>
      </c>
      <c r="E4702" s="53" t="inlineStr">
        <is>
          <t>2025-12-04</t>
        </is>
      </c>
      <c r="F4702" s="53">
        <v>7.8</v>
      </c>
      <c r="G4702" s="53">
        <v>0</v>
      </c>
      <c r="H4702" s="51" t="str">
        <f>TEXT(tblLaborEntries[[#This Row],[Work date serial]]-WEEKDAY(tblLaborEntries[[#This Row],[Work date serial]],3),"yyyy-mm-dd")</f>
        <v>2025-12-01</v>
      </c>
      <c r="I4702" s="64">
        <f>DATEVALUE(tblLaborEntries[[#This Row],[Work date]])</f>
        <v>45995.0</v>
      </c>
    </row>
    <row r="4703" spans="1:9" ht="15" x14ac:dyDescent="0.25">
      <c r="A4703" s="53" t="inlineStr">
        <is>
          <t>LAB-004702</t>
        </is>
      </c>
      <c r="B4703" s="53" t="inlineStr">
        <is>
          <t>WP-02067</t>
        </is>
      </c>
      <c r="C4703" s="53" t="inlineStr">
        <is>
          <t>TECH-071</t>
        </is>
      </c>
      <c r="D4703" s="53" t="inlineStr">
        <is>
          <t>Structures</t>
        </is>
      </c>
      <c r="E4703" s="53" t="inlineStr">
        <is>
          <t>2025-03-15</t>
        </is>
      </c>
      <c r="F4703" s="53">
        <v>7.3</v>
      </c>
      <c r="G4703" s="53">
        <v>0</v>
      </c>
      <c r="H4703" s="51" t="str">
        <f>TEXT(tblLaborEntries[[#This Row],[Work date serial]]-WEEKDAY(tblLaborEntries[[#This Row],[Work date serial]],3),"yyyy-mm-dd")</f>
        <v>2025-03-10</v>
      </c>
      <c r="I4703" s="64">
        <f>DATEVALUE(tblLaborEntries[[#This Row],[Work date]])</f>
        <v>45731.0</v>
      </c>
    </row>
    <row r="4704" spans="1:9" ht="15" x14ac:dyDescent="0.25">
      <c r="A4704" s="53" t="inlineStr">
        <is>
          <t>LAB-004703</t>
        </is>
      </c>
      <c r="B4704" s="53" t="inlineStr">
        <is>
          <t>WP-02067</t>
        </is>
      </c>
      <c r="C4704" s="53" t="inlineStr">
        <is>
          <t>TECH-047</t>
        </is>
      </c>
      <c r="D4704" s="53" t="inlineStr">
        <is>
          <t>Structures</t>
        </is>
      </c>
      <c r="E4704" s="53" t="inlineStr">
        <is>
          <t>2025-03-16</t>
        </is>
      </c>
      <c r="F4704" s="53">
        <v>8.7</v>
      </c>
      <c r="G4704" s="53">
        <v>0.7</v>
      </c>
      <c r="H4704" s="51" t="str">
        <f>TEXT(tblLaborEntries[[#This Row],[Work date serial]]-WEEKDAY(tblLaborEntries[[#This Row],[Work date serial]],3),"yyyy-mm-dd")</f>
        <v>2025-03-10</v>
      </c>
      <c r="I4704" s="64">
        <f>DATEVALUE(tblLaborEntries[[#This Row],[Work date]])</f>
        <v>45732.0</v>
      </c>
    </row>
    <row r="4705" spans="1:9" ht="15" x14ac:dyDescent="0.25">
      <c r="A4705" s="53" t="inlineStr">
        <is>
          <t>LAB-004704</t>
        </is>
      </c>
      <c r="B4705" s="53" t="inlineStr">
        <is>
          <t>WP-02068</t>
        </is>
      </c>
      <c r="C4705" s="53" t="inlineStr">
        <is>
          <t>TECH-031</t>
        </is>
      </c>
      <c r="D4705" s="53" t="inlineStr">
        <is>
          <t>Airframe</t>
        </is>
      </c>
      <c r="E4705" s="53" t="inlineStr">
        <is>
          <t>2024-04-08</t>
        </is>
      </c>
      <c r="F4705" s="53">
        <v>6.1</v>
      </c>
      <c r="G4705" s="53">
        <v>0</v>
      </c>
      <c r="H4705" s="51" t="str">
        <f>TEXT(tblLaborEntries[[#This Row],[Work date serial]]-WEEKDAY(tblLaborEntries[[#This Row],[Work date serial]],3),"yyyy-mm-dd")</f>
        <v>2024-04-08</v>
      </c>
      <c r="I4705" s="64">
        <f>DATEVALUE(tblLaborEntries[[#This Row],[Work date]])</f>
        <v>45390.0</v>
      </c>
    </row>
    <row r="4706" spans="1:9" ht="15" x14ac:dyDescent="0.25">
      <c r="A4706" s="53" t="inlineStr">
        <is>
          <t>LAB-004705</t>
        </is>
      </c>
      <c r="B4706" s="53" t="inlineStr">
        <is>
          <t>WP-02069</t>
        </is>
      </c>
      <c r="C4706" s="53" t="inlineStr">
        <is>
          <t>TECH-044</t>
        </is>
      </c>
      <c r="D4706" s="53" t="inlineStr">
        <is>
          <t>Avionics</t>
        </is>
      </c>
      <c r="E4706" s="53" t="inlineStr">
        <is>
          <t>2024-02-06</t>
        </is>
      </c>
      <c r="F4706" s="53">
        <v>5.5</v>
      </c>
      <c r="G4706" s="53">
        <v>0.7</v>
      </c>
      <c r="H4706" s="51" t="str">
        <f>TEXT(tblLaborEntries[[#This Row],[Work date serial]]-WEEKDAY(tblLaborEntries[[#This Row],[Work date serial]],3),"yyyy-mm-dd")</f>
        <v>2024-02-05</v>
      </c>
      <c r="I4706" s="64">
        <f>DATEVALUE(tblLaborEntries[[#This Row],[Work date]])</f>
        <v>45328.0</v>
      </c>
    </row>
    <row r="4707" spans="1:9" ht="15" x14ac:dyDescent="0.25">
      <c r="A4707" s="53" t="inlineStr">
        <is>
          <t>LAB-004706</t>
        </is>
      </c>
      <c r="B4707" s="53" t="inlineStr">
        <is>
          <t>WP-02069</t>
        </is>
      </c>
      <c r="C4707" s="53" t="inlineStr">
        <is>
          <t>TECH-032</t>
        </is>
      </c>
      <c r="D4707" s="53" t="inlineStr">
        <is>
          <t>Avionics</t>
        </is>
      </c>
      <c r="E4707" s="53" t="inlineStr">
        <is>
          <t>2024-02-07</t>
        </is>
      </c>
      <c r="F4707" s="53">
        <v>4.9</v>
      </c>
      <c r="G4707" s="53">
        <v>0</v>
      </c>
      <c r="H4707" s="51" t="str">
        <f>TEXT(tblLaborEntries[[#This Row],[Work date serial]]-WEEKDAY(tblLaborEntries[[#This Row],[Work date serial]],3),"yyyy-mm-dd")</f>
        <v>2024-02-05</v>
      </c>
      <c r="I4707" s="64">
        <f>DATEVALUE(tblLaborEntries[[#This Row],[Work date]])</f>
        <v>45329.0</v>
      </c>
    </row>
    <row r="4708" spans="1:9" ht="15" x14ac:dyDescent="0.25">
      <c r="A4708" s="53" t="inlineStr">
        <is>
          <t>LAB-004707</t>
        </is>
      </c>
      <c r="B4708" s="53" t="inlineStr">
        <is>
          <t>WP-02070</t>
        </is>
      </c>
      <c r="C4708" s="53" t="inlineStr">
        <is>
          <t>TECH-066</t>
        </is>
      </c>
      <c r="D4708" s="53" t="inlineStr">
        <is>
          <t>Powerplant</t>
        </is>
      </c>
      <c r="E4708" s="53" t="inlineStr">
        <is>
          <t>2024-04-11</t>
        </is>
      </c>
      <c r="F4708" s="53">
        <v>10.3</v>
      </c>
      <c r="G4708" s="53">
        <v>2.3</v>
      </c>
      <c r="H4708" s="51" t="str">
        <f>TEXT(tblLaborEntries[[#This Row],[Work date serial]]-WEEKDAY(tblLaborEntries[[#This Row],[Work date serial]],3),"yyyy-mm-dd")</f>
        <v>2024-04-08</v>
      </c>
      <c r="I4708" s="64">
        <f>DATEVALUE(tblLaborEntries[[#This Row],[Work date]])</f>
        <v>45393.0</v>
      </c>
    </row>
    <row r="4709" spans="1:9" ht="15" x14ac:dyDescent="0.25">
      <c r="A4709" s="53" t="inlineStr">
        <is>
          <t>LAB-004708</t>
        </is>
      </c>
      <c r="B4709" s="53" t="inlineStr">
        <is>
          <t>WP-02071</t>
        </is>
      </c>
      <c r="C4709" s="53" t="inlineStr">
        <is>
          <t>TECH-051</t>
        </is>
      </c>
      <c r="D4709" s="53" t="inlineStr">
        <is>
          <t>Hydraulics</t>
        </is>
      </c>
      <c r="E4709" s="53" t="inlineStr">
        <is>
          <t>2024-05-24</t>
        </is>
      </c>
      <c r="F4709" s="53">
        <v>5.9</v>
      </c>
      <c r="G4709" s="53">
        <v>0</v>
      </c>
      <c r="H4709" s="51" t="str">
        <f>TEXT(tblLaborEntries[[#This Row],[Work date serial]]-WEEKDAY(tblLaborEntries[[#This Row],[Work date serial]],3),"yyyy-mm-dd")</f>
        <v>2024-05-20</v>
      </c>
      <c r="I4709" s="64">
        <f>DATEVALUE(tblLaborEntries[[#This Row],[Work date]])</f>
        <v>45436.0</v>
      </c>
    </row>
    <row r="4710" spans="1:9" ht="15" x14ac:dyDescent="0.25">
      <c r="A4710" s="53" t="inlineStr">
        <is>
          <t>LAB-004709</t>
        </is>
      </c>
      <c r="B4710" s="53" t="inlineStr">
        <is>
          <t>WP-02071</t>
        </is>
      </c>
      <c r="C4710" s="53" t="inlineStr">
        <is>
          <t>TECH-015</t>
        </is>
      </c>
      <c r="D4710" s="53" t="inlineStr">
        <is>
          <t>Hydraulics</t>
        </is>
      </c>
      <c r="E4710" s="53" t="inlineStr">
        <is>
          <t>2024-05-25</t>
        </is>
      </c>
      <c r="F4710" s="53">
        <v>7.6</v>
      </c>
      <c r="G4710" s="53">
        <v>0</v>
      </c>
      <c r="H4710" s="51" t="str">
        <f>TEXT(tblLaborEntries[[#This Row],[Work date serial]]-WEEKDAY(tblLaborEntries[[#This Row],[Work date serial]],3),"yyyy-mm-dd")</f>
        <v>2024-05-20</v>
      </c>
      <c r="I4710" s="64">
        <f>DATEVALUE(tblLaborEntries[[#This Row],[Work date]])</f>
        <v>45437.0</v>
      </c>
    </row>
    <row r="4711" spans="1:9" ht="15" x14ac:dyDescent="0.25">
      <c r="A4711" s="53" t="inlineStr">
        <is>
          <t>LAB-004710</t>
        </is>
      </c>
      <c r="B4711" s="53" t="inlineStr">
        <is>
          <t>WP-02071</t>
        </is>
      </c>
      <c r="C4711" s="53" t="inlineStr">
        <is>
          <t>TECH-039</t>
        </is>
      </c>
      <c r="D4711" s="53" t="inlineStr">
        <is>
          <t>Hydraulics</t>
        </is>
      </c>
      <c r="E4711" s="53" t="inlineStr">
        <is>
          <t>2024-05-26</t>
        </is>
      </c>
      <c r="F4711" s="53">
        <v>5.4</v>
      </c>
      <c r="G4711" s="53">
        <v>0</v>
      </c>
      <c r="H4711" s="51" t="str">
        <f>TEXT(tblLaborEntries[[#This Row],[Work date serial]]-WEEKDAY(tblLaborEntries[[#This Row],[Work date serial]],3),"yyyy-mm-dd")</f>
        <v>2024-05-20</v>
      </c>
      <c r="I4711" s="64">
        <f>DATEVALUE(tblLaborEntries[[#This Row],[Work date]])</f>
        <v>45438.0</v>
      </c>
    </row>
    <row r="4712" spans="1:9" ht="15" x14ac:dyDescent="0.25">
      <c r="A4712" s="53" t="inlineStr">
        <is>
          <t>LAB-004711</t>
        </is>
      </c>
      <c r="B4712" s="53" t="inlineStr">
        <is>
          <t>WP-02072</t>
        </is>
      </c>
      <c r="C4712" s="53" t="inlineStr">
        <is>
          <t>TECH-008</t>
        </is>
      </c>
      <c r="D4712" s="53" t="inlineStr">
        <is>
          <t>Avionics</t>
        </is>
      </c>
      <c r="E4712" s="53" t="inlineStr">
        <is>
          <t>2025-11-03</t>
        </is>
      </c>
      <c r="F4712" s="53">
        <v>3.1</v>
      </c>
      <c r="G4712" s="53">
        <v>0</v>
      </c>
      <c r="H4712" s="51" t="str">
        <f>TEXT(tblLaborEntries[[#This Row],[Work date serial]]-WEEKDAY(tblLaborEntries[[#This Row],[Work date serial]],3),"yyyy-mm-dd")</f>
        <v>2025-11-03</v>
      </c>
      <c r="I4712" s="64">
        <f>DATEVALUE(tblLaborEntries[[#This Row],[Work date]])</f>
        <v>45964.0</v>
      </c>
    </row>
    <row r="4713" spans="1:9" ht="15" x14ac:dyDescent="0.25">
      <c r="A4713" s="53" t="inlineStr">
        <is>
          <t>LAB-004712</t>
        </is>
      </c>
      <c r="B4713" s="53" t="inlineStr">
        <is>
          <t>WP-02072</t>
        </is>
      </c>
      <c r="C4713" s="53" t="inlineStr">
        <is>
          <t>TECH-038</t>
        </is>
      </c>
      <c r="D4713" s="53" t="inlineStr">
        <is>
          <t>Avionics</t>
        </is>
      </c>
      <c r="E4713" s="53" t="inlineStr">
        <is>
          <t>2025-11-03</t>
        </is>
      </c>
      <c r="F4713" s="53">
        <v>8.2</v>
      </c>
      <c r="G4713" s="53">
        <v>4</v>
      </c>
      <c r="H4713" s="51" t="str">
        <f>TEXT(tblLaborEntries[[#This Row],[Work date serial]]-WEEKDAY(tblLaborEntries[[#This Row],[Work date serial]],3),"yyyy-mm-dd")</f>
        <v>2025-11-03</v>
      </c>
      <c r="I4713" s="64">
        <f>DATEVALUE(tblLaborEntries[[#This Row],[Work date]])</f>
        <v>45964.0</v>
      </c>
    </row>
    <row r="4714" spans="1:9" ht="15" x14ac:dyDescent="0.25">
      <c r="A4714" s="53" t="inlineStr">
        <is>
          <t>LAB-004713</t>
        </is>
      </c>
      <c r="B4714" s="53" t="inlineStr">
        <is>
          <t>WP-02072</t>
        </is>
      </c>
      <c r="C4714" s="53" t="inlineStr">
        <is>
          <t>TECH-002</t>
        </is>
      </c>
      <c r="D4714" s="53" t="inlineStr">
        <is>
          <t>Avionics</t>
        </is>
      </c>
      <c r="E4714" s="53" t="inlineStr">
        <is>
          <t>2025-11-04</t>
        </is>
      </c>
      <c r="F4714" s="53">
        <v>5.8</v>
      </c>
      <c r="G4714" s="53">
        <v>0</v>
      </c>
      <c r="H4714" s="51" t="str">
        <f>TEXT(tblLaborEntries[[#This Row],[Work date serial]]-WEEKDAY(tblLaborEntries[[#This Row],[Work date serial]],3),"yyyy-mm-dd")</f>
        <v>2025-11-03</v>
      </c>
      <c r="I4714" s="64">
        <f>DATEVALUE(tblLaborEntries[[#This Row],[Work date]])</f>
        <v>45965.0</v>
      </c>
    </row>
    <row r="4715" spans="1:9" ht="15" x14ac:dyDescent="0.25">
      <c r="A4715" s="53" t="inlineStr">
        <is>
          <t>LAB-004714</t>
        </is>
      </c>
      <c r="B4715" s="53" t="inlineStr">
        <is>
          <t>WP-02072</t>
        </is>
      </c>
      <c r="C4715" s="53" t="inlineStr">
        <is>
          <t>TECH-056</t>
        </is>
      </c>
      <c r="D4715" s="53" t="inlineStr">
        <is>
          <t>Avionics</t>
        </is>
      </c>
      <c r="E4715" s="53" t="inlineStr">
        <is>
          <t>2025-11-04</t>
        </is>
      </c>
      <c r="F4715" s="53">
        <v>6.8</v>
      </c>
      <c r="G4715" s="53">
        <v>4</v>
      </c>
      <c r="H4715" s="51" t="str">
        <f>TEXT(tblLaborEntries[[#This Row],[Work date serial]]-WEEKDAY(tblLaborEntries[[#This Row],[Work date serial]],3),"yyyy-mm-dd")</f>
        <v>2025-11-03</v>
      </c>
      <c r="I4715" s="64">
        <f>DATEVALUE(tblLaborEntries[[#This Row],[Work date]])</f>
        <v>45965.0</v>
      </c>
    </row>
    <row r="4716" spans="1:9" ht="15" x14ac:dyDescent="0.25">
      <c r="A4716" s="53" t="inlineStr">
        <is>
          <t>LAB-004715</t>
        </is>
      </c>
      <c r="B4716" s="53" t="inlineStr">
        <is>
          <t>WP-02073</t>
        </is>
      </c>
      <c r="C4716" s="53" t="inlineStr">
        <is>
          <t>TECH-060</t>
        </is>
      </c>
      <c r="D4716" s="53" t="inlineStr">
        <is>
          <t>Powerplant</t>
        </is>
      </c>
      <c r="E4716" s="53" t="inlineStr">
        <is>
          <t>2025-02-04</t>
        </is>
      </c>
      <c r="F4716" s="53">
        <v>7.5</v>
      </c>
      <c r="G4716" s="53">
        <v>0</v>
      </c>
      <c r="H4716" s="51" t="str">
        <f>TEXT(tblLaborEntries[[#This Row],[Work date serial]]-WEEKDAY(tblLaborEntries[[#This Row],[Work date serial]],3),"yyyy-mm-dd")</f>
        <v>2025-02-03</v>
      </c>
      <c r="I4716" s="64">
        <f>DATEVALUE(tblLaborEntries[[#This Row],[Work date]])</f>
        <v>45692.0</v>
      </c>
    </row>
    <row r="4717" spans="1:9" ht="15" x14ac:dyDescent="0.25">
      <c r="A4717" s="53" t="inlineStr">
        <is>
          <t>LAB-004716</t>
        </is>
      </c>
      <c r="B4717" s="53" t="inlineStr">
        <is>
          <t>WP-02073</t>
        </is>
      </c>
      <c r="C4717" s="53" t="inlineStr">
        <is>
          <t>TECH-066</t>
        </is>
      </c>
      <c r="D4717" s="53" t="inlineStr">
        <is>
          <t>Powerplant</t>
        </is>
      </c>
      <c r="E4717" s="53" t="inlineStr">
        <is>
          <t>2025-02-05</t>
        </is>
      </c>
      <c r="F4717" s="53">
        <v>9.4</v>
      </c>
      <c r="G4717" s="53">
        <v>1.4</v>
      </c>
      <c r="H4717" s="51" t="str">
        <f>TEXT(tblLaborEntries[[#This Row],[Work date serial]]-WEEKDAY(tblLaborEntries[[#This Row],[Work date serial]],3),"yyyy-mm-dd")</f>
        <v>2025-02-03</v>
      </c>
      <c r="I4717" s="64">
        <f>DATEVALUE(tblLaborEntries[[#This Row],[Work date]])</f>
        <v>45693.0</v>
      </c>
    </row>
    <row r="4718" spans="1:9" ht="15" x14ac:dyDescent="0.25">
      <c r="A4718" s="53" t="inlineStr">
        <is>
          <t>LAB-004717</t>
        </is>
      </c>
      <c r="B4718" s="53" t="inlineStr">
        <is>
          <t>WP-02074</t>
        </is>
      </c>
      <c r="C4718" s="53" t="inlineStr">
        <is>
          <t>TECH-037</t>
        </is>
      </c>
      <c r="D4718" s="53" t="inlineStr">
        <is>
          <t>Airframe</t>
        </is>
      </c>
      <c r="E4718" s="53" t="inlineStr">
        <is>
          <t>2025-07-31</t>
        </is>
      </c>
      <c r="F4718" s="53">
        <v>1.9</v>
      </c>
      <c r="G4718" s="53">
        <v>0</v>
      </c>
      <c r="H4718" s="51" t="str">
        <f>TEXT(tblLaborEntries[[#This Row],[Work date serial]]-WEEKDAY(tblLaborEntries[[#This Row],[Work date serial]],3),"yyyy-mm-dd")</f>
        <v>2025-07-28</v>
      </c>
      <c r="I4718" s="64">
        <f>DATEVALUE(tblLaborEntries[[#This Row],[Work date]])</f>
        <v>45869.0</v>
      </c>
    </row>
    <row r="4719" spans="1:9" ht="15" x14ac:dyDescent="0.25">
      <c r="A4719" s="53" t="inlineStr">
        <is>
          <t>LAB-004718</t>
        </is>
      </c>
      <c r="B4719" s="53" t="inlineStr">
        <is>
          <t>WP-02074</t>
        </is>
      </c>
      <c r="C4719" s="53" t="inlineStr">
        <is>
          <t>TECH-061</t>
        </is>
      </c>
      <c r="D4719" s="53" t="inlineStr">
        <is>
          <t>Airframe</t>
        </is>
      </c>
      <c r="E4719" s="53" t="inlineStr">
        <is>
          <t>2025-08-01</t>
        </is>
      </c>
      <c r="F4719" s="53">
        <v>2.4</v>
      </c>
      <c r="G4719" s="53">
        <v>0</v>
      </c>
      <c r="H4719" s="51" t="str">
        <f>TEXT(tblLaborEntries[[#This Row],[Work date serial]]-WEEKDAY(tblLaborEntries[[#This Row],[Work date serial]],3),"yyyy-mm-dd")</f>
        <v>2025-07-28</v>
      </c>
      <c r="I4719" s="64">
        <f>DATEVALUE(tblLaborEntries[[#This Row],[Work date]])</f>
        <v>45870.0</v>
      </c>
    </row>
    <row r="4720" spans="1:9" ht="15" x14ac:dyDescent="0.25">
      <c r="A4720" s="53" t="inlineStr">
        <is>
          <t>LAB-004719</t>
        </is>
      </c>
      <c r="B4720" s="53" t="inlineStr">
        <is>
          <t>WP-02074</t>
        </is>
      </c>
      <c r="C4720" s="53" t="inlineStr">
        <is>
          <t>TECH-025</t>
        </is>
      </c>
      <c r="D4720" s="53" t="inlineStr">
        <is>
          <t>Airframe</t>
        </is>
      </c>
      <c r="E4720" s="53" t="inlineStr">
        <is>
          <t>2025-08-02</t>
        </is>
      </c>
      <c r="F4720" s="53">
        <v>1.7</v>
      </c>
      <c r="G4720" s="53">
        <v>0</v>
      </c>
      <c r="H4720" s="51" t="str">
        <f>TEXT(tblLaborEntries[[#This Row],[Work date serial]]-WEEKDAY(tblLaborEntries[[#This Row],[Work date serial]],3),"yyyy-mm-dd")</f>
        <v>2025-07-28</v>
      </c>
      <c r="I4720" s="64">
        <f>DATEVALUE(tblLaborEntries[[#This Row],[Work date]])</f>
        <v>45871.0</v>
      </c>
    </row>
    <row r="4721" spans="1:9" ht="15" x14ac:dyDescent="0.25">
      <c r="A4721" s="53" t="inlineStr">
        <is>
          <t>LAB-004720</t>
        </is>
      </c>
      <c r="B4721" s="53" t="inlineStr">
        <is>
          <t>WP-02075</t>
        </is>
      </c>
      <c r="C4721" s="53" t="inlineStr">
        <is>
          <t>TECH-003</t>
        </is>
      </c>
      <c r="D4721" s="53" t="inlineStr">
        <is>
          <t>Hydraulics</t>
        </is>
      </c>
      <c r="E4721" s="53" t="inlineStr">
        <is>
          <t>2025-12-21</t>
        </is>
      </c>
      <c r="F4721" s="53">
        <v>7.7</v>
      </c>
      <c r="G4721" s="53">
        <v>0</v>
      </c>
      <c r="H4721" s="51" t="str">
        <f>TEXT(tblLaborEntries[[#This Row],[Work date serial]]-WEEKDAY(tblLaborEntries[[#This Row],[Work date serial]],3),"yyyy-mm-dd")</f>
        <v>2025-12-15</v>
      </c>
      <c r="I4721" s="64">
        <f>DATEVALUE(tblLaborEntries[[#This Row],[Work date]])</f>
        <v>46012.0</v>
      </c>
    </row>
    <row r="4722" spans="1:9" ht="15" x14ac:dyDescent="0.25">
      <c r="A4722" s="53" t="inlineStr">
        <is>
          <t>LAB-004721</t>
        </is>
      </c>
      <c r="B4722" s="53" t="inlineStr">
        <is>
          <t>WP-02075</t>
        </is>
      </c>
      <c r="C4722" s="53" t="inlineStr">
        <is>
          <t>TECH-009</t>
        </is>
      </c>
      <c r="D4722" s="53" t="inlineStr">
        <is>
          <t>Hydraulics</t>
        </is>
      </c>
      <c r="E4722" s="53" t="inlineStr">
        <is>
          <t>2025-12-21</t>
        </is>
      </c>
      <c r="F4722" s="53">
        <v>12</v>
      </c>
      <c r="G4722" s="53">
        <v>4</v>
      </c>
      <c r="H4722" s="51" t="str">
        <f>TEXT(tblLaborEntries[[#This Row],[Work date serial]]-WEEKDAY(tblLaborEntries[[#This Row],[Work date serial]],3),"yyyy-mm-dd")</f>
        <v>2025-12-15</v>
      </c>
      <c r="I4722" s="64">
        <f>DATEVALUE(tblLaborEntries[[#This Row],[Work date]])</f>
        <v>46012.0</v>
      </c>
    </row>
    <row r="4723" spans="1:9" ht="15" x14ac:dyDescent="0.25">
      <c r="A4723" s="53" t="inlineStr">
        <is>
          <t>LAB-004722</t>
        </is>
      </c>
      <c r="B4723" s="53" t="inlineStr">
        <is>
          <t>WP-02076</t>
        </is>
      </c>
      <c r="C4723" s="53" t="inlineStr">
        <is>
          <t>TECH-043</t>
        </is>
      </c>
      <c r="D4723" s="53" t="inlineStr">
        <is>
          <t>Airframe</t>
        </is>
      </c>
      <c r="E4723" s="53" t="inlineStr">
        <is>
          <t>2024-02-13</t>
        </is>
      </c>
      <c r="F4723" s="53">
        <v>4.8</v>
      </c>
      <c r="G4723" s="53">
        <v>0</v>
      </c>
      <c r="H4723" s="51" t="str">
        <f>TEXT(tblLaborEntries[[#This Row],[Work date serial]]-WEEKDAY(tblLaborEntries[[#This Row],[Work date serial]],3),"yyyy-mm-dd")</f>
        <v>2024-02-12</v>
      </c>
      <c r="I4723" s="64">
        <f>DATEVALUE(tblLaborEntries[[#This Row],[Work date]])</f>
        <v>45335.0</v>
      </c>
    </row>
    <row r="4724" spans="1:9" ht="15" x14ac:dyDescent="0.25">
      <c r="A4724" s="53" t="inlineStr">
        <is>
          <t>LAB-004723</t>
        </is>
      </c>
      <c r="B4724" s="53" t="inlineStr">
        <is>
          <t>WP-02076</t>
        </is>
      </c>
      <c r="C4724" s="53" t="inlineStr">
        <is>
          <t>TECH-061</t>
        </is>
      </c>
      <c r="D4724" s="53" t="inlineStr">
        <is>
          <t>Airframe</t>
        </is>
      </c>
      <c r="E4724" s="53" t="inlineStr">
        <is>
          <t>2024-02-14</t>
        </is>
      </c>
      <c r="F4724" s="53">
        <v>6.9</v>
      </c>
      <c r="G4724" s="53">
        <v>0</v>
      </c>
      <c r="H4724" s="51" t="str">
        <f>TEXT(tblLaborEntries[[#This Row],[Work date serial]]-WEEKDAY(tblLaborEntries[[#This Row],[Work date serial]],3),"yyyy-mm-dd")</f>
        <v>2024-02-12</v>
      </c>
      <c r="I4724" s="64">
        <f>DATEVALUE(tblLaborEntries[[#This Row],[Work date]])</f>
        <v>45336.0</v>
      </c>
    </row>
    <row r="4725" spans="1:9" ht="15" x14ac:dyDescent="0.25">
      <c r="A4725" s="53" t="inlineStr">
        <is>
          <t>LAB-004724</t>
        </is>
      </c>
      <c r="B4725" s="53" t="inlineStr">
        <is>
          <t>WP-02076</t>
        </is>
      </c>
      <c r="C4725" s="53" t="inlineStr">
        <is>
          <t>TECH-055</t>
        </is>
      </c>
      <c r="D4725" s="53" t="inlineStr">
        <is>
          <t>Airframe</t>
        </is>
      </c>
      <c r="E4725" s="53" t="inlineStr">
        <is>
          <t>2024-02-15</t>
        </is>
      </c>
      <c r="F4725" s="53">
        <v>5.2</v>
      </c>
      <c r="G4725" s="53">
        <v>0</v>
      </c>
      <c r="H4725" s="51" t="str">
        <f>TEXT(tblLaborEntries[[#This Row],[Work date serial]]-WEEKDAY(tblLaborEntries[[#This Row],[Work date serial]],3),"yyyy-mm-dd")</f>
        <v>2024-02-12</v>
      </c>
      <c r="I4725" s="64">
        <f>DATEVALUE(tblLaborEntries[[#This Row],[Work date]])</f>
        <v>45337.0</v>
      </c>
    </row>
    <row r="4726" spans="1:9" ht="15" x14ac:dyDescent="0.25">
      <c r="A4726" s="53" t="inlineStr">
        <is>
          <t>LAB-004725</t>
        </is>
      </c>
      <c r="B4726" s="53" t="inlineStr">
        <is>
          <t>WP-02077</t>
        </is>
      </c>
      <c r="C4726" s="53" t="inlineStr">
        <is>
          <t>TECH-056</t>
        </is>
      </c>
      <c r="D4726" s="53" t="inlineStr">
        <is>
          <t>Avionics</t>
        </is>
      </c>
      <c r="E4726" s="53" t="inlineStr">
        <is>
          <t>2026-01-05</t>
        </is>
      </c>
      <c r="F4726" s="53">
        <v>11.1</v>
      </c>
      <c r="G4726" s="53">
        <v>3.1</v>
      </c>
      <c r="H4726" s="51" t="str">
        <f>TEXT(tblLaborEntries[[#This Row],[Work date serial]]-WEEKDAY(tblLaborEntries[[#This Row],[Work date serial]],3),"yyyy-mm-dd")</f>
        <v>2026-01-05</v>
      </c>
      <c r="I4726" s="64">
        <f>DATEVALUE(tblLaborEntries[[#This Row],[Work date]])</f>
        <v>46027.0</v>
      </c>
    </row>
    <row r="4727" spans="1:9" ht="15" x14ac:dyDescent="0.25">
      <c r="A4727" s="53" t="inlineStr">
        <is>
          <t>LAB-004726</t>
        </is>
      </c>
      <c r="B4727" s="53" t="inlineStr">
        <is>
          <t>WP-02078</t>
        </is>
      </c>
      <c r="C4727" s="53" t="inlineStr">
        <is>
          <t>TECH-001</t>
        </is>
      </c>
      <c r="D4727" s="53" t="inlineStr">
        <is>
          <t>Airframe</t>
        </is>
      </c>
      <c r="E4727" s="53" t="inlineStr">
        <is>
          <t>2024-01-24</t>
        </is>
      </c>
      <c r="F4727" s="53">
        <v>5</v>
      </c>
      <c r="G4727" s="53">
        <v>0</v>
      </c>
      <c r="H4727" s="51" t="str">
        <f>TEXT(tblLaborEntries[[#This Row],[Work date serial]]-WEEKDAY(tblLaborEntries[[#This Row],[Work date serial]],3),"yyyy-mm-dd")</f>
        <v>2024-01-22</v>
      </c>
      <c r="I4727" s="64">
        <f>DATEVALUE(tblLaborEntries[[#This Row],[Work date]])</f>
        <v>45315.0</v>
      </c>
    </row>
    <row r="4728" spans="1:9" ht="15" x14ac:dyDescent="0.25">
      <c r="A4728" s="53" t="inlineStr">
        <is>
          <t>LAB-004727</t>
        </is>
      </c>
      <c r="B4728" s="53" t="inlineStr">
        <is>
          <t>WP-02078</t>
        </is>
      </c>
      <c r="C4728" s="53" t="inlineStr">
        <is>
          <t>TECH-049</t>
        </is>
      </c>
      <c r="D4728" s="53" t="inlineStr">
        <is>
          <t>Airframe</t>
        </is>
      </c>
      <c r="E4728" s="53" t="inlineStr">
        <is>
          <t>2024-01-25</t>
        </is>
      </c>
      <c r="F4728" s="53">
        <v>4.6</v>
      </c>
      <c r="G4728" s="53">
        <v>0</v>
      </c>
      <c r="H4728" s="51" t="str">
        <f>TEXT(tblLaborEntries[[#This Row],[Work date serial]]-WEEKDAY(tblLaborEntries[[#This Row],[Work date serial]],3),"yyyy-mm-dd")</f>
        <v>2024-01-22</v>
      </c>
      <c r="I4728" s="64">
        <f>DATEVALUE(tblLaborEntries[[#This Row],[Work date]])</f>
        <v>45316.0</v>
      </c>
    </row>
    <row r="4729" spans="1:9" ht="15" x14ac:dyDescent="0.25">
      <c r="A4729" s="53" t="inlineStr">
        <is>
          <t>LAB-004728</t>
        </is>
      </c>
      <c r="B4729" s="53" t="inlineStr">
        <is>
          <t>WP-02078</t>
        </is>
      </c>
      <c r="C4729" s="53" t="inlineStr">
        <is>
          <t>TECH-031</t>
        </is>
      </c>
      <c r="D4729" s="53" t="inlineStr">
        <is>
          <t>Airframe</t>
        </is>
      </c>
      <c r="E4729" s="53" t="inlineStr">
        <is>
          <t>2024-01-26</t>
        </is>
      </c>
      <c r="F4729" s="53">
        <v>4.2</v>
      </c>
      <c r="G4729" s="53">
        <v>0</v>
      </c>
      <c r="H4729" s="51" t="str">
        <f>TEXT(tblLaborEntries[[#This Row],[Work date serial]]-WEEKDAY(tblLaborEntries[[#This Row],[Work date serial]],3),"yyyy-mm-dd")</f>
        <v>2024-01-22</v>
      </c>
      <c r="I4729" s="64">
        <f>DATEVALUE(tblLaborEntries[[#This Row],[Work date]])</f>
        <v>45317.0</v>
      </c>
    </row>
    <row r="4730" spans="1:9" ht="15" x14ac:dyDescent="0.25">
      <c r="A4730" s="53" t="inlineStr">
        <is>
          <t>LAB-004729</t>
        </is>
      </c>
      <c r="B4730" s="53" t="inlineStr">
        <is>
          <t>WP-02079</t>
        </is>
      </c>
      <c r="C4730" s="53" t="inlineStr">
        <is>
          <t>TECH-067</t>
        </is>
      </c>
      <c r="D4730" s="53" t="inlineStr">
        <is>
          <t>Airframe</t>
        </is>
      </c>
      <c r="E4730" s="53" t="inlineStr">
        <is>
          <t>2024-04-17</t>
        </is>
      </c>
      <c r="F4730" s="53">
        <v>2.3</v>
      </c>
      <c r="G4730" s="53">
        <v>0</v>
      </c>
      <c r="H4730" s="51" t="str">
        <f>TEXT(tblLaborEntries[[#This Row],[Work date serial]]-WEEKDAY(tblLaborEntries[[#This Row],[Work date serial]],3),"yyyy-mm-dd")</f>
        <v>2024-04-15</v>
      </c>
      <c r="I4730" s="64">
        <f>DATEVALUE(tblLaborEntries[[#This Row],[Work date]])</f>
        <v>45399.0</v>
      </c>
    </row>
    <row r="4731" spans="1:9" ht="15" x14ac:dyDescent="0.25">
      <c r="A4731" s="53" t="inlineStr">
        <is>
          <t>LAB-004730</t>
        </is>
      </c>
      <c r="B4731" s="53" t="inlineStr">
        <is>
          <t>WP-02080</t>
        </is>
      </c>
      <c r="C4731" s="53" t="inlineStr">
        <is>
          <t>TECH-069</t>
        </is>
      </c>
      <c r="D4731" s="53" t="inlineStr">
        <is>
          <t>Hydraulics</t>
        </is>
      </c>
      <c r="E4731" s="53" t="inlineStr">
        <is>
          <t>2025-10-30</t>
        </is>
      </c>
      <c r="F4731" s="53">
        <v>2.2</v>
      </c>
      <c r="G4731" s="53">
        <v>0</v>
      </c>
      <c r="H4731" s="51" t="str">
        <f>TEXT(tblLaborEntries[[#This Row],[Work date serial]]-WEEKDAY(tblLaborEntries[[#This Row],[Work date serial]],3),"yyyy-mm-dd")</f>
        <v>2025-10-27</v>
      </c>
      <c r="I4731" s="64">
        <f>DATEVALUE(tblLaborEntries[[#This Row],[Work date]])</f>
        <v>45960.0</v>
      </c>
    </row>
    <row r="4732" spans="1:9" ht="15" x14ac:dyDescent="0.25">
      <c r="A4732" s="53" t="inlineStr">
        <is>
          <t>LAB-004731</t>
        </is>
      </c>
      <c r="B4732" s="53" t="inlineStr">
        <is>
          <t>WP-02080</t>
        </is>
      </c>
      <c r="C4732" s="53" t="inlineStr">
        <is>
          <t>TECH-051</t>
        </is>
      </c>
      <c r="D4732" s="53" t="inlineStr">
        <is>
          <t>Hydraulics</t>
        </is>
      </c>
      <c r="E4732" s="53" t="inlineStr">
        <is>
          <t>2025-10-31</t>
        </is>
      </c>
      <c r="F4732" s="53">
        <v>2.5</v>
      </c>
      <c r="G4732" s="53">
        <v>0</v>
      </c>
      <c r="H4732" s="51" t="str">
        <f>TEXT(tblLaborEntries[[#This Row],[Work date serial]]-WEEKDAY(tblLaborEntries[[#This Row],[Work date serial]],3),"yyyy-mm-dd")</f>
        <v>2025-10-27</v>
      </c>
      <c r="I4732" s="64">
        <f>DATEVALUE(tblLaborEntries[[#This Row],[Work date]])</f>
        <v>45961.0</v>
      </c>
    </row>
    <row r="4733" spans="1:9" ht="15" x14ac:dyDescent="0.25">
      <c r="A4733" s="53" t="inlineStr">
        <is>
          <t>LAB-004732</t>
        </is>
      </c>
      <c r="B4733" s="53" t="inlineStr">
        <is>
          <t>WP-02080</t>
        </is>
      </c>
      <c r="C4733" s="53" t="inlineStr">
        <is>
          <t>TECH-003</t>
        </is>
      </c>
      <c r="D4733" s="53" t="inlineStr">
        <is>
          <t>Hydraulics</t>
        </is>
      </c>
      <c r="E4733" s="53" t="inlineStr">
        <is>
          <t>2025-11-01</t>
        </is>
      </c>
      <c r="F4733" s="53">
        <v>2.5</v>
      </c>
      <c r="G4733" s="53">
        <v>0</v>
      </c>
      <c r="H4733" s="51" t="str">
        <f>TEXT(tblLaborEntries[[#This Row],[Work date serial]]-WEEKDAY(tblLaborEntries[[#This Row],[Work date serial]],3),"yyyy-mm-dd")</f>
        <v>2025-10-27</v>
      </c>
      <c r="I4733" s="64">
        <f>DATEVALUE(tblLaborEntries[[#This Row],[Work date]])</f>
        <v>45962.0</v>
      </c>
    </row>
    <row r="4734" spans="1:9" ht="15" x14ac:dyDescent="0.25">
      <c r="A4734" s="53" t="inlineStr">
        <is>
          <t>LAB-004733</t>
        </is>
      </c>
      <c r="B4734" s="53" t="inlineStr">
        <is>
          <t>WP-02081</t>
        </is>
      </c>
      <c r="C4734" s="53" t="inlineStr">
        <is>
          <t>TECH-037</t>
        </is>
      </c>
      <c r="D4734" s="53" t="inlineStr">
        <is>
          <t>Airframe</t>
        </is>
      </c>
      <c r="E4734" s="53" t="inlineStr">
        <is>
          <t>2024-11-04</t>
        </is>
      </c>
      <c r="F4734" s="53">
        <v>1.4</v>
      </c>
      <c r="G4734" s="53">
        <v>0</v>
      </c>
      <c r="H4734" s="51" t="str">
        <f>TEXT(tblLaborEntries[[#This Row],[Work date serial]]-WEEKDAY(tblLaborEntries[[#This Row],[Work date serial]],3),"yyyy-mm-dd")</f>
        <v>2024-11-04</v>
      </c>
      <c r="I4734" s="64">
        <f>DATEVALUE(tblLaborEntries[[#This Row],[Work date]])</f>
        <v>45600.0</v>
      </c>
    </row>
    <row r="4735" spans="1:9" ht="15" x14ac:dyDescent="0.25">
      <c r="A4735" s="53" t="inlineStr">
        <is>
          <t>LAB-004734</t>
        </is>
      </c>
      <c r="B4735" s="53" t="inlineStr">
        <is>
          <t>WP-02081</t>
        </is>
      </c>
      <c r="C4735" s="53" t="inlineStr">
        <is>
          <t>TECH-073</t>
        </is>
      </c>
      <c r="D4735" s="53" t="inlineStr">
        <is>
          <t>Airframe</t>
        </is>
      </c>
      <c r="E4735" s="53" t="inlineStr">
        <is>
          <t>2024-11-05</t>
        </is>
      </c>
      <c r="F4735" s="53">
        <v>1.3</v>
      </c>
      <c r="G4735" s="53">
        <v>0</v>
      </c>
      <c r="H4735" s="51" t="str">
        <f>TEXT(tblLaborEntries[[#This Row],[Work date serial]]-WEEKDAY(tblLaborEntries[[#This Row],[Work date serial]],3),"yyyy-mm-dd")</f>
        <v>2024-11-04</v>
      </c>
      <c r="I4735" s="64">
        <f>DATEVALUE(tblLaborEntries[[#This Row],[Work date]])</f>
        <v>45601.0</v>
      </c>
    </row>
    <row r="4736" spans="1:9" ht="15" x14ac:dyDescent="0.25">
      <c r="A4736" s="53" t="inlineStr">
        <is>
          <t>LAB-004735</t>
        </is>
      </c>
      <c r="B4736" s="53" t="inlineStr">
        <is>
          <t>WP-02082</t>
        </is>
      </c>
      <c r="C4736" s="53" t="inlineStr">
        <is>
          <t>TECH-073</t>
        </is>
      </c>
      <c r="D4736" s="53" t="inlineStr">
        <is>
          <t>Airframe</t>
        </is>
      </c>
      <c r="E4736" s="53" t="inlineStr">
        <is>
          <t>2024-06-12</t>
        </is>
      </c>
      <c r="F4736" s="53">
        <v>5.9</v>
      </c>
      <c r="G4736" s="53">
        <v>0</v>
      </c>
      <c r="H4736" s="51" t="str">
        <f>TEXT(tblLaborEntries[[#This Row],[Work date serial]]-WEEKDAY(tblLaborEntries[[#This Row],[Work date serial]],3),"yyyy-mm-dd")</f>
        <v>2024-06-10</v>
      </c>
      <c r="I4736" s="64">
        <f>DATEVALUE(tblLaborEntries[[#This Row],[Work date]])</f>
        <v>45455.0</v>
      </c>
    </row>
    <row r="4737" spans="1:9" ht="15" x14ac:dyDescent="0.25">
      <c r="A4737" s="53" t="inlineStr">
        <is>
          <t>LAB-004736</t>
        </is>
      </c>
      <c r="B4737" s="53" t="inlineStr">
        <is>
          <t>WP-02082</t>
        </is>
      </c>
      <c r="C4737" s="53" t="inlineStr">
        <is>
          <t>TECH-073</t>
        </is>
      </c>
      <c r="D4737" s="53" t="inlineStr">
        <is>
          <t>Airframe</t>
        </is>
      </c>
      <c r="E4737" s="53" t="inlineStr">
        <is>
          <t>2024-06-13</t>
        </is>
      </c>
      <c r="F4737" s="53">
        <v>4.4</v>
      </c>
      <c r="G4737" s="53">
        <v>0</v>
      </c>
      <c r="H4737" s="51" t="str">
        <f>TEXT(tblLaborEntries[[#This Row],[Work date serial]]-WEEKDAY(tblLaborEntries[[#This Row],[Work date serial]],3),"yyyy-mm-dd")</f>
        <v>2024-06-10</v>
      </c>
      <c r="I4737" s="64">
        <f>DATEVALUE(tblLaborEntries[[#This Row],[Work date]])</f>
        <v>45456.0</v>
      </c>
    </row>
    <row r="4738" spans="1:9" ht="15" x14ac:dyDescent="0.25">
      <c r="A4738" s="53" t="inlineStr">
        <is>
          <t>LAB-004737</t>
        </is>
      </c>
      <c r="B4738" s="53" t="inlineStr">
        <is>
          <t>WP-02082</t>
        </is>
      </c>
      <c r="C4738" s="53" t="inlineStr">
        <is>
          <t>TECH-031</t>
        </is>
      </c>
      <c r="D4738" s="53" t="inlineStr">
        <is>
          <t>Airframe</t>
        </is>
      </c>
      <c r="E4738" s="53" t="inlineStr">
        <is>
          <t>2024-06-14</t>
        </is>
      </c>
      <c r="F4738" s="53">
        <v>6.2</v>
      </c>
      <c r="G4738" s="53">
        <v>0</v>
      </c>
      <c r="H4738" s="51" t="str">
        <f>TEXT(tblLaborEntries[[#This Row],[Work date serial]]-WEEKDAY(tblLaborEntries[[#This Row],[Work date serial]],3),"yyyy-mm-dd")</f>
        <v>2024-06-10</v>
      </c>
      <c r="I4738" s="64">
        <f>DATEVALUE(tblLaborEntries[[#This Row],[Work date]])</f>
        <v>45457.0</v>
      </c>
    </row>
    <row r="4739" spans="1:9" ht="15" x14ac:dyDescent="0.25">
      <c r="A4739" s="53" t="inlineStr">
        <is>
          <t>LAB-004738</t>
        </is>
      </c>
      <c r="B4739" s="53" t="inlineStr">
        <is>
          <t>WP-02083</t>
        </is>
      </c>
      <c r="C4739" s="53" t="inlineStr">
        <is>
          <t>TECH-003</t>
        </is>
      </c>
      <c r="D4739" s="53" t="inlineStr">
        <is>
          <t>Hydraulics</t>
        </is>
      </c>
      <c r="E4739" s="53" t="inlineStr">
        <is>
          <t>2025-11-16</t>
        </is>
      </c>
      <c r="F4739" s="53">
        <v>4.5</v>
      </c>
      <c r="G4739" s="53">
        <v>0</v>
      </c>
      <c r="H4739" s="51" t="str">
        <f>TEXT(tblLaborEntries[[#This Row],[Work date serial]]-WEEKDAY(tblLaborEntries[[#This Row],[Work date serial]],3),"yyyy-mm-dd")</f>
        <v>2025-11-10</v>
      </c>
      <c r="I4739" s="64">
        <f>DATEVALUE(tblLaborEntries[[#This Row],[Work date]])</f>
        <v>45977.0</v>
      </c>
    </row>
    <row r="4740" spans="1:9" ht="15" x14ac:dyDescent="0.25">
      <c r="A4740" s="53" t="inlineStr">
        <is>
          <t>LAB-004739</t>
        </is>
      </c>
      <c r="B4740" s="53" t="inlineStr">
        <is>
          <t>WP-02083</t>
        </is>
      </c>
      <c r="C4740" s="53" t="inlineStr">
        <is>
          <t>TECH-069</t>
        </is>
      </c>
      <c r="D4740" s="53" t="inlineStr">
        <is>
          <t>Hydraulics</t>
        </is>
      </c>
      <c r="E4740" s="53" t="inlineStr">
        <is>
          <t>2025-11-16</t>
        </is>
      </c>
      <c r="F4740" s="53">
        <v>9.7</v>
      </c>
      <c r="G4740" s="53">
        <v>4</v>
      </c>
      <c r="H4740" s="51" t="str">
        <f>TEXT(tblLaborEntries[[#This Row],[Work date serial]]-WEEKDAY(tblLaborEntries[[#This Row],[Work date serial]],3),"yyyy-mm-dd")</f>
        <v>2025-11-10</v>
      </c>
      <c r="I4740" s="64">
        <f>DATEVALUE(tblLaborEntries[[#This Row],[Work date]])</f>
        <v>45977.0</v>
      </c>
    </row>
    <row r="4741" spans="1:9" ht="15" x14ac:dyDescent="0.25">
      <c r="A4741" s="53" t="inlineStr">
        <is>
          <t>LAB-004740</t>
        </is>
      </c>
      <c r="B4741" s="53" t="inlineStr">
        <is>
          <t>WP-02084</t>
        </is>
      </c>
      <c r="C4741" s="53" t="inlineStr">
        <is>
          <t>TECH-002</t>
        </is>
      </c>
      <c r="D4741" s="53" t="inlineStr">
        <is>
          <t>Avionics</t>
        </is>
      </c>
      <c r="E4741" s="53" t="inlineStr">
        <is>
          <t>2025-10-25</t>
        </is>
      </c>
      <c r="F4741" s="53">
        <v>1.6</v>
      </c>
      <c r="G4741" s="53">
        <v>0</v>
      </c>
      <c r="H4741" s="51" t="str">
        <f>TEXT(tblLaborEntries[[#This Row],[Work date serial]]-WEEKDAY(tblLaborEntries[[#This Row],[Work date serial]],3),"yyyy-mm-dd")</f>
        <v>2025-10-20</v>
      </c>
      <c r="I4741" s="64">
        <f>DATEVALUE(tblLaborEntries[[#This Row],[Work date]])</f>
        <v>45955.0</v>
      </c>
    </row>
    <row r="4742" spans="1:9" ht="15" x14ac:dyDescent="0.25">
      <c r="A4742" s="53" t="inlineStr">
        <is>
          <t>LAB-004741</t>
        </is>
      </c>
      <c r="B4742" s="53" t="inlineStr">
        <is>
          <t>WP-02084</t>
        </is>
      </c>
      <c r="C4742" s="53" t="inlineStr">
        <is>
          <t>TECH-008</t>
        </is>
      </c>
      <c r="D4742" s="53" t="inlineStr">
        <is>
          <t>Avionics</t>
        </is>
      </c>
      <c r="E4742" s="53" t="inlineStr">
        <is>
          <t>2025-10-26</t>
        </is>
      </c>
      <c r="F4742" s="53">
        <v>2</v>
      </c>
      <c r="G4742" s="53">
        <v>0</v>
      </c>
      <c r="H4742" s="51" t="str">
        <f>TEXT(tblLaborEntries[[#This Row],[Work date serial]]-WEEKDAY(tblLaborEntries[[#This Row],[Work date serial]],3),"yyyy-mm-dd")</f>
        <v>2025-10-20</v>
      </c>
      <c r="I4742" s="64">
        <f>DATEVALUE(tblLaborEntries[[#This Row],[Work date]])</f>
        <v>45956.0</v>
      </c>
    </row>
    <row r="4743" spans="1:9" ht="15" x14ac:dyDescent="0.25">
      <c r="A4743" s="53" t="inlineStr">
        <is>
          <t>LAB-004742</t>
        </is>
      </c>
      <c r="B4743" s="53" t="inlineStr">
        <is>
          <t>WP-02084</t>
        </is>
      </c>
      <c r="C4743" s="53" t="inlineStr">
        <is>
          <t>TECH-074</t>
        </is>
      </c>
      <c r="D4743" s="53" t="inlineStr">
        <is>
          <t>Avionics</t>
        </is>
      </c>
      <c r="E4743" s="53" t="inlineStr">
        <is>
          <t>2025-10-27</t>
        </is>
      </c>
      <c r="F4743" s="53">
        <v>2.4</v>
      </c>
      <c r="G4743" s="53">
        <v>0</v>
      </c>
      <c r="H4743" s="51" t="str">
        <f>TEXT(tblLaborEntries[[#This Row],[Work date serial]]-WEEKDAY(tblLaborEntries[[#This Row],[Work date serial]],3),"yyyy-mm-dd")</f>
        <v>2025-10-27</v>
      </c>
      <c r="I4743" s="64">
        <f>DATEVALUE(tblLaborEntries[[#This Row],[Work date]])</f>
        <v>45957.0</v>
      </c>
    </row>
    <row r="4744" spans="1:9" ht="15" x14ac:dyDescent="0.25">
      <c r="A4744" s="53" t="inlineStr">
        <is>
          <t>LAB-004743</t>
        </is>
      </c>
      <c r="B4744" s="53" t="inlineStr">
        <is>
          <t>WP-02085</t>
        </is>
      </c>
      <c r="C4744" s="53" t="inlineStr">
        <is>
          <t>TECH-003</t>
        </is>
      </c>
      <c r="D4744" s="53" t="inlineStr">
        <is>
          <t>Hydraulics</t>
        </is>
      </c>
      <c r="E4744" s="53" t="inlineStr">
        <is>
          <t>2025-04-30</t>
        </is>
      </c>
      <c r="F4744" s="53">
        <v>2.2</v>
      </c>
      <c r="G4744" s="53">
        <v>0</v>
      </c>
      <c r="H4744" s="51" t="str">
        <f>TEXT(tblLaborEntries[[#This Row],[Work date serial]]-WEEKDAY(tblLaborEntries[[#This Row],[Work date serial]],3),"yyyy-mm-dd")</f>
        <v>2025-04-28</v>
      </c>
      <c r="I4744" s="64">
        <f>DATEVALUE(tblLaborEntries[[#This Row],[Work date]])</f>
        <v>45777.0</v>
      </c>
    </row>
    <row r="4745" spans="1:9" ht="15" x14ac:dyDescent="0.25">
      <c r="A4745" s="53" t="inlineStr">
        <is>
          <t>LAB-004744</t>
        </is>
      </c>
      <c r="B4745" s="53" t="inlineStr">
        <is>
          <t>WP-02085</t>
        </is>
      </c>
      <c r="C4745" s="53" t="inlineStr">
        <is>
          <t>TECH-045</t>
        </is>
      </c>
      <c r="D4745" s="53" t="inlineStr">
        <is>
          <t>Hydraulics</t>
        </is>
      </c>
      <c r="E4745" s="53" t="inlineStr">
        <is>
          <t>2025-04-30</t>
        </is>
      </c>
      <c r="F4745" s="53">
        <v>6.9</v>
      </c>
      <c r="G4745" s="53">
        <v>4</v>
      </c>
      <c r="H4745" s="51" t="str">
        <f>TEXT(tblLaborEntries[[#This Row],[Work date serial]]-WEEKDAY(tblLaborEntries[[#This Row],[Work date serial]],3),"yyyy-mm-dd")</f>
        <v>2025-04-28</v>
      </c>
      <c r="I4745" s="64">
        <f>DATEVALUE(tblLaborEntries[[#This Row],[Work date]])</f>
        <v>45777.0</v>
      </c>
    </row>
    <row r="4746" spans="1:9" ht="15" x14ac:dyDescent="0.25">
      <c r="A4746" s="53" t="inlineStr">
        <is>
          <t>LAB-004745</t>
        </is>
      </c>
      <c r="B4746" s="53" t="inlineStr">
        <is>
          <t>WP-02086</t>
        </is>
      </c>
      <c r="C4746" s="53" t="inlineStr">
        <is>
          <t>TECH-020</t>
        </is>
      </c>
      <c r="D4746" s="53" t="inlineStr">
        <is>
          <t>Avionics</t>
        </is>
      </c>
      <c r="E4746" s="53" t="inlineStr">
        <is>
          <t>2024-01-27</t>
        </is>
      </c>
      <c r="F4746" s="53">
        <v>2</v>
      </c>
      <c r="G4746" s="53">
        <v>0</v>
      </c>
      <c r="H4746" s="51" t="str">
        <f>TEXT(tblLaborEntries[[#This Row],[Work date serial]]-WEEKDAY(tblLaborEntries[[#This Row],[Work date serial]],3),"yyyy-mm-dd")</f>
        <v>2024-01-22</v>
      </c>
      <c r="I4746" s="64">
        <f>DATEVALUE(tblLaborEntries[[#This Row],[Work date]])</f>
        <v>45318.0</v>
      </c>
    </row>
    <row r="4747" spans="1:9" ht="15" x14ac:dyDescent="0.25">
      <c r="A4747" s="53" t="inlineStr">
        <is>
          <t>LAB-004746</t>
        </is>
      </c>
      <c r="B4747" s="53" t="inlineStr">
        <is>
          <t>WP-02086</t>
        </is>
      </c>
      <c r="C4747" s="53" t="inlineStr">
        <is>
          <t>TECH-002</t>
        </is>
      </c>
      <c r="D4747" s="53" t="inlineStr">
        <is>
          <t>Avionics</t>
        </is>
      </c>
      <c r="E4747" s="53" t="inlineStr">
        <is>
          <t>2024-01-28</t>
        </is>
      </c>
      <c r="F4747" s="53">
        <v>2.7</v>
      </c>
      <c r="G4747" s="53">
        <v>0</v>
      </c>
      <c r="H4747" s="51" t="str">
        <f>TEXT(tblLaborEntries[[#This Row],[Work date serial]]-WEEKDAY(tblLaborEntries[[#This Row],[Work date serial]],3),"yyyy-mm-dd")</f>
        <v>2024-01-22</v>
      </c>
      <c r="I4747" s="64">
        <f>DATEVALUE(tblLaborEntries[[#This Row],[Work date]])</f>
        <v>45319.0</v>
      </c>
    </row>
    <row r="4748" spans="1:9" ht="15" x14ac:dyDescent="0.25">
      <c r="A4748" s="53" t="inlineStr">
        <is>
          <t>LAB-004747</t>
        </is>
      </c>
      <c r="B4748" s="53" t="inlineStr">
        <is>
          <t>WP-02087</t>
        </is>
      </c>
      <c r="C4748" s="53" t="inlineStr">
        <is>
          <t>TECH-046</t>
        </is>
      </c>
      <c r="D4748" s="53" t="inlineStr">
        <is>
          <t>Electrical</t>
        </is>
      </c>
      <c r="E4748" s="53" t="inlineStr">
        <is>
          <t>2024-02-08</t>
        </is>
      </c>
      <c r="F4748" s="53">
        <v>5.2</v>
      </c>
      <c r="G4748" s="53">
        <v>1.5</v>
      </c>
      <c r="H4748" s="51" t="str">
        <f>TEXT(tblLaborEntries[[#This Row],[Work date serial]]-WEEKDAY(tblLaborEntries[[#This Row],[Work date serial]],3),"yyyy-mm-dd")</f>
        <v>2024-02-05</v>
      </c>
      <c r="I4748" s="64">
        <f>DATEVALUE(tblLaborEntries[[#This Row],[Work date]])</f>
        <v>45330.0</v>
      </c>
    </row>
    <row r="4749" spans="1:9" ht="15" x14ac:dyDescent="0.25">
      <c r="A4749" s="53" t="inlineStr">
        <is>
          <t>LAB-004748</t>
        </is>
      </c>
      <c r="B4749" s="53" t="inlineStr">
        <is>
          <t>WP-02087</t>
        </is>
      </c>
      <c r="C4749" s="53" t="inlineStr">
        <is>
          <t>TECH-040</t>
        </is>
      </c>
      <c r="D4749" s="53" t="inlineStr">
        <is>
          <t>Electrical</t>
        </is>
      </c>
      <c r="E4749" s="53" t="inlineStr">
        <is>
          <t>2024-02-09</t>
        </is>
      </c>
      <c r="F4749" s="53">
        <v>7.2</v>
      </c>
      <c r="G4749" s="53">
        <v>0</v>
      </c>
      <c r="H4749" s="51" t="str">
        <f>TEXT(tblLaborEntries[[#This Row],[Work date serial]]-WEEKDAY(tblLaborEntries[[#This Row],[Work date serial]],3),"yyyy-mm-dd")</f>
        <v>2024-02-05</v>
      </c>
      <c r="I4749" s="64">
        <f>DATEVALUE(tblLaborEntries[[#This Row],[Work date]])</f>
        <v>45331.0</v>
      </c>
    </row>
    <row r="4750" spans="1:9" ht="15" x14ac:dyDescent="0.25">
      <c r="A4750" s="53" t="inlineStr">
        <is>
          <t>LAB-004749</t>
        </is>
      </c>
      <c r="B4750" s="53" t="inlineStr">
        <is>
          <t>WP-02087</t>
        </is>
      </c>
      <c r="C4750" s="53" t="inlineStr">
        <is>
          <t>TECH-064</t>
        </is>
      </c>
      <c r="D4750" s="53" t="inlineStr">
        <is>
          <t>Electrical</t>
        </is>
      </c>
      <c r="E4750" s="53" t="inlineStr">
        <is>
          <t>2024-02-10</t>
        </is>
      </c>
      <c r="F4750" s="53">
        <v>5.5</v>
      </c>
      <c r="G4750" s="53">
        <v>0</v>
      </c>
      <c r="H4750" s="51" t="str">
        <f>TEXT(tblLaborEntries[[#This Row],[Work date serial]]-WEEKDAY(tblLaborEntries[[#This Row],[Work date serial]],3),"yyyy-mm-dd")</f>
        <v>2024-02-05</v>
      </c>
      <c r="I4750" s="64">
        <f>DATEVALUE(tblLaborEntries[[#This Row],[Work date]])</f>
        <v>45332.0</v>
      </c>
    </row>
    <row r="4751" spans="1:9" ht="15" x14ac:dyDescent="0.25">
      <c r="A4751" s="53" t="inlineStr">
        <is>
          <t>LAB-004750</t>
        </is>
      </c>
      <c r="B4751" s="53" t="inlineStr">
        <is>
          <t>WP-02088</t>
        </is>
      </c>
      <c r="C4751" s="53" t="inlineStr">
        <is>
          <t>TECH-036</t>
        </is>
      </c>
      <c r="D4751" s="53" t="inlineStr">
        <is>
          <t>Powerplant</t>
        </is>
      </c>
      <c r="E4751" s="53" t="inlineStr">
        <is>
          <t>2025-02-28</t>
        </is>
      </c>
      <c r="F4751" s="53">
        <v>4.6</v>
      </c>
      <c r="G4751" s="53">
        <v>0</v>
      </c>
      <c r="H4751" s="51" t="str">
        <f>TEXT(tblLaborEntries[[#This Row],[Work date serial]]-WEEKDAY(tblLaborEntries[[#This Row],[Work date serial]],3),"yyyy-mm-dd")</f>
        <v>2025-02-24</v>
      </c>
      <c r="I4751" s="64">
        <f>DATEVALUE(tblLaborEntries[[#This Row],[Work date]])</f>
        <v>45716.0</v>
      </c>
    </row>
    <row r="4752" spans="1:9" ht="15" x14ac:dyDescent="0.25">
      <c r="A4752" s="53" t="inlineStr">
        <is>
          <t>LAB-004751</t>
        </is>
      </c>
      <c r="B4752" s="53" t="inlineStr">
        <is>
          <t>WP-02088</t>
        </is>
      </c>
      <c r="C4752" s="53" t="inlineStr">
        <is>
          <t>TECH-018</t>
        </is>
      </c>
      <c r="D4752" s="53" t="inlineStr">
        <is>
          <t>Powerplant</t>
        </is>
      </c>
      <c r="E4752" s="53" t="inlineStr">
        <is>
          <t>2025-03-01</t>
        </is>
      </c>
      <c r="F4752" s="53">
        <v>5.2</v>
      </c>
      <c r="G4752" s="53">
        <v>0</v>
      </c>
      <c r="H4752" s="51" t="str">
        <f>TEXT(tblLaborEntries[[#This Row],[Work date serial]]-WEEKDAY(tblLaborEntries[[#This Row],[Work date serial]],3),"yyyy-mm-dd")</f>
        <v>2025-02-24</v>
      </c>
      <c r="I4752" s="64">
        <f>DATEVALUE(tblLaborEntries[[#This Row],[Work date]])</f>
        <v>45717.0</v>
      </c>
    </row>
    <row r="4753" spans="1:9" ht="15" x14ac:dyDescent="0.25">
      <c r="A4753" s="53" t="inlineStr">
        <is>
          <t>LAB-004752</t>
        </is>
      </c>
      <c r="B4753" s="53" t="inlineStr">
        <is>
          <t>WP-02088</t>
        </is>
      </c>
      <c r="C4753" s="53" t="inlineStr">
        <is>
          <t>TECH-012</t>
        </is>
      </c>
      <c r="D4753" s="53" t="inlineStr">
        <is>
          <t>Powerplant</t>
        </is>
      </c>
      <c r="E4753" s="53" t="inlineStr">
        <is>
          <t>2025-03-02</t>
        </is>
      </c>
      <c r="F4753" s="53">
        <v>5.4</v>
      </c>
      <c r="G4753" s="53">
        <v>0</v>
      </c>
      <c r="H4753" s="51" t="str">
        <f>TEXT(tblLaborEntries[[#This Row],[Work date serial]]-WEEKDAY(tblLaborEntries[[#This Row],[Work date serial]],3),"yyyy-mm-dd")</f>
        <v>2025-02-24</v>
      </c>
      <c r="I4753" s="64">
        <f>DATEVALUE(tblLaborEntries[[#This Row],[Work date]])</f>
        <v>45718.0</v>
      </c>
    </row>
    <row r="4754" spans="1:9" ht="15" x14ac:dyDescent="0.25">
      <c r="A4754" s="53" t="inlineStr">
        <is>
          <t>LAB-004753</t>
        </is>
      </c>
      <c r="B4754" s="53" t="inlineStr">
        <is>
          <t>WP-02089</t>
        </is>
      </c>
      <c r="C4754" s="53" t="inlineStr">
        <is>
          <t>TECH-012</t>
        </is>
      </c>
      <c r="D4754" s="53" t="inlineStr">
        <is>
          <t>Powerplant</t>
        </is>
      </c>
      <c r="E4754" s="53" t="inlineStr">
        <is>
          <t>2024-11-16</t>
        </is>
      </c>
      <c r="F4754" s="53">
        <v>3.7</v>
      </c>
      <c r="G4754" s="53">
        <v>0</v>
      </c>
      <c r="H4754" s="51" t="str">
        <f>TEXT(tblLaborEntries[[#This Row],[Work date serial]]-WEEKDAY(tblLaborEntries[[#This Row],[Work date serial]],3),"yyyy-mm-dd")</f>
        <v>2024-11-11</v>
      </c>
      <c r="I4754" s="64">
        <f>DATEVALUE(tblLaborEntries[[#This Row],[Work date]])</f>
        <v>45612.0</v>
      </c>
    </row>
    <row r="4755" spans="1:9" ht="15" x14ac:dyDescent="0.25">
      <c r="A4755" s="53" t="inlineStr">
        <is>
          <t>LAB-004754</t>
        </is>
      </c>
      <c r="B4755" s="53" t="inlineStr">
        <is>
          <t>WP-02089</t>
        </is>
      </c>
      <c r="C4755" s="53" t="inlineStr">
        <is>
          <t>TECH-042</t>
        </is>
      </c>
      <c r="D4755" s="53" t="inlineStr">
        <is>
          <t>Powerplant</t>
        </is>
      </c>
      <c r="E4755" s="53" t="inlineStr">
        <is>
          <t>2024-11-17</t>
        </is>
      </c>
      <c r="F4755" s="53">
        <v>4.4</v>
      </c>
      <c r="G4755" s="53">
        <v>0</v>
      </c>
      <c r="H4755" s="51" t="str">
        <f>TEXT(tblLaborEntries[[#This Row],[Work date serial]]-WEEKDAY(tblLaborEntries[[#This Row],[Work date serial]],3),"yyyy-mm-dd")</f>
        <v>2024-11-11</v>
      </c>
      <c r="I4755" s="64">
        <f>DATEVALUE(tblLaborEntries[[#This Row],[Work date]])</f>
        <v>45613.0</v>
      </c>
    </row>
    <row r="4756" spans="1:9" ht="15" x14ac:dyDescent="0.25">
      <c r="A4756" s="53" t="inlineStr">
        <is>
          <t>LAB-004755</t>
        </is>
      </c>
      <c r="B4756" s="53" t="inlineStr">
        <is>
          <t>WP-02090</t>
        </is>
      </c>
      <c r="C4756" s="53" t="inlineStr">
        <is>
          <t>TECH-006</t>
        </is>
      </c>
      <c r="D4756" s="53" t="inlineStr">
        <is>
          <t>Powerplant</t>
        </is>
      </c>
      <c r="E4756" s="53" t="inlineStr">
        <is>
          <t>2025-04-14</t>
        </is>
      </c>
      <c r="F4756" s="53">
        <v>12</v>
      </c>
      <c r="G4756" s="53">
        <v>4</v>
      </c>
      <c r="H4756" s="51" t="str">
        <f>TEXT(tblLaborEntries[[#This Row],[Work date serial]]-WEEKDAY(tblLaborEntries[[#This Row],[Work date serial]],3),"yyyy-mm-dd")</f>
        <v>2025-04-14</v>
      </c>
      <c r="I4756" s="64">
        <f>DATEVALUE(tblLaborEntries[[#This Row],[Work date]])</f>
        <v>45761.0</v>
      </c>
    </row>
    <row r="4757" spans="1:9" ht="15" x14ac:dyDescent="0.25">
      <c r="A4757" s="53" t="inlineStr">
        <is>
          <t>LAB-004756</t>
        </is>
      </c>
      <c r="B4757" s="53" t="inlineStr">
        <is>
          <t>WP-02090</t>
        </is>
      </c>
      <c r="C4757" s="53" t="inlineStr">
        <is>
          <t>TECH-012</t>
        </is>
      </c>
      <c r="D4757" s="53" t="inlineStr">
        <is>
          <t>Powerplant</t>
        </is>
      </c>
      <c r="E4757" s="53" t="inlineStr">
        <is>
          <t>2025-04-14</t>
        </is>
      </c>
      <c r="F4757" s="53">
        <v>3.9</v>
      </c>
      <c r="G4757" s="53">
        <v>0</v>
      </c>
      <c r="H4757" s="51" t="str">
        <f>TEXT(tblLaborEntries[[#This Row],[Work date serial]]-WEEKDAY(tblLaborEntries[[#This Row],[Work date serial]],3),"yyyy-mm-dd")</f>
        <v>2025-04-14</v>
      </c>
      <c r="I4757" s="64">
        <f>DATEVALUE(tblLaborEntries[[#This Row],[Work date]])</f>
        <v>45761.0</v>
      </c>
    </row>
    <row r="4758" spans="1:9" ht="15" x14ac:dyDescent="0.25">
      <c r="A4758" s="53" t="inlineStr">
        <is>
          <t>LAB-004757</t>
        </is>
      </c>
      <c r="B4758" s="53" t="inlineStr">
        <is>
          <t>WP-02090</t>
        </is>
      </c>
      <c r="C4758" s="53" t="inlineStr">
        <is>
          <t>TECH-024</t>
        </is>
      </c>
      <c r="D4758" s="53" t="inlineStr">
        <is>
          <t>Powerplant</t>
        </is>
      </c>
      <c r="E4758" s="53" t="inlineStr">
        <is>
          <t>2025-04-14</t>
        </is>
      </c>
      <c r="F4758" s="53">
        <v>12</v>
      </c>
      <c r="G4758" s="53">
        <v>4</v>
      </c>
      <c r="H4758" s="51" t="str">
        <f>TEXT(tblLaborEntries[[#This Row],[Work date serial]]-WEEKDAY(tblLaborEntries[[#This Row],[Work date serial]],3),"yyyy-mm-dd")</f>
        <v>2025-04-14</v>
      </c>
      <c r="I4758" s="64">
        <f>DATEVALUE(tblLaborEntries[[#This Row],[Work date]])</f>
        <v>45761.0</v>
      </c>
    </row>
    <row r="4759" spans="1:9" ht="15" x14ac:dyDescent="0.25">
      <c r="A4759" s="53" t="inlineStr">
        <is>
          <t>LAB-004758</t>
        </is>
      </c>
      <c r="B4759" s="53" t="inlineStr">
        <is>
          <t>WP-02091</t>
        </is>
      </c>
      <c r="C4759" s="53" t="inlineStr">
        <is>
          <t>TECH-038</t>
        </is>
      </c>
      <c r="D4759" s="53" t="inlineStr">
        <is>
          <t>Avionics</t>
        </is>
      </c>
      <c r="E4759" s="53" t="inlineStr">
        <is>
          <t>2024-11-02</t>
        </is>
      </c>
      <c r="F4759" s="53">
        <v>6.2</v>
      </c>
      <c r="G4759" s="53">
        <v>0</v>
      </c>
      <c r="H4759" s="51" t="str">
        <f>TEXT(tblLaborEntries[[#This Row],[Work date serial]]-WEEKDAY(tblLaborEntries[[#This Row],[Work date serial]],3),"yyyy-mm-dd")</f>
        <v>2024-10-28</v>
      </c>
      <c r="I4759" s="64">
        <f>DATEVALUE(tblLaborEntries[[#This Row],[Work date]])</f>
        <v>45598.0</v>
      </c>
    </row>
    <row r="4760" spans="1:9" ht="15" x14ac:dyDescent="0.25">
      <c r="A4760" s="53" t="inlineStr">
        <is>
          <t>LAB-004759</t>
        </is>
      </c>
      <c r="B4760" s="53" t="inlineStr">
        <is>
          <t>WP-02091</t>
        </is>
      </c>
      <c r="C4760" s="53" t="inlineStr">
        <is>
          <t>TECH-074</t>
        </is>
      </c>
      <c r="D4760" s="53" t="inlineStr">
        <is>
          <t>Avionics</t>
        </is>
      </c>
      <c r="E4760" s="53" t="inlineStr">
        <is>
          <t>2024-11-03</t>
        </is>
      </c>
      <c r="F4760" s="53">
        <v>4.7</v>
      </c>
      <c r="G4760" s="53">
        <v>0</v>
      </c>
      <c r="H4760" s="51" t="str">
        <f>TEXT(tblLaborEntries[[#This Row],[Work date serial]]-WEEKDAY(tblLaborEntries[[#This Row],[Work date serial]],3),"yyyy-mm-dd")</f>
        <v>2024-10-28</v>
      </c>
      <c r="I4760" s="64">
        <f>DATEVALUE(tblLaborEntries[[#This Row],[Work date]])</f>
        <v>45599.0</v>
      </c>
    </row>
    <row r="4761" spans="1:9" ht="15" x14ac:dyDescent="0.25">
      <c r="A4761" s="53" t="inlineStr">
        <is>
          <t>LAB-004760</t>
        </is>
      </c>
      <c r="B4761" s="53" t="inlineStr">
        <is>
          <t>WP-02092</t>
        </is>
      </c>
      <c r="C4761" s="53" t="inlineStr">
        <is>
          <t>TECH-030</t>
        </is>
      </c>
      <c r="D4761" s="53" t="inlineStr">
        <is>
          <t>Powerplant</t>
        </is>
      </c>
      <c r="E4761" s="53" t="inlineStr">
        <is>
          <t>2026-02-01</t>
        </is>
      </c>
      <c r="F4761" s="53">
        <v>9.9</v>
      </c>
      <c r="G4761" s="53">
        <v>1.9</v>
      </c>
      <c r="H4761" s="51" t="str">
        <f>TEXT(tblLaborEntries[[#This Row],[Work date serial]]-WEEKDAY(tblLaborEntries[[#This Row],[Work date serial]],3),"yyyy-mm-dd")</f>
        <v>2026-01-26</v>
      </c>
      <c r="I4761" s="64">
        <f>DATEVALUE(tblLaborEntries[[#This Row],[Work date]])</f>
        <v>46054.0</v>
      </c>
    </row>
    <row r="4762" spans="1:9" ht="15" x14ac:dyDescent="0.25">
      <c r="A4762" s="53" t="inlineStr">
        <is>
          <t>LAB-004761</t>
        </is>
      </c>
      <c r="B4762" s="53" t="inlineStr">
        <is>
          <t>WP-02092</t>
        </is>
      </c>
      <c r="C4762" s="53" t="inlineStr">
        <is>
          <t>TECH-030</t>
        </is>
      </c>
      <c r="D4762" s="53" t="inlineStr">
        <is>
          <t>Powerplant</t>
        </is>
      </c>
      <c r="E4762" s="53" t="inlineStr">
        <is>
          <t>2026-02-02</t>
        </is>
      </c>
      <c r="F4762" s="53">
        <v>7.7</v>
      </c>
      <c r="G4762" s="53">
        <v>0</v>
      </c>
      <c r="H4762" s="51" t="str">
        <f>TEXT(tblLaborEntries[[#This Row],[Work date serial]]-WEEKDAY(tblLaborEntries[[#This Row],[Work date serial]],3),"yyyy-mm-dd")</f>
        <v>2026-02-02</v>
      </c>
      <c r="I4762" s="64">
        <f>DATEVALUE(tblLaborEntries[[#This Row],[Work date]])</f>
        <v>46055.0</v>
      </c>
    </row>
    <row r="4763" spans="1:9" ht="15" x14ac:dyDescent="0.25">
      <c r="A4763" s="53" t="inlineStr">
        <is>
          <t>LAB-004762</t>
        </is>
      </c>
      <c r="B4763" s="53" t="inlineStr">
        <is>
          <t>WP-02092</t>
        </is>
      </c>
      <c r="C4763" s="53" t="inlineStr">
        <is>
          <t>TECH-030</t>
        </is>
      </c>
      <c r="D4763" s="53" t="inlineStr">
        <is>
          <t>Powerplant</t>
        </is>
      </c>
      <c r="E4763" s="53" t="inlineStr">
        <is>
          <t>2026-02-03</t>
        </is>
      </c>
      <c r="F4763" s="53">
        <v>8.1</v>
      </c>
      <c r="G4763" s="53">
        <v>0.1</v>
      </c>
      <c r="H4763" s="51" t="str">
        <f>TEXT(tblLaborEntries[[#This Row],[Work date serial]]-WEEKDAY(tblLaborEntries[[#This Row],[Work date serial]],3),"yyyy-mm-dd")</f>
        <v>2026-02-02</v>
      </c>
      <c r="I4763" s="64">
        <f>DATEVALUE(tblLaborEntries[[#This Row],[Work date]])</f>
        <v>46056.0</v>
      </c>
    </row>
    <row r="4764" spans="1:9" ht="15" x14ac:dyDescent="0.25">
      <c r="A4764" s="53" t="inlineStr">
        <is>
          <t>LAB-004763</t>
        </is>
      </c>
      <c r="B4764" s="53" t="inlineStr">
        <is>
          <t>WP-02093</t>
        </is>
      </c>
      <c r="C4764" s="53" t="inlineStr">
        <is>
          <t>TECH-054</t>
        </is>
      </c>
      <c r="D4764" s="53" t="inlineStr">
        <is>
          <t>Powerplant</t>
        </is>
      </c>
      <c r="E4764" s="53" t="inlineStr">
        <is>
          <t>2024-06-26</t>
        </is>
      </c>
      <c r="F4764" s="53">
        <v>7.1</v>
      </c>
      <c r="G4764" s="53">
        <v>0</v>
      </c>
      <c r="H4764" s="51" t="str">
        <f>TEXT(tblLaborEntries[[#This Row],[Work date serial]]-WEEKDAY(tblLaborEntries[[#This Row],[Work date serial]],3),"yyyy-mm-dd")</f>
        <v>2024-06-24</v>
      </c>
      <c r="I4764" s="64">
        <f>DATEVALUE(tblLaborEntries[[#This Row],[Work date]])</f>
        <v>45469.0</v>
      </c>
    </row>
    <row r="4765" spans="1:9" ht="15" x14ac:dyDescent="0.25">
      <c r="A4765" s="53" t="inlineStr">
        <is>
          <t>LAB-004764</t>
        </is>
      </c>
      <c r="B4765" s="53" t="inlineStr">
        <is>
          <t>WP-02093</t>
        </is>
      </c>
      <c r="C4765" s="53" t="inlineStr">
        <is>
          <t>TECH-030</t>
        </is>
      </c>
      <c r="D4765" s="53" t="inlineStr">
        <is>
          <t>Powerplant</t>
        </is>
      </c>
      <c r="E4765" s="53" t="inlineStr">
        <is>
          <t>2024-06-27</t>
        </is>
      </c>
      <c r="F4765" s="53">
        <v>6.6</v>
      </c>
      <c r="G4765" s="53">
        <v>0</v>
      </c>
      <c r="H4765" s="51" t="str">
        <f>TEXT(tblLaborEntries[[#This Row],[Work date serial]]-WEEKDAY(tblLaborEntries[[#This Row],[Work date serial]],3),"yyyy-mm-dd")</f>
        <v>2024-06-24</v>
      </c>
      <c r="I4765" s="64">
        <f>DATEVALUE(tblLaborEntries[[#This Row],[Work date]])</f>
        <v>45470.0</v>
      </c>
    </row>
    <row r="4766" spans="1:9" ht="15" x14ac:dyDescent="0.25">
      <c r="A4766" s="53" t="inlineStr">
        <is>
          <t>LAB-004765</t>
        </is>
      </c>
      <c r="B4766" s="53" t="inlineStr">
        <is>
          <t>WP-02094</t>
        </is>
      </c>
      <c r="C4766" s="53" t="inlineStr">
        <is>
          <t>TECH-068</t>
        </is>
      </c>
      <c r="D4766" s="53" t="inlineStr">
        <is>
          <t>Avionics</t>
        </is>
      </c>
      <c r="E4766" s="53" t="inlineStr">
        <is>
          <t>2025-04-17</t>
        </is>
      </c>
      <c r="F4766" s="53">
        <v>5.6</v>
      </c>
      <c r="G4766" s="53">
        <v>0</v>
      </c>
      <c r="H4766" s="51" t="str">
        <f>TEXT(tblLaborEntries[[#This Row],[Work date serial]]-WEEKDAY(tblLaborEntries[[#This Row],[Work date serial]],3),"yyyy-mm-dd")</f>
        <v>2025-04-14</v>
      </c>
      <c r="I4766" s="64">
        <f>DATEVALUE(tblLaborEntries[[#This Row],[Work date]])</f>
        <v>45764.0</v>
      </c>
    </row>
    <row r="4767" spans="1:9" ht="15" x14ac:dyDescent="0.25">
      <c r="A4767" s="53" t="inlineStr">
        <is>
          <t>LAB-004766</t>
        </is>
      </c>
      <c r="B4767" s="53" t="inlineStr">
        <is>
          <t>WP-02094</t>
        </is>
      </c>
      <c r="C4767" s="53" t="inlineStr">
        <is>
          <t>TECH-014</t>
        </is>
      </c>
      <c r="D4767" s="53" t="inlineStr">
        <is>
          <t>Avionics</t>
        </is>
      </c>
      <c r="E4767" s="53" t="inlineStr">
        <is>
          <t>2025-04-18</t>
        </is>
      </c>
      <c r="F4767" s="53">
        <v>6.2</v>
      </c>
      <c r="G4767" s="53">
        <v>4</v>
      </c>
      <c r="H4767" s="51" t="str">
        <f>TEXT(tblLaborEntries[[#This Row],[Work date serial]]-WEEKDAY(tblLaborEntries[[#This Row],[Work date serial]],3),"yyyy-mm-dd")</f>
        <v>2025-04-14</v>
      </c>
      <c r="I4767" s="64">
        <f>DATEVALUE(tblLaborEntries[[#This Row],[Work date]])</f>
        <v>45765.0</v>
      </c>
    </row>
    <row r="4768" spans="1:9" ht="15" x14ac:dyDescent="0.25">
      <c r="A4768" s="53" t="inlineStr">
        <is>
          <t>LAB-004767</t>
        </is>
      </c>
      <c r="B4768" s="53" t="inlineStr">
        <is>
          <t>WP-02095</t>
        </is>
      </c>
      <c r="C4768" s="53" t="inlineStr">
        <is>
          <t>TECH-020</t>
        </is>
      </c>
      <c r="D4768" s="53" t="inlineStr">
        <is>
          <t>Avionics</t>
        </is>
      </c>
      <c r="E4768" s="53" t="inlineStr">
        <is>
          <t>2024-12-02</t>
        </is>
      </c>
      <c r="F4768" s="53">
        <v>4.5</v>
      </c>
      <c r="G4768" s="53">
        <v>0</v>
      </c>
      <c r="H4768" s="51" t="str">
        <f>TEXT(tblLaborEntries[[#This Row],[Work date serial]]-WEEKDAY(tblLaborEntries[[#This Row],[Work date serial]],3),"yyyy-mm-dd")</f>
        <v>2024-12-02</v>
      </c>
      <c r="I4768" s="64">
        <f>DATEVALUE(tblLaborEntries[[#This Row],[Work date]])</f>
        <v>45628.0</v>
      </c>
    </row>
    <row r="4769" spans="1:9" ht="15" x14ac:dyDescent="0.25">
      <c r="A4769" s="53" t="inlineStr">
        <is>
          <t>LAB-004768</t>
        </is>
      </c>
      <c r="B4769" s="53" t="inlineStr">
        <is>
          <t>WP-02095</t>
        </is>
      </c>
      <c r="C4769" s="53" t="inlineStr">
        <is>
          <t>TECH-074</t>
        </is>
      </c>
      <c r="D4769" s="53" t="inlineStr">
        <is>
          <t>Avionics</t>
        </is>
      </c>
      <c r="E4769" s="53" t="inlineStr">
        <is>
          <t>2024-12-03</t>
        </is>
      </c>
      <c r="F4769" s="53">
        <v>6.7</v>
      </c>
      <c r="G4769" s="53">
        <v>4</v>
      </c>
      <c r="H4769" s="51" t="str">
        <f>TEXT(tblLaborEntries[[#This Row],[Work date serial]]-WEEKDAY(tblLaborEntries[[#This Row],[Work date serial]],3),"yyyy-mm-dd")</f>
        <v>2024-12-02</v>
      </c>
      <c r="I4769" s="64">
        <f>DATEVALUE(tblLaborEntries[[#This Row],[Work date]])</f>
        <v>45629.0</v>
      </c>
    </row>
    <row r="4770" spans="1:9" ht="15" x14ac:dyDescent="0.25">
      <c r="A4770" s="53" t="inlineStr">
        <is>
          <t>LAB-004769</t>
        </is>
      </c>
      <c r="B4770" s="53" t="inlineStr">
        <is>
          <t>WP-02096</t>
        </is>
      </c>
      <c r="C4770" s="53" t="inlineStr">
        <is>
          <t>TECH-038</t>
        </is>
      </c>
      <c r="D4770" s="53" t="inlineStr">
        <is>
          <t>Avionics</t>
        </is>
      </c>
      <c r="E4770" s="53" t="inlineStr">
        <is>
          <t>2025-07-12</t>
        </is>
      </c>
      <c r="F4770" s="53">
        <v>9.3</v>
      </c>
      <c r="G4770" s="53">
        <v>1.3</v>
      </c>
      <c r="H4770" s="51" t="str">
        <f>TEXT(tblLaborEntries[[#This Row],[Work date serial]]-WEEKDAY(tblLaborEntries[[#This Row],[Work date serial]],3),"yyyy-mm-dd")</f>
        <v>2025-07-07</v>
      </c>
      <c r="I4770" s="64">
        <f>DATEVALUE(tblLaborEntries[[#This Row],[Work date]])</f>
        <v>45850.0</v>
      </c>
    </row>
    <row r="4771" spans="1:9" ht="15" x14ac:dyDescent="0.25">
      <c r="A4771" s="53" t="inlineStr">
        <is>
          <t>LAB-004770</t>
        </is>
      </c>
      <c r="B4771" s="53" t="inlineStr">
        <is>
          <t>WP-02097</t>
        </is>
      </c>
      <c r="C4771" s="53" t="inlineStr">
        <is>
          <t>TECH-014</t>
        </is>
      </c>
      <c r="D4771" s="53" t="inlineStr">
        <is>
          <t>Avionics</t>
        </is>
      </c>
      <c r="E4771" s="53" t="inlineStr">
        <is>
          <t>2024-08-30</t>
        </is>
      </c>
      <c r="F4771" s="53">
        <v>5.2</v>
      </c>
      <c r="G4771" s="53">
        <v>0</v>
      </c>
      <c r="H4771" s="51" t="str">
        <f>TEXT(tblLaborEntries[[#This Row],[Work date serial]]-WEEKDAY(tblLaborEntries[[#This Row],[Work date serial]],3),"yyyy-mm-dd")</f>
        <v>2024-08-26</v>
      </c>
      <c r="I4771" s="64">
        <f>DATEVALUE(tblLaborEntries[[#This Row],[Work date]])</f>
        <v>45534.0</v>
      </c>
    </row>
    <row r="4772" spans="1:9" ht="15" x14ac:dyDescent="0.25">
      <c r="A4772" s="53" t="inlineStr">
        <is>
          <t>LAB-004771</t>
        </is>
      </c>
      <c r="B4772" s="53" t="inlineStr">
        <is>
          <t>WP-02097</t>
        </is>
      </c>
      <c r="C4772" s="53" t="inlineStr">
        <is>
          <t>TECH-032</t>
        </is>
      </c>
      <c r="D4772" s="53" t="inlineStr">
        <is>
          <t>Avionics</t>
        </is>
      </c>
      <c r="E4772" s="53" t="inlineStr">
        <is>
          <t>2024-08-31</t>
        </is>
      </c>
      <c r="F4772" s="53">
        <v>4</v>
      </c>
      <c r="G4772" s="53">
        <v>0</v>
      </c>
      <c r="H4772" s="51" t="str">
        <f>TEXT(tblLaborEntries[[#This Row],[Work date serial]]-WEEKDAY(tblLaborEntries[[#This Row],[Work date serial]],3),"yyyy-mm-dd")</f>
        <v>2024-08-26</v>
      </c>
      <c r="I4772" s="64">
        <f>DATEVALUE(tblLaborEntries[[#This Row],[Work date]])</f>
        <v>45535.0</v>
      </c>
    </row>
    <row r="4773" spans="1:9" ht="15" x14ac:dyDescent="0.25">
      <c r="A4773" s="53" t="inlineStr">
        <is>
          <t>LAB-004772</t>
        </is>
      </c>
      <c r="B4773" s="53" t="inlineStr">
        <is>
          <t>WP-02098</t>
        </is>
      </c>
      <c r="C4773" s="53" t="inlineStr">
        <is>
          <t>TECH-020</t>
        </is>
      </c>
      <c r="D4773" s="53" t="inlineStr">
        <is>
          <t>Avionics</t>
        </is>
      </c>
      <c r="E4773" s="53" t="inlineStr">
        <is>
          <t>2024-03-08</t>
        </is>
      </c>
      <c r="F4773" s="53">
        <v>2.3</v>
      </c>
      <c r="G4773" s="53">
        <v>0</v>
      </c>
      <c r="H4773" s="51" t="str">
        <f>TEXT(tblLaborEntries[[#This Row],[Work date serial]]-WEEKDAY(tblLaborEntries[[#This Row],[Work date serial]],3),"yyyy-mm-dd")</f>
        <v>2024-03-04</v>
      </c>
      <c r="I4773" s="64">
        <f>DATEVALUE(tblLaborEntries[[#This Row],[Work date]])</f>
        <v>45359.0</v>
      </c>
    </row>
    <row r="4774" spans="1:9" ht="15" x14ac:dyDescent="0.25">
      <c r="A4774" s="53" t="inlineStr">
        <is>
          <t>LAB-004773</t>
        </is>
      </c>
      <c r="B4774" s="53" t="inlineStr">
        <is>
          <t>WP-02098</t>
        </is>
      </c>
      <c r="C4774" s="53" t="inlineStr">
        <is>
          <t>TECH-032</t>
        </is>
      </c>
      <c r="D4774" s="53" t="inlineStr">
        <is>
          <t>Avionics</t>
        </is>
      </c>
      <c r="E4774" s="53" t="inlineStr">
        <is>
          <t>2024-03-08</t>
        </is>
      </c>
      <c r="F4774" s="53">
        <v>12</v>
      </c>
      <c r="G4774" s="53">
        <v>4</v>
      </c>
      <c r="H4774" s="51" t="str">
        <f>TEXT(tblLaborEntries[[#This Row],[Work date serial]]-WEEKDAY(tblLaborEntries[[#This Row],[Work date serial]],3),"yyyy-mm-dd")</f>
        <v>2024-03-04</v>
      </c>
      <c r="I4774" s="64">
        <f>DATEVALUE(tblLaborEntries[[#This Row],[Work date]])</f>
        <v>45359.0</v>
      </c>
    </row>
    <row r="4775" spans="1:9" ht="15" x14ac:dyDescent="0.25">
      <c r="A4775" s="53" t="inlineStr">
        <is>
          <t>LAB-004774</t>
        </is>
      </c>
      <c r="B4775" s="53" t="inlineStr">
        <is>
          <t>WP-02098</t>
        </is>
      </c>
      <c r="C4775" s="53" t="inlineStr">
        <is>
          <t>TECH-002</t>
        </is>
      </c>
      <c r="D4775" s="53" t="inlineStr">
        <is>
          <t>Avionics</t>
        </is>
      </c>
      <c r="E4775" s="53" t="inlineStr">
        <is>
          <t>2024-03-09</t>
        </is>
      </c>
      <c r="F4775" s="53">
        <v>4.8</v>
      </c>
      <c r="G4775" s="53">
        <v>0</v>
      </c>
      <c r="H4775" s="51" t="str">
        <f>TEXT(tblLaborEntries[[#This Row],[Work date serial]]-WEEKDAY(tblLaborEntries[[#This Row],[Work date serial]],3),"yyyy-mm-dd")</f>
        <v>2024-03-04</v>
      </c>
      <c r="I4775" s="64">
        <f>DATEVALUE(tblLaborEntries[[#This Row],[Work date]])</f>
        <v>45360.0</v>
      </c>
    </row>
    <row r="4776" spans="1:9" ht="15" x14ac:dyDescent="0.25">
      <c r="A4776" s="53" t="inlineStr">
        <is>
          <t>LAB-004775</t>
        </is>
      </c>
      <c r="B4776" s="53" t="inlineStr">
        <is>
          <t>WP-02098</t>
        </is>
      </c>
      <c r="C4776" s="53" t="inlineStr">
        <is>
          <t>TECH-038</t>
        </is>
      </c>
      <c r="D4776" s="53" t="inlineStr">
        <is>
          <t>Avionics</t>
        </is>
      </c>
      <c r="E4776" s="53" t="inlineStr">
        <is>
          <t>2024-03-09</t>
        </is>
      </c>
      <c r="F4776" s="53">
        <v>12</v>
      </c>
      <c r="G4776" s="53">
        <v>4</v>
      </c>
      <c r="H4776" s="51" t="str">
        <f>TEXT(tblLaborEntries[[#This Row],[Work date serial]]-WEEKDAY(tblLaborEntries[[#This Row],[Work date serial]],3),"yyyy-mm-dd")</f>
        <v>2024-03-04</v>
      </c>
      <c r="I4776" s="64">
        <f>DATEVALUE(tblLaborEntries[[#This Row],[Work date]])</f>
        <v>45360.0</v>
      </c>
    </row>
    <row r="4777" spans="1:9" ht="15" x14ac:dyDescent="0.25">
      <c r="A4777" s="53" t="inlineStr">
        <is>
          <t>LAB-004776</t>
        </is>
      </c>
      <c r="B4777" s="53" t="inlineStr">
        <is>
          <t>WP-02099</t>
        </is>
      </c>
      <c r="C4777" s="53" t="inlineStr">
        <is>
          <t>TECH-044</t>
        </is>
      </c>
      <c r="D4777" s="53" t="inlineStr">
        <is>
          <t>Avionics</t>
        </is>
      </c>
      <c r="E4777" s="53" t="inlineStr">
        <is>
          <t>2025-09-06</t>
        </is>
      </c>
      <c r="F4777" s="53">
        <v>2.7</v>
      </c>
      <c r="G4777" s="53">
        <v>0</v>
      </c>
      <c r="H4777" s="51" t="str">
        <f>TEXT(tblLaborEntries[[#This Row],[Work date serial]]-WEEKDAY(tblLaborEntries[[#This Row],[Work date serial]],3),"yyyy-mm-dd")</f>
        <v>2025-09-01</v>
      </c>
      <c r="I4777" s="64">
        <f>DATEVALUE(tblLaborEntries[[#This Row],[Work date]])</f>
        <v>45906.0</v>
      </c>
    </row>
    <row r="4778" spans="1:9" ht="15" x14ac:dyDescent="0.25">
      <c r="A4778" s="53" t="inlineStr">
        <is>
          <t>LAB-004777</t>
        </is>
      </c>
      <c r="B4778" s="53" t="inlineStr">
        <is>
          <t>WP-02099</t>
        </is>
      </c>
      <c r="C4778" s="53" t="inlineStr">
        <is>
          <t>TECH-014</t>
        </is>
      </c>
      <c r="D4778" s="53" t="inlineStr">
        <is>
          <t>Avionics</t>
        </is>
      </c>
      <c r="E4778" s="53" t="inlineStr">
        <is>
          <t>2025-09-07</t>
        </is>
      </c>
      <c r="F4778" s="53">
        <v>2.3</v>
      </c>
      <c r="G4778" s="53">
        <v>0</v>
      </c>
      <c r="H4778" s="51" t="str">
        <f>TEXT(tblLaborEntries[[#This Row],[Work date serial]]-WEEKDAY(tblLaborEntries[[#This Row],[Work date serial]],3),"yyyy-mm-dd")</f>
        <v>2025-09-01</v>
      </c>
      <c r="I4778" s="64">
        <f>DATEVALUE(tblLaborEntries[[#This Row],[Work date]])</f>
        <v>45907.0</v>
      </c>
    </row>
    <row r="4779" spans="1:9" ht="15" x14ac:dyDescent="0.25">
      <c r="A4779" s="53" t="inlineStr">
        <is>
          <t>LAB-004778</t>
        </is>
      </c>
      <c r="B4779" s="53" t="inlineStr">
        <is>
          <t>WP-02100</t>
        </is>
      </c>
      <c r="C4779" s="53" t="inlineStr">
        <is>
          <t>TECH-030</t>
        </is>
      </c>
      <c r="D4779" s="53" t="inlineStr">
        <is>
          <t>Powerplant</t>
        </is>
      </c>
      <c r="E4779" s="53" t="inlineStr">
        <is>
          <t>2025-11-28</t>
        </is>
      </c>
      <c r="F4779" s="53">
        <v>9.5</v>
      </c>
      <c r="G4779" s="53">
        <v>1.5</v>
      </c>
      <c r="H4779" s="51" t="str">
        <f>TEXT(tblLaborEntries[[#This Row],[Work date serial]]-WEEKDAY(tblLaborEntries[[#This Row],[Work date serial]],3),"yyyy-mm-dd")</f>
        <v>2025-11-24</v>
      </c>
      <c r="I4779" s="64">
        <f>DATEVALUE(tblLaborEntries[[#This Row],[Work date]])</f>
        <v>45989.0</v>
      </c>
    </row>
    <row r="4780" spans="1:9" ht="15" x14ac:dyDescent="0.25">
      <c r="A4780" s="53" t="inlineStr">
        <is>
          <t>LAB-004779</t>
        </is>
      </c>
      <c r="B4780" s="53" t="inlineStr">
        <is>
          <t>WP-02101</t>
        </is>
      </c>
      <c r="C4780" s="53" t="inlineStr">
        <is>
          <t>TECH-003</t>
        </is>
      </c>
      <c r="D4780" s="53" t="inlineStr">
        <is>
          <t>Hydraulics</t>
        </is>
      </c>
      <c r="E4780" s="53" t="inlineStr">
        <is>
          <t>2024-09-18</t>
        </is>
      </c>
      <c r="F4780" s="53">
        <v>0.9</v>
      </c>
      <c r="G4780" s="53">
        <v>0</v>
      </c>
      <c r="H4780" s="51" t="str">
        <f>TEXT(tblLaborEntries[[#This Row],[Work date serial]]-WEEKDAY(tblLaborEntries[[#This Row],[Work date serial]],3),"yyyy-mm-dd")</f>
        <v>2024-09-16</v>
      </c>
      <c r="I4780" s="64">
        <f>DATEVALUE(tblLaborEntries[[#This Row],[Work date]])</f>
        <v>45553.0</v>
      </c>
    </row>
    <row r="4781" spans="1:9" ht="15" x14ac:dyDescent="0.25">
      <c r="A4781" s="53" t="inlineStr">
        <is>
          <t>LAB-004780</t>
        </is>
      </c>
      <c r="B4781" s="53" t="inlineStr">
        <is>
          <t>WP-02101</t>
        </is>
      </c>
      <c r="C4781" s="53" t="inlineStr">
        <is>
          <t>TECH-015</t>
        </is>
      </c>
      <c r="D4781" s="53" t="inlineStr">
        <is>
          <t>Hydraulics</t>
        </is>
      </c>
      <c r="E4781" s="53" t="inlineStr">
        <is>
          <t>2024-09-18</t>
        </is>
      </c>
      <c r="F4781" s="53">
        <v>12</v>
      </c>
      <c r="G4781" s="53">
        <v>4</v>
      </c>
      <c r="H4781" s="51" t="str">
        <f>TEXT(tblLaborEntries[[#This Row],[Work date serial]]-WEEKDAY(tblLaborEntries[[#This Row],[Work date serial]],3),"yyyy-mm-dd")</f>
        <v>2024-09-16</v>
      </c>
      <c r="I4781" s="64">
        <f>DATEVALUE(tblLaborEntries[[#This Row],[Work date]])</f>
        <v>45553.0</v>
      </c>
    </row>
    <row r="4782" spans="1:9" ht="15" x14ac:dyDescent="0.25">
      <c r="A4782" s="53" t="inlineStr">
        <is>
          <t>LAB-004781</t>
        </is>
      </c>
      <c r="B4782" s="53" t="inlineStr">
        <is>
          <t>WP-02102</t>
        </is>
      </c>
      <c r="C4782" s="53" t="inlineStr">
        <is>
          <t>TECH-032</t>
        </is>
      </c>
      <c r="D4782" s="53" t="inlineStr">
        <is>
          <t>Avionics</t>
        </is>
      </c>
      <c r="E4782" s="53" t="inlineStr">
        <is>
          <t>2024-06-15</t>
        </is>
      </c>
      <c r="F4782" s="53">
        <v>2.4</v>
      </c>
      <c r="G4782" s="53">
        <v>0</v>
      </c>
      <c r="H4782" s="51" t="str">
        <f>TEXT(tblLaborEntries[[#This Row],[Work date serial]]-WEEKDAY(tblLaborEntries[[#This Row],[Work date serial]],3),"yyyy-mm-dd")</f>
        <v>2024-06-10</v>
      </c>
      <c r="I4782" s="64">
        <f>DATEVALUE(tblLaborEntries[[#This Row],[Work date]])</f>
        <v>45458.0</v>
      </c>
    </row>
    <row r="4783" spans="1:9" ht="15" x14ac:dyDescent="0.25">
      <c r="A4783" s="53" t="inlineStr">
        <is>
          <t>LAB-004782</t>
        </is>
      </c>
      <c r="B4783" s="53" t="inlineStr">
        <is>
          <t>WP-02102</t>
        </is>
      </c>
      <c r="C4783" s="53" t="inlineStr">
        <is>
          <t>TECH-044</t>
        </is>
      </c>
      <c r="D4783" s="53" t="inlineStr">
        <is>
          <t>Avionics</t>
        </is>
      </c>
      <c r="E4783" s="53" t="inlineStr">
        <is>
          <t>2024-06-16</t>
        </is>
      </c>
      <c r="F4783" s="53">
        <v>2.9</v>
      </c>
      <c r="G4783" s="53">
        <v>0</v>
      </c>
      <c r="H4783" s="51" t="str">
        <f>TEXT(tblLaborEntries[[#This Row],[Work date serial]]-WEEKDAY(tblLaborEntries[[#This Row],[Work date serial]],3),"yyyy-mm-dd")</f>
        <v>2024-06-10</v>
      </c>
      <c r="I4783" s="64">
        <f>DATEVALUE(tblLaborEntries[[#This Row],[Work date]])</f>
        <v>45459.0</v>
      </c>
    </row>
    <row r="4784" spans="1:9" ht="15" x14ac:dyDescent="0.25">
      <c r="A4784" s="53" t="inlineStr">
        <is>
          <t>LAB-004783</t>
        </is>
      </c>
      <c r="B4784" s="53" t="inlineStr">
        <is>
          <t>WP-02102</t>
        </is>
      </c>
      <c r="C4784" s="53" t="inlineStr">
        <is>
          <t>TECH-008</t>
        </is>
      </c>
      <c r="D4784" s="53" t="inlineStr">
        <is>
          <t>Avionics</t>
        </is>
      </c>
      <c r="E4784" s="53" t="inlineStr">
        <is>
          <t>2024-06-17</t>
        </is>
      </c>
      <c r="F4784" s="53">
        <v>3.5</v>
      </c>
      <c r="G4784" s="53">
        <v>0</v>
      </c>
      <c r="H4784" s="51" t="str">
        <f>TEXT(tblLaborEntries[[#This Row],[Work date serial]]-WEEKDAY(tblLaborEntries[[#This Row],[Work date serial]],3),"yyyy-mm-dd")</f>
        <v>2024-06-17</v>
      </c>
      <c r="I4784" s="64">
        <f>DATEVALUE(tblLaborEntries[[#This Row],[Work date]])</f>
        <v>45460.0</v>
      </c>
    </row>
    <row r="4785" spans="1:9" ht="15" x14ac:dyDescent="0.25">
      <c r="A4785" s="53" t="inlineStr">
        <is>
          <t>LAB-004784</t>
        </is>
      </c>
      <c r="B4785" s="53" t="inlineStr">
        <is>
          <t>WP-02103</t>
        </is>
      </c>
      <c r="C4785" s="53" t="inlineStr">
        <is>
          <t>TECH-055</t>
        </is>
      </c>
      <c r="D4785" s="53" t="inlineStr">
        <is>
          <t>Airframe</t>
        </is>
      </c>
      <c r="E4785" s="53" t="inlineStr">
        <is>
          <t>2024-07-20</t>
        </is>
      </c>
      <c r="F4785" s="53">
        <v>6.2</v>
      </c>
      <c r="G4785" s="53">
        <v>0.2</v>
      </c>
      <c r="H4785" s="51" t="str">
        <f>TEXT(tblLaborEntries[[#This Row],[Work date serial]]-WEEKDAY(tblLaborEntries[[#This Row],[Work date serial]],3),"yyyy-mm-dd")</f>
        <v>2024-07-15</v>
      </c>
      <c r="I4785" s="64">
        <f>DATEVALUE(tblLaborEntries[[#This Row],[Work date]])</f>
        <v>45493.0</v>
      </c>
    </row>
    <row r="4786" spans="1:9" ht="15" x14ac:dyDescent="0.25">
      <c r="A4786" s="53" t="inlineStr">
        <is>
          <t>LAB-004785</t>
        </is>
      </c>
      <c r="B4786" s="53" t="inlineStr">
        <is>
          <t>WP-02104</t>
        </is>
      </c>
      <c r="C4786" s="53" t="inlineStr">
        <is>
          <t>TECH-048</t>
        </is>
      </c>
      <c r="D4786" s="53" t="inlineStr">
        <is>
          <t>Powerplant</t>
        </is>
      </c>
      <c r="E4786" s="53" t="inlineStr">
        <is>
          <t>2025-10-28</t>
        </is>
      </c>
      <c r="F4786" s="53">
        <v>9.1</v>
      </c>
      <c r="G4786" s="53">
        <v>3.9</v>
      </c>
      <c r="H4786" s="51" t="str">
        <f>TEXT(tblLaborEntries[[#This Row],[Work date serial]]-WEEKDAY(tblLaborEntries[[#This Row],[Work date serial]],3),"yyyy-mm-dd")</f>
        <v>2025-10-27</v>
      </c>
      <c r="I4786" s="64">
        <f>DATEVALUE(tblLaborEntries[[#This Row],[Work date]])</f>
        <v>45958.0</v>
      </c>
    </row>
    <row r="4787" spans="1:9" ht="15" x14ac:dyDescent="0.25">
      <c r="A4787" s="53" t="inlineStr">
        <is>
          <t>LAB-004786</t>
        </is>
      </c>
      <c r="B4787" s="53" t="inlineStr">
        <is>
          <t>WP-02105</t>
        </is>
      </c>
      <c r="C4787" s="53" t="inlineStr">
        <is>
          <t>TECH-020</t>
        </is>
      </c>
      <c r="D4787" s="53" t="inlineStr">
        <is>
          <t>Avionics</t>
        </is>
      </c>
      <c r="E4787" s="53" t="inlineStr">
        <is>
          <t>2026-02-10</t>
        </is>
      </c>
      <c r="F4787" s="53">
        <v>5.3</v>
      </c>
      <c r="G4787" s="53">
        <v>0</v>
      </c>
      <c r="H4787" s="51" t="str">
        <f>TEXT(tblLaborEntries[[#This Row],[Work date serial]]-WEEKDAY(tblLaborEntries[[#This Row],[Work date serial]],3),"yyyy-mm-dd")</f>
        <v>2026-02-09</v>
      </c>
      <c r="I4787" s="64">
        <f>DATEVALUE(tblLaborEntries[[#This Row],[Work date]])</f>
        <v>46063.0</v>
      </c>
    </row>
    <row r="4788" spans="1:9" ht="15" x14ac:dyDescent="0.25">
      <c r="A4788" s="53" t="inlineStr">
        <is>
          <t>LAB-004787</t>
        </is>
      </c>
      <c r="B4788" s="53" t="inlineStr">
        <is>
          <t>WP-02105</t>
        </is>
      </c>
      <c r="C4788" s="53" t="inlineStr">
        <is>
          <t>TECH-008</t>
        </is>
      </c>
      <c r="D4788" s="53" t="inlineStr">
        <is>
          <t>Avionics</t>
        </is>
      </c>
      <c r="E4788" s="53" t="inlineStr">
        <is>
          <t>2026-02-11</t>
        </is>
      </c>
      <c r="F4788" s="53">
        <v>4.2</v>
      </c>
      <c r="G4788" s="53">
        <v>0</v>
      </c>
      <c r="H4788" s="51" t="str">
        <f>TEXT(tblLaborEntries[[#This Row],[Work date serial]]-WEEKDAY(tblLaborEntries[[#This Row],[Work date serial]],3),"yyyy-mm-dd")</f>
        <v>2026-02-09</v>
      </c>
      <c r="I4788" s="64">
        <f>DATEVALUE(tblLaborEntries[[#This Row],[Work date]])</f>
        <v>46064.0</v>
      </c>
    </row>
    <row r="4789" spans="1:9" ht="15" x14ac:dyDescent="0.25">
      <c r="A4789" s="53" t="inlineStr">
        <is>
          <t>LAB-004788</t>
        </is>
      </c>
      <c r="B4789" s="53" t="inlineStr">
        <is>
          <t>WP-02105</t>
        </is>
      </c>
      <c r="C4789" s="53" t="inlineStr">
        <is>
          <t>TECH-032</t>
        </is>
      </c>
      <c r="D4789" s="53" t="inlineStr">
        <is>
          <t>Avionics</t>
        </is>
      </c>
      <c r="E4789" s="53" t="inlineStr">
        <is>
          <t>2026-02-12</t>
        </is>
      </c>
      <c r="F4789" s="53">
        <v>5.2</v>
      </c>
      <c r="G4789" s="53">
        <v>0</v>
      </c>
      <c r="H4789" s="51" t="str">
        <f>TEXT(tblLaborEntries[[#This Row],[Work date serial]]-WEEKDAY(tblLaborEntries[[#This Row],[Work date serial]],3),"yyyy-mm-dd")</f>
        <v>2026-02-09</v>
      </c>
      <c r="I4789" s="64">
        <f>DATEVALUE(tblLaborEntries[[#This Row],[Work date]])</f>
        <v>46065.0</v>
      </c>
    </row>
    <row r="4790" spans="1:9" ht="15" x14ac:dyDescent="0.25">
      <c r="A4790" s="53" t="inlineStr">
        <is>
          <t>LAB-004789</t>
        </is>
      </c>
      <c r="B4790" s="53" t="inlineStr">
        <is>
          <t>WP-02106</t>
        </is>
      </c>
      <c r="C4790" s="53" t="inlineStr">
        <is>
          <t>TECH-007</t>
        </is>
      </c>
      <c r="D4790" s="53" t="inlineStr">
        <is>
          <t>Airframe</t>
        </is>
      </c>
      <c r="E4790" s="53" t="inlineStr">
        <is>
          <t>2025-03-12</t>
        </is>
      </c>
      <c r="F4790" s="53">
        <v>1.6</v>
      </c>
      <c r="G4790" s="53">
        <v>0</v>
      </c>
      <c r="H4790" s="51" t="str">
        <f>TEXT(tblLaborEntries[[#This Row],[Work date serial]]-WEEKDAY(tblLaborEntries[[#This Row],[Work date serial]],3),"yyyy-mm-dd")</f>
        <v>2025-03-10</v>
      </c>
      <c r="I4790" s="64">
        <f>DATEVALUE(tblLaborEntries[[#This Row],[Work date]])</f>
        <v>45728.0</v>
      </c>
    </row>
    <row r="4791" spans="1:9" ht="15" x14ac:dyDescent="0.25">
      <c r="A4791" s="53" t="inlineStr">
        <is>
          <t>LAB-004790</t>
        </is>
      </c>
      <c r="B4791" s="53" t="inlineStr">
        <is>
          <t>WP-02107</t>
        </is>
      </c>
      <c r="C4791" s="53" t="inlineStr">
        <is>
          <t>TECH-002</t>
        </is>
      </c>
      <c r="D4791" s="53" t="inlineStr">
        <is>
          <t>Avionics</t>
        </is>
      </c>
      <c r="E4791" s="53" t="inlineStr">
        <is>
          <t>2024-09-30</t>
        </is>
      </c>
      <c r="F4791" s="53">
        <v>4.7</v>
      </c>
      <c r="G4791" s="53">
        <v>0</v>
      </c>
      <c r="H4791" s="51" t="str">
        <f>TEXT(tblLaborEntries[[#This Row],[Work date serial]]-WEEKDAY(tblLaborEntries[[#This Row],[Work date serial]],3),"yyyy-mm-dd")</f>
        <v>2024-09-30</v>
      </c>
      <c r="I4791" s="64">
        <f>DATEVALUE(tblLaborEntries[[#This Row],[Work date]])</f>
        <v>45565.0</v>
      </c>
    </row>
    <row r="4792" spans="1:9" ht="15" x14ac:dyDescent="0.25">
      <c r="A4792" s="53" t="inlineStr">
        <is>
          <t>LAB-004791</t>
        </is>
      </c>
      <c r="B4792" s="53" t="inlineStr">
        <is>
          <t>WP-02108</t>
        </is>
      </c>
      <c r="C4792" s="53" t="inlineStr">
        <is>
          <t>TECH-061</t>
        </is>
      </c>
      <c r="D4792" s="53" t="inlineStr">
        <is>
          <t>Airframe</t>
        </is>
      </c>
      <c r="E4792" s="53" t="inlineStr">
        <is>
          <t>2024-03-06</t>
        </is>
      </c>
      <c r="F4792" s="53">
        <v>5.5</v>
      </c>
      <c r="G4792" s="53">
        <v>2.5</v>
      </c>
      <c r="H4792" s="51" t="str">
        <f>TEXT(tblLaborEntries[[#This Row],[Work date serial]]-WEEKDAY(tblLaborEntries[[#This Row],[Work date serial]],3),"yyyy-mm-dd")</f>
        <v>2024-03-04</v>
      </c>
      <c r="I4792" s="64">
        <f>DATEVALUE(tblLaborEntries[[#This Row],[Work date]])</f>
        <v>45357.0</v>
      </c>
    </row>
    <row r="4793" spans="1:9" ht="15" x14ac:dyDescent="0.25">
      <c r="A4793" s="53" t="inlineStr">
        <is>
          <t>LAB-004792</t>
        </is>
      </c>
      <c r="B4793" s="53" t="inlineStr">
        <is>
          <t>WP-02109</t>
        </is>
      </c>
      <c r="C4793" s="53" t="inlineStr">
        <is>
          <t>TECH-014</t>
        </is>
      </c>
      <c r="D4793" s="53" t="inlineStr">
        <is>
          <t>Avionics</t>
        </is>
      </c>
      <c r="E4793" s="53" t="inlineStr">
        <is>
          <t>2025-03-05</t>
        </is>
      </c>
      <c r="F4793" s="53">
        <v>3.3</v>
      </c>
      <c r="G4793" s="53">
        <v>0</v>
      </c>
      <c r="H4793" s="51" t="str">
        <f>TEXT(tblLaborEntries[[#This Row],[Work date serial]]-WEEKDAY(tblLaborEntries[[#This Row],[Work date serial]],3),"yyyy-mm-dd")</f>
        <v>2025-03-03</v>
      </c>
      <c r="I4793" s="64">
        <f>DATEVALUE(tblLaborEntries[[#This Row],[Work date]])</f>
        <v>45721.0</v>
      </c>
    </row>
    <row r="4794" spans="1:9" ht="15" x14ac:dyDescent="0.25">
      <c r="A4794" s="53" t="inlineStr">
        <is>
          <t>LAB-004793</t>
        </is>
      </c>
      <c r="B4794" s="53" t="inlineStr">
        <is>
          <t>WP-02110</t>
        </is>
      </c>
      <c r="C4794" s="53" t="inlineStr">
        <is>
          <t>TECH-031</t>
        </is>
      </c>
      <c r="D4794" s="53" t="inlineStr">
        <is>
          <t>Airframe</t>
        </is>
      </c>
      <c r="E4794" s="53" t="inlineStr">
        <is>
          <t>2024-09-29</t>
        </is>
      </c>
      <c r="F4794" s="53">
        <v>1</v>
      </c>
      <c r="G4794" s="53">
        <v>0</v>
      </c>
      <c r="H4794" s="51" t="str">
        <f>TEXT(tblLaborEntries[[#This Row],[Work date serial]]-WEEKDAY(tblLaborEntries[[#This Row],[Work date serial]],3),"yyyy-mm-dd")</f>
        <v>2024-09-23</v>
      </c>
      <c r="I4794" s="64">
        <f>DATEVALUE(tblLaborEntries[[#This Row],[Work date]])</f>
        <v>45564.0</v>
      </c>
    </row>
    <row r="4795" spans="1:9" ht="15" x14ac:dyDescent="0.25">
      <c r="A4795" s="53" t="inlineStr">
        <is>
          <t>LAB-004794</t>
        </is>
      </c>
      <c r="B4795" s="53" t="inlineStr">
        <is>
          <t>WP-02110</t>
        </is>
      </c>
      <c r="C4795" s="53" t="inlineStr">
        <is>
          <t>TECH-061</t>
        </is>
      </c>
      <c r="D4795" s="53" t="inlineStr">
        <is>
          <t>Airframe</t>
        </is>
      </c>
      <c r="E4795" s="53" t="inlineStr">
        <is>
          <t>2024-09-30</t>
        </is>
      </c>
      <c r="F4795" s="53">
        <v>1.5</v>
      </c>
      <c r="G4795" s="53">
        <v>0</v>
      </c>
      <c r="H4795" s="51" t="str">
        <f>TEXT(tblLaborEntries[[#This Row],[Work date serial]]-WEEKDAY(tblLaborEntries[[#This Row],[Work date serial]],3),"yyyy-mm-dd")</f>
        <v>2024-09-30</v>
      </c>
      <c r="I4795" s="64">
        <f>DATEVALUE(tblLaborEntries[[#This Row],[Work date]])</f>
        <v>45565.0</v>
      </c>
    </row>
    <row r="4796" spans="1:9" ht="15" x14ac:dyDescent="0.25">
      <c r="A4796" s="53" t="inlineStr">
        <is>
          <t>LAB-004795</t>
        </is>
      </c>
      <c r="B4796" s="53" t="inlineStr">
        <is>
          <t>WP-02110</t>
        </is>
      </c>
      <c r="C4796" s="53" t="inlineStr">
        <is>
          <t>TECH-073</t>
        </is>
      </c>
      <c r="D4796" s="53" t="inlineStr">
        <is>
          <t>Airframe</t>
        </is>
      </c>
      <c r="E4796" s="53" t="inlineStr">
        <is>
          <t>2024-10-01</t>
        </is>
      </c>
      <c r="F4796" s="53">
        <v>1.2</v>
      </c>
      <c r="G4796" s="53">
        <v>0</v>
      </c>
      <c r="H4796" s="51" t="str">
        <f>TEXT(tblLaborEntries[[#This Row],[Work date serial]]-WEEKDAY(tblLaborEntries[[#This Row],[Work date serial]],3),"yyyy-mm-dd")</f>
        <v>2024-09-30</v>
      </c>
      <c r="I4796" s="64">
        <f>DATEVALUE(tblLaborEntries[[#This Row],[Work date]])</f>
        <v>45566.0</v>
      </c>
    </row>
    <row r="4797" spans="1:9" ht="15" x14ac:dyDescent="0.25">
      <c r="A4797" s="53" t="inlineStr">
        <is>
          <t>LAB-004796</t>
        </is>
      </c>
      <c r="B4797" s="53" t="inlineStr">
        <is>
          <t>WP-02111</t>
        </is>
      </c>
      <c r="C4797" s="53" t="inlineStr">
        <is>
          <t>TECH-006</t>
        </is>
      </c>
      <c r="D4797" s="53" t="inlineStr">
        <is>
          <t>Powerplant</t>
        </is>
      </c>
      <c r="E4797" s="53" t="inlineStr">
        <is>
          <t>2025-07-20</t>
        </is>
      </c>
      <c r="F4797" s="53">
        <v>2.3</v>
      </c>
      <c r="G4797" s="53">
        <v>0</v>
      </c>
      <c r="H4797" s="51" t="str">
        <f>TEXT(tblLaborEntries[[#This Row],[Work date serial]]-WEEKDAY(tblLaborEntries[[#This Row],[Work date serial]],3),"yyyy-mm-dd")</f>
        <v>2025-07-14</v>
      </c>
      <c r="I4797" s="64">
        <f>DATEVALUE(tblLaborEntries[[#This Row],[Work date]])</f>
        <v>45858.0</v>
      </c>
    </row>
    <row r="4798" spans="1:9" ht="15" x14ac:dyDescent="0.25">
      <c r="A4798" s="53" t="inlineStr">
        <is>
          <t>LAB-004797</t>
        </is>
      </c>
      <c r="B4798" s="53" t="inlineStr">
        <is>
          <t>WP-02111</t>
        </is>
      </c>
      <c r="C4798" s="53" t="inlineStr">
        <is>
          <t>TECH-012</t>
        </is>
      </c>
      <c r="D4798" s="53" t="inlineStr">
        <is>
          <t>Powerplant</t>
        </is>
      </c>
      <c r="E4798" s="53" t="inlineStr">
        <is>
          <t>2025-07-20</t>
        </is>
      </c>
      <c r="F4798" s="53">
        <v>12</v>
      </c>
      <c r="G4798" s="53">
        <v>4</v>
      </c>
      <c r="H4798" s="51" t="str">
        <f>TEXT(tblLaborEntries[[#This Row],[Work date serial]]-WEEKDAY(tblLaborEntries[[#This Row],[Work date serial]],3),"yyyy-mm-dd")</f>
        <v>2025-07-14</v>
      </c>
      <c r="I4798" s="64">
        <f>DATEVALUE(tblLaborEntries[[#This Row],[Work date]])</f>
        <v>45858.0</v>
      </c>
    </row>
    <row r="4799" spans="1:9" ht="15" x14ac:dyDescent="0.25">
      <c r="A4799" s="53" t="inlineStr">
        <is>
          <t>LAB-004798</t>
        </is>
      </c>
      <c r="B4799" s="53" t="inlineStr">
        <is>
          <t>WP-02111</t>
        </is>
      </c>
      <c r="C4799" s="53" t="inlineStr">
        <is>
          <t>TECH-048</t>
        </is>
      </c>
      <c r="D4799" s="53" t="inlineStr">
        <is>
          <t>Powerplant</t>
        </is>
      </c>
      <c r="E4799" s="53" t="inlineStr">
        <is>
          <t>2025-07-21</t>
        </is>
      </c>
      <c r="F4799" s="53">
        <v>10.4</v>
      </c>
      <c r="G4799" s="53">
        <v>2.4</v>
      </c>
      <c r="H4799" s="51" t="str">
        <f>TEXT(tblLaborEntries[[#This Row],[Work date serial]]-WEEKDAY(tblLaborEntries[[#This Row],[Work date serial]],3),"yyyy-mm-dd")</f>
        <v>2025-07-21</v>
      </c>
      <c r="I4799" s="64">
        <f>DATEVALUE(tblLaborEntries[[#This Row],[Work date]])</f>
        <v>45859.0</v>
      </c>
    </row>
    <row r="4800" spans="1:9" ht="15" x14ac:dyDescent="0.25">
      <c r="A4800" s="53" t="inlineStr">
        <is>
          <t>LAB-004799</t>
        </is>
      </c>
      <c r="B4800" s="53" t="inlineStr">
        <is>
          <t>WP-02112</t>
        </is>
      </c>
      <c r="C4800" s="53" t="inlineStr">
        <is>
          <t>TECH-064</t>
        </is>
      </c>
      <c r="D4800" s="53" t="inlineStr">
        <is>
          <t>Electrical</t>
        </is>
      </c>
      <c r="E4800" s="53" t="inlineStr">
        <is>
          <t>2024-11-30</t>
        </is>
      </c>
      <c r="F4800" s="53">
        <v>2.6</v>
      </c>
      <c r="G4800" s="53">
        <v>0</v>
      </c>
      <c r="H4800" s="51" t="str">
        <f>TEXT(tblLaborEntries[[#This Row],[Work date serial]]-WEEKDAY(tblLaborEntries[[#This Row],[Work date serial]],3),"yyyy-mm-dd")</f>
        <v>2024-11-25</v>
      </c>
      <c r="I4800" s="64">
        <f>DATEVALUE(tblLaborEntries[[#This Row],[Work date]])</f>
        <v>45626.0</v>
      </c>
    </row>
    <row r="4801" spans="1:9" ht="15" x14ac:dyDescent="0.25">
      <c r="A4801" s="53" t="inlineStr">
        <is>
          <t>LAB-004800</t>
        </is>
      </c>
      <c r="B4801" s="53" t="inlineStr">
        <is>
          <t>WP-02112</t>
        </is>
      </c>
      <c r="C4801" s="53" t="inlineStr">
        <is>
          <t>TECH-052</t>
        </is>
      </c>
      <c r="D4801" s="53" t="inlineStr">
        <is>
          <t>Electrical</t>
        </is>
      </c>
      <c r="E4801" s="53" t="inlineStr">
        <is>
          <t>2024-12-01</t>
        </is>
      </c>
      <c r="F4801" s="53">
        <v>2.6</v>
      </c>
      <c r="G4801" s="53">
        <v>0</v>
      </c>
      <c r="H4801" s="51" t="str">
        <f>TEXT(tblLaborEntries[[#This Row],[Work date serial]]-WEEKDAY(tblLaborEntries[[#This Row],[Work date serial]],3),"yyyy-mm-dd")</f>
        <v>2024-11-25</v>
      </c>
      <c r="I4801" s="64">
        <f>DATEVALUE(tblLaborEntries[[#This Row],[Work date]])</f>
        <v>45627.0</v>
      </c>
    </row>
    <row r="4802" spans="1:9" ht="15" x14ac:dyDescent="0.25">
      <c r="A4802" s="53" t="inlineStr">
        <is>
          <t>LAB-004801</t>
        </is>
      </c>
      <c r="B4802" s="53" t="inlineStr">
        <is>
          <t>WP-02112</t>
        </is>
      </c>
      <c r="C4802" s="53" t="inlineStr">
        <is>
          <t>TECH-010</t>
        </is>
      </c>
      <c r="D4802" s="53" t="inlineStr">
        <is>
          <t>Electrical</t>
        </is>
      </c>
      <c r="E4802" s="53" t="inlineStr">
        <is>
          <t>2024-12-02</t>
        </is>
      </c>
      <c r="F4802" s="53">
        <v>3.8</v>
      </c>
      <c r="G4802" s="53">
        <v>0</v>
      </c>
      <c r="H4802" s="51" t="str">
        <f>TEXT(tblLaborEntries[[#This Row],[Work date serial]]-WEEKDAY(tblLaborEntries[[#This Row],[Work date serial]],3),"yyyy-mm-dd")</f>
        <v>2024-12-02</v>
      </c>
      <c r="I4802" s="64">
        <f>DATEVALUE(tblLaborEntries[[#This Row],[Work date]])</f>
        <v>45628.0</v>
      </c>
    </row>
    <row r="4803" spans="1:9" ht="15" x14ac:dyDescent="0.25">
      <c r="A4803" s="53" t="inlineStr">
        <is>
          <t>LAB-004802</t>
        </is>
      </c>
      <c r="B4803" s="53" t="inlineStr">
        <is>
          <t>WP-02113</t>
        </is>
      </c>
      <c r="C4803" s="53" t="inlineStr">
        <is>
          <t>TECH-012</t>
        </is>
      </c>
      <c r="D4803" s="53" t="inlineStr">
        <is>
          <t>Powerplant</t>
        </is>
      </c>
      <c r="E4803" s="53" t="inlineStr">
        <is>
          <t>2024-03-27</t>
        </is>
      </c>
      <c r="F4803" s="53">
        <v>4.7</v>
      </c>
      <c r="G4803" s="53">
        <v>0</v>
      </c>
      <c r="H4803" s="51" t="str">
        <f>TEXT(tblLaborEntries[[#This Row],[Work date serial]]-WEEKDAY(tblLaborEntries[[#This Row],[Work date serial]],3),"yyyy-mm-dd")</f>
        <v>2024-03-25</v>
      </c>
      <c r="I4803" s="64">
        <f>DATEVALUE(tblLaborEntries[[#This Row],[Work date]])</f>
        <v>45378.0</v>
      </c>
    </row>
    <row r="4804" spans="1:9" ht="15" x14ac:dyDescent="0.25">
      <c r="A4804" s="53" t="inlineStr">
        <is>
          <t>LAB-004803</t>
        </is>
      </c>
      <c r="B4804" s="53" t="inlineStr">
        <is>
          <t>WP-02113</t>
        </is>
      </c>
      <c r="C4804" s="53" t="inlineStr">
        <is>
          <t>TECH-066</t>
        </is>
      </c>
      <c r="D4804" s="53" t="inlineStr">
        <is>
          <t>Powerplant</t>
        </is>
      </c>
      <c r="E4804" s="53" t="inlineStr">
        <is>
          <t>2024-03-28</t>
        </is>
      </c>
      <c r="F4804" s="53">
        <v>4.3</v>
      </c>
      <c r="G4804" s="53">
        <v>0</v>
      </c>
      <c r="H4804" s="51" t="str">
        <f>TEXT(tblLaborEntries[[#This Row],[Work date serial]]-WEEKDAY(tblLaborEntries[[#This Row],[Work date serial]],3),"yyyy-mm-dd")</f>
        <v>2024-03-25</v>
      </c>
      <c r="I4804" s="64">
        <f>DATEVALUE(tblLaborEntries[[#This Row],[Work date]])</f>
        <v>45379.0</v>
      </c>
    </row>
    <row r="4805" spans="1:9" ht="15" x14ac:dyDescent="0.25">
      <c r="A4805" s="53" t="inlineStr">
        <is>
          <t>LAB-004804</t>
        </is>
      </c>
      <c r="B4805" s="53" t="inlineStr">
        <is>
          <t>WP-02113</t>
        </is>
      </c>
      <c r="C4805" s="53" t="inlineStr">
        <is>
          <t>TECH-006</t>
        </is>
      </c>
      <c r="D4805" s="53" t="inlineStr">
        <is>
          <t>Powerplant</t>
        </is>
      </c>
      <c r="E4805" s="53" t="inlineStr">
        <is>
          <t>2024-03-29</t>
        </is>
      </c>
      <c r="F4805" s="53">
        <v>3</v>
      </c>
      <c r="G4805" s="53">
        <v>0</v>
      </c>
      <c r="H4805" s="51" t="str">
        <f>TEXT(tblLaborEntries[[#This Row],[Work date serial]]-WEEKDAY(tblLaborEntries[[#This Row],[Work date serial]],3),"yyyy-mm-dd")</f>
        <v>2024-03-25</v>
      </c>
      <c r="I4805" s="64">
        <f>DATEVALUE(tblLaborEntries[[#This Row],[Work date]])</f>
        <v>45380.0</v>
      </c>
    </row>
    <row r="4806" spans="1:9" ht="15" x14ac:dyDescent="0.25">
      <c r="A4806" s="53" t="inlineStr">
        <is>
          <t>LAB-004805</t>
        </is>
      </c>
      <c r="B4806" s="53" t="inlineStr">
        <is>
          <t>WP-02114</t>
        </is>
      </c>
      <c r="C4806" s="53" t="inlineStr">
        <is>
          <t>TECH-038</t>
        </is>
      </c>
      <c r="D4806" s="53" t="inlineStr">
        <is>
          <t>Avionics</t>
        </is>
      </c>
      <c r="E4806" s="53" t="inlineStr">
        <is>
          <t>2025-04-04</t>
        </is>
      </c>
      <c r="F4806" s="53">
        <v>3.3</v>
      </c>
      <c r="G4806" s="53">
        <v>0</v>
      </c>
      <c r="H4806" s="51" t="str">
        <f>TEXT(tblLaborEntries[[#This Row],[Work date serial]]-WEEKDAY(tblLaborEntries[[#This Row],[Work date serial]],3),"yyyy-mm-dd")</f>
        <v>2025-03-31</v>
      </c>
      <c r="I4806" s="64">
        <f>DATEVALUE(tblLaborEntries[[#This Row],[Work date]])</f>
        <v>45751.0</v>
      </c>
    </row>
    <row r="4807" spans="1:9" ht="15" x14ac:dyDescent="0.25">
      <c r="A4807" s="53" t="inlineStr">
        <is>
          <t>LAB-004806</t>
        </is>
      </c>
      <c r="B4807" s="53" t="inlineStr">
        <is>
          <t>WP-02114</t>
        </is>
      </c>
      <c r="C4807" s="53" t="inlineStr">
        <is>
          <t>TECH-068</t>
        </is>
      </c>
      <c r="D4807" s="53" t="inlineStr">
        <is>
          <t>Avionics</t>
        </is>
      </c>
      <c r="E4807" s="53" t="inlineStr">
        <is>
          <t>2025-04-05</t>
        </is>
      </c>
      <c r="F4807" s="53">
        <v>3.3</v>
      </c>
      <c r="G4807" s="53">
        <v>0</v>
      </c>
      <c r="H4807" s="51" t="str">
        <f>TEXT(tblLaborEntries[[#This Row],[Work date serial]]-WEEKDAY(tblLaborEntries[[#This Row],[Work date serial]],3),"yyyy-mm-dd")</f>
        <v>2025-03-31</v>
      </c>
      <c r="I4807" s="64">
        <f>DATEVALUE(tblLaborEntries[[#This Row],[Work date]])</f>
        <v>45752.0</v>
      </c>
    </row>
    <row r="4808" spans="1:9" ht="15" x14ac:dyDescent="0.25">
      <c r="A4808" s="53" t="inlineStr">
        <is>
          <t>LAB-004807</t>
        </is>
      </c>
      <c r="B4808" s="53" t="inlineStr">
        <is>
          <t>WP-02114</t>
        </is>
      </c>
      <c r="C4808" s="53" t="inlineStr">
        <is>
          <t>TECH-062</t>
        </is>
      </c>
      <c r="D4808" s="53" t="inlineStr">
        <is>
          <t>Avionics</t>
        </is>
      </c>
      <c r="E4808" s="53" t="inlineStr">
        <is>
          <t>2025-04-06</t>
        </is>
      </c>
      <c r="F4808" s="53">
        <v>5.1</v>
      </c>
      <c r="G4808" s="53">
        <v>2.2</v>
      </c>
      <c r="H4808" s="51" t="str">
        <f>TEXT(tblLaborEntries[[#This Row],[Work date serial]]-WEEKDAY(tblLaborEntries[[#This Row],[Work date serial]],3),"yyyy-mm-dd")</f>
        <v>2025-03-31</v>
      </c>
      <c r="I4808" s="64">
        <f>DATEVALUE(tblLaborEntries[[#This Row],[Work date]])</f>
        <v>45753.0</v>
      </c>
    </row>
    <row r="4809" spans="1:9" ht="15" x14ac:dyDescent="0.25">
      <c r="A4809" s="53" t="inlineStr">
        <is>
          <t>LAB-004808</t>
        </is>
      </c>
      <c r="B4809" s="53" t="inlineStr">
        <is>
          <t>WP-02115</t>
        </is>
      </c>
      <c r="C4809" s="53" t="inlineStr">
        <is>
          <t>TECH-043</t>
        </is>
      </c>
      <c r="D4809" s="53" t="inlineStr">
        <is>
          <t>Airframe</t>
        </is>
      </c>
      <c r="E4809" s="53" t="inlineStr">
        <is>
          <t>2024-06-27</t>
        </is>
      </c>
      <c r="F4809" s="53">
        <v>8.2</v>
      </c>
      <c r="G4809" s="53">
        <v>0.2</v>
      </c>
      <c r="H4809" s="51" t="str">
        <f>TEXT(tblLaborEntries[[#This Row],[Work date serial]]-WEEKDAY(tblLaborEntries[[#This Row],[Work date serial]],3),"yyyy-mm-dd")</f>
        <v>2024-06-24</v>
      </c>
      <c r="I4809" s="64">
        <f>DATEVALUE(tblLaborEntries[[#This Row],[Work date]])</f>
        <v>45470.0</v>
      </c>
    </row>
    <row r="4810" spans="1:9" ht="15" x14ac:dyDescent="0.25">
      <c r="A4810" s="53" t="inlineStr">
        <is>
          <t>LAB-004809</t>
        </is>
      </c>
      <c r="B4810" s="53" t="inlineStr">
        <is>
          <t>WP-02116</t>
        </is>
      </c>
      <c r="C4810" s="53" t="inlineStr">
        <is>
          <t>TECH-056</t>
        </is>
      </c>
      <c r="D4810" s="53" t="inlineStr">
        <is>
          <t>Avionics</t>
        </is>
      </c>
      <c r="E4810" s="53" t="inlineStr">
        <is>
          <t>2024-03-28</t>
        </is>
      </c>
      <c r="F4810" s="53">
        <v>9.2</v>
      </c>
      <c r="G4810" s="53">
        <v>1.2</v>
      </c>
      <c r="H4810" s="51" t="str">
        <f>TEXT(tblLaborEntries[[#This Row],[Work date serial]]-WEEKDAY(tblLaborEntries[[#This Row],[Work date serial]],3),"yyyy-mm-dd")</f>
        <v>2024-03-25</v>
      </c>
      <c r="I4810" s="64">
        <f>DATEVALUE(tblLaborEntries[[#This Row],[Work date]])</f>
        <v>45379.0</v>
      </c>
    </row>
    <row r="4811" spans="1:9" ht="15" x14ac:dyDescent="0.25">
      <c r="A4811" s="53" t="inlineStr">
        <is>
          <t>LAB-004810</t>
        </is>
      </c>
      <c r="B4811" s="53" t="inlineStr">
        <is>
          <t>WP-02116</t>
        </is>
      </c>
      <c r="C4811" s="53" t="inlineStr">
        <is>
          <t>TECH-002</t>
        </is>
      </c>
      <c r="D4811" s="53" t="inlineStr">
        <is>
          <t>Avionics</t>
        </is>
      </c>
      <c r="E4811" s="53" t="inlineStr">
        <is>
          <t>2024-03-29</t>
        </is>
      </c>
      <c r="F4811" s="53">
        <v>4.2</v>
      </c>
      <c r="G4811" s="53">
        <v>0</v>
      </c>
      <c r="H4811" s="51" t="str">
        <f>TEXT(tblLaborEntries[[#This Row],[Work date serial]]-WEEKDAY(tblLaborEntries[[#This Row],[Work date serial]],3),"yyyy-mm-dd")</f>
        <v>2024-03-25</v>
      </c>
      <c r="I4811" s="64">
        <f>DATEVALUE(tblLaborEntries[[#This Row],[Work date]])</f>
        <v>45380.0</v>
      </c>
    </row>
    <row r="4812" spans="1:9" ht="15" x14ac:dyDescent="0.25">
      <c r="A4812" s="53" t="inlineStr">
        <is>
          <t>LAB-004811</t>
        </is>
      </c>
      <c r="B4812" s="53" t="inlineStr">
        <is>
          <t>WP-02116</t>
        </is>
      </c>
      <c r="C4812" s="53" t="inlineStr">
        <is>
          <t>TECH-044</t>
        </is>
      </c>
      <c r="D4812" s="53" t="inlineStr">
        <is>
          <t>Avionics</t>
        </is>
      </c>
      <c r="E4812" s="53" t="inlineStr">
        <is>
          <t>2024-03-29</t>
        </is>
      </c>
      <c r="F4812" s="53">
        <v>6.1</v>
      </c>
      <c r="G4812" s="53">
        <v>0</v>
      </c>
      <c r="H4812" s="51" t="str">
        <f>TEXT(tblLaborEntries[[#This Row],[Work date serial]]-WEEKDAY(tblLaborEntries[[#This Row],[Work date serial]],3),"yyyy-mm-dd")</f>
        <v>2024-03-25</v>
      </c>
      <c r="I4812" s="64">
        <f>DATEVALUE(tblLaborEntries[[#This Row],[Work date]])</f>
        <v>45380.0</v>
      </c>
    </row>
    <row r="4813" spans="1:9" ht="15" x14ac:dyDescent="0.25">
      <c r="A4813" s="53" t="inlineStr">
        <is>
          <t>LAB-004812</t>
        </is>
      </c>
      <c r="B4813" s="53" t="inlineStr">
        <is>
          <t>WP-02117</t>
        </is>
      </c>
      <c r="C4813" s="53" t="inlineStr">
        <is>
          <t>TECH-008</t>
        </is>
      </c>
      <c r="D4813" s="53" t="inlineStr">
        <is>
          <t>Avionics</t>
        </is>
      </c>
      <c r="E4813" s="53" t="inlineStr">
        <is>
          <t>2024-03-28</t>
        </is>
      </c>
      <c r="F4813" s="53">
        <v>4.8</v>
      </c>
      <c r="G4813" s="53">
        <v>0</v>
      </c>
      <c r="H4813" s="51" t="str">
        <f>TEXT(tblLaborEntries[[#This Row],[Work date serial]]-WEEKDAY(tblLaborEntries[[#This Row],[Work date serial]],3),"yyyy-mm-dd")</f>
        <v>2024-03-25</v>
      </c>
      <c r="I4813" s="64">
        <f>DATEVALUE(tblLaborEntries[[#This Row],[Work date]])</f>
        <v>45379.0</v>
      </c>
    </row>
    <row r="4814" spans="1:9" ht="15" x14ac:dyDescent="0.25">
      <c r="A4814" s="53" t="inlineStr">
        <is>
          <t>LAB-004813</t>
        </is>
      </c>
      <c r="B4814" s="53" t="inlineStr">
        <is>
          <t>WP-02117</t>
        </is>
      </c>
      <c r="C4814" s="53" t="inlineStr">
        <is>
          <t>TECH-044</t>
        </is>
      </c>
      <c r="D4814" s="53" t="inlineStr">
        <is>
          <t>Avionics</t>
        </is>
      </c>
      <c r="E4814" s="53" t="inlineStr">
        <is>
          <t>2024-03-29</t>
        </is>
      </c>
      <c r="F4814" s="53">
        <v>5.9</v>
      </c>
      <c r="G4814" s="53">
        <v>4</v>
      </c>
      <c r="H4814" s="51" t="str">
        <f>TEXT(tblLaborEntries[[#This Row],[Work date serial]]-WEEKDAY(tblLaborEntries[[#This Row],[Work date serial]],3),"yyyy-mm-dd")</f>
        <v>2024-03-25</v>
      </c>
      <c r="I4814" s="64">
        <f>DATEVALUE(tblLaborEntries[[#This Row],[Work date]])</f>
        <v>45380.0</v>
      </c>
    </row>
    <row r="4815" spans="1:9" ht="15" x14ac:dyDescent="0.25">
      <c r="A4815" s="53" t="inlineStr">
        <is>
          <t>LAB-004814</t>
        </is>
      </c>
      <c r="B4815" s="53" t="inlineStr">
        <is>
          <t>WP-02117</t>
        </is>
      </c>
      <c r="C4815" s="53" t="inlineStr">
        <is>
          <t>TECH-014</t>
        </is>
      </c>
      <c r="D4815" s="53" t="inlineStr">
        <is>
          <t>Avionics</t>
        </is>
      </c>
      <c r="E4815" s="53" t="inlineStr">
        <is>
          <t>2024-03-30</t>
        </is>
      </c>
      <c r="F4815" s="53">
        <v>4.2</v>
      </c>
      <c r="G4815" s="53">
        <v>0</v>
      </c>
      <c r="H4815" s="51" t="str">
        <f>TEXT(tblLaborEntries[[#This Row],[Work date serial]]-WEEKDAY(tblLaborEntries[[#This Row],[Work date serial]],3),"yyyy-mm-dd")</f>
        <v>2024-03-25</v>
      </c>
      <c r="I4815" s="64">
        <f>DATEVALUE(tblLaborEntries[[#This Row],[Work date]])</f>
        <v>45381.0</v>
      </c>
    </row>
    <row r="4816" spans="1:9" ht="15" x14ac:dyDescent="0.25">
      <c r="A4816" s="53" t="inlineStr">
        <is>
          <t>LAB-004815</t>
        </is>
      </c>
      <c r="B4816" s="53" t="inlineStr">
        <is>
          <t>WP-02118</t>
        </is>
      </c>
      <c r="C4816" s="53" t="inlineStr">
        <is>
          <t>TECH-031</t>
        </is>
      </c>
      <c r="D4816" s="53" t="inlineStr">
        <is>
          <t>Airframe</t>
        </is>
      </c>
      <c r="E4816" s="53" t="inlineStr">
        <is>
          <t>2025-03-14</t>
        </is>
      </c>
      <c r="F4816" s="53">
        <v>2.3</v>
      </c>
      <c r="G4816" s="53">
        <v>0</v>
      </c>
      <c r="H4816" s="51" t="str">
        <f>TEXT(tblLaborEntries[[#This Row],[Work date serial]]-WEEKDAY(tblLaborEntries[[#This Row],[Work date serial]],3),"yyyy-mm-dd")</f>
        <v>2025-03-10</v>
      </c>
      <c r="I4816" s="64">
        <f>DATEVALUE(tblLaborEntries[[#This Row],[Work date]])</f>
        <v>45730.0</v>
      </c>
    </row>
    <row r="4817" spans="1:9" ht="15" x14ac:dyDescent="0.25">
      <c r="A4817" s="53" t="inlineStr">
        <is>
          <t>LAB-004816</t>
        </is>
      </c>
      <c r="B4817" s="53" t="inlineStr">
        <is>
          <t>WP-02118</t>
        </is>
      </c>
      <c r="C4817" s="53" t="inlineStr">
        <is>
          <t>TECH-025</t>
        </is>
      </c>
      <c r="D4817" s="53" t="inlineStr">
        <is>
          <t>Airframe</t>
        </is>
      </c>
      <c r="E4817" s="53" t="inlineStr">
        <is>
          <t>2025-03-15</t>
        </is>
      </c>
      <c r="F4817" s="53">
        <v>1.8</v>
      </c>
      <c r="G4817" s="53">
        <v>0</v>
      </c>
      <c r="H4817" s="51" t="str">
        <f>TEXT(tblLaborEntries[[#This Row],[Work date serial]]-WEEKDAY(tblLaborEntries[[#This Row],[Work date serial]],3),"yyyy-mm-dd")</f>
        <v>2025-03-10</v>
      </c>
      <c r="I4817" s="64">
        <f>DATEVALUE(tblLaborEntries[[#This Row],[Work date]])</f>
        <v>45731.0</v>
      </c>
    </row>
    <row r="4818" spans="1:9" ht="15" x14ac:dyDescent="0.25">
      <c r="A4818" s="53" t="inlineStr">
        <is>
          <t>LAB-004817</t>
        </is>
      </c>
      <c r="B4818" s="53" t="inlineStr">
        <is>
          <t>WP-02119</t>
        </is>
      </c>
      <c r="C4818" s="53" t="inlineStr">
        <is>
          <t>TECH-074</t>
        </is>
      </c>
      <c r="D4818" s="53" t="inlineStr">
        <is>
          <t>Avionics</t>
        </is>
      </c>
      <c r="E4818" s="53" t="inlineStr">
        <is>
          <t>2025-06-05</t>
        </is>
      </c>
      <c r="F4818" s="53">
        <v>8.5</v>
      </c>
      <c r="G4818" s="53">
        <v>0.5</v>
      </c>
      <c r="H4818" s="51" t="str">
        <f>TEXT(tblLaborEntries[[#This Row],[Work date serial]]-WEEKDAY(tblLaborEntries[[#This Row],[Work date serial]],3),"yyyy-mm-dd")</f>
        <v>2025-06-02</v>
      </c>
      <c r="I4818" s="64">
        <f>DATEVALUE(tblLaborEntries[[#This Row],[Work date]])</f>
        <v>45813.0</v>
      </c>
    </row>
    <row r="4819" spans="1:9" ht="15" x14ac:dyDescent="0.25">
      <c r="A4819" s="53" t="inlineStr">
        <is>
          <t>LAB-004818</t>
        </is>
      </c>
      <c r="B4819" s="53" t="inlineStr">
        <is>
          <t>WP-02119</t>
        </is>
      </c>
      <c r="C4819" s="53" t="inlineStr">
        <is>
          <t>TECH-008</t>
        </is>
      </c>
      <c r="D4819" s="53" t="inlineStr">
        <is>
          <t>Avionics</t>
        </is>
      </c>
      <c r="E4819" s="53" t="inlineStr">
        <is>
          <t>2025-06-06</t>
        </is>
      </c>
      <c r="F4819" s="53">
        <v>10</v>
      </c>
      <c r="G4819" s="53">
        <v>2</v>
      </c>
      <c r="H4819" s="51" t="str">
        <f>TEXT(tblLaborEntries[[#This Row],[Work date serial]]-WEEKDAY(tblLaborEntries[[#This Row],[Work date serial]],3),"yyyy-mm-dd")</f>
        <v>2025-06-02</v>
      </c>
      <c r="I4819" s="64">
        <f>DATEVALUE(tblLaborEntries[[#This Row],[Work date]])</f>
        <v>45814.0</v>
      </c>
    </row>
    <row r="4820" spans="1:9" ht="15" x14ac:dyDescent="0.25">
      <c r="A4820" s="53" t="inlineStr">
        <is>
          <t>LAB-004819</t>
        </is>
      </c>
      <c r="B4820" s="53" t="inlineStr">
        <is>
          <t>WP-02120</t>
        </is>
      </c>
      <c r="C4820" s="53" t="inlineStr">
        <is>
          <t>TECH-002</t>
        </is>
      </c>
      <c r="D4820" s="53" t="inlineStr">
        <is>
          <t>Avionics</t>
        </is>
      </c>
      <c r="E4820" s="53" t="inlineStr">
        <is>
          <t>2024-03-26</t>
        </is>
      </c>
      <c r="F4820" s="53">
        <v>2.9</v>
      </c>
      <c r="G4820" s="53">
        <v>2.9</v>
      </c>
      <c r="H4820" s="51" t="str">
        <f>TEXT(tblLaborEntries[[#This Row],[Work date serial]]-WEEKDAY(tblLaborEntries[[#This Row],[Work date serial]],3),"yyyy-mm-dd")</f>
        <v>2024-03-25</v>
      </c>
      <c r="I4820" s="64">
        <f>DATEVALUE(tblLaborEntries[[#This Row],[Work date]])</f>
        <v>45377.0</v>
      </c>
    </row>
    <row r="4821" spans="1:9" ht="15" x14ac:dyDescent="0.25">
      <c r="A4821" s="53" t="inlineStr">
        <is>
          <t>LAB-004820</t>
        </is>
      </c>
      <c r="B4821" s="53" t="inlineStr">
        <is>
          <t>WP-02120</t>
        </is>
      </c>
      <c r="C4821" s="53" t="inlineStr">
        <is>
          <t>TECH-074</t>
        </is>
      </c>
      <c r="D4821" s="53" t="inlineStr">
        <is>
          <t>Avionics</t>
        </is>
      </c>
      <c r="E4821" s="53" t="inlineStr">
        <is>
          <t>2024-03-27</t>
        </is>
      </c>
      <c r="F4821" s="53">
        <v>2.7</v>
      </c>
      <c r="G4821" s="53">
        <v>1.1</v>
      </c>
      <c r="H4821" s="51" t="str">
        <f>TEXT(tblLaborEntries[[#This Row],[Work date serial]]-WEEKDAY(tblLaborEntries[[#This Row],[Work date serial]],3),"yyyy-mm-dd")</f>
        <v>2024-03-25</v>
      </c>
      <c r="I4821" s="64">
        <f>DATEVALUE(tblLaborEntries[[#This Row],[Work date]])</f>
        <v>45378.0</v>
      </c>
    </row>
    <row r="4822" spans="1:9" ht="15" x14ac:dyDescent="0.25">
      <c r="A4822" s="53" t="inlineStr">
        <is>
          <t>LAB-004821</t>
        </is>
      </c>
      <c r="B4822" s="53" t="inlineStr">
        <is>
          <t>WP-02120</t>
        </is>
      </c>
      <c r="C4822" s="53" t="inlineStr">
        <is>
          <t>TECH-026</t>
        </is>
      </c>
      <c r="D4822" s="53" t="inlineStr">
        <is>
          <t>Avionics</t>
        </is>
      </c>
      <c r="E4822" s="53" t="inlineStr">
        <is>
          <t>2024-03-28</t>
        </is>
      </c>
      <c r="F4822" s="53">
        <v>2.7</v>
      </c>
      <c r="G4822" s="53">
        <v>0</v>
      </c>
      <c r="H4822" s="51" t="str">
        <f>TEXT(tblLaborEntries[[#This Row],[Work date serial]]-WEEKDAY(tblLaborEntries[[#This Row],[Work date serial]],3),"yyyy-mm-dd")</f>
        <v>2024-03-25</v>
      </c>
      <c r="I4822" s="64">
        <f>DATEVALUE(tblLaborEntries[[#This Row],[Work date]])</f>
        <v>45379.0</v>
      </c>
    </row>
    <row r="4823" spans="1:9" ht="15" x14ac:dyDescent="0.25">
      <c r="A4823" s="53" t="inlineStr">
        <is>
          <t>LAB-004822</t>
        </is>
      </c>
      <c r="B4823" s="53" t="inlineStr">
        <is>
          <t>WP-02121</t>
        </is>
      </c>
      <c r="C4823" s="53" t="inlineStr">
        <is>
          <t>TECH-052</t>
        </is>
      </c>
      <c r="D4823" s="53" t="inlineStr">
        <is>
          <t>Electrical</t>
        </is>
      </c>
      <c r="E4823" s="53" t="inlineStr">
        <is>
          <t>2025-06-07</t>
        </is>
      </c>
      <c r="F4823" s="53">
        <v>10.2</v>
      </c>
      <c r="G4823" s="53">
        <v>2.2</v>
      </c>
      <c r="H4823" s="51" t="str">
        <f>TEXT(tblLaborEntries[[#This Row],[Work date serial]]-WEEKDAY(tblLaborEntries[[#This Row],[Work date serial]],3),"yyyy-mm-dd")</f>
        <v>2025-06-02</v>
      </c>
      <c r="I4823" s="64">
        <f>DATEVALUE(tblLaborEntries[[#This Row],[Work date]])</f>
        <v>45815.0</v>
      </c>
    </row>
    <row r="4824" spans="1:9" ht="15" x14ac:dyDescent="0.25">
      <c r="A4824" s="53" t="inlineStr">
        <is>
          <t>LAB-004823</t>
        </is>
      </c>
      <c r="B4824" s="53" t="inlineStr">
        <is>
          <t>WP-02121</t>
        </is>
      </c>
      <c r="C4824" s="53" t="inlineStr">
        <is>
          <t>TECH-046</t>
        </is>
      </c>
      <c r="D4824" s="53" t="inlineStr">
        <is>
          <t>Electrical</t>
        </is>
      </c>
      <c r="E4824" s="53" t="inlineStr">
        <is>
          <t>2025-06-08</t>
        </is>
      </c>
      <c r="F4824" s="53">
        <v>9.9</v>
      </c>
      <c r="G4824" s="53">
        <v>1.9</v>
      </c>
      <c r="H4824" s="51" t="str">
        <f>TEXT(tblLaborEntries[[#This Row],[Work date serial]]-WEEKDAY(tblLaborEntries[[#This Row],[Work date serial]],3),"yyyy-mm-dd")</f>
        <v>2025-06-02</v>
      </c>
      <c r="I4824" s="64">
        <f>DATEVALUE(tblLaborEntries[[#This Row],[Work date]])</f>
        <v>45816.0</v>
      </c>
    </row>
    <row r="4825" spans="1:9" ht="15" x14ac:dyDescent="0.25">
      <c r="A4825" s="53" t="inlineStr">
        <is>
          <t>LAB-004824</t>
        </is>
      </c>
      <c r="B4825" s="53" t="inlineStr">
        <is>
          <t>WP-02122</t>
        </is>
      </c>
      <c r="C4825" s="53" t="inlineStr">
        <is>
          <t>TECH-014</t>
        </is>
      </c>
      <c r="D4825" s="53" t="inlineStr">
        <is>
          <t>Avionics</t>
        </is>
      </c>
      <c r="E4825" s="53" t="inlineStr">
        <is>
          <t>2025-12-06</t>
        </is>
      </c>
      <c r="F4825" s="53">
        <v>4.5</v>
      </c>
      <c r="G4825" s="53">
        <v>0</v>
      </c>
      <c r="H4825" s="51" t="str">
        <f>TEXT(tblLaborEntries[[#This Row],[Work date serial]]-WEEKDAY(tblLaborEntries[[#This Row],[Work date serial]],3),"yyyy-mm-dd")</f>
        <v>2025-12-01</v>
      </c>
      <c r="I4825" s="64">
        <f>DATEVALUE(tblLaborEntries[[#This Row],[Work date]])</f>
        <v>45997.0</v>
      </c>
    </row>
    <row r="4826" spans="1:9" ht="15" x14ac:dyDescent="0.25">
      <c r="A4826" s="53" t="inlineStr">
        <is>
          <t>LAB-004825</t>
        </is>
      </c>
      <c r="B4826" s="53" t="inlineStr">
        <is>
          <t>WP-02122</t>
        </is>
      </c>
      <c r="C4826" s="53" t="inlineStr">
        <is>
          <t>TECH-026</t>
        </is>
      </c>
      <c r="D4826" s="53" t="inlineStr">
        <is>
          <t>Avionics</t>
        </is>
      </c>
      <c r="E4826" s="53" t="inlineStr">
        <is>
          <t>2025-12-07</t>
        </is>
      </c>
      <c r="F4826" s="53">
        <v>4</v>
      </c>
      <c r="G4826" s="53">
        <v>0</v>
      </c>
      <c r="H4826" s="51" t="str">
        <f>TEXT(tblLaborEntries[[#This Row],[Work date serial]]-WEEKDAY(tblLaborEntries[[#This Row],[Work date serial]],3),"yyyy-mm-dd")</f>
        <v>2025-12-01</v>
      </c>
      <c r="I4826" s="64">
        <f>DATEVALUE(tblLaborEntries[[#This Row],[Work date]])</f>
        <v>45998.0</v>
      </c>
    </row>
    <row r="4827" spans="1:9" ht="15" x14ac:dyDescent="0.25">
      <c r="A4827" s="53" t="inlineStr">
        <is>
          <t>LAB-004826</t>
        </is>
      </c>
      <c r="B4827" s="53" t="inlineStr">
        <is>
          <t>WP-02122</t>
        </is>
      </c>
      <c r="C4827" s="53" t="inlineStr">
        <is>
          <t>TECH-020</t>
        </is>
      </c>
      <c r="D4827" s="53" t="inlineStr">
        <is>
          <t>Avionics</t>
        </is>
      </c>
      <c r="E4827" s="53" t="inlineStr">
        <is>
          <t>2025-12-08</t>
        </is>
      </c>
      <c r="F4827" s="53">
        <v>4</v>
      </c>
      <c r="G4827" s="53">
        <v>0</v>
      </c>
      <c r="H4827" s="51" t="str">
        <f>TEXT(tblLaborEntries[[#This Row],[Work date serial]]-WEEKDAY(tblLaborEntries[[#This Row],[Work date serial]],3),"yyyy-mm-dd")</f>
        <v>2025-12-08</v>
      </c>
      <c r="I4827" s="64">
        <f>DATEVALUE(tblLaborEntries[[#This Row],[Work date]])</f>
        <v>45999.0</v>
      </c>
    </row>
    <row r="4828" spans="1:9" ht="15" x14ac:dyDescent="0.25">
      <c r="A4828" s="53" t="inlineStr">
        <is>
          <t>LAB-004827</t>
        </is>
      </c>
      <c r="B4828" s="53" t="inlineStr">
        <is>
          <t>WP-02123</t>
        </is>
      </c>
      <c r="C4828" s="53" t="inlineStr">
        <is>
          <t>TECH-031</t>
        </is>
      </c>
      <c r="D4828" s="53" t="inlineStr">
        <is>
          <t>Airframe</t>
        </is>
      </c>
      <c r="E4828" s="53" t="inlineStr">
        <is>
          <t>2025-03-19</t>
        </is>
      </c>
      <c r="F4828" s="53">
        <v>5.1</v>
      </c>
      <c r="G4828" s="53">
        <v>0</v>
      </c>
      <c r="H4828" s="51" t="str">
        <f>TEXT(tblLaborEntries[[#This Row],[Work date serial]]-WEEKDAY(tblLaborEntries[[#This Row],[Work date serial]],3),"yyyy-mm-dd")</f>
        <v>2025-03-17</v>
      </c>
      <c r="I4828" s="64">
        <f>DATEVALUE(tblLaborEntries[[#This Row],[Work date]])</f>
        <v>45735.0</v>
      </c>
    </row>
    <row r="4829" spans="1:9" ht="15" x14ac:dyDescent="0.25">
      <c r="A4829" s="53" t="inlineStr">
        <is>
          <t>LAB-004828</t>
        </is>
      </c>
      <c r="B4829" s="53" t="inlineStr">
        <is>
          <t>WP-02123</t>
        </is>
      </c>
      <c r="C4829" s="53" t="inlineStr">
        <is>
          <t>TECH-061</t>
        </is>
      </c>
      <c r="D4829" s="53" t="inlineStr">
        <is>
          <t>Airframe</t>
        </is>
      </c>
      <c r="E4829" s="53" t="inlineStr">
        <is>
          <t>2025-03-20</t>
        </is>
      </c>
      <c r="F4829" s="53">
        <v>4.1</v>
      </c>
      <c r="G4829" s="53">
        <v>0</v>
      </c>
      <c r="H4829" s="51" t="str">
        <f>TEXT(tblLaborEntries[[#This Row],[Work date serial]]-WEEKDAY(tblLaborEntries[[#This Row],[Work date serial]],3),"yyyy-mm-dd")</f>
        <v>2025-03-17</v>
      </c>
      <c r="I4829" s="64">
        <f>DATEVALUE(tblLaborEntries[[#This Row],[Work date]])</f>
        <v>45736.0</v>
      </c>
    </row>
    <row r="4830" spans="1:9" ht="15" x14ac:dyDescent="0.25">
      <c r="A4830" s="53" t="inlineStr">
        <is>
          <t>LAB-004829</t>
        </is>
      </c>
      <c r="B4830" s="53" t="inlineStr">
        <is>
          <t>WP-02124</t>
        </is>
      </c>
      <c r="C4830" s="53" t="inlineStr">
        <is>
          <t>TECH-048</t>
        </is>
      </c>
      <c r="D4830" s="53" t="inlineStr">
        <is>
          <t>Powerplant</t>
        </is>
      </c>
      <c r="E4830" s="53" t="inlineStr">
        <is>
          <t>2025-01-03</t>
        </is>
      </c>
      <c r="F4830" s="53">
        <v>6.2</v>
      </c>
      <c r="G4830" s="53">
        <v>0</v>
      </c>
      <c r="H4830" s="51" t="str">
        <f>TEXT(tblLaborEntries[[#This Row],[Work date serial]]-WEEKDAY(tblLaborEntries[[#This Row],[Work date serial]],3),"yyyy-mm-dd")</f>
        <v>2024-12-30</v>
      </c>
      <c r="I4830" s="64">
        <f>DATEVALUE(tblLaborEntries[[#This Row],[Work date]])</f>
        <v>45660.0</v>
      </c>
    </row>
    <row r="4831" spans="1:9" ht="15" x14ac:dyDescent="0.25">
      <c r="A4831" s="53" t="inlineStr">
        <is>
          <t>LAB-004830</t>
        </is>
      </c>
      <c r="B4831" s="53" t="inlineStr">
        <is>
          <t>WP-02125</t>
        </is>
      </c>
      <c r="C4831" s="53" t="inlineStr">
        <is>
          <t>TECH-031</t>
        </is>
      </c>
      <c r="D4831" s="53" t="inlineStr">
        <is>
          <t>Airframe</t>
        </is>
      </c>
      <c r="E4831" s="53" t="inlineStr">
        <is>
          <t>2024-09-05</t>
        </is>
      </c>
      <c r="F4831" s="53">
        <v>3.5</v>
      </c>
      <c r="G4831" s="53">
        <v>0</v>
      </c>
      <c r="H4831" s="51" t="str">
        <f>TEXT(tblLaborEntries[[#This Row],[Work date serial]]-WEEKDAY(tblLaborEntries[[#This Row],[Work date serial]],3),"yyyy-mm-dd")</f>
        <v>2024-09-02</v>
      </c>
      <c r="I4831" s="64">
        <f>DATEVALUE(tblLaborEntries[[#This Row],[Work date]])</f>
        <v>45540.0</v>
      </c>
    </row>
    <row r="4832" spans="1:9" ht="15" x14ac:dyDescent="0.25">
      <c r="A4832" s="53" t="inlineStr">
        <is>
          <t>LAB-004831</t>
        </is>
      </c>
      <c r="B4832" s="53" t="inlineStr">
        <is>
          <t>WP-02125</t>
        </is>
      </c>
      <c r="C4832" s="53" t="inlineStr">
        <is>
          <t>TECH-031</t>
        </is>
      </c>
      <c r="D4832" s="53" t="inlineStr">
        <is>
          <t>Airframe</t>
        </is>
      </c>
      <c r="E4832" s="53" t="inlineStr">
        <is>
          <t>2024-09-06</t>
        </is>
      </c>
      <c r="F4832" s="53">
        <v>4</v>
      </c>
      <c r="G4832" s="53">
        <v>0</v>
      </c>
      <c r="H4832" s="51" t="str">
        <f>TEXT(tblLaborEntries[[#This Row],[Work date serial]]-WEEKDAY(tblLaborEntries[[#This Row],[Work date serial]],3),"yyyy-mm-dd")</f>
        <v>2024-09-02</v>
      </c>
      <c r="I4832" s="64">
        <f>DATEVALUE(tblLaborEntries[[#This Row],[Work date]])</f>
        <v>45541.0</v>
      </c>
    </row>
    <row r="4833" spans="1:9" ht="15" x14ac:dyDescent="0.25">
      <c r="A4833" s="53" t="inlineStr">
        <is>
          <t>LAB-004832</t>
        </is>
      </c>
      <c r="B4833" s="53" t="inlineStr">
        <is>
          <t>WP-02126</t>
        </is>
      </c>
      <c r="C4833" s="53" t="inlineStr">
        <is>
          <t>TECH-037</t>
        </is>
      </c>
      <c r="D4833" s="53" t="inlineStr">
        <is>
          <t>Airframe</t>
        </is>
      </c>
      <c r="E4833" s="53" t="inlineStr">
        <is>
          <t>2026-01-29</t>
        </is>
      </c>
      <c r="F4833" s="53">
        <v>1.7</v>
      </c>
      <c r="G4833" s="53">
        <v>0</v>
      </c>
      <c r="H4833" s="51" t="str">
        <f>TEXT(tblLaborEntries[[#This Row],[Work date serial]]-WEEKDAY(tblLaborEntries[[#This Row],[Work date serial]],3),"yyyy-mm-dd")</f>
        <v>2026-01-26</v>
      </c>
      <c r="I4833" s="64">
        <f>DATEVALUE(tblLaborEntries[[#This Row],[Work date]])</f>
        <v>46051.0</v>
      </c>
    </row>
    <row r="4834" spans="1:9" ht="15" x14ac:dyDescent="0.25">
      <c r="A4834" s="53" t="inlineStr">
        <is>
          <t>LAB-004833</t>
        </is>
      </c>
      <c r="B4834" s="53" t="inlineStr">
        <is>
          <t>WP-02126</t>
        </is>
      </c>
      <c r="C4834" s="53" t="inlineStr">
        <is>
          <t>TECH-067</t>
        </is>
      </c>
      <c r="D4834" s="53" t="inlineStr">
        <is>
          <t>Airframe</t>
        </is>
      </c>
      <c r="E4834" s="53" t="inlineStr">
        <is>
          <t>2026-01-30</t>
        </is>
      </c>
      <c r="F4834" s="53">
        <v>2.2</v>
      </c>
      <c r="G4834" s="53">
        <v>0</v>
      </c>
      <c r="H4834" s="51" t="str">
        <f>TEXT(tblLaborEntries[[#This Row],[Work date serial]]-WEEKDAY(tblLaborEntries[[#This Row],[Work date serial]],3),"yyyy-mm-dd")</f>
        <v>2026-01-26</v>
      </c>
      <c r="I4834" s="64">
        <f>DATEVALUE(tblLaborEntries[[#This Row],[Work date]])</f>
        <v>46052.0</v>
      </c>
    </row>
    <row r="4835" spans="1:9" ht="15" x14ac:dyDescent="0.25">
      <c r="A4835" s="53" t="inlineStr">
        <is>
          <t>LAB-004834</t>
        </is>
      </c>
      <c r="B4835" s="53" t="inlineStr">
        <is>
          <t>WP-02127</t>
        </is>
      </c>
      <c r="C4835" s="53" t="inlineStr">
        <is>
          <t>TECH-026</t>
        </is>
      </c>
      <c r="D4835" s="53" t="inlineStr">
        <is>
          <t>Avionics</t>
        </is>
      </c>
      <c r="E4835" s="53" t="inlineStr">
        <is>
          <t>2025-09-02</t>
        </is>
      </c>
      <c r="F4835" s="53">
        <v>5.8</v>
      </c>
      <c r="G4835" s="53">
        <v>0</v>
      </c>
      <c r="H4835" s="51" t="str">
        <f>TEXT(tblLaborEntries[[#This Row],[Work date serial]]-WEEKDAY(tblLaborEntries[[#This Row],[Work date serial]],3),"yyyy-mm-dd")</f>
        <v>2025-09-01</v>
      </c>
      <c r="I4835" s="64">
        <f>DATEVALUE(tblLaborEntries[[#This Row],[Work date]])</f>
        <v>45902.0</v>
      </c>
    </row>
    <row r="4836" spans="1:9" ht="15" x14ac:dyDescent="0.25">
      <c r="A4836" s="53" t="inlineStr">
        <is>
          <t>LAB-004835</t>
        </is>
      </c>
      <c r="B4836" s="53" t="inlineStr">
        <is>
          <t>WP-02127</t>
        </is>
      </c>
      <c r="C4836" s="53" t="inlineStr">
        <is>
          <t>TECH-038</t>
        </is>
      </c>
      <c r="D4836" s="53" t="inlineStr">
        <is>
          <t>Avionics</t>
        </is>
      </c>
      <c r="E4836" s="53" t="inlineStr">
        <is>
          <t>2025-09-03</t>
        </is>
      </c>
      <c r="F4836" s="53">
        <v>5.3</v>
      </c>
      <c r="G4836" s="53">
        <v>0</v>
      </c>
      <c r="H4836" s="51" t="str">
        <f>TEXT(tblLaborEntries[[#This Row],[Work date serial]]-WEEKDAY(tblLaborEntries[[#This Row],[Work date serial]],3),"yyyy-mm-dd")</f>
        <v>2025-09-01</v>
      </c>
      <c r="I4836" s="64">
        <f>DATEVALUE(tblLaborEntries[[#This Row],[Work date]])</f>
        <v>45903.0</v>
      </c>
    </row>
    <row r="4837" spans="1:9" ht="15" x14ac:dyDescent="0.25">
      <c r="A4837" s="53" t="inlineStr">
        <is>
          <t>LAB-004836</t>
        </is>
      </c>
      <c r="B4837" s="53" t="inlineStr">
        <is>
          <t>WP-02127</t>
        </is>
      </c>
      <c r="C4837" s="53" t="inlineStr">
        <is>
          <t>TECH-050</t>
        </is>
      </c>
      <c r="D4837" s="53" t="inlineStr">
        <is>
          <t>Avionics</t>
        </is>
      </c>
      <c r="E4837" s="53" t="inlineStr">
        <is>
          <t>2025-09-04</t>
        </is>
      </c>
      <c r="F4837" s="53">
        <v>5.7</v>
      </c>
      <c r="G4837" s="53">
        <v>0</v>
      </c>
      <c r="H4837" s="51" t="str">
        <f>TEXT(tblLaborEntries[[#This Row],[Work date serial]]-WEEKDAY(tblLaborEntries[[#This Row],[Work date serial]],3),"yyyy-mm-dd")</f>
        <v>2025-09-01</v>
      </c>
      <c r="I4837" s="64">
        <f>DATEVALUE(tblLaborEntries[[#This Row],[Work date]])</f>
        <v>45904.0</v>
      </c>
    </row>
    <row r="4838" spans="1:9" ht="15" x14ac:dyDescent="0.25">
      <c r="A4838" s="53" t="inlineStr">
        <is>
          <t>LAB-004837</t>
        </is>
      </c>
      <c r="B4838" s="53" t="inlineStr">
        <is>
          <t>WP-02128</t>
        </is>
      </c>
      <c r="C4838" s="53" t="inlineStr">
        <is>
          <t>TECH-068</t>
        </is>
      </c>
      <c r="D4838" s="53" t="inlineStr">
        <is>
          <t>Avionics</t>
        </is>
      </c>
      <c r="E4838" s="53" t="inlineStr">
        <is>
          <t>2025-09-24</t>
        </is>
      </c>
      <c r="F4838" s="53">
        <v>3.5</v>
      </c>
      <c r="G4838" s="53">
        <v>0</v>
      </c>
      <c r="H4838" s="51" t="str">
        <f>TEXT(tblLaborEntries[[#This Row],[Work date serial]]-WEEKDAY(tblLaborEntries[[#This Row],[Work date serial]],3),"yyyy-mm-dd")</f>
        <v>2025-09-22</v>
      </c>
      <c r="I4838" s="64">
        <f>DATEVALUE(tblLaborEntries[[#This Row],[Work date]])</f>
        <v>45924.0</v>
      </c>
    </row>
    <row r="4839" spans="1:9" ht="15" x14ac:dyDescent="0.25">
      <c r="A4839" s="53" t="inlineStr">
        <is>
          <t>LAB-004838</t>
        </is>
      </c>
      <c r="B4839" s="53" t="inlineStr">
        <is>
          <t>WP-02128</t>
        </is>
      </c>
      <c r="C4839" s="53" t="inlineStr">
        <is>
          <t>TECH-074</t>
        </is>
      </c>
      <c r="D4839" s="53" t="inlineStr">
        <is>
          <t>Avionics</t>
        </is>
      </c>
      <c r="E4839" s="53" t="inlineStr">
        <is>
          <t>2025-09-25</t>
        </is>
      </c>
      <c r="F4839" s="53">
        <v>4.3</v>
      </c>
      <c r="G4839" s="53">
        <v>4</v>
      </c>
      <c r="H4839" s="51" t="str">
        <f>TEXT(tblLaborEntries[[#This Row],[Work date serial]]-WEEKDAY(tblLaborEntries[[#This Row],[Work date serial]],3),"yyyy-mm-dd")</f>
        <v>2025-09-22</v>
      </c>
      <c r="I4839" s="64">
        <f>DATEVALUE(tblLaborEntries[[#This Row],[Work date]])</f>
        <v>45925.0</v>
      </c>
    </row>
    <row r="4840" spans="1:9" ht="15" x14ac:dyDescent="0.25">
      <c r="A4840" s="53" t="inlineStr">
        <is>
          <t>LAB-004839</t>
        </is>
      </c>
      <c r="B4840" s="53" t="inlineStr">
        <is>
          <t>WP-02128</t>
        </is>
      </c>
      <c r="C4840" s="53" t="inlineStr">
        <is>
          <t>TECH-032</t>
        </is>
      </c>
      <c r="D4840" s="53" t="inlineStr">
        <is>
          <t>Avionics</t>
        </is>
      </c>
      <c r="E4840" s="53" t="inlineStr">
        <is>
          <t>2025-09-26</t>
        </is>
      </c>
      <c r="F4840" s="53">
        <v>4</v>
      </c>
      <c r="G4840" s="53">
        <v>0</v>
      </c>
      <c r="H4840" s="51" t="str">
        <f>TEXT(tblLaborEntries[[#This Row],[Work date serial]]-WEEKDAY(tblLaborEntries[[#This Row],[Work date serial]],3),"yyyy-mm-dd")</f>
        <v>2025-09-22</v>
      </c>
      <c r="I4840" s="64">
        <f>DATEVALUE(tblLaborEntries[[#This Row],[Work date]])</f>
        <v>45926.0</v>
      </c>
    </row>
    <row r="4841" spans="1:9" ht="15" x14ac:dyDescent="0.25">
      <c r="A4841" s="53" t="inlineStr">
        <is>
          <t>LAB-004840</t>
        </is>
      </c>
      <c r="B4841" s="53" t="inlineStr">
        <is>
          <t>WP-02129</t>
        </is>
      </c>
      <c r="C4841" s="53" t="inlineStr">
        <is>
          <t>TECH-005</t>
        </is>
      </c>
      <c r="D4841" s="53" t="inlineStr">
        <is>
          <t>Structures</t>
        </is>
      </c>
      <c r="E4841" s="53" t="inlineStr">
        <is>
          <t>2025-03-14</t>
        </is>
      </c>
      <c r="F4841" s="53">
        <v>1.2</v>
      </c>
      <c r="G4841" s="53">
        <v>0</v>
      </c>
      <c r="H4841" s="51" t="str">
        <f>TEXT(tblLaborEntries[[#This Row],[Work date serial]]-WEEKDAY(tblLaborEntries[[#This Row],[Work date serial]],3),"yyyy-mm-dd")</f>
        <v>2025-03-10</v>
      </c>
      <c r="I4841" s="64">
        <f>DATEVALUE(tblLaborEntries[[#This Row],[Work date]])</f>
        <v>45730.0</v>
      </c>
    </row>
    <row r="4842" spans="1:9" ht="15" x14ac:dyDescent="0.25">
      <c r="A4842" s="53" t="inlineStr">
        <is>
          <t>LAB-004841</t>
        </is>
      </c>
      <c r="B4842" s="53" t="inlineStr">
        <is>
          <t>WP-02129</t>
        </is>
      </c>
      <c r="C4842" s="53" t="inlineStr">
        <is>
          <t>TECH-005</t>
        </is>
      </c>
      <c r="D4842" s="53" t="inlineStr">
        <is>
          <t>Structures</t>
        </is>
      </c>
      <c r="E4842" s="53" t="inlineStr">
        <is>
          <t>2025-03-15</t>
        </is>
      </c>
      <c r="F4842" s="53">
        <v>12</v>
      </c>
      <c r="G4842" s="53">
        <v>4</v>
      </c>
      <c r="H4842" s="51" t="str">
        <f>TEXT(tblLaborEntries[[#This Row],[Work date serial]]-WEEKDAY(tblLaborEntries[[#This Row],[Work date serial]],3),"yyyy-mm-dd")</f>
        <v>2025-03-10</v>
      </c>
      <c r="I4842" s="64">
        <f>DATEVALUE(tblLaborEntries[[#This Row],[Work date]])</f>
        <v>45731.0</v>
      </c>
    </row>
    <row r="4843" spans="1:9" ht="15" x14ac:dyDescent="0.25">
      <c r="A4843" s="53" t="inlineStr">
        <is>
          <t>LAB-004842</t>
        </is>
      </c>
      <c r="B4843" s="53" t="inlineStr">
        <is>
          <t>WP-02129</t>
        </is>
      </c>
      <c r="C4843" s="53" t="inlineStr">
        <is>
          <t>TECH-023</t>
        </is>
      </c>
      <c r="D4843" s="53" t="inlineStr">
        <is>
          <t>Structures</t>
        </is>
      </c>
      <c r="E4843" s="53" t="inlineStr">
        <is>
          <t>2025-03-15</t>
        </is>
      </c>
      <c r="F4843" s="53">
        <v>12</v>
      </c>
      <c r="G4843" s="53">
        <v>4</v>
      </c>
      <c r="H4843" s="51" t="str">
        <f>TEXT(tblLaborEntries[[#This Row],[Work date serial]]-WEEKDAY(tblLaborEntries[[#This Row],[Work date serial]],3),"yyyy-mm-dd")</f>
        <v>2025-03-10</v>
      </c>
      <c r="I4843" s="64">
        <f>DATEVALUE(tblLaborEntries[[#This Row],[Work date]])</f>
        <v>45731.0</v>
      </c>
    </row>
    <row r="4844" spans="1:9" ht="15" x14ac:dyDescent="0.25">
      <c r="A4844" s="53" t="inlineStr">
        <is>
          <t>LAB-004843</t>
        </is>
      </c>
      <c r="B4844" s="53" t="inlineStr">
        <is>
          <t>WP-02129</t>
        </is>
      </c>
      <c r="C4844" s="53" t="inlineStr">
        <is>
          <t>TECH-029</t>
        </is>
      </c>
      <c r="D4844" s="53" t="inlineStr">
        <is>
          <t>Structures</t>
        </is>
      </c>
      <c r="E4844" s="53" t="inlineStr">
        <is>
          <t>2025-03-15</t>
        </is>
      </c>
      <c r="F4844" s="53">
        <v>12</v>
      </c>
      <c r="G4844" s="53">
        <v>4</v>
      </c>
      <c r="H4844" s="51" t="str">
        <f>TEXT(tblLaborEntries[[#This Row],[Work date serial]]-WEEKDAY(tblLaborEntries[[#This Row],[Work date serial]],3),"yyyy-mm-dd")</f>
        <v>2025-03-10</v>
      </c>
      <c r="I4844" s="64">
        <f>DATEVALUE(tblLaborEntries[[#This Row],[Work date]])</f>
        <v>45731.0</v>
      </c>
    </row>
    <row r="4845" spans="1:9" ht="15" x14ac:dyDescent="0.25">
      <c r="A4845" s="53" t="inlineStr">
        <is>
          <t>LAB-004844</t>
        </is>
      </c>
      <c r="B4845" s="53" t="inlineStr">
        <is>
          <t>WP-02130</t>
        </is>
      </c>
      <c r="C4845" s="53" t="inlineStr">
        <is>
          <t>TECH-002</t>
        </is>
      </c>
      <c r="D4845" s="53" t="inlineStr">
        <is>
          <t>Avionics</t>
        </is>
      </c>
      <c r="E4845" s="53" t="inlineStr">
        <is>
          <t>2024-10-11</t>
        </is>
      </c>
      <c r="F4845" s="53">
        <v>5.5</v>
      </c>
      <c r="G4845" s="53">
        <v>0.9</v>
      </c>
      <c r="H4845" s="51" t="str">
        <f>TEXT(tblLaborEntries[[#This Row],[Work date serial]]-WEEKDAY(tblLaborEntries[[#This Row],[Work date serial]],3),"yyyy-mm-dd")</f>
        <v>2024-10-07</v>
      </c>
      <c r="I4845" s="64">
        <f>DATEVALUE(tblLaborEntries[[#This Row],[Work date]])</f>
        <v>45576.0</v>
      </c>
    </row>
    <row r="4846" spans="1:9" ht="15" x14ac:dyDescent="0.25">
      <c r="A4846" s="53" t="inlineStr">
        <is>
          <t>LAB-004845</t>
        </is>
      </c>
      <c r="B4846" s="53" t="inlineStr">
        <is>
          <t>WP-02130</t>
        </is>
      </c>
      <c r="C4846" s="53" t="inlineStr">
        <is>
          <t>TECH-062</t>
        </is>
      </c>
      <c r="D4846" s="53" t="inlineStr">
        <is>
          <t>Avionics</t>
        </is>
      </c>
      <c r="E4846" s="53" t="inlineStr">
        <is>
          <t>2024-10-12</t>
        </is>
      </c>
      <c r="F4846" s="53">
        <v>8.1</v>
      </c>
      <c r="G4846" s="53">
        <v>0.1</v>
      </c>
      <c r="H4846" s="51" t="str">
        <f>TEXT(tblLaborEntries[[#This Row],[Work date serial]]-WEEKDAY(tblLaborEntries[[#This Row],[Work date serial]],3),"yyyy-mm-dd")</f>
        <v>2024-10-07</v>
      </c>
      <c r="I4846" s="64">
        <f>DATEVALUE(tblLaborEntries[[#This Row],[Work date]])</f>
        <v>45577.0</v>
      </c>
    </row>
    <row r="4847" spans="1:9" ht="15" x14ac:dyDescent="0.25">
      <c r="A4847" s="53" t="inlineStr">
        <is>
          <t>LAB-004846</t>
        </is>
      </c>
      <c r="B4847" s="53" t="inlineStr">
        <is>
          <t>WP-02131</t>
        </is>
      </c>
      <c r="C4847" s="53" t="inlineStr">
        <is>
          <t>TECH-074</t>
        </is>
      </c>
      <c r="D4847" s="53" t="inlineStr">
        <is>
          <t>Avionics</t>
        </is>
      </c>
      <c r="E4847" s="53" t="inlineStr">
        <is>
          <t>2025-05-28</t>
        </is>
      </c>
      <c r="F4847" s="53">
        <v>4.2</v>
      </c>
      <c r="G4847" s="53">
        <v>1</v>
      </c>
      <c r="H4847" s="51" t="str">
        <f>TEXT(tblLaborEntries[[#This Row],[Work date serial]]-WEEKDAY(tblLaborEntries[[#This Row],[Work date serial]],3),"yyyy-mm-dd")</f>
        <v>2025-05-26</v>
      </c>
      <c r="I4847" s="64">
        <f>DATEVALUE(tblLaborEntries[[#This Row],[Work date]])</f>
        <v>45805.0</v>
      </c>
    </row>
    <row r="4848" spans="1:9" ht="15" x14ac:dyDescent="0.25">
      <c r="A4848" s="53" t="inlineStr">
        <is>
          <t>LAB-004847</t>
        </is>
      </c>
      <c r="B4848" s="53" t="inlineStr">
        <is>
          <t>WP-02132</t>
        </is>
      </c>
      <c r="C4848" s="53" t="inlineStr">
        <is>
          <t>TECH-049</t>
        </is>
      </c>
      <c r="D4848" s="53" t="inlineStr">
        <is>
          <t>Airframe</t>
        </is>
      </c>
      <c r="E4848" s="53" t="inlineStr">
        <is>
          <t>2024-11-02</t>
        </is>
      </c>
      <c r="F4848" s="53">
        <v>5.5</v>
      </c>
      <c r="G4848" s="53">
        <v>0</v>
      </c>
      <c r="H4848" s="51" t="str">
        <f>TEXT(tblLaborEntries[[#This Row],[Work date serial]]-WEEKDAY(tblLaborEntries[[#This Row],[Work date serial]],3),"yyyy-mm-dd")</f>
        <v>2024-10-28</v>
      </c>
      <c r="I4848" s="64">
        <f>DATEVALUE(tblLaborEntries[[#This Row],[Work date]])</f>
        <v>45598.0</v>
      </c>
    </row>
    <row r="4849" spans="1:9" ht="15" x14ac:dyDescent="0.25">
      <c r="A4849" s="53" t="inlineStr">
        <is>
          <t>LAB-004848</t>
        </is>
      </c>
      <c r="B4849" s="53" t="inlineStr">
        <is>
          <t>WP-02133</t>
        </is>
      </c>
      <c r="C4849" s="53" t="inlineStr">
        <is>
          <t>TECH-004</t>
        </is>
      </c>
      <c r="D4849" s="53" t="inlineStr">
        <is>
          <t>Electrical</t>
        </is>
      </c>
      <c r="E4849" s="53" t="inlineStr">
        <is>
          <t>2025-08-22</t>
        </is>
      </c>
      <c r="F4849" s="53">
        <v>10.4</v>
      </c>
      <c r="G4849" s="53">
        <v>2.4</v>
      </c>
      <c r="H4849" s="51" t="str">
        <f>TEXT(tblLaborEntries[[#This Row],[Work date serial]]-WEEKDAY(tblLaborEntries[[#This Row],[Work date serial]],3),"yyyy-mm-dd")</f>
        <v>2025-08-18</v>
      </c>
      <c r="I4849" s="64">
        <f>DATEVALUE(tblLaborEntries[[#This Row],[Work date]])</f>
        <v>45891.0</v>
      </c>
    </row>
    <row r="4850" spans="1:9" ht="15" x14ac:dyDescent="0.25">
      <c r="A4850" s="53" t="inlineStr">
        <is>
          <t>LAB-004849</t>
        </is>
      </c>
      <c r="B4850" s="53" t="inlineStr">
        <is>
          <t>WP-02133</t>
        </is>
      </c>
      <c r="C4850" s="53" t="inlineStr">
        <is>
          <t>TECH-034</t>
        </is>
      </c>
      <c r="D4850" s="53" t="inlineStr">
        <is>
          <t>Electrical</t>
        </is>
      </c>
      <c r="E4850" s="53" t="inlineStr">
        <is>
          <t>2025-08-22</t>
        </is>
      </c>
      <c r="F4850" s="53">
        <v>12</v>
      </c>
      <c r="G4850" s="53">
        <v>4</v>
      </c>
      <c r="H4850" s="51" t="str">
        <f>TEXT(tblLaborEntries[[#This Row],[Work date serial]]-WEEKDAY(tblLaborEntries[[#This Row],[Work date serial]],3),"yyyy-mm-dd")</f>
        <v>2025-08-18</v>
      </c>
      <c r="I4850" s="64">
        <f>DATEVALUE(tblLaborEntries[[#This Row],[Work date]])</f>
        <v>45891.0</v>
      </c>
    </row>
    <row r="4851" spans="1:9" ht="15" x14ac:dyDescent="0.25">
      <c r="A4851" s="53" t="inlineStr">
        <is>
          <t>LAB-004850</t>
        </is>
      </c>
      <c r="B4851" s="53" t="inlineStr">
        <is>
          <t>WP-02134</t>
        </is>
      </c>
      <c r="C4851" s="53" t="inlineStr">
        <is>
          <t>TECH-067</t>
        </is>
      </c>
      <c r="D4851" s="53" t="inlineStr">
        <is>
          <t>Airframe</t>
        </is>
      </c>
      <c r="E4851" s="53" t="inlineStr">
        <is>
          <t>2024-08-12</t>
        </is>
      </c>
      <c r="F4851" s="53">
        <v>3.3</v>
      </c>
      <c r="G4851" s="53">
        <v>0</v>
      </c>
      <c r="H4851" s="51" t="str">
        <f>TEXT(tblLaborEntries[[#This Row],[Work date serial]]-WEEKDAY(tblLaborEntries[[#This Row],[Work date serial]],3),"yyyy-mm-dd")</f>
        <v>2024-08-12</v>
      </c>
      <c r="I4851" s="64">
        <f>DATEVALUE(tblLaborEntries[[#This Row],[Work date]])</f>
        <v>45516.0</v>
      </c>
    </row>
    <row r="4852" spans="1:9" ht="15" x14ac:dyDescent="0.25">
      <c r="A4852" s="53" t="inlineStr">
        <is>
          <t>LAB-004851</t>
        </is>
      </c>
      <c r="B4852" s="53" t="inlineStr">
        <is>
          <t>WP-02134</t>
        </is>
      </c>
      <c r="C4852" s="53" t="inlineStr">
        <is>
          <t>TECH-025</t>
        </is>
      </c>
      <c r="D4852" s="53" t="inlineStr">
        <is>
          <t>Airframe</t>
        </is>
      </c>
      <c r="E4852" s="53" t="inlineStr">
        <is>
          <t>2024-08-13</t>
        </is>
      </c>
      <c r="F4852" s="53">
        <v>3.5</v>
      </c>
      <c r="G4852" s="53">
        <v>0</v>
      </c>
      <c r="H4852" s="51" t="str">
        <f>TEXT(tblLaborEntries[[#This Row],[Work date serial]]-WEEKDAY(tblLaborEntries[[#This Row],[Work date serial]],3),"yyyy-mm-dd")</f>
        <v>2024-08-12</v>
      </c>
      <c r="I4852" s="64">
        <f>DATEVALUE(tblLaborEntries[[#This Row],[Work date]])</f>
        <v>45517.0</v>
      </c>
    </row>
    <row r="4853" spans="1:9" ht="15" x14ac:dyDescent="0.25">
      <c r="A4853" s="53" t="inlineStr">
        <is>
          <t>LAB-004852</t>
        </is>
      </c>
      <c r="B4853" s="53" t="inlineStr">
        <is>
          <t>WP-02134</t>
        </is>
      </c>
      <c r="C4853" s="53" t="inlineStr">
        <is>
          <t>TECH-049</t>
        </is>
      </c>
      <c r="D4853" s="53" t="inlineStr">
        <is>
          <t>Airframe</t>
        </is>
      </c>
      <c r="E4853" s="53" t="inlineStr">
        <is>
          <t>2024-08-14</t>
        </is>
      </c>
      <c r="F4853" s="53">
        <v>4.9</v>
      </c>
      <c r="G4853" s="53">
        <v>0</v>
      </c>
      <c r="H4853" s="51" t="str">
        <f>TEXT(tblLaborEntries[[#This Row],[Work date serial]]-WEEKDAY(tblLaborEntries[[#This Row],[Work date serial]],3),"yyyy-mm-dd")</f>
        <v>2024-08-12</v>
      </c>
      <c r="I4853" s="64">
        <f>DATEVALUE(tblLaborEntries[[#This Row],[Work date]])</f>
        <v>45518.0</v>
      </c>
    </row>
    <row r="4854" spans="1:9" ht="15" x14ac:dyDescent="0.25">
      <c r="A4854" s="53" t="inlineStr">
        <is>
          <t>LAB-004853</t>
        </is>
      </c>
      <c r="B4854" s="53" t="inlineStr">
        <is>
          <t>WP-02135</t>
        </is>
      </c>
      <c r="C4854" s="53" t="inlineStr">
        <is>
          <t>TECH-008</t>
        </is>
      </c>
      <c r="D4854" s="53" t="inlineStr">
        <is>
          <t>Avionics</t>
        </is>
      </c>
      <c r="E4854" s="53" t="inlineStr">
        <is>
          <t>2025-04-13</t>
        </is>
      </c>
      <c r="F4854" s="53">
        <v>5.9</v>
      </c>
      <c r="G4854" s="53">
        <v>0</v>
      </c>
      <c r="H4854" s="51" t="str">
        <f>TEXT(tblLaborEntries[[#This Row],[Work date serial]]-WEEKDAY(tblLaborEntries[[#This Row],[Work date serial]],3),"yyyy-mm-dd")</f>
        <v>2025-04-07</v>
      </c>
      <c r="I4854" s="64">
        <f>DATEVALUE(tblLaborEntries[[#This Row],[Work date]])</f>
        <v>45760.0</v>
      </c>
    </row>
    <row r="4855" spans="1:9" ht="15" x14ac:dyDescent="0.25">
      <c r="A4855" s="53" t="inlineStr">
        <is>
          <t>LAB-004854</t>
        </is>
      </c>
      <c r="B4855" s="53" t="inlineStr">
        <is>
          <t>WP-02135</t>
        </is>
      </c>
      <c r="C4855" s="53" t="inlineStr">
        <is>
          <t>TECH-014</t>
        </is>
      </c>
      <c r="D4855" s="53" t="inlineStr">
        <is>
          <t>Avionics</t>
        </is>
      </c>
      <c r="E4855" s="53" t="inlineStr">
        <is>
          <t>2025-04-14</t>
        </is>
      </c>
      <c r="F4855" s="53">
        <v>5.8</v>
      </c>
      <c r="G4855" s="53">
        <v>0</v>
      </c>
      <c r="H4855" s="51" t="str">
        <f>TEXT(tblLaborEntries[[#This Row],[Work date serial]]-WEEKDAY(tblLaborEntries[[#This Row],[Work date serial]],3),"yyyy-mm-dd")</f>
        <v>2025-04-14</v>
      </c>
      <c r="I4855" s="64">
        <f>DATEVALUE(tblLaborEntries[[#This Row],[Work date]])</f>
        <v>45761.0</v>
      </c>
    </row>
    <row r="4856" spans="1:9" ht="15" x14ac:dyDescent="0.25">
      <c r="A4856" s="53" t="inlineStr">
        <is>
          <t>LAB-004855</t>
        </is>
      </c>
      <c r="B4856" s="53" t="inlineStr">
        <is>
          <t>WP-02135</t>
        </is>
      </c>
      <c r="C4856" s="53" t="inlineStr">
        <is>
          <t>TECH-020</t>
        </is>
      </c>
      <c r="D4856" s="53" t="inlineStr">
        <is>
          <t>Avionics</t>
        </is>
      </c>
      <c r="E4856" s="53" t="inlineStr">
        <is>
          <t>2025-04-15</t>
        </is>
      </c>
      <c r="F4856" s="53">
        <v>5.2</v>
      </c>
      <c r="G4856" s="53">
        <v>0</v>
      </c>
      <c r="H4856" s="51" t="str">
        <f>TEXT(tblLaborEntries[[#This Row],[Work date serial]]-WEEKDAY(tblLaborEntries[[#This Row],[Work date serial]],3),"yyyy-mm-dd")</f>
        <v>2025-04-14</v>
      </c>
      <c r="I4856" s="64">
        <f>DATEVALUE(tblLaborEntries[[#This Row],[Work date]])</f>
        <v>45762.0</v>
      </c>
    </row>
    <row r="4857" spans="1:9" ht="15" x14ac:dyDescent="0.25">
      <c r="A4857" s="53" t="inlineStr">
        <is>
          <t>LAB-004856</t>
        </is>
      </c>
      <c r="B4857" s="53" t="inlineStr">
        <is>
          <t>WP-02136</t>
        </is>
      </c>
      <c r="C4857" s="53" t="inlineStr">
        <is>
          <t>TECH-031</t>
        </is>
      </c>
      <c r="D4857" s="53" t="inlineStr">
        <is>
          <t>Airframe</t>
        </is>
      </c>
      <c r="E4857" s="53" t="inlineStr">
        <is>
          <t>2025-07-19</t>
        </is>
      </c>
      <c r="F4857" s="53">
        <v>1.7</v>
      </c>
      <c r="G4857" s="53">
        <v>0</v>
      </c>
      <c r="H4857" s="51" t="str">
        <f>TEXT(tblLaborEntries[[#This Row],[Work date serial]]-WEEKDAY(tblLaborEntries[[#This Row],[Work date serial]],3),"yyyy-mm-dd")</f>
        <v>2025-07-14</v>
      </c>
      <c r="I4857" s="64">
        <f>DATEVALUE(tblLaborEntries[[#This Row],[Work date]])</f>
        <v>45857.0</v>
      </c>
    </row>
    <row r="4858" spans="1:9" ht="15" x14ac:dyDescent="0.25">
      <c r="A4858" s="53" t="inlineStr">
        <is>
          <t>LAB-004857</t>
        </is>
      </c>
      <c r="B4858" s="53" t="inlineStr">
        <is>
          <t>WP-02136</t>
        </is>
      </c>
      <c r="C4858" s="53" t="inlineStr">
        <is>
          <t>TECH-055</t>
        </is>
      </c>
      <c r="D4858" s="53" t="inlineStr">
        <is>
          <t>Airframe</t>
        </is>
      </c>
      <c r="E4858" s="53" t="inlineStr">
        <is>
          <t>2025-07-20</t>
        </is>
      </c>
      <c r="F4858" s="53">
        <v>2</v>
      </c>
      <c r="G4858" s="53">
        <v>0</v>
      </c>
      <c r="H4858" s="51" t="str">
        <f>TEXT(tblLaborEntries[[#This Row],[Work date serial]]-WEEKDAY(tblLaborEntries[[#This Row],[Work date serial]],3),"yyyy-mm-dd")</f>
        <v>2025-07-14</v>
      </c>
      <c r="I4858" s="64">
        <f>DATEVALUE(tblLaborEntries[[#This Row],[Work date]])</f>
        <v>45858.0</v>
      </c>
    </row>
    <row r="4859" spans="1:9" ht="15" x14ac:dyDescent="0.25">
      <c r="A4859" s="53" t="inlineStr">
        <is>
          <t>LAB-004858</t>
        </is>
      </c>
      <c r="B4859" s="53" t="inlineStr">
        <is>
          <t>WP-02136</t>
        </is>
      </c>
      <c r="C4859" s="53" t="inlineStr">
        <is>
          <t>TECH-037</t>
        </is>
      </c>
      <c r="D4859" s="53" t="inlineStr">
        <is>
          <t>Airframe</t>
        </is>
      </c>
      <c r="E4859" s="53" t="inlineStr">
        <is>
          <t>2025-07-21</t>
        </is>
      </c>
      <c r="F4859" s="53">
        <v>2.6</v>
      </c>
      <c r="G4859" s="53">
        <v>0</v>
      </c>
      <c r="H4859" s="51" t="str">
        <f>TEXT(tblLaborEntries[[#This Row],[Work date serial]]-WEEKDAY(tblLaborEntries[[#This Row],[Work date serial]],3),"yyyy-mm-dd")</f>
        <v>2025-07-21</v>
      </c>
      <c r="I4859" s="64">
        <f>DATEVALUE(tblLaborEntries[[#This Row],[Work date]])</f>
        <v>45859.0</v>
      </c>
    </row>
    <row r="4860" spans="1:9" ht="15" x14ac:dyDescent="0.25">
      <c r="A4860" s="53" t="inlineStr">
        <is>
          <t>LAB-004859</t>
        </is>
      </c>
      <c r="B4860" s="53" t="inlineStr">
        <is>
          <t>WP-02137</t>
        </is>
      </c>
      <c r="C4860" s="53" t="inlineStr">
        <is>
          <t>TECH-073</t>
        </is>
      </c>
      <c r="D4860" s="53" t="inlineStr">
        <is>
          <t>Airframe</t>
        </is>
      </c>
      <c r="E4860" s="53" t="inlineStr">
        <is>
          <t>2025-03-10</t>
        </is>
      </c>
      <c r="F4860" s="53">
        <v>1.2</v>
      </c>
      <c r="G4860" s="53">
        <v>0</v>
      </c>
      <c r="H4860" s="51" t="str">
        <f>TEXT(tblLaborEntries[[#This Row],[Work date serial]]-WEEKDAY(tblLaborEntries[[#This Row],[Work date serial]],3),"yyyy-mm-dd")</f>
        <v>2025-03-10</v>
      </c>
      <c r="I4860" s="64">
        <f>DATEVALUE(tblLaborEntries[[#This Row],[Work date]])</f>
        <v>45726.0</v>
      </c>
    </row>
    <row r="4861" spans="1:9" ht="15" x14ac:dyDescent="0.25">
      <c r="A4861" s="53" t="inlineStr">
        <is>
          <t>LAB-004860</t>
        </is>
      </c>
      <c r="B4861" s="53" t="inlineStr">
        <is>
          <t>WP-02137</t>
        </is>
      </c>
      <c r="C4861" s="53" t="inlineStr">
        <is>
          <t>TECH-031</t>
        </is>
      </c>
      <c r="D4861" s="53" t="inlineStr">
        <is>
          <t>Airframe</t>
        </is>
      </c>
      <c r="E4861" s="53" t="inlineStr">
        <is>
          <t>2025-03-11</t>
        </is>
      </c>
      <c r="F4861" s="53">
        <v>1.4</v>
      </c>
      <c r="G4861" s="53">
        <v>1.4</v>
      </c>
      <c r="H4861" s="51" t="str">
        <f>TEXT(tblLaborEntries[[#This Row],[Work date serial]]-WEEKDAY(tblLaborEntries[[#This Row],[Work date serial]],3),"yyyy-mm-dd")</f>
        <v>2025-03-10</v>
      </c>
      <c r="I4861" s="64">
        <f>DATEVALUE(tblLaborEntries[[#This Row],[Work date]])</f>
        <v>45727.0</v>
      </c>
    </row>
    <row r="4862" spans="1:9" ht="15" x14ac:dyDescent="0.25">
      <c r="A4862" s="53" t="inlineStr">
        <is>
          <t>LAB-004861</t>
        </is>
      </c>
      <c r="B4862" s="53" t="inlineStr">
        <is>
          <t>WP-02137</t>
        </is>
      </c>
      <c r="C4862" s="53" t="inlineStr">
        <is>
          <t>TECH-007</t>
        </is>
      </c>
      <c r="D4862" s="53" t="inlineStr">
        <is>
          <t>Airframe</t>
        </is>
      </c>
      <c r="E4862" s="53" t="inlineStr">
        <is>
          <t>2025-03-12</t>
        </is>
      </c>
      <c r="F4862" s="53">
        <v>1.1</v>
      </c>
      <c r="G4862" s="53">
        <v>0</v>
      </c>
      <c r="H4862" s="51" t="str">
        <f>TEXT(tblLaborEntries[[#This Row],[Work date serial]]-WEEKDAY(tblLaborEntries[[#This Row],[Work date serial]],3),"yyyy-mm-dd")</f>
        <v>2025-03-10</v>
      </c>
      <c r="I4862" s="64">
        <f>DATEVALUE(tblLaborEntries[[#This Row],[Work date]])</f>
        <v>45728.0</v>
      </c>
    </row>
    <row r="4863" spans="1:9" ht="15" x14ac:dyDescent="0.25">
      <c r="A4863" s="53" t="inlineStr">
        <is>
          <t>LAB-004862</t>
        </is>
      </c>
      <c r="B4863" s="53" t="inlineStr">
        <is>
          <t>WP-02138</t>
        </is>
      </c>
      <c r="C4863" s="53" t="inlineStr">
        <is>
          <t>TECH-050</t>
        </is>
      </c>
      <c r="D4863" s="53" t="inlineStr">
        <is>
          <t>Avionics</t>
        </is>
      </c>
      <c r="E4863" s="53" t="inlineStr">
        <is>
          <t>2024-01-30</t>
        </is>
      </c>
      <c r="F4863" s="53">
        <v>5.6</v>
      </c>
      <c r="G4863" s="53">
        <v>0</v>
      </c>
      <c r="H4863" s="51" t="str">
        <f>TEXT(tblLaborEntries[[#This Row],[Work date serial]]-WEEKDAY(tblLaborEntries[[#This Row],[Work date serial]],3),"yyyy-mm-dd")</f>
        <v>2024-01-29</v>
      </c>
      <c r="I4863" s="64">
        <f>DATEVALUE(tblLaborEntries[[#This Row],[Work date]])</f>
        <v>45321.0</v>
      </c>
    </row>
    <row r="4864" spans="1:9" ht="15" x14ac:dyDescent="0.25">
      <c r="A4864" s="53" t="inlineStr">
        <is>
          <t>LAB-004863</t>
        </is>
      </c>
      <c r="B4864" s="53" t="inlineStr">
        <is>
          <t>WP-02139</t>
        </is>
      </c>
      <c r="C4864" s="53" t="inlineStr">
        <is>
          <t>TECH-002</t>
        </is>
      </c>
      <c r="D4864" s="53" t="inlineStr">
        <is>
          <t>Avionics</t>
        </is>
      </c>
      <c r="E4864" s="53" t="inlineStr">
        <is>
          <t>2025-03-08</t>
        </is>
      </c>
      <c r="F4864" s="53">
        <v>4.5</v>
      </c>
      <c r="G4864" s="53">
        <v>4</v>
      </c>
      <c r="H4864" s="51" t="str">
        <f>TEXT(tblLaborEntries[[#This Row],[Work date serial]]-WEEKDAY(tblLaborEntries[[#This Row],[Work date serial]],3),"yyyy-mm-dd")</f>
        <v>2025-03-03</v>
      </c>
      <c r="I4864" s="64">
        <f>DATEVALUE(tblLaborEntries[[#This Row],[Work date]])</f>
        <v>45724.0</v>
      </c>
    </row>
    <row r="4865" spans="1:9" ht="15" x14ac:dyDescent="0.25">
      <c r="A4865" s="53" t="inlineStr">
        <is>
          <t>LAB-004864</t>
        </is>
      </c>
      <c r="B4865" s="53" t="inlineStr">
        <is>
          <t>WP-02139</t>
        </is>
      </c>
      <c r="C4865" s="53" t="inlineStr">
        <is>
          <t>TECH-032</t>
        </is>
      </c>
      <c r="D4865" s="53" t="inlineStr">
        <is>
          <t>Avionics</t>
        </is>
      </c>
      <c r="E4865" s="53" t="inlineStr">
        <is>
          <t>2025-03-09</t>
        </is>
      </c>
      <c r="F4865" s="53">
        <v>5.2</v>
      </c>
      <c r="G4865" s="53">
        <v>4</v>
      </c>
      <c r="H4865" s="51" t="str">
        <f>TEXT(tblLaborEntries[[#This Row],[Work date serial]]-WEEKDAY(tblLaborEntries[[#This Row],[Work date serial]],3),"yyyy-mm-dd")</f>
        <v>2025-03-03</v>
      </c>
      <c r="I4865" s="64">
        <f>DATEVALUE(tblLaborEntries[[#This Row],[Work date]])</f>
        <v>45725.0</v>
      </c>
    </row>
    <row r="4866" spans="1:9" ht="15" x14ac:dyDescent="0.25">
      <c r="A4866" s="53" t="inlineStr">
        <is>
          <t>LAB-004865</t>
        </is>
      </c>
      <c r="B4866" s="53" t="inlineStr">
        <is>
          <t>WP-02140</t>
        </is>
      </c>
      <c r="C4866" s="53" t="inlineStr">
        <is>
          <t>TECH-067</t>
        </is>
      </c>
      <c r="D4866" s="53" t="inlineStr">
        <is>
          <t>Airframe</t>
        </is>
      </c>
      <c r="E4866" s="53" t="inlineStr">
        <is>
          <t>2024-04-02</t>
        </is>
      </c>
      <c r="F4866" s="53">
        <v>8.4</v>
      </c>
      <c r="G4866" s="53">
        <v>0.4</v>
      </c>
      <c r="H4866" s="51" t="str">
        <f>TEXT(tblLaborEntries[[#This Row],[Work date serial]]-WEEKDAY(tblLaborEntries[[#This Row],[Work date serial]],3),"yyyy-mm-dd")</f>
        <v>2024-04-01</v>
      </c>
      <c r="I4866" s="64">
        <f>DATEVALUE(tblLaborEntries[[#This Row],[Work date]])</f>
        <v>45384.0</v>
      </c>
    </row>
    <row r="4867" spans="1:9" ht="15" x14ac:dyDescent="0.25">
      <c r="A4867" s="53" t="inlineStr">
        <is>
          <t>LAB-004866</t>
        </is>
      </c>
      <c r="B4867" s="53" t="inlineStr">
        <is>
          <t>WP-02141</t>
        </is>
      </c>
      <c r="C4867" s="53" t="inlineStr">
        <is>
          <t>TECH-055</t>
        </is>
      </c>
      <c r="D4867" s="53" t="inlineStr">
        <is>
          <t>Airframe</t>
        </is>
      </c>
      <c r="E4867" s="53" t="inlineStr">
        <is>
          <t>2025-05-13</t>
        </is>
      </c>
      <c r="F4867" s="53">
        <v>3.3</v>
      </c>
      <c r="G4867" s="53">
        <v>0</v>
      </c>
      <c r="H4867" s="51" t="str">
        <f>TEXT(tblLaborEntries[[#This Row],[Work date serial]]-WEEKDAY(tblLaborEntries[[#This Row],[Work date serial]],3),"yyyy-mm-dd")</f>
        <v>2025-05-12</v>
      </c>
      <c r="I4867" s="64">
        <f>DATEVALUE(tblLaborEntries[[#This Row],[Work date]])</f>
        <v>45790.0</v>
      </c>
    </row>
    <row r="4868" spans="1:9" ht="15" x14ac:dyDescent="0.25">
      <c r="A4868" s="53" t="inlineStr">
        <is>
          <t>LAB-004867</t>
        </is>
      </c>
      <c r="B4868" s="53" t="inlineStr">
        <is>
          <t>WP-02142</t>
        </is>
      </c>
      <c r="C4868" s="53" t="inlineStr">
        <is>
          <t>TECH-073</t>
        </is>
      </c>
      <c r="D4868" s="53" t="inlineStr">
        <is>
          <t>Airframe</t>
        </is>
      </c>
      <c r="E4868" s="53" t="inlineStr">
        <is>
          <t>2025-12-19</t>
        </is>
      </c>
      <c r="F4868" s="53">
        <v>4.7</v>
      </c>
      <c r="G4868" s="53">
        <v>0</v>
      </c>
      <c r="H4868" s="51" t="str">
        <f>TEXT(tblLaborEntries[[#This Row],[Work date serial]]-WEEKDAY(tblLaborEntries[[#This Row],[Work date serial]],3),"yyyy-mm-dd")</f>
        <v>2025-12-15</v>
      </c>
      <c r="I4868" s="64">
        <f>DATEVALUE(tblLaborEntries[[#This Row],[Work date]])</f>
        <v>46010.0</v>
      </c>
    </row>
    <row r="4869" spans="1:9" ht="15" x14ac:dyDescent="0.25">
      <c r="A4869" s="53" t="inlineStr">
        <is>
          <t>LAB-004868</t>
        </is>
      </c>
      <c r="B4869" s="53" t="inlineStr">
        <is>
          <t>WP-02142</t>
        </is>
      </c>
      <c r="C4869" s="53" t="inlineStr">
        <is>
          <t>TECH-073</t>
        </is>
      </c>
      <c r="D4869" s="53" t="inlineStr">
        <is>
          <t>Airframe</t>
        </is>
      </c>
      <c r="E4869" s="53" t="inlineStr">
        <is>
          <t>2025-12-20</t>
        </is>
      </c>
      <c r="F4869" s="53">
        <v>5</v>
      </c>
      <c r="G4869" s="53">
        <v>0</v>
      </c>
      <c r="H4869" s="51" t="str">
        <f>TEXT(tblLaborEntries[[#This Row],[Work date serial]]-WEEKDAY(tblLaborEntries[[#This Row],[Work date serial]],3),"yyyy-mm-dd")</f>
        <v>2025-12-15</v>
      </c>
      <c r="I4869" s="64">
        <f>DATEVALUE(tblLaborEntries[[#This Row],[Work date]])</f>
        <v>46011.0</v>
      </c>
    </row>
    <row r="4870" spans="1:9" ht="15" x14ac:dyDescent="0.25">
      <c r="A4870" s="53" t="inlineStr">
        <is>
          <t>LAB-004869</t>
        </is>
      </c>
      <c r="B4870" s="53" t="inlineStr">
        <is>
          <t>WP-02142</t>
        </is>
      </c>
      <c r="C4870" s="53" t="inlineStr">
        <is>
          <t>TECH-031</t>
        </is>
      </c>
      <c r="D4870" s="53" t="inlineStr">
        <is>
          <t>Airframe</t>
        </is>
      </c>
      <c r="E4870" s="53" t="inlineStr">
        <is>
          <t>2025-12-21</t>
        </is>
      </c>
      <c r="F4870" s="53">
        <v>6.4</v>
      </c>
      <c r="G4870" s="53">
        <v>0</v>
      </c>
      <c r="H4870" s="51" t="str">
        <f>TEXT(tblLaborEntries[[#This Row],[Work date serial]]-WEEKDAY(tblLaborEntries[[#This Row],[Work date serial]],3),"yyyy-mm-dd")</f>
        <v>2025-12-15</v>
      </c>
      <c r="I4870" s="64">
        <f>DATEVALUE(tblLaborEntries[[#This Row],[Work date]])</f>
        <v>46012.0</v>
      </c>
    </row>
    <row r="4871" spans="1:9" ht="15" x14ac:dyDescent="0.25">
      <c r="A4871" s="53" t="inlineStr">
        <is>
          <t>LAB-004870</t>
        </is>
      </c>
      <c r="B4871" s="53" t="inlineStr">
        <is>
          <t>WP-02143</t>
        </is>
      </c>
      <c r="C4871" s="53" t="inlineStr">
        <is>
          <t>TECH-026</t>
        </is>
      </c>
      <c r="D4871" s="53" t="inlineStr">
        <is>
          <t>Avionics</t>
        </is>
      </c>
      <c r="E4871" s="53" t="inlineStr">
        <is>
          <t>2025-08-17</t>
        </is>
      </c>
      <c r="F4871" s="53">
        <v>4.8</v>
      </c>
      <c r="G4871" s="53">
        <v>0</v>
      </c>
      <c r="H4871" s="51" t="str">
        <f>TEXT(tblLaborEntries[[#This Row],[Work date serial]]-WEEKDAY(tblLaborEntries[[#This Row],[Work date serial]],3),"yyyy-mm-dd")</f>
        <v>2025-08-11</v>
      </c>
      <c r="I4871" s="64">
        <f>DATEVALUE(tblLaborEntries[[#This Row],[Work date]])</f>
        <v>45886.0</v>
      </c>
    </row>
    <row r="4872" spans="1:9" ht="15" x14ac:dyDescent="0.25">
      <c r="A4872" s="53" t="inlineStr">
        <is>
          <t>LAB-004871</t>
        </is>
      </c>
      <c r="B4872" s="53" t="inlineStr">
        <is>
          <t>WP-02143</t>
        </is>
      </c>
      <c r="C4872" s="53" t="inlineStr">
        <is>
          <t>TECH-008</t>
        </is>
      </c>
      <c r="D4872" s="53" t="inlineStr">
        <is>
          <t>Avionics</t>
        </is>
      </c>
      <c r="E4872" s="53" t="inlineStr">
        <is>
          <t>2025-08-18</t>
        </is>
      </c>
      <c r="F4872" s="53">
        <v>3.4</v>
      </c>
      <c r="G4872" s="53">
        <v>0</v>
      </c>
      <c r="H4872" s="51" t="str">
        <f>TEXT(tblLaborEntries[[#This Row],[Work date serial]]-WEEKDAY(tblLaborEntries[[#This Row],[Work date serial]],3),"yyyy-mm-dd")</f>
        <v>2025-08-18</v>
      </c>
      <c r="I4872" s="64">
        <f>DATEVALUE(tblLaborEntries[[#This Row],[Work date]])</f>
        <v>45887.0</v>
      </c>
    </row>
    <row r="4873" spans="1:9" ht="15" x14ac:dyDescent="0.25">
      <c r="A4873" s="53" t="inlineStr">
        <is>
          <t>LAB-004872</t>
        </is>
      </c>
      <c r="B4873" s="53" t="inlineStr">
        <is>
          <t>WP-02144</t>
        </is>
      </c>
      <c r="C4873" s="53" t="inlineStr">
        <is>
          <t>TECH-056</t>
        </is>
      </c>
      <c r="D4873" s="53" t="inlineStr">
        <is>
          <t>Avionics</t>
        </is>
      </c>
      <c r="E4873" s="53" t="inlineStr">
        <is>
          <t>2025-12-30</t>
        </is>
      </c>
      <c r="F4873" s="53">
        <v>1.5</v>
      </c>
      <c r="G4873" s="53">
        <v>0</v>
      </c>
      <c r="H4873" s="51" t="str">
        <f>TEXT(tblLaborEntries[[#This Row],[Work date serial]]-WEEKDAY(tblLaborEntries[[#This Row],[Work date serial]],3),"yyyy-mm-dd")</f>
        <v>2025-12-29</v>
      </c>
      <c r="I4873" s="64">
        <f>DATEVALUE(tblLaborEntries[[#This Row],[Work date]])</f>
        <v>46021.0</v>
      </c>
    </row>
    <row r="4874" spans="1:9" ht="15" x14ac:dyDescent="0.25">
      <c r="A4874" s="53" t="inlineStr">
        <is>
          <t>LAB-004873</t>
        </is>
      </c>
      <c r="B4874" s="53" t="inlineStr">
        <is>
          <t>WP-02144</t>
        </is>
      </c>
      <c r="C4874" s="53" t="inlineStr">
        <is>
          <t>TECH-044</t>
        </is>
      </c>
      <c r="D4874" s="53" t="inlineStr">
        <is>
          <t>Avionics</t>
        </is>
      </c>
      <c r="E4874" s="53" t="inlineStr">
        <is>
          <t>2025-12-31</t>
        </is>
      </c>
      <c r="F4874" s="53">
        <v>1.8</v>
      </c>
      <c r="G4874" s="53">
        <v>0</v>
      </c>
      <c r="H4874" s="51" t="str">
        <f>TEXT(tblLaborEntries[[#This Row],[Work date serial]]-WEEKDAY(tblLaborEntries[[#This Row],[Work date serial]],3),"yyyy-mm-dd")</f>
        <v>2025-12-29</v>
      </c>
      <c r="I4874" s="64">
        <f>DATEVALUE(tblLaborEntries[[#This Row],[Work date]])</f>
        <v>46022.0</v>
      </c>
    </row>
    <row r="4875" spans="1:9" ht="15" x14ac:dyDescent="0.25">
      <c r="A4875" s="53" t="inlineStr">
        <is>
          <t>LAB-004874</t>
        </is>
      </c>
      <c r="B4875" s="53" t="inlineStr">
        <is>
          <t>WP-02144</t>
        </is>
      </c>
      <c r="C4875" s="53" t="inlineStr">
        <is>
          <t>TECH-032</t>
        </is>
      </c>
      <c r="D4875" s="53" t="inlineStr">
        <is>
          <t>Avionics</t>
        </is>
      </c>
      <c r="E4875" s="53" t="inlineStr">
        <is>
          <t>2026-01-01</t>
        </is>
      </c>
      <c r="F4875" s="53">
        <v>1.9</v>
      </c>
      <c r="G4875" s="53">
        <v>0</v>
      </c>
      <c r="H4875" s="51" t="str">
        <f>TEXT(tblLaborEntries[[#This Row],[Work date serial]]-WEEKDAY(tblLaborEntries[[#This Row],[Work date serial]],3),"yyyy-mm-dd")</f>
        <v>2025-12-29</v>
      </c>
      <c r="I4875" s="64">
        <f>DATEVALUE(tblLaborEntries[[#This Row],[Work date]])</f>
        <v>46023.0</v>
      </c>
    </row>
    <row r="4876" spans="1:9" ht="15" x14ac:dyDescent="0.25">
      <c r="A4876" s="53" t="inlineStr">
        <is>
          <t>LAB-004875</t>
        </is>
      </c>
      <c r="B4876" s="53" t="inlineStr">
        <is>
          <t>WP-02145</t>
        </is>
      </c>
      <c r="C4876" s="53" t="inlineStr">
        <is>
          <t>TECH-004</t>
        </is>
      </c>
      <c r="D4876" s="53" t="inlineStr">
        <is>
          <t>Electrical</t>
        </is>
      </c>
      <c r="E4876" s="53" t="inlineStr">
        <is>
          <t>2024-11-30</t>
        </is>
      </c>
      <c r="F4876" s="53">
        <v>3.8</v>
      </c>
      <c r="G4876" s="53">
        <v>0</v>
      </c>
      <c r="H4876" s="51" t="str">
        <f>TEXT(tblLaborEntries[[#This Row],[Work date serial]]-WEEKDAY(tblLaborEntries[[#This Row],[Work date serial]],3),"yyyy-mm-dd")</f>
        <v>2024-11-25</v>
      </c>
      <c r="I4876" s="64">
        <f>DATEVALUE(tblLaborEntries[[#This Row],[Work date]])</f>
        <v>45626.0</v>
      </c>
    </row>
    <row r="4877" spans="1:9" ht="15" x14ac:dyDescent="0.25">
      <c r="A4877" s="53" t="inlineStr">
        <is>
          <t>LAB-004876</t>
        </is>
      </c>
      <c r="B4877" s="53" t="inlineStr">
        <is>
          <t>WP-02145</t>
        </is>
      </c>
      <c r="C4877" s="53" t="inlineStr">
        <is>
          <t>TECH-064</t>
        </is>
      </c>
      <c r="D4877" s="53" t="inlineStr">
        <is>
          <t>Electrical</t>
        </is>
      </c>
      <c r="E4877" s="53" t="inlineStr">
        <is>
          <t>2024-11-30</t>
        </is>
      </c>
      <c r="F4877" s="53">
        <v>9.4</v>
      </c>
      <c r="G4877" s="53">
        <v>4</v>
      </c>
      <c r="H4877" s="51" t="str">
        <f>TEXT(tblLaborEntries[[#This Row],[Work date serial]]-WEEKDAY(tblLaborEntries[[#This Row],[Work date serial]],3),"yyyy-mm-dd")</f>
        <v>2024-11-25</v>
      </c>
      <c r="I4877" s="64">
        <f>DATEVALUE(tblLaborEntries[[#This Row],[Work date]])</f>
        <v>45626.0</v>
      </c>
    </row>
    <row r="4878" spans="1:9" ht="15" x14ac:dyDescent="0.25">
      <c r="A4878" s="53" t="inlineStr">
        <is>
          <t>LAB-004877</t>
        </is>
      </c>
      <c r="B4878" s="53" t="inlineStr">
        <is>
          <t>WP-02146</t>
        </is>
      </c>
      <c r="C4878" s="53" t="inlineStr">
        <is>
          <t>TECH-007</t>
        </is>
      </c>
      <c r="D4878" s="53" t="inlineStr">
        <is>
          <t>Airframe</t>
        </is>
      </c>
      <c r="E4878" s="53" t="inlineStr">
        <is>
          <t>2024-01-07</t>
        </is>
      </c>
      <c r="F4878" s="53">
        <v>10.1</v>
      </c>
      <c r="G4878" s="53">
        <v>2.1</v>
      </c>
      <c r="H4878" s="51" t="str">
        <f>TEXT(tblLaborEntries[[#This Row],[Work date serial]]-WEEKDAY(tblLaborEntries[[#This Row],[Work date serial]],3),"yyyy-mm-dd")</f>
        <v>2024-01-01</v>
      </c>
      <c r="I4878" s="64">
        <f>DATEVALUE(tblLaborEntries[[#This Row],[Work date]])</f>
        <v>45298.0</v>
      </c>
    </row>
    <row r="4879" spans="1:9" ht="15" x14ac:dyDescent="0.25">
      <c r="A4879" s="53" t="inlineStr">
        <is>
          <t>LAB-004878</t>
        </is>
      </c>
      <c r="B4879" s="53" t="inlineStr">
        <is>
          <t>WP-02147</t>
        </is>
      </c>
      <c r="C4879" s="53" t="inlineStr">
        <is>
          <t>TECH-043</t>
        </is>
      </c>
      <c r="D4879" s="53" t="inlineStr">
        <is>
          <t>Airframe</t>
        </is>
      </c>
      <c r="E4879" s="53" t="inlineStr">
        <is>
          <t>2025-12-28</t>
        </is>
      </c>
      <c r="F4879" s="53">
        <v>3</v>
      </c>
      <c r="G4879" s="53">
        <v>0</v>
      </c>
      <c r="H4879" s="51" t="str">
        <f>TEXT(tblLaborEntries[[#This Row],[Work date serial]]-WEEKDAY(tblLaborEntries[[#This Row],[Work date serial]],3),"yyyy-mm-dd")</f>
        <v>2025-12-22</v>
      </c>
      <c r="I4879" s="64">
        <f>DATEVALUE(tblLaborEntries[[#This Row],[Work date]])</f>
        <v>46019.0</v>
      </c>
    </row>
    <row r="4880" spans="1:9" ht="15" x14ac:dyDescent="0.25">
      <c r="A4880" s="53" t="inlineStr">
        <is>
          <t>LAB-004879</t>
        </is>
      </c>
      <c r="B4880" s="53" t="inlineStr">
        <is>
          <t>WP-02147</t>
        </is>
      </c>
      <c r="C4880" s="53" t="inlineStr">
        <is>
          <t>TECH-031</t>
        </is>
      </c>
      <c r="D4880" s="53" t="inlineStr">
        <is>
          <t>Airframe</t>
        </is>
      </c>
      <c r="E4880" s="53" t="inlineStr">
        <is>
          <t>2025-12-29</t>
        </is>
      </c>
      <c r="F4880" s="53">
        <v>2.5</v>
      </c>
      <c r="G4880" s="53">
        <v>0</v>
      </c>
      <c r="H4880" s="51" t="str">
        <f>TEXT(tblLaborEntries[[#This Row],[Work date serial]]-WEEKDAY(tblLaborEntries[[#This Row],[Work date serial]],3),"yyyy-mm-dd")</f>
        <v>2025-12-29</v>
      </c>
      <c r="I4880" s="64">
        <f>DATEVALUE(tblLaborEntries[[#This Row],[Work date]])</f>
        <v>46020.0</v>
      </c>
    </row>
    <row r="4881" spans="1:9" ht="15" x14ac:dyDescent="0.25">
      <c r="A4881" s="53" t="inlineStr">
        <is>
          <t>LAB-004880</t>
        </is>
      </c>
      <c r="B4881" s="53" t="inlineStr">
        <is>
          <t>WP-02147</t>
        </is>
      </c>
      <c r="C4881" s="53" t="inlineStr">
        <is>
          <t>TECH-001</t>
        </is>
      </c>
      <c r="D4881" s="53" t="inlineStr">
        <is>
          <t>Airframe</t>
        </is>
      </c>
      <c r="E4881" s="53" t="inlineStr">
        <is>
          <t>2025-12-30</t>
        </is>
      </c>
      <c r="F4881" s="53">
        <v>2.6</v>
      </c>
      <c r="G4881" s="53">
        <v>0</v>
      </c>
      <c r="H4881" s="51" t="str">
        <f>TEXT(tblLaborEntries[[#This Row],[Work date serial]]-WEEKDAY(tblLaborEntries[[#This Row],[Work date serial]],3),"yyyy-mm-dd")</f>
        <v>2025-12-29</v>
      </c>
      <c r="I4881" s="64">
        <f>DATEVALUE(tblLaborEntries[[#This Row],[Work date]])</f>
        <v>46021.0</v>
      </c>
    </row>
    <row r="4882" spans="1:9" ht="15" x14ac:dyDescent="0.25">
      <c r="A4882" s="53" t="inlineStr">
        <is>
          <t>LAB-004881</t>
        </is>
      </c>
      <c r="B4882" s="53" t="inlineStr">
        <is>
          <t>WP-02148</t>
        </is>
      </c>
      <c r="C4882" s="53" t="inlineStr">
        <is>
          <t>TECH-053</t>
        </is>
      </c>
      <c r="D4882" s="53" t="inlineStr">
        <is>
          <t>Structures</t>
        </is>
      </c>
      <c r="E4882" s="53" t="inlineStr">
        <is>
          <t>2025-06-22</t>
        </is>
      </c>
      <c r="F4882" s="53">
        <v>5.7</v>
      </c>
      <c r="G4882" s="53">
        <v>0</v>
      </c>
      <c r="H4882" s="51" t="str">
        <f>TEXT(tblLaborEntries[[#This Row],[Work date serial]]-WEEKDAY(tblLaborEntries[[#This Row],[Work date serial]],3),"yyyy-mm-dd")</f>
        <v>2025-06-16</v>
      </c>
      <c r="I4882" s="64">
        <f>DATEVALUE(tblLaborEntries[[#This Row],[Work date]])</f>
        <v>45830.0</v>
      </c>
    </row>
    <row r="4883" spans="1:9" ht="15" x14ac:dyDescent="0.25">
      <c r="A4883" s="53" t="inlineStr">
        <is>
          <t>LAB-004882</t>
        </is>
      </c>
      <c r="B4883" s="53" t="inlineStr">
        <is>
          <t>WP-02148</t>
        </is>
      </c>
      <c r="C4883" s="53" t="inlineStr">
        <is>
          <t>TECH-071</t>
        </is>
      </c>
      <c r="D4883" s="53" t="inlineStr">
        <is>
          <t>Structures</t>
        </is>
      </c>
      <c r="E4883" s="53" t="inlineStr">
        <is>
          <t>2025-06-23</t>
        </is>
      </c>
      <c r="F4883" s="53">
        <v>7</v>
      </c>
      <c r="G4883" s="53">
        <v>0</v>
      </c>
      <c r="H4883" s="51" t="str">
        <f>TEXT(tblLaborEntries[[#This Row],[Work date serial]]-WEEKDAY(tblLaborEntries[[#This Row],[Work date serial]],3),"yyyy-mm-dd")</f>
        <v>2025-06-23</v>
      </c>
      <c r="I4883" s="64">
        <f>DATEVALUE(tblLaborEntries[[#This Row],[Work date]])</f>
        <v>45831.0</v>
      </c>
    </row>
    <row r="4884" spans="1:9" ht="15" x14ac:dyDescent="0.25">
      <c r="A4884" s="53" t="inlineStr">
        <is>
          <t>LAB-004883</t>
        </is>
      </c>
      <c r="B4884" s="53" t="inlineStr">
        <is>
          <t>WP-02148</t>
        </is>
      </c>
      <c r="C4884" s="53" t="inlineStr">
        <is>
          <t>TECH-017</t>
        </is>
      </c>
      <c r="D4884" s="53" t="inlineStr">
        <is>
          <t>Structures</t>
        </is>
      </c>
      <c r="E4884" s="53" t="inlineStr">
        <is>
          <t>2025-06-24</t>
        </is>
      </c>
      <c r="F4884" s="53">
        <v>4.8</v>
      </c>
      <c r="G4884" s="53">
        <v>0</v>
      </c>
      <c r="H4884" s="51" t="str">
        <f>TEXT(tblLaborEntries[[#This Row],[Work date serial]]-WEEKDAY(tblLaborEntries[[#This Row],[Work date serial]],3),"yyyy-mm-dd")</f>
        <v>2025-06-23</v>
      </c>
      <c r="I4884" s="64">
        <f>DATEVALUE(tblLaborEntries[[#This Row],[Work date]])</f>
        <v>45832.0</v>
      </c>
    </row>
    <row r="4885" spans="1:9" ht="15" x14ac:dyDescent="0.25">
      <c r="A4885" s="53" t="inlineStr">
        <is>
          <t>LAB-004884</t>
        </is>
      </c>
      <c r="B4885" s="53" t="inlineStr">
        <is>
          <t>WP-02149</t>
        </is>
      </c>
      <c r="C4885" s="53" t="inlineStr">
        <is>
          <t>TECH-020</t>
        </is>
      </c>
      <c r="D4885" s="53" t="inlineStr">
        <is>
          <t>Avionics</t>
        </is>
      </c>
      <c r="E4885" s="53" t="inlineStr">
        <is>
          <t>2025-05-10</t>
        </is>
      </c>
      <c r="F4885" s="53">
        <v>3</v>
      </c>
      <c r="G4885" s="53">
        <v>0</v>
      </c>
      <c r="H4885" s="51" t="str">
        <f>TEXT(tblLaborEntries[[#This Row],[Work date serial]]-WEEKDAY(tblLaborEntries[[#This Row],[Work date serial]],3),"yyyy-mm-dd")</f>
        <v>2025-05-05</v>
      </c>
      <c r="I4885" s="64">
        <f>DATEVALUE(tblLaborEntries[[#This Row],[Work date]])</f>
        <v>45787.0</v>
      </c>
    </row>
    <row r="4886" spans="1:9" ht="15" x14ac:dyDescent="0.25">
      <c r="A4886" s="53" t="inlineStr">
        <is>
          <t>LAB-004885</t>
        </is>
      </c>
      <c r="B4886" s="53" t="inlineStr">
        <is>
          <t>WP-02149</t>
        </is>
      </c>
      <c r="C4886" s="53" t="inlineStr">
        <is>
          <t>TECH-026</t>
        </is>
      </c>
      <c r="D4886" s="53" t="inlineStr">
        <is>
          <t>Avionics</t>
        </is>
      </c>
      <c r="E4886" s="53" t="inlineStr">
        <is>
          <t>2025-05-11</t>
        </is>
      </c>
      <c r="F4886" s="53">
        <v>2.5</v>
      </c>
      <c r="G4886" s="53">
        <v>0</v>
      </c>
      <c r="H4886" s="51" t="str">
        <f>TEXT(tblLaborEntries[[#This Row],[Work date serial]]-WEEKDAY(tblLaborEntries[[#This Row],[Work date serial]],3),"yyyy-mm-dd")</f>
        <v>2025-05-05</v>
      </c>
      <c r="I4886" s="64">
        <f>DATEVALUE(tblLaborEntries[[#This Row],[Work date]])</f>
        <v>45788.0</v>
      </c>
    </row>
    <row r="4887" spans="1:9" ht="15" x14ac:dyDescent="0.25">
      <c r="A4887" s="53" t="inlineStr">
        <is>
          <t>LAB-004886</t>
        </is>
      </c>
      <c r="B4887" s="53" t="inlineStr">
        <is>
          <t>WP-02149</t>
        </is>
      </c>
      <c r="C4887" s="53" t="inlineStr">
        <is>
          <t>TECH-026</t>
        </is>
      </c>
      <c r="D4887" s="53" t="inlineStr">
        <is>
          <t>Avionics</t>
        </is>
      </c>
      <c r="E4887" s="53" t="inlineStr">
        <is>
          <t>2025-05-12</t>
        </is>
      </c>
      <c r="F4887" s="53">
        <v>3.3</v>
      </c>
      <c r="G4887" s="53">
        <v>0</v>
      </c>
      <c r="H4887" s="51" t="str">
        <f>TEXT(tblLaborEntries[[#This Row],[Work date serial]]-WEEKDAY(tblLaborEntries[[#This Row],[Work date serial]],3),"yyyy-mm-dd")</f>
        <v>2025-05-12</v>
      </c>
      <c r="I4887" s="64">
        <f>DATEVALUE(tblLaborEntries[[#This Row],[Work date]])</f>
        <v>45789.0</v>
      </c>
    </row>
    <row r="4888" spans="1:9" ht="15" x14ac:dyDescent="0.25">
      <c r="A4888" s="53" t="inlineStr">
        <is>
          <t>LAB-004887</t>
        </is>
      </c>
      <c r="B4888" s="53" t="inlineStr">
        <is>
          <t>WP-02150</t>
        </is>
      </c>
      <c r="C4888" s="53" t="inlineStr">
        <is>
          <t>TECH-012</t>
        </is>
      </c>
      <c r="D4888" s="53" t="inlineStr">
        <is>
          <t>Powerplant</t>
        </is>
      </c>
      <c r="E4888" s="53" t="inlineStr">
        <is>
          <t>2024-03-08</t>
        </is>
      </c>
      <c r="F4888" s="53">
        <v>4</v>
      </c>
      <c r="G4888" s="53">
        <v>0</v>
      </c>
      <c r="H4888" s="51" t="str">
        <f>TEXT(tblLaborEntries[[#This Row],[Work date serial]]-WEEKDAY(tblLaborEntries[[#This Row],[Work date serial]],3),"yyyy-mm-dd")</f>
        <v>2024-03-04</v>
      </c>
      <c r="I4888" s="64">
        <f>DATEVALUE(tblLaborEntries[[#This Row],[Work date]])</f>
        <v>45359.0</v>
      </c>
    </row>
    <row r="4889" spans="1:9" ht="15" x14ac:dyDescent="0.25">
      <c r="A4889" s="53" t="inlineStr">
        <is>
          <t>LAB-004888</t>
        </is>
      </c>
      <c r="B4889" s="53" t="inlineStr">
        <is>
          <t>WP-02150</t>
        </is>
      </c>
      <c r="C4889" s="53" t="inlineStr">
        <is>
          <t>TECH-036</t>
        </is>
      </c>
      <c r="D4889" s="53" t="inlineStr">
        <is>
          <t>Powerplant</t>
        </is>
      </c>
      <c r="E4889" s="53" t="inlineStr">
        <is>
          <t>2024-03-08</t>
        </is>
      </c>
      <c r="F4889" s="53">
        <v>12</v>
      </c>
      <c r="G4889" s="53">
        <v>4</v>
      </c>
      <c r="H4889" s="51" t="str">
        <f>TEXT(tblLaborEntries[[#This Row],[Work date serial]]-WEEKDAY(tblLaborEntries[[#This Row],[Work date serial]],3),"yyyy-mm-dd")</f>
        <v>2024-03-04</v>
      </c>
      <c r="I4889" s="64">
        <f>DATEVALUE(tblLaborEntries[[#This Row],[Work date]])</f>
        <v>45359.0</v>
      </c>
    </row>
    <row r="4890" spans="1:9" ht="15" x14ac:dyDescent="0.25">
      <c r="A4890" s="53" t="inlineStr">
        <is>
          <t>LAB-004889</t>
        </is>
      </c>
      <c r="B4890" s="53" t="inlineStr">
        <is>
          <t>WP-02150</t>
        </is>
      </c>
      <c r="C4890" s="53" t="inlineStr">
        <is>
          <t>TECH-006</t>
        </is>
      </c>
      <c r="D4890" s="53" t="inlineStr">
        <is>
          <t>Powerplant</t>
        </is>
      </c>
      <c r="E4890" s="53" t="inlineStr">
        <is>
          <t>2024-03-09</t>
        </is>
      </c>
      <c r="F4890" s="53">
        <v>12</v>
      </c>
      <c r="G4890" s="53">
        <v>4</v>
      </c>
      <c r="H4890" s="51" t="str">
        <f>TEXT(tblLaborEntries[[#This Row],[Work date serial]]-WEEKDAY(tblLaborEntries[[#This Row],[Work date serial]],3),"yyyy-mm-dd")</f>
        <v>2024-03-04</v>
      </c>
      <c r="I4890" s="64">
        <f>DATEVALUE(tblLaborEntries[[#This Row],[Work date]])</f>
        <v>45360.0</v>
      </c>
    </row>
    <row r="4891" spans="1:9" ht="15" x14ac:dyDescent="0.25">
      <c r="A4891" s="53" t="inlineStr">
        <is>
          <t>LAB-004890</t>
        </is>
      </c>
      <c r="B4891" s="53" t="inlineStr">
        <is>
          <t>WP-02150</t>
        </is>
      </c>
      <c r="C4891" s="53" t="inlineStr">
        <is>
          <t>TECH-012</t>
        </is>
      </c>
      <c r="D4891" s="53" t="inlineStr">
        <is>
          <t>Powerplant</t>
        </is>
      </c>
      <c r="E4891" s="53" t="inlineStr">
        <is>
          <t>2024-03-09</t>
        </is>
      </c>
      <c r="F4891" s="53">
        <v>0.4</v>
      </c>
      <c r="G4891" s="53">
        <v>0</v>
      </c>
      <c r="H4891" s="51" t="str">
        <f>TEXT(tblLaborEntries[[#This Row],[Work date serial]]-WEEKDAY(tblLaborEntries[[#This Row],[Work date serial]],3),"yyyy-mm-dd")</f>
        <v>2024-03-04</v>
      </c>
      <c r="I4891" s="64">
        <f>DATEVALUE(tblLaborEntries[[#This Row],[Work date]])</f>
        <v>45360.0</v>
      </c>
    </row>
    <row r="4892" spans="1:9" ht="15" x14ac:dyDescent="0.25">
      <c r="A4892" s="53" t="inlineStr">
        <is>
          <t>LAB-004891</t>
        </is>
      </c>
      <c r="B4892" s="53" t="inlineStr">
        <is>
          <t>WP-02151</t>
        </is>
      </c>
      <c r="C4892" s="53" t="inlineStr">
        <is>
          <t>TECH-056</t>
        </is>
      </c>
      <c r="D4892" s="53" t="inlineStr">
        <is>
          <t>Avionics</t>
        </is>
      </c>
      <c r="E4892" s="53" t="inlineStr">
        <is>
          <t>2024-09-14</t>
        </is>
      </c>
      <c r="F4892" s="53">
        <v>2.8</v>
      </c>
      <c r="G4892" s="53">
        <v>0</v>
      </c>
      <c r="H4892" s="51" t="str">
        <f>TEXT(tblLaborEntries[[#This Row],[Work date serial]]-WEEKDAY(tblLaborEntries[[#This Row],[Work date serial]],3),"yyyy-mm-dd")</f>
        <v>2024-09-09</v>
      </c>
      <c r="I4892" s="64">
        <f>DATEVALUE(tblLaborEntries[[#This Row],[Work date]])</f>
        <v>45549.0</v>
      </c>
    </row>
    <row r="4893" spans="1:9" ht="15" x14ac:dyDescent="0.25">
      <c r="A4893" s="53" t="inlineStr">
        <is>
          <t>LAB-004892</t>
        </is>
      </c>
      <c r="B4893" s="53" t="inlineStr">
        <is>
          <t>WP-02151</t>
        </is>
      </c>
      <c r="C4893" s="53" t="inlineStr">
        <is>
          <t>TECH-050</t>
        </is>
      </c>
      <c r="D4893" s="53" t="inlineStr">
        <is>
          <t>Avionics</t>
        </is>
      </c>
      <c r="E4893" s="53" t="inlineStr">
        <is>
          <t>2024-09-15</t>
        </is>
      </c>
      <c r="F4893" s="53">
        <v>3.8</v>
      </c>
      <c r="G4893" s="53">
        <v>0</v>
      </c>
      <c r="H4893" s="51" t="str">
        <f>TEXT(tblLaborEntries[[#This Row],[Work date serial]]-WEEKDAY(tblLaborEntries[[#This Row],[Work date serial]],3),"yyyy-mm-dd")</f>
        <v>2024-09-09</v>
      </c>
      <c r="I4893" s="64">
        <f>DATEVALUE(tblLaborEntries[[#This Row],[Work date]])</f>
        <v>45550.0</v>
      </c>
    </row>
    <row r="4894" spans="1:9" ht="15" x14ac:dyDescent="0.25">
      <c r="A4894" s="53" t="inlineStr">
        <is>
          <t>LAB-004893</t>
        </is>
      </c>
      <c r="B4894" s="53" t="inlineStr">
        <is>
          <t>WP-02152</t>
        </is>
      </c>
      <c r="C4894" s="53" t="inlineStr">
        <is>
          <t>TECH-032</t>
        </is>
      </c>
      <c r="D4894" s="53" t="inlineStr">
        <is>
          <t>Avionics</t>
        </is>
      </c>
      <c r="E4894" s="53" t="inlineStr">
        <is>
          <t>2025-06-25</t>
        </is>
      </c>
      <c r="F4894" s="53">
        <v>2.8</v>
      </c>
      <c r="G4894" s="53">
        <v>2.1</v>
      </c>
      <c r="H4894" s="51" t="str">
        <f>TEXT(tblLaborEntries[[#This Row],[Work date serial]]-WEEKDAY(tblLaborEntries[[#This Row],[Work date serial]],3),"yyyy-mm-dd")</f>
        <v>2025-06-23</v>
      </c>
      <c r="I4894" s="64">
        <f>DATEVALUE(tblLaborEntries[[#This Row],[Work date]])</f>
        <v>45833.0</v>
      </c>
    </row>
    <row r="4895" spans="1:9" ht="15" x14ac:dyDescent="0.25">
      <c r="A4895" s="53" t="inlineStr">
        <is>
          <t>LAB-004894</t>
        </is>
      </c>
      <c r="B4895" s="53" t="inlineStr">
        <is>
          <t>WP-02152</t>
        </is>
      </c>
      <c r="C4895" s="53" t="inlineStr">
        <is>
          <t>TECH-020</t>
        </is>
      </c>
      <c r="D4895" s="53" t="inlineStr">
        <is>
          <t>Avionics</t>
        </is>
      </c>
      <c r="E4895" s="53" t="inlineStr">
        <is>
          <t>2025-06-26</t>
        </is>
      </c>
      <c r="F4895" s="53">
        <v>2</v>
      </c>
      <c r="G4895" s="53">
        <v>0</v>
      </c>
      <c r="H4895" s="51" t="str">
        <f>TEXT(tblLaborEntries[[#This Row],[Work date serial]]-WEEKDAY(tblLaborEntries[[#This Row],[Work date serial]],3),"yyyy-mm-dd")</f>
        <v>2025-06-23</v>
      </c>
      <c r="I4895" s="64">
        <f>DATEVALUE(tblLaborEntries[[#This Row],[Work date]])</f>
        <v>45834.0</v>
      </c>
    </row>
    <row r="4896" spans="1:9" ht="15" x14ac:dyDescent="0.25">
      <c r="A4896" s="53" t="inlineStr">
        <is>
          <t>LAB-004895</t>
        </is>
      </c>
      <c r="B4896" s="53" t="inlineStr">
        <is>
          <t>WP-02153</t>
        </is>
      </c>
      <c r="C4896" s="53" t="inlineStr">
        <is>
          <t>TECH-001</t>
        </is>
      </c>
      <c r="D4896" s="53" t="inlineStr">
        <is>
          <t>Airframe</t>
        </is>
      </c>
      <c r="E4896" s="53" t="inlineStr">
        <is>
          <t>2024-09-19</t>
        </is>
      </c>
      <c r="F4896" s="53">
        <v>2</v>
      </c>
      <c r="G4896" s="53">
        <v>0</v>
      </c>
      <c r="H4896" s="51" t="str">
        <f>TEXT(tblLaborEntries[[#This Row],[Work date serial]]-WEEKDAY(tblLaborEntries[[#This Row],[Work date serial]],3),"yyyy-mm-dd")</f>
        <v>2024-09-16</v>
      </c>
      <c r="I4896" s="64">
        <f>DATEVALUE(tblLaborEntries[[#This Row],[Work date]])</f>
        <v>45554.0</v>
      </c>
    </row>
    <row r="4897" spans="1:9" ht="15" x14ac:dyDescent="0.25">
      <c r="A4897" s="53" t="inlineStr">
        <is>
          <t>LAB-004896</t>
        </is>
      </c>
      <c r="B4897" s="53" t="inlineStr">
        <is>
          <t>WP-02153</t>
        </is>
      </c>
      <c r="C4897" s="53" t="inlineStr">
        <is>
          <t>TECH-055</t>
        </is>
      </c>
      <c r="D4897" s="53" t="inlineStr">
        <is>
          <t>Airframe</t>
        </is>
      </c>
      <c r="E4897" s="53" t="inlineStr">
        <is>
          <t>2024-09-20</t>
        </is>
      </c>
      <c r="F4897" s="53">
        <v>2.3</v>
      </c>
      <c r="G4897" s="53">
        <v>0</v>
      </c>
      <c r="H4897" s="51" t="str">
        <f>TEXT(tblLaborEntries[[#This Row],[Work date serial]]-WEEKDAY(tblLaborEntries[[#This Row],[Work date serial]],3),"yyyy-mm-dd")</f>
        <v>2024-09-16</v>
      </c>
      <c r="I4897" s="64">
        <f>DATEVALUE(tblLaborEntries[[#This Row],[Work date]])</f>
        <v>45555.0</v>
      </c>
    </row>
    <row r="4898" spans="1:9" ht="15" x14ac:dyDescent="0.25">
      <c r="A4898" s="53" t="inlineStr">
        <is>
          <t>LAB-004897</t>
        </is>
      </c>
      <c r="B4898" s="53" t="inlineStr">
        <is>
          <t>WP-02153</t>
        </is>
      </c>
      <c r="C4898" s="53" t="inlineStr">
        <is>
          <t>TECH-031</t>
        </is>
      </c>
      <c r="D4898" s="53" t="inlineStr">
        <is>
          <t>Airframe</t>
        </is>
      </c>
      <c r="E4898" s="53" t="inlineStr">
        <is>
          <t>2024-09-21</t>
        </is>
      </c>
      <c r="F4898" s="53">
        <v>3.3</v>
      </c>
      <c r="G4898" s="53">
        <v>0</v>
      </c>
      <c r="H4898" s="51" t="str">
        <f>TEXT(tblLaborEntries[[#This Row],[Work date serial]]-WEEKDAY(tblLaborEntries[[#This Row],[Work date serial]],3),"yyyy-mm-dd")</f>
        <v>2024-09-16</v>
      </c>
      <c r="I4898" s="64">
        <f>DATEVALUE(tblLaborEntries[[#This Row],[Work date]])</f>
        <v>45556.0</v>
      </c>
    </row>
    <row r="4899" spans="1:9" ht="15" x14ac:dyDescent="0.25">
      <c r="A4899" s="53" t="inlineStr">
        <is>
          <t>LAB-004898</t>
        </is>
      </c>
      <c r="B4899" s="53" t="inlineStr">
        <is>
          <t>WP-02154</t>
        </is>
      </c>
      <c r="C4899" s="53" t="inlineStr">
        <is>
          <t>TECH-062</t>
        </is>
      </c>
      <c r="D4899" s="53" t="inlineStr">
        <is>
          <t>Avionics</t>
        </is>
      </c>
      <c r="E4899" s="53" t="inlineStr">
        <is>
          <t>2025-05-25</t>
        </is>
      </c>
      <c r="F4899" s="53">
        <v>9.2</v>
      </c>
      <c r="G4899" s="53">
        <v>1.2</v>
      </c>
      <c r="H4899" s="51" t="str">
        <f>TEXT(tblLaborEntries[[#This Row],[Work date serial]]-WEEKDAY(tblLaborEntries[[#This Row],[Work date serial]],3),"yyyy-mm-dd")</f>
        <v>2025-05-19</v>
      </c>
      <c r="I4899" s="64">
        <f>DATEVALUE(tblLaborEntries[[#This Row],[Work date]])</f>
        <v>45802.0</v>
      </c>
    </row>
    <row r="4900" spans="1:9" ht="15" x14ac:dyDescent="0.25">
      <c r="A4900" s="53" t="inlineStr">
        <is>
          <t>LAB-004899</t>
        </is>
      </c>
      <c r="B4900" s="53" t="inlineStr">
        <is>
          <t>WP-02154</t>
        </is>
      </c>
      <c r="C4900" s="53" t="inlineStr">
        <is>
          <t>TECH-062</t>
        </is>
      </c>
      <c r="D4900" s="53" t="inlineStr">
        <is>
          <t>Avionics</t>
        </is>
      </c>
      <c r="E4900" s="53" t="inlineStr">
        <is>
          <t>2025-05-26</t>
        </is>
      </c>
      <c r="F4900" s="53">
        <v>7.7</v>
      </c>
      <c r="G4900" s="53">
        <v>3.1</v>
      </c>
      <c r="H4900" s="51" t="str">
        <f>TEXT(tblLaborEntries[[#This Row],[Work date serial]]-WEEKDAY(tblLaborEntries[[#This Row],[Work date serial]],3),"yyyy-mm-dd")</f>
        <v>2025-05-26</v>
      </c>
      <c r="I4900" s="64">
        <f>DATEVALUE(tblLaborEntries[[#This Row],[Work date]])</f>
        <v>45803.0</v>
      </c>
    </row>
    <row r="4901" spans="1:9" ht="15" x14ac:dyDescent="0.25">
      <c r="A4901" s="53" t="inlineStr">
        <is>
          <t>LAB-004900</t>
        </is>
      </c>
      <c r="B4901" s="53" t="inlineStr">
        <is>
          <t>WP-02155</t>
        </is>
      </c>
      <c r="C4901" s="53" t="inlineStr">
        <is>
          <t>TECH-020</t>
        </is>
      </c>
      <c r="D4901" s="53" t="inlineStr">
        <is>
          <t>Avionics</t>
        </is>
      </c>
      <c r="E4901" s="53" t="inlineStr">
        <is>
          <t>2024-10-25</t>
        </is>
      </c>
      <c r="F4901" s="53">
        <v>11.1</v>
      </c>
      <c r="G4901" s="53">
        <v>3.1</v>
      </c>
      <c r="H4901" s="51" t="str">
        <f>TEXT(tblLaborEntries[[#This Row],[Work date serial]]-WEEKDAY(tblLaborEntries[[#This Row],[Work date serial]],3),"yyyy-mm-dd")</f>
        <v>2024-10-21</v>
      </c>
      <c r="I4901" s="64">
        <f>DATEVALUE(tblLaborEntries[[#This Row],[Work date]])</f>
        <v>45590.0</v>
      </c>
    </row>
    <row r="4902" spans="1:9" ht="15" x14ac:dyDescent="0.25">
      <c r="A4902" s="53" t="inlineStr">
        <is>
          <t>LAB-004901</t>
        </is>
      </c>
      <c r="B4902" s="53" t="inlineStr">
        <is>
          <t>WP-02155</t>
        </is>
      </c>
      <c r="C4902" s="53" t="inlineStr">
        <is>
          <t>TECH-044</t>
        </is>
      </c>
      <c r="D4902" s="53" t="inlineStr">
        <is>
          <t>Avionics</t>
        </is>
      </c>
      <c r="E4902" s="53" t="inlineStr">
        <is>
          <t>2024-10-26</t>
        </is>
      </c>
      <c r="F4902" s="53">
        <v>10.2</v>
      </c>
      <c r="G4902" s="53">
        <v>2.2</v>
      </c>
      <c r="H4902" s="51" t="str">
        <f>TEXT(tblLaborEntries[[#This Row],[Work date serial]]-WEEKDAY(tblLaborEntries[[#This Row],[Work date serial]],3),"yyyy-mm-dd")</f>
        <v>2024-10-21</v>
      </c>
      <c r="I4902" s="64">
        <f>DATEVALUE(tblLaborEntries[[#This Row],[Work date]])</f>
        <v>45591.0</v>
      </c>
    </row>
    <row r="4903" spans="1:9" ht="15" x14ac:dyDescent="0.25">
      <c r="A4903" s="53" t="inlineStr">
        <is>
          <t>LAB-004902</t>
        </is>
      </c>
      <c r="B4903" s="53" t="inlineStr">
        <is>
          <t>WP-02156</t>
        </is>
      </c>
      <c r="C4903" s="53" t="inlineStr">
        <is>
          <t>TECH-013</t>
        </is>
      </c>
      <c r="D4903" s="53" t="inlineStr">
        <is>
          <t>Airframe</t>
        </is>
      </c>
      <c r="E4903" s="53" t="inlineStr">
        <is>
          <t>2025-09-24</t>
        </is>
      </c>
      <c r="F4903" s="53">
        <v>1.1</v>
      </c>
      <c r="G4903" s="53">
        <v>0</v>
      </c>
      <c r="H4903" s="51" t="str">
        <f>TEXT(tblLaborEntries[[#This Row],[Work date serial]]-WEEKDAY(tblLaborEntries[[#This Row],[Work date serial]],3),"yyyy-mm-dd")</f>
        <v>2025-09-22</v>
      </c>
      <c r="I4903" s="64">
        <f>DATEVALUE(tblLaborEntries[[#This Row],[Work date]])</f>
        <v>45924.0</v>
      </c>
    </row>
    <row r="4904" spans="1:9" ht="15" x14ac:dyDescent="0.25">
      <c r="A4904" s="53" t="inlineStr">
        <is>
          <t>LAB-004903</t>
        </is>
      </c>
      <c r="B4904" s="53" t="inlineStr">
        <is>
          <t>WP-02156</t>
        </is>
      </c>
      <c r="C4904" s="53" t="inlineStr">
        <is>
          <t>TECH-019</t>
        </is>
      </c>
      <c r="D4904" s="53" t="inlineStr">
        <is>
          <t>Airframe</t>
        </is>
      </c>
      <c r="E4904" s="53" t="inlineStr">
        <is>
          <t>2025-09-25</t>
        </is>
      </c>
      <c r="F4904" s="53">
        <v>1.1</v>
      </c>
      <c r="G4904" s="53">
        <v>0</v>
      </c>
      <c r="H4904" s="51" t="str">
        <f>TEXT(tblLaborEntries[[#This Row],[Work date serial]]-WEEKDAY(tblLaborEntries[[#This Row],[Work date serial]],3),"yyyy-mm-dd")</f>
        <v>2025-09-22</v>
      </c>
      <c r="I4904" s="64">
        <f>DATEVALUE(tblLaborEntries[[#This Row],[Work date]])</f>
        <v>45925.0</v>
      </c>
    </row>
    <row r="4905" spans="1:9" ht="15" x14ac:dyDescent="0.25">
      <c r="A4905" s="53" t="inlineStr">
        <is>
          <t>LAB-004904</t>
        </is>
      </c>
      <c r="B4905" s="53" t="inlineStr">
        <is>
          <t>WP-02156</t>
        </is>
      </c>
      <c r="C4905" s="53" t="inlineStr">
        <is>
          <t>TECH-055</t>
        </is>
      </c>
      <c r="D4905" s="53" t="inlineStr">
        <is>
          <t>Airframe</t>
        </is>
      </c>
      <c r="E4905" s="53" t="inlineStr">
        <is>
          <t>2025-09-26</t>
        </is>
      </c>
      <c r="F4905" s="53">
        <v>1.1</v>
      </c>
      <c r="G4905" s="53">
        <v>0</v>
      </c>
      <c r="H4905" s="51" t="str">
        <f>TEXT(tblLaborEntries[[#This Row],[Work date serial]]-WEEKDAY(tblLaborEntries[[#This Row],[Work date serial]],3),"yyyy-mm-dd")</f>
        <v>2025-09-22</v>
      </c>
      <c r="I4905" s="64">
        <f>DATEVALUE(tblLaborEntries[[#This Row],[Work date]])</f>
        <v>45926.0</v>
      </c>
    </row>
    <row r="4906" spans="1:9" ht="15" x14ac:dyDescent="0.25">
      <c r="A4906" s="53" t="inlineStr">
        <is>
          <t>LAB-004905</t>
        </is>
      </c>
      <c r="B4906" s="53" t="inlineStr">
        <is>
          <t>WP-02157</t>
        </is>
      </c>
      <c r="C4906" s="53" t="inlineStr">
        <is>
          <t>TECH-066</t>
        </is>
      </c>
      <c r="D4906" s="53" t="inlineStr">
        <is>
          <t>Powerplant</t>
        </is>
      </c>
      <c r="E4906" s="53" t="inlineStr">
        <is>
          <t>2024-08-03</t>
        </is>
      </c>
      <c r="F4906" s="53">
        <v>2.2</v>
      </c>
      <c r="G4906" s="53">
        <v>0</v>
      </c>
      <c r="H4906" s="51" t="str">
        <f>TEXT(tblLaborEntries[[#This Row],[Work date serial]]-WEEKDAY(tblLaborEntries[[#This Row],[Work date serial]],3),"yyyy-mm-dd")</f>
        <v>2024-07-29</v>
      </c>
      <c r="I4906" s="64">
        <f>DATEVALUE(tblLaborEntries[[#This Row],[Work date]])</f>
        <v>45507.0</v>
      </c>
    </row>
    <row r="4907" spans="1:9" ht="15" x14ac:dyDescent="0.25">
      <c r="A4907" s="53" t="inlineStr">
        <is>
          <t>LAB-004906</t>
        </is>
      </c>
      <c r="B4907" s="53" t="inlineStr">
        <is>
          <t>WP-02157</t>
        </is>
      </c>
      <c r="C4907" s="53" t="inlineStr">
        <is>
          <t>TECH-024</t>
        </is>
      </c>
      <c r="D4907" s="53" t="inlineStr">
        <is>
          <t>Powerplant</t>
        </is>
      </c>
      <c r="E4907" s="53" t="inlineStr">
        <is>
          <t>2024-08-04</t>
        </is>
      </c>
      <c r="F4907" s="53">
        <v>1.7</v>
      </c>
      <c r="G4907" s="53">
        <v>0</v>
      </c>
      <c r="H4907" s="51" t="str">
        <f>TEXT(tblLaborEntries[[#This Row],[Work date serial]]-WEEKDAY(tblLaborEntries[[#This Row],[Work date serial]],3),"yyyy-mm-dd")</f>
        <v>2024-07-29</v>
      </c>
      <c r="I4907" s="64">
        <f>DATEVALUE(tblLaborEntries[[#This Row],[Work date]])</f>
        <v>45508.0</v>
      </c>
    </row>
    <row r="4908" spans="1:9" ht="15" x14ac:dyDescent="0.25">
      <c r="A4908" s="53" t="inlineStr">
        <is>
          <t>LAB-004907</t>
        </is>
      </c>
      <c r="B4908" s="53" t="inlineStr">
        <is>
          <t>WP-02157</t>
        </is>
      </c>
      <c r="C4908" s="53" t="inlineStr">
        <is>
          <t>TECH-048</t>
        </is>
      </c>
      <c r="D4908" s="53" t="inlineStr">
        <is>
          <t>Powerplant</t>
        </is>
      </c>
      <c r="E4908" s="53" t="inlineStr">
        <is>
          <t>2024-08-05</t>
        </is>
      </c>
      <c r="F4908" s="53">
        <v>1.8</v>
      </c>
      <c r="G4908" s="53">
        <v>0</v>
      </c>
      <c r="H4908" s="51" t="str">
        <f>TEXT(tblLaborEntries[[#This Row],[Work date serial]]-WEEKDAY(tblLaborEntries[[#This Row],[Work date serial]],3),"yyyy-mm-dd")</f>
        <v>2024-08-05</v>
      </c>
      <c r="I4908" s="64">
        <f>DATEVALUE(tblLaborEntries[[#This Row],[Work date]])</f>
        <v>45509.0</v>
      </c>
    </row>
    <row r="4909" spans="1:9" ht="15" x14ac:dyDescent="0.25">
      <c r="A4909" s="53" t="inlineStr">
        <is>
          <t>LAB-004908</t>
        </is>
      </c>
      <c r="B4909" s="53" t="inlineStr">
        <is>
          <t>WP-02158</t>
        </is>
      </c>
      <c r="C4909" s="53" t="inlineStr">
        <is>
          <t>TECH-005</t>
        </is>
      </c>
      <c r="D4909" s="53" t="inlineStr">
        <is>
          <t>Structures</t>
        </is>
      </c>
      <c r="E4909" s="53" t="inlineStr">
        <is>
          <t>2024-08-06</t>
        </is>
      </c>
      <c r="F4909" s="53">
        <v>12</v>
      </c>
      <c r="G4909" s="53">
        <v>4</v>
      </c>
      <c r="H4909" s="51" t="str">
        <f>TEXT(tblLaborEntries[[#This Row],[Work date serial]]-WEEKDAY(tblLaborEntries[[#This Row],[Work date serial]],3),"yyyy-mm-dd")</f>
        <v>2024-08-05</v>
      </c>
      <c r="I4909" s="64">
        <f>DATEVALUE(tblLaborEntries[[#This Row],[Work date]])</f>
        <v>45510.0</v>
      </c>
    </row>
    <row r="4910" spans="1:9" ht="15" x14ac:dyDescent="0.25">
      <c r="A4910" s="53" t="inlineStr">
        <is>
          <t>LAB-004909</t>
        </is>
      </c>
      <c r="B4910" s="53" t="inlineStr">
        <is>
          <t>WP-02158</t>
        </is>
      </c>
      <c r="C4910" s="53" t="inlineStr">
        <is>
          <t>TECH-011</t>
        </is>
      </c>
      <c r="D4910" s="53" t="inlineStr">
        <is>
          <t>Structures</t>
        </is>
      </c>
      <c r="E4910" s="53" t="inlineStr">
        <is>
          <t>2024-08-06</t>
        </is>
      </c>
      <c r="F4910" s="53">
        <v>3.6</v>
      </c>
      <c r="G4910" s="53">
        <v>0</v>
      </c>
      <c r="H4910" s="51" t="str">
        <f>TEXT(tblLaborEntries[[#This Row],[Work date serial]]-WEEKDAY(tblLaborEntries[[#This Row],[Work date serial]],3),"yyyy-mm-dd")</f>
        <v>2024-08-05</v>
      </c>
      <c r="I4910" s="64">
        <f>DATEVALUE(tblLaborEntries[[#This Row],[Work date]])</f>
        <v>45510.0</v>
      </c>
    </row>
    <row r="4911" spans="1:9" ht="15" x14ac:dyDescent="0.25">
      <c r="A4911" s="53" t="inlineStr">
        <is>
          <t>LAB-004910</t>
        </is>
      </c>
      <c r="B4911" s="53" t="inlineStr">
        <is>
          <t>WP-02158</t>
        </is>
      </c>
      <c r="C4911" s="53" t="inlineStr">
        <is>
          <t>TECH-047</t>
        </is>
      </c>
      <c r="D4911" s="53" t="inlineStr">
        <is>
          <t>Structures</t>
        </is>
      </c>
      <c r="E4911" s="53" t="inlineStr">
        <is>
          <t>2024-08-06</t>
        </is>
      </c>
      <c r="F4911" s="53">
        <v>12</v>
      </c>
      <c r="G4911" s="53">
        <v>4</v>
      </c>
      <c r="H4911" s="51" t="str">
        <f>TEXT(tblLaborEntries[[#This Row],[Work date serial]]-WEEKDAY(tblLaborEntries[[#This Row],[Work date serial]],3),"yyyy-mm-dd")</f>
        <v>2024-08-05</v>
      </c>
      <c r="I4911" s="64">
        <f>DATEVALUE(tblLaborEntries[[#This Row],[Work date]])</f>
        <v>45510.0</v>
      </c>
    </row>
    <row r="4912" spans="1:9" ht="15" x14ac:dyDescent="0.25">
      <c r="A4912" s="53" t="inlineStr">
        <is>
          <t>LAB-004911</t>
        </is>
      </c>
      <c r="B4912" s="53" t="inlineStr">
        <is>
          <t>WP-02159</t>
        </is>
      </c>
      <c r="C4912" s="53" t="inlineStr">
        <is>
          <t>TECH-048</t>
        </is>
      </c>
      <c r="D4912" s="53" t="inlineStr">
        <is>
          <t>Powerplant</t>
        </is>
      </c>
      <c r="E4912" s="53" t="inlineStr">
        <is>
          <t>2025-04-08</t>
        </is>
      </c>
      <c r="F4912" s="53">
        <v>5.4</v>
      </c>
      <c r="G4912" s="53">
        <v>0</v>
      </c>
      <c r="H4912" s="51" t="str">
        <f>TEXT(tblLaborEntries[[#This Row],[Work date serial]]-WEEKDAY(tblLaborEntries[[#This Row],[Work date serial]],3),"yyyy-mm-dd")</f>
        <v>2025-04-07</v>
      </c>
      <c r="I4912" s="64">
        <f>DATEVALUE(tblLaborEntries[[#This Row],[Work date]])</f>
        <v>45755.0</v>
      </c>
    </row>
    <row r="4913" spans="1:9" ht="15" x14ac:dyDescent="0.25">
      <c r="A4913" s="53" t="inlineStr">
        <is>
          <t>LAB-004912</t>
        </is>
      </c>
      <c r="B4913" s="53" t="inlineStr">
        <is>
          <t>WP-02160</t>
        </is>
      </c>
      <c r="C4913" s="53" t="inlineStr">
        <is>
          <t>TECH-031</t>
        </is>
      </c>
      <c r="D4913" s="53" t="inlineStr">
        <is>
          <t>Airframe</t>
        </is>
      </c>
      <c r="E4913" s="53" t="inlineStr">
        <is>
          <t>2026-01-15</t>
        </is>
      </c>
      <c r="F4913" s="53">
        <v>11.3</v>
      </c>
      <c r="G4913" s="53">
        <v>3.3</v>
      </c>
      <c r="H4913" s="51" t="str">
        <f>TEXT(tblLaborEntries[[#This Row],[Work date serial]]-WEEKDAY(tblLaborEntries[[#This Row],[Work date serial]],3),"yyyy-mm-dd")</f>
        <v>2026-01-12</v>
      </c>
      <c r="I4913" s="64">
        <f>DATEVALUE(tblLaborEntries[[#This Row],[Work date]])</f>
        <v>46037.0</v>
      </c>
    </row>
    <row r="4914" spans="1:9" ht="15" x14ac:dyDescent="0.25">
      <c r="A4914" s="53" t="inlineStr">
        <is>
          <t>LAB-004913</t>
        </is>
      </c>
      <c r="B4914" s="53" t="inlineStr">
        <is>
          <t>WP-02161</t>
        </is>
      </c>
      <c r="C4914" s="53" t="inlineStr">
        <is>
          <t>TECH-030</t>
        </is>
      </c>
      <c r="D4914" s="53" t="inlineStr">
        <is>
          <t>Powerplant</t>
        </is>
      </c>
      <c r="E4914" s="53" t="inlineStr">
        <is>
          <t>2025-09-25</t>
        </is>
      </c>
      <c r="F4914" s="53">
        <v>8.3</v>
      </c>
      <c r="G4914" s="53">
        <v>0.3</v>
      </c>
      <c r="H4914" s="51" t="str">
        <f>TEXT(tblLaborEntries[[#This Row],[Work date serial]]-WEEKDAY(tblLaborEntries[[#This Row],[Work date serial]],3),"yyyy-mm-dd")</f>
        <v>2025-09-22</v>
      </c>
      <c r="I4914" s="64">
        <f>DATEVALUE(tblLaborEntries[[#This Row],[Work date]])</f>
        <v>45925.0</v>
      </c>
    </row>
    <row r="4915" spans="1:9" ht="15" x14ac:dyDescent="0.25">
      <c r="A4915" s="53" t="inlineStr">
        <is>
          <t>LAB-004914</t>
        </is>
      </c>
      <c r="B4915" s="53" t="inlineStr">
        <is>
          <t>WP-02161</t>
        </is>
      </c>
      <c r="C4915" s="53" t="inlineStr">
        <is>
          <t>TECH-024</t>
        </is>
      </c>
      <c r="D4915" s="53" t="inlineStr">
        <is>
          <t>Powerplant</t>
        </is>
      </c>
      <c r="E4915" s="53" t="inlineStr">
        <is>
          <t>2025-09-26</t>
        </is>
      </c>
      <c r="F4915" s="53">
        <v>8.8</v>
      </c>
      <c r="G4915" s="53">
        <v>0.8</v>
      </c>
      <c r="H4915" s="51" t="str">
        <f>TEXT(tblLaborEntries[[#This Row],[Work date serial]]-WEEKDAY(tblLaborEntries[[#This Row],[Work date serial]],3),"yyyy-mm-dd")</f>
        <v>2025-09-22</v>
      </c>
      <c r="I4915" s="64">
        <f>DATEVALUE(tblLaborEntries[[#This Row],[Work date]])</f>
        <v>45926.0</v>
      </c>
    </row>
    <row r="4916" spans="1:9" ht="15" x14ac:dyDescent="0.25">
      <c r="A4916" s="53" t="inlineStr">
        <is>
          <t>LAB-004915</t>
        </is>
      </c>
      <c r="B4916" s="53" t="inlineStr">
        <is>
          <t>WP-02162</t>
        </is>
      </c>
      <c r="C4916" s="53" t="inlineStr">
        <is>
          <t>TECH-040</t>
        </is>
      </c>
      <c r="D4916" s="53" t="inlineStr">
        <is>
          <t>Electrical</t>
        </is>
      </c>
      <c r="E4916" s="53" t="inlineStr">
        <is>
          <t>2025-04-12</t>
        </is>
      </c>
      <c r="F4916" s="53">
        <v>8.5</v>
      </c>
      <c r="G4916" s="53">
        <v>0.5</v>
      </c>
      <c r="H4916" s="51" t="str">
        <f>TEXT(tblLaborEntries[[#This Row],[Work date serial]]-WEEKDAY(tblLaborEntries[[#This Row],[Work date serial]],3),"yyyy-mm-dd")</f>
        <v>2025-04-07</v>
      </c>
      <c r="I4916" s="64">
        <f>DATEVALUE(tblLaborEntries[[#This Row],[Work date]])</f>
        <v>45759.0</v>
      </c>
    </row>
    <row r="4917" spans="1:9" ht="15" x14ac:dyDescent="0.25">
      <c r="A4917" s="53" t="inlineStr">
        <is>
          <t>LAB-004916</t>
        </is>
      </c>
      <c r="B4917" s="53" t="inlineStr">
        <is>
          <t>WP-02163</t>
        </is>
      </c>
      <c r="C4917" s="53" t="inlineStr">
        <is>
          <t>TECH-044</t>
        </is>
      </c>
      <c r="D4917" s="53" t="inlineStr">
        <is>
          <t>Avionics</t>
        </is>
      </c>
      <c r="E4917" s="53" t="inlineStr">
        <is>
          <t>2025-03-28</t>
        </is>
      </c>
      <c r="F4917" s="53">
        <v>5.1</v>
      </c>
      <c r="G4917" s="53">
        <v>0</v>
      </c>
      <c r="H4917" s="51" t="str">
        <f>TEXT(tblLaborEntries[[#This Row],[Work date serial]]-WEEKDAY(tblLaborEntries[[#This Row],[Work date serial]],3),"yyyy-mm-dd")</f>
        <v>2025-03-24</v>
      </c>
      <c r="I4917" s="64">
        <f>DATEVALUE(tblLaborEntries[[#This Row],[Work date]])</f>
        <v>45744.0</v>
      </c>
    </row>
    <row r="4918" spans="1:9" ht="15" x14ac:dyDescent="0.25">
      <c r="A4918" s="53" t="inlineStr">
        <is>
          <t>LAB-004917</t>
        </is>
      </c>
      <c r="B4918" s="53" t="inlineStr">
        <is>
          <t>WP-02163</t>
        </is>
      </c>
      <c r="C4918" s="53" t="inlineStr">
        <is>
          <t>TECH-056</t>
        </is>
      </c>
      <c r="D4918" s="53" t="inlineStr">
        <is>
          <t>Avionics</t>
        </is>
      </c>
      <c r="E4918" s="53" t="inlineStr">
        <is>
          <t>2025-03-29</t>
        </is>
      </c>
      <c r="F4918" s="53">
        <v>3.8</v>
      </c>
      <c r="G4918" s="53">
        <v>0</v>
      </c>
      <c r="H4918" s="51" t="str">
        <f>TEXT(tblLaborEntries[[#This Row],[Work date serial]]-WEEKDAY(tblLaborEntries[[#This Row],[Work date serial]],3),"yyyy-mm-dd")</f>
        <v>2025-03-24</v>
      </c>
      <c r="I4918" s="64">
        <f>DATEVALUE(tblLaborEntries[[#This Row],[Work date]])</f>
        <v>45745.0</v>
      </c>
    </row>
    <row r="4919" spans="1:9" ht="15" x14ac:dyDescent="0.25">
      <c r="A4919" s="53" t="inlineStr">
        <is>
          <t>LAB-004918</t>
        </is>
      </c>
      <c r="B4919" s="53" t="inlineStr">
        <is>
          <t>WP-02163</t>
        </is>
      </c>
      <c r="C4919" s="53" t="inlineStr">
        <is>
          <t>TECH-020</t>
        </is>
      </c>
      <c r="D4919" s="53" t="inlineStr">
        <is>
          <t>Avionics</t>
        </is>
      </c>
      <c r="E4919" s="53" t="inlineStr">
        <is>
          <t>2025-03-30</t>
        </is>
      </c>
      <c r="F4919" s="53">
        <v>4.6</v>
      </c>
      <c r="G4919" s="53">
        <v>0</v>
      </c>
      <c r="H4919" s="51" t="str">
        <f>TEXT(tblLaborEntries[[#This Row],[Work date serial]]-WEEKDAY(tblLaborEntries[[#This Row],[Work date serial]],3),"yyyy-mm-dd")</f>
        <v>2025-03-24</v>
      </c>
      <c r="I4919" s="64">
        <f>DATEVALUE(tblLaborEntries[[#This Row],[Work date]])</f>
        <v>45746.0</v>
      </c>
    </row>
    <row r="4920" spans="1:9" ht="15" x14ac:dyDescent="0.25">
      <c r="A4920" s="53" t="inlineStr">
        <is>
          <t>LAB-004919</t>
        </is>
      </c>
      <c r="B4920" s="53" t="inlineStr">
        <is>
          <t>WP-02164</t>
        </is>
      </c>
      <c r="C4920" s="53" t="inlineStr">
        <is>
          <t>TECH-026</t>
        </is>
      </c>
      <c r="D4920" s="53" t="inlineStr">
        <is>
          <t>Avionics</t>
        </is>
      </c>
      <c r="E4920" s="53" t="inlineStr">
        <is>
          <t>2025-01-25</t>
        </is>
      </c>
      <c r="F4920" s="53">
        <v>0.8</v>
      </c>
      <c r="G4920" s="53">
        <v>0</v>
      </c>
      <c r="H4920" s="51" t="str">
        <f>TEXT(tblLaborEntries[[#This Row],[Work date serial]]-WEEKDAY(tblLaborEntries[[#This Row],[Work date serial]],3),"yyyy-mm-dd")</f>
        <v>2025-01-20</v>
      </c>
      <c r="I4920" s="64">
        <f>DATEVALUE(tblLaborEntries[[#This Row],[Work date]])</f>
        <v>45682.0</v>
      </c>
    </row>
    <row r="4921" spans="1:9" ht="15" x14ac:dyDescent="0.25">
      <c r="A4921" s="53" t="inlineStr">
        <is>
          <t>LAB-004920</t>
        </is>
      </c>
      <c r="B4921" s="53" t="inlineStr">
        <is>
          <t>WP-02164</t>
        </is>
      </c>
      <c r="C4921" s="53" t="inlineStr">
        <is>
          <t>TECH-038</t>
        </is>
      </c>
      <c r="D4921" s="53" t="inlineStr">
        <is>
          <t>Avionics</t>
        </is>
      </c>
      <c r="E4921" s="53" t="inlineStr">
        <is>
          <t>2025-01-26</t>
        </is>
      </c>
      <c r="F4921" s="53">
        <v>0.8</v>
      </c>
      <c r="G4921" s="53">
        <v>0</v>
      </c>
      <c r="H4921" s="51" t="str">
        <f>TEXT(tblLaborEntries[[#This Row],[Work date serial]]-WEEKDAY(tblLaborEntries[[#This Row],[Work date serial]],3),"yyyy-mm-dd")</f>
        <v>2025-01-20</v>
      </c>
      <c r="I4921" s="64">
        <f>DATEVALUE(tblLaborEntries[[#This Row],[Work date]])</f>
        <v>45683.0</v>
      </c>
    </row>
    <row r="4922" spans="1:9" ht="15" x14ac:dyDescent="0.25">
      <c r="A4922" s="53" t="inlineStr">
        <is>
          <t>LAB-004921</t>
        </is>
      </c>
      <c r="B4922" s="53" t="inlineStr">
        <is>
          <t>WP-02164</t>
        </is>
      </c>
      <c r="C4922" s="53" t="inlineStr">
        <is>
          <t>TECH-002</t>
        </is>
      </c>
      <c r="D4922" s="53" t="inlineStr">
        <is>
          <t>Avionics</t>
        </is>
      </c>
      <c r="E4922" s="53" t="inlineStr">
        <is>
          <t>2025-01-27</t>
        </is>
      </c>
      <c r="F4922" s="53">
        <v>1</v>
      </c>
      <c r="G4922" s="53">
        <v>0</v>
      </c>
      <c r="H4922" s="51" t="str">
        <f>TEXT(tblLaborEntries[[#This Row],[Work date serial]]-WEEKDAY(tblLaborEntries[[#This Row],[Work date serial]],3),"yyyy-mm-dd")</f>
        <v>2025-01-27</v>
      </c>
      <c r="I4922" s="64">
        <f>DATEVALUE(tblLaborEntries[[#This Row],[Work date]])</f>
        <v>45684.0</v>
      </c>
    </row>
    <row r="4923" spans="1:9" ht="15" x14ac:dyDescent="0.25">
      <c r="A4923" s="53" t="inlineStr">
        <is>
          <t>LAB-004922</t>
        </is>
      </c>
      <c r="B4923" s="53" t="inlineStr">
        <is>
          <t>WP-02165</t>
        </is>
      </c>
      <c r="C4923" s="53" t="inlineStr">
        <is>
          <t>TECH-021</t>
        </is>
      </c>
      <c r="D4923" s="53" t="inlineStr">
        <is>
          <t>Hydraulics</t>
        </is>
      </c>
      <c r="E4923" s="53" t="inlineStr">
        <is>
          <t>2024-04-04</t>
        </is>
      </c>
      <c r="F4923" s="53">
        <v>6.8</v>
      </c>
      <c r="G4923" s="53">
        <v>0</v>
      </c>
      <c r="H4923" s="51" t="str">
        <f>TEXT(tblLaborEntries[[#This Row],[Work date serial]]-WEEKDAY(tblLaborEntries[[#This Row],[Work date serial]],3),"yyyy-mm-dd")</f>
        <v>2024-04-01</v>
      </c>
      <c r="I4923" s="64">
        <f>DATEVALUE(tblLaborEntries[[#This Row],[Work date]])</f>
        <v>45386.0</v>
      </c>
    </row>
    <row r="4924" spans="1:9" ht="15" x14ac:dyDescent="0.25">
      <c r="A4924" s="53" t="inlineStr">
        <is>
          <t>LAB-004923</t>
        </is>
      </c>
      <c r="B4924" s="53" t="inlineStr">
        <is>
          <t>WP-02165</t>
        </is>
      </c>
      <c r="C4924" s="53" t="inlineStr">
        <is>
          <t>TECH-015</t>
        </is>
      </c>
      <c r="D4924" s="53" t="inlineStr">
        <is>
          <t>Hydraulics</t>
        </is>
      </c>
      <c r="E4924" s="53" t="inlineStr">
        <is>
          <t>2024-04-05</t>
        </is>
      </c>
      <c r="F4924" s="53">
        <v>9.5</v>
      </c>
      <c r="G4924" s="53">
        <v>1.5</v>
      </c>
      <c r="H4924" s="51" t="str">
        <f>TEXT(tblLaborEntries[[#This Row],[Work date serial]]-WEEKDAY(tblLaborEntries[[#This Row],[Work date serial]],3),"yyyy-mm-dd")</f>
        <v>2024-04-01</v>
      </c>
      <c r="I4924" s="64">
        <f>DATEVALUE(tblLaborEntries[[#This Row],[Work date]])</f>
        <v>45387.0</v>
      </c>
    </row>
    <row r="4925" spans="1:9" ht="15" x14ac:dyDescent="0.25">
      <c r="A4925" s="53" t="inlineStr">
        <is>
          <t>LAB-004924</t>
        </is>
      </c>
      <c r="B4925" s="53" t="inlineStr">
        <is>
          <t>WP-02166</t>
        </is>
      </c>
      <c r="C4925" s="53" t="inlineStr">
        <is>
          <t>TECH-038</t>
        </is>
      </c>
      <c r="D4925" s="53" t="inlineStr">
        <is>
          <t>Avionics</t>
        </is>
      </c>
      <c r="E4925" s="53" t="inlineStr">
        <is>
          <t>2024-09-08</t>
        </is>
      </c>
      <c r="F4925" s="53">
        <v>1.2</v>
      </c>
      <c r="G4925" s="53">
        <v>0</v>
      </c>
      <c r="H4925" s="51" t="str">
        <f>TEXT(tblLaborEntries[[#This Row],[Work date serial]]-WEEKDAY(tblLaborEntries[[#This Row],[Work date serial]],3),"yyyy-mm-dd")</f>
        <v>2024-09-02</v>
      </c>
      <c r="I4925" s="64">
        <f>DATEVALUE(tblLaborEntries[[#This Row],[Work date]])</f>
        <v>45543.0</v>
      </c>
    </row>
    <row r="4926" spans="1:9" ht="15" x14ac:dyDescent="0.25">
      <c r="A4926" s="53" t="inlineStr">
        <is>
          <t>LAB-004925</t>
        </is>
      </c>
      <c r="B4926" s="53" t="inlineStr">
        <is>
          <t>WP-02166</t>
        </is>
      </c>
      <c r="C4926" s="53" t="inlineStr">
        <is>
          <t>TECH-014</t>
        </is>
      </c>
      <c r="D4926" s="53" t="inlineStr">
        <is>
          <t>Avionics</t>
        </is>
      </c>
      <c r="E4926" s="53" t="inlineStr">
        <is>
          <t>2024-09-09</t>
        </is>
      </c>
      <c r="F4926" s="53">
        <v>1.3</v>
      </c>
      <c r="G4926" s="53">
        <v>0</v>
      </c>
      <c r="H4926" s="51" t="str">
        <f>TEXT(tblLaborEntries[[#This Row],[Work date serial]]-WEEKDAY(tblLaborEntries[[#This Row],[Work date serial]],3),"yyyy-mm-dd")</f>
        <v>2024-09-09</v>
      </c>
      <c r="I4926" s="64">
        <f>DATEVALUE(tblLaborEntries[[#This Row],[Work date]])</f>
        <v>45544.0</v>
      </c>
    </row>
    <row r="4927" spans="1:9" ht="15" x14ac:dyDescent="0.25">
      <c r="A4927" s="53" t="inlineStr">
        <is>
          <t>LAB-004926</t>
        </is>
      </c>
      <c r="B4927" s="53" t="inlineStr">
        <is>
          <t>WP-02166</t>
        </is>
      </c>
      <c r="C4927" s="53" t="inlineStr">
        <is>
          <t>TECH-074</t>
        </is>
      </c>
      <c r="D4927" s="53" t="inlineStr">
        <is>
          <t>Avionics</t>
        </is>
      </c>
      <c r="E4927" s="53" t="inlineStr">
        <is>
          <t>2024-09-10</t>
        </is>
      </c>
      <c r="F4927" s="53">
        <v>1</v>
      </c>
      <c r="G4927" s="53">
        <v>0</v>
      </c>
      <c r="H4927" s="51" t="str">
        <f>TEXT(tblLaborEntries[[#This Row],[Work date serial]]-WEEKDAY(tblLaborEntries[[#This Row],[Work date serial]],3),"yyyy-mm-dd")</f>
        <v>2024-09-09</v>
      </c>
      <c r="I4927" s="64">
        <f>DATEVALUE(tblLaborEntries[[#This Row],[Work date]])</f>
        <v>45545.0</v>
      </c>
    </row>
    <row r="4928" spans="1:9" ht="15" x14ac:dyDescent="0.25">
      <c r="A4928" s="53" t="inlineStr">
        <is>
          <t>LAB-004927</t>
        </is>
      </c>
      <c r="B4928" s="53" t="inlineStr">
        <is>
          <t>WP-02167</t>
        </is>
      </c>
      <c r="C4928" s="53" t="inlineStr">
        <is>
          <t>TECH-001</t>
        </is>
      </c>
      <c r="D4928" s="53" t="inlineStr">
        <is>
          <t>Airframe</t>
        </is>
      </c>
      <c r="E4928" s="53" t="inlineStr">
        <is>
          <t>2025-08-03</t>
        </is>
      </c>
      <c r="F4928" s="53">
        <v>5.6</v>
      </c>
      <c r="G4928" s="53">
        <v>0</v>
      </c>
      <c r="H4928" s="51" t="str">
        <f>TEXT(tblLaborEntries[[#This Row],[Work date serial]]-WEEKDAY(tblLaborEntries[[#This Row],[Work date serial]],3),"yyyy-mm-dd")</f>
        <v>2025-07-28</v>
      </c>
      <c r="I4928" s="64">
        <f>DATEVALUE(tblLaborEntries[[#This Row],[Work date]])</f>
        <v>45872.0</v>
      </c>
    </row>
    <row r="4929" spans="1:9" ht="15" x14ac:dyDescent="0.25">
      <c r="A4929" s="53" t="inlineStr">
        <is>
          <t>LAB-004928</t>
        </is>
      </c>
      <c r="B4929" s="53" t="inlineStr">
        <is>
          <t>WP-02168</t>
        </is>
      </c>
      <c r="C4929" s="53" t="inlineStr">
        <is>
          <t>TECH-006</t>
        </is>
      </c>
      <c r="D4929" s="53" t="inlineStr">
        <is>
          <t>Powerplant</t>
        </is>
      </c>
      <c r="E4929" s="53" t="inlineStr">
        <is>
          <t>2025-08-31</t>
        </is>
      </c>
      <c r="F4929" s="53">
        <v>2.3</v>
      </c>
      <c r="G4929" s="53">
        <v>0</v>
      </c>
      <c r="H4929" s="51" t="str">
        <f>TEXT(tblLaborEntries[[#This Row],[Work date serial]]-WEEKDAY(tblLaborEntries[[#This Row],[Work date serial]],3),"yyyy-mm-dd")</f>
        <v>2025-08-25</v>
      </c>
      <c r="I4929" s="64">
        <f>DATEVALUE(tblLaborEntries[[#This Row],[Work date]])</f>
        <v>45900.0</v>
      </c>
    </row>
    <row r="4930" spans="1:9" ht="15" x14ac:dyDescent="0.25">
      <c r="A4930" s="53" t="inlineStr">
        <is>
          <t>LAB-004929</t>
        </is>
      </c>
      <c r="B4930" s="53" t="inlineStr">
        <is>
          <t>WP-02168</t>
        </is>
      </c>
      <c r="C4930" s="53" t="inlineStr">
        <is>
          <t>TECH-030</t>
        </is>
      </c>
      <c r="D4930" s="53" t="inlineStr">
        <is>
          <t>Powerplant</t>
        </is>
      </c>
      <c r="E4930" s="53" t="inlineStr">
        <is>
          <t>2025-09-01</t>
        </is>
      </c>
      <c r="F4930" s="53">
        <v>2.1</v>
      </c>
      <c r="G4930" s="53">
        <v>0</v>
      </c>
      <c r="H4930" s="51" t="str">
        <f>TEXT(tblLaborEntries[[#This Row],[Work date serial]]-WEEKDAY(tblLaborEntries[[#This Row],[Work date serial]],3),"yyyy-mm-dd")</f>
        <v>2025-09-01</v>
      </c>
      <c r="I4930" s="64">
        <f>DATEVALUE(tblLaborEntries[[#This Row],[Work date]])</f>
        <v>45901.0</v>
      </c>
    </row>
    <row r="4931" spans="1:9" ht="15" x14ac:dyDescent="0.25">
      <c r="A4931" s="53" t="inlineStr">
        <is>
          <t>LAB-004930</t>
        </is>
      </c>
      <c r="B4931" s="53" t="inlineStr">
        <is>
          <t>WP-02168</t>
        </is>
      </c>
      <c r="C4931" s="53" t="inlineStr">
        <is>
          <t>TECH-018</t>
        </is>
      </c>
      <c r="D4931" s="53" t="inlineStr">
        <is>
          <t>Powerplant</t>
        </is>
      </c>
      <c r="E4931" s="53" t="inlineStr">
        <is>
          <t>2025-09-02</t>
        </is>
      </c>
      <c r="F4931" s="53">
        <v>3.2</v>
      </c>
      <c r="G4931" s="53">
        <v>0</v>
      </c>
      <c r="H4931" s="51" t="str">
        <f>TEXT(tblLaborEntries[[#This Row],[Work date serial]]-WEEKDAY(tblLaborEntries[[#This Row],[Work date serial]],3),"yyyy-mm-dd")</f>
        <v>2025-09-01</v>
      </c>
      <c r="I4931" s="64">
        <f>DATEVALUE(tblLaborEntries[[#This Row],[Work date]])</f>
        <v>45902.0</v>
      </c>
    </row>
    <row r="4932" spans="1:9" ht="15" x14ac:dyDescent="0.25">
      <c r="A4932" s="53" t="inlineStr">
        <is>
          <t>LAB-004931</t>
        </is>
      </c>
      <c r="B4932" s="53" t="inlineStr">
        <is>
          <t>WP-02169</t>
        </is>
      </c>
      <c r="C4932" s="53" t="inlineStr">
        <is>
          <t>TECH-064</t>
        </is>
      </c>
      <c r="D4932" s="53" t="inlineStr">
        <is>
          <t>Electrical</t>
        </is>
      </c>
      <c r="E4932" s="53" t="inlineStr">
        <is>
          <t>2024-04-02</t>
        </is>
      </c>
      <c r="F4932" s="53">
        <v>9.3</v>
      </c>
      <c r="G4932" s="53">
        <v>1.3</v>
      </c>
      <c r="H4932" s="51" t="str">
        <f>TEXT(tblLaborEntries[[#This Row],[Work date serial]]-WEEKDAY(tblLaborEntries[[#This Row],[Work date serial]],3),"yyyy-mm-dd")</f>
        <v>2024-04-01</v>
      </c>
      <c r="I4932" s="64">
        <f>DATEVALUE(tblLaborEntries[[#This Row],[Work date]])</f>
        <v>45384.0</v>
      </c>
    </row>
    <row r="4933" spans="1:9" ht="15" x14ac:dyDescent="0.25">
      <c r="A4933" s="53" t="inlineStr">
        <is>
          <t>LAB-004932</t>
        </is>
      </c>
      <c r="B4933" s="53" t="inlineStr">
        <is>
          <t>WP-02169</t>
        </is>
      </c>
      <c r="C4933" s="53" t="inlineStr">
        <is>
          <t>TECH-004</t>
        </is>
      </c>
      <c r="D4933" s="53" t="inlineStr">
        <is>
          <t>Electrical</t>
        </is>
      </c>
      <c r="E4933" s="53" t="inlineStr">
        <is>
          <t>2024-04-03</t>
        </is>
      </c>
      <c r="F4933" s="53">
        <v>1.1</v>
      </c>
      <c r="G4933" s="53">
        <v>0</v>
      </c>
      <c r="H4933" s="51" t="str">
        <f>TEXT(tblLaborEntries[[#This Row],[Work date serial]]-WEEKDAY(tblLaborEntries[[#This Row],[Work date serial]],3),"yyyy-mm-dd")</f>
        <v>2024-04-01</v>
      </c>
      <c r="I4933" s="64">
        <f>DATEVALUE(tblLaborEntries[[#This Row],[Work date]])</f>
        <v>45385.0</v>
      </c>
    </row>
    <row r="4934" spans="1:9" ht="15" x14ac:dyDescent="0.25">
      <c r="A4934" s="53" t="inlineStr">
        <is>
          <t>LAB-004933</t>
        </is>
      </c>
      <c r="B4934" s="53" t="inlineStr">
        <is>
          <t>WP-02169</t>
        </is>
      </c>
      <c r="C4934" s="53" t="inlineStr">
        <is>
          <t>TECH-046</t>
        </is>
      </c>
      <c r="D4934" s="53" t="inlineStr">
        <is>
          <t>Electrical</t>
        </is>
      </c>
      <c r="E4934" s="53" t="inlineStr">
        <is>
          <t>2024-04-03</t>
        </is>
      </c>
      <c r="F4934" s="53">
        <v>12</v>
      </c>
      <c r="G4934" s="53">
        <v>4</v>
      </c>
      <c r="H4934" s="51" t="str">
        <f>TEXT(tblLaborEntries[[#This Row],[Work date serial]]-WEEKDAY(tblLaborEntries[[#This Row],[Work date serial]],3),"yyyy-mm-dd")</f>
        <v>2024-04-01</v>
      </c>
      <c r="I4934" s="64">
        <f>DATEVALUE(tblLaborEntries[[#This Row],[Work date]])</f>
        <v>45385.0</v>
      </c>
    </row>
    <row r="4935" spans="1:9" ht="15" x14ac:dyDescent="0.25">
      <c r="A4935" s="53" t="inlineStr">
        <is>
          <t>LAB-004934</t>
        </is>
      </c>
      <c r="B4935" s="53" t="inlineStr">
        <is>
          <t>WP-02170</t>
        </is>
      </c>
      <c r="C4935" s="53" t="inlineStr">
        <is>
          <t>TECH-067</t>
        </is>
      </c>
      <c r="D4935" s="53" t="inlineStr">
        <is>
          <t>Airframe</t>
        </is>
      </c>
      <c r="E4935" s="53" t="inlineStr">
        <is>
          <t>2024-02-04</t>
        </is>
      </c>
      <c r="F4935" s="53">
        <v>3.8</v>
      </c>
      <c r="G4935" s="53">
        <v>0</v>
      </c>
      <c r="H4935" s="51" t="str">
        <f>TEXT(tblLaborEntries[[#This Row],[Work date serial]]-WEEKDAY(tblLaborEntries[[#This Row],[Work date serial]],3),"yyyy-mm-dd")</f>
        <v>2024-01-29</v>
      </c>
      <c r="I4935" s="64">
        <f>DATEVALUE(tblLaborEntries[[#This Row],[Work date]])</f>
        <v>45326.0</v>
      </c>
    </row>
    <row r="4936" spans="1:9" ht="15" x14ac:dyDescent="0.25">
      <c r="A4936" s="53" t="inlineStr">
        <is>
          <t>LAB-004935</t>
        </is>
      </c>
      <c r="B4936" s="53" t="inlineStr">
        <is>
          <t>WP-02170</t>
        </is>
      </c>
      <c r="C4936" s="53" t="inlineStr">
        <is>
          <t>TECH-043</t>
        </is>
      </c>
      <c r="D4936" s="53" t="inlineStr">
        <is>
          <t>Airframe</t>
        </is>
      </c>
      <c r="E4936" s="53" t="inlineStr">
        <is>
          <t>2024-02-05</t>
        </is>
      </c>
      <c r="F4936" s="53">
        <v>3.2</v>
      </c>
      <c r="G4936" s="53">
        <v>0</v>
      </c>
      <c r="H4936" s="51" t="str">
        <f>TEXT(tblLaborEntries[[#This Row],[Work date serial]]-WEEKDAY(tblLaborEntries[[#This Row],[Work date serial]],3),"yyyy-mm-dd")</f>
        <v>2024-02-05</v>
      </c>
      <c r="I4936" s="64">
        <f>DATEVALUE(tblLaborEntries[[#This Row],[Work date]])</f>
        <v>45327.0</v>
      </c>
    </row>
    <row r="4937" spans="1:9" ht="15" x14ac:dyDescent="0.25">
      <c r="A4937" s="53" t="inlineStr">
        <is>
          <t>LAB-004936</t>
        </is>
      </c>
      <c r="B4937" s="53" t="inlineStr">
        <is>
          <t>WP-02171</t>
        </is>
      </c>
      <c r="C4937" s="53" t="inlineStr">
        <is>
          <t>TECH-068</t>
        </is>
      </c>
      <c r="D4937" s="53" t="inlineStr">
        <is>
          <t>Avionics</t>
        </is>
      </c>
      <c r="E4937" s="53" t="inlineStr">
        <is>
          <t>2025-01-30</t>
        </is>
      </c>
      <c r="F4937" s="53">
        <v>3.4</v>
      </c>
      <c r="G4937" s="53">
        <v>0</v>
      </c>
      <c r="H4937" s="51" t="str">
        <f>TEXT(tblLaborEntries[[#This Row],[Work date serial]]-WEEKDAY(tblLaborEntries[[#This Row],[Work date serial]],3),"yyyy-mm-dd")</f>
        <v>2025-01-27</v>
      </c>
      <c r="I4937" s="64">
        <f>DATEVALUE(tblLaborEntries[[#This Row],[Work date]])</f>
        <v>45687.0</v>
      </c>
    </row>
    <row r="4938" spans="1:9" ht="15" x14ac:dyDescent="0.25">
      <c r="A4938" s="53" t="inlineStr">
        <is>
          <t>LAB-004937</t>
        </is>
      </c>
      <c r="B4938" s="53" t="inlineStr">
        <is>
          <t>WP-02171</t>
        </is>
      </c>
      <c r="C4938" s="53" t="inlineStr">
        <is>
          <t>TECH-068</t>
        </is>
      </c>
      <c r="D4938" s="53" t="inlineStr">
        <is>
          <t>Avionics</t>
        </is>
      </c>
      <c r="E4938" s="53" t="inlineStr">
        <is>
          <t>2025-01-31</t>
        </is>
      </c>
      <c r="F4938" s="53">
        <v>3.2</v>
      </c>
      <c r="G4938" s="53">
        <v>0</v>
      </c>
      <c r="H4938" s="51" t="str">
        <f>TEXT(tblLaborEntries[[#This Row],[Work date serial]]-WEEKDAY(tblLaborEntries[[#This Row],[Work date serial]],3),"yyyy-mm-dd")</f>
        <v>2025-01-27</v>
      </c>
      <c r="I4938" s="64">
        <f>DATEVALUE(tblLaborEntries[[#This Row],[Work date]])</f>
        <v>45688.0</v>
      </c>
    </row>
    <row r="4939" spans="1:9" ht="15" x14ac:dyDescent="0.25">
      <c r="A4939" s="53" t="inlineStr">
        <is>
          <t>LAB-004938</t>
        </is>
      </c>
      <c r="B4939" s="53" t="inlineStr">
        <is>
          <t>WP-02172</t>
        </is>
      </c>
      <c r="C4939" s="53" t="inlineStr">
        <is>
          <t>TECH-007</t>
        </is>
      </c>
      <c r="D4939" s="53" t="inlineStr">
        <is>
          <t>Airframe</t>
        </is>
      </c>
      <c r="E4939" s="53" t="inlineStr">
        <is>
          <t>2024-08-24</t>
        </is>
      </c>
      <c r="F4939" s="53">
        <v>4.2</v>
      </c>
      <c r="G4939" s="53">
        <v>0</v>
      </c>
      <c r="H4939" s="51" t="str">
        <f>TEXT(tblLaborEntries[[#This Row],[Work date serial]]-WEEKDAY(tblLaborEntries[[#This Row],[Work date serial]],3),"yyyy-mm-dd")</f>
        <v>2024-08-19</v>
      </c>
      <c r="I4939" s="64">
        <f>DATEVALUE(tblLaborEntries[[#This Row],[Work date]])</f>
        <v>45528.0</v>
      </c>
    </row>
    <row r="4940" spans="1:9" ht="15" x14ac:dyDescent="0.25">
      <c r="A4940" s="53" t="inlineStr">
        <is>
          <t>LAB-004939</t>
        </is>
      </c>
      <c r="B4940" s="53" t="inlineStr">
        <is>
          <t>WP-02173</t>
        </is>
      </c>
      <c r="C4940" s="53" t="inlineStr">
        <is>
          <t>TECH-060</t>
        </is>
      </c>
      <c r="D4940" s="53" t="inlineStr">
        <is>
          <t>Powerplant</t>
        </is>
      </c>
      <c r="E4940" s="53" t="inlineStr">
        <is>
          <t>2024-12-12</t>
        </is>
      </c>
      <c r="F4940" s="53">
        <v>3.9</v>
      </c>
      <c r="G4940" s="53">
        <v>0</v>
      </c>
      <c r="H4940" s="51" t="str">
        <f>TEXT(tblLaborEntries[[#This Row],[Work date serial]]-WEEKDAY(tblLaborEntries[[#This Row],[Work date serial]],3),"yyyy-mm-dd")</f>
        <v>2024-12-09</v>
      </c>
      <c r="I4940" s="64">
        <f>DATEVALUE(tblLaborEntries[[#This Row],[Work date]])</f>
        <v>45638.0</v>
      </c>
    </row>
    <row r="4941" spans="1:9" ht="15" x14ac:dyDescent="0.25">
      <c r="A4941" s="53" t="inlineStr">
        <is>
          <t>LAB-004940</t>
        </is>
      </c>
      <c r="B4941" s="53" t="inlineStr">
        <is>
          <t>WP-02173</t>
        </is>
      </c>
      <c r="C4941" s="53" t="inlineStr">
        <is>
          <t>TECH-006</t>
        </is>
      </c>
      <c r="D4941" s="53" t="inlineStr">
        <is>
          <t>Powerplant</t>
        </is>
      </c>
      <c r="E4941" s="53" t="inlineStr">
        <is>
          <t>2024-12-13</t>
        </is>
      </c>
      <c r="F4941" s="53">
        <v>4.5</v>
      </c>
      <c r="G4941" s="53">
        <v>0</v>
      </c>
      <c r="H4941" s="51" t="str">
        <f>TEXT(tblLaborEntries[[#This Row],[Work date serial]]-WEEKDAY(tblLaborEntries[[#This Row],[Work date serial]],3),"yyyy-mm-dd")</f>
        <v>2024-12-09</v>
      </c>
      <c r="I4941" s="64">
        <f>DATEVALUE(tblLaborEntries[[#This Row],[Work date]])</f>
        <v>45639.0</v>
      </c>
    </row>
    <row r="4942" spans="1:9" ht="15" x14ac:dyDescent="0.25">
      <c r="A4942" s="53" t="inlineStr">
        <is>
          <t>LAB-004941</t>
        </is>
      </c>
      <c r="B4942" s="53" t="inlineStr">
        <is>
          <t>WP-02174</t>
        </is>
      </c>
      <c r="C4942" s="53" t="inlineStr">
        <is>
          <t>TECH-004</t>
        </is>
      </c>
      <c r="D4942" s="53" t="inlineStr">
        <is>
          <t>Electrical</t>
        </is>
      </c>
      <c r="E4942" s="53" t="inlineStr">
        <is>
          <t>2025-10-19</t>
        </is>
      </c>
      <c r="F4942" s="53">
        <v>2.9</v>
      </c>
      <c r="G4942" s="53">
        <v>0</v>
      </c>
      <c r="H4942" s="51" t="str">
        <f>TEXT(tblLaborEntries[[#This Row],[Work date serial]]-WEEKDAY(tblLaborEntries[[#This Row],[Work date serial]],3),"yyyy-mm-dd")</f>
        <v>2025-10-13</v>
      </c>
      <c r="I4942" s="64">
        <f>DATEVALUE(tblLaborEntries[[#This Row],[Work date]])</f>
        <v>45949.0</v>
      </c>
    </row>
    <row r="4943" spans="1:9" ht="15" x14ac:dyDescent="0.25">
      <c r="A4943" s="53" t="inlineStr">
        <is>
          <t>LAB-004942</t>
        </is>
      </c>
      <c r="B4943" s="53" t="inlineStr">
        <is>
          <t>WP-02174</t>
        </is>
      </c>
      <c r="C4943" s="53" t="inlineStr">
        <is>
          <t>TECH-058</t>
        </is>
      </c>
      <c r="D4943" s="53" t="inlineStr">
        <is>
          <t>Electrical</t>
        </is>
      </c>
      <c r="E4943" s="53" t="inlineStr">
        <is>
          <t>2025-10-20</t>
        </is>
      </c>
      <c r="F4943" s="53">
        <v>3.5</v>
      </c>
      <c r="G4943" s="53">
        <v>0</v>
      </c>
      <c r="H4943" s="51" t="str">
        <f>TEXT(tblLaborEntries[[#This Row],[Work date serial]]-WEEKDAY(tblLaborEntries[[#This Row],[Work date serial]],3),"yyyy-mm-dd")</f>
        <v>2025-10-20</v>
      </c>
      <c r="I4943" s="64">
        <f>DATEVALUE(tblLaborEntries[[#This Row],[Work date]])</f>
        <v>45950.0</v>
      </c>
    </row>
    <row r="4944" spans="1:9" ht="15" x14ac:dyDescent="0.25">
      <c r="A4944" s="53" t="inlineStr">
        <is>
          <t>LAB-004943</t>
        </is>
      </c>
      <c r="B4944" s="53" t="inlineStr">
        <is>
          <t>WP-02174</t>
        </is>
      </c>
      <c r="C4944" s="53" t="inlineStr">
        <is>
          <t>TECH-070</t>
        </is>
      </c>
      <c r="D4944" s="53" t="inlineStr">
        <is>
          <t>Electrical</t>
        </is>
      </c>
      <c r="E4944" s="53" t="inlineStr">
        <is>
          <t>2025-10-21</t>
        </is>
      </c>
      <c r="F4944" s="53">
        <v>2.7</v>
      </c>
      <c r="G4944" s="53">
        <v>0</v>
      </c>
      <c r="H4944" s="51" t="str">
        <f>TEXT(tblLaborEntries[[#This Row],[Work date serial]]-WEEKDAY(tblLaborEntries[[#This Row],[Work date serial]],3),"yyyy-mm-dd")</f>
        <v>2025-10-20</v>
      </c>
      <c r="I4944" s="64">
        <f>DATEVALUE(tblLaborEntries[[#This Row],[Work date]])</f>
        <v>45951.0</v>
      </c>
    </row>
    <row r="4945" spans="1:9" ht="15" x14ac:dyDescent="0.25">
      <c r="A4945" s="53" t="inlineStr">
        <is>
          <t>LAB-004944</t>
        </is>
      </c>
      <c r="B4945" s="53" t="inlineStr">
        <is>
          <t>WP-02175</t>
        </is>
      </c>
      <c r="C4945" s="53" t="inlineStr">
        <is>
          <t>TECH-054</t>
        </is>
      </c>
      <c r="D4945" s="53" t="inlineStr">
        <is>
          <t>Powerplant</t>
        </is>
      </c>
      <c r="E4945" s="53" t="inlineStr">
        <is>
          <t>2024-10-17</t>
        </is>
      </c>
      <c r="F4945" s="53">
        <v>11.6</v>
      </c>
      <c r="G4945" s="53">
        <v>3.6</v>
      </c>
      <c r="H4945" s="51" t="str">
        <f>TEXT(tblLaborEntries[[#This Row],[Work date serial]]-WEEKDAY(tblLaborEntries[[#This Row],[Work date serial]],3),"yyyy-mm-dd")</f>
        <v>2024-10-14</v>
      </c>
      <c r="I4945" s="64">
        <f>DATEVALUE(tblLaborEntries[[#This Row],[Work date]])</f>
        <v>45582.0</v>
      </c>
    </row>
    <row r="4946" spans="1:9" ht="15" x14ac:dyDescent="0.25">
      <c r="A4946" s="53" t="inlineStr">
        <is>
          <t>LAB-004945</t>
        </is>
      </c>
      <c r="B4946" s="53" t="inlineStr">
        <is>
          <t>WP-02175</t>
        </is>
      </c>
      <c r="C4946" s="53" t="inlineStr">
        <is>
          <t>TECH-006</t>
        </is>
      </c>
      <c r="D4946" s="53" t="inlineStr">
        <is>
          <t>Powerplant</t>
        </is>
      </c>
      <c r="E4946" s="53" t="inlineStr">
        <is>
          <t>2024-10-18</t>
        </is>
      </c>
      <c r="F4946" s="53">
        <v>1.8</v>
      </c>
      <c r="G4946" s="53">
        <v>0</v>
      </c>
      <c r="H4946" s="51" t="str">
        <f>TEXT(tblLaborEntries[[#This Row],[Work date serial]]-WEEKDAY(tblLaborEntries[[#This Row],[Work date serial]],3),"yyyy-mm-dd")</f>
        <v>2024-10-14</v>
      </c>
      <c r="I4946" s="64">
        <f>DATEVALUE(tblLaborEntries[[#This Row],[Work date]])</f>
        <v>45583.0</v>
      </c>
    </row>
    <row r="4947" spans="1:9" ht="15" x14ac:dyDescent="0.25">
      <c r="A4947" s="53" t="inlineStr">
        <is>
          <t>LAB-004946</t>
        </is>
      </c>
      <c r="B4947" s="53" t="inlineStr">
        <is>
          <t>WP-02175</t>
        </is>
      </c>
      <c r="C4947" s="53" t="inlineStr">
        <is>
          <t>TECH-024</t>
        </is>
      </c>
      <c r="D4947" s="53" t="inlineStr">
        <is>
          <t>Powerplant</t>
        </is>
      </c>
      <c r="E4947" s="53" t="inlineStr">
        <is>
          <t>2024-10-18</t>
        </is>
      </c>
      <c r="F4947" s="53">
        <v>12</v>
      </c>
      <c r="G4947" s="53">
        <v>4</v>
      </c>
      <c r="H4947" s="51" t="str">
        <f>TEXT(tblLaborEntries[[#This Row],[Work date serial]]-WEEKDAY(tblLaborEntries[[#This Row],[Work date serial]],3),"yyyy-mm-dd")</f>
        <v>2024-10-14</v>
      </c>
      <c r="I4947" s="64">
        <f>DATEVALUE(tblLaborEntries[[#This Row],[Work date]])</f>
        <v>45583.0</v>
      </c>
    </row>
    <row r="4948" spans="1:9" ht="15" x14ac:dyDescent="0.25">
      <c r="A4948" s="53" t="inlineStr">
        <is>
          <t>LAB-004947</t>
        </is>
      </c>
      <c r="B4948" s="53" t="inlineStr">
        <is>
          <t>WP-02176</t>
        </is>
      </c>
      <c r="C4948" s="53" t="inlineStr">
        <is>
          <t>TECH-014</t>
        </is>
      </c>
      <c r="D4948" s="53" t="inlineStr">
        <is>
          <t>Avionics</t>
        </is>
      </c>
      <c r="E4948" s="53" t="inlineStr">
        <is>
          <t>2024-03-11</t>
        </is>
      </c>
      <c r="F4948" s="53">
        <v>2.6</v>
      </c>
      <c r="G4948" s="53">
        <v>0</v>
      </c>
      <c r="H4948" s="51" t="str">
        <f>TEXT(tblLaborEntries[[#This Row],[Work date serial]]-WEEKDAY(tblLaborEntries[[#This Row],[Work date serial]],3),"yyyy-mm-dd")</f>
        <v>2024-03-11</v>
      </c>
      <c r="I4948" s="64">
        <f>DATEVALUE(tblLaborEntries[[#This Row],[Work date]])</f>
        <v>45362.0</v>
      </c>
    </row>
    <row r="4949" spans="1:9" ht="15" x14ac:dyDescent="0.25">
      <c r="A4949" s="53" t="inlineStr">
        <is>
          <t>LAB-004948</t>
        </is>
      </c>
      <c r="B4949" s="53" t="inlineStr">
        <is>
          <t>WP-02176</t>
        </is>
      </c>
      <c r="C4949" s="53" t="inlineStr">
        <is>
          <t>TECH-008</t>
        </is>
      </c>
      <c r="D4949" s="53" t="inlineStr">
        <is>
          <t>Avionics</t>
        </is>
      </c>
      <c r="E4949" s="53" t="inlineStr">
        <is>
          <t>2024-03-12</t>
        </is>
      </c>
      <c r="F4949" s="53">
        <v>2.1</v>
      </c>
      <c r="G4949" s="53">
        <v>0</v>
      </c>
      <c r="H4949" s="51" t="str">
        <f>TEXT(tblLaborEntries[[#This Row],[Work date serial]]-WEEKDAY(tblLaborEntries[[#This Row],[Work date serial]],3),"yyyy-mm-dd")</f>
        <v>2024-03-11</v>
      </c>
      <c r="I4949" s="64">
        <f>DATEVALUE(tblLaborEntries[[#This Row],[Work date]])</f>
        <v>45363.0</v>
      </c>
    </row>
    <row r="4950" spans="1:9" ht="15" x14ac:dyDescent="0.25">
      <c r="A4950" s="53" t="inlineStr">
        <is>
          <t>LAB-004949</t>
        </is>
      </c>
      <c r="B4950" s="53" t="inlineStr">
        <is>
          <t>WP-02176</t>
        </is>
      </c>
      <c r="C4950" s="53" t="inlineStr">
        <is>
          <t>TECH-074</t>
        </is>
      </c>
      <c r="D4950" s="53" t="inlineStr">
        <is>
          <t>Avionics</t>
        </is>
      </c>
      <c r="E4950" s="53" t="inlineStr">
        <is>
          <t>2024-03-13</t>
        </is>
      </c>
      <c r="F4950" s="53">
        <v>2.3</v>
      </c>
      <c r="G4950" s="53">
        <v>0</v>
      </c>
      <c r="H4950" s="51" t="str">
        <f>TEXT(tblLaborEntries[[#This Row],[Work date serial]]-WEEKDAY(tblLaborEntries[[#This Row],[Work date serial]],3),"yyyy-mm-dd")</f>
        <v>2024-03-11</v>
      </c>
      <c r="I4950" s="64">
        <f>DATEVALUE(tblLaborEntries[[#This Row],[Work date]])</f>
        <v>45364.0</v>
      </c>
    </row>
    <row r="4951" spans="1:9" ht="15" x14ac:dyDescent="0.25">
      <c r="A4951" s="53" t="inlineStr">
        <is>
          <t>LAB-004950</t>
        </is>
      </c>
      <c r="B4951" s="53" t="inlineStr">
        <is>
          <t>WP-02177</t>
        </is>
      </c>
      <c r="C4951" s="53" t="inlineStr">
        <is>
          <t>TECH-011</t>
        </is>
      </c>
      <c r="D4951" s="53" t="inlineStr">
        <is>
          <t>Structures</t>
        </is>
      </c>
      <c r="E4951" s="53" t="inlineStr">
        <is>
          <t>2024-09-07</t>
        </is>
      </c>
      <c r="F4951" s="53">
        <v>10.8</v>
      </c>
      <c r="G4951" s="53">
        <v>2.8</v>
      </c>
      <c r="H4951" s="51" t="str">
        <f>TEXT(tblLaborEntries[[#This Row],[Work date serial]]-WEEKDAY(tblLaborEntries[[#This Row],[Work date serial]],3),"yyyy-mm-dd")</f>
        <v>2024-09-02</v>
      </c>
      <c r="I4951" s="64">
        <f>DATEVALUE(tblLaborEntries[[#This Row],[Work date]])</f>
        <v>45542.0</v>
      </c>
    </row>
    <row r="4952" spans="1:9" ht="15" x14ac:dyDescent="0.25">
      <c r="A4952" s="53" t="inlineStr">
        <is>
          <t>LAB-004951</t>
        </is>
      </c>
      <c r="B4952" s="53" t="inlineStr">
        <is>
          <t>WP-02177</t>
        </is>
      </c>
      <c r="C4952" s="53" t="inlineStr">
        <is>
          <t>TECH-047</t>
        </is>
      </c>
      <c r="D4952" s="53" t="inlineStr">
        <is>
          <t>Structures</t>
        </is>
      </c>
      <c r="E4952" s="53" t="inlineStr">
        <is>
          <t>2024-09-08</t>
        </is>
      </c>
      <c r="F4952" s="53">
        <v>7.9</v>
      </c>
      <c r="G4952" s="53">
        <v>0</v>
      </c>
      <c r="H4952" s="51" t="str">
        <f>TEXT(tblLaborEntries[[#This Row],[Work date serial]]-WEEKDAY(tblLaborEntries[[#This Row],[Work date serial]],3),"yyyy-mm-dd")</f>
        <v>2024-09-02</v>
      </c>
      <c r="I4952" s="64">
        <f>DATEVALUE(tblLaborEntries[[#This Row],[Work date]])</f>
        <v>45543.0</v>
      </c>
    </row>
    <row r="4953" spans="1:9" ht="15" x14ac:dyDescent="0.25">
      <c r="A4953" s="53" t="inlineStr">
        <is>
          <t>LAB-004952</t>
        </is>
      </c>
      <c r="B4953" s="53" t="inlineStr">
        <is>
          <t>WP-02178</t>
        </is>
      </c>
      <c r="C4953" s="53" t="inlineStr">
        <is>
          <t>TECH-014</t>
        </is>
      </c>
      <c r="D4953" s="53" t="inlineStr">
        <is>
          <t>Avionics</t>
        </is>
      </c>
      <c r="E4953" s="53" t="inlineStr">
        <is>
          <t>2025-01-11</t>
        </is>
      </c>
      <c r="F4953" s="53">
        <v>4</v>
      </c>
      <c r="G4953" s="53">
        <v>0</v>
      </c>
      <c r="H4953" s="51" t="str">
        <f>TEXT(tblLaborEntries[[#This Row],[Work date serial]]-WEEKDAY(tblLaborEntries[[#This Row],[Work date serial]],3),"yyyy-mm-dd")</f>
        <v>2025-01-06</v>
      </c>
      <c r="I4953" s="64">
        <f>DATEVALUE(tblLaborEntries[[#This Row],[Work date]])</f>
        <v>45668.0</v>
      </c>
    </row>
    <row r="4954" spans="1:9" ht="15" x14ac:dyDescent="0.25">
      <c r="A4954" s="53" t="inlineStr">
        <is>
          <t>LAB-004953</t>
        </is>
      </c>
      <c r="B4954" s="53" t="inlineStr">
        <is>
          <t>WP-02178</t>
        </is>
      </c>
      <c r="C4954" s="53" t="inlineStr">
        <is>
          <t>TECH-002</t>
        </is>
      </c>
      <c r="D4954" s="53" t="inlineStr">
        <is>
          <t>Avionics</t>
        </is>
      </c>
      <c r="E4954" s="53" t="inlineStr">
        <is>
          <t>2025-01-12</t>
        </is>
      </c>
      <c r="F4954" s="53">
        <v>4.4</v>
      </c>
      <c r="G4954" s="53">
        <v>0</v>
      </c>
      <c r="H4954" s="51" t="str">
        <f>TEXT(tblLaborEntries[[#This Row],[Work date serial]]-WEEKDAY(tblLaborEntries[[#This Row],[Work date serial]],3),"yyyy-mm-dd")</f>
        <v>2025-01-06</v>
      </c>
      <c r="I4954" s="64">
        <f>DATEVALUE(tblLaborEntries[[#This Row],[Work date]])</f>
        <v>45669.0</v>
      </c>
    </row>
    <row r="4955" spans="1:9" ht="15" x14ac:dyDescent="0.25">
      <c r="A4955" s="53" t="inlineStr">
        <is>
          <t>LAB-004954</t>
        </is>
      </c>
      <c r="B4955" s="53" t="inlineStr">
        <is>
          <t>WP-02178</t>
        </is>
      </c>
      <c r="C4955" s="53" t="inlineStr">
        <is>
          <t>TECH-062</t>
        </is>
      </c>
      <c r="D4955" s="53" t="inlineStr">
        <is>
          <t>Avionics</t>
        </is>
      </c>
      <c r="E4955" s="53" t="inlineStr">
        <is>
          <t>2025-01-13</t>
        </is>
      </c>
      <c r="F4955" s="53">
        <v>4.5</v>
      </c>
      <c r="G4955" s="53">
        <v>0</v>
      </c>
      <c r="H4955" s="51" t="str">
        <f>TEXT(tblLaborEntries[[#This Row],[Work date serial]]-WEEKDAY(tblLaborEntries[[#This Row],[Work date serial]],3),"yyyy-mm-dd")</f>
        <v>2025-01-13</v>
      </c>
      <c r="I4955" s="64">
        <f>DATEVALUE(tblLaborEntries[[#This Row],[Work date]])</f>
        <v>45670.0</v>
      </c>
    </row>
    <row r="4956" spans="1:9" ht="15" x14ac:dyDescent="0.25">
      <c r="A4956" s="53" t="inlineStr">
        <is>
          <t>LAB-004955</t>
        </is>
      </c>
      <c r="B4956" s="53" t="inlineStr">
        <is>
          <t>WP-02179</t>
        </is>
      </c>
      <c r="C4956" s="53" t="inlineStr">
        <is>
          <t>TECH-044</t>
        </is>
      </c>
      <c r="D4956" s="53" t="inlineStr">
        <is>
          <t>Avionics</t>
        </is>
      </c>
      <c r="E4956" s="53" t="inlineStr">
        <is>
          <t>2025-08-15</t>
        </is>
      </c>
      <c r="F4956" s="53">
        <v>7.3</v>
      </c>
      <c r="G4956" s="53">
        <v>0</v>
      </c>
      <c r="H4956" s="51" t="str">
        <f>TEXT(tblLaborEntries[[#This Row],[Work date serial]]-WEEKDAY(tblLaborEntries[[#This Row],[Work date serial]],3),"yyyy-mm-dd")</f>
        <v>2025-08-11</v>
      </c>
      <c r="I4956" s="64">
        <f>DATEVALUE(tblLaborEntries[[#This Row],[Work date]])</f>
        <v>45884.0</v>
      </c>
    </row>
    <row r="4957" spans="1:9" ht="15" x14ac:dyDescent="0.25">
      <c r="A4957" s="53" t="inlineStr">
        <is>
          <t>LAB-004956</t>
        </is>
      </c>
      <c r="B4957" s="53" t="inlineStr">
        <is>
          <t>WP-02179</t>
        </is>
      </c>
      <c r="C4957" s="53" t="inlineStr">
        <is>
          <t>TECH-044</t>
        </is>
      </c>
      <c r="D4957" s="53" t="inlineStr">
        <is>
          <t>Avionics</t>
        </is>
      </c>
      <c r="E4957" s="53" t="inlineStr">
        <is>
          <t>2025-08-16</t>
        </is>
      </c>
      <c r="F4957" s="53">
        <v>5.7</v>
      </c>
      <c r="G4957" s="53">
        <v>0</v>
      </c>
      <c r="H4957" s="51" t="str">
        <f>TEXT(tblLaborEntries[[#This Row],[Work date serial]]-WEEKDAY(tblLaborEntries[[#This Row],[Work date serial]],3),"yyyy-mm-dd")</f>
        <v>2025-08-11</v>
      </c>
      <c r="I4957" s="64">
        <f>DATEVALUE(tblLaborEntries[[#This Row],[Work date]])</f>
        <v>45885.0</v>
      </c>
    </row>
    <row r="4958" spans="1:9" ht="15" x14ac:dyDescent="0.25">
      <c r="A4958" s="53" t="inlineStr">
        <is>
          <t>LAB-004957</t>
        </is>
      </c>
      <c r="B4958" s="53" t="inlineStr">
        <is>
          <t>WP-02179</t>
        </is>
      </c>
      <c r="C4958" s="53" t="inlineStr">
        <is>
          <t>TECH-038</t>
        </is>
      </c>
      <c r="D4958" s="53" t="inlineStr">
        <is>
          <t>Avionics</t>
        </is>
      </c>
      <c r="E4958" s="53" t="inlineStr">
        <is>
          <t>2025-08-17</t>
        </is>
      </c>
      <c r="F4958" s="53">
        <v>8</v>
      </c>
      <c r="G4958" s="53">
        <v>0</v>
      </c>
      <c r="H4958" s="51" t="str">
        <f>TEXT(tblLaborEntries[[#This Row],[Work date serial]]-WEEKDAY(tblLaborEntries[[#This Row],[Work date serial]],3),"yyyy-mm-dd")</f>
        <v>2025-08-11</v>
      </c>
      <c r="I4958" s="64">
        <f>DATEVALUE(tblLaborEntries[[#This Row],[Work date]])</f>
        <v>45886.0</v>
      </c>
    </row>
    <row r="4959" spans="1:9" ht="15" x14ac:dyDescent="0.25">
      <c r="A4959" s="53" t="inlineStr">
        <is>
          <t>LAB-004958</t>
        </is>
      </c>
      <c r="B4959" s="53" t="inlineStr">
        <is>
          <t>WP-02180</t>
        </is>
      </c>
      <c r="C4959" s="53" t="inlineStr">
        <is>
          <t>TECH-017</t>
        </is>
      </c>
      <c r="D4959" s="53" t="inlineStr">
        <is>
          <t>Structures</t>
        </is>
      </c>
      <c r="E4959" s="53" t="inlineStr">
        <is>
          <t>2025-05-25</t>
        </is>
      </c>
      <c r="F4959" s="53">
        <v>8.4</v>
      </c>
      <c r="G4959" s="53">
        <v>0.4</v>
      </c>
      <c r="H4959" s="51" t="str">
        <f>TEXT(tblLaborEntries[[#This Row],[Work date serial]]-WEEKDAY(tblLaborEntries[[#This Row],[Work date serial]],3),"yyyy-mm-dd")</f>
        <v>2025-05-19</v>
      </c>
      <c r="I4959" s="64">
        <f>DATEVALUE(tblLaborEntries[[#This Row],[Work date]])</f>
        <v>45802.0</v>
      </c>
    </row>
    <row r="4960" spans="1:9" ht="15" x14ac:dyDescent="0.25">
      <c r="A4960" s="53" t="inlineStr">
        <is>
          <t>LAB-004959</t>
        </is>
      </c>
      <c r="B4960" s="53" t="inlineStr">
        <is>
          <t>WP-02180</t>
        </is>
      </c>
      <c r="C4960" s="53" t="inlineStr">
        <is>
          <t>TECH-071</t>
        </is>
      </c>
      <c r="D4960" s="53" t="inlineStr">
        <is>
          <t>Structures</t>
        </is>
      </c>
      <c r="E4960" s="53" t="inlineStr">
        <is>
          <t>2025-05-26</t>
        </is>
      </c>
      <c r="F4960" s="53">
        <v>8.8</v>
      </c>
      <c r="G4960" s="53">
        <v>0.8</v>
      </c>
      <c r="H4960" s="51" t="str">
        <f>TEXT(tblLaborEntries[[#This Row],[Work date serial]]-WEEKDAY(tblLaborEntries[[#This Row],[Work date serial]],3),"yyyy-mm-dd")</f>
        <v>2025-05-26</v>
      </c>
      <c r="I4960" s="64">
        <f>DATEVALUE(tblLaborEntries[[#This Row],[Work date]])</f>
        <v>45803.0</v>
      </c>
    </row>
    <row r="4961" spans="1:9" ht="15" x14ac:dyDescent="0.25">
      <c r="A4961" s="53" t="inlineStr">
        <is>
          <t>LAB-004960</t>
        </is>
      </c>
      <c r="B4961" s="53" t="inlineStr">
        <is>
          <t>WP-02181</t>
        </is>
      </c>
      <c r="C4961" s="53" t="inlineStr">
        <is>
          <t>TECH-040</t>
        </is>
      </c>
      <c r="D4961" s="53" t="inlineStr">
        <is>
          <t>Electrical</t>
        </is>
      </c>
      <c r="E4961" s="53" t="inlineStr">
        <is>
          <t>2024-04-18</t>
        </is>
      </c>
      <c r="F4961" s="53">
        <v>11.9</v>
      </c>
      <c r="G4961" s="53">
        <v>3.9</v>
      </c>
      <c r="H4961" s="51" t="str">
        <f>TEXT(tblLaborEntries[[#This Row],[Work date serial]]-WEEKDAY(tblLaborEntries[[#This Row],[Work date serial]],3),"yyyy-mm-dd")</f>
        <v>2024-04-15</v>
      </c>
      <c r="I4961" s="64">
        <f>DATEVALUE(tblLaborEntries[[#This Row],[Work date]])</f>
        <v>45400.0</v>
      </c>
    </row>
    <row r="4962" spans="1:9" ht="15" x14ac:dyDescent="0.25">
      <c r="A4962" s="53" t="inlineStr">
        <is>
          <t>LAB-004961</t>
        </is>
      </c>
      <c r="B4962" s="53" t="inlineStr">
        <is>
          <t>WP-02182</t>
        </is>
      </c>
      <c r="C4962" s="53" t="inlineStr">
        <is>
          <t>TECH-002</t>
        </is>
      </c>
      <c r="D4962" s="53" t="inlineStr">
        <is>
          <t>Avionics</t>
        </is>
      </c>
      <c r="E4962" s="53" t="inlineStr">
        <is>
          <t>2024-05-11</t>
        </is>
      </c>
      <c r="F4962" s="53">
        <v>6.3</v>
      </c>
      <c r="G4962" s="53">
        <v>0</v>
      </c>
      <c r="H4962" s="51" t="str">
        <f>TEXT(tblLaborEntries[[#This Row],[Work date serial]]-WEEKDAY(tblLaborEntries[[#This Row],[Work date serial]],3),"yyyy-mm-dd")</f>
        <v>2024-05-06</v>
      </c>
      <c r="I4962" s="64">
        <f>DATEVALUE(tblLaborEntries[[#This Row],[Work date]])</f>
        <v>45423.0</v>
      </c>
    </row>
    <row r="4963" spans="1:9" ht="15" x14ac:dyDescent="0.25">
      <c r="A4963" s="53" t="inlineStr">
        <is>
          <t>LAB-004962</t>
        </is>
      </c>
      <c r="B4963" s="53" t="inlineStr">
        <is>
          <t>WP-02182</t>
        </is>
      </c>
      <c r="C4963" s="53" t="inlineStr">
        <is>
          <t>TECH-026</t>
        </is>
      </c>
      <c r="D4963" s="53" t="inlineStr">
        <is>
          <t>Avionics</t>
        </is>
      </c>
      <c r="E4963" s="53" t="inlineStr">
        <is>
          <t>2024-05-12</t>
        </is>
      </c>
      <c r="F4963" s="53">
        <v>9.1</v>
      </c>
      <c r="G4963" s="53">
        <v>1.1</v>
      </c>
      <c r="H4963" s="51" t="str">
        <f>TEXT(tblLaborEntries[[#This Row],[Work date serial]]-WEEKDAY(tblLaborEntries[[#This Row],[Work date serial]],3),"yyyy-mm-dd")</f>
        <v>2024-05-06</v>
      </c>
      <c r="I4963" s="64">
        <f>DATEVALUE(tblLaborEntries[[#This Row],[Work date]])</f>
        <v>45424.0</v>
      </c>
    </row>
    <row r="4964" spans="1:9" ht="15" x14ac:dyDescent="0.25">
      <c r="A4964" s="53" t="inlineStr">
        <is>
          <t>LAB-004963</t>
        </is>
      </c>
      <c r="B4964" s="53" t="inlineStr">
        <is>
          <t>WP-02183</t>
        </is>
      </c>
      <c r="C4964" s="53" t="inlineStr">
        <is>
          <t>TECH-061</t>
        </is>
      </c>
      <c r="D4964" s="53" t="inlineStr">
        <is>
          <t>Airframe</t>
        </is>
      </c>
      <c r="E4964" s="53" t="inlineStr">
        <is>
          <t>2024-09-14</t>
        </is>
      </c>
      <c r="F4964" s="53">
        <v>1.8</v>
      </c>
      <c r="G4964" s="53">
        <v>0</v>
      </c>
      <c r="H4964" s="51" t="str">
        <f>TEXT(tblLaborEntries[[#This Row],[Work date serial]]-WEEKDAY(tblLaborEntries[[#This Row],[Work date serial]],3),"yyyy-mm-dd")</f>
        <v>2024-09-09</v>
      </c>
      <c r="I4964" s="64">
        <f>DATEVALUE(tblLaborEntries[[#This Row],[Work date]])</f>
        <v>45549.0</v>
      </c>
    </row>
    <row r="4965" spans="1:9" ht="15" x14ac:dyDescent="0.25">
      <c r="A4965" s="53" t="inlineStr">
        <is>
          <t>LAB-004964</t>
        </is>
      </c>
      <c r="B4965" s="53" t="inlineStr">
        <is>
          <t>WP-02183</t>
        </is>
      </c>
      <c r="C4965" s="53" t="inlineStr">
        <is>
          <t>TECH-025</t>
        </is>
      </c>
      <c r="D4965" s="53" t="inlineStr">
        <is>
          <t>Airframe</t>
        </is>
      </c>
      <c r="E4965" s="53" t="inlineStr">
        <is>
          <t>2024-09-15</t>
        </is>
      </c>
      <c r="F4965" s="53">
        <v>1.5</v>
      </c>
      <c r="G4965" s="53">
        <v>0</v>
      </c>
      <c r="H4965" s="51" t="str">
        <f>TEXT(tblLaborEntries[[#This Row],[Work date serial]]-WEEKDAY(tblLaborEntries[[#This Row],[Work date serial]],3),"yyyy-mm-dd")</f>
        <v>2024-09-09</v>
      </c>
      <c r="I4965" s="64">
        <f>DATEVALUE(tblLaborEntries[[#This Row],[Work date]])</f>
        <v>45550.0</v>
      </c>
    </row>
    <row r="4966" spans="1:9" ht="15" x14ac:dyDescent="0.25">
      <c r="A4966" s="53" t="inlineStr">
        <is>
          <t>LAB-004965</t>
        </is>
      </c>
      <c r="B4966" s="53" t="inlineStr">
        <is>
          <t>WP-02184</t>
        </is>
      </c>
      <c r="C4966" s="53" t="inlineStr">
        <is>
          <t>TECH-013</t>
        </is>
      </c>
      <c r="D4966" s="53" t="inlineStr">
        <is>
          <t>Airframe</t>
        </is>
      </c>
      <c r="E4966" s="53" t="inlineStr">
        <is>
          <t>2025-05-12</t>
        </is>
      </c>
      <c r="F4966" s="53">
        <v>8</v>
      </c>
      <c r="G4966" s="53">
        <v>0</v>
      </c>
      <c r="H4966" s="51" t="str">
        <f>TEXT(tblLaborEntries[[#This Row],[Work date serial]]-WEEKDAY(tblLaborEntries[[#This Row],[Work date serial]],3),"yyyy-mm-dd")</f>
        <v>2025-05-12</v>
      </c>
      <c r="I4966" s="64">
        <f>DATEVALUE(tblLaborEntries[[#This Row],[Work date]])</f>
        <v>45789.0</v>
      </c>
    </row>
    <row r="4967" spans="1:9" ht="15" x14ac:dyDescent="0.25">
      <c r="A4967" s="53" t="inlineStr">
        <is>
          <t>LAB-004966</t>
        </is>
      </c>
      <c r="B4967" s="53" t="inlineStr">
        <is>
          <t>WP-02184</t>
        </is>
      </c>
      <c r="C4967" s="53" t="inlineStr">
        <is>
          <t>TECH-013</t>
        </is>
      </c>
      <c r="D4967" s="53" t="inlineStr">
        <is>
          <t>Airframe</t>
        </is>
      </c>
      <c r="E4967" s="53" t="inlineStr">
        <is>
          <t>2025-05-13</t>
        </is>
      </c>
      <c r="F4967" s="53">
        <v>8.4</v>
      </c>
      <c r="G4967" s="53">
        <v>0.4</v>
      </c>
      <c r="H4967" s="51" t="str">
        <f>TEXT(tblLaborEntries[[#This Row],[Work date serial]]-WEEKDAY(tblLaborEntries[[#This Row],[Work date serial]],3),"yyyy-mm-dd")</f>
        <v>2025-05-12</v>
      </c>
      <c r="I4967" s="64">
        <f>DATEVALUE(tblLaborEntries[[#This Row],[Work date]])</f>
        <v>45790.0</v>
      </c>
    </row>
    <row r="4968" spans="1:9" ht="15" x14ac:dyDescent="0.25">
      <c r="A4968" s="53" t="inlineStr">
        <is>
          <t>LAB-004967</t>
        </is>
      </c>
      <c r="B4968" s="53" t="inlineStr">
        <is>
          <t>WP-02185</t>
        </is>
      </c>
      <c r="C4968" s="53" t="inlineStr">
        <is>
          <t>TECH-067</t>
        </is>
      </c>
      <c r="D4968" s="53" t="inlineStr">
        <is>
          <t>Airframe</t>
        </is>
      </c>
      <c r="E4968" s="53" t="inlineStr">
        <is>
          <t>2025-01-12</t>
        </is>
      </c>
      <c r="F4968" s="53">
        <v>1.4</v>
      </c>
      <c r="G4968" s="53">
        <v>0</v>
      </c>
      <c r="H4968" s="51" t="str">
        <f>TEXT(tblLaborEntries[[#This Row],[Work date serial]]-WEEKDAY(tblLaborEntries[[#This Row],[Work date serial]],3),"yyyy-mm-dd")</f>
        <v>2025-01-06</v>
      </c>
      <c r="I4968" s="64">
        <f>DATEVALUE(tblLaborEntries[[#This Row],[Work date]])</f>
        <v>45669.0</v>
      </c>
    </row>
    <row r="4969" spans="1:9" ht="15" x14ac:dyDescent="0.25">
      <c r="A4969" s="53" t="inlineStr">
        <is>
          <t>LAB-004968</t>
        </is>
      </c>
      <c r="B4969" s="53" t="inlineStr">
        <is>
          <t>WP-02185</t>
        </is>
      </c>
      <c r="C4969" s="53" t="inlineStr">
        <is>
          <t>TECH-055</t>
        </is>
      </c>
      <c r="D4969" s="53" t="inlineStr">
        <is>
          <t>Airframe</t>
        </is>
      </c>
      <c r="E4969" s="53" t="inlineStr">
        <is>
          <t>2025-01-13</t>
        </is>
      </c>
      <c r="F4969" s="53">
        <v>1.8</v>
      </c>
      <c r="G4969" s="53">
        <v>0</v>
      </c>
      <c r="H4969" s="51" t="str">
        <f>TEXT(tblLaborEntries[[#This Row],[Work date serial]]-WEEKDAY(tblLaborEntries[[#This Row],[Work date serial]],3),"yyyy-mm-dd")</f>
        <v>2025-01-13</v>
      </c>
      <c r="I4969" s="64">
        <f>DATEVALUE(tblLaborEntries[[#This Row],[Work date]])</f>
        <v>45670.0</v>
      </c>
    </row>
    <row r="4970" spans="1:9" ht="15" x14ac:dyDescent="0.25">
      <c r="A4970" s="53" t="inlineStr">
        <is>
          <t>LAB-004969</t>
        </is>
      </c>
      <c r="B4970" s="53" t="inlineStr">
        <is>
          <t>WP-02185</t>
        </is>
      </c>
      <c r="C4970" s="53" t="inlineStr">
        <is>
          <t>TECH-007</t>
        </is>
      </c>
      <c r="D4970" s="53" t="inlineStr">
        <is>
          <t>Airframe</t>
        </is>
      </c>
      <c r="E4970" s="53" t="inlineStr">
        <is>
          <t>2025-01-14</t>
        </is>
      </c>
      <c r="F4970" s="53">
        <v>2.3</v>
      </c>
      <c r="G4970" s="53">
        <v>0</v>
      </c>
      <c r="H4970" s="51" t="str">
        <f>TEXT(tblLaborEntries[[#This Row],[Work date serial]]-WEEKDAY(tblLaborEntries[[#This Row],[Work date serial]],3),"yyyy-mm-dd")</f>
        <v>2025-01-13</v>
      </c>
      <c r="I4970" s="64">
        <f>DATEVALUE(tblLaborEntries[[#This Row],[Work date]])</f>
        <v>45671.0</v>
      </c>
    </row>
    <row r="4971" spans="1:9" ht="15" x14ac:dyDescent="0.25">
      <c r="A4971" s="53" t="inlineStr">
        <is>
          <t>LAB-004970</t>
        </is>
      </c>
      <c r="B4971" s="53" t="inlineStr">
        <is>
          <t>WP-02186</t>
        </is>
      </c>
      <c r="C4971" s="53" t="inlineStr">
        <is>
          <t>TECH-006</t>
        </is>
      </c>
      <c r="D4971" s="53" t="inlineStr">
        <is>
          <t>Powerplant</t>
        </is>
      </c>
      <c r="E4971" s="53" t="inlineStr">
        <is>
          <t>2025-05-07</t>
        </is>
      </c>
      <c r="F4971" s="53">
        <v>6.8</v>
      </c>
      <c r="G4971" s="53">
        <v>0</v>
      </c>
      <c r="H4971" s="51" t="str">
        <f>TEXT(tblLaborEntries[[#This Row],[Work date serial]]-WEEKDAY(tblLaborEntries[[#This Row],[Work date serial]],3),"yyyy-mm-dd")</f>
        <v>2025-05-05</v>
      </c>
      <c r="I4971" s="64">
        <f>DATEVALUE(tblLaborEntries[[#This Row],[Work date]])</f>
        <v>45784.0</v>
      </c>
    </row>
    <row r="4972" spans="1:9" ht="15" x14ac:dyDescent="0.25">
      <c r="A4972" s="53" t="inlineStr">
        <is>
          <t>LAB-004971</t>
        </is>
      </c>
      <c r="B4972" s="53" t="inlineStr">
        <is>
          <t>WP-02186</t>
        </is>
      </c>
      <c r="C4972" s="53" t="inlineStr">
        <is>
          <t>TECH-042</t>
        </is>
      </c>
      <c r="D4972" s="53" t="inlineStr">
        <is>
          <t>Powerplant</t>
        </is>
      </c>
      <c r="E4972" s="53" t="inlineStr">
        <is>
          <t>2025-05-08</t>
        </is>
      </c>
      <c r="F4972" s="53">
        <v>4.9</v>
      </c>
      <c r="G4972" s="53">
        <v>0</v>
      </c>
      <c r="H4972" s="51" t="str">
        <f>TEXT(tblLaborEntries[[#This Row],[Work date serial]]-WEEKDAY(tblLaborEntries[[#This Row],[Work date serial]],3),"yyyy-mm-dd")</f>
        <v>2025-05-05</v>
      </c>
      <c r="I4972" s="64">
        <f>DATEVALUE(tblLaborEntries[[#This Row],[Work date]])</f>
        <v>45785.0</v>
      </c>
    </row>
    <row r="4973" spans="1:9" ht="15" x14ac:dyDescent="0.25">
      <c r="A4973" s="53" t="inlineStr">
        <is>
          <t>LAB-004972</t>
        </is>
      </c>
      <c r="B4973" s="53" t="inlineStr">
        <is>
          <t>WP-02187</t>
        </is>
      </c>
      <c r="C4973" s="53" t="inlineStr">
        <is>
          <t>TECH-032</t>
        </is>
      </c>
      <c r="D4973" s="53" t="inlineStr">
        <is>
          <t>Avionics</t>
        </is>
      </c>
      <c r="E4973" s="53" t="inlineStr">
        <is>
          <t>2024-05-10</t>
        </is>
      </c>
      <c r="F4973" s="53">
        <v>3.6</v>
      </c>
      <c r="G4973" s="53">
        <v>0</v>
      </c>
      <c r="H4973" s="51" t="str">
        <f>TEXT(tblLaborEntries[[#This Row],[Work date serial]]-WEEKDAY(tblLaborEntries[[#This Row],[Work date serial]],3),"yyyy-mm-dd")</f>
        <v>2024-05-06</v>
      </c>
      <c r="I4973" s="64">
        <f>DATEVALUE(tblLaborEntries[[#This Row],[Work date]])</f>
        <v>45422.0</v>
      </c>
    </row>
    <row r="4974" spans="1:9" ht="15" x14ac:dyDescent="0.25">
      <c r="A4974" s="53" t="inlineStr">
        <is>
          <t>LAB-004973</t>
        </is>
      </c>
      <c r="B4974" s="53" t="inlineStr">
        <is>
          <t>WP-02187</t>
        </is>
      </c>
      <c r="C4974" s="53" t="inlineStr">
        <is>
          <t>TECH-026</t>
        </is>
      </c>
      <c r="D4974" s="53" t="inlineStr">
        <is>
          <t>Avionics</t>
        </is>
      </c>
      <c r="E4974" s="53" t="inlineStr">
        <is>
          <t>2024-05-11</t>
        </is>
      </c>
      <c r="F4974" s="53">
        <v>3.4</v>
      </c>
      <c r="G4974" s="53">
        <v>0</v>
      </c>
      <c r="H4974" s="51" t="str">
        <f>TEXT(tblLaborEntries[[#This Row],[Work date serial]]-WEEKDAY(tblLaborEntries[[#This Row],[Work date serial]],3),"yyyy-mm-dd")</f>
        <v>2024-05-06</v>
      </c>
      <c r="I4974" s="64">
        <f>DATEVALUE(tblLaborEntries[[#This Row],[Work date]])</f>
        <v>45423.0</v>
      </c>
    </row>
    <row r="4975" spans="1:9" ht="15" x14ac:dyDescent="0.25">
      <c r="A4975" s="53" t="inlineStr">
        <is>
          <t>LAB-004974</t>
        </is>
      </c>
      <c r="B4975" s="53" t="inlineStr">
        <is>
          <t>WP-02188</t>
        </is>
      </c>
      <c r="C4975" s="53" t="inlineStr">
        <is>
          <t>TECH-019</t>
        </is>
      </c>
      <c r="D4975" s="53" t="inlineStr">
        <is>
          <t>Airframe</t>
        </is>
      </c>
      <c r="E4975" s="53" t="inlineStr">
        <is>
          <t>2025-03-08</t>
        </is>
      </c>
      <c r="F4975" s="53">
        <v>8.3</v>
      </c>
      <c r="G4975" s="53">
        <v>0.3</v>
      </c>
      <c r="H4975" s="51" t="str">
        <f>TEXT(tblLaborEntries[[#This Row],[Work date serial]]-WEEKDAY(tblLaborEntries[[#This Row],[Work date serial]],3),"yyyy-mm-dd")</f>
        <v>2025-03-03</v>
      </c>
      <c r="I4975" s="64">
        <f>DATEVALUE(tblLaborEntries[[#This Row],[Work date]])</f>
        <v>45724.0</v>
      </c>
    </row>
    <row r="4976" spans="1:9" ht="15" x14ac:dyDescent="0.25">
      <c r="A4976" s="53" t="inlineStr">
        <is>
          <t>LAB-004975</t>
        </is>
      </c>
      <c r="B4976" s="53" t="inlineStr">
        <is>
          <t>WP-02188</t>
        </is>
      </c>
      <c r="C4976" s="53" t="inlineStr">
        <is>
          <t>TECH-061</t>
        </is>
      </c>
      <c r="D4976" s="53" t="inlineStr">
        <is>
          <t>Airframe</t>
        </is>
      </c>
      <c r="E4976" s="53" t="inlineStr">
        <is>
          <t>2025-03-09</t>
        </is>
      </c>
      <c r="F4976" s="53">
        <v>11.1</v>
      </c>
      <c r="G4976" s="53">
        <v>3.1</v>
      </c>
      <c r="H4976" s="51" t="str">
        <f>TEXT(tblLaborEntries[[#This Row],[Work date serial]]-WEEKDAY(tblLaborEntries[[#This Row],[Work date serial]],3),"yyyy-mm-dd")</f>
        <v>2025-03-03</v>
      </c>
      <c r="I4976" s="64">
        <f>DATEVALUE(tblLaborEntries[[#This Row],[Work date]])</f>
        <v>45725.0</v>
      </c>
    </row>
    <row r="4977" spans="1:9" ht="15" x14ac:dyDescent="0.25">
      <c r="A4977" s="53" t="inlineStr">
        <is>
          <t>LAB-004976</t>
        </is>
      </c>
      <c r="B4977" s="53" t="inlineStr">
        <is>
          <t>WP-02189</t>
        </is>
      </c>
      <c r="C4977" s="53" t="inlineStr">
        <is>
          <t>TECH-043</t>
        </is>
      </c>
      <c r="D4977" s="53" t="inlineStr">
        <is>
          <t>Airframe</t>
        </is>
      </c>
      <c r="E4977" s="53" t="inlineStr">
        <is>
          <t>2025-09-28</t>
        </is>
      </c>
      <c r="F4977" s="53">
        <v>2.9</v>
      </c>
      <c r="G4977" s="53">
        <v>0</v>
      </c>
      <c r="H4977" s="51" t="str">
        <f>TEXT(tblLaborEntries[[#This Row],[Work date serial]]-WEEKDAY(tblLaborEntries[[#This Row],[Work date serial]],3),"yyyy-mm-dd")</f>
        <v>2025-09-22</v>
      </c>
      <c r="I4977" s="64">
        <f>DATEVALUE(tblLaborEntries[[#This Row],[Work date]])</f>
        <v>45928.0</v>
      </c>
    </row>
    <row r="4978" spans="1:9" ht="15" x14ac:dyDescent="0.25">
      <c r="A4978" s="53" t="inlineStr">
        <is>
          <t>LAB-004977</t>
        </is>
      </c>
      <c r="B4978" s="53" t="inlineStr">
        <is>
          <t>WP-02189</t>
        </is>
      </c>
      <c r="C4978" s="53" t="inlineStr">
        <is>
          <t>TECH-007</t>
        </is>
      </c>
      <c r="D4978" s="53" t="inlineStr">
        <is>
          <t>Airframe</t>
        </is>
      </c>
      <c r="E4978" s="53" t="inlineStr">
        <is>
          <t>2025-09-29</t>
        </is>
      </c>
      <c r="F4978" s="53">
        <v>2.9</v>
      </c>
      <c r="G4978" s="53">
        <v>0</v>
      </c>
      <c r="H4978" s="51" t="str">
        <f>TEXT(tblLaborEntries[[#This Row],[Work date serial]]-WEEKDAY(tblLaborEntries[[#This Row],[Work date serial]],3),"yyyy-mm-dd")</f>
        <v>2025-09-29</v>
      </c>
      <c r="I4978" s="64">
        <f>DATEVALUE(tblLaborEntries[[#This Row],[Work date]])</f>
        <v>45929.0</v>
      </c>
    </row>
    <row r="4979" spans="1:9" ht="15" x14ac:dyDescent="0.25">
      <c r="A4979" s="53" t="inlineStr">
        <is>
          <t>LAB-004978</t>
        </is>
      </c>
      <c r="B4979" s="53" t="inlineStr">
        <is>
          <t>WP-02190</t>
        </is>
      </c>
      <c r="C4979" s="53" t="inlineStr">
        <is>
          <t>TECH-031</t>
        </is>
      </c>
      <c r="D4979" s="53" t="inlineStr">
        <is>
          <t>Airframe</t>
        </is>
      </c>
      <c r="E4979" s="53" t="inlineStr">
        <is>
          <t>2025-07-03</t>
        </is>
      </c>
      <c r="F4979" s="53">
        <v>6.8</v>
      </c>
      <c r="G4979" s="53">
        <v>0</v>
      </c>
      <c r="H4979" s="51" t="str">
        <f>TEXT(tblLaborEntries[[#This Row],[Work date serial]]-WEEKDAY(tblLaborEntries[[#This Row],[Work date serial]],3),"yyyy-mm-dd")</f>
        <v>2025-06-30</v>
      </c>
      <c r="I4979" s="64">
        <f>DATEVALUE(tblLaborEntries[[#This Row],[Work date]])</f>
        <v>45841.0</v>
      </c>
    </row>
    <row r="4980" spans="1:9" ht="15" x14ac:dyDescent="0.25">
      <c r="A4980" s="53" t="inlineStr">
        <is>
          <t>LAB-004979</t>
        </is>
      </c>
      <c r="B4980" s="53" t="inlineStr">
        <is>
          <t>WP-02191</t>
        </is>
      </c>
      <c r="C4980" s="53" t="inlineStr">
        <is>
          <t>TECH-001</t>
        </is>
      </c>
      <c r="D4980" s="53" t="inlineStr">
        <is>
          <t>Airframe</t>
        </is>
      </c>
      <c r="E4980" s="53" t="inlineStr">
        <is>
          <t>2025-10-22</t>
        </is>
      </c>
      <c r="F4980" s="53">
        <v>4.9</v>
      </c>
      <c r="G4980" s="53">
        <v>0</v>
      </c>
      <c r="H4980" s="51" t="str">
        <f>TEXT(tblLaborEntries[[#This Row],[Work date serial]]-WEEKDAY(tblLaborEntries[[#This Row],[Work date serial]],3),"yyyy-mm-dd")</f>
        <v>2025-10-20</v>
      </c>
      <c r="I4980" s="64">
        <f>DATEVALUE(tblLaborEntries[[#This Row],[Work date]])</f>
        <v>45952.0</v>
      </c>
    </row>
    <row r="4981" spans="1:9" ht="15" x14ac:dyDescent="0.25">
      <c r="A4981" s="53" t="inlineStr">
        <is>
          <t>LAB-004980</t>
        </is>
      </c>
      <c r="B4981" s="53" t="inlineStr">
        <is>
          <t>WP-02191</t>
        </is>
      </c>
      <c r="C4981" s="53" t="inlineStr">
        <is>
          <t>TECH-013</t>
        </is>
      </c>
      <c r="D4981" s="53" t="inlineStr">
        <is>
          <t>Airframe</t>
        </is>
      </c>
      <c r="E4981" s="53" t="inlineStr">
        <is>
          <t>2025-10-23</t>
        </is>
      </c>
      <c r="F4981" s="53">
        <v>5.6</v>
      </c>
      <c r="G4981" s="53">
        <v>0</v>
      </c>
      <c r="H4981" s="51" t="str">
        <f>TEXT(tblLaborEntries[[#This Row],[Work date serial]]-WEEKDAY(tblLaborEntries[[#This Row],[Work date serial]],3),"yyyy-mm-dd")</f>
        <v>2025-10-20</v>
      </c>
      <c r="I4981" s="64">
        <f>DATEVALUE(tblLaborEntries[[#This Row],[Work date]])</f>
        <v>45953.0</v>
      </c>
    </row>
    <row r="4982" spans="1:9" ht="15" x14ac:dyDescent="0.25">
      <c r="A4982" s="53" t="inlineStr">
        <is>
          <t>LAB-004981</t>
        </is>
      </c>
      <c r="B4982" s="53" t="inlineStr">
        <is>
          <t>WP-02192</t>
        </is>
      </c>
      <c r="C4982" s="53" t="inlineStr">
        <is>
          <t>TECH-039</t>
        </is>
      </c>
      <c r="D4982" s="53" t="inlineStr">
        <is>
          <t>Hydraulics</t>
        </is>
      </c>
      <c r="E4982" s="53" t="inlineStr">
        <is>
          <t>2025-07-24</t>
        </is>
      </c>
      <c r="F4982" s="53">
        <v>7.9</v>
      </c>
      <c r="G4982" s="53">
        <v>0</v>
      </c>
      <c r="H4982" s="51" t="str">
        <f>TEXT(tblLaborEntries[[#This Row],[Work date serial]]-WEEKDAY(tblLaborEntries[[#This Row],[Work date serial]],3),"yyyy-mm-dd")</f>
        <v>2025-07-21</v>
      </c>
      <c r="I4982" s="64">
        <f>DATEVALUE(tblLaborEntries[[#This Row],[Work date]])</f>
        <v>45862.0</v>
      </c>
    </row>
    <row r="4983" spans="1:9" ht="15" x14ac:dyDescent="0.25">
      <c r="A4983" s="53" t="inlineStr">
        <is>
          <t>LAB-004982</t>
        </is>
      </c>
      <c r="B4983" s="53" t="inlineStr">
        <is>
          <t>WP-02192</t>
        </is>
      </c>
      <c r="C4983" s="53" t="inlineStr">
        <is>
          <t>TECH-057</t>
        </is>
      </c>
      <c r="D4983" s="53" t="inlineStr">
        <is>
          <t>Hydraulics</t>
        </is>
      </c>
      <c r="E4983" s="53" t="inlineStr">
        <is>
          <t>2025-07-25</t>
        </is>
      </c>
      <c r="F4983" s="53">
        <v>9.4</v>
      </c>
      <c r="G4983" s="53">
        <v>1.4</v>
      </c>
      <c r="H4983" s="51" t="str">
        <f>TEXT(tblLaborEntries[[#This Row],[Work date serial]]-WEEKDAY(tblLaborEntries[[#This Row],[Work date serial]],3),"yyyy-mm-dd")</f>
        <v>2025-07-21</v>
      </c>
      <c r="I4983" s="64">
        <f>DATEVALUE(tblLaborEntries[[#This Row],[Work date]])</f>
        <v>45863.0</v>
      </c>
    </row>
    <row r="4984" spans="1:9" ht="15" x14ac:dyDescent="0.25">
      <c r="A4984" s="53" t="inlineStr">
        <is>
          <t>LAB-004983</t>
        </is>
      </c>
      <c r="B4984" s="53" t="inlineStr">
        <is>
          <t>WP-02192</t>
        </is>
      </c>
      <c r="C4984" s="53" t="inlineStr">
        <is>
          <t>TECH-051</t>
        </is>
      </c>
      <c r="D4984" s="53" t="inlineStr">
        <is>
          <t>Hydraulics</t>
        </is>
      </c>
      <c r="E4984" s="53" t="inlineStr">
        <is>
          <t>2025-07-26</t>
        </is>
      </c>
      <c r="F4984" s="53">
        <v>11.6</v>
      </c>
      <c r="G4984" s="53">
        <v>3.6</v>
      </c>
      <c r="H4984" s="51" t="str">
        <f>TEXT(tblLaborEntries[[#This Row],[Work date serial]]-WEEKDAY(tblLaborEntries[[#This Row],[Work date serial]],3),"yyyy-mm-dd")</f>
        <v>2025-07-21</v>
      </c>
      <c r="I4984" s="64">
        <f>DATEVALUE(tblLaborEntries[[#This Row],[Work date]])</f>
        <v>45864.0</v>
      </c>
    </row>
    <row r="4985" spans="1:9" ht="15" x14ac:dyDescent="0.25">
      <c r="A4985" s="53" t="inlineStr">
        <is>
          <t>LAB-004984</t>
        </is>
      </c>
      <c r="B4985" s="53" t="inlineStr">
        <is>
          <t>WP-02193</t>
        </is>
      </c>
      <c r="C4985" s="53" t="inlineStr">
        <is>
          <t>TECH-037</t>
        </is>
      </c>
      <c r="D4985" s="53" t="inlineStr">
        <is>
          <t>Airframe</t>
        </is>
      </c>
      <c r="E4985" s="53" t="inlineStr">
        <is>
          <t>2025-12-13</t>
        </is>
      </c>
      <c r="F4985" s="53">
        <v>7.4</v>
      </c>
      <c r="G4985" s="53">
        <v>0</v>
      </c>
      <c r="H4985" s="51" t="str">
        <f>TEXT(tblLaborEntries[[#This Row],[Work date serial]]-WEEKDAY(tblLaborEntries[[#This Row],[Work date serial]],3),"yyyy-mm-dd")</f>
        <v>2025-12-08</v>
      </c>
      <c r="I4985" s="64">
        <f>DATEVALUE(tblLaborEntries[[#This Row],[Work date]])</f>
        <v>46004.0</v>
      </c>
    </row>
    <row r="4986" spans="1:9" ht="15" x14ac:dyDescent="0.25">
      <c r="A4986" s="53" t="inlineStr">
        <is>
          <t>LAB-004985</t>
        </is>
      </c>
      <c r="B4986" s="53" t="inlineStr">
        <is>
          <t>WP-02194</t>
        </is>
      </c>
      <c r="C4986" s="53" t="inlineStr">
        <is>
          <t>TECH-004</t>
        </is>
      </c>
      <c r="D4986" s="53" t="inlineStr">
        <is>
          <t>Electrical</t>
        </is>
      </c>
      <c r="E4986" s="53" t="inlineStr">
        <is>
          <t>2025-03-27</t>
        </is>
      </c>
      <c r="F4986" s="53">
        <v>2.6</v>
      </c>
      <c r="G4986" s="53">
        <v>0</v>
      </c>
      <c r="H4986" s="51" t="str">
        <f>TEXT(tblLaborEntries[[#This Row],[Work date serial]]-WEEKDAY(tblLaborEntries[[#This Row],[Work date serial]],3),"yyyy-mm-dd")</f>
        <v>2025-03-24</v>
      </c>
      <c r="I4986" s="64">
        <f>DATEVALUE(tblLaborEntries[[#This Row],[Work date]])</f>
        <v>45743.0</v>
      </c>
    </row>
    <row r="4987" spans="1:9" ht="15" x14ac:dyDescent="0.25">
      <c r="A4987" s="53" t="inlineStr">
        <is>
          <t>LAB-004986</t>
        </is>
      </c>
      <c r="B4987" s="53" t="inlineStr">
        <is>
          <t>WP-02194</t>
        </is>
      </c>
      <c r="C4987" s="53" t="inlineStr">
        <is>
          <t>TECH-064</t>
        </is>
      </c>
      <c r="D4987" s="53" t="inlineStr">
        <is>
          <t>Electrical</t>
        </is>
      </c>
      <c r="E4987" s="53" t="inlineStr">
        <is>
          <t>2025-03-27</t>
        </is>
      </c>
      <c r="F4987" s="53">
        <v>12</v>
      </c>
      <c r="G4987" s="53">
        <v>4</v>
      </c>
      <c r="H4987" s="51" t="str">
        <f>TEXT(tblLaborEntries[[#This Row],[Work date serial]]-WEEKDAY(tblLaborEntries[[#This Row],[Work date serial]],3),"yyyy-mm-dd")</f>
        <v>2025-03-24</v>
      </c>
      <c r="I4987" s="64">
        <f>DATEVALUE(tblLaborEntries[[#This Row],[Work date]])</f>
        <v>45743.0</v>
      </c>
    </row>
    <row r="4988" spans="1:9" ht="15" x14ac:dyDescent="0.25">
      <c r="A4988" s="53" t="inlineStr">
        <is>
          <t>LAB-004987</t>
        </is>
      </c>
      <c r="B4988" s="53" t="inlineStr">
        <is>
          <t>WP-02194</t>
        </is>
      </c>
      <c r="C4988" s="53" t="inlineStr">
        <is>
          <t>TECH-046</t>
        </is>
      </c>
      <c r="D4988" s="53" t="inlineStr">
        <is>
          <t>Electrical</t>
        </is>
      </c>
      <c r="E4988" s="53" t="inlineStr">
        <is>
          <t>2025-03-28</t>
        </is>
      </c>
      <c r="F4988" s="53">
        <v>10.9</v>
      </c>
      <c r="G4988" s="53">
        <v>2.9</v>
      </c>
      <c r="H4988" s="51" t="str">
        <f>TEXT(tblLaborEntries[[#This Row],[Work date serial]]-WEEKDAY(tblLaborEntries[[#This Row],[Work date serial]],3),"yyyy-mm-dd")</f>
        <v>2025-03-24</v>
      </c>
      <c r="I4988" s="64">
        <f>DATEVALUE(tblLaborEntries[[#This Row],[Work date]])</f>
        <v>45744.0</v>
      </c>
    </row>
    <row r="4989" spans="1:9" ht="15" x14ac:dyDescent="0.25">
      <c r="A4989" s="53" t="inlineStr">
        <is>
          <t>LAB-004988</t>
        </is>
      </c>
      <c r="B4989" s="53" t="inlineStr">
        <is>
          <t>WP-02195</t>
        </is>
      </c>
      <c r="C4989" s="53" t="inlineStr">
        <is>
          <t>TECH-060</t>
        </is>
      </c>
      <c r="D4989" s="53" t="inlineStr">
        <is>
          <t>Powerplant</t>
        </is>
      </c>
      <c r="E4989" s="53" t="inlineStr">
        <is>
          <t>2024-07-30</t>
        </is>
      </c>
      <c r="F4989" s="53">
        <v>6.9</v>
      </c>
      <c r="G4989" s="53">
        <v>0</v>
      </c>
      <c r="H4989" s="51" t="str">
        <f>TEXT(tblLaborEntries[[#This Row],[Work date serial]]-WEEKDAY(tblLaborEntries[[#This Row],[Work date serial]],3),"yyyy-mm-dd")</f>
        <v>2024-07-29</v>
      </c>
      <c r="I4989" s="64">
        <f>DATEVALUE(tblLaborEntries[[#This Row],[Work date]])</f>
        <v>45503.0</v>
      </c>
    </row>
    <row r="4990" spans="1:9" ht="15" x14ac:dyDescent="0.25">
      <c r="A4990" s="53" t="inlineStr">
        <is>
          <t>LAB-004989</t>
        </is>
      </c>
      <c r="B4990" s="53" t="inlineStr">
        <is>
          <t>WP-02195</t>
        </is>
      </c>
      <c r="C4990" s="53" t="inlineStr">
        <is>
          <t>TECH-030</t>
        </is>
      </c>
      <c r="D4990" s="53" t="inlineStr">
        <is>
          <t>Powerplant</t>
        </is>
      </c>
      <c r="E4990" s="53" t="inlineStr">
        <is>
          <t>2024-07-31</t>
        </is>
      </c>
      <c r="F4990" s="53">
        <v>6.3</v>
      </c>
      <c r="G4990" s="53">
        <v>0</v>
      </c>
      <c r="H4990" s="51" t="str">
        <f>TEXT(tblLaborEntries[[#This Row],[Work date serial]]-WEEKDAY(tblLaborEntries[[#This Row],[Work date serial]],3),"yyyy-mm-dd")</f>
        <v>2024-07-29</v>
      </c>
      <c r="I4990" s="64">
        <f>DATEVALUE(tblLaborEntries[[#This Row],[Work date]])</f>
        <v>45504.0</v>
      </c>
    </row>
    <row r="4991" spans="1:9" ht="15" x14ac:dyDescent="0.25">
      <c r="A4991" s="53" t="inlineStr">
        <is>
          <t>LAB-004990</t>
        </is>
      </c>
      <c r="B4991" s="53" t="inlineStr">
        <is>
          <t>WP-02195</t>
        </is>
      </c>
      <c r="C4991" s="53" t="inlineStr">
        <is>
          <t>TECH-066</t>
        </is>
      </c>
      <c r="D4991" s="53" t="inlineStr">
        <is>
          <t>Powerplant</t>
        </is>
      </c>
      <c r="E4991" s="53" t="inlineStr">
        <is>
          <t>2024-08-01</t>
        </is>
      </c>
      <c r="F4991" s="53">
        <v>7.9</v>
      </c>
      <c r="G4991" s="53">
        <v>0</v>
      </c>
      <c r="H4991" s="51" t="str">
        <f>TEXT(tblLaborEntries[[#This Row],[Work date serial]]-WEEKDAY(tblLaborEntries[[#This Row],[Work date serial]],3),"yyyy-mm-dd")</f>
        <v>2024-07-29</v>
      </c>
      <c r="I4991" s="64">
        <f>DATEVALUE(tblLaborEntries[[#This Row],[Work date]])</f>
        <v>45505.0</v>
      </c>
    </row>
    <row r="4992" spans="1:9" ht="15" x14ac:dyDescent="0.25">
      <c r="A4992" s="53" t="inlineStr">
        <is>
          <t>LAB-004991</t>
        </is>
      </c>
      <c r="B4992" s="53" t="inlineStr">
        <is>
          <t>WP-02196</t>
        </is>
      </c>
      <c r="C4992" s="53" t="inlineStr">
        <is>
          <t>TECH-074</t>
        </is>
      </c>
      <c r="D4992" s="53" t="inlineStr">
        <is>
          <t>Avionics</t>
        </is>
      </c>
      <c r="E4992" s="53" t="inlineStr">
        <is>
          <t>2025-04-03</t>
        </is>
      </c>
      <c r="F4992" s="53">
        <v>1.3</v>
      </c>
      <c r="G4992" s="53">
        <v>0</v>
      </c>
      <c r="H4992" s="51" t="str">
        <f>TEXT(tblLaborEntries[[#This Row],[Work date serial]]-WEEKDAY(tblLaborEntries[[#This Row],[Work date serial]],3),"yyyy-mm-dd")</f>
        <v>2025-03-31</v>
      </c>
      <c r="I4992" s="64">
        <f>DATEVALUE(tblLaborEntries[[#This Row],[Work date]])</f>
        <v>45750.0</v>
      </c>
    </row>
    <row r="4993" spans="1:9" ht="15" x14ac:dyDescent="0.25">
      <c r="A4993" s="53" t="inlineStr">
        <is>
          <t>LAB-004992</t>
        </is>
      </c>
      <c r="B4993" s="53" t="inlineStr">
        <is>
          <t>WP-02196</t>
        </is>
      </c>
      <c r="C4993" s="53" t="inlineStr">
        <is>
          <t>TECH-020</t>
        </is>
      </c>
      <c r="D4993" s="53" t="inlineStr">
        <is>
          <t>Avionics</t>
        </is>
      </c>
      <c r="E4993" s="53" t="inlineStr">
        <is>
          <t>2025-04-04</t>
        </is>
      </c>
      <c r="F4993" s="53">
        <v>1.1</v>
      </c>
      <c r="G4993" s="53">
        <v>0</v>
      </c>
      <c r="H4993" s="51" t="str">
        <f>TEXT(tblLaborEntries[[#This Row],[Work date serial]]-WEEKDAY(tblLaborEntries[[#This Row],[Work date serial]],3),"yyyy-mm-dd")</f>
        <v>2025-03-31</v>
      </c>
      <c r="I4993" s="64">
        <f>DATEVALUE(tblLaborEntries[[#This Row],[Work date]])</f>
        <v>45751.0</v>
      </c>
    </row>
    <row r="4994" spans="1:9" ht="15" x14ac:dyDescent="0.25">
      <c r="A4994" s="53" t="inlineStr">
        <is>
          <t>LAB-004993</t>
        </is>
      </c>
      <c r="B4994" s="53" t="inlineStr">
        <is>
          <t>WP-02196</t>
        </is>
      </c>
      <c r="C4994" s="53" t="inlineStr">
        <is>
          <t>TECH-056</t>
        </is>
      </c>
      <c r="D4994" s="53" t="inlineStr">
        <is>
          <t>Avionics</t>
        </is>
      </c>
      <c r="E4994" s="53" t="inlineStr">
        <is>
          <t>2025-04-05</t>
        </is>
      </c>
      <c r="F4994" s="53">
        <v>1.6</v>
      </c>
      <c r="G4994" s="53">
        <v>0</v>
      </c>
      <c r="H4994" s="51" t="str">
        <f>TEXT(tblLaborEntries[[#This Row],[Work date serial]]-WEEKDAY(tblLaborEntries[[#This Row],[Work date serial]],3),"yyyy-mm-dd")</f>
        <v>2025-03-31</v>
      </c>
      <c r="I4994" s="64">
        <f>DATEVALUE(tblLaborEntries[[#This Row],[Work date]])</f>
        <v>45752.0</v>
      </c>
    </row>
    <row r="4995" spans="1:9" ht="15" x14ac:dyDescent="0.25">
      <c r="A4995" s="53" t="inlineStr">
        <is>
          <t>LAB-004994</t>
        </is>
      </c>
      <c r="B4995" s="53" t="inlineStr">
        <is>
          <t>WP-02197</t>
        </is>
      </c>
      <c r="C4995" s="53" t="inlineStr">
        <is>
          <t>TECH-030</t>
        </is>
      </c>
      <c r="D4995" s="53" t="inlineStr">
        <is>
          <t>Powerplant</t>
        </is>
      </c>
      <c r="E4995" s="53" t="inlineStr">
        <is>
          <t>2024-06-05</t>
        </is>
      </c>
      <c r="F4995" s="53">
        <v>7.5</v>
      </c>
      <c r="G4995" s="53">
        <v>0</v>
      </c>
      <c r="H4995" s="51" t="str">
        <f>TEXT(tblLaborEntries[[#This Row],[Work date serial]]-WEEKDAY(tblLaborEntries[[#This Row],[Work date serial]],3),"yyyy-mm-dd")</f>
        <v>2024-06-03</v>
      </c>
      <c r="I4995" s="64">
        <f>DATEVALUE(tblLaborEntries[[#This Row],[Work date]])</f>
        <v>45448.0</v>
      </c>
    </row>
    <row r="4996" spans="1:9" ht="15" x14ac:dyDescent="0.25">
      <c r="A4996" s="53" t="inlineStr">
        <is>
          <t>LAB-004995</t>
        </is>
      </c>
      <c r="B4996" s="53" t="inlineStr">
        <is>
          <t>WP-02197</t>
        </is>
      </c>
      <c r="C4996" s="53" t="inlineStr">
        <is>
          <t>TECH-036</t>
        </is>
      </c>
      <c r="D4996" s="53" t="inlineStr">
        <is>
          <t>Powerplant</t>
        </is>
      </c>
      <c r="E4996" s="53" t="inlineStr">
        <is>
          <t>2024-06-06</t>
        </is>
      </c>
      <c r="F4996" s="53">
        <v>7.4</v>
      </c>
      <c r="G4996" s="53">
        <v>0</v>
      </c>
      <c r="H4996" s="51" t="str">
        <f>TEXT(tblLaborEntries[[#This Row],[Work date serial]]-WEEKDAY(tblLaborEntries[[#This Row],[Work date serial]],3),"yyyy-mm-dd")</f>
        <v>2024-06-03</v>
      </c>
      <c r="I4996" s="64">
        <f>DATEVALUE(tblLaborEntries[[#This Row],[Work date]])</f>
        <v>45449.0</v>
      </c>
    </row>
    <row r="4997" spans="1:9" ht="15" x14ac:dyDescent="0.25">
      <c r="A4997" s="53" t="inlineStr">
        <is>
          <t>LAB-004996</t>
        </is>
      </c>
      <c r="B4997" s="53" t="inlineStr">
        <is>
          <t>WP-02197</t>
        </is>
      </c>
      <c r="C4997" s="53" t="inlineStr">
        <is>
          <t>TECH-012</t>
        </is>
      </c>
      <c r="D4997" s="53" t="inlineStr">
        <is>
          <t>Powerplant</t>
        </is>
      </c>
      <c r="E4997" s="53" t="inlineStr">
        <is>
          <t>2024-06-07</t>
        </is>
      </c>
      <c r="F4997" s="53">
        <v>7</v>
      </c>
      <c r="G4997" s="53">
        <v>0</v>
      </c>
      <c r="H4997" s="51" t="str">
        <f>TEXT(tblLaborEntries[[#This Row],[Work date serial]]-WEEKDAY(tblLaborEntries[[#This Row],[Work date serial]],3),"yyyy-mm-dd")</f>
        <v>2024-06-03</v>
      </c>
      <c r="I4997" s="64">
        <f>DATEVALUE(tblLaborEntries[[#This Row],[Work date]])</f>
        <v>45450.0</v>
      </c>
    </row>
    <row r="4998" spans="1:9" ht="15" x14ac:dyDescent="0.25">
      <c r="A4998" s="53" t="inlineStr">
        <is>
          <t>LAB-004997</t>
        </is>
      </c>
      <c r="B4998" s="53" t="inlineStr">
        <is>
          <t>WP-02198</t>
        </is>
      </c>
      <c r="C4998" s="53" t="inlineStr">
        <is>
          <t>TECH-068</t>
        </is>
      </c>
      <c r="D4998" s="53" t="inlineStr">
        <is>
          <t>Avionics</t>
        </is>
      </c>
      <c r="E4998" s="53" t="inlineStr">
        <is>
          <t>2025-12-28</t>
        </is>
      </c>
      <c r="F4998" s="53">
        <v>2</v>
      </c>
      <c r="G4998" s="53">
        <v>0</v>
      </c>
      <c r="H4998" s="51" t="str">
        <f>TEXT(tblLaborEntries[[#This Row],[Work date serial]]-WEEKDAY(tblLaborEntries[[#This Row],[Work date serial]],3),"yyyy-mm-dd")</f>
        <v>2025-12-22</v>
      </c>
      <c r="I4998" s="64">
        <f>DATEVALUE(tblLaborEntries[[#This Row],[Work date]])</f>
        <v>46019.0</v>
      </c>
    </row>
    <row r="4999" spans="1:9" ht="15" x14ac:dyDescent="0.25">
      <c r="A4999" s="53" t="inlineStr">
        <is>
          <t>LAB-004998</t>
        </is>
      </c>
      <c r="B4999" s="53" t="inlineStr">
        <is>
          <t>WP-02198</t>
        </is>
      </c>
      <c r="C4999" s="53" t="inlineStr">
        <is>
          <t>TECH-056</t>
        </is>
      </c>
      <c r="D4999" s="53" t="inlineStr">
        <is>
          <t>Avionics</t>
        </is>
      </c>
      <c r="E4999" s="53" t="inlineStr">
        <is>
          <t>2025-12-29</t>
        </is>
      </c>
      <c r="F4999" s="53">
        <v>3.1</v>
      </c>
      <c r="G4999" s="53">
        <v>0</v>
      </c>
      <c r="H4999" s="51" t="str">
        <f>TEXT(tblLaborEntries[[#This Row],[Work date serial]]-WEEKDAY(tblLaborEntries[[#This Row],[Work date serial]],3),"yyyy-mm-dd")</f>
        <v>2025-12-29</v>
      </c>
      <c r="I4999" s="64">
        <f>DATEVALUE(tblLaborEntries[[#This Row],[Work date]])</f>
        <v>46020.0</v>
      </c>
    </row>
    <row r="5000" spans="1:9" ht="15" x14ac:dyDescent="0.25">
      <c r="A5000" s="53" t="inlineStr">
        <is>
          <t>LAB-004999</t>
        </is>
      </c>
      <c r="B5000" s="53" t="inlineStr">
        <is>
          <t>WP-02198</t>
        </is>
      </c>
      <c r="C5000" s="53" t="inlineStr">
        <is>
          <t>TECH-068</t>
        </is>
      </c>
      <c r="D5000" s="53" t="inlineStr">
        <is>
          <t>Avionics</t>
        </is>
      </c>
      <c r="E5000" s="53" t="inlineStr">
        <is>
          <t>2025-12-30</t>
        </is>
      </c>
      <c r="F5000" s="53">
        <v>2.2</v>
      </c>
      <c r="G5000" s="53">
        <v>0</v>
      </c>
      <c r="H5000" s="51" t="str">
        <f>TEXT(tblLaborEntries[[#This Row],[Work date serial]]-WEEKDAY(tblLaborEntries[[#This Row],[Work date serial]],3),"yyyy-mm-dd")</f>
        <v>2025-12-29</v>
      </c>
      <c r="I5000" s="64">
        <f>DATEVALUE(tblLaborEntries[[#This Row],[Work date]])</f>
        <v>46021.0</v>
      </c>
    </row>
    <row r="5001" spans="1:9" ht="15" x14ac:dyDescent="0.25">
      <c r="A5001" s="53" t="inlineStr">
        <is>
          <t>LAB-005000</t>
        </is>
      </c>
      <c r="B5001" s="53" t="inlineStr">
        <is>
          <t>WP-02199</t>
        </is>
      </c>
      <c r="C5001" s="53" t="inlineStr">
        <is>
          <t>TECH-026</t>
        </is>
      </c>
      <c r="D5001" s="53" t="inlineStr">
        <is>
          <t>Avionics</t>
        </is>
      </c>
      <c r="E5001" s="53" t="inlineStr">
        <is>
          <t>2024-03-29</t>
        </is>
      </c>
      <c r="F5001" s="53">
        <v>4</v>
      </c>
      <c r="G5001" s="53">
        <v>0</v>
      </c>
      <c r="H5001" s="51" t="str">
        <f>TEXT(tblLaborEntries[[#This Row],[Work date serial]]-WEEKDAY(tblLaborEntries[[#This Row],[Work date serial]],3),"yyyy-mm-dd")</f>
        <v>2024-03-25</v>
      </c>
      <c r="I5001" s="64">
        <f>DATEVALUE(tblLaborEntries[[#This Row],[Work date]])</f>
        <v>45380.0</v>
      </c>
    </row>
    <row r="5002" spans="1:9" ht="15" x14ac:dyDescent="0.25">
      <c r="A5002" s="53" t="inlineStr">
        <is>
          <t>LAB-005001</t>
        </is>
      </c>
      <c r="B5002" s="53" t="inlineStr">
        <is>
          <t>WP-02199</t>
        </is>
      </c>
      <c r="C5002" s="53" t="inlineStr">
        <is>
          <t>TECH-038</t>
        </is>
      </c>
      <c r="D5002" s="53" t="inlineStr">
        <is>
          <t>Avionics</t>
        </is>
      </c>
      <c r="E5002" s="53" t="inlineStr">
        <is>
          <t>2024-03-30</t>
        </is>
      </c>
      <c r="F5002" s="53">
        <v>3.5</v>
      </c>
      <c r="G5002" s="53">
        <v>0</v>
      </c>
      <c r="H5002" s="51" t="str">
        <f>TEXT(tblLaborEntries[[#This Row],[Work date serial]]-WEEKDAY(tblLaborEntries[[#This Row],[Work date serial]],3),"yyyy-mm-dd")</f>
        <v>2024-03-25</v>
      </c>
      <c r="I5002" s="64">
        <f>DATEVALUE(tblLaborEntries[[#This Row],[Work date]])</f>
        <v>45381.0</v>
      </c>
    </row>
    <row r="5003" spans="1:9" ht="15" x14ac:dyDescent="0.25">
      <c r="A5003" s="53" t="inlineStr">
        <is>
          <t>LAB-005002</t>
        </is>
      </c>
      <c r="B5003" s="53" t="inlineStr">
        <is>
          <t>WP-02200</t>
        </is>
      </c>
      <c r="C5003" s="53" t="inlineStr">
        <is>
          <t>TECH-005</t>
        </is>
      </c>
      <c r="D5003" s="53" t="inlineStr">
        <is>
          <t>Structures</t>
        </is>
      </c>
      <c r="E5003" s="53" t="inlineStr">
        <is>
          <t>2024-10-02</t>
        </is>
      </c>
      <c r="F5003" s="53">
        <v>0.1</v>
      </c>
      <c r="G5003" s="53">
        <v>0</v>
      </c>
      <c r="H5003" s="51" t="str">
        <f>TEXT(tblLaborEntries[[#This Row],[Work date serial]]-WEEKDAY(tblLaborEntries[[#This Row],[Work date serial]],3),"yyyy-mm-dd")</f>
        <v>2024-09-30</v>
      </c>
      <c r="I5003" s="64">
        <f>DATEVALUE(tblLaborEntries[[#This Row],[Work date]])</f>
        <v>45567.0</v>
      </c>
    </row>
    <row r="5004" spans="1:9" ht="15" x14ac:dyDescent="0.25">
      <c r="A5004" s="53" t="inlineStr">
        <is>
          <t>LAB-005003</t>
        </is>
      </c>
      <c r="B5004" s="53" t="inlineStr">
        <is>
          <t>WP-02200</t>
        </is>
      </c>
      <c r="C5004" s="53" t="inlineStr">
        <is>
          <t>TECH-065</t>
        </is>
      </c>
      <c r="D5004" s="53" t="inlineStr">
        <is>
          <t>Structures</t>
        </is>
      </c>
      <c r="E5004" s="53" t="inlineStr">
        <is>
          <t>2024-10-02</t>
        </is>
      </c>
      <c r="F5004" s="53">
        <v>12</v>
      </c>
      <c r="G5004" s="53">
        <v>4</v>
      </c>
      <c r="H5004" s="51" t="str">
        <f>TEXT(tblLaborEntries[[#This Row],[Work date serial]]-WEEKDAY(tblLaborEntries[[#This Row],[Work date serial]],3),"yyyy-mm-dd")</f>
        <v>2024-09-30</v>
      </c>
      <c r="I5004" s="64">
        <f>DATEVALUE(tblLaborEntries[[#This Row],[Work date]])</f>
        <v>45567.0</v>
      </c>
    </row>
    <row r="5005" spans="1:9" ht="15" x14ac:dyDescent="0.25">
      <c r="A5005" s="53" t="inlineStr">
        <is>
          <t>LAB-005004</t>
        </is>
      </c>
      <c r="B5005" s="53" t="inlineStr">
        <is>
          <t>WP-02200</t>
        </is>
      </c>
      <c r="C5005" s="53" t="inlineStr">
        <is>
          <t>TECH-005</t>
        </is>
      </c>
      <c r="D5005" s="53" t="inlineStr">
        <is>
          <t>Structures</t>
        </is>
      </c>
      <c r="E5005" s="53" t="inlineStr">
        <is>
          <t>2024-10-03</t>
        </is>
      </c>
      <c r="F5005" s="53">
        <v>3.3</v>
      </c>
      <c r="G5005" s="53">
        <v>0</v>
      </c>
      <c r="H5005" s="51" t="str">
        <f>TEXT(tblLaborEntries[[#This Row],[Work date serial]]-WEEKDAY(tblLaborEntries[[#This Row],[Work date serial]],3),"yyyy-mm-dd")</f>
        <v>2024-09-30</v>
      </c>
      <c r="I5005" s="64">
        <f>DATEVALUE(tblLaborEntries[[#This Row],[Work date]])</f>
        <v>45568.0</v>
      </c>
    </row>
    <row r="5006" spans="1:9" ht="15" x14ac:dyDescent="0.25">
      <c r="A5006" s="53" t="inlineStr">
        <is>
          <t>LAB-005005</t>
        </is>
      </c>
      <c r="B5006" s="53" t="inlineStr">
        <is>
          <t>WP-02200</t>
        </is>
      </c>
      <c r="C5006" s="53" t="inlineStr">
        <is>
          <t>TECH-017</t>
        </is>
      </c>
      <c r="D5006" s="53" t="inlineStr">
        <is>
          <t>Structures</t>
        </is>
      </c>
      <c r="E5006" s="53" t="inlineStr">
        <is>
          <t>2024-10-03</t>
        </is>
      </c>
      <c r="F5006" s="53">
        <v>12</v>
      </c>
      <c r="G5006" s="53">
        <v>4</v>
      </c>
      <c r="H5006" s="51" t="str">
        <f>TEXT(tblLaborEntries[[#This Row],[Work date serial]]-WEEKDAY(tblLaborEntries[[#This Row],[Work date serial]],3),"yyyy-mm-dd")</f>
        <v>2024-09-30</v>
      </c>
      <c r="I5006" s="64">
        <f>DATEVALUE(tblLaborEntries[[#This Row],[Work date]])</f>
        <v>45568.0</v>
      </c>
    </row>
    <row r="5007" spans="1:9" ht="15" x14ac:dyDescent="0.25">
      <c r="A5007" s="53" t="inlineStr">
        <is>
          <t>LAB-005006</t>
        </is>
      </c>
      <c r="B5007" s="53" t="inlineStr">
        <is>
          <t>WP-02201</t>
        </is>
      </c>
      <c r="C5007" s="53" t="inlineStr">
        <is>
          <t>TECH-032</t>
        </is>
      </c>
      <c r="D5007" s="53" t="inlineStr">
        <is>
          <t>Avionics</t>
        </is>
      </c>
      <c r="E5007" s="53" t="inlineStr">
        <is>
          <t>2025-01-08</t>
        </is>
      </c>
      <c r="F5007" s="53">
        <v>4.3</v>
      </c>
      <c r="G5007" s="53">
        <v>0</v>
      </c>
      <c r="H5007" s="51" t="str">
        <f>TEXT(tblLaborEntries[[#This Row],[Work date serial]]-WEEKDAY(tblLaborEntries[[#This Row],[Work date serial]],3),"yyyy-mm-dd")</f>
        <v>2025-01-06</v>
      </c>
      <c r="I5007" s="64">
        <f>DATEVALUE(tblLaborEntries[[#This Row],[Work date]])</f>
        <v>45665.0</v>
      </c>
    </row>
    <row r="5008" spans="1:9" ht="15" x14ac:dyDescent="0.25">
      <c r="A5008" s="53" t="inlineStr">
        <is>
          <t>LAB-005007</t>
        </is>
      </c>
      <c r="B5008" s="53" t="inlineStr">
        <is>
          <t>WP-02201</t>
        </is>
      </c>
      <c r="C5008" s="53" t="inlineStr">
        <is>
          <t>TECH-008</t>
        </is>
      </c>
      <c r="D5008" s="53" t="inlineStr">
        <is>
          <t>Avionics</t>
        </is>
      </c>
      <c r="E5008" s="53" t="inlineStr">
        <is>
          <t>2025-01-09</t>
        </is>
      </c>
      <c r="F5008" s="53">
        <v>5.3</v>
      </c>
      <c r="G5008" s="53">
        <v>0</v>
      </c>
      <c r="H5008" s="51" t="str">
        <f>TEXT(tblLaborEntries[[#This Row],[Work date serial]]-WEEKDAY(tblLaborEntries[[#This Row],[Work date serial]],3),"yyyy-mm-dd")</f>
        <v>2025-01-06</v>
      </c>
      <c r="I5008" s="64">
        <f>DATEVALUE(tblLaborEntries[[#This Row],[Work date]])</f>
        <v>45666.0</v>
      </c>
    </row>
    <row r="5009" spans="1:9" ht="15" x14ac:dyDescent="0.25">
      <c r="A5009" s="53" t="inlineStr">
        <is>
          <t>LAB-005008</t>
        </is>
      </c>
      <c r="B5009" s="53" t="inlineStr">
        <is>
          <t>WP-02202</t>
        </is>
      </c>
      <c r="C5009" s="53" t="inlineStr">
        <is>
          <t>TECH-022</t>
        </is>
      </c>
      <c r="D5009" s="53" t="inlineStr">
        <is>
          <t>Electrical</t>
        </is>
      </c>
      <c r="E5009" s="53" t="inlineStr">
        <is>
          <t>2025-10-12</t>
        </is>
      </c>
      <c r="F5009" s="53">
        <v>4.4</v>
      </c>
      <c r="G5009" s="53">
        <v>0</v>
      </c>
      <c r="H5009" s="51" t="str">
        <f>TEXT(tblLaborEntries[[#This Row],[Work date serial]]-WEEKDAY(tblLaborEntries[[#This Row],[Work date serial]],3),"yyyy-mm-dd")</f>
        <v>2025-10-06</v>
      </c>
      <c r="I5009" s="64">
        <f>DATEVALUE(tblLaborEntries[[#This Row],[Work date]])</f>
        <v>45942.0</v>
      </c>
    </row>
    <row r="5010" spans="1:9" ht="15" x14ac:dyDescent="0.25">
      <c r="A5010" s="53" t="inlineStr">
        <is>
          <t>LAB-005009</t>
        </is>
      </c>
      <c r="B5010" s="53" t="inlineStr">
        <is>
          <t>WP-02202</t>
        </is>
      </c>
      <c r="C5010" s="53" t="inlineStr">
        <is>
          <t>TECH-040</t>
        </is>
      </c>
      <c r="D5010" s="53" t="inlineStr">
        <is>
          <t>Electrical</t>
        </is>
      </c>
      <c r="E5010" s="53" t="inlineStr">
        <is>
          <t>2025-10-13</t>
        </is>
      </c>
      <c r="F5010" s="53">
        <v>5.8</v>
      </c>
      <c r="G5010" s="53">
        <v>0</v>
      </c>
      <c r="H5010" s="51" t="str">
        <f>TEXT(tblLaborEntries[[#This Row],[Work date serial]]-WEEKDAY(tblLaborEntries[[#This Row],[Work date serial]],3),"yyyy-mm-dd")</f>
        <v>2025-10-13</v>
      </c>
      <c r="I5010" s="64">
        <f>DATEVALUE(tblLaborEntries[[#This Row],[Work date]])</f>
        <v>45943.0</v>
      </c>
    </row>
    <row r="5011" spans="1:9" ht="15" x14ac:dyDescent="0.25">
      <c r="A5011" s="53" t="inlineStr">
        <is>
          <t>LAB-005010</t>
        </is>
      </c>
      <c r="B5011" s="53" t="inlineStr">
        <is>
          <t>WP-02202</t>
        </is>
      </c>
      <c r="C5011" s="53" t="inlineStr">
        <is>
          <t>TECH-010</t>
        </is>
      </c>
      <c r="D5011" s="53" t="inlineStr">
        <is>
          <t>Electrical</t>
        </is>
      </c>
      <c r="E5011" s="53" t="inlineStr">
        <is>
          <t>2025-10-14</t>
        </is>
      </c>
      <c r="F5011" s="53">
        <v>5.1</v>
      </c>
      <c r="G5011" s="53">
        <v>0</v>
      </c>
      <c r="H5011" s="51" t="str">
        <f>TEXT(tblLaborEntries[[#This Row],[Work date serial]]-WEEKDAY(tblLaborEntries[[#This Row],[Work date serial]],3),"yyyy-mm-dd")</f>
        <v>2025-10-13</v>
      </c>
      <c r="I5011" s="64">
        <f>DATEVALUE(tblLaborEntries[[#This Row],[Work date]])</f>
        <v>45944.0</v>
      </c>
    </row>
    <row r="5012" spans="1:9" ht="15" x14ac:dyDescent="0.25">
      <c r="A5012" s="53" t="inlineStr">
        <is>
          <t>LAB-005011</t>
        </is>
      </c>
      <c r="B5012" s="53" t="inlineStr">
        <is>
          <t>WP-02203</t>
        </is>
      </c>
      <c r="C5012" s="53" t="inlineStr">
        <is>
          <t>TECH-043</t>
        </is>
      </c>
      <c r="D5012" s="53" t="inlineStr">
        <is>
          <t>Airframe</t>
        </is>
      </c>
      <c r="E5012" s="53" t="inlineStr">
        <is>
          <t>2024-09-28</t>
        </is>
      </c>
      <c r="F5012" s="53">
        <v>5.4</v>
      </c>
      <c r="G5012" s="53">
        <v>0</v>
      </c>
      <c r="H5012" s="51" t="str">
        <f>TEXT(tblLaborEntries[[#This Row],[Work date serial]]-WEEKDAY(tblLaborEntries[[#This Row],[Work date serial]],3),"yyyy-mm-dd")</f>
        <v>2024-09-23</v>
      </c>
      <c r="I5012" s="64">
        <f>DATEVALUE(tblLaborEntries[[#This Row],[Work date]])</f>
        <v>45563.0</v>
      </c>
    </row>
    <row r="5013" spans="1:9" ht="15" x14ac:dyDescent="0.25">
      <c r="A5013" s="53" t="inlineStr">
        <is>
          <t>LAB-005012</t>
        </is>
      </c>
      <c r="B5013" s="53" t="inlineStr">
        <is>
          <t>WP-02204</t>
        </is>
      </c>
      <c r="C5013" s="53" t="inlineStr">
        <is>
          <t>TECH-042</t>
        </is>
      </c>
      <c r="D5013" s="53" t="inlineStr">
        <is>
          <t>Powerplant</t>
        </is>
      </c>
      <c r="E5013" s="53" t="inlineStr">
        <is>
          <t>2025-07-07</t>
        </is>
      </c>
      <c r="F5013" s="53">
        <v>5.6</v>
      </c>
      <c r="G5013" s="53">
        <v>0</v>
      </c>
      <c r="H5013" s="51" t="str">
        <f>TEXT(tblLaborEntries[[#This Row],[Work date serial]]-WEEKDAY(tblLaborEntries[[#This Row],[Work date serial]],3),"yyyy-mm-dd")</f>
        <v>2025-07-07</v>
      </c>
      <c r="I5013" s="64">
        <f>DATEVALUE(tblLaborEntries[[#This Row],[Work date]])</f>
        <v>45845.0</v>
      </c>
    </row>
    <row r="5014" spans="1:9" ht="15" x14ac:dyDescent="0.25">
      <c r="A5014" s="53" t="inlineStr">
        <is>
          <t>LAB-005013</t>
        </is>
      </c>
      <c r="B5014" s="53" t="inlineStr">
        <is>
          <t>WP-02204</t>
        </is>
      </c>
      <c r="C5014" s="53" t="inlineStr">
        <is>
          <t>TECH-054</t>
        </is>
      </c>
      <c r="D5014" s="53" t="inlineStr">
        <is>
          <t>Powerplant</t>
        </is>
      </c>
      <c r="E5014" s="53" t="inlineStr">
        <is>
          <t>2025-07-08</t>
        </is>
      </c>
      <c r="F5014" s="53">
        <v>4.9</v>
      </c>
      <c r="G5014" s="53">
        <v>0</v>
      </c>
      <c r="H5014" s="51" t="str">
        <f>TEXT(tblLaborEntries[[#This Row],[Work date serial]]-WEEKDAY(tblLaborEntries[[#This Row],[Work date serial]],3),"yyyy-mm-dd")</f>
        <v>2025-07-07</v>
      </c>
      <c r="I5014" s="64">
        <f>DATEVALUE(tblLaborEntries[[#This Row],[Work date]])</f>
        <v>45846.0</v>
      </c>
    </row>
    <row r="5015" spans="1:9" ht="15" x14ac:dyDescent="0.25">
      <c r="A5015" s="53" t="inlineStr">
        <is>
          <t>LAB-005014</t>
        </is>
      </c>
      <c r="B5015" s="53" t="inlineStr">
        <is>
          <t>WP-02205</t>
        </is>
      </c>
      <c r="C5015" s="53" t="inlineStr">
        <is>
          <t>TECH-031</t>
        </is>
      </c>
      <c r="D5015" s="53" t="inlineStr">
        <is>
          <t>Airframe</t>
        </is>
      </c>
      <c r="E5015" s="53" t="inlineStr">
        <is>
          <t>2024-06-01</t>
        </is>
      </c>
      <c r="F5015" s="53">
        <v>1.1</v>
      </c>
      <c r="G5015" s="53">
        <v>0</v>
      </c>
      <c r="H5015" s="51" t="str">
        <f>TEXT(tblLaborEntries[[#This Row],[Work date serial]]-WEEKDAY(tblLaborEntries[[#This Row],[Work date serial]],3),"yyyy-mm-dd")</f>
        <v>2024-05-27</v>
      </c>
      <c r="I5015" s="64">
        <f>DATEVALUE(tblLaborEntries[[#This Row],[Work date]])</f>
        <v>45444.0</v>
      </c>
    </row>
    <row r="5016" spans="1:9" ht="15" x14ac:dyDescent="0.25">
      <c r="A5016" s="53" t="inlineStr">
        <is>
          <t>LAB-005015</t>
        </is>
      </c>
      <c r="B5016" s="53" t="inlineStr">
        <is>
          <t>WP-02205</t>
        </is>
      </c>
      <c r="C5016" s="53" t="inlineStr">
        <is>
          <t>TECH-007</t>
        </is>
      </c>
      <c r="D5016" s="53" t="inlineStr">
        <is>
          <t>Airframe</t>
        </is>
      </c>
      <c r="E5016" s="53" t="inlineStr">
        <is>
          <t>2024-06-02</t>
        </is>
      </c>
      <c r="F5016" s="53">
        <v>0.9</v>
      </c>
      <c r="G5016" s="53">
        <v>0</v>
      </c>
      <c r="H5016" s="51" t="str">
        <f>TEXT(tblLaborEntries[[#This Row],[Work date serial]]-WEEKDAY(tblLaborEntries[[#This Row],[Work date serial]],3),"yyyy-mm-dd")</f>
        <v>2024-05-27</v>
      </c>
      <c r="I5016" s="64">
        <f>DATEVALUE(tblLaborEntries[[#This Row],[Work date]])</f>
        <v>45445.0</v>
      </c>
    </row>
    <row r="5017" spans="1:9" ht="15" x14ac:dyDescent="0.25">
      <c r="A5017" s="53" t="inlineStr">
        <is>
          <t>LAB-005016</t>
        </is>
      </c>
      <c r="B5017" s="53" t="inlineStr">
        <is>
          <t>WP-02205</t>
        </is>
      </c>
      <c r="C5017" s="53" t="inlineStr">
        <is>
          <t>TECH-025</t>
        </is>
      </c>
      <c r="D5017" s="53" t="inlineStr">
        <is>
          <t>Airframe</t>
        </is>
      </c>
      <c r="E5017" s="53" t="inlineStr">
        <is>
          <t>2024-06-03</t>
        </is>
      </c>
      <c r="F5017" s="53">
        <v>0.9</v>
      </c>
      <c r="G5017" s="53">
        <v>0</v>
      </c>
      <c r="H5017" s="51" t="str">
        <f>TEXT(tblLaborEntries[[#This Row],[Work date serial]]-WEEKDAY(tblLaborEntries[[#This Row],[Work date serial]],3),"yyyy-mm-dd")</f>
        <v>2024-06-03</v>
      </c>
      <c r="I5017" s="64">
        <f>DATEVALUE(tblLaborEntries[[#This Row],[Work date]])</f>
        <v>45446.0</v>
      </c>
    </row>
    <row r="5018" spans="1:9" ht="15" x14ac:dyDescent="0.25">
      <c r="A5018" s="53" t="inlineStr">
        <is>
          <t>LAB-005017</t>
        </is>
      </c>
      <c r="B5018" s="53" t="inlineStr">
        <is>
          <t>WP-02206</t>
        </is>
      </c>
      <c r="C5018" s="53" t="inlineStr">
        <is>
          <t>TECH-048</t>
        </is>
      </c>
      <c r="D5018" s="53" t="inlineStr">
        <is>
          <t>Powerplant</t>
        </is>
      </c>
      <c r="E5018" s="53" t="inlineStr">
        <is>
          <t>2025-06-13</t>
        </is>
      </c>
      <c r="F5018" s="53">
        <v>8.4</v>
      </c>
      <c r="G5018" s="53">
        <v>0.4</v>
      </c>
      <c r="H5018" s="51" t="str">
        <f>TEXT(tblLaborEntries[[#This Row],[Work date serial]]-WEEKDAY(tblLaborEntries[[#This Row],[Work date serial]],3),"yyyy-mm-dd")</f>
        <v>2025-06-09</v>
      </c>
      <c r="I5018" s="64">
        <f>DATEVALUE(tblLaborEntries[[#This Row],[Work date]])</f>
        <v>45821.0</v>
      </c>
    </row>
    <row r="5019" spans="1:9" ht="15" x14ac:dyDescent="0.25">
      <c r="A5019" s="53" t="inlineStr">
        <is>
          <t>LAB-005018</t>
        </is>
      </c>
      <c r="B5019" s="53" t="inlineStr">
        <is>
          <t>WP-02206</t>
        </is>
      </c>
      <c r="C5019" s="53" t="inlineStr">
        <is>
          <t>TECH-066</t>
        </is>
      </c>
      <c r="D5019" s="53" t="inlineStr">
        <is>
          <t>Powerplant</t>
        </is>
      </c>
      <c r="E5019" s="53" t="inlineStr">
        <is>
          <t>2025-06-14</t>
        </is>
      </c>
      <c r="F5019" s="53">
        <v>6.6</v>
      </c>
      <c r="G5019" s="53">
        <v>0</v>
      </c>
      <c r="H5019" s="51" t="str">
        <f>TEXT(tblLaborEntries[[#This Row],[Work date serial]]-WEEKDAY(tblLaborEntries[[#This Row],[Work date serial]],3),"yyyy-mm-dd")</f>
        <v>2025-06-09</v>
      </c>
      <c r="I5019" s="64">
        <f>DATEVALUE(tblLaborEntries[[#This Row],[Work date]])</f>
        <v>45822.0</v>
      </c>
    </row>
    <row r="5020" spans="1:9" ht="15" x14ac:dyDescent="0.25">
      <c r="A5020" s="53" t="inlineStr">
        <is>
          <t>LAB-005019</t>
        </is>
      </c>
      <c r="B5020" s="53" t="inlineStr">
        <is>
          <t>WP-02206</t>
        </is>
      </c>
      <c r="C5020" s="53" t="inlineStr">
        <is>
          <t>TECH-030</t>
        </is>
      </c>
      <c r="D5020" s="53" t="inlineStr">
        <is>
          <t>Powerplant</t>
        </is>
      </c>
      <c r="E5020" s="53" t="inlineStr">
        <is>
          <t>2025-06-15</t>
        </is>
      </c>
      <c r="F5020" s="53">
        <v>7.1</v>
      </c>
      <c r="G5020" s="53">
        <v>0</v>
      </c>
      <c r="H5020" s="51" t="str">
        <f>TEXT(tblLaborEntries[[#This Row],[Work date serial]]-WEEKDAY(tblLaborEntries[[#This Row],[Work date serial]],3),"yyyy-mm-dd")</f>
        <v>2025-06-09</v>
      </c>
      <c r="I5020" s="64">
        <f>DATEVALUE(tblLaborEntries[[#This Row],[Work date]])</f>
        <v>45823.0</v>
      </c>
    </row>
    <row r="5021" spans="1:9" ht="15" x14ac:dyDescent="0.25">
      <c r="A5021" s="53" t="inlineStr">
        <is>
          <t>LAB-005020</t>
        </is>
      </c>
      <c r="B5021" s="53" t="inlineStr">
        <is>
          <t>WP-02207</t>
        </is>
      </c>
      <c r="C5021" s="53" t="inlineStr">
        <is>
          <t>TECH-044</t>
        </is>
      </c>
      <c r="D5021" s="53" t="inlineStr">
        <is>
          <t>Avionics</t>
        </is>
      </c>
      <c r="E5021" s="53" t="inlineStr">
        <is>
          <t>2025-11-05</t>
        </is>
      </c>
      <c r="F5021" s="53">
        <v>5.2</v>
      </c>
      <c r="G5021" s="53">
        <v>0</v>
      </c>
      <c r="H5021" s="51" t="str">
        <f>TEXT(tblLaborEntries[[#This Row],[Work date serial]]-WEEKDAY(tblLaborEntries[[#This Row],[Work date serial]],3),"yyyy-mm-dd")</f>
        <v>2025-11-03</v>
      </c>
      <c r="I5021" s="64">
        <f>DATEVALUE(tblLaborEntries[[#This Row],[Work date]])</f>
        <v>45966.0</v>
      </c>
    </row>
    <row r="5022" spans="1:9" ht="15" x14ac:dyDescent="0.25">
      <c r="A5022" s="53" t="inlineStr">
        <is>
          <t>LAB-005021</t>
        </is>
      </c>
      <c r="B5022" s="53" t="inlineStr">
        <is>
          <t>WP-02207</t>
        </is>
      </c>
      <c r="C5022" s="53" t="inlineStr">
        <is>
          <t>TECH-074</t>
        </is>
      </c>
      <c r="D5022" s="53" t="inlineStr">
        <is>
          <t>Avionics</t>
        </is>
      </c>
      <c r="E5022" s="53" t="inlineStr">
        <is>
          <t>2025-11-06</t>
        </is>
      </c>
      <c r="F5022" s="53">
        <v>7.4</v>
      </c>
      <c r="G5022" s="53">
        <v>0</v>
      </c>
      <c r="H5022" s="51" t="str">
        <f>TEXT(tblLaborEntries[[#This Row],[Work date serial]]-WEEKDAY(tblLaborEntries[[#This Row],[Work date serial]],3),"yyyy-mm-dd")</f>
        <v>2025-11-03</v>
      </c>
      <c r="I5022" s="64">
        <f>DATEVALUE(tblLaborEntries[[#This Row],[Work date]])</f>
        <v>45967.0</v>
      </c>
    </row>
    <row r="5023" spans="1:9" ht="15" x14ac:dyDescent="0.25">
      <c r="A5023" s="53" t="inlineStr">
        <is>
          <t>LAB-005022</t>
        </is>
      </c>
      <c r="B5023" s="53" t="inlineStr">
        <is>
          <t>WP-02208</t>
        </is>
      </c>
      <c r="C5023" s="53" t="inlineStr">
        <is>
          <t>TECH-008</t>
        </is>
      </c>
      <c r="D5023" s="53" t="inlineStr">
        <is>
          <t>Avionics</t>
        </is>
      </c>
      <c r="E5023" s="53" t="inlineStr">
        <is>
          <t>2025-03-21</t>
        </is>
      </c>
      <c r="F5023" s="53">
        <v>3.5</v>
      </c>
      <c r="G5023" s="53">
        <v>0</v>
      </c>
      <c r="H5023" s="51" t="str">
        <f>TEXT(tblLaborEntries[[#This Row],[Work date serial]]-WEEKDAY(tblLaborEntries[[#This Row],[Work date serial]],3),"yyyy-mm-dd")</f>
        <v>2025-03-17</v>
      </c>
      <c r="I5023" s="64">
        <f>DATEVALUE(tblLaborEntries[[#This Row],[Work date]])</f>
        <v>45737.0</v>
      </c>
    </row>
    <row r="5024" spans="1:9" ht="15" x14ac:dyDescent="0.25">
      <c r="A5024" s="53" t="inlineStr">
        <is>
          <t>LAB-005023</t>
        </is>
      </c>
      <c r="B5024" s="53" t="inlineStr">
        <is>
          <t>WP-02208</t>
        </is>
      </c>
      <c r="C5024" s="53" t="inlineStr">
        <is>
          <t>TECH-050</t>
        </is>
      </c>
      <c r="D5024" s="53" t="inlineStr">
        <is>
          <t>Avionics</t>
        </is>
      </c>
      <c r="E5024" s="53" t="inlineStr">
        <is>
          <t>2025-03-22</t>
        </is>
      </c>
      <c r="F5024" s="53">
        <v>2.8</v>
      </c>
      <c r="G5024" s="53">
        <v>0</v>
      </c>
      <c r="H5024" s="51" t="str">
        <f>TEXT(tblLaborEntries[[#This Row],[Work date serial]]-WEEKDAY(tblLaborEntries[[#This Row],[Work date serial]],3),"yyyy-mm-dd")</f>
        <v>2025-03-17</v>
      </c>
      <c r="I5024" s="64">
        <f>DATEVALUE(tblLaborEntries[[#This Row],[Work date]])</f>
        <v>45738.0</v>
      </c>
    </row>
    <row r="5025" spans="1:9" ht="15" x14ac:dyDescent="0.25">
      <c r="A5025" s="53" t="inlineStr">
        <is>
          <t>LAB-005024</t>
        </is>
      </c>
      <c r="B5025" s="53" t="inlineStr">
        <is>
          <t>WP-02208</t>
        </is>
      </c>
      <c r="C5025" s="53" t="inlineStr">
        <is>
          <t>TECH-032</t>
        </is>
      </c>
      <c r="D5025" s="53" t="inlineStr">
        <is>
          <t>Avionics</t>
        </is>
      </c>
      <c r="E5025" s="53" t="inlineStr">
        <is>
          <t>2025-03-23</t>
        </is>
      </c>
      <c r="F5025" s="53">
        <v>3.1</v>
      </c>
      <c r="G5025" s="53">
        <v>0</v>
      </c>
      <c r="H5025" s="51" t="str">
        <f>TEXT(tblLaborEntries[[#This Row],[Work date serial]]-WEEKDAY(tblLaborEntries[[#This Row],[Work date serial]],3),"yyyy-mm-dd")</f>
        <v>2025-03-17</v>
      </c>
      <c r="I5025" s="64">
        <f>DATEVALUE(tblLaborEntries[[#This Row],[Work date]])</f>
        <v>45739.0</v>
      </c>
    </row>
    <row r="5026" spans="1:9" ht="15" x14ac:dyDescent="0.25">
      <c r="A5026" s="53" t="inlineStr">
        <is>
          <t>LAB-005025</t>
        </is>
      </c>
      <c r="B5026" s="53" t="inlineStr">
        <is>
          <t>WP-02209</t>
        </is>
      </c>
      <c r="C5026" s="53" t="inlineStr">
        <is>
          <t>TECH-056</t>
        </is>
      </c>
      <c r="D5026" s="53" t="inlineStr">
        <is>
          <t>Avionics</t>
        </is>
      </c>
      <c r="E5026" s="53" t="inlineStr">
        <is>
          <t>2024-06-16</t>
        </is>
      </c>
      <c r="F5026" s="53">
        <v>5.1</v>
      </c>
      <c r="G5026" s="53">
        <v>0</v>
      </c>
      <c r="H5026" s="51" t="str">
        <f>TEXT(tblLaborEntries[[#This Row],[Work date serial]]-WEEKDAY(tblLaborEntries[[#This Row],[Work date serial]],3),"yyyy-mm-dd")</f>
        <v>2024-06-10</v>
      </c>
      <c r="I5026" s="64">
        <f>DATEVALUE(tblLaborEntries[[#This Row],[Work date]])</f>
        <v>45459.0</v>
      </c>
    </row>
    <row r="5027" spans="1:9" ht="15" x14ac:dyDescent="0.25">
      <c r="A5027" s="53" t="inlineStr">
        <is>
          <t>LAB-005026</t>
        </is>
      </c>
      <c r="B5027" s="53" t="inlineStr">
        <is>
          <t>WP-02209</t>
        </is>
      </c>
      <c r="C5027" s="53" t="inlineStr">
        <is>
          <t>TECH-050</t>
        </is>
      </c>
      <c r="D5027" s="53" t="inlineStr">
        <is>
          <t>Avionics</t>
        </is>
      </c>
      <c r="E5027" s="53" t="inlineStr">
        <is>
          <t>2024-06-17</t>
        </is>
      </c>
      <c r="F5027" s="53">
        <v>4.3</v>
      </c>
      <c r="G5027" s="53">
        <v>0</v>
      </c>
      <c r="H5027" s="51" t="str">
        <f>TEXT(tblLaborEntries[[#This Row],[Work date serial]]-WEEKDAY(tblLaborEntries[[#This Row],[Work date serial]],3),"yyyy-mm-dd")</f>
        <v>2024-06-17</v>
      </c>
      <c r="I5027" s="64">
        <f>DATEVALUE(tblLaborEntries[[#This Row],[Work date]])</f>
        <v>45460.0</v>
      </c>
    </row>
    <row r="5028" spans="1:9" ht="15" x14ac:dyDescent="0.25">
      <c r="A5028" s="53" t="inlineStr">
        <is>
          <t>LAB-005027</t>
        </is>
      </c>
      <c r="B5028" s="53" t="inlineStr">
        <is>
          <t>WP-02210</t>
        </is>
      </c>
      <c r="C5028" s="53" t="inlineStr">
        <is>
          <t>TECH-012</t>
        </is>
      </c>
      <c r="D5028" s="53" t="inlineStr">
        <is>
          <t>Powerplant</t>
        </is>
      </c>
      <c r="E5028" s="53" t="inlineStr">
        <is>
          <t>2024-08-31</t>
        </is>
      </c>
      <c r="F5028" s="53">
        <v>6.3</v>
      </c>
      <c r="G5028" s="53">
        <v>0</v>
      </c>
      <c r="H5028" s="51" t="str">
        <f>TEXT(tblLaborEntries[[#This Row],[Work date serial]]-WEEKDAY(tblLaborEntries[[#This Row],[Work date serial]],3),"yyyy-mm-dd")</f>
        <v>2024-08-26</v>
      </c>
      <c r="I5028" s="64">
        <f>DATEVALUE(tblLaborEntries[[#This Row],[Work date]])</f>
        <v>45535.0</v>
      </c>
    </row>
    <row r="5029" spans="1:9" ht="15" x14ac:dyDescent="0.25">
      <c r="A5029" s="53" t="inlineStr">
        <is>
          <t>LAB-005028</t>
        </is>
      </c>
      <c r="B5029" s="53" t="inlineStr">
        <is>
          <t>WP-02210</t>
        </is>
      </c>
      <c r="C5029" s="53" t="inlineStr">
        <is>
          <t>TECH-060</t>
        </is>
      </c>
      <c r="D5029" s="53" t="inlineStr">
        <is>
          <t>Powerplant</t>
        </is>
      </c>
      <c r="E5029" s="53" t="inlineStr">
        <is>
          <t>2024-09-01</t>
        </is>
      </c>
      <c r="F5029" s="53">
        <v>7.4</v>
      </c>
      <c r="G5029" s="53">
        <v>0</v>
      </c>
      <c r="H5029" s="51" t="str">
        <f>TEXT(tblLaborEntries[[#This Row],[Work date serial]]-WEEKDAY(tblLaborEntries[[#This Row],[Work date serial]],3),"yyyy-mm-dd")</f>
        <v>2024-08-26</v>
      </c>
      <c r="I5029" s="64">
        <f>DATEVALUE(tblLaborEntries[[#This Row],[Work date]])</f>
        <v>45536.0</v>
      </c>
    </row>
    <row r="5030" spans="1:9" ht="15" x14ac:dyDescent="0.25">
      <c r="A5030" s="53" t="inlineStr">
        <is>
          <t>LAB-005029</t>
        </is>
      </c>
      <c r="B5030" s="53" t="inlineStr">
        <is>
          <t>WP-02211</t>
        </is>
      </c>
      <c r="C5030" s="53" t="inlineStr">
        <is>
          <t>TECH-062</t>
        </is>
      </c>
      <c r="D5030" s="53" t="inlineStr">
        <is>
          <t>Avionics</t>
        </is>
      </c>
      <c r="E5030" s="53" t="inlineStr">
        <is>
          <t>2024-12-29</t>
        </is>
      </c>
      <c r="F5030" s="53">
        <v>3.2</v>
      </c>
      <c r="G5030" s="53">
        <v>0</v>
      </c>
      <c r="H5030" s="51" t="str">
        <f>TEXT(tblLaborEntries[[#This Row],[Work date serial]]-WEEKDAY(tblLaborEntries[[#This Row],[Work date serial]],3),"yyyy-mm-dd")</f>
        <v>2024-12-23</v>
      </c>
      <c r="I5030" s="64">
        <f>DATEVALUE(tblLaborEntries[[#This Row],[Work date]])</f>
        <v>45655.0</v>
      </c>
    </row>
    <row r="5031" spans="1:9" ht="15" x14ac:dyDescent="0.25">
      <c r="A5031" s="53" t="inlineStr">
        <is>
          <t>LAB-005030</t>
        </is>
      </c>
      <c r="B5031" s="53" t="inlineStr">
        <is>
          <t>WP-02211</t>
        </is>
      </c>
      <c r="C5031" s="53" t="inlineStr">
        <is>
          <t>TECH-020</t>
        </is>
      </c>
      <c r="D5031" s="53" t="inlineStr">
        <is>
          <t>Avionics</t>
        </is>
      </c>
      <c r="E5031" s="53" t="inlineStr">
        <is>
          <t>2024-12-30</t>
        </is>
      </c>
      <c r="F5031" s="53">
        <v>2.2</v>
      </c>
      <c r="G5031" s="53">
        <v>0</v>
      </c>
      <c r="H5031" s="51" t="str">
        <f>TEXT(tblLaborEntries[[#This Row],[Work date serial]]-WEEKDAY(tblLaborEntries[[#This Row],[Work date serial]],3),"yyyy-mm-dd")</f>
        <v>2024-12-30</v>
      </c>
      <c r="I5031" s="64">
        <f>DATEVALUE(tblLaborEntries[[#This Row],[Work date]])</f>
        <v>45656.0</v>
      </c>
    </row>
    <row r="5032" spans="1:9" ht="15" x14ac:dyDescent="0.25">
      <c r="A5032" s="53" t="inlineStr">
        <is>
          <t>LAB-005031</t>
        </is>
      </c>
      <c r="B5032" s="53" t="inlineStr">
        <is>
          <t>WP-02212</t>
        </is>
      </c>
      <c r="C5032" s="53" t="inlineStr">
        <is>
          <t>TECH-031</t>
        </is>
      </c>
      <c r="D5032" s="53" t="inlineStr">
        <is>
          <t>Airframe</t>
        </is>
      </c>
      <c r="E5032" s="53" t="inlineStr">
        <is>
          <t>2024-05-16</t>
        </is>
      </c>
      <c r="F5032" s="53">
        <v>6.3</v>
      </c>
      <c r="G5032" s="53">
        <v>0</v>
      </c>
      <c r="H5032" s="51" t="str">
        <f>TEXT(tblLaborEntries[[#This Row],[Work date serial]]-WEEKDAY(tblLaborEntries[[#This Row],[Work date serial]],3),"yyyy-mm-dd")</f>
        <v>2024-05-13</v>
      </c>
      <c r="I5032" s="64">
        <f>DATEVALUE(tblLaborEntries[[#This Row],[Work date]])</f>
        <v>45428.0</v>
      </c>
    </row>
    <row r="5033" spans="1:9" ht="15" x14ac:dyDescent="0.25">
      <c r="A5033" s="53" t="inlineStr">
        <is>
          <t>LAB-005032</t>
        </is>
      </c>
      <c r="B5033" s="53" t="inlineStr">
        <is>
          <t>WP-02212</t>
        </is>
      </c>
      <c r="C5033" s="53" t="inlineStr">
        <is>
          <t>TECH-073</t>
        </is>
      </c>
      <c r="D5033" s="53" t="inlineStr">
        <is>
          <t>Airframe</t>
        </is>
      </c>
      <c r="E5033" s="53" t="inlineStr">
        <is>
          <t>2024-05-17</t>
        </is>
      </c>
      <c r="F5033" s="53">
        <v>9.6</v>
      </c>
      <c r="G5033" s="53">
        <v>1.6</v>
      </c>
      <c r="H5033" s="51" t="str">
        <f>TEXT(tblLaborEntries[[#This Row],[Work date serial]]-WEEKDAY(tblLaborEntries[[#This Row],[Work date serial]],3),"yyyy-mm-dd")</f>
        <v>2024-05-13</v>
      </c>
      <c r="I5033" s="64">
        <f>DATEVALUE(tblLaborEntries[[#This Row],[Work date]])</f>
        <v>45429.0</v>
      </c>
    </row>
    <row r="5034" spans="1:9" ht="15" x14ac:dyDescent="0.25">
      <c r="A5034" s="53" t="inlineStr">
        <is>
          <t>LAB-005033</t>
        </is>
      </c>
      <c r="B5034" s="53" t="inlineStr">
        <is>
          <t>WP-02213</t>
        </is>
      </c>
      <c r="C5034" s="53" t="inlineStr">
        <is>
          <t>TECH-026</t>
        </is>
      </c>
      <c r="D5034" s="53" t="inlineStr">
        <is>
          <t>Avionics</t>
        </is>
      </c>
      <c r="E5034" s="53" t="inlineStr">
        <is>
          <t>2024-05-26</t>
        </is>
      </c>
      <c r="F5034" s="53">
        <v>5.7</v>
      </c>
      <c r="G5034" s="53">
        <v>0</v>
      </c>
      <c r="H5034" s="51" t="str">
        <f>TEXT(tblLaborEntries[[#This Row],[Work date serial]]-WEEKDAY(tblLaborEntries[[#This Row],[Work date serial]],3),"yyyy-mm-dd")</f>
        <v>2024-05-20</v>
      </c>
      <c r="I5034" s="64">
        <f>DATEVALUE(tblLaborEntries[[#This Row],[Work date]])</f>
        <v>45438.0</v>
      </c>
    </row>
    <row r="5035" spans="1:9" ht="15" x14ac:dyDescent="0.25">
      <c r="A5035" s="53" t="inlineStr">
        <is>
          <t>LAB-005034</t>
        </is>
      </c>
      <c r="B5035" s="53" t="inlineStr">
        <is>
          <t>WP-02213</t>
        </is>
      </c>
      <c r="C5035" s="53" t="inlineStr">
        <is>
          <t>TECH-008</t>
        </is>
      </c>
      <c r="D5035" s="53" t="inlineStr">
        <is>
          <t>Avionics</t>
        </is>
      </c>
      <c r="E5035" s="53" t="inlineStr">
        <is>
          <t>2024-05-27</t>
        </is>
      </c>
      <c r="F5035" s="53">
        <v>5.9</v>
      </c>
      <c r="G5035" s="53">
        <v>2.3</v>
      </c>
      <c r="H5035" s="51" t="str">
        <f>TEXT(tblLaborEntries[[#This Row],[Work date serial]]-WEEKDAY(tblLaborEntries[[#This Row],[Work date serial]],3),"yyyy-mm-dd")</f>
        <v>2024-05-27</v>
      </c>
      <c r="I5035" s="64">
        <f>DATEVALUE(tblLaborEntries[[#This Row],[Work date]])</f>
        <v>45439.0</v>
      </c>
    </row>
    <row r="5036" spans="1:9" ht="15" x14ac:dyDescent="0.25">
      <c r="A5036" s="53" t="inlineStr">
        <is>
          <t>LAB-005035</t>
        </is>
      </c>
      <c r="B5036" s="53" t="inlineStr">
        <is>
          <t>WP-02214</t>
        </is>
      </c>
      <c r="C5036" s="53" t="inlineStr">
        <is>
          <t>TECH-014</t>
        </is>
      </c>
      <c r="D5036" s="53" t="inlineStr">
        <is>
          <t>Avionics</t>
        </is>
      </c>
      <c r="E5036" s="53" t="inlineStr">
        <is>
          <t>2025-03-27</t>
        </is>
      </c>
      <c r="F5036" s="53">
        <v>4.7</v>
      </c>
      <c r="G5036" s="53">
        <v>0</v>
      </c>
      <c r="H5036" s="51" t="str">
        <f>TEXT(tblLaborEntries[[#This Row],[Work date serial]]-WEEKDAY(tblLaborEntries[[#This Row],[Work date serial]],3),"yyyy-mm-dd")</f>
        <v>2025-03-24</v>
      </c>
      <c r="I5036" s="64">
        <f>DATEVALUE(tblLaborEntries[[#This Row],[Work date]])</f>
        <v>45743.0</v>
      </c>
    </row>
    <row r="5037" spans="1:9" ht="15" x14ac:dyDescent="0.25">
      <c r="A5037" s="53" t="inlineStr">
        <is>
          <t>LAB-005036</t>
        </is>
      </c>
      <c r="B5037" s="53" t="inlineStr">
        <is>
          <t>WP-02214</t>
        </is>
      </c>
      <c r="C5037" s="53" t="inlineStr">
        <is>
          <t>TECH-068</t>
        </is>
      </c>
      <c r="D5037" s="53" t="inlineStr">
        <is>
          <t>Avionics</t>
        </is>
      </c>
      <c r="E5037" s="53" t="inlineStr">
        <is>
          <t>2025-03-28</t>
        </is>
      </c>
      <c r="F5037" s="53">
        <v>4</v>
      </c>
      <c r="G5037" s="53">
        <v>0</v>
      </c>
      <c r="H5037" s="51" t="str">
        <f>TEXT(tblLaborEntries[[#This Row],[Work date serial]]-WEEKDAY(tblLaborEntries[[#This Row],[Work date serial]],3),"yyyy-mm-dd")</f>
        <v>2025-03-24</v>
      </c>
      <c r="I5037" s="64">
        <f>DATEVALUE(tblLaborEntries[[#This Row],[Work date]])</f>
        <v>45744.0</v>
      </c>
    </row>
    <row r="5038" spans="1:9" ht="15" x14ac:dyDescent="0.25">
      <c r="A5038" s="53" t="inlineStr">
        <is>
          <t>LAB-005037</t>
        </is>
      </c>
      <c r="B5038" s="53" t="inlineStr">
        <is>
          <t>WP-02215</t>
        </is>
      </c>
      <c r="C5038" s="53" t="inlineStr">
        <is>
          <t>TECH-074</t>
        </is>
      </c>
      <c r="D5038" s="53" t="inlineStr">
        <is>
          <t>Avionics</t>
        </is>
      </c>
      <c r="E5038" s="53" t="inlineStr">
        <is>
          <t>2024-04-13</t>
        </is>
      </c>
      <c r="F5038" s="53">
        <v>2.2</v>
      </c>
      <c r="G5038" s="53">
        <v>0</v>
      </c>
      <c r="H5038" s="51" t="str">
        <f>TEXT(tblLaborEntries[[#This Row],[Work date serial]]-WEEKDAY(tblLaborEntries[[#This Row],[Work date serial]],3),"yyyy-mm-dd")</f>
        <v>2024-04-08</v>
      </c>
      <c r="I5038" s="64">
        <f>DATEVALUE(tblLaborEntries[[#This Row],[Work date]])</f>
        <v>45395.0</v>
      </c>
    </row>
    <row r="5039" spans="1:9" ht="15" x14ac:dyDescent="0.25">
      <c r="A5039" s="53" t="inlineStr">
        <is>
          <t>LAB-005038</t>
        </is>
      </c>
      <c r="B5039" s="53" t="inlineStr">
        <is>
          <t>WP-02215</t>
        </is>
      </c>
      <c r="C5039" s="53" t="inlineStr">
        <is>
          <t>TECH-038</t>
        </is>
      </c>
      <c r="D5039" s="53" t="inlineStr">
        <is>
          <t>Avionics</t>
        </is>
      </c>
      <c r="E5039" s="53" t="inlineStr">
        <is>
          <t>2024-04-14</t>
        </is>
      </c>
      <c r="F5039" s="53">
        <v>2.5</v>
      </c>
      <c r="G5039" s="53">
        <v>0</v>
      </c>
      <c r="H5039" s="51" t="str">
        <f>TEXT(tblLaborEntries[[#This Row],[Work date serial]]-WEEKDAY(tblLaborEntries[[#This Row],[Work date serial]],3),"yyyy-mm-dd")</f>
        <v>2024-04-08</v>
      </c>
      <c r="I5039" s="64">
        <f>DATEVALUE(tblLaborEntries[[#This Row],[Work date]])</f>
        <v>45396.0</v>
      </c>
    </row>
    <row r="5040" spans="1:9" ht="15" x14ac:dyDescent="0.25">
      <c r="A5040" s="53" t="inlineStr">
        <is>
          <t>LAB-005039</t>
        </is>
      </c>
      <c r="B5040" s="53" t="inlineStr">
        <is>
          <t>WP-02215</t>
        </is>
      </c>
      <c r="C5040" s="53" t="inlineStr">
        <is>
          <t>TECH-002</t>
        </is>
      </c>
      <c r="D5040" s="53" t="inlineStr">
        <is>
          <t>Avionics</t>
        </is>
      </c>
      <c r="E5040" s="53" t="inlineStr">
        <is>
          <t>2024-04-15</t>
        </is>
      </c>
      <c r="F5040" s="53">
        <v>2.3</v>
      </c>
      <c r="G5040" s="53">
        <v>0</v>
      </c>
      <c r="H5040" s="51" t="str">
        <f>TEXT(tblLaborEntries[[#This Row],[Work date serial]]-WEEKDAY(tblLaborEntries[[#This Row],[Work date serial]],3),"yyyy-mm-dd")</f>
        <v>2024-04-15</v>
      </c>
      <c r="I5040" s="64">
        <f>DATEVALUE(tblLaborEntries[[#This Row],[Work date]])</f>
        <v>45397.0</v>
      </c>
    </row>
    <row r="5041" spans="1:9" ht="15" x14ac:dyDescent="0.25">
      <c r="A5041" s="53" t="inlineStr">
        <is>
          <t>LAB-005040</t>
        </is>
      </c>
      <c r="B5041" s="53" t="inlineStr">
        <is>
          <t>WP-02216</t>
        </is>
      </c>
      <c r="C5041" s="53" t="inlineStr">
        <is>
          <t>TECH-036</t>
        </is>
      </c>
      <c r="D5041" s="53" t="inlineStr">
        <is>
          <t>Powerplant</t>
        </is>
      </c>
      <c r="E5041" s="53" t="inlineStr">
        <is>
          <t>2024-04-19</t>
        </is>
      </c>
      <c r="F5041" s="53">
        <v>6.3</v>
      </c>
      <c r="G5041" s="53">
        <v>0</v>
      </c>
      <c r="H5041" s="51" t="str">
        <f>TEXT(tblLaborEntries[[#This Row],[Work date serial]]-WEEKDAY(tblLaborEntries[[#This Row],[Work date serial]],3),"yyyy-mm-dd")</f>
        <v>2024-04-15</v>
      </c>
      <c r="I5041" s="64">
        <f>DATEVALUE(tblLaborEntries[[#This Row],[Work date]])</f>
        <v>45401.0</v>
      </c>
    </row>
    <row r="5042" spans="1:9" ht="15" x14ac:dyDescent="0.25">
      <c r="A5042" s="53" t="inlineStr">
        <is>
          <t>LAB-005041</t>
        </is>
      </c>
      <c r="B5042" s="53" t="inlineStr">
        <is>
          <t>WP-02216</t>
        </is>
      </c>
      <c r="C5042" s="53" t="inlineStr">
        <is>
          <t>TECH-048</t>
        </is>
      </c>
      <c r="D5042" s="53" t="inlineStr">
        <is>
          <t>Powerplant</t>
        </is>
      </c>
      <c r="E5042" s="53" t="inlineStr">
        <is>
          <t>2024-04-20</t>
        </is>
      </c>
      <c r="F5042" s="53">
        <v>8.9</v>
      </c>
      <c r="G5042" s="53">
        <v>0.9</v>
      </c>
      <c r="H5042" s="51" t="str">
        <f>TEXT(tblLaborEntries[[#This Row],[Work date serial]]-WEEKDAY(tblLaborEntries[[#This Row],[Work date serial]],3),"yyyy-mm-dd")</f>
        <v>2024-04-15</v>
      </c>
      <c r="I5042" s="64">
        <f>DATEVALUE(tblLaborEntries[[#This Row],[Work date]])</f>
        <v>45402.0</v>
      </c>
    </row>
    <row r="5043" spans="1:9" ht="15" x14ac:dyDescent="0.25">
      <c r="A5043" s="53" t="inlineStr">
        <is>
          <t>LAB-005042</t>
        </is>
      </c>
      <c r="B5043" s="53" t="inlineStr">
        <is>
          <t>WP-02217</t>
        </is>
      </c>
      <c r="C5043" s="53" t="inlineStr">
        <is>
          <t>TECH-002</t>
        </is>
      </c>
      <c r="D5043" s="53" t="inlineStr">
        <is>
          <t>Avionics</t>
        </is>
      </c>
      <c r="E5043" s="53" t="inlineStr">
        <is>
          <t>2024-09-12</t>
        </is>
      </c>
      <c r="F5043" s="53">
        <v>3.2</v>
      </c>
      <c r="G5043" s="53">
        <v>0</v>
      </c>
      <c r="H5043" s="51" t="str">
        <f>TEXT(tblLaborEntries[[#This Row],[Work date serial]]-WEEKDAY(tblLaborEntries[[#This Row],[Work date serial]],3),"yyyy-mm-dd")</f>
        <v>2024-09-09</v>
      </c>
      <c r="I5043" s="64">
        <f>DATEVALUE(tblLaborEntries[[#This Row],[Work date]])</f>
        <v>45547.0</v>
      </c>
    </row>
    <row r="5044" spans="1:9" ht="15" x14ac:dyDescent="0.25">
      <c r="A5044" s="53" t="inlineStr">
        <is>
          <t>LAB-005043</t>
        </is>
      </c>
      <c r="B5044" s="53" t="inlineStr">
        <is>
          <t>WP-02217</t>
        </is>
      </c>
      <c r="C5044" s="53" t="inlineStr">
        <is>
          <t>TECH-002</t>
        </is>
      </c>
      <c r="D5044" s="53" t="inlineStr">
        <is>
          <t>Avionics</t>
        </is>
      </c>
      <c r="E5044" s="53" t="inlineStr">
        <is>
          <t>2024-09-13</t>
        </is>
      </c>
      <c r="F5044" s="53">
        <v>2.7</v>
      </c>
      <c r="G5044" s="53">
        <v>0</v>
      </c>
      <c r="H5044" s="51" t="str">
        <f>TEXT(tblLaborEntries[[#This Row],[Work date serial]]-WEEKDAY(tblLaborEntries[[#This Row],[Work date serial]],3),"yyyy-mm-dd")</f>
        <v>2024-09-09</v>
      </c>
      <c r="I5044" s="64">
        <f>DATEVALUE(tblLaborEntries[[#This Row],[Work date]])</f>
        <v>45548.0</v>
      </c>
    </row>
    <row r="5045" spans="1:9" ht="15" x14ac:dyDescent="0.25">
      <c r="A5045" s="53" t="inlineStr">
        <is>
          <t>LAB-005044</t>
        </is>
      </c>
      <c r="B5045" s="53" t="inlineStr">
        <is>
          <t>WP-02218</t>
        </is>
      </c>
      <c r="C5045" s="53" t="inlineStr">
        <is>
          <t>TECH-044</t>
        </is>
      </c>
      <c r="D5045" s="53" t="inlineStr">
        <is>
          <t>Avionics</t>
        </is>
      </c>
      <c r="E5045" s="53" t="inlineStr">
        <is>
          <t>2024-01-21</t>
        </is>
      </c>
      <c r="F5045" s="53">
        <v>7.2</v>
      </c>
      <c r="G5045" s="53">
        <v>0</v>
      </c>
      <c r="H5045" s="51" t="str">
        <f>TEXT(tblLaborEntries[[#This Row],[Work date serial]]-WEEKDAY(tblLaborEntries[[#This Row],[Work date serial]],3),"yyyy-mm-dd")</f>
        <v>2024-01-15</v>
      </c>
      <c r="I5045" s="64">
        <f>DATEVALUE(tblLaborEntries[[#This Row],[Work date]])</f>
        <v>45312.0</v>
      </c>
    </row>
    <row r="5046" spans="1:9" ht="15" x14ac:dyDescent="0.25">
      <c r="A5046" s="53" t="inlineStr">
        <is>
          <t>LAB-005045</t>
        </is>
      </c>
      <c r="B5046" s="53" t="inlineStr">
        <is>
          <t>WP-02218</t>
        </is>
      </c>
      <c r="C5046" s="53" t="inlineStr">
        <is>
          <t>TECH-050</t>
        </is>
      </c>
      <c r="D5046" s="53" t="inlineStr">
        <is>
          <t>Avionics</t>
        </is>
      </c>
      <c r="E5046" s="53" t="inlineStr">
        <is>
          <t>2024-01-22</t>
        </is>
      </c>
      <c r="F5046" s="53">
        <v>6.2</v>
      </c>
      <c r="G5046" s="53">
        <v>0</v>
      </c>
      <c r="H5046" s="51" t="str">
        <f>TEXT(tblLaborEntries[[#This Row],[Work date serial]]-WEEKDAY(tblLaborEntries[[#This Row],[Work date serial]],3),"yyyy-mm-dd")</f>
        <v>2024-01-22</v>
      </c>
      <c r="I5046" s="64">
        <f>DATEVALUE(tblLaborEntries[[#This Row],[Work date]])</f>
        <v>45313.0</v>
      </c>
    </row>
    <row r="5047" spans="1:9" ht="15" x14ac:dyDescent="0.25">
      <c r="A5047" s="53" t="inlineStr">
        <is>
          <t>LAB-005046</t>
        </is>
      </c>
      <c r="B5047" s="53" t="inlineStr">
        <is>
          <t>WP-02219</t>
        </is>
      </c>
      <c r="C5047" s="53" t="inlineStr">
        <is>
          <t>TECH-007</t>
        </is>
      </c>
      <c r="D5047" s="53" t="inlineStr">
        <is>
          <t>Airframe</t>
        </is>
      </c>
      <c r="E5047" s="53" t="inlineStr">
        <is>
          <t>2025-10-17</t>
        </is>
      </c>
      <c r="F5047" s="53">
        <v>2.6</v>
      </c>
      <c r="G5047" s="53">
        <v>0</v>
      </c>
      <c r="H5047" s="51" t="str">
        <f>TEXT(tblLaborEntries[[#This Row],[Work date serial]]-WEEKDAY(tblLaborEntries[[#This Row],[Work date serial]],3),"yyyy-mm-dd")</f>
        <v>2025-10-13</v>
      </c>
      <c r="I5047" s="64">
        <f>DATEVALUE(tblLaborEntries[[#This Row],[Work date]])</f>
        <v>45947.0</v>
      </c>
    </row>
    <row r="5048" spans="1:9" ht="15" x14ac:dyDescent="0.25">
      <c r="A5048" s="53" t="inlineStr">
        <is>
          <t>LAB-005047</t>
        </is>
      </c>
      <c r="B5048" s="53" t="inlineStr">
        <is>
          <t>WP-02219</t>
        </is>
      </c>
      <c r="C5048" s="53" t="inlineStr">
        <is>
          <t>TECH-043</t>
        </is>
      </c>
      <c r="D5048" s="53" t="inlineStr">
        <is>
          <t>Airframe</t>
        </is>
      </c>
      <c r="E5048" s="53" t="inlineStr">
        <is>
          <t>2025-10-18</t>
        </is>
      </c>
      <c r="F5048" s="53">
        <v>3.8</v>
      </c>
      <c r="G5048" s="53">
        <v>0</v>
      </c>
      <c r="H5048" s="51" t="str">
        <f>TEXT(tblLaborEntries[[#This Row],[Work date serial]]-WEEKDAY(tblLaborEntries[[#This Row],[Work date serial]],3),"yyyy-mm-dd")</f>
        <v>2025-10-13</v>
      </c>
      <c r="I5048" s="64">
        <f>DATEVALUE(tblLaborEntries[[#This Row],[Work date]])</f>
        <v>45948.0</v>
      </c>
    </row>
    <row r="5049" spans="1:9" ht="15" x14ac:dyDescent="0.25">
      <c r="A5049" s="53" t="inlineStr">
        <is>
          <t>LAB-005048</t>
        </is>
      </c>
      <c r="B5049" s="53" t="inlineStr">
        <is>
          <t>WP-02219</t>
        </is>
      </c>
      <c r="C5049" s="53" t="inlineStr">
        <is>
          <t>TECH-019</t>
        </is>
      </c>
      <c r="D5049" s="53" t="inlineStr">
        <is>
          <t>Airframe</t>
        </is>
      </c>
      <c r="E5049" s="53" t="inlineStr">
        <is>
          <t>2025-10-19</t>
        </is>
      </c>
      <c r="F5049" s="53">
        <v>2.7</v>
      </c>
      <c r="G5049" s="53">
        <v>0</v>
      </c>
      <c r="H5049" s="51" t="str">
        <f>TEXT(tblLaborEntries[[#This Row],[Work date serial]]-WEEKDAY(tblLaborEntries[[#This Row],[Work date serial]],3),"yyyy-mm-dd")</f>
        <v>2025-10-13</v>
      </c>
      <c r="I5049" s="64">
        <f>DATEVALUE(tblLaborEntries[[#This Row],[Work date]])</f>
        <v>45949.0</v>
      </c>
    </row>
    <row r="5050" spans="1:9" ht="15" x14ac:dyDescent="0.25">
      <c r="A5050" s="53" t="inlineStr">
        <is>
          <t>LAB-005049</t>
        </is>
      </c>
      <c r="B5050" s="53" t="inlineStr">
        <is>
          <t>WP-02220</t>
        </is>
      </c>
      <c r="C5050" s="53" t="inlineStr">
        <is>
          <t>TECH-018</t>
        </is>
      </c>
      <c r="D5050" s="53" t="inlineStr">
        <is>
          <t>Powerplant</t>
        </is>
      </c>
      <c r="E5050" s="53" t="inlineStr">
        <is>
          <t>2024-02-14</t>
        </is>
      </c>
      <c r="F5050" s="53">
        <v>4.4</v>
      </c>
      <c r="G5050" s="53">
        <v>0</v>
      </c>
      <c r="H5050" s="51" t="str">
        <f>TEXT(tblLaborEntries[[#This Row],[Work date serial]]-WEEKDAY(tblLaborEntries[[#This Row],[Work date serial]],3),"yyyy-mm-dd")</f>
        <v>2024-02-12</v>
      </c>
      <c r="I5050" s="64">
        <f>DATEVALUE(tblLaborEntries[[#This Row],[Work date]])</f>
        <v>45336.0</v>
      </c>
    </row>
    <row r="5051" spans="1:9" ht="15" x14ac:dyDescent="0.25">
      <c r="A5051" s="53" t="inlineStr">
        <is>
          <t>LAB-005050</t>
        </is>
      </c>
      <c r="B5051" s="53" t="inlineStr">
        <is>
          <t>WP-02220</t>
        </is>
      </c>
      <c r="C5051" s="53" t="inlineStr">
        <is>
          <t>TECH-012</t>
        </is>
      </c>
      <c r="D5051" s="53" t="inlineStr">
        <is>
          <t>Powerplant</t>
        </is>
      </c>
      <c r="E5051" s="53" t="inlineStr">
        <is>
          <t>2024-02-15</t>
        </is>
      </c>
      <c r="F5051" s="53">
        <v>3</v>
      </c>
      <c r="G5051" s="53">
        <v>0</v>
      </c>
      <c r="H5051" s="51" t="str">
        <f>TEXT(tblLaborEntries[[#This Row],[Work date serial]]-WEEKDAY(tblLaborEntries[[#This Row],[Work date serial]],3),"yyyy-mm-dd")</f>
        <v>2024-02-12</v>
      </c>
      <c r="I5051" s="64">
        <f>DATEVALUE(tblLaborEntries[[#This Row],[Work date]])</f>
        <v>45337.0</v>
      </c>
    </row>
    <row r="5052" spans="1:9" ht="15" x14ac:dyDescent="0.25">
      <c r="A5052" s="53" t="inlineStr">
        <is>
          <t>LAB-005051</t>
        </is>
      </c>
      <c r="B5052" s="53" t="inlineStr">
        <is>
          <t>WP-02220</t>
        </is>
      </c>
      <c r="C5052" s="53" t="inlineStr">
        <is>
          <t>TECH-072</t>
        </is>
      </c>
      <c r="D5052" s="53" t="inlineStr">
        <is>
          <t>Powerplant</t>
        </is>
      </c>
      <c r="E5052" s="53" t="inlineStr">
        <is>
          <t>2024-02-16</t>
        </is>
      </c>
      <c r="F5052" s="53">
        <v>4.4</v>
      </c>
      <c r="G5052" s="53">
        <v>0</v>
      </c>
      <c r="H5052" s="51" t="str">
        <f>TEXT(tblLaborEntries[[#This Row],[Work date serial]]-WEEKDAY(tblLaborEntries[[#This Row],[Work date serial]],3),"yyyy-mm-dd")</f>
        <v>2024-02-12</v>
      </c>
      <c r="I5052" s="64">
        <f>DATEVALUE(tblLaborEntries[[#This Row],[Work date]])</f>
        <v>45338.0</v>
      </c>
    </row>
    <row r="5053" spans="1:9" ht="15" x14ac:dyDescent="0.25">
      <c r="A5053" s="53" t="inlineStr">
        <is>
          <t>LAB-005052</t>
        </is>
      </c>
      <c r="B5053" s="53" t="inlineStr">
        <is>
          <t>WP-02221</t>
        </is>
      </c>
      <c r="C5053" s="53" t="inlineStr">
        <is>
          <t>TECH-005</t>
        </is>
      </c>
      <c r="D5053" s="53" t="inlineStr">
        <is>
          <t>Structures</t>
        </is>
      </c>
      <c r="E5053" s="53" t="inlineStr">
        <is>
          <t>2024-04-08</t>
        </is>
      </c>
      <c r="F5053" s="53">
        <v>12</v>
      </c>
      <c r="G5053" s="53">
        <v>4</v>
      </c>
      <c r="H5053" s="51" t="str">
        <f>TEXT(tblLaborEntries[[#This Row],[Work date serial]]-WEEKDAY(tblLaborEntries[[#This Row],[Work date serial]],3),"yyyy-mm-dd")</f>
        <v>2024-04-08</v>
      </c>
      <c r="I5053" s="64">
        <f>DATEVALUE(tblLaborEntries[[#This Row],[Work date]])</f>
        <v>45390.0</v>
      </c>
    </row>
    <row r="5054" spans="1:9" ht="15" x14ac:dyDescent="0.25">
      <c r="A5054" s="53" t="inlineStr">
        <is>
          <t>LAB-005053</t>
        </is>
      </c>
      <c r="B5054" s="53" t="inlineStr">
        <is>
          <t>WP-02221</t>
        </is>
      </c>
      <c r="C5054" s="53" t="inlineStr">
        <is>
          <t>TECH-011</t>
        </is>
      </c>
      <c r="D5054" s="53" t="inlineStr">
        <is>
          <t>Structures</t>
        </is>
      </c>
      <c r="E5054" s="53" t="inlineStr">
        <is>
          <t>2024-04-08</t>
        </is>
      </c>
      <c r="F5054" s="53">
        <v>2.2</v>
      </c>
      <c r="G5054" s="53">
        <v>0</v>
      </c>
      <c r="H5054" s="51" t="str">
        <f>TEXT(tblLaborEntries[[#This Row],[Work date serial]]-WEEKDAY(tblLaborEntries[[#This Row],[Work date serial]],3),"yyyy-mm-dd")</f>
        <v>2024-04-08</v>
      </c>
      <c r="I5054" s="64">
        <f>DATEVALUE(tblLaborEntries[[#This Row],[Work date]])</f>
        <v>45390.0</v>
      </c>
    </row>
    <row r="5055" spans="1:9" ht="15" x14ac:dyDescent="0.25">
      <c r="A5055" s="53" t="inlineStr">
        <is>
          <t>LAB-005054</t>
        </is>
      </c>
      <c r="B5055" s="53" t="inlineStr">
        <is>
          <t>WP-02221</t>
        </is>
      </c>
      <c r="C5055" s="53" t="inlineStr">
        <is>
          <t>TECH-035</t>
        </is>
      </c>
      <c r="D5055" s="53" t="inlineStr">
        <is>
          <t>Structures</t>
        </is>
      </c>
      <c r="E5055" s="53" t="inlineStr">
        <is>
          <t>2024-04-08</t>
        </is>
      </c>
      <c r="F5055" s="53">
        <v>12</v>
      </c>
      <c r="G5055" s="53">
        <v>4</v>
      </c>
      <c r="H5055" s="51" t="str">
        <f>TEXT(tblLaborEntries[[#This Row],[Work date serial]]-WEEKDAY(tblLaborEntries[[#This Row],[Work date serial]],3),"yyyy-mm-dd")</f>
        <v>2024-04-08</v>
      </c>
      <c r="I5055" s="64">
        <f>DATEVALUE(tblLaborEntries[[#This Row],[Work date]])</f>
        <v>45390.0</v>
      </c>
    </row>
    <row r="5056" spans="1:9" ht="15" x14ac:dyDescent="0.25">
      <c r="A5056" s="53" t="inlineStr">
        <is>
          <t>LAB-005055</t>
        </is>
      </c>
      <c r="B5056" s="53" t="inlineStr">
        <is>
          <t>WP-02221</t>
        </is>
      </c>
      <c r="C5056" s="53" t="inlineStr">
        <is>
          <t>TECH-005</t>
        </is>
      </c>
      <c r="D5056" s="53" t="inlineStr">
        <is>
          <t>Structures</t>
        </is>
      </c>
      <c r="E5056" s="53" t="inlineStr">
        <is>
          <t>2024-04-09</t>
        </is>
      </c>
      <c r="F5056" s="53">
        <v>12</v>
      </c>
      <c r="G5056" s="53">
        <v>4</v>
      </c>
      <c r="H5056" s="51" t="str">
        <f>TEXT(tblLaborEntries[[#This Row],[Work date serial]]-WEEKDAY(tblLaborEntries[[#This Row],[Work date serial]],3),"yyyy-mm-dd")</f>
        <v>2024-04-08</v>
      </c>
      <c r="I5056" s="64">
        <f>DATEVALUE(tblLaborEntries[[#This Row],[Work date]])</f>
        <v>45391.0</v>
      </c>
    </row>
    <row r="5057" spans="1:9" ht="15" x14ac:dyDescent="0.25">
      <c r="A5057" s="53" t="inlineStr">
        <is>
          <t>LAB-005056</t>
        </is>
      </c>
      <c r="B5057" s="53" t="inlineStr">
        <is>
          <t>WP-02221</t>
        </is>
      </c>
      <c r="C5057" s="53" t="inlineStr">
        <is>
          <t>TECH-011</t>
        </is>
      </c>
      <c r="D5057" s="53" t="inlineStr">
        <is>
          <t>Structures</t>
        </is>
      </c>
      <c r="E5057" s="53" t="inlineStr">
        <is>
          <t>2024-04-09</t>
        </is>
      </c>
      <c r="F5057" s="53">
        <v>1.7</v>
      </c>
      <c r="G5057" s="53">
        <v>0</v>
      </c>
      <c r="H5057" s="51" t="str">
        <f>TEXT(tblLaborEntries[[#This Row],[Work date serial]]-WEEKDAY(tblLaborEntries[[#This Row],[Work date serial]],3),"yyyy-mm-dd")</f>
        <v>2024-04-08</v>
      </c>
      <c r="I5057" s="64">
        <f>DATEVALUE(tblLaborEntries[[#This Row],[Work date]])</f>
        <v>45391.0</v>
      </c>
    </row>
    <row r="5058" spans="1:9" ht="15" x14ac:dyDescent="0.25">
      <c r="A5058" s="53" t="inlineStr">
        <is>
          <t>LAB-005057</t>
        </is>
      </c>
      <c r="B5058" s="53" t="inlineStr">
        <is>
          <t>WP-02221</t>
        </is>
      </c>
      <c r="C5058" s="53" t="inlineStr">
        <is>
          <t>TECH-035</t>
        </is>
      </c>
      <c r="D5058" s="53" t="inlineStr">
        <is>
          <t>Structures</t>
        </is>
      </c>
      <c r="E5058" s="53" t="inlineStr">
        <is>
          <t>2024-04-09</t>
        </is>
      </c>
      <c r="F5058" s="53">
        <v>12</v>
      </c>
      <c r="G5058" s="53">
        <v>4</v>
      </c>
      <c r="H5058" s="51" t="str">
        <f>TEXT(tblLaborEntries[[#This Row],[Work date serial]]-WEEKDAY(tblLaborEntries[[#This Row],[Work date serial]],3),"yyyy-mm-dd")</f>
        <v>2024-04-08</v>
      </c>
      <c r="I5058" s="64">
        <f>DATEVALUE(tblLaborEntries[[#This Row],[Work date]])</f>
        <v>45391.0</v>
      </c>
    </row>
    <row r="5059" spans="1:9" ht="15" x14ac:dyDescent="0.25">
      <c r="A5059" s="53" t="inlineStr">
        <is>
          <t>LAB-005058</t>
        </is>
      </c>
      <c r="B5059" s="53" t="inlineStr">
        <is>
          <t>WP-02222</t>
        </is>
      </c>
      <c r="C5059" s="53" t="inlineStr">
        <is>
          <t>TECH-069</t>
        </is>
      </c>
      <c r="D5059" s="53" t="inlineStr">
        <is>
          <t>Hydraulics</t>
        </is>
      </c>
      <c r="E5059" s="53" t="inlineStr">
        <is>
          <t>2024-11-09</t>
        </is>
      </c>
      <c r="F5059" s="53">
        <v>2.2</v>
      </c>
      <c r="G5059" s="53">
        <v>0</v>
      </c>
      <c r="H5059" s="51" t="str">
        <f>TEXT(tblLaborEntries[[#This Row],[Work date serial]]-WEEKDAY(tblLaborEntries[[#This Row],[Work date serial]],3),"yyyy-mm-dd")</f>
        <v>2024-11-04</v>
      </c>
      <c r="I5059" s="64">
        <f>DATEVALUE(tblLaborEntries[[#This Row],[Work date]])</f>
        <v>45605.0</v>
      </c>
    </row>
    <row r="5060" spans="1:9" ht="15" x14ac:dyDescent="0.25">
      <c r="A5060" s="53" t="inlineStr">
        <is>
          <t>LAB-005059</t>
        </is>
      </c>
      <c r="B5060" s="53" t="inlineStr">
        <is>
          <t>WP-02222</t>
        </is>
      </c>
      <c r="C5060" s="53" t="inlineStr">
        <is>
          <t>TECH-069</t>
        </is>
      </c>
      <c r="D5060" s="53" t="inlineStr">
        <is>
          <t>Hydraulics</t>
        </is>
      </c>
      <c r="E5060" s="53" t="inlineStr">
        <is>
          <t>2024-11-10</t>
        </is>
      </c>
      <c r="F5060" s="53">
        <v>2.4</v>
      </c>
      <c r="G5060" s="53">
        <v>0</v>
      </c>
      <c r="H5060" s="51" t="str">
        <f>TEXT(tblLaborEntries[[#This Row],[Work date serial]]-WEEKDAY(tblLaborEntries[[#This Row],[Work date serial]],3),"yyyy-mm-dd")</f>
        <v>2024-11-04</v>
      </c>
      <c r="I5060" s="64">
        <f>DATEVALUE(tblLaborEntries[[#This Row],[Work date]])</f>
        <v>45606.0</v>
      </c>
    </row>
    <row r="5061" spans="1:9" ht="15" x14ac:dyDescent="0.25">
      <c r="A5061" s="53" t="inlineStr">
        <is>
          <t>LAB-005060</t>
        </is>
      </c>
      <c r="B5061" s="53" t="inlineStr">
        <is>
          <t>WP-02222</t>
        </is>
      </c>
      <c r="C5061" s="53" t="inlineStr">
        <is>
          <t>TECH-063</t>
        </is>
      </c>
      <c r="D5061" s="53" t="inlineStr">
        <is>
          <t>Hydraulics</t>
        </is>
      </c>
      <c r="E5061" s="53" t="inlineStr">
        <is>
          <t>2024-11-11</t>
        </is>
      </c>
      <c r="F5061" s="53">
        <v>3.1</v>
      </c>
      <c r="G5061" s="53">
        <v>0</v>
      </c>
      <c r="H5061" s="51" t="str">
        <f>TEXT(tblLaborEntries[[#This Row],[Work date serial]]-WEEKDAY(tblLaborEntries[[#This Row],[Work date serial]],3),"yyyy-mm-dd")</f>
        <v>2024-11-11</v>
      </c>
      <c r="I5061" s="64">
        <f>DATEVALUE(tblLaborEntries[[#This Row],[Work date]])</f>
        <v>45607.0</v>
      </c>
    </row>
    <row r="5062" spans="1:9" ht="15" x14ac:dyDescent="0.25">
      <c r="A5062" s="53" t="inlineStr">
        <is>
          <t>LAB-005061</t>
        </is>
      </c>
      <c r="B5062" s="53" t="inlineStr">
        <is>
          <t>WP-02223</t>
        </is>
      </c>
      <c r="C5062" s="53" t="inlineStr">
        <is>
          <t>TECH-073</t>
        </is>
      </c>
      <c r="D5062" s="53" t="inlineStr">
        <is>
          <t>Airframe</t>
        </is>
      </c>
      <c r="E5062" s="53" t="inlineStr">
        <is>
          <t>2025-03-21</t>
        </is>
      </c>
      <c r="F5062" s="53">
        <v>3.4</v>
      </c>
      <c r="G5062" s="53">
        <v>0</v>
      </c>
      <c r="H5062" s="51" t="str">
        <f>TEXT(tblLaborEntries[[#This Row],[Work date serial]]-WEEKDAY(tblLaborEntries[[#This Row],[Work date serial]],3),"yyyy-mm-dd")</f>
        <v>2025-03-17</v>
      </c>
      <c r="I5062" s="64">
        <f>DATEVALUE(tblLaborEntries[[#This Row],[Work date]])</f>
        <v>45737.0</v>
      </c>
    </row>
    <row r="5063" spans="1:9" ht="15" x14ac:dyDescent="0.25">
      <c r="A5063" s="53" t="inlineStr">
        <is>
          <t>LAB-005062</t>
        </is>
      </c>
      <c r="B5063" s="53" t="inlineStr">
        <is>
          <t>WP-02223</t>
        </is>
      </c>
      <c r="C5063" s="53" t="inlineStr">
        <is>
          <t>TECH-007</t>
        </is>
      </c>
      <c r="D5063" s="53" t="inlineStr">
        <is>
          <t>Airframe</t>
        </is>
      </c>
      <c r="E5063" s="53" t="inlineStr">
        <is>
          <t>2025-03-22</t>
        </is>
      </c>
      <c r="F5063" s="53">
        <v>5.1</v>
      </c>
      <c r="G5063" s="53">
        <v>0</v>
      </c>
      <c r="H5063" s="51" t="str">
        <f>TEXT(tblLaborEntries[[#This Row],[Work date serial]]-WEEKDAY(tblLaborEntries[[#This Row],[Work date serial]],3),"yyyy-mm-dd")</f>
        <v>2025-03-17</v>
      </c>
      <c r="I5063" s="64">
        <f>DATEVALUE(tblLaborEntries[[#This Row],[Work date]])</f>
        <v>45738.0</v>
      </c>
    </row>
    <row r="5064" spans="1:9" ht="15" x14ac:dyDescent="0.25">
      <c r="A5064" s="53" t="inlineStr">
        <is>
          <t>LAB-005063</t>
        </is>
      </c>
      <c r="B5064" s="53" t="inlineStr">
        <is>
          <t>WP-02223</t>
        </is>
      </c>
      <c r="C5064" s="53" t="inlineStr">
        <is>
          <t>TECH-073</t>
        </is>
      </c>
      <c r="D5064" s="53" t="inlineStr">
        <is>
          <t>Airframe</t>
        </is>
      </c>
      <c r="E5064" s="53" t="inlineStr">
        <is>
          <t>2025-03-23</t>
        </is>
      </c>
      <c r="F5064" s="53">
        <v>3.9</v>
      </c>
      <c r="G5064" s="53">
        <v>0</v>
      </c>
      <c r="H5064" s="51" t="str">
        <f>TEXT(tblLaborEntries[[#This Row],[Work date serial]]-WEEKDAY(tblLaborEntries[[#This Row],[Work date serial]],3),"yyyy-mm-dd")</f>
        <v>2025-03-17</v>
      </c>
      <c r="I5064" s="64">
        <f>DATEVALUE(tblLaborEntries[[#This Row],[Work date]])</f>
        <v>45739.0</v>
      </c>
    </row>
    <row r="5065" spans="1:9" ht="15" x14ac:dyDescent="0.25">
      <c r="A5065" s="53" t="inlineStr">
        <is>
          <t>LAB-005064</t>
        </is>
      </c>
      <c r="B5065" s="53" t="inlineStr">
        <is>
          <t>WP-02224</t>
        </is>
      </c>
      <c r="C5065" s="53" t="inlineStr">
        <is>
          <t>TECH-005</t>
        </is>
      </c>
      <c r="D5065" s="53" t="inlineStr">
        <is>
          <t>Structures</t>
        </is>
      </c>
      <c r="E5065" s="53" t="inlineStr">
        <is>
          <t>2025-10-23</t>
        </is>
      </c>
      <c r="F5065" s="53">
        <v>1</v>
      </c>
      <c r="G5065" s="53">
        <v>0</v>
      </c>
      <c r="H5065" s="51" t="str">
        <f>TEXT(tblLaborEntries[[#This Row],[Work date serial]]-WEEKDAY(tblLaborEntries[[#This Row],[Work date serial]],3),"yyyy-mm-dd")</f>
        <v>2025-10-20</v>
      </c>
      <c r="I5065" s="64">
        <f>DATEVALUE(tblLaborEntries[[#This Row],[Work date]])</f>
        <v>45953.0</v>
      </c>
    </row>
    <row r="5066" spans="1:9" ht="15" x14ac:dyDescent="0.25">
      <c r="A5066" s="53" t="inlineStr">
        <is>
          <t>LAB-005065</t>
        </is>
      </c>
      <c r="B5066" s="53" t="inlineStr">
        <is>
          <t>WP-02224</t>
        </is>
      </c>
      <c r="C5066" s="53" t="inlineStr">
        <is>
          <t>TECH-017</t>
        </is>
      </c>
      <c r="D5066" s="53" t="inlineStr">
        <is>
          <t>Structures</t>
        </is>
      </c>
      <c r="E5066" s="53" t="inlineStr">
        <is>
          <t>2025-10-23</t>
        </is>
      </c>
      <c r="F5066" s="53">
        <v>12</v>
      </c>
      <c r="G5066" s="53">
        <v>4</v>
      </c>
      <c r="H5066" s="51" t="str">
        <f>TEXT(tblLaborEntries[[#This Row],[Work date serial]]-WEEKDAY(tblLaborEntries[[#This Row],[Work date serial]],3),"yyyy-mm-dd")</f>
        <v>2025-10-20</v>
      </c>
      <c r="I5066" s="64">
        <f>DATEVALUE(tblLaborEntries[[#This Row],[Work date]])</f>
        <v>45953.0</v>
      </c>
    </row>
    <row r="5067" spans="1:9" ht="15" x14ac:dyDescent="0.25">
      <c r="A5067" s="53" t="inlineStr">
        <is>
          <t>LAB-005066</t>
        </is>
      </c>
      <c r="B5067" s="53" t="inlineStr">
        <is>
          <t>WP-02224</t>
        </is>
      </c>
      <c r="C5067" s="53" t="inlineStr">
        <is>
          <t>TECH-005</t>
        </is>
      </c>
      <c r="D5067" s="53" t="inlineStr">
        <is>
          <t>Structures</t>
        </is>
      </c>
      <c r="E5067" s="53" t="inlineStr">
        <is>
          <t>2025-10-24</t>
        </is>
      </c>
      <c r="F5067" s="53">
        <v>12</v>
      </c>
      <c r="G5067" s="53">
        <v>4</v>
      </c>
      <c r="H5067" s="51" t="str">
        <f>TEXT(tblLaborEntries[[#This Row],[Work date serial]]-WEEKDAY(tblLaborEntries[[#This Row],[Work date serial]],3),"yyyy-mm-dd")</f>
        <v>2025-10-20</v>
      </c>
      <c r="I5067" s="64">
        <f>DATEVALUE(tblLaborEntries[[#This Row],[Work date]])</f>
        <v>45954.0</v>
      </c>
    </row>
    <row r="5068" spans="1:9" ht="15" x14ac:dyDescent="0.25">
      <c r="A5068" s="53" t="inlineStr">
        <is>
          <t>LAB-005067</t>
        </is>
      </c>
      <c r="B5068" s="53" t="inlineStr">
        <is>
          <t>WP-02224</t>
        </is>
      </c>
      <c r="C5068" s="53" t="inlineStr">
        <is>
          <t>TECH-011</t>
        </is>
      </c>
      <c r="D5068" s="53" t="inlineStr">
        <is>
          <t>Structures</t>
        </is>
      </c>
      <c r="E5068" s="53" t="inlineStr">
        <is>
          <t>2025-10-24</t>
        </is>
      </c>
      <c r="F5068" s="53">
        <v>7.8</v>
      </c>
      <c r="G5068" s="53">
        <v>0</v>
      </c>
      <c r="H5068" s="51" t="str">
        <f>TEXT(tblLaborEntries[[#This Row],[Work date serial]]-WEEKDAY(tblLaborEntries[[#This Row],[Work date serial]],3),"yyyy-mm-dd")</f>
        <v>2025-10-20</v>
      </c>
      <c r="I5068" s="64">
        <f>DATEVALUE(tblLaborEntries[[#This Row],[Work date]])</f>
        <v>45954.0</v>
      </c>
    </row>
    <row r="5069" spans="1:9" ht="15" x14ac:dyDescent="0.25">
      <c r="A5069" s="53" t="inlineStr">
        <is>
          <t>LAB-005068</t>
        </is>
      </c>
      <c r="B5069" s="53" t="inlineStr">
        <is>
          <t>WP-02225</t>
        </is>
      </c>
      <c r="C5069" s="53" t="inlineStr">
        <is>
          <t>TECH-038</t>
        </is>
      </c>
      <c r="D5069" s="53" t="inlineStr">
        <is>
          <t>Avionics</t>
        </is>
      </c>
      <c r="E5069" s="53" t="inlineStr">
        <is>
          <t>2024-07-22</t>
        </is>
      </c>
      <c r="F5069" s="53">
        <v>3.6</v>
      </c>
      <c r="G5069" s="53">
        <v>0</v>
      </c>
      <c r="H5069" s="51" t="str">
        <f>TEXT(tblLaborEntries[[#This Row],[Work date serial]]-WEEKDAY(tblLaborEntries[[#This Row],[Work date serial]],3),"yyyy-mm-dd")</f>
        <v>2024-07-22</v>
      </c>
      <c r="I5069" s="64">
        <f>DATEVALUE(tblLaborEntries[[#This Row],[Work date]])</f>
        <v>45495.0</v>
      </c>
    </row>
    <row r="5070" spans="1:9" ht="15" x14ac:dyDescent="0.25">
      <c r="A5070" s="53" t="inlineStr">
        <is>
          <t>LAB-005069</t>
        </is>
      </c>
      <c r="B5070" s="53" t="inlineStr">
        <is>
          <t>WP-02225</t>
        </is>
      </c>
      <c r="C5070" s="53" t="inlineStr">
        <is>
          <t>TECH-026</t>
        </is>
      </c>
      <c r="D5070" s="53" t="inlineStr">
        <is>
          <t>Avionics</t>
        </is>
      </c>
      <c r="E5070" s="53" t="inlineStr">
        <is>
          <t>2024-07-23</t>
        </is>
      </c>
      <c r="F5070" s="53">
        <v>3.4</v>
      </c>
      <c r="G5070" s="53">
        <v>0</v>
      </c>
      <c r="H5070" s="51" t="str">
        <f>TEXT(tblLaborEntries[[#This Row],[Work date serial]]-WEEKDAY(tblLaborEntries[[#This Row],[Work date serial]],3),"yyyy-mm-dd")</f>
        <v>2024-07-22</v>
      </c>
      <c r="I5070" s="64">
        <f>DATEVALUE(tblLaborEntries[[#This Row],[Work date]])</f>
        <v>45496.0</v>
      </c>
    </row>
    <row r="5071" spans="1:9" ht="15" x14ac:dyDescent="0.25">
      <c r="A5071" s="53" t="inlineStr">
        <is>
          <t>LAB-005070</t>
        </is>
      </c>
      <c r="B5071" s="53" t="inlineStr">
        <is>
          <t>WP-02225</t>
        </is>
      </c>
      <c r="C5071" s="53" t="inlineStr">
        <is>
          <t>TECH-062</t>
        </is>
      </c>
      <c r="D5071" s="53" t="inlineStr">
        <is>
          <t>Avionics</t>
        </is>
      </c>
      <c r="E5071" s="53" t="inlineStr">
        <is>
          <t>2024-07-24</t>
        </is>
      </c>
      <c r="F5071" s="53">
        <v>4</v>
      </c>
      <c r="G5071" s="53">
        <v>0</v>
      </c>
      <c r="H5071" s="51" t="str">
        <f>TEXT(tblLaborEntries[[#This Row],[Work date serial]]-WEEKDAY(tblLaborEntries[[#This Row],[Work date serial]],3),"yyyy-mm-dd")</f>
        <v>2024-07-22</v>
      </c>
      <c r="I5071" s="64">
        <f>DATEVALUE(tblLaborEntries[[#This Row],[Work date]])</f>
        <v>45497.0</v>
      </c>
    </row>
    <row r="5072" spans="1:9" ht="15" x14ac:dyDescent="0.25">
      <c r="A5072" s="53" t="inlineStr">
        <is>
          <t>LAB-005071</t>
        </is>
      </c>
      <c r="B5072" s="53" t="inlineStr">
        <is>
          <t>WP-02226</t>
        </is>
      </c>
      <c r="C5072" s="53" t="inlineStr">
        <is>
          <t>TECH-002</t>
        </is>
      </c>
      <c r="D5072" s="53" t="inlineStr">
        <is>
          <t>Avionics</t>
        </is>
      </c>
      <c r="E5072" s="53" t="inlineStr">
        <is>
          <t>2025-04-20</t>
        </is>
      </c>
      <c r="F5072" s="53">
        <v>6.1</v>
      </c>
      <c r="G5072" s="53">
        <v>0</v>
      </c>
      <c r="H5072" s="51" t="str">
        <f>TEXT(tblLaborEntries[[#This Row],[Work date serial]]-WEEKDAY(tblLaborEntries[[#This Row],[Work date serial]],3),"yyyy-mm-dd")</f>
        <v>2025-04-14</v>
      </c>
      <c r="I5072" s="64">
        <f>DATEVALUE(tblLaborEntries[[#This Row],[Work date]])</f>
        <v>45767.0</v>
      </c>
    </row>
    <row r="5073" spans="1:9" ht="15" x14ac:dyDescent="0.25">
      <c r="A5073" s="53" t="inlineStr">
        <is>
          <t>LAB-005072</t>
        </is>
      </c>
      <c r="B5073" s="53" t="inlineStr">
        <is>
          <t>WP-02226</t>
        </is>
      </c>
      <c r="C5073" s="53" t="inlineStr">
        <is>
          <t>TECH-002</t>
        </is>
      </c>
      <c r="D5073" s="53" t="inlineStr">
        <is>
          <t>Avionics</t>
        </is>
      </c>
      <c r="E5073" s="53" t="inlineStr">
        <is>
          <t>2025-04-21</t>
        </is>
      </c>
      <c r="F5073" s="53">
        <v>5.1</v>
      </c>
      <c r="G5073" s="53">
        <v>0</v>
      </c>
      <c r="H5073" s="51" t="str">
        <f>TEXT(tblLaborEntries[[#This Row],[Work date serial]]-WEEKDAY(tblLaborEntries[[#This Row],[Work date serial]],3),"yyyy-mm-dd")</f>
        <v>2025-04-21</v>
      </c>
      <c r="I5073" s="64">
        <f>DATEVALUE(tblLaborEntries[[#This Row],[Work date]])</f>
        <v>45768.0</v>
      </c>
    </row>
    <row r="5074" spans="1:9" ht="15" x14ac:dyDescent="0.25">
      <c r="A5074" s="53" t="inlineStr">
        <is>
          <t>LAB-005073</t>
        </is>
      </c>
      <c r="B5074" s="53" t="inlineStr">
        <is>
          <t>WP-02227</t>
        </is>
      </c>
      <c r="C5074" s="53" t="inlineStr">
        <is>
          <t>TECH-044</t>
        </is>
      </c>
      <c r="D5074" s="53" t="inlineStr">
        <is>
          <t>Avionics</t>
        </is>
      </c>
      <c r="E5074" s="53" t="inlineStr">
        <is>
          <t>2025-08-22</t>
        </is>
      </c>
      <c r="F5074" s="53">
        <v>5</v>
      </c>
      <c r="G5074" s="53">
        <v>0</v>
      </c>
      <c r="H5074" s="51" t="str">
        <f>TEXT(tblLaborEntries[[#This Row],[Work date serial]]-WEEKDAY(tblLaborEntries[[#This Row],[Work date serial]],3),"yyyy-mm-dd")</f>
        <v>2025-08-18</v>
      </c>
      <c r="I5074" s="64">
        <f>DATEVALUE(tblLaborEntries[[#This Row],[Work date]])</f>
        <v>45891.0</v>
      </c>
    </row>
    <row r="5075" spans="1:9" ht="15" x14ac:dyDescent="0.25">
      <c r="A5075" s="53" t="inlineStr">
        <is>
          <t>LAB-005074</t>
        </is>
      </c>
      <c r="B5075" s="53" t="inlineStr">
        <is>
          <t>WP-02227</t>
        </is>
      </c>
      <c r="C5075" s="53" t="inlineStr">
        <is>
          <t>TECH-008</t>
        </is>
      </c>
      <c r="D5075" s="53" t="inlineStr">
        <is>
          <t>Avionics</t>
        </is>
      </c>
      <c r="E5075" s="53" t="inlineStr">
        <is>
          <t>2025-08-23</t>
        </is>
      </c>
      <c r="F5075" s="53">
        <v>7.1</v>
      </c>
      <c r="G5075" s="53">
        <v>0</v>
      </c>
      <c r="H5075" s="51" t="str">
        <f>TEXT(tblLaborEntries[[#This Row],[Work date serial]]-WEEKDAY(tblLaborEntries[[#This Row],[Work date serial]],3),"yyyy-mm-dd")</f>
        <v>2025-08-18</v>
      </c>
      <c r="I5075" s="64">
        <f>DATEVALUE(tblLaborEntries[[#This Row],[Work date]])</f>
        <v>45892.0</v>
      </c>
    </row>
    <row r="5076" spans="1:9" ht="15" x14ac:dyDescent="0.25">
      <c r="A5076" s="53" t="inlineStr">
        <is>
          <t>LAB-005075</t>
        </is>
      </c>
      <c r="B5076" s="53" t="inlineStr">
        <is>
          <t>WP-02228</t>
        </is>
      </c>
      <c r="C5076" s="53" t="inlineStr">
        <is>
          <t>TECH-002</t>
        </is>
      </c>
      <c r="D5076" s="53" t="inlineStr">
        <is>
          <t>Avionics</t>
        </is>
      </c>
      <c r="E5076" s="53" t="inlineStr">
        <is>
          <t>2025-09-16</t>
        </is>
      </c>
      <c r="F5076" s="53">
        <v>5.6</v>
      </c>
      <c r="G5076" s="53">
        <v>0</v>
      </c>
      <c r="H5076" s="51" t="str">
        <f>TEXT(tblLaborEntries[[#This Row],[Work date serial]]-WEEKDAY(tblLaborEntries[[#This Row],[Work date serial]],3),"yyyy-mm-dd")</f>
        <v>2025-09-15</v>
      </c>
      <c r="I5076" s="64">
        <f>DATEVALUE(tblLaborEntries[[#This Row],[Work date]])</f>
        <v>45916.0</v>
      </c>
    </row>
    <row r="5077" spans="1:9" ht="15" x14ac:dyDescent="0.25">
      <c r="A5077" s="53" t="inlineStr">
        <is>
          <t>LAB-005076</t>
        </is>
      </c>
      <c r="B5077" s="53" t="inlineStr">
        <is>
          <t>WP-02229</t>
        </is>
      </c>
      <c r="C5077" s="53" t="inlineStr">
        <is>
          <t>TECH-073</t>
        </is>
      </c>
      <c r="D5077" s="53" t="inlineStr">
        <is>
          <t>Airframe</t>
        </is>
      </c>
      <c r="E5077" s="53" t="inlineStr">
        <is>
          <t>2025-03-01</t>
        </is>
      </c>
      <c r="F5077" s="53">
        <v>2.7</v>
      </c>
      <c r="G5077" s="53">
        <v>0</v>
      </c>
      <c r="H5077" s="51" t="str">
        <f>TEXT(tblLaborEntries[[#This Row],[Work date serial]]-WEEKDAY(tblLaborEntries[[#This Row],[Work date serial]],3),"yyyy-mm-dd")</f>
        <v>2025-02-24</v>
      </c>
      <c r="I5077" s="64">
        <f>DATEVALUE(tblLaborEntries[[#This Row],[Work date]])</f>
        <v>45717.0</v>
      </c>
    </row>
    <row r="5078" spans="1:9" ht="15" x14ac:dyDescent="0.25">
      <c r="A5078" s="53" t="inlineStr">
        <is>
          <t>LAB-005077</t>
        </is>
      </c>
      <c r="B5078" s="53" t="inlineStr">
        <is>
          <t>WP-02229</t>
        </is>
      </c>
      <c r="C5078" s="53" t="inlineStr">
        <is>
          <t>TECH-025</t>
        </is>
      </c>
      <c r="D5078" s="53" t="inlineStr">
        <is>
          <t>Airframe</t>
        </is>
      </c>
      <c r="E5078" s="53" t="inlineStr">
        <is>
          <t>2025-03-02</t>
        </is>
      </c>
      <c r="F5078" s="53">
        <v>2.3</v>
      </c>
      <c r="G5078" s="53">
        <v>0</v>
      </c>
      <c r="H5078" s="51" t="str">
        <f>TEXT(tblLaborEntries[[#This Row],[Work date serial]]-WEEKDAY(tblLaborEntries[[#This Row],[Work date serial]],3),"yyyy-mm-dd")</f>
        <v>2025-02-24</v>
      </c>
      <c r="I5078" s="64">
        <f>DATEVALUE(tblLaborEntries[[#This Row],[Work date]])</f>
        <v>45718.0</v>
      </c>
    </row>
    <row r="5079" spans="1:9" ht="15" x14ac:dyDescent="0.25">
      <c r="A5079" s="53" t="inlineStr">
        <is>
          <t>LAB-005078</t>
        </is>
      </c>
      <c r="B5079" s="53" t="inlineStr">
        <is>
          <t>WP-02230</t>
        </is>
      </c>
      <c r="C5079" s="53" t="inlineStr">
        <is>
          <t>TECH-002</t>
        </is>
      </c>
      <c r="D5079" s="53" t="inlineStr">
        <is>
          <t>Avionics</t>
        </is>
      </c>
      <c r="E5079" s="53" t="inlineStr">
        <is>
          <t>2025-01-07</t>
        </is>
      </c>
      <c r="F5079" s="53">
        <v>2</v>
      </c>
      <c r="G5079" s="53">
        <v>0</v>
      </c>
      <c r="H5079" s="51" t="str">
        <f>TEXT(tblLaborEntries[[#This Row],[Work date serial]]-WEEKDAY(tblLaborEntries[[#This Row],[Work date serial]],3),"yyyy-mm-dd")</f>
        <v>2025-01-06</v>
      </c>
      <c r="I5079" s="64">
        <f>DATEVALUE(tblLaborEntries[[#This Row],[Work date]])</f>
        <v>45664.0</v>
      </c>
    </row>
    <row r="5080" spans="1:9" ht="15" x14ac:dyDescent="0.25">
      <c r="A5080" s="53" t="inlineStr">
        <is>
          <t>LAB-005079</t>
        </is>
      </c>
      <c r="B5080" s="53" t="inlineStr">
        <is>
          <t>WP-02230</t>
        </is>
      </c>
      <c r="C5080" s="53" t="inlineStr">
        <is>
          <t>TECH-062</t>
        </is>
      </c>
      <c r="D5080" s="53" t="inlineStr">
        <is>
          <t>Avionics</t>
        </is>
      </c>
      <c r="E5080" s="53" t="inlineStr">
        <is>
          <t>2025-01-07</t>
        </is>
      </c>
      <c r="F5080" s="53">
        <v>12</v>
      </c>
      <c r="G5080" s="53">
        <v>4</v>
      </c>
      <c r="H5080" s="51" t="str">
        <f>TEXT(tblLaborEntries[[#This Row],[Work date serial]]-WEEKDAY(tblLaborEntries[[#This Row],[Work date serial]],3),"yyyy-mm-dd")</f>
        <v>2025-01-06</v>
      </c>
      <c r="I5080" s="64">
        <f>DATEVALUE(tblLaborEntries[[#This Row],[Work date]])</f>
        <v>45664.0</v>
      </c>
    </row>
    <row r="5081" spans="1:9" ht="15" x14ac:dyDescent="0.25">
      <c r="A5081" s="53" t="inlineStr">
        <is>
          <t>LAB-005080</t>
        </is>
      </c>
      <c r="B5081" s="53" t="inlineStr">
        <is>
          <t>WP-02230</t>
        </is>
      </c>
      <c r="C5081" s="53" t="inlineStr">
        <is>
          <t>TECH-002</t>
        </is>
      </c>
      <c r="D5081" s="53" t="inlineStr">
        <is>
          <t>Avionics</t>
        </is>
      </c>
      <c r="E5081" s="53" t="inlineStr">
        <is>
          <t>2025-01-08</t>
        </is>
      </c>
      <c r="F5081" s="53">
        <v>5.5</v>
      </c>
      <c r="G5081" s="53">
        <v>0</v>
      </c>
      <c r="H5081" s="51" t="str">
        <f>TEXT(tblLaborEntries[[#This Row],[Work date serial]]-WEEKDAY(tblLaborEntries[[#This Row],[Work date serial]],3),"yyyy-mm-dd")</f>
        <v>2025-01-06</v>
      </c>
      <c r="I5081" s="64">
        <f>DATEVALUE(tblLaborEntries[[#This Row],[Work date]])</f>
        <v>45665.0</v>
      </c>
    </row>
    <row r="5082" spans="1:9" ht="15" x14ac:dyDescent="0.25">
      <c r="A5082" s="53" t="inlineStr">
        <is>
          <t>LAB-005081</t>
        </is>
      </c>
      <c r="B5082" s="53" t="inlineStr">
        <is>
          <t>WP-02230</t>
        </is>
      </c>
      <c r="C5082" s="53" t="inlineStr">
        <is>
          <t>TECH-032</t>
        </is>
      </c>
      <c r="D5082" s="53" t="inlineStr">
        <is>
          <t>Avionics</t>
        </is>
      </c>
      <c r="E5082" s="53" t="inlineStr">
        <is>
          <t>2025-01-08</t>
        </is>
      </c>
      <c r="F5082" s="53">
        <v>7.7</v>
      </c>
      <c r="G5082" s="53">
        <v>4</v>
      </c>
      <c r="H5082" s="51" t="str">
        <f>TEXT(tblLaborEntries[[#This Row],[Work date serial]]-WEEKDAY(tblLaborEntries[[#This Row],[Work date serial]],3),"yyyy-mm-dd")</f>
        <v>2025-01-06</v>
      </c>
      <c r="I5082" s="64">
        <f>DATEVALUE(tblLaborEntries[[#This Row],[Work date]])</f>
        <v>45665.0</v>
      </c>
    </row>
    <row r="5083" spans="1:9" ht="15" x14ac:dyDescent="0.25">
      <c r="A5083" s="53" t="inlineStr">
        <is>
          <t>LAB-005082</t>
        </is>
      </c>
      <c r="B5083" s="53" t="inlineStr">
        <is>
          <t>WP-02231</t>
        </is>
      </c>
      <c r="C5083" s="53" t="inlineStr">
        <is>
          <t>TECH-073</t>
        </is>
      </c>
      <c r="D5083" s="53" t="inlineStr">
        <is>
          <t>Airframe</t>
        </is>
      </c>
      <c r="E5083" s="53" t="inlineStr">
        <is>
          <t>2026-01-16</t>
        </is>
      </c>
      <c r="F5083" s="53">
        <v>9.9</v>
      </c>
      <c r="G5083" s="53">
        <v>1.9</v>
      </c>
      <c r="H5083" s="51" t="str">
        <f>TEXT(tblLaborEntries[[#This Row],[Work date serial]]-WEEKDAY(tblLaborEntries[[#This Row],[Work date serial]],3),"yyyy-mm-dd")</f>
        <v>2026-01-12</v>
      </c>
      <c r="I5083" s="64">
        <f>DATEVALUE(tblLaborEntries[[#This Row],[Work date]])</f>
        <v>46038.0</v>
      </c>
    </row>
    <row r="5084" spans="1:9" ht="15" x14ac:dyDescent="0.25">
      <c r="A5084" s="53" t="inlineStr">
        <is>
          <t>LAB-005083</t>
        </is>
      </c>
      <c r="B5084" s="53" t="inlineStr">
        <is>
          <t>WP-02232</t>
        </is>
      </c>
      <c r="C5084" s="53" t="inlineStr">
        <is>
          <t>TECH-020</t>
        </is>
      </c>
      <c r="D5084" s="53" t="inlineStr">
        <is>
          <t>Avionics</t>
        </is>
      </c>
      <c r="E5084" s="53" t="inlineStr">
        <is>
          <t>2025-07-18</t>
        </is>
      </c>
      <c r="F5084" s="53">
        <v>1.9</v>
      </c>
      <c r="G5084" s="53">
        <v>0</v>
      </c>
      <c r="H5084" s="51" t="str">
        <f>TEXT(tblLaborEntries[[#This Row],[Work date serial]]-WEEKDAY(tblLaborEntries[[#This Row],[Work date serial]],3),"yyyy-mm-dd")</f>
        <v>2025-07-14</v>
      </c>
      <c r="I5084" s="64">
        <f>DATEVALUE(tblLaborEntries[[#This Row],[Work date]])</f>
        <v>45856.0</v>
      </c>
    </row>
    <row r="5085" spans="1:9" ht="15" x14ac:dyDescent="0.25">
      <c r="A5085" s="53" t="inlineStr">
        <is>
          <t>LAB-005084</t>
        </is>
      </c>
      <c r="B5085" s="53" t="inlineStr">
        <is>
          <t>WP-02232</t>
        </is>
      </c>
      <c r="C5085" s="53" t="inlineStr">
        <is>
          <t>TECH-038</t>
        </is>
      </c>
      <c r="D5085" s="53" t="inlineStr">
        <is>
          <t>Avionics</t>
        </is>
      </c>
      <c r="E5085" s="53" t="inlineStr">
        <is>
          <t>2025-07-19</t>
        </is>
      </c>
      <c r="F5085" s="53">
        <v>1.8</v>
      </c>
      <c r="G5085" s="53">
        <v>0</v>
      </c>
      <c r="H5085" s="51" t="str">
        <f>TEXT(tblLaborEntries[[#This Row],[Work date serial]]-WEEKDAY(tblLaborEntries[[#This Row],[Work date serial]],3),"yyyy-mm-dd")</f>
        <v>2025-07-14</v>
      </c>
      <c r="I5085" s="64">
        <f>DATEVALUE(tblLaborEntries[[#This Row],[Work date]])</f>
        <v>45857.0</v>
      </c>
    </row>
    <row r="5086" spans="1:9" ht="15" x14ac:dyDescent="0.25">
      <c r="A5086" s="53" t="inlineStr">
        <is>
          <t>LAB-005085</t>
        </is>
      </c>
      <c r="B5086" s="53" t="inlineStr">
        <is>
          <t>WP-02232</t>
        </is>
      </c>
      <c r="C5086" s="53" t="inlineStr">
        <is>
          <t>TECH-044</t>
        </is>
      </c>
      <c r="D5086" s="53" t="inlineStr">
        <is>
          <t>Avionics</t>
        </is>
      </c>
      <c r="E5086" s="53" t="inlineStr">
        <is>
          <t>2025-07-20</t>
        </is>
      </c>
      <c r="F5086" s="53">
        <v>1.6</v>
      </c>
      <c r="G5086" s="53">
        <v>0</v>
      </c>
      <c r="H5086" s="51" t="str">
        <f>TEXT(tblLaborEntries[[#This Row],[Work date serial]]-WEEKDAY(tblLaborEntries[[#This Row],[Work date serial]],3),"yyyy-mm-dd")</f>
        <v>2025-07-14</v>
      </c>
      <c r="I5086" s="64">
        <f>DATEVALUE(tblLaborEntries[[#This Row],[Work date]])</f>
        <v>45858.0</v>
      </c>
    </row>
    <row r="5087" spans="1:9" ht="15" x14ac:dyDescent="0.25">
      <c r="A5087" s="53" t="inlineStr">
        <is>
          <t>LAB-005086</t>
        </is>
      </c>
      <c r="B5087" s="53" t="inlineStr">
        <is>
          <t>WP-02233</t>
        </is>
      </c>
      <c r="C5087" s="53" t="inlineStr">
        <is>
          <t>TECH-048</t>
        </is>
      </c>
      <c r="D5087" s="53" t="inlineStr">
        <is>
          <t>Powerplant</t>
        </is>
      </c>
      <c r="E5087" s="53" t="inlineStr">
        <is>
          <t>2024-11-15</t>
        </is>
      </c>
      <c r="F5087" s="53">
        <v>9.5</v>
      </c>
      <c r="G5087" s="53">
        <v>1.5</v>
      </c>
      <c r="H5087" s="51" t="str">
        <f>TEXT(tblLaborEntries[[#This Row],[Work date serial]]-WEEKDAY(tblLaborEntries[[#This Row],[Work date serial]],3),"yyyy-mm-dd")</f>
        <v>2024-11-11</v>
      </c>
      <c r="I5087" s="64">
        <f>DATEVALUE(tblLaborEntries[[#This Row],[Work date]])</f>
        <v>45611.0</v>
      </c>
    </row>
    <row r="5088" spans="1:9" ht="15" x14ac:dyDescent="0.25">
      <c r="A5088" s="53" t="inlineStr">
        <is>
          <t>LAB-005087</t>
        </is>
      </c>
      <c r="B5088" s="53" t="inlineStr">
        <is>
          <t>WP-02233</t>
        </is>
      </c>
      <c r="C5088" s="53" t="inlineStr">
        <is>
          <t>TECH-006</t>
        </is>
      </c>
      <c r="D5088" s="53" t="inlineStr">
        <is>
          <t>Powerplant</t>
        </is>
      </c>
      <c r="E5088" s="53" t="inlineStr">
        <is>
          <t>2024-11-16</t>
        </is>
      </c>
      <c r="F5088" s="53">
        <v>2.6</v>
      </c>
      <c r="G5088" s="53">
        <v>0</v>
      </c>
      <c r="H5088" s="51" t="str">
        <f>TEXT(tblLaborEntries[[#This Row],[Work date serial]]-WEEKDAY(tblLaborEntries[[#This Row],[Work date serial]],3),"yyyy-mm-dd")</f>
        <v>2024-11-11</v>
      </c>
      <c r="I5088" s="64">
        <f>DATEVALUE(tblLaborEntries[[#This Row],[Work date]])</f>
        <v>45612.0</v>
      </c>
    </row>
    <row r="5089" spans="1:9" ht="15" x14ac:dyDescent="0.25">
      <c r="A5089" s="53" t="inlineStr">
        <is>
          <t>LAB-005088</t>
        </is>
      </c>
      <c r="B5089" s="53" t="inlineStr">
        <is>
          <t>WP-02233</t>
        </is>
      </c>
      <c r="C5089" s="53" t="inlineStr">
        <is>
          <t>TECH-048</t>
        </is>
      </c>
      <c r="D5089" s="53" t="inlineStr">
        <is>
          <t>Powerplant</t>
        </is>
      </c>
      <c r="E5089" s="53" t="inlineStr">
        <is>
          <t>2024-11-16</t>
        </is>
      </c>
      <c r="F5089" s="53">
        <v>12</v>
      </c>
      <c r="G5089" s="53">
        <v>4</v>
      </c>
      <c r="H5089" s="51" t="str">
        <f>TEXT(tblLaborEntries[[#This Row],[Work date serial]]-WEEKDAY(tblLaborEntries[[#This Row],[Work date serial]],3),"yyyy-mm-dd")</f>
        <v>2024-11-11</v>
      </c>
      <c r="I5089" s="64">
        <f>DATEVALUE(tblLaborEntries[[#This Row],[Work date]])</f>
        <v>45612.0</v>
      </c>
    </row>
    <row r="5090" spans="1:9" ht="15" x14ac:dyDescent="0.25">
      <c r="A5090" s="53" t="inlineStr">
        <is>
          <t>LAB-005089</t>
        </is>
      </c>
      <c r="B5090" s="53" t="inlineStr">
        <is>
          <t>WP-02234</t>
        </is>
      </c>
      <c r="C5090" s="53" t="inlineStr">
        <is>
          <t>TECH-072</t>
        </is>
      </c>
      <c r="D5090" s="53" t="inlineStr">
        <is>
          <t>Powerplant</t>
        </is>
      </c>
      <c r="E5090" s="53" t="inlineStr">
        <is>
          <t>2025-04-10</t>
        </is>
      </c>
      <c r="F5090" s="53">
        <v>6</v>
      </c>
      <c r="G5090" s="53">
        <v>0</v>
      </c>
      <c r="H5090" s="51" t="str">
        <f>TEXT(tblLaborEntries[[#This Row],[Work date serial]]-WEEKDAY(tblLaborEntries[[#This Row],[Work date serial]],3),"yyyy-mm-dd")</f>
        <v>2025-04-07</v>
      </c>
      <c r="I5090" s="64">
        <f>DATEVALUE(tblLaborEntries[[#This Row],[Work date]])</f>
        <v>45757.0</v>
      </c>
    </row>
    <row r="5091" spans="1:9" ht="15" x14ac:dyDescent="0.25">
      <c r="A5091" s="53" t="inlineStr">
        <is>
          <t>LAB-005090</t>
        </is>
      </c>
      <c r="B5091" s="53" t="inlineStr">
        <is>
          <t>WP-02234</t>
        </is>
      </c>
      <c r="C5091" s="53" t="inlineStr">
        <is>
          <t>TECH-006</t>
        </is>
      </c>
      <c r="D5091" s="53" t="inlineStr">
        <is>
          <t>Powerplant</t>
        </is>
      </c>
      <c r="E5091" s="53" t="inlineStr">
        <is>
          <t>2025-04-11</t>
        </is>
      </c>
      <c r="F5091" s="53">
        <v>5</v>
      </c>
      <c r="G5091" s="53">
        <v>0</v>
      </c>
      <c r="H5091" s="51" t="str">
        <f>TEXT(tblLaborEntries[[#This Row],[Work date serial]]-WEEKDAY(tblLaborEntries[[#This Row],[Work date serial]],3),"yyyy-mm-dd")</f>
        <v>2025-04-07</v>
      </c>
      <c r="I5091" s="64">
        <f>DATEVALUE(tblLaborEntries[[#This Row],[Work date]])</f>
        <v>45758.0</v>
      </c>
    </row>
    <row r="5092" spans="1:9" ht="15" x14ac:dyDescent="0.25">
      <c r="A5092" s="53" t="inlineStr">
        <is>
          <t>LAB-005091</t>
        </is>
      </c>
      <c r="B5092" s="53" t="inlineStr">
        <is>
          <t>WP-02234</t>
        </is>
      </c>
      <c r="C5092" s="53" t="inlineStr">
        <is>
          <t>TECH-006</t>
        </is>
      </c>
      <c r="D5092" s="53" t="inlineStr">
        <is>
          <t>Powerplant</t>
        </is>
      </c>
      <c r="E5092" s="53" t="inlineStr">
        <is>
          <t>2025-04-12</t>
        </is>
      </c>
      <c r="F5092" s="53">
        <v>4.8</v>
      </c>
      <c r="G5092" s="53">
        <v>0</v>
      </c>
      <c r="H5092" s="51" t="str">
        <f>TEXT(tblLaborEntries[[#This Row],[Work date serial]]-WEEKDAY(tblLaborEntries[[#This Row],[Work date serial]],3),"yyyy-mm-dd")</f>
        <v>2025-04-07</v>
      </c>
      <c r="I5092" s="64">
        <f>DATEVALUE(tblLaborEntries[[#This Row],[Work date]])</f>
        <v>45759.0</v>
      </c>
    </row>
    <row r="5093" spans="1:9" ht="15" x14ac:dyDescent="0.25">
      <c r="A5093" s="53" t="inlineStr">
        <is>
          <t>LAB-005092</t>
        </is>
      </c>
      <c r="B5093" s="53" t="inlineStr">
        <is>
          <t>WP-02235</t>
        </is>
      </c>
      <c r="C5093" s="53" t="inlineStr">
        <is>
          <t>TECH-046</t>
        </is>
      </c>
      <c r="D5093" s="53" t="inlineStr">
        <is>
          <t>Electrical</t>
        </is>
      </c>
      <c r="E5093" s="53" t="inlineStr">
        <is>
          <t>2024-10-13</t>
        </is>
      </c>
      <c r="F5093" s="53">
        <v>3.7</v>
      </c>
      <c r="G5093" s="53">
        <v>3.7</v>
      </c>
      <c r="H5093" s="51" t="str">
        <f>TEXT(tblLaborEntries[[#This Row],[Work date serial]]-WEEKDAY(tblLaborEntries[[#This Row],[Work date serial]],3),"yyyy-mm-dd")</f>
        <v>2024-10-07</v>
      </c>
      <c r="I5093" s="64">
        <f>DATEVALUE(tblLaborEntries[[#This Row],[Work date]])</f>
        <v>45578.0</v>
      </c>
    </row>
    <row r="5094" spans="1:9" ht="15" x14ac:dyDescent="0.25">
      <c r="A5094" s="53" t="inlineStr">
        <is>
          <t>LAB-005093</t>
        </is>
      </c>
      <c r="B5094" s="53" t="inlineStr">
        <is>
          <t>WP-02235</t>
        </is>
      </c>
      <c r="C5094" s="53" t="inlineStr">
        <is>
          <t>TECH-064</t>
        </is>
      </c>
      <c r="D5094" s="53" t="inlineStr">
        <is>
          <t>Electrical</t>
        </is>
      </c>
      <c r="E5094" s="53" t="inlineStr">
        <is>
          <t>2024-10-14</t>
        </is>
      </c>
      <c r="F5094" s="53">
        <v>4.2</v>
      </c>
      <c r="G5094" s="53">
        <v>0</v>
      </c>
      <c r="H5094" s="51" t="str">
        <f>TEXT(tblLaborEntries[[#This Row],[Work date serial]]-WEEKDAY(tblLaborEntries[[#This Row],[Work date serial]],3),"yyyy-mm-dd")</f>
        <v>2024-10-14</v>
      </c>
      <c r="I5094" s="64">
        <f>DATEVALUE(tblLaborEntries[[#This Row],[Work date]])</f>
        <v>45579.0</v>
      </c>
    </row>
    <row r="5095" spans="1:9" ht="15" x14ac:dyDescent="0.25">
      <c r="A5095" s="53" t="inlineStr">
        <is>
          <t>LAB-005094</t>
        </is>
      </c>
      <c r="B5095" s="53" t="inlineStr">
        <is>
          <t>WP-02236</t>
        </is>
      </c>
      <c r="C5095" s="53" t="inlineStr">
        <is>
          <t>TECH-048</t>
        </is>
      </c>
      <c r="D5095" s="53" t="inlineStr">
        <is>
          <t>Powerplant</t>
        </is>
      </c>
      <c r="E5095" s="53" t="inlineStr">
        <is>
          <t>2024-08-17</t>
        </is>
      </c>
      <c r="F5095" s="53">
        <v>4</v>
      </c>
      <c r="G5095" s="53">
        <v>0</v>
      </c>
      <c r="H5095" s="51" t="str">
        <f>TEXT(tblLaborEntries[[#This Row],[Work date serial]]-WEEKDAY(tblLaborEntries[[#This Row],[Work date serial]],3),"yyyy-mm-dd")</f>
        <v>2024-08-12</v>
      </c>
      <c r="I5095" s="64">
        <f>DATEVALUE(tblLaborEntries[[#This Row],[Work date]])</f>
        <v>45521.0</v>
      </c>
    </row>
    <row r="5096" spans="1:9" ht="15" x14ac:dyDescent="0.25">
      <c r="A5096" s="53" t="inlineStr">
        <is>
          <t>LAB-005095</t>
        </is>
      </c>
      <c r="B5096" s="53" t="inlineStr">
        <is>
          <t>WP-02236</t>
        </is>
      </c>
      <c r="C5096" s="53" t="inlineStr">
        <is>
          <t>TECH-060</t>
        </is>
      </c>
      <c r="D5096" s="53" t="inlineStr">
        <is>
          <t>Powerplant</t>
        </is>
      </c>
      <c r="E5096" s="53" t="inlineStr">
        <is>
          <t>2024-08-18</t>
        </is>
      </c>
      <c r="F5096" s="53">
        <v>4.2</v>
      </c>
      <c r="G5096" s="53">
        <v>0</v>
      </c>
      <c r="H5096" s="51" t="str">
        <f>TEXT(tblLaborEntries[[#This Row],[Work date serial]]-WEEKDAY(tblLaborEntries[[#This Row],[Work date serial]],3),"yyyy-mm-dd")</f>
        <v>2024-08-12</v>
      </c>
      <c r="I5096" s="64">
        <f>DATEVALUE(tblLaborEntries[[#This Row],[Work date]])</f>
        <v>45522.0</v>
      </c>
    </row>
    <row r="5097" spans="1:9" ht="15" x14ac:dyDescent="0.25">
      <c r="A5097" s="53" t="inlineStr">
        <is>
          <t>LAB-005096</t>
        </is>
      </c>
      <c r="B5097" s="53" t="inlineStr">
        <is>
          <t>WP-02236</t>
        </is>
      </c>
      <c r="C5097" s="53" t="inlineStr">
        <is>
          <t>TECH-072</t>
        </is>
      </c>
      <c r="D5097" s="53" t="inlineStr">
        <is>
          <t>Powerplant</t>
        </is>
      </c>
      <c r="E5097" s="53" t="inlineStr">
        <is>
          <t>2024-08-19</t>
        </is>
      </c>
      <c r="F5097" s="53">
        <v>4.2</v>
      </c>
      <c r="G5097" s="53">
        <v>0</v>
      </c>
      <c r="H5097" s="51" t="str">
        <f>TEXT(tblLaborEntries[[#This Row],[Work date serial]]-WEEKDAY(tblLaborEntries[[#This Row],[Work date serial]],3),"yyyy-mm-dd")</f>
        <v>2024-08-19</v>
      </c>
      <c r="I5097" s="64">
        <f>DATEVALUE(tblLaborEntries[[#This Row],[Work date]])</f>
        <v>45523.0</v>
      </c>
    </row>
    <row r="5098" spans="1:9" ht="15" x14ac:dyDescent="0.25">
      <c r="A5098" s="53" t="inlineStr">
        <is>
          <t>LAB-005097</t>
        </is>
      </c>
      <c r="B5098" s="53" t="inlineStr">
        <is>
          <t>WP-02237</t>
        </is>
      </c>
      <c r="C5098" s="53" t="inlineStr">
        <is>
          <t>TECH-074</t>
        </is>
      </c>
      <c r="D5098" s="53" t="inlineStr">
        <is>
          <t>Avionics</t>
        </is>
      </c>
      <c r="E5098" s="53" t="inlineStr">
        <is>
          <t>2025-01-23</t>
        </is>
      </c>
      <c r="F5098" s="53">
        <v>5.5</v>
      </c>
      <c r="G5098" s="53">
        <v>0</v>
      </c>
      <c r="H5098" s="51" t="str">
        <f>TEXT(tblLaborEntries[[#This Row],[Work date serial]]-WEEKDAY(tblLaborEntries[[#This Row],[Work date serial]],3),"yyyy-mm-dd")</f>
        <v>2025-01-20</v>
      </c>
      <c r="I5098" s="64">
        <f>DATEVALUE(tblLaborEntries[[#This Row],[Work date]])</f>
        <v>45680.0</v>
      </c>
    </row>
    <row r="5099" spans="1:9" ht="15" x14ac:dyDescent="0.25">
      <c r="A5099" s="53" t="inlineStr">
        <is>
          <t>LAB-005098</t>
        </is>
      </c>
      <c r="B5099" s="53" t="inlineStr">
        <is>
          <t>WP-02238</t>
        </is>
      </c>
      <c r="C5099" s="53" t="inlineStr">
        <is>
          <t>TECH-014</t>
        </is>
      </c>
      <c r="D5099" s="53" t="inlineStr">
        <is>
          <t>Avionics</t>
        </is>
      </c>
      <c r="E5099" s="53" t="inlineStr">
        <is>
          <t>2024-03-27</t>
        </is>
      </c>
      <c r="F5099" s="53">
        <v>9.9</v>
      </c>
      <c r="G5099" s="53">
        <v>1.9</v>
      </c>
      <c r="H5099" s="51" t="str">
        <f>TEXT(tblLaborEntries[[#This Row],[Work date serial]]-WEEKDAY(tblLaborEntries[[#This Row],[Work date serial]],3),"yyyy-mm-dd")</f>
        <v>2024-03-25</v>
      </c>
      <c r="I5099" s="64">
        <f>DATEVALUE(tblLaborEntries[[#This Row],[Work date]])</f>
        <v>45378.0</v>
      </c>
    </row>
    <row r="5100" spans="1:9" ht="15" x14ac:dyDescent="0.25">
      <c r="A5100" s="53" t="inlineStr">
        <is>
          <t>LAB-005099</t>
        </is>
      </c>
      <c r="B5100" s="53" t="inlineStr">
        <is>
          <t>WP-02238</t>
        </is>
      </c>
      <c r="C5100" s="53" t="inlineStr">
        <is>
          <t>TECH-014</t>
        </is>
      </c>
      <c r="D5100" s="53" t="inlineStr">
        <is>
          <t>Avionics</t>
        </is>
      </c>
      <c r="E5100" s="53" t="inlineStr">
        <is>
          <t>2024-03-28</t>
        </is>
      </c>
      <c r="F5100" s="53">
        <v>7.7</v>
      </c>
      <c r="G5100" s="53">
        <v>0</v>
      </c>
      <c r="H5100" s="51" t="str">
        <f>TEXT(tblLaborEntries[[#This Row],[Work date serial]]-WEEKDAY(tblLaborEntries[[#This Row],[Work date serial]],3),"yyyy-mm-dd")</f>
        <v>2024-03-25</v>
      </c>
      <c r="I5100" s="64">
        <f>DATEVALUE(tblLaborEntries[[#This Row],[Work date]])</f>
        <v>45379.0</v>
      </c>
    </row>
    <row r="5101" spans="1:9" ht="15" x14ac:dyDescent="0.25">
      <c r="A5101" s="53" t="inlineStr">
        <is>
          <t>LAB-005100</t>
        </is>
      </c>
      <c r="B5101" s="53" t="inlineStr">
        <is>
          <t>WP-02239</t>
        </is>
      </c>
      <c r="C5101" s="53" t="inlineStr">
        <is>
          <t>TECH-028</t>
        </is>
      </c>
      <c r="D5101" s="53" t="inlineStr">
        <is>
          <t>Electrical</t>
        </is>
      </c>
      <c r="E5101" s="53" t="inlineStr">
        <is>
          <t>2024-12-14</t>
        </is>
      </c>
      <c r="F5101" s="53">
        <v>2.5</v>
      </c>
      <c r="G5101" s="53">
        <v>0</v>
      </c>
      <c r="H5101" s="51" t="str">
        <f>TEXT(tblLaborEntries[[#This Row],[Work date serial]]-WEEKDAY(tblLaborEntries[[#This Row],[Work date serial]],3),"yyyy-mm-dd")</f>
        <v>2024-12-09</v>
      </c>
      <c r="I5101" s="64">
        <f>DATEVALUE(tblLaborEntries[[#This Row],[Work date]])</f>
        <v>45640.0</v>
      </c>
    </row>
    <row r="5102" spans="1:9" ht="15" x14ac:dyDescent="0.25">
      <c r="A5102" s="53" t="inlineStr">
        <is>
          <t>LAB-005101</t>
        </is>
      </c>
      <c r="B5102" s="53" t="inlineStr">
        <is>
          <t>WP-02239</t>
        </is>
      </c>
      <c r="C5102" s="53" t="inlineStr">
        <is>
          <t>TECH-034</t>
        </is>
      </c>
      <c r="D5102" s="53" t="inlineStr">
        <is>
          <t>Electrical</t>
        </is>
      </c>
      <c r="E5102" s="53" t="inlineStr">
        <is>
          <t>2024-12-15</t>
        </is>
      </c>
      <c r="F5102" s="53">
        <v>2.7</v>
      </c>
      <c r="G5102" s="53">
        <v>0</v>
      </c>
      <c r="H5102" s="51" t="str">
        <f>TEXT(tblLaborEntries[[#This Row],[Work date serial]]-WEEKDAY(tblLaborEntries[[#This Row],[Work date serial]],3),"yyyy-mm-dd")</f>
        <v>2024-12-09</v>
      </c>
      <c r="I5102" s="64">
        <f>DATEVALUE(tblLaborEntries[[#This Row],[Work date]])</f>
        <v>45641.0</v>
      </c>
    </row>
    <row r="5103" spans="1:9" ht="15" x14ac:dyDescent="0.25">
      <c r="A5103" s="53" t="inlineStr">
        <is>
          <t>LAB-005102</t>
        </is>
      </c>
      <c r="B5103" s="53" t="inlineStr">
        <is>
          <t>WP-02240</t>
        </is>
      </c>
      <c r="C5103" s="53" t="inlineStr">
        <is>
          <t>TECH-006</t>
        </is>
      </c>
      <c r="D5103" s="53" t="inlineStr">
        <is>
          <t>Powerplant</t>
        </is>
      </c>
      <c r="E5103" s="53" t="inlineStr">
        <is>
          <t>2024-06-09</t>
        </is>
      </c>
      <c r="F5103" s="53">
        <v>9.4</v>
      </c>
      <c r="G5103" s="53">
        <v>1.4</v>
      </c>
      <c r="H5103" s="51" t="str">
        <f>TEXT(tblLaborEntries[[#This Row],[Work date serial]]-WEEKDAY(tblLaborEntries[[#This Row],[Work date serial]],3),"yyyy-mm-dd")</f>
        <v>2024-06-03</v>
      </c>
      <c r="I5103" s="64">
        <f>DATEVALUE(tblLaborEntries[[#This Row],[Work date]])</f>
        <v>45452.0</v>
      </c>
    </row>
    <row r="5104" spans="1:9" ht="15" x14ac:dyDescent="0.25">
      <c r="A5104" s="53" t="inlineStr">
        <is>
          <t>LAB-005103</t>
        </is>
      </c>
      <c r="B5104" s="53" t="inlineStr">
        <is>
          <t>WP-02240</t>
        </is>
      </c>
      <c r="C5104" s="53" t="inlineStr">
        <is>
          <t>TECH-036</t>
        </is>
      </c>
      <c r="D5104" s="53" t="inlineStr">
        <is>
          <t>Powerplant</t>
        </is>
      </c>
      <c r="E5104" s="53" t="inlineStr">
        <is>
          <t>2024-06-09</t>
        </is>
      </c>
      <c r="F5104" s="53">
        <v>12</v>
      </c>
      <c r="G5104" s="53">
        <v>4</v>
      </c>
      <c r="H5104" s="51" t="str">
        <f>TEXT(tblLaborEntries[[#This Row],[Work date serial]]-WEEKDAY(tblLaborEntries[[#This Row],[Work date serial]],3),"yyyy-mm-dd")</f>
        <v>2024-06-03</v>
      </c>
      <c r="I5104" s="64">
        <f>DATEVALUE(tblLaborEntries[[#This Row],[Work date]])</f>
        <v>45452.0</v>
      </c>
    </row>
    <row r="5105" spans="1:9" ht="15" x14ac:dyDescent="0.25">
      <c r="A5105" s="53" t="inlineStr">
        <is>
          <t>LAB-005104</t>
        </is>
      </c>
      <c r="B5105" s="53" t="inlineStr">
        <is>
          <t>WP-02241</t>
        </is>
      </c>
      <c r="C5105" s="53" t="inlineStr">
        <is>
          <t>TECH-020</t>
        </is>
      </c>
      <c r="D5105" s="53" t="inlineStr">
        <is>
          <t>Avionics</t>
        </is>
      </c>
      <c r="E5105" s="53" t="inlineStr">
        <is>
          <t>2024-12-22</t>
        </is>
      </c>
      <c r="F5105" s="53">
        <v>1.4</v>
      </c>
      <c r="G5105" s="53">
        <v>0</v>
      </c>
      <c r="H5105" s="51" t="str">
        <f>TEXT(tblLaborEntries[[#This Row],[Work date serial]]-WEEKDAY(tblLaborEntries[[#This Row],[Work date serial]],3),"yyyy-mm-dd")</f>
        <v>2024-12-16</v>
      </c>
      <c r="I5105" s="64">
        <f>DATEVALUE(tblLaborEntries[[#This Row],[Work date]])</f>
        <v>45648.0</v>
      </c>
    </row>
    <row r="5106" spans="1:9" ht="15" x14ac:dyDescent="0.25">
      <c r="A5106" s="53" t="inlineStr">
        <is>
          <t>LAB-005105</t>
        </is>
      </c>
      <c r="B5106" s="53" t="inlineStr">
        <is>
          <t>WP-02241</t>
        </is>
      </c>
      <c r="C5106" s="53" t="inlineStr">
        <is>
          <t>TECH-032</t>
        </is>
      </c>
      <c r="D5106" s="53" t="inlineStr">
        <is>
          <t>Avionics</t>
        </is>
      </c>
      <c r="E5106" s="53" t="inlineStr">
        <is>
          <t>2024-12-23</t>
        </is>
      </c>
      <c r="F5106" s="53">
        <v>1.3</v>
      </c>
      <c r="G5106" s="53">
        <v>0</v>
      </c>
      <c r="H5106" s="51" t="str">
        <f>TEXT(tblLaborEntries[[#This Row],[Work date serial]]-WEEKDAY(tblLaborEntries[[#This Row],[Work date serial]],3),"yyyy-mm-dd")</f>
        <v>2024-12-23</v>
      </c>
      <c r="I5106" s="64">
        <f>DATEVALUE(tblLaborEntries[[#This Row],[Work date]])</f>
        <v>45649.0</v>
      </c>
    </row>
    <row r="5107" spans="1:9" ht="15" x14ac:dyDescent="0.25">
      <c r="A5107" s="53" t="inlineStr">
        <is>
          <t>LAB-005106</t>
        </is>
      </c>
      <c r="B5107" s="53" t="inlineStr">
        <is>
          <t>WP-02241</t>
        </is>
      </c>
      <c r="C5107" s="53" t="inlineStr">
        <is>
          <t>TECH-068</t>
        </is>
      </c>
      <c r="D5107" s="53" t="inlineStr">
        <is>
          <t>Avionics</t>
        </is>
      </c>
      <c r="E5107" s="53" t="inlineStr">
        <is>
          <t>2024-12-24</t>
        </is>
      </c>
      <c r="F5107" s="53">
        <v>1.4</v>
      </c>
      <c r="G5107" s="53">
        <v>0</v>
      </c>
      <c r="H5107" s="51" t="str">
        <f>TEXT(tblLaborEntries[[#This Row],[Work date serial]]-WEEKDAY(tblLaborEntries[[#This Row],[Work date serial]],3),"yyyy-mm-dd")</f>
        <v>2024-12-23</v>
      </c>
      <c r="I5107" s="64">
        <f>DATEVALUE(tblLaborEntries[[#This Row],[Work date]])</f>
        <v>45650.0</v>
      </c>
    </row>
    <row r="5108" spans="1:9" ht="15" x14ac:dyDescent="0.25">
      <c r="A5108" s="53" t="inlineStr">
        <is>
          <t>LAB-005107</t>
        </is>
      </c>
      <c r="B5108" s="53" t="inlineStr">
        <is>
          <t>WP-02242</t>
        </is>
      </c>
      <c r="C5108" s="53" t="inlineStr">
        <is>
          <t>TECH-013</t>
        </is>
      </c>
      <c r="D5108" s="53" t="inlineStr">
        <is>
          <t>Airframe</t>
        </is>
      </c>
      <c r="E5108" s="53" t="inlineStr">
        <is>
          <t>2024-08-18</t>
        </is>
      </c>
      <c r="F5108" s="53">
        <v>4.6</v>
      </c>
      <c r="G5108" s="53">
        <v>0</v>
      </c>
      <c r="H5108" s="51" t="str">
        <f>TEXT(tblLaborEntries[[#This Row],[Work date serial]]-WEEKDAY(tblLaborEntries[[#This Row],[Work date serial]],3),"yyyy-mm-dd")</f>
        <v>2024-08-12</v>
      </c>
      <c r="I5108" s="64">
        <f>DATEVALUE(tblLaborEntries[[#This Row],[Work date]])</f>
        <v>45522.0</v>
      </c>
    </row>
    <row r="5109" spans="1:9" ht="15" x14ac:dyDescent="0.25">
      <c r="A5109" s="53" t="inlineStr">
        <is>
          <t>LAB-005108</t>
        </is>
      </c>
      <c r="B5109" s="53" t="inlineStr">
        <is>
          <t>WP-02242</t>
        </is>
      </c>
      <c r="C5109" s="53" t="inlineStr">
        <is>
          <t>TECH-067</t>
        </is>
      </c>
      <c r="D5109" s="53" t="inlineStr">
        <is>
          <t>Airframe</t>
        </is>
      </c>
      <c r="E5109" s="53" t="inlineStr">
        <is>
          <t>2024-08-19</t>
        </is>
      </c>
      <c r="F5109" s="53">
        <v>3.7</v>
      </c>
      <c r="G5109" s="53">
        <v>0</v>
      </c>
      <c r="H5109" s="51" t="str">
        <f>TEXT(tblLaborEntries[[#This Row],[Work date serial]]-WEEKDAY(tblLaborEntries[[#This Row],[Work date serial]],3),"yyyy-mm-dd")</f>
        <v>2024-08-19</v>
      </c>
      <c r="I5109" s="64">
        <f>DATEVALUE(tblLaborEntries[[#This Row],[Work date]])</f>
        <v>45523.0</v>
      </c>
    </row>
    <row r="5110" spans="1:9" ht="15" x14ac:dyDescent="0.25">
      <c r="A5110" s="53" t="inlineStr">
        <is>
          <t>LAB-005109</t>
        </is>
      </c>
      <c r="B5110" s="53" t="inlineStr">
        <is>
          <t>WP-02242</t>
        </is>
      </c>
      <c r="C5110" s="53" t="inlineStr">
        <is>
          <t>TECH-049</t>
        </is>
      </c>
      <c r="D5110" s="53" t="inlineStr">
        <is>
          <t>Airframe</t>
        </is>
      </c>
      <c r="E5110" s="53" t="inlineStr">
        <is>
          <t>2024-08-20</t>
        </is>
      </c>
      <c r="F5110" s="53">
        <v>5.5</v>
      </c>
      <c r="G5110" s="53">
        <v>0</v>
      </c>
      <c r="H5110" s="51" t="str">
        <f>TEXT(tblLaborEntries[[#This Row],[Work date serial]]-WEEKDAY(tblLaborEntries[[#This Row],[Work date serial]],3),"yyyy-mm-dd")</f>
        <v>2024-08-19</v>
      </c>
      <c r="I5110" s="64">
        <f>DATEVALUE(tblLaborEntries[[#This Row],[Work date]])</f>
        <v>45524.0</v>
      </c>
    </row>
    <row r="5111" spans="1:9" ht="15" x14ac:dyDescent="0.25">
      <c r="A5111" s="53" t="inlineStr">
        <is>
          <t>LAB-005110</t>
        </is>
      </c>
      <c r="B5111" s="53" t="inlineStr">
        <is>
          <t>WP-02243</t>
        </is>
      </c>
      <c r="C5111" s="53" t="inlineStr">
        <is>
          <t>TECH-026</t>
        </is>
      </c>
      <c r="D5111" s="53" t="inlineStr">
        <is>
          <t>Avionics</t>
        </is>
      </c>
      <c r="E5111" s="53" t="inlineStr">
        <is>
          <t>2024-02-20</t>
        </is>
      </c>
      <c r="F5111" s="53">
        <v>4</v>
      </c>
      <c r="G5111" s="53">
        <v>0</v>
      </c>
      <c r="H5111" s="51" t="str">
        <f>TEXT(tblLaborEntries[[#This Row],[Work date serial]]-WEEKDAY(tblLaborEntries[[#This Row],[Work date serial]],3),"yyyy-mm-dd")</f>
        <v>2024-02-19</v>
      </c>
      <c r="I5111" s="64">
        <f>DATEVALUE(tblLaborEntries[[#This Row],[Work date]])</f>
        <v>45342.0</v>
      </c>
    </row>
    <row r="5112" spans="1:9" ht="15" x14ac:dyDescent="0.25">
      <c r="A5112" s="53" t="inlineStr">
        <is>
          <t>LAB-005111</t>
        </is>
      </c>
      <c r="B5112" s="53" t="inlineStr">
        <is>
          <t>WP-02243</t>
        </is>
      </c>
      <c r="C5112" s="53" t="inlineStr">
        <is>
          <t>TECH-068</t>
        </is>
      </c>
      <c r="D5112" s="53" t="inlineStr">
        <is>
          <t>Avionics</t>
        </is>
      </c>
      <c r="E5112" s="53" t="inlineStr">
        <is>
          <t>2024-02-21</t>
        </is>
      </c>
      <c r="F5112" s="53">
        <v>5.5</v>
      </c>
      <c r="G5112" s="53">
        <v>0</v>
      </c>
      <c r="H5112" s="51" t="str">
        <f>TEXT(tblLaborEntries[[#This Row],[Work date serial]]-WEEKDAY(tblLaborEntries[[#This Row],[Work date serial]],3),"yyyy-mm-dd")</f>
        <v>2024-02-19</v>
      </c>
      <c r="I5112" s="64">
        <f>DATEVALUE(tblLaborEntries[[#This Row],[Work date]])</f>
        <v>45343.0</v>
      </c>
    </row>
    <row r="5113" spans="1:9" ht="15" x14ac:dyDescent="0.25">
      <c r="A5113" s="53" t="inlineStr">
        <is>
          <t>LAB-005112</t>
        </is>
      </c>
      <c r="B5113" s="53" t="inlineStr">
        <is>
          <t>WP-02243</t>
        </is>
      </c>
      <c r="C5113" s="53" t="inlineStr">
        <is>
          <t>TECH-002</t>
        </is>
      </c>
      <c r="D5113" s="53" t="inlineStr">
        <is>
          <t>Avionics</t>
        </is>
      </c>
      <c r="E5113" s="53" t="inlineStr">
        <is>
          <t>2024-02-22</t>
        </is>
      </c>
      <c r="F5113" s="53">
        <v>5.1</v>
      </c>
      <c r="G5113" s="53">
        <v>0</v>
      </c>
      <c r="H5113" s="51" t="str">
        <f>TEXT(tblLaborEntries[[#This Row],[Work date serial]]-WEEKDAY(tblLaborEntries[[#This Row],[Work date serial]],3),"yyyy-mm-dd")</f>
        <v>2024-02-19</v>
      </c>
      <c r="I5113" s="64">
        <f>DATEVALUE(tblLaborEntries[[#This Row],[Work date]])</f>
        <v>45344.0</v>
      </c>
    </row>
    <row r="5114" spans="1:9" ht="15" x14ac:dyDescent="0.25">
      <c r="A5114" s="53" t="inlineStr">
        <is>
          <t>LAB-005113</t>
        </is>
      </c>
      <c r="B5114" s="53" t="inlineStr">
        <is>
          <t>WP-02244</t>
        </is>
      </c>
      <c r="C5114" s="53" t="inlineStr">
        <is>
          <t>TECH-004</t>
        </is>
      </c>
      <c r="D5114" s="53" t="inlineStr">
        <is>
          <t>Electrical</t>
        </is>
      </c>
      <c r="E5114" s="53" t="inlineStr">
        <is>
          <t>2025-07-08</t>
        </is>
      </c>
      <c r="F5114" s="53">
        <v>12</v>
      </c>
      <c r="G5114" s="53">
        <v>4</v>
      </c>
      <c r="H5114" s="51" t="str">
        <f>TEXT(tblLaborEntries[[#This Row],[Work date serial]]-WEEKDAY(tblLaborEntries[[#This Row],[Work date serial]],3),"yyyy-mm-dd")</f>
        <v>2025-07-07</v>
      </c>
      <c r="I5114" s="64">
        <f>DATEVALUE(tblLaborEntries[[#This Row],[Work date]])</f>
        <v>45846.0</v>
      </c>
    </row>
    <row r="5115" spans="1:9" ht="15" x14ac:dyDescent="0.25">
      <c r="A5115" s="53" t="inlineStr">
        <is>
          <t>LAB-005114</t>
        </is>
      </c>
      <c r="B5115" s="53" t="inlineStr">
        <is>
          <t>WP-02244</t>
        </is>
      </c>
      <c r="C5115" s="53" t="inlineStr">
        <is>
          <t>TECH-010</t>
        </is>
      </c>
      <c r="D5115" s="53" t="inlineStr">
        <is>
          <t>Electrical</t>
        </is>
      </c>
      <c r="E5115" s="53" t="inlineStr">
        <is>
          <t>2025-07-08</t>
        </is>
      </c>
      <c r="F5115" s="53">
        <v>2.3</v>
      </c>
      <c r="G5115" s="53">
        <v>0</v>
      </c>
      <c r="H5115" s="51" t="str">
        <f>TEXT(tblLaborEntries[[#This Row],[Work date serial]]-WEEKDAY(tblLaborEntries[[#This Row],[Work date serial]],3),"yyyy-mm-dd")</f>
        <v>2025-07-07</v>
      </c>
      <c r="I5115" s="64">
        <f>DATEVALUE(tblLaborEntries[[#This Row],[Work date]])</f>
        <v>45846.0</v>
      </c>
    </row>
    <row r="5116" spans="1:9" ht="15" x14ac:dyDescent="0.25">
      <c r="A5116" s="53" t="inlineStr">
        <is>
          <t>LAB-005115</t>
        </is>
      </c>
      <c r="B5116" s="53" t="inlineStr">
        <is>
          <t>WP-02245</t>
        </is>
      </c>
      <c r="C5116" s="53" t="inlineStr">
        <is>
          <t>TECH-016</t>
        </is>
      </c>
      <c r="D5116" s="53" t="inlineStr">
        <is>
          <t>Electrical</t>
        </is>
      </c>
      <c r="E5116" s="53" t="inlineStr">
        <is>
          <t>2024-04-16</t>
        </is>
      </c>
      <c r="F5116" s="53">
        <v>8.1</v>
      </c>
      <c r="G5116" s="53">
        <v>0.1</v>
      </c>
      <c r="H5116" s="51" t="str">
        <f>TEXT(tblLaborEntries[[#This Row],[Work date serial]]-WEEKDAY(tblLaborEntries[[#This Row],[Work date serial]],3),"yyyy-mm-dd")</f>
        <v>2024-04-15</v>
      </c>
      <c r="I5116" s="64">
        <f>DATEVALUE(tblLaborEntries[[#This Row],[Work date]])</f>
        <v>45398.0</v>
      </c>
    </row>
    <row r="5117" spans="1:9" ht="15" x14ac:dyDescent="0.25">
      <c r="A5117" s="53" t="inlineStr">
        <is>
          <t>LAB-005116</t>
        </is>
      </c>
      <c r="B5117" s="53" t="inlineStr">
        <is>
          <t>WP-02245</t>
        </is>
      </c>
      <c r="C5117" s="53" t="inlineStr">
        <is>
          <t>TECH-052</t>
        </is>
      </c>
      <c r="D5117" s="53" t="inlineStr">
        <is>
          <t>Electrical</t>
        </is>
      </c>
      <c r="E5117" s="53" t="inlineStr">
        <is>
          <t>2024-04-17</t>
        </is>
      </c>
      <c r="F5117" s="53">
        <v>7.6</v>
      </c>
      <c r="G5117" s="53">
        <v>0</v>
      </c>
      <c r="H5117" s="51" t="str">
        <f>TEXT(tblLaborEntries[[#This Row],[Work date serial]]-WEEKDAY(tblLaborEntries[[#This Row],[Work date serial]],3),"yyyy-mm-dd")</f>
        <v>2024-04-15</v>
      </c>
      <c r="I5117" s="64">
        <f>DATEVALUE(tblLaborEntries[[#This Row],[Work date]])</f>
        <v>45399.0</v>
      </c>
    </row>
    <row r="5118" spans="1:9" ht="15" x14ac:dyDescent="0.25">
      <c r="A5118" s="53" t="inlineStr">
        <is>
          <t>LAB-005117</t>
        </is>
      </c>
      <c r="B5118" s="53" t="inlineStr">
        <is>
          <t>WP-02246</t>
        </is>
      </c>
      <c r="C5118" s="53" t="inlineStr">
        <is>
          <t>TECH-048</t>
        </is>
      </c>
      <c r="D5118" s="53" t="inlineStr">
        <is>
          <t>Powerplant</t>
        </is>
      </c>
      <c r="E5118" s="53" t="inlineStr">
        <is>
          <t>2025-11-07</t>
        </is>
      </c>
      <c r="F5118" s="53">
        <v>3.1</v>
      </c>
      <c r="G5118" s="53">
        <v>0</v>
      </c>
      <c r="H5118" s="51" t="str">
        <f>TEXT(tblLaborEntries[[#This Row],[Work date serial]]-WEEKDAY(tblLaborEntries[[#This Row],[Work date serial]],3),"yyyy-mm-dd")</f>
        <v>2025-11-03</v>
      </c>
      <c r="I5118" s="64">
        <f>DATEVALUE(tblLaborEntries[[#This Row],[Work date]])</f>
        <v>45968.0</v>
      </c>
    </row>
    <row r="5119" spans="1:9" ht="15" x14ac:dyDescent="0.25">
      <c r="A5119" s="53" t="inlineStr">
        <is>
          <t>LAB-005118</t>
        </is>
      </c>
      <c r="B5119" s="53" t="inlineStr">
        <is>
          <t>WP-02246</t>
        </is>
      </c>
      <c r="C5119" s="53" t="inlineStr">
        <is>
          <t>TECH-036</t>
        </is>
      </c>
      <c r="D5119" s="53" t="inlineStr">
        <is>
          <t>Powerplant</t>
        </is>
      </c>
      <c r="E5119" s="53" t="inlineStr">
        <is>
          <t>2025-11-08</t>
        </is>
      </c>
      <c r="F5119" s="53">
        <v>2.6</v>
      </c>
      <c r="G5119" s="53">
        <v>0</v>
      </c>
      <c r="H5119" s="51" t="str">
        <f>TEXT(tblLaborEntries[[#This Row],[Work date serial]]-WEEKDAY(tblLaborEntries[[#This Row],[Work date serial]],3),"yyyy-mm-dd")</f>
        <v>2025-11-03</v>
      </c>
      <c r="I5119" s="64">
        <f>DATEVALUE(tblLaborEntries[[#This Row],[Work date]])</f>
        <v>45969.0</v>
      </c>
    </row>
    <row r="5120" spans="1:9" ht="15" x14ac:dyDescent="0.25">
      <c r="A5120" s="53" t="inlineStr">
        <is>
          <t>LAB-005119</t>
        </is>
      </c>
      <c r="B5120" s="53" t="inlineStr">
        <is>
          <t>WP-02246</t>
        </is>
      </c>
      <c r="C5120" s="53" t="inlineStr">
        <is>
          <t>TECH-042</t>
        </is>
      </c>
      <c r="D5120" s="53" t="inlineStr">
        <is>
          <t>Powerplant</t>
        </is>
      </c>
      <c r="E5120" s="53" t="inlineStr">
        <is>
          <t>2025-11-09</t>
        </is>
      </c>
      <c r="F5120" s="53">
        <v>3.2</v>
      </c>
      <c r="G5120" s="53">
        <v>0</v>
      </c>
      <c r="H5120" s="51" t="str">
        <f>TEXT(tblLaborEntries[[#This Row],[Work date serial]]-WEEKDAY(tblLaborEntries[[#This Row],[Work date serial]],3),"yyyy-mm-dd")</f>
        <v>2025-11-03</v>
      </c>
      <c r="I5120" s="64">
        <f>DATEVALUE(tblLaborEntries[[#This Row],[Work date]])</f>
        <v>45970.0</v>
      </c>
    </row>
    <row r="5121" spans="1:9" ht="15" x14ac:dyDescent="0.25">
      <c r="A5121" s="53" t="inlineStr">
        <is>
          <t>LAB-005120</t>
        </is>
      </c>
      <c r="B5121" s="53" t="inlineStr">
        <is>
          <t>WP-02247</t>
        </is>
      </c>
      <c r="C5121" s="53" t="inlineStr">
        <is>
          <t>TECH-008</t>
        </is>
      </c>
      <c r="D5121" s="53" t="inlineStr">
        <is>
          <t>Avionics</t>
        </is>
      </c>
      <c r="E5121" s="53" t="inlineStr">
        <is>
          <t>2025-07-01</t>
        </is>
      </c>
      <c r="F5121" s="53">
        <v>2.2</v>
      </c>
      <c r="G5121" s="53">
        <v>0</v>
      </c>
      <c r="H5121" s="51" t="str">
        <f>TEXT(tblLaborEntries[[#This Row],[Work date serial]]-WEEKDAY(tblLaborEntries[[#This Row],[Work date serial]],3),"yyyy-mm-dd")</f>
        <v>2025-06-30</v>
      </c>
      <c r="I5121" s="64">
        <f>DATEVALUE(tblLaborEntries[[#This Row],[Work date]])</f>
        <v>45839.0</v>
      </c>
    </row>
    <row r="5122" spans="1:9" ht="15" x14ac:dyDescent="0.25">
      <c r="A5122" s="53" t="inlineStr">
        <is>
          <t>LAB-005121</t>
        </is>
      </c>
      <c r="B5122" s="53" t="inlineStr">
        <is>
          <t>WP-02247</t>
        </is>
      </c>
      <c r="C5122" s="53" t="inlineStr">
        <is>
          <t>TECH-050</t>
        </is>
      </c>
      <c r="D5122" s="53" t="inlineStr">
        <is>
          <t>Avionics</t>
        </is>
      </c>
      <c r="E5122" s="53" t="inlineStr">
        <is>
          <t>2025-07-02</t>
        </is>
      </c>
      <c r="F5122" s="53">
        <v>2.4</v>
      </c>
      <c r="G5122" s="53">
        <v>0</v>
      </c>
      <c r="H5122" s="51" t="str">
        <f>TEXT(tblLaborEntries[[#This Row],[Work date serial]]-WEEKDAY(tblLaborEntries[[#This Row],[Work date serial]],3),"yyyy-mm-dd")</f>
        <v>2025-06-30</v>
      </c>
      <c r="I5122" s="64">
        <f>DATEVALUE(tblLaborEntries[[#This Row],[Work date]])</f>
        <v>45840.0</v>
      </c>
    </row>
    <row r="5123" spans="1:9" ht="15" x14ac:dyDescent="0.25">
      <c r="A5123" s="53" t="inlineStr">
        <is>
          <t>LAB-005122</t>
        </is>
      </c>
      <c r="B5123" s="53" t="inlineStr">
        <is>
          <t>WP-02247</t>
        </is>
      </c>
      <c r="C5123" s="53" t="inlineStr">
        <is>
          <t>TECH-050</t>
        </is>
      </c>
      <c r="D5123" s="53" t="inlineStr">
        <is>
          <t>Avionics</t>
        </is>
      </c>
      <c r="E5123" s="53" t="inlineStr">
        <is>
          <t>2025-07-03</t>
        </is>
      </c>
      <c r="F5123" s="53">
        <v>3.6</v>
      </c>
      <c r="G5123" s="53">
        <v>0</v>
      </c>
      <c r="H5123" s="51" t="str">
        <f>TEXT(tblLaborEntries[[#This Row],[Work date serial]]-WEEKDAY(tblLaborEntries[[#This Row],[Work date serial]],3),"yyyy-mm-dd")</f>
        <v>2025-06-30</v>
      </c>
      <c r="I5123" s="64">
        <f>DATEVALUE(tblLaborEntries[[#This Row],[Work date]])</f>
        <v>45841.0</v>
      </c>
    </row>
    <row r="5124" spans="1:9" ht="15" x14ac:dyDescent="0.25">
      <c r="A5124" s="53" t="inlineStr">
        <is>
          <t>LAB-005123</t>
        </is>
      </c>
      <c r="B5124" s="53" t="inlineStr">
        <is>
          <t>WP-02248</t>
        </is>
      </c>
      <c r="C5124" s="53" t="inlineStr">
        <is>
          <t>TECH-036</t>
        </is>
      </c>
      <c r="D5124" s="53" t="inlineStr">
        <is>
          <t>Powerplant</t>
        </is>
      </c>
      <c r="E5124" s="53" t="inlineStr">
        <is>
          <t>2024-02-29</t>
        </is>
      </c>
      <c r="F5124" s="53">
        <v>5.2</v>
      </c>
      <c r="G5124" s="53">
        <v>0</v>
      </c>
      <c r="H5124" s="51" t="str">
        <f>TEXT(tblLaborEntries[[#This Row],[Work date serial]]-WEEKDAY(tblLaborEntries[[#This Row],[Work date serial]],3),"yyyy-mm-dd")</f>
        <v>2024-02-26</v>
      </c>
      <c r="I5124" s="64">
        <f>DATEVALUE(tblLaborEntries[[#This Row],[Work date]])</f>
        <v>45351.0</v>
      </c>
    </row>
    <row r="5125" spans="1:9" ht="15" x14ac:dyDescent="0.25">
      <c r="A5125" s="53" t="inlineStr">
        <is>
          <t>LAB-005124</t>
        </is>
      </c>
      <c r="B5125" s="53" t="inlineStr">
        <is>
          <t>WP-02248</t>
        </is>
      </c>
      <c r="C5125" s="53" t="inlineStr">
        <is>
          <t>TECH-042</t>
        </is>
      </c>
      <c r="D5125" s="53" t="inlineStr">
        <is>
          <t>Powerplant</t>
        </is>
      </c>
      <c r="E5125" s="53" t="inlineStr">
        <is>
          <t>2024-03-01</t>
        </is>
      </c>
      <c r="F5125" s="53">
        <v>6.8</v>
      </c>
      <c r="G5125" s="53">
        <v>0</v>
      </c>
      <c r="H5125" s="51" t="str">
        <f>TEXT(tblLaborEntries[[#This Row],[Work date serial]]-WEEKDAY(tblLaborEntries[[#This Row],[Work date serial]],3),"yyyy-mm-dd")</f>
        <v>2024-02-26</v>
      </c>
      <c r="I5125" s="64">
        <f>DATEVALUE(tblLaborEntries[[#This Row],[Work date]])</f>
        <v>45352.0</v>
      </c>
    </row>
    <row r="5126" spans="1:9" ht="15" x14ac:dyDescent="0.25">
      <c r="A5126" s="53" t="inlineStr">
        <is>
          <t>LAB-005125</t>
        </is>
      </c>
      <c r="B5126" s="53" t="inlineStr">
        <is>
          <t>WP-02249</t>
        </is>
      </c>
      <c r="C5126" s="53" t="inlineStr">
        <is>
          <t>TECH-051</t>
        </is>
      </c>
      <c r="D5126" s="53" t="inlineStr">
        <is>
          <t>Hydraulics</t>
        </is>
      </c>
      <c r="E5126" s="53" t="inlineStr">
        <is>
          <t>2025-07-01</t>
        </is>
      </c>
      <c r="F5126" s="53">
        <v>4.5</v>
      </c>
      <c r="G5126" s="53">
        <v>0</v>
      </c>
      <c r="H5126" s="51" t="str">
        <f>TEXT(tblLaborEntries[[#This Row],[Work date serial]]-WEEKDAY(tblLaborEntries[[#This Row],[Work date serial]],3),"yyyy-mm-dd")</f>
        <v>2025-06-30</v>
      </c>
      <c r="I5126" s="64">
        <f>DATEVALUE(tblLaborEntries[[#This Row],[Work date]])</f>
        <v>45839.0</v>
      </c>
    </row>
    <row r="5127" spans="1:9" ht="15" x14ac:dyDescent="0.25">
      <c r="A5127" s="53" t="inlineStr">
        <is>
          <t>LAB-005126</t>
        </is>
      </c>
      <c r="B5127" s="53" t="inlineStr">
        <is>
          <t>WP-02249</t>
        </is>
      </c>
      <c r="C5127" s="53" t="inlineStr">
        <is>
          <t>TECH-075</t>
        </is>
      </c>
      <c r="D5127" s="53" t="inlineStr">
        <is>
          <t>Hydraulics</t>
        </is>
      </c>
      <c r="E5127" s="53" t="inlineStr">
        <is>
          <t>2025-07-02</t>
        </is>
      </c>
      <c r="F5127" s="53">
        <v>5.3</v>
      </c>
      <c r="G5127" s="53">
        <v>0</v>
      </c>
      <c r="H5127" s="51" t="str">
        <f>TEXT(tblLaborEntries[[#This Row],[Work date serial]]-WEEKDAY(tblLaborEntries[[#This Row],[Work date serial]],3),"yyyy-mm-dd")</f>
        <v>2025-06-30</v>
      </c>
      <c r="I5127" s="64">
        <f>DATEVALUE(tblLaborEntries[[#This Row],[Work date]])</f>
        <v>45840.0</v>
      </c>
    </row>
    <row r="5128" spans="1:9" ht="15" x14ac:dyDescent="0.25">
      <c r="A5128" s="53" t="inlineStr">
        <is>
          <t>LAB-005127</t>
        </is>
      </c>
      <c r="B5128" s="53" t="inlineStr">
        <is>
          <t>WP-02250</t>
        </is>
      </c>
      <c r="C5128" s="53" t="inlineStr">
        <is>
          <t>TECH-022</t>
        </is>
      </c>
      <c r="D5128" s="53" t="inlineStr">
        <is>
          <t>Electrical</t>
        </is>
      </c>
      <c r="E5128" s="53" t="inlineStr">
        <is>
          <t>2025-07-23</t>
        </is>
      </c>
      <c r="F5128" s="53">
        <v>6.5</v>
      </c>
      <c r="G5128" s="53">
        <v>0</v>
      </c>
      <c r="H5128" s="51" t="str">
        <f>TEXT(tblLaborEntries[[#This Row],[Work date serial]]-WEEKDAY(tblLaborEntries[[#This Row],[Work date serial]],3),"yyyy-mm-dd")</f>
        <v>2025-07-21</v>
      </c>
      <c r="I5128" s="64">
        <f>DATEVALUE(tblLaborEntries[[#This Row],[Work date]])</f>
        <v>45861.0</v>
      </c>
    </row>
    <row r="5129" spans="1:9" ht="15" x14ac:dyDescent="0.25">
      <c r="A5129" s="53" t="inlineStr">
        <is>
          <t>LAB-005128</t>
        </is>
      </c>
      <c r="B5129" s="53" t="inlineStr">
        <is>
          <t>WP-02251</t>
        </is>
      </c>
      <c r="C5129" s="53" t="inlineStr">
        <is>
          <t>TECH-020</t>
        </is>
      </c>
      <c r="D5129" s="53" t="inlineStr">
        <is>
          <t>Avionics</t>
        </is>
      </c>
      <c r="E5129" s="53" t="inlineStr">
        <is>
          <t>2024-03-10</t>
        </is>
      </c>
      <c r="F5129" s="53">
        <v>5.9</v>
      </c>
      <c r="G5129" s="53">
        <v>0</v>
      </c>
      <c r="H5129" s="51" t="str">
        <f>TEXT(tblLaborEntries[[#This Row],[Work date serial]]-WEEKDAY(tblLaborEntries[[#This Row],[Work date serial]],3),"yyyy-mm-dd")</f>
        <v>2024-03-04</v>
      </c>
      <c r="I5129" s="64">
        <f>DATEVALUE(tblLaborEntries[[#This Row],[Work date]])</f>
        <v>45361.0</v>
      </c>
    </row>
    <row r="5130" spans="1:9" ht="15" x14ac:dyDescent="0.25">
      <c r="A5130" s="53" t="inlineStr">
        <is>
          <t>LAB-005129</t>
        </is>
      </c>
      <c r="B5130" s="53" t="inlineStr">
        <is>
          <t>WP-02251</t>
        </is>
      </c>
      <c r="C5130" s="53" t="inlineStr">
        <is>
          <t>TECH-020</t>
        </is>
      </c>
      <c r="D5130" s="53" t="inlineStr">
        <is>
          <t>Avionics</t>
        </is>
      </c>
      <c r="E5130" s="53" t="inlineStr">
        <is>
          <t>2024-03-11</t>
        </is>
      </c>
      <c r="F5130" s="53">
        <v>5.6</v>
      </c>
      <c r="G5130" s="53">
        <v>3.5</v>
      </c>
      <c r="H5130" s="51" t="str">
        <f>TEXT(tblLaborEntries[[#This Row],[Work date serial]]-WEEKDAY(tblLaborEntries[[#This Row],[Work date serial]],3),"yyyy-mm-dd")</f>
        <v>2024-03-11</v>
      </c>
      <c r="I5130" s="64">
        <f>DATEVALUE(tblLaborEntries[[#This Row],[Work date]])</f>
        <v>45362.0</v>
      </c>
    </row>
    <row r="5131" spans="1:9" ht="15" x14ac:dyDescent="0.25">
      <c r="A5131" s="53" t="inlineStr">
        <is>
          <t>LAB-005130</t>
        </is>
      </c>
      <c r="B5131" s="53" t="inlineStr">
        <is>
          <t>WP-02252</t>
        </is>
      </c>
      <c r="C5131" s="53" t="inlineStr">
        <is>
          <t>TECH-072</t>
        </is>
      </c>
      <c r="D5131" s="53" t="inlineStr">
        <is>
          <t>Powerplant</t>
        </is>
      </c>
      <c r="E5131" s="53" t="inlineStr">
        <is>
          <t>2024-02-28</t>
        </is>
      </c>
      <c r="F5131" s="53">
        <v>8.7</v>
      </c>
      <c r="G5131" s="53">
        <v>0.7</v>
      </c>
      <c r="H5131" s="51" t="str">
        <f>TEXT(tblLaborEntries[[#This Row],[Work date serial]]-WEEKDAY(tblLaborEntries[[#This Row],[Work date serial]],3),"yyyy-mm-dd")</f>
        <v>2024-02-26</v>
      </c>
      <c r="I5131" s="64">
        <f>DATEVALUE(tblLaborEntries[[#This Row],[Work date]])</f>
        <v>45350.0</v>
      </c>
    </row>
    <row r="5132" spans="1:9" ht="15" x14ac:dyDescent="0.25">
      <c r="A5132" s="53" t="inlineStr">
        <is>
          <t>LAB-005131</t>
        </is>
      </c>
      <c r="B5132" s="53" t="inlineStr">
        <is>
          <t>WP-02252</t>
        </is>
      </c>
      <c r="C5132" s="53" t="inlineStr">
        <is>
          <t>TECH-006</t>
        </is>
      </c>
      <c r="D5132" s="53" t="inlineStr">
        <is>
          <t>Powerplant</t>
        </is>
      </c>
      <c r="E5132" s="53" t="inlineStr">
        <is>
          <t>2024-02-29</t>
        </is>
      </c>
      <c r="F5132" s="53">
        <v>5</v>
      </c>
      <c r="G5132" s="53">
        <v>0</v>
      </c>
      <c r="H5132" s="51" t="str">
        <f>TEXT(tblLaborEntries[[#This Row],[Work date serial]]-WEEKDAY(tblLaborEntries[[#This Row],[Work date serial]],3),"yyyy-mm-dd")</f>
        <v>2024-02-26</v>
      </c>
      <c r="I5132" s="64">
        <f>DATEVALUE(tblLaborEntries[[#This Row],[Work date]])</f>
        <v>45351.0</v>
      </c>
    </row>
    <row r="5133" spans="1:9" ht="15" x14ac:dyDescent="0.25">
      <c r="A5133" s="53" t="inlineStr">
        <is>
          <t>LAB-005132</t>
        </is>
      </c>
      <c r="B5133" s="53" t="inlineStr">
        <is>
          <t>WP-02252</t>
        </is>
      </c>
      <c r="C5133" s="53" t="inlineStr">
        <is>
          <t>TECH-030</t>
        </is>
      </c>
      <c r="D5133" s="53" t="inlineStr">
        <is>
          <t>Powerplant</t>
        </is>
      </c>
      <c r="E5133" s="53" t="inlineStr">
        <is>
          <t>2024-02-29</t>
        </is>
      </c>
      <c r="F5133" s="53">
        <v>6.3</v>
      </c>
      <c r="G5133" s="53">
        <v>4</v>
      </c>
      <c r="H5133" s="51" t="str">
        <f>TEXT(tblLaborEntries[[#This Row],[Work date serial]]-WEEKDAY(tblLaborEntries[[#This Row],[Work date serial]],3),"yyyy-mm-dd")</f>
        <v>2024-02-26</v>
      </c>
      <c r="I5133" s="64">
        <f>DATEVALUE(tblLaborEntries[[#This Row],[Work date]])</f>
        <v>45351.0</v>
      </c>
    </row>
    <row r="5134" spans="1:9" ht="15" x14ac:dyDescent="0.25">
      <c r="A5134" s="53" t="inlineStr">
        <is>
          <t>LAB-005133</t>
        </is>
      </c>
      <c r="B5134" s="53" t="inlineStr">
        <is>
          <t>WP-02253</t>
        </is>
      </c>
      <c r="C5134" s="53" t="inlineStr">
        <is>
          <t>TECH-007</t>
        </is>
      </c>
      <c r="D5134" s="53" t="inlineStr">
        <is>
          <t>Airframe</t>
        </is>
      </c>
      <c r="E5134" s="53" t="inlineStr">
        <is>
          <t>2024-03-25</t>
        </is>
      </c>
      <c r="F5134" s="53">
        <v>3.7</v>
      </c>
      <c r="G5134" s="53">
        <v>0</v>
      </c>
      <c r="H5134" s="51" t="str">
        <f>TEXT(tblLaborEntries[[#This Row],[Work date serial]]-WEEKDAY(tblLaborEntries[[#This Row],[Work date serial]],3),"yyyy-mm-dd")</f>
        <v>2024-03-25</v>
      </c>
      <c r="I5134" s="64">
        <f>DATEVALUE(tblLaborEntries[[#This Row],[Work date]])</f>
        <v>45376.0</v>
      </c>
    </row>
    <row r="5135" spans="1:9" ht="15" x14ac:dyDescent="0.25">
      <c r="A5135" s="53" t="inlineStr">
        <is>
          <t>LAB-005134</t>
        </is>
      </c>
      <c r="B5135" s="53" t="inlineStr">
        <is>
          <t>WP-02253</t>
        </is>
      </c>
      <c r="C5135" s="53" t="inlineStr">
        <is>
          <t>TECH-001</t>
        </is>
      </c>
      <c r="D5135" s="53" t="inlineStr">
        <is>
          <t>Airframe</t>
        </is>
      </c>
      <c r="E5135" s="53" t="inlineStr">
        <is>
          <t>2024-03-26</t>
        </is>
      </c>
      <c r="F5135" s="53">
        <v>3.3</v>
      </c>
      <c r="G5135" s="53">
        <v>0</v>
      </c>
      <c r="H5135" s="51" t="str">
        <f>TEXT(tblLaborEntries[[#This Row],[Work date serial]]-WEEKDAY(tblLaborEntries[[#This Row],[Work date serial]],3),"yyyy-mm-dd")</f>
        <v>2024-03-25</v>
      </c>
      <c r="I5135" s="64">
        <f>DATEVALUE(tblLaborEntries[[#This Row],[Work date]])</f>
        <v>45377.0</v>
      </c>
    </row>
    <row r="5136" spans="1:9" ht="15" x14ac:dyDescent="0.25">
      <c r="A5136" s="53" t="inlineStr">
        <is>
          <t>LAB-005135</t>
        </is>
      </c>
      <c r="B5136" s="53" t="inlineStr">
        <is>
          <t>WP-02254</t>
        </is>
      </c>
      <c r="C5136" s="53" t="inlineStr">
        <is>
          <t>TECH-038</t>
        </is>
      </c>
      <c r="D5136" s="53" t="inlineStr">
        <is>
          <t>Avionics</t>
        </is>
      </c>
      <c r="E5136" s="53" t="inlineStr">
        <is>
          <t>2024-04-21</t>
        </is>
      </c>
      <c r="F5136" s="53">
        <v>6.4</v>
      </c>
      <c r="G5136" s="53">
        <v>0</v>
      </c>
      <c r="H5136" s="51" t="str">
        <f>TEXT(tblLaborEntries[[#This Row],[Work date serial]]-WEEKDAY(tblLaborEntries[[#This Row],[Work date serial]],3),"yyyy-mm-dd")</f>
        <v>2024-04-15</v>
      </c>
      <c r="I5136" s="64">
        <f>DATEVALUE(tblLaborEntries[[#This Row],[Work date]])</f>
        <v>45403.0</v>
      </c>
    </row>
    <row r="5137" spans="1:9" ht="15" x14ac:dyDescent="0.25">
      <c r="A5137" s="53" t="inlineStr">
        <is>
          <t>LAB-005136</t>
        </is>
      </c>
      <c r="B5137" s="53" t="inlineStr">
        <is>
          <t>WP-02255</t>
        </is>
      </c>
      <c r="C5137" s="53" t="inlineStr">
        <is>
          <t>TECH-038</t>
        </is>
      </c>
      <c r="D5137" s="53" t="inlineStr">
        <is>
          <t>Avionics</t>
        </is>
      </c>
      <c r="E5137" s="53" t="inlineStr">
        <is>
          <t>2024-02-27</t>
        </is>
      </c>
      <c r="F5137" s="53">
        <v>4.1</v>
      </c>
      <c r="G5137" s="53">
        <v>0</v>
      </c>
      <c r="H5137" s="51" t="str">
        <f>TEXT(tblLaborEntries[[#This Row],[Work date serial]]-WEEKDAY(tblLaborEntries[[#This Row],[Work date serial]],3),"yyyy-mm-dd")</f>
        <v>2024-02-26</v>
      </c>
      <c r="I5137" s="64">
        <f>DATEVALUE(tblLaborEntries[[#This Row],[Work date]])</f>
        <v>45349.0</v>
      </c>
    </row>
    <row r="5138" spans="1:9" ht="15" x14ac:dyDescent="0.25">
      <c r="A5138" s="53" t="inlineStr">
        <is>
          <t>LAB-005137</t>
        </is>
      </c>
      <c r="B5138" s="53" t="inlineStr">
        <is>
          <t>WP-02255</t>
        </is>
      </c>
      <c r="C5138" s="53" t="inlineStr">
        <is>
          <t>TECH-068</t>
        </is>
      </c>
      <c r="D5138" s="53" t="inlineStr">
        <is>
          <t>Avionics</t>
        </is>
      </c>
      <c r="E5138" s="53" t="inlineStr">
        <is>
          <t>2024-02-28</t>
        </is>
      </c>
      <c r="F5138" s="53">
        <v>6</v>
      </c>
      <c r="G5138" s="53">
        <v>0</v>
      </c>
      <c r="H5138" s="51" t="str">
        <f>TEXT(tblLaborEntries[[#This Row],[Work date serial]]-WEEKDAY(tblLaborEntries[[#This Row],[Work date serial]],3),"yyyy-mm-dd")</f>
        <v>2024-02-26</v>
      </c>
      <c r="I5138" s="64">
        <f>DATEVALUE(tblLaborEntries[[#This Row],[Work date]])</f>
        <v>45350.0</v>
      </c>
    </row>
    <row r="5139" spans="1:9" ht="15" x14ac:dyDescent="0.25">
      <c r="A5139" s="53" t="inlineStr">
        <is>
          <t>LAB-005138</t>
        </is>
      </c>
      <c r="B5139" s="53" t="inlineStr">
        <is>
          <t>WP-02256</t>
        </is>
      </c>
      <c r="C5139" s="53" t="inlineStr">
        <is>
          <t>TECH-028</t>
        </is>
      </c>
      <c r="D5139" s="53" t="inlineStr">
        <is>
          <t>Electrical</t>
        </is>
      </c>
      <c r="E5139" s="53" t="inlineStr">
        <is>
          <t>2024-05-05</t>
        </is>
      </c>
      <c r="F5139" s="53">
        <v>5</v>
      </c>
      <c r="G5139" s="53">
        <v>0</v>
      </c>
      <c r="H5139" s="51" t="str">
        <f>TEXT(tblLaborEntries[[#This Row],[Work date serial]]-WEEKDAY(tblLaborEntries[[#This Row],[Work date serial]],3),"yyyy-mm-dd")</f>
        <v>2024-04-29</v>
      </c>
      <c r="I5139" s="64">
        <f>DATEVALUE(tblLaborEntries[[#This Row],[Work date]])</f>
        <v>45417.0</v>
      </c>
    </row>
    <row r="5140" spans="1:9" ht="15" x14ac:dyDescent="0.25">
      <c r="A5140" s="53" t="inlineStr">
        <is>
          <t>LAB-005139</t>
        </is>
      </c>
      <c r="B5140" s="53" t="inlineStr">
        <is>
          <t>WP-02256</t>
        </is>
      </c>
      <c r="C5140" s="53" t="inlineStr">
        <is>
          <t>TECH-040</t>
        </is>
      </c>
      <c r="D5140" s="53" t="inlineStr">
        <is>
          <t>Electrical</t>
        </is>
      </c>
      <c r="E5140" s="53" t="inlineStr">
        <is>
          <t>2024-05-06</t>
        </is>
      </c>
      <c r="F5140" s="53">
        <v>4.9</v>
      </c>
      <c r="G5140" s="53">
        <v>0</v>
      </c>
      <c r="H5140" s="51" t="str">
        <f>TEXT(tblLaborEntries[[#This Row],[Work date serial]]-WEEKDAY(tblLaborEntries[[#This Row],[Work date serial]],3),"yyyy-mm-dd")</f>
        <v>2024-05-06</v>
      </c>
      <c r="I5140" s="64">
        <f>DATEVALUE(tblLaborEntries[[#This Row],[Work date]])</f>
        <v>45418.0</v>
      </c>
    </row>
    <row r="5141" spans="1:9" ht="15" x14ac:dyDescent="0.25">
      <c r="A5141" s="53" t="inlineStr">
        <is>
          <t>LAB-005140</t>
        </is>
      </c>
      <c r="B5141" s="53" t="inlineStr">
        <is>
          <t>WP-02256</t>
        </is>
      </c>
      <c r="C5141" s="53" t="inlineStr">
        <is>
          <t>TECH-004</t>
        </is>
      </c>
      <c r="D5141" s="53" t="inlineStr">
        <is>
          <t>Electrical</t>
        </is>
      </c>
      <c r="E5141" s="53" t="inlineStr">
        <is>
          <t>2024-05-07</t>
        </is>
      </c>
      <c r="F5141" s="53">
        <v>3.7</v>
      </c>
      <c r="G5141" s="53">
        <v>0</v>
      </c>
      <c r="H5141" s="51" t="str">
        <f>TEXT(tblLaborEntries[[#This Row],[Work date serial]]-WEEKDAY(tblLaborEntries[[#This Row],[Work date serial]],3),"yyyy-mm-dd")</f>
        <v>2024-05-06</v>
      </c>
      <c r="I5141" s="64">
        <f>DATEVALUE(tblLaborEntries[[#This Row],[Work date]])</f>
        <v>45419.0</v>
      </c>
    </row>
    <row r="5142" spans="1:9" ht="15" x14ac:dyDescent="0.25">
      <c r="A5142" s="53" t="inlineStr">
        <is>
          <t>LAB-005141</t>
        </is>
      </c>
      <c r="B5142" s="53" t="inlineStr">
        <is>
          <t>WP-02257</t>
        </is>
      </c>
      <c r="C5142" s="53" t="inlineStr">
        <is>
          <t>TECH-037</t>
        </is>
      </c>
      <c r="D5142" s="53" t="inlineStr">
        <is>
          <t>Airframe</t>
        </is>
      </c>
      <c r="E5142" s="53" t="inlineStr">
        <is>
          <t>2024-12-14</t>
        </is>
      </c>
      <c r="F5142" s="53">
        <v>0.9</v>
      </c>
      <c r="G5142" s="53">
        <v>0</v>
      </c>
      <c r="H5142" s="51" t="str">
        <f>TEXT(tblLaborEntries[[#This Row],[Work date serial]]-WEEKDAY(tblLaborEntries[[#This Row],[Work date serial]],3),"yyyy-mm-dd")</f>
        <v>2024-12-09</v>
      </c>
      <c r="I5142" s="64">
        <f>DATEVALUE(tblLaborEntries[[#This Row],[Work date]])</f>
        <v>45640.0</v>
      </c>
    </row>
    <row r="5143" spans="1:9" ht="15" x14ac:dyDescent="0.25">
      <c r="A5143" s="53" t="inlineStr">
        <is>
          <t>LAB-005142</t>
        </is>
      </c>
      <c r="B5143" s="53" t="inlineStr">
        <is>
          <t>WP-02257</t>
        </is>
      </c>
      <c r="C5143" s="53" t="inlineStr">
        <is>
          <t>TECH-061</t>
        </is>
      </c>
      <c r="D5143" s="53" t="inlineStr">
        <is>
          <t>Airframe</t>
        </is>
      </c>
      <c r="E5143" s="53" t="inlineStr">
        <is>
          <t>2024-12-15</t>
        </is>
      </c>
      <c r="F5143" s="53">
        <v>0.7</v>
      </c>
      <c r="G5143" s="53">
        <v>0</v>
      </c>
      <c r="H5143" s="51" t="str">
        <f>TEXT(tblLaborEntries[[#This Row],[Work date serial]]-WEEKDAY(tblLaborEntries[[#This Row],[Work date serial]],3),"yyyy-mm-dd")</f>
        <v>2024-12-09</v>
      </c>
      <c r="I5143" s="64">
        <f>DATEVALUE(tblLaborEntries[[#This Row],[Work date]])</f>
        <v>45641.0</v>
      </c>
    </row>
    <row r="5144" spans="1:9" ht="15" x14ac:dyDescent="0.25">
      <c r="A5144" s="53" t="inlineStr">
        <is>
          <t>LAB-005143</t>
        </is>
      </c>
      <c r="B5144" s="53" t="inlineStr">
        <is>
          <t>WP-02258</t>
        </is>
      </c>
      <c r="C5144" s="53" t="inlineStr">
        <is>
          <t>TECH-022</t>
        </is>
      </c>
      <c r="D5144" s="53" t="inlineStr">
        <is>
          <t>Electrical</t>
        </is>
      </c>
      <c r="E5144" s="53" t="inlineStr">
        <is>
          <t>2025-08-29</t>
        </is>
      </c>
      <c r="F5144" s="53">
        <v>6.2</v>
      </c>
      <c r="G5144" s="53">
        <v>0</v>
      </c>
      <c r="H5144" s="51" t="str">
        <f>TEXT(tblLaborEntries[[#This Row],[Work date serial]]-WEEKDAY(tblLaborEntries[[#This Row],[Work date serial]],3),"yyyy-mm-dd")</f>
        <v>2025-08-25</v>
      </c>
      <c r="I5144" s="64">
        <f>DATEVALUE(tblLaborEntries[[#This Row],[Work date]])</f>
        <v>45898.0</v>
      </c>
    </row>
    <row r="5145" spans="1:9" ht="15" x14ac:dyDescent="0.25">
      <c r="A5145" s="53" t="inlineStr">
        <is>
          <t>LAB-005144</t>
        </is>
      </c>
      <c r="B5145" s="53" t="inlineStr">
        <is>
          <t>WP-02258</t>
        </is>
      </c>
      <c r="C5145" s="53" t="inlineStr">
        <is>
          <t>TECH-010</t>
        </is>
      </c>
      <c r="D5145" s="53" t="inlineStr">
        <is>
          <t>Electrical</t>
        </is>
      </c>
      <c r="E5145" s="53" t="inlineStr">
        <is>
          <t>2025-08-30</t>
        </is>
      </c>
      <c r="F5145" s="53">
        <v>6.4</v>
      </c>
      <c r="G5145" s="53">
        <v>0</v>
      </c>
      <c r="H5145" s="51" t="str">
        <f>TEXT(tblLaborEntries[[#This Row],[Work date serial]]-WEEKDAY(tblLaborEntries[[#This Row],[Work date serial]],3),"yyyy-mm-dd")</f>
        <v>2025-08-25</v>
      </c>
      <c r="I5145" s="64">
        <f>DATEVALUE(tblLaborEntries[[#This Row],[Work date]])</f>
        <v>45899.0</v>
      </c>
    </row>
    <row r="5146" spans="1:9" ht="15" x14ac:dyDescent="0.25">
      <c r="A5146" s="53" t="inlineStr">
        <is>
          <t>LAB-005145</t>
        </is>
      </c>
      <c r="B5146" s="53" t="inlineStr">
        <is>
          <t>WP-02258</t>
        </is>
      </c>
      <c r="C5146" s="53" t="inlineStr">
        <is>
          <t>TECH-070</t>
        </is>
      </c>
      <c r="D5146" s="53" t="inlineStr">
        <is>
          <t>Electrical</t>
        </is>
      </c>
      <c r="E5146" s="53" t="inlineStr">
        <is>
          <t>2025-08-31</t>
        </is>
      </c>
      <c r="F5146" s="53">
        <v>5.1</v>
      </c>
      <c r="G5146" s="53">
        <v>0</v>
      </c>
      <c r="H5146" s="51" t="str">
        <f>TEXT(tblLaborEntries[[#This Row],[Work date serial]]-WEEKDAY(tblLaborEntries[[#This Row],[Work date serial]],3),"yyyy-mm-dd")</f>
        <v>2025-08-25</v>
      </c>
      <c r="I5146" s="64">
        <f>DATEVALUE(tblLaborEntries[[#This Row],[Work date]])</f>
        <v>45900.0</v>
      </c>
    </row>
    <row r="5147" spans="1:9" ht="15" x14ac:dyDescent="0.25">
      <c r="A5147" s="53" t="inlineStr">
        <is>
          <t>LAB-005146</t>
        </is>
      </c>
      <c r="B5147" s="53" t="inlineStr">
        <is>
          <t>WP-02259</t>
        </is>
      </c>
      <c r="C5147" s="53" t="inlineStr">
        <is>
          <t>TECH-002</t>
        </is>
      </c>
      <c r="D5147" s="53" t="inlineStr">
        <is>
          <t>Avionics</t>
        </is>
      </c>
      <c r="E5147" s="53" t="inlineStr">
        <is>
          <t>2025-05-25</t>
        </is>
      </c>
      <c r="F5147" s="53">
        <v>0.8</v>
      </c>
      <c r="G5147" s="53">
        <v>0</v>
      </c>
      <c r="H5147" s="51" t="str">
        <f>TEXT(tblLaborEntries[[#This Row],[Work date serial]]-WEEKDAY(tblLaborEntries[[#This Row],[Work date serial]],3),"yyyy-mm-dd")</f>
        <v>2025-05-19</v>
      </c>
      <c r="I5147" s="64">
        <f>DATEVALUE(tblLaborEntries[[#This Row],[Work date]])</f>
        <v>45802.0</v>
      </c>
    </row>
    <row r="5148" spans="1:9" ht="15" x14ac:dyDescent="0.25">
      <c r="A5148" s="53" t="inlineStr">
        <is>
          <t>LAB-005147</t>
        </is>
      </c>
      <c r="B5148" s="53" t="inlineStr">
        <is>
          <t>WP-02259</t>
        </is>
      </c>
      <c r="C5148" s="53" t="inlineStr">
        <is>
          <t>TECH-062</t>
        </is>
      </c>
      <c r="D5148" s="53" t="inlineStr">
        <is>
          <t>Avionics</t>
        </is>
      </c>
      <c r="E5148" s="53" t="inlineStr">
        <is>
          <t>2025-05-26</t>
        </is>
      </c>
      <c r="F5148" s="53">
        <v>0.9</v>
      </c>
      <c r="G5148" s="53">
        <v>0.9</v>
      </c>
      <c r="H5148" s="51" t="str">
        <f>TEXT(tblLaborEntries[[#This Row],[Work date serial]]-WEEKDAY(tblLaborEntries[[#This Row],[Work date serial]],3),"yyyy-mm-dd")</f>
        <v>2025-05-26</v>
      </c>
      <c r="I5148" s="64">
        <f>DATEVALUE(tblLaborEntries[[#This Row],[Work date]])</f>
        <v>45803.0</v>
      </c>
    </row>
    <row r="5149" spans="1:9" ht="15" x14ac:dyDescent="0.25">
      <c r="A5149" s="53" t="inlineStr">
        <is>
          <t>LAB-005148</t>
        </is>
      </c>
      <c r="B5149" s="53" t="inlineStr">
        <is>
          <t>WP-02259</t>
        </is>
      </c>
      <c r="C5149" s="53" t="inlineStr">
        <is>
          <t>TECH-032</t>
        </is>
      </c>
      <c r="D5149" s="53" t="inlineStr">
        <is>
          <t>Avionics</t>
        </is>
      </c>
      <c r="E5149" s="53" t="inlineStr">
        <is>
          <t>2025-05-27</t>
        </is>
      </c>
      <c r="F5149" s="53">
        <v>1.1</v>
      </c>
      <c r="G5149" s="53">
        <v>0</v>
      </c>
      <c r="H5149" s="51" t="str">
        <f>TEXT(tblLaborEntries[[#This Row],[Work date serial]]-WEEKDAY(tblLaborEntries[[#This Row],[Work date serial]],3),"yyyy-mm-dd")</f>
        <v>2025-05-26</v>
      </c>
      <c r="I5149" s="64">
        <f>DATEVALUE(tblLaborEntries[[#This Row],[Work date]])</f>
        <v>45804.0</v>
      </c>
    </row>
    <row r="5150" spans="1:9" ht="15" x14ac:dyDescent="0.25">
      <c r="A5150" s="53" t="inlineStr">
        <is>
          <t>LAB-005149</t>
        </is>
      </c>
      <c r="B5150" s="53" t="inlineStr">
        <is>
          <t>WP-02260</t>
        </is>
      </c>
      <c r="C5150" s="53" t="inlineStr">
        <is>
          <t>TECH-017</t>
        </is>
      </c>
      <c r="D5150" s="53" t="inlineStr">
        <is>
          <t>Structures</t>
        </is>
      </c>
      <c r="E5150" s="53" t="inlineStr">
        <is>
          <t>2025-03-06</t>
        </is>
      </c>
      <c r="F5150" s="53">
        <v>2</v>
      </c>
      <c r="G5150" s="53">
        <v>0</v>
      </c>
      <c r="H5150" s="51" t="str">
        <f>TEXT(tblLaborEntries[[#This Row],[Work date serial]]-WEEKDAY(tblLaborEntries[[#This Row],[Work date serial]],3),"yyyy-mm-dd")</f>
        <v>2025-03-03</v>
      </c>
      <c r="I5150" s="64">
        <f>DATEVALUE(tblLaborEntries[[#This Row],[Work date]])</f>
        <v>45722.0</v>
      </c>
    </row>
    <row r="5151" spans="1:9" ht="15" x14ac:dyDescent="0.25">
      <c r="A5151" s="53" t="inlineStr">
        <is>
          <t>LAB-005150</t>
        </is>
      </c>
      <c r="B5151" s="53" t="inlineStr">
        <is>
          <t>WP-02260</t>
        </is>
      </c>
      <c r="C5151" s="53" t="inlineStr">
        <is>
          <t>TECH-065</t>
        </is>
      </c>
      <c r="D5151" s="53" t="inlineStr">
        <is>
          <t>Structures</t>
        </is>
      </c>
      <c r="E5151" s="53" t="inlineStr">
        <is>
          <t>2025-03-06</t>
        </is>
      </c>
      <c r="F5151" s="53">
        <v>12</v>
      </c>
      <c r="G5151" s="53">
        <v>4</v>
      </c>
      <c r="H5151" s="51" t="str">
        <f>TEXT(tblLaborEntries[[#This Row],[Work date serial]]-WEEKDAY(tblLaborEntries[[#This Row],[Work date serial]],3),"yyyy-mm-dd")</f>
        <v>2025-03-03</v>
      </c>
      <c r="I5151" s="64">
        <f>DATEVALUE(tblLaborEntries[[#This Row],[Work date]])</f>
        <v>45722.0</v>
      </c>
    </row>
    <row r="5152" spans="1:9" ht="15" x14ac:dyDescent="0.25">
      <c r="A5152" s="53" t="inlineStr">
        <is>
          <t>LAB-005151</t>
        </is>
      </c>
      <c r="B5152" s="53" t="inlineStr">
        <is>
          <t>WP-02260</t>
        </is>
      </c>
      <c r="C5152" s="53" t="inlineStr">
        <is>
          <t>TECH-041</t>
        </is>
      </c>
      <c r="D5152" s="53" t="inlineStr">
        <is>
          <t>Structures</t>
        </is>
      </c>
      <c r="E5152" s="53" t="inlineStr">
        <is>
          <t>2025-03-07</t>
        </is>
      </c>
      <c r="F5152" s="53">
        <v>10.5</v>
      </c>
      <c r="G5152" s="53">
        <v>2.5</v>
      </c>
      <c r="H5152" s="51" t="str">
        <f>TEXT(tblLaborEntries[[#This Row],[Work date serial]]-WEEKDAY(tblLaborEntries[[#This Row],[Work date serial]],3),"yyyy-mm-dd")</f>
        <v>2025-03-03</v>
      </c>
      <c r="I5152" s="64">
        <f>DATEVALUE(tblLaborEntries[[#This Row],[Work date]])</f>
        <v>45723.0</v>
      </c>
    </row>
    <row r="5153" spans="1:9" ht="15" x14ac:dyDescent="0.25">
      <c r="A5153" s="53" t="inlineStr">
        <is>
          <t>LAB-005152</t>
        </is>
      </c>
      <c r="B5153" s="53" t="inlineStr">
        <is>
          <t>WP-02261</t>
        </is>
      </c>
      <c r="C5153" s="53" t="inlineStr">
        <is>
          <t>TECH-001</t>
        </is>
      </c>
      <c r="D5153" s="53" t="inlineStr">
        <is>
          <t>Airframe</t>
        </is>
      </c>
      <c r="E5153" s="53" t="inlineStr">
        <is>
          <t>2025-12-12</t>
        </is>
      </c>
      <c r="F5153" s="53">
        <v>11.4</v>
      </c>
      <c r="G5153" s="53">
        <v>3.4</v>
      </c>
      <c r="H5153" s="51" t="str">
        <f>TEXT(tblLaborEntries[[#This Row],[Work date serial]]-WEEKDAY(tblLaborEntries[[#This Row],[Work date serial]],3),"yyyy-mm-dd")</f>
        <v>2025-12-08</v>
      </c>
      <c r="I5153" s="64">
        <f>DATEVALUE(tblLaborEntries[[#This Row],[Work date]])</f>
        <v>46003.0</v>
      </c>
    </row>
    <row r="5154" spans="1:9" ht="15" x14ac:dyDescent="0.25">
      <c r="A5154" s="53" t="inlineStr">
        <is>
          <t>LAB-005153</t>
        </is>
      </c>
      <c r="B5154" s="53" t="inlineStr">
        <is>
          <t>WP-02262</t>
        </is>
      </c>
      <c r="C5154" s="53" t="inlineStr">
        <is>
          <t>TECH-037</t>
        </is>
      </c>
      <c r="D5154" s="53" t="inlineStr">
        <is>
          <t>Airframe</t>
        </is>
      </c>
      <c r="E5154" s="53" t="inlineStr">
        <is>
          <t>2024-08-26</t>
        </is>
      </c>
      <c r="F5154" s="53">
        <v>2.9</v>
      </c>
      <c r="G5154" s="53">
        <v>0</v>
      </c>
      <c r="H5154" s="51" t="str">
        <f>TEXT(tblLaborEntries[[#This Row],[Work date serial]]-WEEKDAY(tblLaborEntries[[#This Row],[Work date serial]],3),"yyyy-mm-dd")</f>
        <v>2024-08-26</v>
      </c>
      <c r="I5154" s="64">
        <f>DATEVALUE(tblLaborEntries[[#This Row],[Work date]])</f>
        <v>45530.0</v>
      </c>
    </row>
    <row r="5155" spans="1:9" ht="15" x14ac:dyDescent="0.25">
      <c r="A5155" s="53" t="inlineStr">
        <is>
          <t>LAB-005154</t>
        </is>
      </c>
      <c r="B5155" s="53" t="inlineStr">
        <is>
          <t>WP-02262</t>
        </is>
      </c>
      <c r="C5155" s="53" t="inlineStr">
        <is>
          <t>TECH-043</t>
        </is>
      </c>
      <c r="D5155" s="53" t="inlineStr">
        <is>
          <t>Airframe</t>
        </is>
      </c>
      <c r="E5155" s="53" t="inlineStr">
        <is>
          <t>2024-08-27</t>
        </is>
      </c>
      <c r="F5155" s="53">
        <v>3</v>
      </c>
      <c r="G5155" s="53">
        <v>0</v>
      </c>
      <c r="H5155" s="51" t="str">
        <f>TEXT(tblLaborEntries[[#This Row],[Work date serial]]-WEEKDAY(tblLaborEntries[[#This Row],[Work date serial]],3),"yyyy-mm-dd")</f>
        <v>2024-08-26</v>
      </c>
      <c r="I5155" s="64">
        <f>DATEVALUE(tblLaborEntries[[#This Row],[Work date]])</f>
        <v>45531.0</v>
      </c>
    </row>
    <row r="5156" spans="1:9" ht="15" x14ac:dyDescent="0.25">
      <c r="A5156" s="53" t="inlineStr">
        <is>
          <t>LAB-005155</t>
        </is>
      </c>
      <c r="B5156" s="53" t="inlineStr">
        <is>
          <t>WP-02262</t>
        </is>
      </c>
      <c r="C5156" s="53" t="inlineStr">
        <is>
          <t>TECH-001</t>
        </is>
      </c>
      <c r="D5156" s="53" t="inlineStr">
        <is>
          <t>Airframe</t>
        </is>
      </c>
      <c r="E5156" s="53" t="inlineStr">
        <is>
          <t>2024-08-28</t>
        </is>
      </c>
      <c r="F5156" s="53">
        <v>2.9</v>
      </c>
      <c r="G5156" s="53">
        <v>0</v>
      </c>
      <c r="H5156" s="51" t="str">
        <f>TEXT(tblLaborEntries[[#This Row],[Work date serial]]-WEEKDAY(tblLaborEntries[[#This Row],[Work date serial]],3),"yyyy-mm-dd")</f>
        <v>2024-08-26</v>
      </c>
      <c r="I5156" s="64">
        <f>DATEVALUE(tblLaborEntries[[#This Row],[Work date]])</f>
        <v>45532.0</v>
      </c>
    </row>
    <row r="5157" spans="1:9" ht="15" x14ac:dyDescent="0.25">
      <c r="A5157" s="53" t="inlineStr">
        <is>
          <t>LAB-005156</t>
        </is>
      </c>
      <c r="B5157" s="53" t="inlineStr">
        <is>
          <t>WP-02263</t>
        </is>
      </c>
      <c r="C5157" s="53" t="inlineStr">
        <is>
          <t>TECH-066</t>
        </is>
      </c>
      <c r="D5157" s="53" t="inlineStr">
        <is>
          <t>Powerplant</t>
        </is>
      </c>
      <c r="E5157" s="53" t="inlineStr">
        <is>
          <t>2025-06-04</t>
        </is>
      </c>
      <c r="F5157" s="53">
        <v>8.8</v>
      </c>
      <c r="G5157" s="53">
        <v>0.8</v>
      </c>
      <c r="H5157" s="51" t="str">
        <f>TEXT(tblLaborEntries[[#This Row],[Work date serial]]-WEEKDAY(tblLaborEntries[[#This Row],[Work date serial]],3),"yyyy-mm-dd")</f>
        <v>2025-06-02</v>
      </c>
      <c r="I5157" s="64">
        <f>DATEVALUE(tblLaborEntries[[#This Row],[Work date]])</f>
        <v>45812.0</v>
      </c>
    </row>
    <row r="5158" spans="1:9" ht="15" x14ac:dyDescent="0.25">
      <c r="A5158" s="53" t="inlineStr">
        <is>
          <t>LAB-005157</t>
        </is>
      </c>
      <c r="B5158" s="53" t="inlineStr">
        <is>
          <t>WP-02263</t>
        </is>
      </c>
      <c r="C5158" s="53" t="inlineStr">
        <is>
          <t>TECH-006</t>
        </is>
      </c>
      <c r="D5158" s="53" t="inlineStr">
        <is>
          <t>Powerplant</t>
        </is>
      </c>
      <c r="E5158" s="53" t="inlineStr">
        <is>
          <t>2025-06-05</t>
        </is>
      </c>
      <c r="F5158" s="53">
        <v>0.8</v>
      </c>
      <c r="G5158" s="53">
        <v>0</v>
      </c>
      <c r="H5158" s="51" t="str">
        <f>TEXT(tblLaborEntries[[#This Row],[Work date serial]]-WEEKDAY(tblLaborEntries[[#This Row],[Work date serial]],3),"yyyy-mm-dd")</f>
        <v>2025-06-02</v>
      </c>
      <c r="I5158" s="64">
        <f>DATEVALUE(tblLaborEntries[[#This Row],[Work date]])</f>
        <v>45813.0</v>
      </c>
    </row>
    <row r="5159" spans="1:9" ht="15" x14ac:dyDescent="0.25">
      <c r="A5159" s="53" t="inlineStr">
        <is>
          <t>LAB-005158</t>
        </is>
      </c>
      <c r="B5159" s="53" t="inlineStr">
        <is>
          <t>WP-02263</t>
        </is>
      </c>
      <c r="C5159" s="53" t="inlineStr">
        <is>
          <t>TECH-060</t>
        </is>
      </c>
      <c r="D5159" s="53" t="inlineStr">
        <is>
          <t>Powerplant</t>
        </is>
      </c>
      <c r="E5159" s="53" t="inlineStr">
        <is>
          <t>2025-06-05</t>
        </is>
      </c>
      <c r="F5159" s="53">
        <v>12</v>
      </c>
      <c r="G5159" s="53">
        <v>4</v>
      </c>
      <c r="H5159" s="51" t="str">
        <f>TEXT(tblLaborEntries[[#This Row],[Work date serial]]-WEEKDAY(tblLaborEntries[[#This Row],[Work date serial]],3),"yyyy-mm-dd")</f>
        <v>2025-06-02</v>
      </c>
      <c r="I5159" s="64">
        <f>DATEVALUE(tblLaborEntries[[#This Row],[Work date]])</f>
        <v>45813.0</v>
      </c>
    </row>
    <row r="5160" spans="1:9" ht="15" x14ac:dyDescent="0.25">
      <c r="A5160" s="53" t="inlineStr">
        <is>
          <t>LAB-005159</t>
        </is>
      </c>
      <c r="B5160" s="53" t="inlineStr">
        <is>
          <t>WP-02264</t>
        </is>
      </c>
      <c r="C5160" s="53" t="inlineStr">
        <is>
          <t>TECH-036</t>
        </is>
      </c>
      <c r="D5160" s="53" t="inlineStr">
        <is>
          <t>Powerplant</t>
        </is>
      </c>
      <c r="E5160" s="53" t="inlineStr">
        <is>
          <t>2025-02-17</t>
        </is>
      </c>
      <c r="F5160" s="53">
        <v>3.5</v>
      </c>
      <c r="G5160" s="53">
        <v>0</v>
      </c>
      <c r="H5160" s="51" t="str">
        <f>TEXT(tblLaborEntries[[#This Row],[Work date serial]]-WEEKDAY(tblLaborEntries[[#This Row],[Work date serial]],3),"yyyy-mm-dd")</f>
        <v>2025-02-17</v>
      </c>
      <c r="I5160" s="64">
        <f>DATEVALUE(tblLaborEntries[[#This Row],[Work date]])</f>
        <v>45705.0</v>
      </c>
    </row>
    <row r="5161" spans="1:9" ht="15" x14ac:dyDescent="0.25">
      <c r="A5161" s="53" t="inlineStr">
        <is>
          <t>LAB-005160</t>
        </is>
      </c>
      <c r="B5161" s="53" t="inlineStr">
        <is>
          <t>WP-02264</t>
        </is>
      </c>
      <c r="C5161" s="53" t="inlineStr">
        <is>
          <t>TECH-048</t>
        </is>
      </c>
      <c r="D5161" s="53" t="inlineStr">
        <is>
          <t>Powerplant</t>
        </is>
      </c>
      <c r="E5161" s="53" t="inlineStr">
        <is>
          <t>2025-02-18</t>
        </is>
      </c>
      <c r="F5161" s="53">
        <v>4.6</v>
      </c>
      <c r="G5161" s="53">
        <v>0</v>
      </c>
      <c r="H5161" s="51" t="str">
        <f>TEXT(tblLaborEntries[[#This Row],[Work date serial]]-WEEKDAY(tblLaborEntries[[#This Row],[Work date serial]],3),"yyyy-mm-dd")</f>
        <v>2025-02-17</v>
      </c>
      <c r="I5161" s="64">
        <f>DATEVALUE(tblLaborEntries[[#This Row],[Work date]])</f>
        <v>45706.0</v>
      </c>
    </row>
    <row r="5162" spans="1:9" ht="15" x14ac:dyDescent="0.25">
      <c r="A5162" s="53" t="inlineStr">
        <is>
          <t>LAB-005161</t>
        </is>
      </c>
      <c r="B5162" s="53" t="inlineStr">
        <is>
          <t>WP-02265</t>
        </is>
      </c>
      <c r="C5162" s="53" t="inlineStr">
        <is>
          <t>TECH-044</t>
        </is>
      </c>
      <c r="D5162" s="53" t="inlineStr">
        <is>
          <t>Avionics</t>
        </is>
      </c>
      <c r="E5162" s="53" t="inlineStr">
        <is>
          <t>2024-02-26</t>
        </is>
      </c>
      <c r="F5162" s="53">
        <v>11.9</v>
      </c>
      <c r="G5162" s="53">
        <v>3.9</v>
      </c>
      <c r="H5162" s="51" t="str">
        <f>TEXT(tblLaborEntries[[#This Row],[Work date serial]]-WEEKDAY(tblLaborEntries[[#This Row],[Work date serial]],3),"yyyy-mm-dd")</f>
        <v>2024-02-26</v>
      </c>
      <c r="I5162" s="64">
        <f>DATEVALUE(tblLaborEntries[[#This Row],[Work date]])</f>
        <v>45348.0</v>
      </c>
    </row>
    <row r="5163" spans="1:9" ht="15" x14ac:dyDescent="0.25">
      <c r="A5163" s="53" t="inlineStr">
        <is>
          <t>LAB-005162</t>
        </is>
      </c>
      <c r="B5163" s="53" t="inlineStr">
        <is>
          <t>WP-02265</t>
        </is>
      </c>
      <c r="C5163" s="53" t="inlineStr">
        <is>
          <t>TECH-002</t>
        </is>
      </c>
      <c r="D5163" s="53" t="inlineStr">
        <is>
          <t>Avionics</t>
        </is>
      </c>
      <c r="E5163" s="53" t="inlineStr">
        <is>
          <t>2024-02-27</t>
        </is>
      </c>
      <c r="F5163" s="53">
        <v>0.2</v>
      </c>
      <c r="G5163" s="53">
        <v>0</v>
      </c>
      <c r="H5163" s="51" t="str">
        <f>TEXT(tblLaborEntries[[#This Row],[Work date serial]]-WEEKDAY(tblLaborEntries[[#This Row],[Work date serial]],3),"yyyy-mm-dd")</f>
        <v>2024-02-26</v>
      </c>
      <c r="I5163" s="64">
        <f>DATEVALUE(tblLaborEntries[[#This Row],[Work date]])</f>
        <v>45349.0</v>
      </c>
    </row>
    <row r="5164" spans="1:9" ht="15" x14ac:dyDescent="0.25">
      <c r="A5164" s="53" t="inlineStr">
        <is>
          <t>LAB-005163</t>
        </is>
      </c>
      <c r="B5164" s="53" t="inlineStr">
        <is>
          <t>WP-02265</t>
        </is>
      </c>
      <c r="C5164" s="53" t="inlineStr">
        <is>
          <t>TECH-020</t>
        </is>
      </c>
      <c r="D5164" s="53" t="inlineStr">
        <is>
          <t>Avionics</t>
        </is>
      </c>
      <c r="E5164" s="53" t="inlineStr">
        <is>
          <t>2024-02-27</t>
        </is>
      </c>
      <c r="F5164" s="53">
        <v>12</v>
      </c>
      <c r="G5164" s="53">
        <v>4</v>
      </c>
      <c r="H5164" s="51" t="str">
        <f>TEXT(tblLaborEntries[[#This Row],[Work date serial]]-WEEKDAY(tblLaborEntries[[#This Row],[Work date serial]],3),"yyyy-mm-dd")</f>
        <v>2024-02-26</v>
      </c>
      <c r="I5164" s="64">
        <f>DATEVALUE(tblLaborEntries[[#This Row],[Work date]])</f>
        <v>45349.0</v>
      </c>
    </row>
    <row r="5165" spans="1:9" ht="15" x14ac:dyDescent="0.25">
      <c r="A5165" s="53" t="inlineStr">
        <is>
          <t>LAB-005164</t>
        </is>
      </c>
      <c r="B5165" s="53" t="inlineStr">
        <is>
          <t>WP-02266</t>
        </is>
      </c>
      <c r="C5165" s="53" t="inlineStr">
        <is>
          <t>TECH-049</t>
        </is>
      </c>
      <c r="D5165" s="53" t="inlineStr">
        <is>
          <t>Airframe</t>
        </is>
      </c>
      <c r="E5165" s="53" t="inlineStr">
        <is>
          <t>2024-05-07</t>
        </is>
      </c>
      <c r="F5165" s="53">
        <v>2.8</v>
      </c>
      <c r="G5165" s="53">
        <v>0</v>
      </c>
      <c r="H5165" s="51" t="str">
        <f>TEXT(tblLaborEntries[[#This Row],[Work date serial]]-WEEKDAY(tblLaborEntries[[#This Row],[Work date serial]],3),"yyyy-mm-dd")</f>
        <v>2024-05-06</v>
      </c>
      <c r="I5165" s="64">
        <f>DATEVALUE(tblLaborEntries[[#This Row],[Work date]])</f>
        <v>45419.0</v>
      </c>
    </row>
    <row r="5166" spans="1:9" ht="15" x14ac:dyDescent="0.25">
      <c r="A5166" s="53" t="inlineStr">
        <is>
          <t>LAB-005165</t>
        </is>
      </c>
      <c r="B5166" s="53" t="inlineStr">
        <is>
          <t>WP-02266</t>
        </is>
      </c>
      <c r="C5166" s="53" t="inlineStr">
        <is>
          <t>TECH-007</t>
        </is>
      </c>
      <c r="D5166" s="53" t="inlineStr">
        <is>
          <t>Airframe</t>
        </is>
      </c>
      <c r="E5166" s="53" t="inlineStr">
        <is>
          <t>2024-05-08</t>
        </is>
      </c>
      <c r="F5166" s="53">
        <v>2.7</v>
      </c>
      <c r="G5166" s="53">
        <v>0</v>
      </c>
      <c r="H5166" s="51" t="str">
        <f>TEXT(tblLaborEntries[[#This Row],[Work date serial]]-WEEKDAY(tblLaborEntries[[#This Row],[Work date serial]],3),"yyyy-mm-dd")</f>
        <v>2024-05-06</v>
      </c>
      <c r="I5166" s="64">
        <f>DATEVALUE(tblLaborEntries[[#This Row],[Work date]])</f>
        <v>45420.0</v>
      </c>
    </row>
    <row r="5167" spans="1:9" ht="15" x14ac:dyDescent="0.25">
      <c r="A5167" s="53" t="inlineStr">
        <is>
          <t>LAB-005166</t>
        </is>
      </c>
      <c r="B5167" s="53" t="inlineStr">
        <is>
          <t>WP-02267</t>
        </is>
      </c>
      <c r="C5167" s="53" t="inlineStr">
        <is>
          <t>TECH-003</t>
        </is>
      </c>
      <c r="D5167" s="53" t="inlineStr">
        <is>
          <t>Hydraulics</t>
        </is>
      </c>
      <c r="E5167" s="53" t="inlineStr">
        <is>
          <t>2025-04-01</t>
        </is>
      </c>
      <c r="F5167" s="53">
        <v>2</v>
      </c>
      <c r="G5167" s="53">
        <v>0</v>
      </c>
      <c r="H5167" s="51" t="str">
        <f>TEXT(tblLaborEntries[[#This Row],[Work date serial]]-WEEKDAY(tblLaborEntries[[#This Row],[Work date serial]],3),"yyyy-mm-dd")</f>
        <v>2025-03-31</v>
      </c>
      <c r="I5167" s="64">
        <f>DATEVALUE(tblLaborEntries[[#This Row],[Work date]])</f>
        <v>45748.0</v>
      </c>
    </row>
    <row r="5168" spans="1:9" ht="15" x14ac:dyDescent="0.25">
      <c r="A5168" s="53" t="inlineStr">
        <is>
          <t>LAB-005167</t>
        </is>
      </c>
      <c r="B5168" s="53" t="inlineStr">
        <is>
          <t>WP-02267</t>
        </is>
      </c>
      <c r="C5168" s="53" t="inlineStr">
        <is>
          <t>TECH-015</t>
        </is>
      </c>
      <c r="D5168" s="53" t="inlineStr">
        <is>
          <t>Hydraulics</t>
        </is>
      </c>
      <c r="E5168" s="53" t="inlineStr">
        <is>
          <t>2025-04-01</t>
        </is>
      </c>
      <c r="F5168" s="53">
        <v>12</v>
      </c>
      <c r="G5168" s="53">
        <v>4</v>
      </c>
      <c r="H5168" s="51" t="str">
        <f>TEXT(tblLaborEntries[[#This Row],[Work date serial]]-WEEKDAY(tblLaborEntries[[#This Row],[Work date serial]],3),"yyyy-mm-dd")</f>
        <v>2025-03-31</v>
      </c>
      <c r="I5168" s="64">
        <f>DATEVALUE(tblLaborEntries[[#This Row],[Work date]])</f>
        <v>45748.0</v>
      </c>
    </row>
    <row r="5169" spans="1:9" ht="15" x14ac:dyDescent="0.25">
      <c r="A5169" s="53" t="inlineStr">
        <is>
          <t>LAB-005168</t>
        </is>
      </c>
      <c r="B5169" s="53" t="inlineStr">
        <is>
          <t>WP-02268</t>
        </is>
      </c>
      <c r="C5169" s="53" t="inlineStr">
        <is>
          <t>TECH-008</t>
        </is>
      </c>
      <c r="D5169" s="53" t="inlineStr">
        <is>
          <t>Avionics</t>
        </is>
      </c>
      <c r="E5169" s="53" t="inlineStr">
        <is>
          <t>2024-10-05</t>
        </is>
      </c>
      <c r="F5169" s="53">
        <v>2.8</v>
      </c>
      <c r="G5169" s="53">
        <v>0</v>
      </c>
      <c r="H5169" s="51" t="str">
        <f>TEXT(tblLaborEntries[[#This Row],[Work date serial]]-WEEKDAY(tblLaborEntries[[#This Row],[Work date serial]],3),"yyyy-mm-dd")</f>
        <v>2024-09-30</v>
      </c>
      <c r="I5169" s="64">
        <f>DATEVALUE(tblLaborEntries[[#This Row],[Work date]])</f>
        <v>45570.0</v>
      </c>
    </row>
    <row r="5170" spans="1:9" ht="15" x14ac:dyDescent="0.25">
      <c r="A5170" s="53" t="inlineStr">
        <is>
          <t>LAB-005169</t>
        </is>
      </c>
      <c r="B5170" s="53" t="inlineStr">
        <is>
          <t>WP-02268</t>
        </is>
      </c>
      <c r="C5170" s="53" t="inlineStr">
        <is>
          <t>TECH-056</t>
        </is>
      </c>
      <c r="D5170" s="53" t="inlineStr">
        <is>
          <t>Avionics</t>
        </is>
      </c>
      <c r="E5170" s="53" t="inlineStr">
        <is>
          <t>2024-10-06</t>
        </is>
      </c>
      <c r="F5170" s="53">
        <v>3.6</v>
      </c>
      <c r="G5170" s="53">
        <v>0</v>
      </c>
      <c r="H5170" s="51" t="str">
        <f>TEXT(tblLaborEntries[[#This Row],[Work date serial]]-WEEKDAY(tblLaborEntries[[#This Row],[Work date serial]],3),"yyyy-mm-dd")</f>
        <v>2024-09-30</v>
      </c>
      <c r="I5170" s="64">
        <f>DATEVALUE(tblLaborEntries[[#This Row],[Work date]])</f>
        <v>45571.0</v>
      </c>
    </row>
    <row r="5171" spans="1:9" ht="15" x14ac:dyDescent="0.25">
      <c r="A5171" s="53" t="inlineStr">
        <is>
          <t>LAB-005170</t>
        </is>
      </c>
      <c r="B5171" s="53" t="inlineStr">
        <is>
          <t>WP-02269</t>
        </is>
      </c>
      <c r="C5171" s="53" t="inlineStr">
        <is>
          <t>TECH-067</t>
        </is>
      </c>
      <c r="D5171" s="53" t="inlineStr">
        <is>
          <t>Airframe</t>
        </is>
      </c>
      <c r="E5171" s="53" t="inlineStr">
        <is>
          <t>2024-05-22</t>
        </is>
      </c>
      <c r="F5171" s="53">
        <v>5.5</v>
      </c>
      <c r="G5171" s="53">
        <v>0</v>
      </c>
      <c r="H5171" s="51" t="str">
        <f>TEXT(tblLaborEntries[[#This Row],[Work date serial]]-WEEKDAY(tblLaborEntries[[#This Row],[Work date serial]],3),"yyyy-mm-dd")</f>
        <v>2024-05-20</v>
      </c>
      <c r="I5171" s="64">
        <f>DATEVALUE(tblLaborEntries[[#This Row],[Work date]])</f>
        <v>45434.0</v>
      </c>
    </row>
    <row r="5172" spans="1:9" ht="15" x14ac:dyDescent="0.25">
      <c r="A5172" s="53" t="inlineStr">
        <is>
          <t>LAB-005171</t>
        </is>
      </c>
      <c r="B5172" s="53" t="inlineStr">
        <is>
          <t>WP-02269</t>
        </is>
      </c>
      <c r="C5172" s="53" t="inlineStr">
        <is>
          <t>TECH-049</t>
        </is>
      </c>
      <c r="D5172" s="53" t="inlineStr">
        <is>
          <t>Airframe</t>
        </is>
      </c>
      <c r="E5172" s="53" t="inlineStr">
        <is>
          <t>2024-05-23</t>
        </is>
      </c>
      <c r="F5172" s="53">
        <v>6</v>
      </c>
      <c r="G5172" s="53">
        <v>0</v>
      </c>
      <c r="H5172" s="51" t="str">
        <f>TEXT(tblLaborEntries[[#This Row],[Work date serial]]-WEEKDAY(tblLaborEntries[[#This Row],[Work date serial]],3),"yyyy-mm-dd")</f>
        <v>2024-05-20</v>
      </c>
      <c r="I5172" s="64">
        <f>DATEVALUE(tblLaborEntries[[#This Row],[Work date]])</f>
        <v>45435.0</v>
      </c>
    </row>
    <row r="5173" spans="1:9" ht="15" x14ac:dyDescent="0.25">
      <c r="A5173" s="53" t="inlineStr">
        <is>
          <t>LAB-005172</t>
        </is>
      </c>
      <c r="B5173" s="53" t="inlineStr">
        <is>
          <t>WP-02270</t>
        </is>
      </c>
      <c r="C5173" s="53" t="inlineStr">
        <is>
          <t>TECH-004</t>
        </is>
      </c>
      <c r="D5173" s="53" t="inlineStr">
        <is>
          <t>Electrical</t>
        </is>
      </c>
      <c r="E5173" s="53" t="inlineStr">
        <is>
          <t>2024-06-04</t>
        </is>
      </c>
      <c r="F5173" s="53">
        <v>6.4</v>
      </c>
      <c r="G5173" s="53">
        <v>0</v>
      </c>
      <c r="H5173" s="51" t="str">
        <f>TEXT(tblLaborEntries[[#This Row],[Work date serial]]-WEEKDAY(tblLaborEntries[[#This Row],[Work date serial]],3),"yyyy-mm-dd")</f>
        <v>2024-06-03</v>
      </c>
      <c r="I5173" s="64">
        <f>DATEVALUE(tblLaborEntries[[#This Row],[Work date]])</f>
        <v>45447.0</v>
      </c>
    </row>
    <row r="5174" spans="1:9" ht="15" x14ac:dyDescent="0.25">
      <c r="A5174" s="53" t="inlineStr">
        <is>
          <t>LAB-005173</t>
        </is>
      </c>
      <c r="B5174" s="53" t="inlineStr">
        <is>
          <t>WP-02270</t>
        </is>
      </c>
      <c r="C5174" s="53" t="inlineStr">
        <is>
          <t>TECH-070</t>
        </is>
      </c>
      <c r="D5174" s="53" t="inlineStr">
        <is>
          <t>Electrical</t>
        </is>
      </c>
      <c r="E5174" s="53" t="inlineStr">
        <is>
          <t>2024-06-04</t>
        </is>
      </c>
      <c r="F5174" s="53">
        <v>12</v>
      </c>
      <c r="G5174" s="53">
        <v>4</v>
      </c>
      <c r="H5174" s="51" t="str">
        <f>TEXT(tblLaborEntries[[#This Row],[Work date serial]]-WEEKDAY(tblLaborEntries[[#This Row],[Work date serial]],3),"yyyy-mm-dd")</f>
        <v>2024-06-03</v>
      </c>
      <c r="I5174" s="64">
        <f>DATEVALUE(tblLaborEntries[[#This Row],[Work date]])</f>
        <v>45447.0</v>
      </c>
    </row>
    <row r="5175" spans="1:9" ht="15" x14ac:dyDescent="0.25">
      <c r="A5175" s="53" t="inlineStr">
        <is>
          <t>LAB-005174</t>
        </is>
      </c>
      <c r="B5175" s="53" t="inlineStr">
        <is>
          <t>WP-02271</t>
        </is>
      </c>
      <c r="C5175" s="53" t="inlineStr">
        <is>
          <t>TECH-035</t>
        </is>
      </c>
      <c r="D5175" s="53" t="inlineStr">
        <is>
          <t>Structures</t>
        </is>
      </c>
      <c r="E5175" s="53" t="inlineStr">
        <is>
          <t>2024-12-09</t>
        </is>
      </c>
      <c r="F5175" s="53">
        <v>3.9</v>
      </c>
      <c r="G5175" s="53">
        <v>0</v>
      </c>
      <c r="H5175" s="51" t="str">
        <f>TEXT(tblLaborEntries[[#This Row],[Work date serial]]-WEEKDAY(tblLaborEntries[[#This Row],[Work date serial]],3),"yyyy-mm-dd")</f>
        <v>2024-12-09</v>
      </c>
      <c r="I5175" s="64">
        <f>DATEVALUE(tblLaborEntries[[#This Row],[Work date]])</f>
        <v>45635.0</v>
      </c>
    </row>
    <row r="5176" spans="1:9" ht="15" x14ac:dyDescent="0.25">
      <c r="A5176" s="53" t="inlineStr">
        <is>
          <t>LAB-005175</t>
        </is>
      </c>
      <c r="B5176" s="53" t="inlineStr">
        <is>
          <t>WP-02271</t>
        </is>
      </c>
      <c r="C5176" s="53" t="inlineStr">
        <is>
          <t>TECH-035</t>
        </is>
      </c>
      <c r="D5176" s="53" t="inlineStr">
        <is>
          <t>Structures</t>
        </is>
      </c>
      <c r="E5176" s="53" t="inlineStr">
        <is>
          <t>2024-12-10</t>
        </is>
      </c>
      <c r="F5176" s="53">
        <v>3.9</v>
      </c>
      <c r="G5176" s="53">
        <v>0</v>
      </c>
      <c r="H5176" s="51" t="str">
        <f>TEXT(tblLaborEntries[[#This Row],[Work date serial]]-WEEKDAY(tblLaborEntries[[#This Row],[Work date serial]],3),"yyyy-mm-dd")</f>
        <v>2024-12-09</v>
      </c>
      <c r="I5176" s="64">
        <f>DATEVALUE(tblLaborEntries[[#This Row],[Work date]])</f>
        <v>45636.0</v>
      </c>
    </row>
    <row r="5177" spans="1:9" ht="15" x14ac:dyDescent="0.25">
      <c r="A5177" s="53" t="inlineStr">
        <is>
          <t>LAB-005176</t>
        </is>
      </c>
      <c r="B5177" s="53" t="inlineStr">
        <is>
          <t>WP-02271</t>
        </is>
      </c>
      <c r="C5177" s="53" t="inlineStr">
        <is>
          <t>TECH-065</t>
        </is>
      </c>
      <c r="D5177" s="53" t="inlineStr">
        <is>
          <t>Structures</t>
        </is>
      </c>
      <c r="E5177" s="53" t="inlineStr">
        <is>
          <t>2024-12-11</t>
        </is>
      </c>
      <c r="F5177" s="53">
        <v>3.3</v>
      </c>
      <c r="G5177" s="53">
        <v>0</v>
      </c>
      <c r="H5177" s="51" t="str">
        <f>TEXT(tblLaborEntries[[#This Row],[Work date serial]]-WEEKDAY(tblLaborEntries[[#This Row],[Work date serial]],3),"yyyy-mm-dd")</f>
        <v>2024-12-09</v>
      </c>
      <c r="I5177" s="64">
        <f>DATEVALUE(tblLaborEntries[[#This Row],[Work date]])</f>
        <v>45637.0</v>
      </c>
    </row>
    <row r="5178" spans="1:9" ht="15" x14ac:dyDescent="0.25">
      <c r="A5178" s="53" t="inlineStr">
        <is>
          <t>LAB-005177</t>
        </is>
      </c>
      <c r="B5178" s="53" t="inlineStr">
        <is>
          <t>WP-02272</t>
        </is>
      </c>
      <c r="C5178" s="53" t="inlineStr">
        <is>
          <t>TECH-063</t>
        </is>
      </c>
      <c r="D5178" s="53" t="inlineStr">
        <is>
          <t>Hydraulics</t>
        </is>
      </c>
      <c r="E5178" s="53" t="inlineStr">
        <is>
          <t>2025-06-21</t>
        </is>
      </c>
      <c r="F5178" s="53">
        <v>5.9</v>
      </c>
      <c r="G5178" s="53">
        <v>0</v>
      </c>
      <c r="H5178" s="51" t="str">
        <f>TEXT(tblLaborEntries[[#This Row],[Work date serial]]-WEEKDAY(tblLaborEntries[[#This Row],[Work date serial]],3),"yyyy-mm-dd")</f>
        <v>2025-06-16</v>
      </c>
      <c r="I5178" s="64">
        <f>DATEVALUE(tblLaborEntries[[#This Row],[Work date]])</f>
        <v>45829.0</v>
      </c>
    </row>
    <row r="5179" spans="1:9" ht="15" x14ac:dyDescent="0.25">
      <c r="A5179" s="53" t="inlineStr">
        <is>
          <t>LAB-005178</t>
        </is>
      </c>
      <c r="B5179" s="53" t="inlineStr">
        <is>
          <t>WP-02272</t>
        </is>
      </c>
      <c r="C5179" s="53" t="inlineStr">
        <is>
          <t>TECH-039</t>
        </is>
      </c>
      <c r="D5179" s="53" t="inlineStr">
        <is>
          <t>Hydraulics</t>
        </is>
      </c>
      <c r="E5179" s="53" t="inlineStr">
        <is>
          <t>2025-06-22</t>
        </is>
      </c>
      <c r="F5179" s="53">
        <v>6.8</v>
      </c>
      <c r="G5179" s="53">
        <v>0</v>
      </c>
      <c r="H5179" s="51" t="str">
        <f>TEXT(tblLaborEntries[[#This Row],[Work date serial]]-WEEKDAY(tblLaborEntries[[#This Row],[Work date serial]],3),"yyyy-mm-dd")</f>
        <v>2025-06-16</v>
      </c>
      <c r="I5179" s="64">
        <f>DATEVALUE(tblLaborEntries[[#This Row],[Work date]])</f>
        <v>45830.0</v>
      </c>
    </row>
    <row r="5180" spans="1:9" ht="15" x14ac:dyDescent="0.25">
      <c r="A5180" s="53" t="inlineStr">
        <is>
          <t>LAB-005179</t>
        </is>
      </c>
      <c r="B5180" s="53" t="inlineStr">
        <is>
          <t>WP-02273</t>
        </is>
      </c>
      <c r="C5180" s="53" t="inlineStr">
        <is>
          <t>TECH-050</t>
        </is>
      </c>
      <c r="D5180" s="53" t="inlineStr">
        <is>
          <t>Avionics</t>
        </is>
      </c>
      <c r="E5180" s="53" t="inlineStr">
        <is>
          <t>2024-05-23</t>
        </is>
      </c>
      <c r="F5180" s="53">
        <v>3.6</v>
      </c>
      <c r="G5180" s="53">
        <v>0</v>
      </c>
      <c r="H5180" s="51" t="str">
        <f>TEXT(tblLaborEntries[[#This Row],[Work date serial]]-WEEKDAY(tblLaborEntries[[#This Row],[Work date serial]],3),"yyyy-mm-dd")</f>
        <v>2024-05-20</v>
      </c>
      <c r="I5180" s="64">
        <f>DATEVALUE(tblLaborEntries[[#This Row],[Work date]])</f>
        <v>45435.0</v>
      </c>
    </row>
    <row r="5181" spans="1:9" ht="15" x14ac:dyDescent="0.25">
      <c r="A5181" s="53" t="inlineStr">
        <is>
          <t>LAB-005180</t>
        </is>
      </c>
      <c r="B5181" s="53" t="inlineStr">
        <is>
          <t>WP-02273</t>
        </is>
      </c>
      <c r="C5181" s="53" t="inlineStr">
        <is>
          <t>TECH-074</t>
        </is>
      </c>
      <c r="D5181" s="53" t="inlineStr">
        <is>
          <t>Avionics</t>
        </is>
      </c>
      <c r="E5181" s="53" t="inlineStr">
        <is>
          <t>2024-05-24</t>
        </is>
      </c>
      <c r="F5181" s="53">
        <v>5.4</v>
      </c>
      <c r="G5181" s="53">
        <v>0</v>
      </c>
      <c r="H5181" s="51" t="str">
        <f>TEXT(tblLaborEntries[[#This Row],[Work date serial]]-WEEKDAY(tblLaborEntries[[#This Row],[Work date serial]],3),"yyyy-mm-dd")</f>
        <v>2024-05-20</v>
      </c>
      <c r="I5181" s="64">
        <f>DATEVALUE(tblLaborEntries[[#This Row],[Work date]])</f>
        <v>45436.0</v>
      </c>
    </row>
    <row r="5182" spans="1:9" ht="15" x14ac:dyDescent="0.25">
      <c r="A5182" s="53" t="inlineStr">
        <is>
          <t>LAB-005181</t>
        </is>
      </c>
      <c r="B5182" s="53" t="inlineStr">
        <is>
          <t>WP-02274</t>
        </is>
      </c>
      <c r="C5182" s="53" t="inlineStr">
        <is>
          <t>TECH-054</t>
        </is>
      </c>
      <c r="D5182" s="53" t="inlineStr">
        <is>
          <t>Powerplant</t>
        </is>
      </c>
      <c r="E5182" s="53" t="inlineStr">
        <is>
          <t>2024-05-28</t>
        </is>
      </c>
      <c r="F5182" s="53">
        <v>3.8</v>
      </c>
      <c r="G5182" s="53">
        <v>0</v>
      </c>
      <c r="H5182" s="51" t="str">
        <f>TEXT(tblLaborEntries[[#This Row],[Work date serial]]-WEEKDAY(tblLaborEntries[[#This Row],[Work date serial]],3),"yyyy-mm-dd")</f>
        <v>2024-05-27</v>
      </c>
      <c r="I5182" s="64">
        <f>DATEVALUE(tblLaborEntries[[#This Row],[Work date]])</f>
        <v>45440.0</v>
      </c>
    </row>
    <row r="5183" spans="1:9" ht="15" x14ac:dyDescent="0.25">
      <c r="A5183" s="53" t="inlineStr">
        <is>
          <t>LAB-005182</t>
        </is>
      </c>
      <c r="B5183" s="53" t="inlineStr">
        <is>
          <t>WP-02274</t>
        </is>
      </c>
      <c r="C5183" s="53" t="inlineStr">
        <is>
          <t>TECH-006</t>
        </is>
      </c>
      <c r="D5183" s="53" t="inlineStr">
        <is>
          <t>Powerplant</t>
        </is>
      </c>
      <c r="E5183" s="53" t="inlineStr">
        <is>
          <t>2024-05-29</t>
        </is>
      </c>
      <c r="F5183" s="53">
        <v>4.3</v>
      </c>
      <c r="G5183" s="53">
        <v>0</v>
      </c>
      <c r="H5183" s="51" t="str">
        <f>TEXT(tblLaborEntries[[#This Row],[Work date serial]]-WEEKDAY(tblLaborEntries[[#This Row],[Work date serial]],3),"yyyy-mm-dd")</f>
        <v>2024-05-27</v>
      </c>
      <c r="I5183" s="64">
        <f>DATEVALUE(tblLaborEntries[[#This Row],[Work date]])</f>
        <v>45441.0</v>
      </c>
    </row>
    <row r="5184" spans="1:9" ht="15" x14ac:dyDescent="0.25">
      <c r="A5184" s="53" t="inlineStr">
        <is>
          <t>LAB-005183</t>
        </is>
      </c>
      <c r="B5184" s="53" t="inlineStr">
        <is>
          <t>WP-02274</t>
        </is>
      </c>
      <c r="C5184" s="53" t="inlineStr">
        <is>
          <t>TECH-072</t>
        </is>
      </c>
      <c r="D5184" s="53" t="inlineStr">
        <is>
          <t>Powerplant</t>
        </is>
      </c>
      <c r="E5184" s="53" t="inlineStr">
        <is>
          <t>2024-05-30</t>
        </is>
      </c>
      <c r="F5184" s="53">
        <v>5.7</v>
      </c>
      <c r="G5184" s="53">
        <v>0</v>
      </c>
      <c r="H5184" s="51" t="str">
        <f>TEXT(tblLaborEntries[[#This Row],[Work date serial]]-WEEKDAY(tblLaborEntries[[#This Row],[Work date serial]],3),"yyyy-mm-dd")</f>
        <v>2024-05-27</v>
      </c>
      <c r="I5184" s="64">
        <f>DATEVALUE(tblLaborEntries[[#This Row],[Work date]])</f>
        <v>45442.0</v>
      </c>
    </row>
    <row r="5185" spans="1:9" ht="15" x14ac:dyDescent="0.25">
      <c r="A5185" s="53" t="inlineStr">
        <is>
          <t>LAB-005184</t>
        </is>
      </c>
      <c r="B5185" s="53" t="inlineStr">
        <is>
          <t>WP-02275</t>
        </is>
      </c>
      <c r="C5185" s="53" t="inlineStr">
        <is>
          <t>TECH-014</t>
        </is>
      </c>
      <c r="D5185" s="53" t="inlineStr">
        <is>
          <t>Avionics</t>
        </is>
      </c>
      <c r="E5185" s="53" t="inlineStr">
        <is>
          <t>2024-11-25</t>
        </is>
      </c>
      <c r="F5185" s="53">
        <v>2.2</v>
      </c>
      <c r="G5185" s="53">
        <v>0</v>
      </c>
      <c r="H5185" s="51" t="str">
        <f>TEXT(tblLaborEntries[[#This Row],[Work date serial]]-WEEKDAY(tblLaborEntries[[#This Row],[Work date serial]],3),"yyyy-mm-dd")</f>
        <v>2024-11-25</v>
      </c>
      <c r="I5185" s="64">
        <f>DATEVALUE(tblLaborEntries[[#This Row],[Work date]])</f>
        <v>45621.0</v>
      </c>
    </row>
    <row r="5186" spans="1:9" ht="15" x14ac:dyDescent="0.25">
      <c r="A5186" s="53" t="inlineStr">
        <is>
          <t>LAB-005185</t>
        </is>
      </c>
      <c r="B5186" s="53" t="inlineStr">
        <is>
          <t>WP-02275</t>
        </is>
      </c>
      <c r="C5186" s="53" t="inlineStr">
        <is>
          <t>TECH-062</t>
        </is>
      </c>
      <c r="D5186" s="53" t="inlineStr">
        <is>
          <t>Avionics</t>
        </is>
      </c>
      <c r="E5186" s="53" t="inlineStr">
        <is>
          <t>2024-11-26</t>
        </is>
      </c>
      <c r="F5186" s="53">
        <v>2.3</v>
      </c>
      <c r="G5186" s="53">
        <v>0</v>
      </c>
      <c r="H5186" s="51" t="str">
        <f>TEXT(tblLaborEntries[[#This Row],[Work date serial]]-WEEKDAY(tblLaborEntries[[#This Row],[Work date serial]],3),"yyyy-mm-dd")</f>
        <v>2024-11-25</v>
      </c>
      <c r="I5186" s="64">
        <f>DATEVALUE(tblLaborEntries[[#This Row],[Work date]])</f>
        <v>45622.0</v>
      </c>
    </row>
    <row r="5187" spans="1:9" ht="15" x14ac:dyDescent="0.25">
      <c r="A5187" s="53" t="inlineStr">
        <is>
          <t>LAB-005186</t>
        </is>
      </c>
      <c r="B5187" s="53" t="inlineStr">
        <is>
          <t>WP-02275</t>
        </is>
      </c>
      <c r="C5187" s="53" t="inlineStr">
        <is>
          <t>TECH-002</t>
        </is>
      </c>
      <c r="D5187" s="53" t="inlineStr">
        <is>
          <t>Avionics</t>
        </is>
      </c>
      <c r="E5187" s="53" t="inlineStr">
        <is>
          <t>2024-11-27</t>
        </is>
      </c>
      <c r="F5187" s="53">
        <v>1.8</v>
      </c>
      <c r="G5187" s="53">
        <v>0</v>
      </c>
      <c r="H5187" s="51" t="str">
        <f>TEXT(tblLaborEntries[[#This Row],[Work date serial]]-WEEKDAY(tblLaborEntries[[#This Row],[Work date serial]],3),"yyyy-mm-dd")</f>
        <v>2024-11-25</v>
      </c>
      <c r="I5187" s="64">
        <f>DATEVALUE(tblLaborEntries[[#This Row],[Work date]])</f>
        <v>45623.0</v>
      </c>
    </row>
    <row r="5188" spans="1:9" ht="15" x14ac:dyDescent="0.25">
      <c r="A5188" s="53" t="inlineStr">
        <is>
          <t>LAB-005187</t>
        </is>
      </c>
      <c r="B5188" s="53" t="inlineStr">
        <is>
          <t>WP-02276</t>
        </is>
      </c>
      <c r="C5188" s="53" t="inlineStr">
        <is>
          <t>TECH-007</t>
        </is>
      </c>
      <c r="D5188" s="53" t="inlineStr">
        <is>
          <t>Airframe</t>
        </is>
      </c>
      <c r="E5188" s="53" t="inlineStr">
        <is>
          <t>2025-09-09</t>
        </is>
      </c>
      <c r="F5188" s="53">
        <v>1.8</v>
      </c>
      <c r="G5188" s="53">
        <v>0</v>
      </c>
      <c r="H5188" s="51" t="str">
        <f>TEXT(tblLaborEntries[[#This Row],[Work date serial]]-WEEKDAY(tblLaborEntries[[#This Row],[Work date serial]],3),"yyyy-mm-dd")</f>
        <v>2025-09-08</v>
      </c>
      <c r="I5188" s="64">
        <f>DATEVALUE(tblLaborEntries[[#This Row],[Work date]])</f>
        <v>45909.0</v>
      </c>
    </row>
    <row r="5189" spans="1:9" ht="15" x14ac:dyDescent="0.25">
      <c r="A5189" s="53" t="inlineStr">
        <is>
          <t>LAB-005188</t>
        </is>
      </c>
      <c r="B5189" s="53" t="inlineStr">
        <is>
          <t>WP-02276</t>
        </is>
      </c>
      <c r="C5189" s="53" t="inlineStr">
        <is>
          <t>TECH-073</t>
        </is>
      </c>
      <c r="D5189" s="53" t="inlineStr">
        <is>
          <t>Airframe</t>
        </is>
      </c>
      <c r="E5189" s="53" t="inlineStr">
        <is>
          <t>2025-09-10</t>
        </is>
      </c>
      <c r="F5189" s="53">
        <v>1.8</v>
      </c>
      <c r="G5189" s="53">
        <v>0</v>
      </c>
      <c r="H5189" s="51" t="str">
        <f>TEXT(tblLaborEntries[[#This Row],[Work date serial]]-WEEKDAY(tblLaborEntries[[#This Row],[Work date serial]],3),"yyyy-mm-dd")</f>
        <v>2025-09-08</v>
      </c>
      <c r="I5189" s="64">
        <f>DATEVALUE(tblLaborEntries[[#This Row],[Work date]])</f>
        <v>45910.0</v>
      </c>
    </row>
    <row r="5190" spans="1:9" ht="15" x14ac:dyDescent="0.25">
      <c r="A5190" s="53" t="inlineStr">
        <is>
          <t>LAB-005189</t>
        </is>
      </c>
      <c r="B5190" s="53" t="inlineStr">
        <is>
          <t>WP-02276</t>
        </is>
      </c>
      <c r="C5190" s="53" t="inlineStr">
        <is>
          <t>TECH-061</t>
        </is>
      </c>
      <c r="D5190" s="53" t="inlineStr">
        <is>
          <t>Airframe</t>
        </is>
      </c>
      <c r="E5190" s="53" t="inlineStr">
        <is>
          <t>2025-09-11</t>
        </is>
      </c>
      <c r="F5190" s="53">
        <v>2.6</v>
      </c>
      <c r="G5190" s="53">
        <v>0</v>
      </c>
      <c r="H5190" s="51" t="str">
        <f>TEXT(tblLaborEntries[[#This Row],[Work date serial]]-WEEKDAY(tblLaborEntries[[#This Row],[Work date serial]],3),"yyyy-mm-dd")</f>
        <v>2025-09-08</v>
      </c>
      <c r="I5190" s="64">
        <f>DATEVALUE(tblLaborEntries[[#This Row],[Work date]])</f>
        <v>45911.0</v>
      </c>
    </row>
    <row r="5191" spans="1:9" ht="15" x14ac:dyDescent="0.25">
      <c r="A5191" s="53" t="inlineStr">
        <is>
          <t>LAB-005190</t>
        </is>
      </c>
      <c r="B5191" s="53" t="inlineStr">
        <is>
          <t>WP-02277</t>
        </is>
      </c>
      <c r="C5191" s="53" t="inlineStr">
        <is>
          <t>TECH-038</t>
        </is>
      </c>
      <c r="D5191" s="53" t="inlineStr">
        <is>
          <t>Avionics</t>
        </is>
      </c>
      <c r="E5191" s="53" t="inlineStr">
        <is>
          <t>2024-12-30</t>
        </is>
      </c>
      <c r="F5191" s="53">
        <v>5.7</v>
      </c>
      <c r="G5191" s="53">
        <v>0</v>
      </c>
      <c r="H5191" s="51" t="str">
        <f>TEXT(tblLaborEntries[[#This Row],[Work date serial]]-WEEKDAY(tblLaborEntries[[#This Row],[Work date serial]],3),"yyyy-mm-dd")</f>
        <v>2024-12-30</v>
      </c>
      <c r="I5191" s="64">
        <f>DATEVALUE(tblLaborEntries[[#This Row],[Work date]])</f>
        <v>45656.0</v>
      </c>
    </row>
    <row r="5192" spans="1:9" ht="15" x14ac:dyDescent="0.25">
      <c r="A5192" s="53" t="inlineStr">
        <is>
          <t>LAB-005191</t>
        </is>
      </c>
      <c r="B5192" s="53" t="inlineStr">
        <is>
          <t>WP-02278</t>
        </is>
      </c>
      <c r="C5192" s="53" t="inlineStr">
        <is>
          <t>TECH-002</t>
        </is>
      </c>
      <c r="D5192" s="53" t="inlineStr">
        <is>
          <t>Avionics</t>
        </is>
      </c>
      <c r="E5192" s="53" t="inlineStr">
        <is>
          <t>2025-08-21</t>
        </is>
      </c>
      <c r="F5192" s="53">
        <v>0.3</v>
      </c>
      <c r="G5192" s="53">
        <v>0</v>
      </c>
      <c r="H5192" s="51" t="str">
        <f>TEXT(tblLaborEntries[[#This Row],[Work date serial]]-WEEKDAY(tblLaborEntries[[#This Row],[Work date serial]],3),"yyyy-mm-dd")</f>
        <v>2025-08-18</v>
      </c>
      <c r="I5192" s="64">
        <f>DATEVALUE(tblLaborEntries[[#This Row],[Work date]])</f>
        <v>45890.0</v>
      </c>
    </row>
    <row r="5193" spans="1:9" ht="15" x14ac:dyDescent="0.25">
      <c r="A5193" s="53" t="inlineStr">
        <is>
          <t>LAB-005192</t>
        </is>
      </c>
      <c r="B5193" s="53" t="inlineStr">
        <is>
          <t>WP-02278</t>
        </is>
      </c>
      <c r="C5193" s="53" t="inlineStr">
        <is>
          <t>TECH-032</t>
        </is>
      </c>
      <c r="D5193" s="53" t="inlineStr">
        <is>
          <t>Avionics</t>
        </is>
      </c>
      <c r="E5193" s="53" t="inlineStr">
        <is>
          <t>2025-08-21</t>
        </is>
      </c>
      <c r="F5193" s="53">
        <v>10.9</v>
      </c>
      <c r="G5193" s="53">
        <v>4</v>
      </c>
      <c r="H5193" s="51" t="str">
        <f>TEXT(tblLaborEntries[[#This Row],[Work date serial]]-WEEKDAY(tblLaborEntries[[#This Row],[Work date serial]],3),"yyyy-mm-dd")</f>
        <v>2025-08-18</v>
      </c>
      <c r="I5193" s="64">
        <f>DATEVALUE(tblLaborEntries[[#This Row],[Work date]])</f>
        <v>45890.0</v>
      </c>
    </row>
    <row r="5194" spans="1:9" ht="15" x14ac:dyDescent="0.25">
      <c r="A5194" s="53" t="inlineStr">
        <is>
          <t>LAB-005193</t>
        </is>
      </c>
      <c r="B5194" s="53" t="inlineStr">
        <is>
          <t>WP-02279</t>
        </is>
      </c>
      <c r="C5194" s="53" t="inlineStr">
        <is>
          <t>TECH-008</t>
        </is>
      </c>
      <c r="D5194" s="53" t="inlineStr">
        <is>
          <t>Avionics</t>
        </is>
      </c>
      <c r="E5194" s="53" t="inlineStr">
        <is>
          <t>2025-03-17</t>
        </is>
      </c>
      <c r="F5194" s="53">
        <v>2.7</v>
      </c>
      <c r="G5194" s="53">
        <v>0</v>
      </c>
      <c r="H5194" s="51" t="str">
        <f>TEXT(tblLaborEntries[[#This Row],[Work date serial]]-WEEKDAY(tblLaborEntries[[#This Row],[Work date serial]],3),"yyyy-mm-dd")</f>
        <v>2025-03-17</v>
      </c>
      <c r="I5194" s="64">
        <f>DATEVALUE(tblLaborEntries[[#This Row],[Work date]])</f>
        <v>45733.0</v>
      </c>
    </row>
    <row r="5195" spans="1:9" ht="15" x14ac:dyDescent="0.25">
      <c r="A5195" s="53" t="inlineStr">
        <is>
          <t>LAB-005194</t>
        </is>
      </c>
      <c r="B5195" s="53" t="inlineStr">
        <is>
          <t>WP-02279</t>
        </is>
      </c>
      <c r="C5195" s="53" t="inlineStr">
        <is>
          <t>TECH-062</t>
        </is>
      </c>
      <c r="D5195" s="53" t="inlineStr">
        <is>
          <t>Avionics</t>
        </is>
      </c>
      <c r="E5195" s="53" t="inlineStr">
        <is>
          <t>2025-03-18</t>
        </is>
      </c>
      <c r="F5195" s="53">
        <v>2.6</v>
      </c>
      <c r="G5195" s="53">
        <v>0</v>
      </c>
      <c r="H5195" s="51" t="str">
        <f>TEXT(tblLaborEntries[[#This Row],[Work date serial]]-WEEKDAY(tblLaborEntries[[#This Row],[Work date serial]],3),"yyyy-mm-dd")</f>
        <v>2025-03-17</v>
      </c>
      <c r="I5195" s="64">
        <f>DATEVALUE(tblLaborEntries[[#This Row],[Work date]])</f>
        <v>45734.0</v>
      </c>
    </row>
    <row r="5196" spans="1:9" ht="15" x14ac:dyDescent="0.25">
      <c r="A5196" s="53" t="inlineStr">
        <is>
          <t>LAB-005195</t>
        </is>
      </c>
      <c r="B5196" s="53" t="inlineStr">
        <is>
          <t>WP-02279</t>
        </is>
      </c>
      <c r="C5196" s="53" t="inlineStr">
        <is>
          <t>TECH-032</t>
        </is>
      </c>
      <c r="D5196" s="53" t="inlineStr">
        <is>
          <t>Avionics</t>
        </is>
      </c>
      <c r="E5196" s="53" t="inlineStr">
        <is>
          <t>2025-03-19</t>
        </is>
      </c>
      <c r="F5196" s="53">
        <v>2.9</v>
      </c>
      <c r="G5196" s="53">
        <v>0</v>
      </c>
      <c r="H5196" s="51" t="str">
        <f>TEXT(tblLaborEntries[[#This Row],[Work date serial]]-WEEKDAY(tblLaborEntries[[#This Row],[Work date serial]],3),"yyyy-mm-dd")</f>
        <v>2025-03-17</v>
      </c>
      <c r="I5196" s="64">
        <f>DATEVALUE(tblLaborEntries[[#This Row],[Work date]])</f>
        <v>45735.0</v>
      </c>
    </row>
    <row r="5197" spans="1:9" ht="15" x14ac:dyDescent="0.25">
      <c r="A5197" s="53" t="inlineStr">
        <is>
          <t>LAB-005196</t>
        </is>
      </c>
      <c r="B5197" s="53" t="inlineStr">
        <is>
          <t>WP-02280</t>
        </is>
      </c>
      <c r="C5197" s="53" t="inlineStr">
        <is>
          <t>TECH-020</t>
        </is>
      </c>
      <c r="D5197" s="53" t="inlineStr">
        <is>
          <t>Avionics</t>
        </is>
      </c>
      <c r="E5197" s="53" t="inlineStr">
        <is>
          <t>2025-02-16</t>
        </is>
      </c>
      <c r="F5197" s="53">
        <v>4.9</v>
      </c>
      <c r="G5197" s="53">
        <v>0</v>
      </c>
      <c r="H5197" s="51" t="str">
        <f>TEXT(tblLaborEntries[[#This Row],[Work date serial]]-WEEKDAY(tblLaborEntries[[#This Row],[Work date serial]],3),"yyyy-mm-dd")</f>
        <v>2025-02-10</v>
      </c>
      <c r="I5197" s="64">
        <f>DATEVALUE(tblLaborEntries[[#This Row],[Work date]])</f>
        <v>45704.0</v>
      </c>
    </row>
    <row r="5198" spans="1:9" ht="15" x14ac:dyDescent="0.25">
      <c r="A5198" s="53" t="inlineStr">
        <is>
          <t>LAB-005197</t>
        </is>
      </c>
      <c r="B5198" s="53" t="inlineStr">
        <is>
          <t>WP-02281</t>
        </is>
      </c>
      <c r="C5198" s="53" t="inlineStr">
        <is>
          <t>TECH-055</t>
        </is>
      </c>
      <c r="D5198" s="53" t="inlineStr">
        <is>
          <t>Airframe</t>
        </is>
      </c>
      <c r="E5198" s="53" t="inlineStr">
        <is>
          <t>2025-05-29</t>
        </is>
      </c>
      <c r="F5198" s="53">
        <v>11.4</v>
      </c>
      <c r="G5198" s="53">
        <v>3.4</v>
      </c>
      <c r="H5198" s="51" t="str">
        <f>TEXT(tblLaborEntries[[#This Row],[Work date serial]]-WEEKDAY(tblLaborEntries[[#This Row],[Work date serial]],3),"yyyy-mm-dd")</f>
        <v>2025-05-26</v>
      </c>
      <c r="I5198" s="64">
        <f>DATEVALUE(tblLaborEntries[[#This Row],[Work date]])</f>
        <v>45806.0</v>
      </c>
    </row>
    <row r="5199" spans="1:9" ht="15" x14ac:dyDescent="0.25">
      <c r="A5199" s="53" t="inlineStr">
        <is>
          <t>LAB-005198</t>
        </is>
      </c>
      <c r="B5199" s="53" t="inlineStr">
        <is>
          <t>WP-02281</t>
        </is>
      </c>
      <c r="C5199" s="53" t="inlineStr">
        <is>
          <t>TECH-073</t>
        </is>
      </c>
      <c r="D5199" s="53" t="inlineStr">
        <is>
          <t>Airframe</t>
        </is>
      </c>
      <c r="E5199" s="53" t="inlineStr">
        <is>
          <t>2025-05-30</t>
        </is>
      </c>
      <c r="F5199" s="53">
        <v>8.4</v>
      </c>
      <c r="G5199" s="53">
        <v>0.4</v>
      </c>
      <c r="H5199" s="51" t="str">
        <f>TEXT(tblLaborEntries[[#This Row],[Work date serial]]-WEEKDAY(tblLaborEntries[[#This Row],[Work date serial]],3),"yyyy-mm-dd")</f>
        <v>2025-05-26</v>
      </c>
      <c r="I5199" s="64">
        <f>DATEVALUE(tblLaborEntries[[#This Row],[Work date]])</f>
        <v>45807.0</v>
      </c>
    </row>
    <row r="5200" spans="1:9" ht="15" x14ac:dyDescent="0.25">
      <c r="A5200" s="53" t="inlineStr">
        <is>
          <t>LAB-005199</t>
        </is>
      </c>
      <c r="B5200" s="53" t="inlineStr">
        <is>
          <t>WP-02282</t>
        </is>
      </c>
      <c r="C5200" s="53" t="inlineStr">
        <is>
          <t>TECH-005</t>
        </is>
      </c>
      <c r="D5200" s="53" t="inlineStr">
        <is>
          <t>Structures</t>
        </is>
      </c>
      <c r="E5200" s="53" t="inlineStr">
        <is>
          <t>2024-10-19</t>
        </is>
      </c>
      <c r="F5200" s="53">
        <v>12</v>
      </c>
      <c r="G5200" s="53">
        <v>4</v>
      </c>
      <c r="H5200" s="51" t="str">
        <f>TEXT(tblLaborEntries[[#This Row],[Work date serial]]-WEEKDAY(tblLaborEntries[[#This Row],[Work date serial]],3),"yyyy-mm-dd")</f>
        <v>2024-10-14</v>
      </c>
      <c r="I5200" s="64">
        <f>DATEVALUE(tblLaborEntries[[#This Row],[Work date]])</f>
        <v>45584.0</v>
      </c>
    </row>
    <row r="5201" spans="1:9" ht="15" x14ac:dyDescent="0.25">
      <c r="A5201" s="53" t="inlineStr">
        <is>
          <t>LAB-005200</t>
        </is>
      </c>
      <c r="B5201" s="53" t="inlineStr">
        <is>
          <t>WP-02282</t>
        </is>
      </c>
      <c r="C5201" s="53" t="inlineStr">
        <is>
          <t>TECH-011</t>
        </is>
      </c>
      <c r="D5201" s="53" t="inlineStr">
        <is>
          <t>Structures</t>
        </is>
      </c>
      <c r="E5201" s="53" t="inlineStr">
        <is>
          <t>2024-10-19</t>
        </is>
      </c>
      <c r="F5201" s="53">
        <v>2</v>
      </c>
      <c r="G5201" s="53">
        <v>0</v>
      </c>
      <c r="H5201" s="51" t="str">
        <f>TEXT(tblLaborEntries[[#This Row],[Work date serial]]-WEEKDAY(tblLaborEntries[[#This Row],[Work date serial]],3),"yyyy-mm-dd")</f>
        <v>2024-10-14</v>
      </c>
      <c r="I5201" s="64">
        <f>DATEVALUE(tblLaborEntries[[#This Row],[Work date]])</f>
        <v>45584.0</v>
      </c>
    </row>
    <row r="5202" spans="1:9" ht="15" x14ac:dyDescent="0.25">
      <c r="A5202" s="53" t="inlineStr">
        <is>
          <t>LAB-005201</t>
        </is>
      </c>
      <c r="B5202" s="53" t="inlineStr">
        <is>
          <t>WP-02282</t>
        </is>
      </c>
      <c r="C5202" s="53" t="inlineStr">
        <is>
          <t>TECH-065</t>
        </is>
      </c>
      <c r="D5202" s="53" t="inlineStr">
        <is>
          <t>Structures</t>
        </is>
      </c>
      <c r="E5202" s="53" t="inlineStr">
        <is>
          <t>2024-10-19</t>
        </is>
      </c>
      <c r="F5202" s="53">
        <v>12</v>
      </c>
      <c r="G5202" s="53">
        <v>4</v>
      </c>
      <c r="H5202" s="51" t="str">
        <f>TEXT(tblLaborEntries[[#This Row],[Work date serial]]-WEEKDAY(tblLaborEntries[[#This Row],[Work date serial]],3),"yyyy-mm-dd")</f>
        <v>2024-10-14</v>
      </c>
      <c r="I5202" s="64">
        <f>DATEVALUE(tblLaborEntries[[#This Row],[Work date]])</f>
        <v>45584.0</v>
      </c>
    </row>
    <row r="5203" spans="1:9" ht="15" x14ac:dyDescent="0.25">
      <c r="A5203" s="53" t="inlineStr">
        <is>
          <t>LAB-005202</t>
        </is>
      </c>
      <c r="B5203" s="53" t="inlineStr">
        <is>
          <t>WP-02283</t>
        </is>
      </c>
      <c r="C5203" s="53" t="inlineStr">
        <is>
          <t>TECH-026</t>
        </is>
      </c>
      <c r="D5203" s="53" t="inlineStr">
        <is>
          <t>Avionics</t>
        </is>
      </c>
      <c r="E5203" s="53" t="inlineStr">
        <is>
          <t>2024-09-22</t>
        </is>
      </c>
      <c r="F5203" s="53">
        <v>7.1</v>
      </c>
      <c r="G5203" s="53">
        <v>0</v>
      </c>
      <c r="H5203" s="51" t="str">
        <f>TEXT(tblLaborEntries[[#This Row],[Work date serial]]-WEEKDAY(tblLaborEntries[[#This Row],[Work date serial]],3),"yyyy-mm-dd")</f>
        <v>2024-09-16</v>
      </c>
      <c r="I5203" s="64">
        <f>DATEVALUE(tblLaborEntries[[#This Row],[Work date]])</f>
        <v>45557.0</v>
      </c>
    </row>
    <row r="5204" spans="1:9" ht="15" x14ac:dyDescent="0.25">
      <c r="A5204" s="53" t="inlineStr">
        <is>
          <t>LAB-005203</t>
        </is>
      </c>
      <c r="B5204" s="53" t="inlineStr">
        <is>
          <t>WP-02283</t>
        </is>
      </c>
      <c r="C5204" s="53" t="inlineStr">
        <is>
          <t>TECH-008</t>
        </is>
      </c>
      <c r="D5204" s="53" t="inlineStr">
        <is>
          <t>Avionics</t>
        </is>
      </c>
      <c r="E5204" s="53" t="inlineStr">
        <is>
          <t>2024-09-23</t>
        </is>
      </c>
      <c r="F5204" s="53">
        <v>6.7</v>
      </c>
      <c r="G5204" s="53">
        <v>0</v>
      </c>
      <c r="H5204" s="51" t="str">
        <f>TEXT(tblLaborEntries[[#This Row],[Work date serial]]-WEEKDAY(tblLaborEntries[[#This Row],[Work date serial]],3),"yyyy-mm-dd")</f>
        <v>2024-09-23</v>
      </c>
      <c r="I5204" s="64">
        <f>DATEVALUE(tblLaborEntries[[#This Row],[Work date]])</f>
        <v>45558.0</v>
      </c>
    </row>
    <row r="5205" spans="1:9" ht="15" x14ac:dyDescent="0.25">
      <c r="A5205" s="53" t="inlineStr">
        <is>
          <t>LAB-005204</t>
        </is>
      </c>
      <c r="B5205" s="53" t="inlineStr">
        <is>
          <t>WP-02283</t>
        </is>
      </c>
      <c r="C5205" s="53" t="inlineStr">
        <is>
          <t>TECH-008</t>
        </is>
      </c>
      <c r="D5205" s="53" t="inlineStr">
        <is>
          <t>Avionics</t>
        </is>
      </c>
      <c r="E5205" s="53" t="inlineStr">
        <is>
          <t>2024-09-24</t>
        </is>
      </c>
      <c r="F5205" s="53">
        <v>9.9</v>
      </c>
      <c r="G5205" s="53">
        <v>1.9</v>
      </c>
      <c r="H5205" s="51" t="str">
        <f>TEXT(tblLaborEntries[[#This Row],[Work date serial]]-WEEKDAY(tblLaborEntries[[#This Row],[Work date serial]],3),"yyyy-mm-dd")</f>
        <v>2024-09-23</v>
      </c>
      <c r="I5205" s="64">
        <f>DATEVALUE(tblLaborEntries[[#This Row],[Work date]])</f>
        <v>45559.0</v>
      </c>
    </row>
    <row r="5206" spans="1:9" ht="15" x14ac:dyDescent="0.25">
      <c r="A5206" s="53" t="inlineStr">
        <is>
          <t>LAB-005205</t>
        </is>
      </c>
      <c r="B5206" s="53" t="inlineStr">
        <is>
          <t>WP-02284</t>
        </is>
      </c>
      <c r="C5206" s="53" t="inlineStr">
        <is>
          <t>TECH-026</t>
        </is>
      </c>
      <c r="D5206" s="53" t="inlineStr">
        <is>
          <t>Avionics</t>
        </is>
      </c>
      <c r="E5206" s="53" t="inlineStr">
        <is>
          <t>2025-09-24</t>
        </is>
      </c>
      <c r="F5206" s="53">
        <v>1.2</v>
      </c>
      <c r="G5206" s="53">
        <v>0</v>
      </c>
      <c r="H5206" s="51" t="str">
        <f>TEXT(tblLaborEntries[[#This Row],[Work date serial]]-WEEKDAY(tblLaborEntries[[#This Row],[Work date serial]],3),"yyyy-mm-dd")</f>
        <v>2025-09-22</v>
      </c>
      <c r="I5206" s="64">
        <f>DATEVALUE(tblLaborEntries[[#This Row],[Work date]])</f>
        <v>45924.0</v>
      </c>
    </row>
    <row r="5207" spans="1:9" ht="15" x14ac:dyDescent="0.25">
      <c r="A5207" s="53" t="inlineStr">
        <is>
          <t>LAB-005206</t>
        </is>
      </c>
      <c r="B5207" s="53" t="inlineStr">
        <is>
          <t>WP-02284</t>
        </is>
      </c>
      <c r="C5207" s="53" t="inlineStr">
        <is>
          <t>TECH-074</t>
        </is>
      </c>
      <c r="D5207" s="53" t="inlineStr">
        <is>
          <t>Avionics</t>
        </is>
      </c>
      <c r="E5207" s="53" t="inlineStr">
        <is>
          <t>2025-09-24</t>
        </is>
      </c>
      <c r="F5207" s="53">
        <v>12</v>
      </c>
      <c r="G5207" s="53">
        <v>4</v>
      </c>
      <c r="H5207" s="51" t="str">
        <f>TEXT(tblLaborEntries[[#This Row],[Work date serial]]-WEEKDAY(tblLaborEntries[[#This Row],[Work date serial]],3),"yyyy-mm-dd")</f>
        <v>2025-09-22</v>
      </c>
      <c r="I5207" s="64">
        <f>DATEVALUE(tblLaborEntries[[#This Row],[Work date]])</f>
        <v>45924.0</v>
      </c>
    </row>
    <row r="5208" spans="1:9" ht="15" x14ac:dyDescent="0.25">
      <c r="A5208" s="53" t="inlineStr">
        <is>
          <t>LAB-005207</t>
        </is>
      </c>
      <c r="B5208" s="53" t="inlineStr">
        <is>
          <t>WP-02284</t>
        </is>
      </c>
      <c r="C5208" s="53" t="inlineStr">
        <is>
          <t>TECH-008</t>
        </is>
      </c>
      <c r="D5208" s="53" t="inlineStr">
        <is>
          <t>Avionics</t>
        </is>
      </c>
      <c r="E5208" s="53" t="inlineStr">
        <is>
          <t>2025-09-25</t>
        </is>
      </c>
      <c r="F5208" s="53">
        <v>3.5</v>
      </c>
      <c r="G5208" s="53">
        <v>0</v>
      </c>
      <c r="H5208" s="51" t="str">
        <f>TEXT(tblLaborEntries[[#This Row],[Work date serial]]-WEEKDAY(tblLaborEntries[[#This Row],[Work date serial]],3),"yyyy-mm-dd")</f>
        <v>2025-09-22</v>
      </c>
      <c r="I5208" s="64">
        <f>DATEVALUE(tblLaborEntries[[#This Row],[Work date]])</f>
        <v>45925.0</v>
      </c>
    </row>
    <row r="5209" spans="1:9" ht="15" x14ac:dyDescent="0.25">
      <c r="A5209" s="53" t="inlineStr">
        <is>
          <t>LAB-005208</t>
        </is>
      </c>
      <c r="B5209" s="53" t="inlineStr">
        <is>
          <t>WP-02284</t>
        </is>
      </c>
      <c r="C5209" s="53" t="inlineStr">
        <is>
          <t>TECH-068</t>
        </is>
      </c>
      <c r="D5209" s="53" t="inlineStr">
        <is>
          <t>Avionics</t>
        </is>
      </c>
      <c r="E5209" s="53" t="inlineStr">
        <is>
          <t>2025-09-25</t>
        </is>
      </c>
      <c r="F5209" s="53">
        <v>10</v>
      </c>
      <c r="G5209" s="53">
        <v>4</v>
      </c>
      <c r="H5209" s="51" t="str">
        <f>TEXT(tblLaborEntries[[#This Row],[Work date serial]]-WEEKDAY(tblLaborEntries[[#This Row],[Work date serial]],3),"yyyy-mm-dd")</f>
        <v>2025-09-22</v>
      </c>
      <c r="I5209" s="64">
        <f>DATEVALUE(tblLaborEntries[[#This Row],[Work date]])</f>
        <v>45925.0</v>
      </c>
    </row>
    <row r="5210" spans="1:9" ht="15" x14ac:dyDescent="0.25">
      <c r="A5210" s="53" t="inlineStr">
        <is>
          <t>LAB-005209</t>
        </is>
      </c>
      <c r="B5210" s="53" t="inlineStr">
        <is>
          <t>WP-02285</t>
        </is>
      </c>
      <c r="C5210" s="53" t="inlineStr">
        <is>
          <t>TECH-067</t>
        </is>
      </c>
      <c r="D5210" s="53" t="inlineStr">
        <is>
          <t>Airframe</t>
        </is>
      </c>
      <c r="E5210" s="53" t="inlineStr">
        <is>
          <t>2025-07-24</t>
        </is>
      </c>
      <c r="F5210" s="53">
        <v>0.7</v>
      </c>
      <c r="G5210" s="53">
        <v>0</v>
      </c>
      <c r="H5210" s="51" t="str">
        <f>TEXT(tblLaborEntries[[#This Row],[Work date serial]]-WEEKDAY(tblLaborEntries[[#This Row],[Work date serial]],3),"yyyy-mm-dd")</f>
        <v>2025-07-21</v>
      </c>
      <c r="I5210" s="64">
        <f>DATEVALUE(tblLaborEntries[[#This Row],[Work date]])</f>
        <v>45862.0</v>
      </c>
    </row>
    <row r="5211" spans="1:9" ht="15" x14ac:dyDescent="0.25">
      <c r="A5211" s="53" t="inlineStr">
        <is>
          <t>LAB-005210</t>
        </is>
      </c>
      <c r="B5211" s="53" t="inlineStr">
        <is>
          <t>WP-02285</t>
        </is>
      </c>
      <c r="C5211" s="53" t="inlineStr">
        <is>
          <t>TECH-025</t>
        </is>
      </c>
      <c r="D5211" s="53" t="inlineStr">
        <is>
          <t>Airframe</t>
        </is>
      </c>
      <c r="E5211" s="53" t="inlineStr">
        <is>
          <t>2025-07-25</t>
        </is>
      </c>
      <c r="F5211" s="53">
        <v>0.8</v>
      </c>
      <c r="G5211" s="53">
        <v>0</v>
      </c>
      <c r="H5211" s="51" t="str">
        <f>TEXT(tblLaborEntries[[#This Row],[Work date serial]]-WEEKDAY(tblLaborEntries[[#This Row],[Work date serial]],3),"yyyy-mm-dd")</f>
        <v>2025-07-21</v>
      </c>
      <c r="I5211" s="64">
        <f>DATEVALUE(tblLaborEntries[[#This Row],[Work date]])</f>
        <v>45863.0</v>
      </c>
    </row>
    <row r="5212" spans="1:9" ht="15" x14ac:dyDescent="0.25">
      <c r="A5212" s="53" t="inlineStr">
        <is>
          <t>LAB-005211</t>
        </is>
      </c>
      <c r="B5212" s="53" t="inlineStr">
        <is>
          <t>WP-02285</t>
        </is>
      </c>
      <c r="C5212" s="53" t="inlineStr">
        <is>
          <t>TECH-073</t>
        </is>
      </c>
      <c r="D5212" s="53" t="inlineStr">
        <is>
          <t>Airframe</t>
        </is>
      </c>
      <c r="E5212" s="53" t="inlineStr">
        <is>
          <t>2025-07-26</t>
        </is>
      </c>
      <c r="F5212" s="53">
        <v>0.5</v>
      </c>
      <c r="G5212" s="53">
        <v>0</v>
      </c>
      <c r="H5212" s="51" t="str">
        <f>TEXT(tblLaborEntries[[#This Row],[Work date serial]]-WEEKDAY(tblLaborEntries[[#This Row],[Work date serial]],3),"yyyy-mm-dd")</f>
        <v>2025-07-21</v>
      </c>
      <c r="I5212" s="64">
        <f>DATEVALUE(tblLaborEntries[[#This Row],[Work date]])</f>
        <v>45864.0</v>
      </c>
    </row>
    <row r="5213" spans="1:9" ht="15" x14ac:dyDescent="0.25">
      <c r="A5213" s="53" t="inlineStr">
        <is>
          <t>LAB-005212</t>
        </is>
      </c>
      <c r="B5213" s="53" t="inlineStr">
        <is>
          <t>WP-02286</t>
        </is>
      </c>
      <c r="C5213" s="53" t="inlineStr">
        <is>
          <t>TECH-007</t>
        </is>
      </c>
      <c r="D5213" s="53" t="inlineStr">
        <is>
          <t>Airframe</t>
        </is>
      </c>
      <c r="E5213" s="53" t="inlineStr">
        <is>
          <t>2024-03-31</t>
        </is>
      </c>
      <c r="F5213" s="53">
        <v>4.5</v>
      </c>
      <c r="G5213" s="53">
        <v>0</v>
      </c>
      <c r="H5213" s="51" t="str">
        <f>TEXT(tblLaborEntries[[#This Row],[Work date serial]]-WEEKDAY(tblLaborEntries[[#This Row],[Work date serial]],3),"yyyy-mm-dd")</f>
        <v>2024-03-25</v>
      </c>
      <c r="I5213" s="64">
        <f>DATEVALUE(tblLaborEntries[[#This Row],[Work date]])</f>
        <v>45382.0</v>
      </c>
    </row>
    <row r="5214" spans="1:9" ht="15" x14ac:dyDescent="0.25">
      <c r="A5214" s="53" t="inlineStr">
        <is>
          <t>LAB-005213</t>
        </is>
      </c>
      <c r="B5214" s="53" t="inlineStr">
        <is>
          <t>WP-02286</t>
        </is>
      </c>
      <c r="C5214" s="53" t="inlineStr">
        <is>
          <t>TECH-001</t>
        </is>
      </c>
      <c r="D5214" s="53" t="inlineStr">
        <is>
          <t>Airframe</t>
        </is>
      </c>
      <c r="E5214" s="53" t="inlineStr">
        <is>
          <t>2024-04-01</t>
        </is>
      </c>
      <c r="F5214" s="53">
        <v>4.9</v>
      </c>
      <c r="G5214" s="53">
        <v>0</v>
      </c>
      <c r="H5214" s="51" t="str">
        <f>TEXT(tblLaborEntries[[#This Row],[Work date serial]]-WEEKDAY(tblLaborEntries[[#This Row],[Work date serial]],3),"yyyy-mm-dd")</f>
        <v>2024-04-01</v>
      </c>
      <c r="I5214" s="64">
        <f>DATEVALUE(tblLaborEntries[[#This Row],[Work date]])</f>
        <v>45383.0</v>
      </c>
    </row>
    <row r="5215" spans="1:9" ht="15" x14ac:dyDescent="0.25">
      <c r="A5215" s="53" t="inlineStr">
        <is>
          <t>LAB-005214</t>
        </is>
      </c>
      <c r="B5215" s="53" t="inlineStr">
        <is>
          <t>WP-02286</t>
        </is>
      </c>
      <c r="C5215" s="53" t="inlineStr">
        <is>
          <t>TECH-019</t>
        </is>
      </c>
      <c r="D5215" s="53" t="inlineStr">
        <is>
          <t>Airframe</t>
        </is>
      </c>
      <c r="E5215" s="53" t="inlineStr">
        <is>
          <t>2024-04-02</t>
        </is>
      </c>
      <c r="F5215" s="53">
        <v>5.8</v>
      </c>
      <c r="G5215" s="53">
        <v>0</v>
      </c>
      <c r="H5215" s="51" t="str">
        <f>TEXT(tblLaborEntries[[#This Row],[Work date serial]]-WEEKDAY(tblLaborEntries[[#This Row],[Work date serial]],3),"yyyy-mm-dd")</f>
        <v>2024-04-01</v>
      </c>
      <c r="I5215" s="64">
        <f>DATEVALUE(tblLaborEntries[[#This Row],[Work date]])</f>
        <v>45384.0</v>
      </c>
    </row>
    <row r="5216" spans="1:9" ht="15" x14ac:dyDescent="0.25">
      <c r="A5216" s="53" t="inlineStr">
        <is>
          <t>LAB-005215</t>
        </is>
      </c>
      <c r="B5216" s="53" t="inlineStr">
        <is>
          <t>WP-02287</t>
        </is>
      </c>
      <c r="C5216" s="53" t="inlineStr">
        <is>
          <t>TECH-035</t>
        </is>
      </c>
      <c r="D5216" s="53" t="inlineStr">
        <is>
          <t>Structures</t>
        </is>
      </c>
      <c r="E5216" s="53" t="inlineStr">
        <is>
          <t>2025-08-18</t>
        </is>
      </c>
      <c r="F5216" s="53">
        <v>9.1</v>
      </c>
      <c r="G5216" s="53">
        <v>1.1</v>
      </c>
      <c r="H5216" s="51" t="str">
        <f>TEXT(tblLaborEntries[[#This Row],[Work date serial]]-WEEKDAY(tblLaborEntries[[#This Row],[Work date serial]],3),"yyyy-mm-dd")</f>
        <v>2025-08-18</v>
      </c>
      <c r="I5216" s="64">
        <f>DATEVALUE(tblLaborEntries[[#This Row],[Work date]])</f>
        <v>45887.0</v>
      </c>
    </row>
    <row r="5217" spans="1:9" ht="15" x14ac:dyDescent="0.25">
      <c r="A5217" s="53" t="inlineStr">
        <is>
          <t>LAB-005216</t>
        </is>
      </c>
      <c r="B5217" s="53" t="inlineStr">
        <is>
          <t>WP-02287</t>
        </is>
      </c>
      <c r="C5217" s="53" t="inlineStr">
        <is>
          <t>TECH-071</t>
        </is>
      </c>
      <c r="D5217" s="53" t="inlineStr">
        <is>
          <t>Structures</t>
        </is>
      </c>
      <c r="E5217" s="53" t="inlineStr">
        <is>
          <t>2025-08-19</t>
        </is>
      </c>
      <c r="F5217" s="53">
        <v>6.7</v>
      </c>
      <c r="G5217" s="53">
        <v>0</v>
      </c>
      <c r="H5217" s="51" t="str">
        <f>TEXT(tblLaborEntries[[#This Row],[Work date serial]]-WEEKDAY(tblLaborEntries[[#This Row],[Work date serial]],3),"yyyy-mm-dd")</f>
        <v>2025-08-18</v>
      </c>
      <c r="I5217" s="64">
        <f>DATEVALUE(tblLaborEntries[[#This Row],[Work date]])</f>
        <v>45888.0</v>
      </c>
    </row>
    <row r="5218" spans="1:9" ht="15" x14ac:dyDescent="0.25">
      <c r="A5218" s="53" t="inlineStr">
        <is>
          <t>LAB-005217</t>
        </is>
      </c>
      <c r="B5218" s="53" t="inlineStr">
        <is>
          <t>WP-02288</t>
        </is>
      </c>
      <c r="C5218" s="53" t="inlineStr">
        <is>
          <t>TECH-042</t>
        </is>
      </c>
      <c r="D5218" s="53" t="inlineStr">
        <is>
          <t>Powerplant</t>
        </is>
      </c>
      <c r="E5218" s="53" t="inlineStr">
        <is>
          <t>2024-08-02</t>
        </is>
      </c>
      <c r="F5218" s="53">
        <v>7.9</v>
      </c>
      <c r="G5218" s="53">
        <v>0</v>
      </c>
      <c r="H5218" s="51" t="str">
        <f>TEXT(tblLaborEntries[[#This Row],[Work date serial]]-WEEKDAY(tblLaborEntries[[#This Row],[Work date serial]],3),"yyyy-mm-dd")</f>
        <v>2024-07-29</v>
      </c>
      <c r="I5218" s="64">
        <f>DATEVALUE(tblLaborEntries[[#This Row],[Work date]])</f>
        <v>45506.0</v>
      </c>
    </row>
    <row r="5219" spans="1:9" ht="15" x14ac:dyDescent="0.25">
      <c r="A5219" s="53" t="inlineStr">
        <is>
          <t>LAB-005218</t>
        </is>
      </c>
      <c r="B5219" s="53" t="inlineStr">
        <is>
          <t>WP-02288</t>
        </is>
      </c>
      <c r="C5219" s="53" t="inlineStr">
        <is>
          <t>TECH-054</t>
        </is>
      </c>
      <c r="D5219" s="53" t="inlineStr">
        <is>
          <t>Powerplant</t>
        </is>
      </c>
      <c r="E5219" s="53" t="inlineStr">
        <is>
          <t>2024-08-03</t>
        </is>
      </c>
      <c r="F5219" s="53">
        <v>6.2</v>
      </c>
      <c r="G5219" s="53">
        <v>0</v>
      </c>
      <c r="H5219" s="51" t="str">
        <f>TEXT(tblLaborEntries[[#This Row],[Work date serial]]-WEEKDAY(tblLaborEntries[[#This Row],[Work date serial]],3),"yyyy-mm-dd")</f>
        <v>2024-07-29</v>
      </c>
      <c r="I5219" s="64">
        <f>DATEVALUE(tblLaborEntries[[#This Row],[Work date]])</f>
        <v>45507.0</v>
      </c>
    </row>
    <row r="5220" spans="1:9" ht="15" x14ac:dyDescent="0.25">
      <c r="A5220" s="53" t="inlineStr">
        <is>
          <t>LAB-005219</t>
        </is>
      </c>
      <c r="B5220" s="53" t="inlineStr">
        <is>
          <t>WP-02289</t>
        </is>
      </c>
      <c r="C5220" s="53" t="inlineStr">
        <is>
          <t>TECH-056</t>
        </is>
      </c>
      <c r="D5220" s="53" t="inlineStr">
        <is>
          <t>Avionics</t>
        </is>
      </c>
      <c r="E5220" s="53" t="inlineStr">
        <is>
          <t>2024-06-17</t>
        </is>
      </c>
      <c r="F5220" s="53">
        <v>2</v>
      </c>
      <c r="G5220" s="53">
        <v>0</v>
      </c>
      <c r="H5220" s="51" t="str">
        <f>TEXT(tblLaborEntries[[#This Row],[Work date serial]]-WEEKDAY(tblLaborEntries[[#This Row],[Work date serial]],3),"yyyy-mm-dd")</f>
        <v>2024-06-17</v>
      </c>
      <c r="I5220" s="64">
        <f>DATEVALUE(tblLaborEntries[[#This Row],[Work date]])</f>
        <v>45460.0</v>
      </c>
    </row>
    <row r="5221" spans="1:9" ht="15" x14ac:dyDescent="0.25">
      <c r="A5221" s="53" t="inlineStr">
        <is>
          <t>LAB-005220</t>
        </is>
      </c>
      <c r="B5221" s="53" t="inlineStr">
        <is>
          <t>WP-02289</t>
        </is>
      </c>
      <c r="C5221" s="53" t="inlineStr">
        <is>
          <t>TECH-014</t>
        </is>
      </c>
      <c r="D5221" s="53" t="inlineStr">
        <is>
          <t>Avionics</t>
        </is>
      </c>
      <c r="E5221" s="53" t="inlineStr">
        <is>
          <t>2024-06-18</t>
        </is>
      </c>
      <c r="F5221" s="53">
        <v>1.6</v>
      </c>
      <c r="G5221" s="53">
        <v>1.6</v>
      </c>
      <c r="H5221" s="51" t="str">
        <f>TEXT(tblLaborEntries[[#This Row],[Work date serial]]-WEEKDAY(tblLaborEntries[[#This Row],[Work date serial]],3),"yyyy-mm-dd")</f>
        <v>2024-06-17</v>
      </c>
      <c r="I5221" s="64">
        <f>DATEVALUE(tblLaborEntries[[#This Row],[Work date]])</f>
        <v>45461.0</v>
      </c>
    </row>
    <row r="5222" spans="1:9" ht="15" x14ac:dyDescent="0.25">
      <c r="A5222" s="53" t="inlineStr">
        <is>
          <t>LAB-005221</t>
        </is>
      </c>
      <c r="B5222" s="53" t="inlineStr">
        <is>
          <t>WP-02290</t>
        </is>
      </c>
      <c r="C5222" s="53" t="inlineStr">
        <is>
          <t>TECH-006</t>
        </is>
      </c>
      <c r="D5222" s="53" t="inlineStr">
        <is>
          <t>Powerplant</t>
        </is>
      </c>
      <c r="E5222" s="53" t="inlineStr">
        <is>
          <t>2024-06-22</t>
        </is>
      </c>
      <c r="F5222" s="53">
        <v>12</v>
      </c>
      <c r="G5222" s="53">
        <v>4</v>
      </c>
      <c r="H5222" s="51" t="str">
        <f>TEXT(tblLaborEntries[[#This Row],[Work date serial]]-WEEKDAY(tblLaborEntries[[#This Row],[Work date serial]],3),"yyyy-mm-dd")</f>
        <v>2024-06-17</v>
      </c>
      <c r="I5222" s="64">
        <f>DATEVALUE(tblLaborEntries[[#This Row],[Work date]])</f>
        <v>45465.0</v>
      </c>
    </row>
    <row r="5223" spans="1:9" ht="15" x14ac:dyDescent="0.25">
      <c r="A5223" s="53" t="inlineStr">
        <is>
          <t>LAB-005222</t>
        </is>
      </c>
      <c r="B5223" s="53" t="inlineStr">
        <is>
          <t>WP-02290</t>
        </is>
      </c>
      <c r="C5223" s="53" t="inlineStr">
        <is>
          <t>TECH-012</t>
        </is>
      </c>
      <c r="D5223" s="53" t="inlineStr">
        <is>
          <t>Powerplant</t>
        </is>
      </c>
      <c r="E5223" s="53" t="inlineStr">
        <is>
          <t>2024-06-22</t>
        </is>
      </c>
      <c r="F5223" s="53">
        <v>6.2</v>
      </c>
      <c r="G5223" s="53">
        <v>0</v>
      </c>
      <c r="H5223" s="51" t="str">
        <f>TEXT(tblLaborEntries[[#This Row],[Work date serial]]-WEEKDAY(tblLaborEntries[[#This Row],[Work date serial]],3),"yyyy-mm-dd")</f>
        <v>2024-06-17</v>
      </c>
      <c r="I5223" s="64">
        <f>DATEVALUE(tblLaborEntries[[#This Row],[Work date]])</f>
        <v>45465.0</v>
      </c>
    </row>
    <row r="5224" spans="1:9" ht="15" x14ac:dyDescent="0.25">
      <c r="A5224" s="53" t="inlineStr">
        <is>
          <t>LAB-005223</t>
        </is>
      </c>
      <c r="B5224" s="53" t="inlineStr">
        <is>
          <t>WP-02290</t>
        </is>
      </c>
      <c r="C5224" s="53" t="inlineStr">
        <is>
          <t>TECH-048</t>
        </is>
      </c>
      <c r="D5224" s="53" t="inlineStr">
        <is>
          <t>Powerplant</t>
        </is>
      </c>
      <c r="E5224" s="53" t="inlineStr">
        <is>
          <t>2024-06-22</t>
        </is>
      </c>
      <c r="F5224" s="53">
        <v>12</v>
      </c>
      <c r="G5224" s="53">
        <v>4</v>
      </c>
      <c r="H5224" s="51" t="str">
        <f>TEXT(tblLaborEntries[[#This Row],[Work date serial]]-WEEKDAY(tblLaborEntries[[#This Row],[Work date serial]],3),"yyyy-mm-dd")</f>
        <v>2024-06-17</v>
      </c>
      <c r="I5224" s="64">
        <f>DATEVALUE(tblLaborEntries[[#This Row],[Work date]])</f>
        <v>45465.0</v>
      </c>
    </row>
    <row r="5225" spans="1:9" ht="15" x14ac:dyDescent="0.25">
      <c r="A5225" s="53" t="inlineStr">
        <is>
          <t>LAB-005224</t>
        </is>
      </c>
      <c r="B5225" s="53" t="inlineStr">
        <is>
          <t>WP-02291</t>
        </is>
      </c>
      <c r="C5225" s="53" t="inlineStr">
        <is>
          <t>TECH-070</t>
        </is>
      </c>
      <c r="D5225" s="53" t="inlineStr">
        <is>
          <t>Electrical</t>
        </is>
      </c>
      <c r="E5225" s="53" t="inlineStr">
        <is>
          <t>2026-01-31</t>
        </is>
      </c>
      <c r="F5225" s="53">
        <v>5.1</v>
      </c>
      <c r="G5225" s="53">
        <v>0</v>
      </c>
      <c r="H5225" s="51" t="str">
        <f>TEXT(tblLaborEntries[[#This Row],[Work date serial]]-WEEKDAY(tblLaborEntries[[#This Row],[Work date serial]],3),"yyyy-mm-dd")</f>
        <v>2026-01-26</v>
      </c>
      <c r="I5225" s="64">
        <f>DATEVALUE(tblLaborEntries[[#This Row],[Work date]])</f>
        <v>46053.0</v>
      </c>
    </row>
    <row r="5226" spans="1:9" ht="15" x14ac:dyDescent="0.25">
      <c r="A5226" s="53" t="inlineStr">
        <is>
          <t>LAB-005225</t>
        </is>
      </c>
      <c r="B5226" s="53" t="inlineStr">
        <is>
          <t>WP-02291</t>
        </is>
      </c>
      <c r="C5226" s="53" t="inlineStr">
        <is>
          <t>TECH-070</t>
        </is>
      </c>
      <c r="D5226" s="53" t="inlineStr">
        <is>
          <t>Electrical</t>
        </is>
      </c>
      <c r="E5226" s="53" t="inlineStr">
        <is>
          <t>2026-02-01</t>
        </is>
      </c>
      <c r="F5226" s="53">
        <v>5.6</v>
      </c>
      <c r="G5226" s="53">
        <v>0</v>
      </c>
      <c r="H5226" s="51" t="str">
        <f>TEXT(tblLaborEntries[[#This Row],[Work date serial]]-WEEKDAY(tblLaborEntries[[#This Row],[Work date serial]],3),"yyyy-mm-dd")</f>
        <v>2026-01-26</v>
      </c>
      <c r="I5226" s="64">
        <f>DATEVALUE(tblLaborEntries[[#This Row],[Work date]])</f>
        <v>46054.0</v>
      </c>
    </row>
    <row r="5227" spans="1:9" ht="15" x14ac:dyDescent="0.25">
      <c r="A5227" s="53" t="inlineStr">
        <is>
          <t>LAB-005226</t>
        </is>
      </c>
      <c r="B5227" s="53" t="inlineStr">
        <is>
          <t>WP-02291</t>
        </is>
      </c>
      <c r="C5227" s="53" t="inlineStr">
        <is>
          <t>TECH-070</t>
        </is>
      </c>
      <c r="D5227" s="53" t="inlineStr">
        <is>
          <t>Electrical</t>
        </is>
      </c>
      <c r="E5227" s="53" t="inlineStr">
        <is>
          <t>2026-02-02</t>
        </is>
      </c>
      <c r="F5227" s="53">
        <v>7.3</v>
      </c>
      <c r="G5227" s="53">
        <v>0</v>
      </c>
      <c r="H5227" s="51" t="str">
        <f>TEXT(tblLaborEntries[[#This Row],[Work date serial]]-WEEKDAY(tblLaborEntries[[#This Row],[Work date serial]],3),"yyyy-mm-dd")</f>
        <v>2026-02-02</v>
      </c>
      <c r="I5227" s="64">
        <f>DATEVALUE(tblLaborEntries[[#This Row],[Work date]])</f>
        <v>46055.0</v>
      </c>
    </row>
    <row r="5228" spans="1:9" ht="15" x14ac:dyDescent="0.25">
      <c r="A5228" s="53" t="inlineStr">
        <is>
          <t>LAB-005227</t>
        </is>
      </c>
      <c r="B5228" s="53" t="inlineStr">
        <is>
          <t>WP-02292</t>
        </is>
      </c>
      <c r="C5228" s="53" t="inlineStr">
        <is>
          <t>TECH-061</t>
        </is>
      </c>
      <c r="D5228" s="53" t="inlineStr">
        <is>
          <t>Airframe</t>
        </is>
      </c>
      <c r="E5228" s="53" t="inlineStr">
        <is>
          <t>2024-10-11</t>
        </is>
      </c>
      <c r="F5228" s="53">
        <v>0.8</v>
      </c>
      <c r="G5228" s="53">
        <v>0</v>
      </c>
      <c r="H5228" s="51" t="str">
        <f>TEXT(tblLaborEntries[[#This Row],[Work date serial]]-WEEKDAY(tblLaborEntries[[#This Row],[Work date serial]],3),"yyyy-mm-dd")</f>
        <v>2024-10-07</v>
      </c>
      <c r="I5228" s="64">
        <f>DATEVALUE(tblLaborEntries[[#This Row],[Work date]])</f>
        <v>45576.0</v>
      </c>
    </row>
    <row r="5229" spans="1:9" ht="15" x14ac:dyDescent="0.25">
      <c r="A5229" s="53" t="inlineStr">
        <is>
          <t>LAB-005228</t>
        </is>
      </c>
      <c r="B5229" s="53" t="inlineStr">
        <is>
          <t>WP-02292</t>
        </is>
      </c>
      <c r="C5229" s="53" t="inlineStr">
        <is>
          <t>TECH-073</t>
        </is>
      </c>
      <c r="D5229" s="53" t="inlineStr">
        <is>
          <t>Airframe</t>
        </is>
      </c>
      <c r="E5229" s="53" t="inlineStr">
        <is>
          <t>2024-10-12</t>
        </is>
      </c>
      <c r="F5229" s="53">
        <v>1</v>
      </c>
      <c r="G5229" s="53">
        <v>0</v>
      </c>
      <c r="H5229" s="51" t="str">
        <f>TEXT(tblLaborEntries[[#This Row],[Work date serial]]-WEEKDAY(tblLaborEntries[[#This Row],[Work date serial]],3),"yyyy-mm-dd")</f>
        <v>2024-10-07</v>
      </c>
      <c r="I5229" s="64">
        <f>DATEVALUE(tblLaborEntries[[#This Row],[Work date]])</f>
        <v>45577.0</v>
      </c>
    </row>
    <row r="5230" spans="1:9" ht="15" x14ac:dyDescent="0.25">
      <c r="A5230" s="53" t="inlineStr">
        <is>
          <t>LAB-005229</t>
        </is>
      </c>
      <c r="B5230" s="53" t="inlineStr">
        <is>
          <t>WP-02292</t>
        </is>
      </c>
      <c r="C5230" s="53" t="inlineStr">
        <is>
          <t>TECH-055</t>
        </is>
      </c>
      <c r="D5230" s="53" t="inlineStr">
        <is>
          <t>Airframe</t>
        </is>
      </c>
      <c r="E5230" s="53" t="inlineStr">
        <is>
          <t>2024-10-13</t>
        </is>
      </c>
      <c r="F5230" s="53">
        <v>0.8</v>
      </c>
      <c r="G5230" s="53">
        <v>0</v>
      </c>
      <c r="H5230" s="51" t="str">
        <f>TEXT(tblLaborEntries[[#This Row],[Work date serial]]-WEEKDAY(tblLaborEntries[[#This Row],[Work date serial]],3),"yyyy-mm-dd")</f>
        <v>2024-10-07</v>
      </c>
      <c r="I5230" s="64">
        <f>DATEVALUE(tblLaborEntries[[#This Row],[Work date]])</f>
        <v>45578.0</v>
      </c>
    </row>
    <row r="5231" spans="1:9" ht="15" x14ac:dyDescent="0.25">
      <c r="A5231" s="53" t="inlineStr">
        <is>
          <t>LAB-005230</t>
        </is>
      </c>
      <c r="B5231" s="53" t="inlineStr">
        <is>
          <t>WP-02293</t>
        </is>
      </c>
      <c r="C5231" s="53" t="inlineStr">
        <is>
          <t>TECH-049</t>
        </is>
      </c>
      <c r="D5231" s="53" t="inlineStr">
        <is>
          <t>Airframe</t>
        </is>
      </c>
      <c r="E5231" s="53" t="inlineStr">
        <is>
          <t>2024-11-26</t>
        </is>
      </c>
      <c r="F5231" s="53">
        <v>3.2</v>
      </c>
      <c r="G5231" s="53">
        <v>0</v>
      </c>
      <c r="H5231" s="51" t="str">
        <f>TEXT(tblLaborEntries[[#This Row],[Work date serial]]-WEEKDAY(tblLaborEntries[[#This Row],[Work date serial]],3),"yyyy-mm-dd")</f>
        <v>2024-11-25</v>
      </c>
      <c r="I5231" s="64">
        <f>DATEVALUE(tblLaborEntries[[#This Row],[Work date]])</f>
        <v>45622.0</v>
      </c>
    </row>
    <row r="5232" spans="1:9" ht="15" x14ac:dyDescent="0.25">
      <c r="A5232" s="53" t="inlineStr">
        <is>
          <t>LAB-005231</t>
        </is>
      </c>
      <c r="B5232" s="53" t="inlineStr">
        <is>
          <t>WP-02293</t>
        </is>
      </c>
      <c r="C5232" s="53" t="inlineStr">
        <is>
          <t>TECH-025</t>
        </is>
      </c>
      <c r="D5232" s="53" t="inlineStr">
        <is>
          <t>Airframe</t>
        </is>
      </c>
      <c r="E5232" s="53" t="inlineStr">
        <is>
          <t>2024-11-27</t>
        </is>
      </c>
      <c r="F5232" s="53">
        <v>4.8</v>
      </c>
      <c r="G5232" s="53">
        <v>0</v>
      </c>
      <c r="H5232" s="51" t="str">
        <f>TEXT(tblLaborEntries[[#This Row],[Work date serial]]-WEEKDAY(tblLaborEntries[[#This Row],[Work date serial]],3),"yyyy-mm-dd")</f>
        <v>2024-11-25</v>
      </c>
      <c r="I5232" s="64">
        <f>DATEVALUE(tblLaborEntries[[#This Row],[Work date]])</f>
        <v>45623.0</v>
      </c>
    </row>
    <row r="5233" spans="1:9" ht="15" x14ac:dyDescent="0.25">
      <c r="A5233" s="53" t="inlineStr">
        <is>
          <t>LAB-005232</t>
        </is>
      </c>
      <c r="B5233" s="53" t="inlineStr">
        <is>
          <t>WP-02294</t>
        </is>
      </c>
      <c r="C5233" s="53" t="inlineStr">
        <is>
          <t>TECH-042</t>
        </is>
      </c>
      <c r="D5233" s="53" t="inlineStr">
        <is>
          <t>Powerplant</t>
        </is>
      </c>
      <c r="E5233" s="53" t="inlineStr">
        <is>
          <t>2024-09-11</t>
        </is>
      </c>
      <c r="F5233" s="53">
        <v>3.3</v>
      </c>
      <c r="G5233" s="53">
        <v>0</v>
      </c>
      <c r="H5233" s="51" t="str">
        <f>TEXT(tblLaborEntries[[#This Row],[Work date serial]]-WEEKDAY(tblLaborEntries[[#This Row],[Work date serial]],3),"yyyy-mm-dd")</f>
        <v>2024-09-09</v>
      </c>
      <c r="I5233" s="64">
        <f>DATEVALUE(tblLaborEntries[[#This Row],[Work date]])</f>
        <v>45546.0</v>
      </c>
    </row>
    <row r="5234" spans="1:9" ht="15" x14ac:dyDescent="0.25">
      <c r="A5234" s="53" t="inlineStr">
        <is>
          <t>LAB-005233</t>
        </is>
      </c>
      <c r="B5234" s="53" t="inlineStr">
        <is>
          <t>WP-02294</t>
        </is>
      </c>
      <c r="C5234" s="53" t="inlineStr">
        <is>
          <t>TECH-072</t>
        </is>
      </c>
      <c r="D5234" s="53" t="inlineStr">
        <is>
          <t>Powerplant</t>
        </is>
      </c>
      <c r="E5234" s="53" t="inlineStr">
        <is>
          <t>2024-09-12</t>
        </is>
      </c>
      <c r="F5234" s="53">
        <v>4.2</v>
      </c>
      <c r="G5234" s="53">
        <v>0</v>
      </c>
      <c r="H5234" s="51" t="str">
        <f>TEXT(tblLaborEntries[[#This Row],[Work date serial]]-WEEKDAY(tblLaborEntries[[#This Row],[Work date serial]],3),"yyyy-mm-dd")</f>
        <v>2024-09-09</v>
      </c>
      <c r="I5234" s="64">
        <f>DATEVALUE(tblLaborEntries[[#This Row],[Work date]])</f>
        <v>45547.0</v>
      </c>
    </row>
    <row r="5235" spans="1:9" ht="15" x14ac:dyDescent="0.25">
      <c r="A5235" s="53" t="inlineStr">
        <is>
          <t>LAB-005234</t>
        </is>
      </c>
      <c r="B5235" s="53" t="inlineStr">
        <is>
          <t>WP-02295</t>
        </is>
      </c>
      <c r="C5235" s="53" t="inlineStr">
        <is>
          <t>TECH-006</t>
        </is>
      </c>
      <c r="D5235" s="53" t="inlineStr">
        <is>
          <t>Powerplant</t>
        </is>
      </c>
      <c r="E5235" s="53" t="inlineStr">
        <is>
          <t>2024-10-23</t>
        </is>
      </c>
      <c r="F5235" s="53">
        <v>3.1</v>
      </c>
      <c r="G5235" s="53">
        <v>0</v>
      </c>
      <c r="H5235" s="51" t="str">
        <f>TEXT(tblLaborEntries[[#This Row],[Work date serial]]-WEEKDAY(tblLaborEntries[[#This Row],[Work date serial]],3),"yyyy-mm-dd")</f>
        <v>2024-10-21</v>
      </c>
      <c r="I5235" s="64">
        <f>DATEVALUE(tblLaborEntries[[#This Row],[Work date]])</f>
        <v>45588.0</v>
      </c>
    </row>
    <row r="5236" spans="1:9" ht="15" x14ac:dyDescent="0.25">
      <c r="A5236" s="53" t="inlineStr">
        <is>
          <t>LAB-005235</t>
        </is>
      </c>
      <c r="B5236" s="53" t="inlineStr">
        <is>
          <t>WP-02295</t>
        </is>
      </c>
      <c r="C5236" s="53" t="inlineStr">
        <is>
          <t>TECH-024</t>
        </is>
      </c>
      <c r="D5236" s="53" t="inlineStr">
        <is>
          <t>Powerplant</t>
        </is>
      </c>
      <c r="E5236" s="53" t="inlineStr">
        <is>
          <t>2024-10-23</t>
        </is>
      </c>
      <c r="F5236" s="53">
        <v>12</v>
      </c>
      <c r="G5236" s="53">
        <v>4</v>
      </c>
      <c r="H5236" s="51" t="str">
        <f>TEXT(tblLaborEntries[[#This Row],[Work date serial]]-WEEKDAY(tblLaborEntries[[#This Row],[Work date serial]],3),"yyyy-mm-dd")</f>
        <v>2024-10-21</v>
      </c>
      <c r="I5236" s="64">
        <f>DATEVALUE(tblLaborEntries[[#This Row],[Work date]])</f>
        <v>45588.0</v>
      </c>
    </row>
    <row r="5237" spans="1:9" ht="15" x14ac:dyDescent="0.25">
      <c r="A5237" s="53" t="inlineStr">
        <is>
          <t>LAB-005236</t>
        </is>
      </c>
      <c r="B5237" s="53" t="inlineStr">
        <is>
          <t>WP-02296</t>
        </is>
      </c>
      <c r="C5237" s="53" t="inlineStr">
        <is>
          <t>TECH-032</t>
        </is>
      </c>
      <c r="D5237" s="53" t="inlineStr">
        <is>
          <t>Avionics</t>
        </is>
      </c>
      <c r="E5237" s="53" t="inlineStr">
        <is>
          <t>2025-09-08</t>
        </is>
      </c>
      <c r="F5237" s="53">
        <v>7.8</v>
      </c>
      <c r="G5237" s="53">
        <v>0</v>
      </c>
      <c r="H5237" s="51" t="str">
        <f>TEXT(tblLaborEntries[[#This Row],[Work date serial]]-WEEKDAY(tblLaborEntries[[#This Row],[Work date serial]],3),"yyyy-mm-dd")</f>
        <v>2025-09-08</v>
      </c>
      <c r="I5237" s="64">
        <f>DATEVALUE(tblLaborEntries[[#This Row],[Work date]])</f>
        <v>45908.0</v>
      </c>
    </row>
    <row r="5238" spans="1:9" ht="15" x14ac:dyDescent="0.25">
      <c r="A5238" s="53" t="inlineStr">
        <is>
          <t>LAB-005237</t>
        </is>
      </c>
      <c r="B5238" s="53" t="inlineStr">
        <is>
          <t>WP-02297</t>
        </is>
      </c>
      <c r="C5238" s="53" t="inlineStr">
        <is>
          <t>TECH-007</t>
        </is>
      </c>
      <c r="D5238" s="53" t="inlineStr">
        <is>
          <t>Airframe</t>
        </is>
      </c>
      <c r="E5238" s="53" t="inlineStr">
        <is>
          <t>2025-05-08</t>
        </is>
      </c>
      <c r="F5238" s="53">
        <v>3.4</v>
      </c>
      <c r="G5238" s="53">
        <v>0</v>
      </c>
      <c r="H5238" s="51" t="str">
        <f>TEXT(tblLaborEntries[[#This Row],[Work date serial]]-WEEKDAY(tblLaborEntries[[#This Row],[Work date serial]],3),"yyyy-mm-dd")</f>
        <v>2025-05-05</v>
      </c>
      <c r="I5238" s="64">
        <f>DATEVALUE(tblLaborEntries[[#This Row],[Work date]])</f>
        <v>45785.0</v>
      </c>
    </row>
    <row r="5239" spans="1:9" ht="15" x14ac:dyDescent="0.25">
      <c r="A5239" s="53" t="inlineStr">
        <is>
          <t>LAB-005238</t>
        </is>
      </c>
      <c r="B5239" s="53" t="inlineStr">
        <is>
          <t>WP-02297</t>
        </is>
      </c>
      <c r="C5239" s="53" t="inlineStr">
        <is>
          <t>TECH-007</t>
        </is>
      </c>
      <c r="D5239" s="53" t="inlineStr">
        <is>
          <t>Airframe</t>
        </is>
      </c>
      <c r="E5239" s="53" t="inlineStr">
        <is>
          <t>2025-05-09</t>
        </is>
      </c>
      <c r="F5239" s="53">
        <v>3.4</v>
      </c>
      <c r="G5239" s="53">
        <v>0</v>
      </c>
      <c r="H5239" s="51" t="str">
        <f>TEXT(tblLaborEntries[[#This Row],[Work date serial]]-WEEKDAY(tblLaborEntries[[#This Row],[Work date serial]],3),"yyyy-mm-dd")</f>
        <v>2025-05-05</v>
      </c>
      <c r="I5239" s="64">
        <f>DATEVALUE(tblLaborEntries[[#This Row],[Work date]])</f>
        <v>45786.0</v>
      </c>
    </row>
    <row r="5240" spans="1:9" ht="15" x14ac:dyDescent="0.25">
      <c r="A5240" s="53" t="inlineStr">
        <is>
          <t>LAB-005239</t>
        </is>
      </c>
      <c r="B5240" s="53" t="inlineStr">
        <is>
          <t>WP-02297</t>
        </is>
      </c>
      <c r="C5240" s="53" t="inlineStr">
        <is>
          <t>TECH-019</t>
        </is>
      </c>
      <c r="D5240" s="53" t="inlineStr">
        <is>
          <t>Airframe</t>
        </is>
      </c>
      <c r="E5240" s="53" t="inlineStr">
        <is>
          <t>2025-05-10</t>
        </is>
      </c>
      <c r="F5240" s="53">
        <v>4.1</v>
      </c>
      <c r="G5240" s="53">
        <v>0</v>
      </c>
      <c r="H5240" s="51" t="str">
        <f>TEXT(tblLaborEntries[[#This Row],[Work date serial]]-WEEKDAY(tblLaborEntries[[#This Row],[Work date serial]],3),"yyyy-mm-dd")</f>
        <v>2025-05-05</v>
      </c>
      <c r="I5240" s="64">
        <f>DATEVALUE(tblLaborEntries[[#This Row],[Work date]])</f>
        <v>45787.0</v>
      </c>
    </row>
    <row r="5241" spans="1:9" ht="15" x14ac:dyDescent="0.25">
      <c r="A5241" s="53" t="inlineStr">
        <is>
          <t>LAB-005240</t>
        </is>
      </c>
      <c r="B5241" s="53" t="inlineStr">
        <is>
          <t>WP-02298</t>
        </is>
      </c>
      <c r="C5241" s="53" t="inlineStr">
        <is>
          <t>TECH-062</t>
        </is>
      </c>
      <c r="D5241" s="53" t="inlineStr">
        <is>
          <t>Avionics</t>
        </is>
      </c>
      <c r="E5241" s="53" t="inlineStr">
        <is>
          <t>2025-12-08</t>
        </is>
      </c>
      <c r="F5241" s="53">
        <v>3.5</v>
      </c>
      <c r="G5241" s="53">
        <v>0</v>
      </c>
      <c r="H5241" s="51" t="str">
        <f>TEXT(tblLaborEntries[[#This Row],[Work date serial]]-WEEKDAY(tblLaborEntries[[#This Row],[Work date serial]],3),"yyyy-mm-dd")</f>
        <v>2025-12-08</v>
      </c>
      <c r="I5241" s="64">
        <f>DATEVALUE(tblLaborEntries[[#This Row],[Work date]])</f>
        <v>45999.0</v>
      </c>
    </row>
    <row r="5242" spans="1:9" ht="15" x14ac:dyDescent="0.25">
      <c r="A5242" s="53" t="inlineStr">
        <is>
          <t>LAB-005241</t>
        </is>
      </c>
      <c r="B5242" s="53" t="inlineStr">
        <is>
          <t>WP-02298</t>
        </is>
      </c>
      <c r="C5242" s="53" t="inlineStr">
        <is>
          <t>TECH-056</t>
        </is>
      </c>
      <c r="D5242" s="53" t="inlineStr">
        <is>
          <t>Avionics</t>
        </is>
      </c>
      <c r="E5242" s="53" t="inlineStr">
        <is>
          <t>2025-12-09</t>
        </is>
      </c>
      <c r="F5242" s="53">
        <v>4.5</v>
      </c>
      <c r="G5242" s="53">
        <v>0</v>
      </c>
      <c r="H5242" s="51" t="str">
        <f>TEXT(tblLaborEntries[[#This Row],[Work date serial]]-WEEKDAY(tblLaborEntries[[#This Row],[Work date serial]],3),"yyyy-mm-dd")</f>
        <v>2025-12-08</v>
      </c>
      <c r="I5242" s="64">
        <f>DATEVALUE(tblLaborEntries[[#This Row],[Work date]])</f>
        <v>46000.0</v>
      </c>
    </row>
    <row r="5243" spans="1:9" ht="15" x14ac:dyDescent="0.25">
      <c r="A5243" s="53" t="inlineStr">
        <is>
          <t>LAB-005242</t>
        </is>
      </c>
      <c r="B5243" s="53" t="inlineStr">
        <is>
          <t>WP-02299</t>
        </is>
      </c>
      <c r="C5243" s="53" t="inlineStr">
        <is>
          <t>TECH-020</t>
        </is>
      </c>
      <c r="D5243" s="53" t="inlineStr">
        <is>
          <t>Avionics</t>
        </is>
      </c>
      <c r="E5243" s="53" t="inlineStr">
        <is>
          <t>2025-10-14</t>
        </is>
      </c>
      <c r="F5243" s="53">
        <v>5.1</v>
      </c>
      <c r="G5243" s="53">
        <v>0</v>
      </c>
      <c r="H5243" s="51" t="str">
        <f>TEXT(tblLaborEntries[[#This Row],[Work date serial]]-WEEKDAY(tblLaborEntries[[#This Row],[Work date serial]],3),"yyyy-mm-dd")</f>
        <v>2025-10-13</v>
      </c>
      <c r="I5243" s="64">
        <f>DATEVALUE(tblLaborEntries[[#This Row],[Work date]])</f>
        <v>45944.0</v>
      </c>
    </row>
    <row r="5244" spans="1:9" ht="15" x14ac:dyDescent="0.25">
      <c r="A5244" s="53" t="inlineStr">
        <is>
          <t>LAB-005243</t>
        </is>
      </c>
      <c r="B5244" s="53" t="inlineStr">
        <is>
          <t>WP-02300</t>
        </is>
      </c>
      <c r="C5244" s="53" t="inlineStr">
        <is>
          <t>TECH-068</t>
        </is>
      </c>
      <c r="D5244" s="53" t="inlineStr">
        <is>
          <t>Avionics</t>
        </is>
      </c>
      <c r="E5244" s="53" t="inlineStr">
        <is>
          <t>2024-09-11</t>
        </is>
      </c>
      <c r="F5244" s="53">
        <v>2.8</v>
      </c>
      <c r="G5244" s="53">
        <v>0</v>
      </c>
      <c r="H5244" s="51" t="str">
        <f>TEXT(tblLaborEntries[[#This Row],[Work date serial]]-WEEKDAY(tblLaborEntries[[#This Row],[Work date serial]],3),"yyyy-mm-dd")</f>
        <v>2024-09-09</v>
      </c>
      <c r="I5244" s="64">
        <f>DATEVALUE(tblLaborEntries[[#This Row],[Work date]])</f>
        <v>45546.0</v>
      </c>
    </row>
    <row r="5245" spans="1:9" ht="15" x14ac:dyDescent="0.25">
      <c r="A5245" s="53" t="inlineStr">
        <is>
          <t>LAB-005244</t>
        </is>
      </c>
      <c r="B5245" s="53" t="inlineStr">
        <is>
          <t>WP-02300</t>
        </is>
      </c>
      <c r="C5245" s="53" t="inlineStr">
        <is>
          <t>TECH-038</t>
        </is>
      </c>
      <c r="D5245" s="53" t="inlineStr">
        <is>
          <t>Avionics</t>
        </is>
      </c>
      <c r="E5245" s="53" t="inlineStr">
        <is>
          <t>2024-09-12</t>
        </is>
      </c>
      <c r="F5245" s="53">
        <v>2.7</v>
      </c>
      <c r="G5245" s="53">
        <v>0</v>
      </c>
      <c r="H5245" s="51" t="str">
        <f>TEXT(tblLaborEntries[[#This Row],[Work date serial]]-WEEKDAY(tblLaborEntries[[#This Row],[Work date serial]],3),"yyyy-mm-dd")</f>
        <v>2024-09-09</v>
      </c>
      <c r="I5245" s="64">
        <f>DATEVALUE(tblLaborEntries[[#This Row],[Work date]])</f>
        <v>45547.0</v>
      </c>
    </row>
    <row r="5246" spans="1:9" ht="15" x14ac:dyDescent="0.25">
      <c r="A5246" s="53" t="inlineStr">
        <is>
          <t>LAB-005245</t>
        </is>
      </c>
      <c r="B5246" s="53" t="inlineStr">
        <is>
          <t>WP-02300</t>
        </is>
      </c>
      <c r="C5246" s="53" t="inlineStr">
        <is>
          <t>TECH-038</t>
        </is>
      </c>
      <c r="D5246" s="53" t="inlineStr">
        <is>
          <t>Avionics</t>
        </is>
      </c>
      <c r="E5246" s="53" t="inlineStr">
        <is>
          <t>2024-09-13</t>
        </is>
      </c>
      <c r="F5246" s="53">
        <v>3.6</v>
      </c>
      <c r="G5246" s="53">
        <v>0</v>
      </c>
      <c r="H5246" s="51" t="str">
        <f>TEXT(tblLaborEntries[[#This Row],[Work date serial]]-WEEKDAY(tblLaborEntries[[#This Row],[Work date serial]],3),"yyyy-mm-dd")</f>
        <v>2024-09-09</v>
      </c>
      <c r="I5246" s="64">
        <f>DATEVALUE(tblLaborEntries[[#This Row],[Work date]])</f>
        <v>45548.0</v>
      </c>
    </row>
    <row r="5247" spans="1:9" ht="15" x14ac:dyDescent="0.25">
      <c r="A5247" s="53" t="inlineStr">
        <is>
          <t>LAB-005246</t>
        </is>
      </c>
      <c r="B5247" s="53" t="inlineStr">
        <is>
          <t>WP-02301</t>
        </is>
      </c>
      <c r="C5247" s="53" t="inlineStr">
        <is>
          <t>TECH-011</t>
        </is>
      </c>
      <c r="D5247" s="53" t="inlineStr">
        <is>
          <t>Structures</t>
        </is>
      </c>
      <c r="E5247" s="53" t="inlineStr">
        <is>
          <t>2024-05-11</t>
        </is>
      </c>
      <c r="F5247" s="53">
        <v>11.7</v>
      </c>
      <c r="G5247" s="53">
        <v>3.7</v>
      </c>
      <c r="H5247" s="51" t="str">
        <f>TEXT(tblLaborEntries[[#This Row],[Work date serial]]-WEEKDAY(tblLaborEntries[[#This Row],[Work date serial]],3),"yyyy-mm-dd")</f>
        <v>2024-05-06</v>
      </c>
      <c r="I5247" s="64">
        <f>DATEVALUE(tblLaborEntries[[#This Row],[Work date]])</f>
        <v>45423.0</v>
      </c>
    </row>
    <row r="5248" spans="1:9" ht="15" x14ac:dyDescent="0.25">
      <c r="A5248" s="53" t="inlineStr">
        <is>
          <t>LAB-005247</t>
        </is>
      </c>
      <c r="B5248" s="53" t="inlineStr">
        <is>
          <t>WP-02301</t>
        </is>
      </c>
      <c r="C5248" s="53" t="inlineStr">
        <is>
          <t>TECH-011</t>
        </is>
      </c>
      <c r="D5248" s="53" t="inlineStr">
        <is>
          <t>Structures</t>
        </is>
      </c>
      <c r="E5248" s="53" t="inlineStr">
        <is>
          <t>2024-05-12</t>
        </is>
      </c>
      <c r="F5248" s="53">
        <v>1.3</v>
      </c>
      <c r="G5248" s="53">
        <v>0</v>
      </c>
      <c r="H5248" s="51" t="str">
        <f>TEXT(tblLaborEntries[[#This Row],[Work date serial]]-WEEKDAY(tblLaborEntries[[#This Row],[Work date serial]],3),"yyyy-mm-dd")</f>
        <v>2024-05-06</v>
      </c>
      <c r="I5248" s="64">
        <f>DATEVALUE(tblLaborEntries[[#This Row],[Work date]])</f>
        <v>45424.0</v>
      </c>
    </row>
    <row r="5249" spans="1:9" ht="15" x14ac:dyDescent="0.25">
      <c r="A5249" s="53" t="inlineStr">
        <is>
          <t>LAB-005248</t>
        </is>
      </c>
      <c r="B5249" s="53" t="inlineStr">
        <is>
          <t>WP-02301</t>
        </is>
      </c>
      <c r="C5249" s="53" t="inlineStr">
        <is>
          <t>TECH-029</t>
        </is>
      </c>
      <c r="D5249" s="53" t="inlineStr">
        <is>
          <t>Structures</t>
        </is>
      </c>
      <c r="E5249" s="53" t="inlineStr">
        <is>
          <t>2024-05-12</t>
        </is>
      </c>
      <c r="F5249" s="53">
        <v>12</v>
      </c>
      <c r="G5249" s="53">
        <v>4</v>
      </c>
      <c r="H5249" s="51" t="str">
        <f>TEXT(tblLaborEntries[[#This Row],[Work date serial]]-WEEKDAY(tblLaborEntries[[#This Row],[Work date serial]],3),"yyyy-mm-dd")</f>
        <v>2024-05-06</v>
      </c>
      <c r="I5249" s="64">
        <f>DATEVALUE(tblLaborEntries[[#This Row],[Work date]])</f>
        <v>45424.0</v>
      </c>
    </row>
    <row r="5250" spans="1:9" ht="15" x14ac:dyDescent="0.25">
      <c r="A5250" s="53" t="inlineStr">
        <is>
          <t>LAB-005249</t>
        </is>
      </c>
      <c r="B5250" s="53" t="inlineStr">
        <is>
          <t>WP-02302</t>
        </is>
      </c>
      <c r="C5250" s="53" t="inlineStr">
        <is>
          <t>TECH-020</t>
        </is>
      </c>
      <c r="D5250" s="53" t="inlineStr">
        <is>
          <t>Avionics</t>
        </is>
      </c>
      <c r="E5250" s="53" t="inlineStr">
        <is>
          <t>2025-07-26</t>
        </is>
      </c>
      <c r="F5250" s="53">
        <v>4.1</v>
      </c>
      <c r="G5250" s="53">
        <v>0</v>
      </c>
      <c r="H5250" s="51" t="str">
        <f>TEXT(tblLaborEntries[[#This Row],[Work date serial]]-WEEKDAY(tblLaborEntries[[#This Row],[Work date serial]],3),"yyyy-mm-dd")</f>
        <v>2025-07-21</v>
      </c>
      <c r="I5250" s="64">
        <f>DATEVALUE(tblLaborEntries[[#This Row],[Work date]])</f>
        <v>45864.0</v>
      </c>
    </row>
    <row r="5251" spans="1:9" ht="15" x14ac:dyDescent="0.25">
      <c r="A5251" s="53" t="inlineStr">
        <is>
          <t>LAB-005250</t>
        </is>
      </c>
      <c r="B5251" s="53" t="inlineStr">
        <is>
          <t>WP-02302</t>
        </is>
      </c>
      <c r="C5251" s="53" t="inlineStr">
        <is>
          <t>TECH-002</t>
        </is>
      </c>
      <c r="D5251" s="53" t="inlineStr">
        <is>
          <t>Avionics</t>
        </is>
      </c>
      <c r="E5251" s="53" t="inlineStr">
        <is>
          <t>2025-07-27</t>
        </is>
      </c>
      <c r="F5251" s="53">
        <v>6.7</v>
      </c>
      <c r="G5251" s="53">
        <v>0</v>
      </c>
      <c r="H5251" s="51" t="str">
        <f>TEXT(tblLaborEntries[[#This Row],[Work date serial]]-WEEKDAY(tblLaborEntries[[#This Row],[Work date serial]],3),"yyyy-mm-dd")</f>
        <v>2025-07-21</v>
      </c>
      <c r="I5251" s="64">
        <f>DATEVALUE(tblLaborEntries[[#This Row],[Work date]])</f>
        <v>45865.0</v>
      </c>
    </row>
    <row r="5252" spans="1:9" ht="15" x14ac:dyDescent="0.25">
      <c r="A5252" s="53" t="inlineStr">
        <is>
          <t>LAB-005251</t>
        </is>
      </c>
      <c r="B5252" s="53" t="inlineStr">
        <is>
          <t>WP-02302</t>
        </is>
      </c>
      <c r="C5252" s="53" t="inlineStr">
        <is>
          <t>TECH-074</t>
        </is>
      </c>
      <c r="D5252" s="53" t="inlineStr">
        <is>
          <t>Avionics</t>
        </is>
      </c>
      <c r="E5252" s="53" t="inlineStr">
        <is>
          <t>2025-07-28</t>
        </is>
      </c>
      <c r="F5252" s="53">
        <v>4.7</v>
      </c>
      <c r="G5252" s="53">
        <v>0</v>
      </c>
      <c r="H5252" s="51" t="str">
        <f>TEXT(tblLaborEntries[[#This Row],[Work date serial]]-WEEKDAY(tblLaborEntries[[#This Row],[Work date serial]],3),"yyyy-mm-dd")</f>
        <v>2025-07-28</v>
      </c>
      <c r="I5252" s="64">
        <f>DATEVALUE(tblLaborEntries[[#This Row],[Work date]])</f>
        <v>45866.0</v>
      </c>
    </row>
    <row r="5253" spans="1:9" ht="15" x14ac:dyDescent="0.25">
      <c r="A5253" s="53" t="inlineStr">
        <is>
          <t>LAB-005252</t>
        </is>
      </c>
      <c r="B5253" s="53" t="inlineStr">
        <is>
          <t>WP-02303</t>
        </is>
      </c>
      <c r="C5253" s="53" t="inlineStr">
        <is>
          <t>TECH-062</t>
        </is>
      </c>
      <c r="D5253" s="53" t="inlineStr">
        <is>
          <t>Avionics</t>
        </is>
      </c>
      <c r="E5253" s="53" t="inlineStr">
        <is>
          <t>2024-10-25</t>
        </is>
      </c>
      <c r="F5253" s="53">
        <v>9.3</v>
      </c>
      <c r="G5253" s="53">
        <v>1.3</v>
      </c>
      <c r="H5253" s="51" t="str">
        <f>TEXT(tblLaborEntries[[#This Row],[Work date serial]]-WEEKDAY(tblLaborEntries[[#This Row],[Work date serial]],3),"yyyy-mm-dd")</f>
        <v>2024-10-21</v>
      </c>
      <c r="I5253" s="64">
        <f>DATEVALUE(tblLaborEntries[[#This Row],[Work date]])</f>
        <v>45590.0</v>
      </c>
    </row>
    <row r="5254" spans="1:9" ht="15" x14ac:dyDescent="0.25">
      <c r="A5254" s="53" t="inlineStr">
        <is>
          <t>LAB-005253</t>
        </is>
      </c>
      <c r="B5254" s="53" t="inlineStr">
        <is>
          <t>WP-02304</t>
        </is>
      </c>
      <c r="C5254" s="53" t="inlineStr">
        <is>
          <t>TECH-014</t>
        </is>
      </c>
      <c r="D5254" s="53" t="inlineStr">
        <is>
          <t>Avionics</t>
        </is>
      </c>
      <c r="E5254" s="53" t="inlineStr">
        <is>
          <t>2025-04-06</t>
        </is>
      </c>
      <c r="F5254" s="53">
        <v>4.7</v>
      </c>
      <c r="G5254" s="53">
        <v>0</v>
      </c>
      <c r="H5254" s="51" t="str">
        <f>TEXT(tblLaborEntries[[#This Row],[Work date serial]]-WEEKDAY(tblLaborEntries[[#This Row],[Work date serial]],3),"yyyy-mm-dd")</f>
        <v>2025-03-31</v>
      </c>
      <c r="I5254" s="64">
        <f>DATEVALUE(tblLaborEntries[[#This Row],[Work date]])</f>
        <v>45753.0</v>
      </c>
    </row>
    <row r="5255" spans="1:9" ht="15" x14ac:dyDescent="0.25">
      <c r="A5255" s="53" t="inlineStr">
        <is>
          <t>LAB-005254</t>
        </is>
      </c>
      <c r="B5255" s="53" t="inlineStr">
        <is>
          <t>WP-02304</t>
        </is>
      </c>
      <c r="C5255" s="53" t="inlineStr">
        <is>
          <t>TECH-050</t>
        </is>
      </c>
      <c r="D5255" s="53" t="inlineStr">
        <is>
          <t>Avionics</t>
        </is>
      </c>
      <c r="E5255" s="53" t="inlineStr">
        <is>
          <t>2025-04-07</t>
        </is>
      </c>
      <c r="F5255" s="53">
        <v>6.8</v>
      </c>
      <c r="G5255" s="53">
        <v>0</v>
      </c>
      <c r="H5255" s="51" t="str">
        <f>TEXT(tblLaborEntries[[#This Row],[Work date serial]]-WEEKDAY(tblLaborEntries[[#This Row],[Work date serial]],3),"yyyy-mm-dd")</f>
        <v>2025-04-07</v>
      </c>
      <c r="I5255" s="64">
        <f>DATEVALUE(tblLaborEntries[[#This Row],[Work date]])</f>
        <v>45754.0</v>
      </c>
    </row>
    <row r="5256" spans="1:9" ht="15" x14ac:dyDescent="0.25">
      <c r="A5256" s="53" t="inlineStr">
        <is>
          <t>LAB-005255</t>
        </is>
      </c>
      <c r="B5256" s="53" t="inlineStr">
        <is>
          <t>WP-02305</t>
        </is>
      </c>
      <c r="C5256" s="53" t="inlineStr">
        <is>
          <t>TECH-044</t>
        </is>
      </c>
      <c r="D5256" s="53" t="inlineStr">
        <is>
          <t>Avionics</t>
        </is>
      </c>
      <c r="E5256" s="53" t="inlineStr">
        <is>
          <t>2024-12-30</t>
        </is>
      </c>
      <c r="F5256" s="53">
        <v>6.1</v>
      </c>
      <c r="G5256" s="53">
        <v>0</v>
      </c>
      <c r="H5256" s="51" t="str">
        <f>TEXT(tblLaborEntries[[#This Row],[Work date serial]]-WEEKDAY(tblLaborEntries[[#This Row],[Work date serial]],3),"yyyy-mm-dd")</f>
        <v>2024-12-30</v>
      </c>
      <c r="I5256" s="64">
        <f>DATEVALUE(tblLaborEntries[[#This Row],[Work date]])</f>
        <v>45656.0</v>
      </c>
    </row>
    <row r="5257" spans="1:9" ht="15" x14ac:dyDescent="0.25">
      <c r="A5257" s="53" t="inlineStr">
        <is>
          <t>LAB-005256</t>
        </is>
      </c>
      <c r="B5257" s="53" t="inlineStr">
        <is>
          <t>WP-02305</t>
        </is>
      </c>
      <c r="C5257" s="53" t="inlineStr">
        <is>
          <t>TECH-032</t>
        </is>
      </c>
      <c r="D5257" s="53" t="inlineStr">
        <is>
          <t>Avionics</t>
        </is>
      </c>
      <c r="E5257" s="53" t="inlineStr">
        <is>
          <t>2024-12-31</t>
        </is>
      </c>
      <c r="F5257" s="53">
        <v>5.2</v>
      </c>
      <c r="G5257" s="53">
        <v>0</v>
      </c>
      <c r="H5257" s="51" t="str">
        <f>TEXT(tblLaborEntries[[#This Row],[Work date serial]]-WEEKDAY(tblLaborEntries[[#This Row],[Work date serial]],3),"yyyy-mm-dd")</f>
        <v>2024-12-30</v>
      </c>
      <c r="I5257" s="64">
        <f>DATEVALUE(tblLaborEntries[[#This Row],[Work date]])</f>
        <v>45657.0</v>
      </c>
    </row>
    <row r="5258" spans="1:9" ht="15" x14ac:dyDescent="0.25">
      <c r="A5258" s="53" t="inlineStr">
        <is>
          <t>LAB-005257</t>
        </is>
      </c>
      <c r="B5258" s="53" t="inlineStr">
        <is>
          <t>WP-02306</t>
        </is>
      </c>
      <c r="C5258" s="53" t="inlineStr">
        <is>
          <t>TECH-014</t>
        </is>
      </c>
      <c r="D5258" s="53" t="inlineStr">
        <is>
          <t>Avionics</t>
        </is>
      </c>
      <c r="E5258" s="53" t="inlineStr">
        <is>
          <t>2025-08-12</t>
        </is>
      </c>
      <c r="F5258" s="53">
        <v>8.6</v>
      </c>
      <c r="G5258" s="53">
        <v>0.6</v>
      </c>
      <c r="H5258" s="51" t="str">
        <f>TEXT(tblLaborEntries[[#This Row],[Work date serial]]-WEEKDAY(tblLaborEntries[[#This Row],[Work date serial]],3),"yyyy-mm-dd")</f>
        <v>2025-08-11</v>
      </c>
      <c r="I5258" s="64">
        <f>DATEVALUE(tblLaborEntries[[#This Row],[Work date]])</f>
        <v>45881.0</v>
      </c>
    </row>
    <row r="5259" spans="1:9" ht="15" x14ac:dyDescent="0.25">
      <c r="A5259" s="53" t="inlineStr">
        <is>
          <t>LAB-005258</t>
        </is>
      </c>
      <c r="B5259" s="53" t="inlineStr">
        <is>
          <t>WP-02306</t>
        </is>
      </c>
      <c r="C5259" s="53" t="inlineStr">
        <is>
          <t>TECH-074</t>
        </is>
      </c>
      <c r="D5259" s="53" t="inlineStr">
        <is>
          <t>Avionics</t>
        </is>
      </c>
      <c r="E5259" s="53" t="inlineStr">
        <is>
          <t>2025-08-13</t>
        </is>
      </c>
      <c r="F5259" s="53">
        <v>6.6</v>
      </c>
      <c r="G5259" s="53">
        <v>0</v>
      </c>
      <c r="H5259" s="51" t="str">
        <f>TEXT(tblLaborEntries[[#This Row],[Work date serial]]-WEEKDAY(tblLaborEntries[[#This Row],[Work date serial]],3),"yyyy-mm-dd")</f>
        <v>2025-08-11</v>
      </c>
      <c r="I5259" s="64">
        <f>DATEVALUE(tblLaborEntries[[#This Row],[Work date]])</f>
        <v>45882.0</v>
      </c>
    </row>
    <row r="5260" spans="1:9" ht="15" x14ac:dyDescent="0.25">
      <c r="A5260" s="53" t="inlineStr">
        <is>
          <t>LAB-005259</t>
        </is>
      </c>
      <c r="B5260" s="53" t="inlineStr">
        <is>
          <t>WP-02307</t>
        </is>
      </c>
      <c r="C5260" s="53" t="inlineStr">
        <is>
          <t>TECH-031</t>
        </is>
      </c>
      <c r="D5260" s="53" t="inlineStr">
        <is>
          <t>Airframe</t>
        </is>
      </c>
      <c r="E5260" s="53" t="inlineStr">
        <is>
          <t>2024-06-03</t>
        </is>
      </c>
      <c r="F5260" s="53">
        <v>1.1</v>
      </c>
      <c r="G5260" s="53">
        <v>0</v>
      </c>
      <c r="H5260" s="51" t="str">
        <f>TEXT(tblLaborEntries[[#This Row],[Work date serial]]-WEEKDAY(tblLaborEntries[[#This Row],[Work date serial]],3),"yyyy-mm-dd")</f>
        <v>2024-06-03</v>
      </c>
      <c r="I5260" s="64">
        <f>DATEVALUE(tblLaborEntries[[#This Row],[Work date]])</f>
        <v>45446.0</v>
      </c>
    </row>
    <row r="5261" spans="1:9" ht="15" x14ac:dyDescent="0.25">
      <c r="A5261" s="53" t="inlineStr">
        <is>
          <t>LAB-005260</t>
        </is>
      </c>
      <c r="B5261" s="53" t="inlineStr">
        <is>
          <t>WP-02307</t>
        </is>
      </c>
      <c r="C5261" s="53" t="inlineStr">
        <is>
          <t>TECH-043</t>
        </is>
      </c>
      <c r="D5261" s="53" t="inlineStr">
        <is>
          <t>Airframe</t>
        </is>
      </c>
      <c r="E5261" s="53" t="inlineStr">
        <is>
          <t>2024-06-04</t>
        </is>
      </c>
      <c r="F5261" s="53">
        <v>0.8</v>
      </c>
      <c r="G5261" s="53">
        <v>0</v>
      </c>
      <c r="H5261" s="51" t="str">
        <f>TEXT(tblLaborEntries[[#This Row],[Work date serial]]-WEEKDAY(tblLaborEntries[[#This Row],[Work date serial]],3),"yyyy-mm-dd")</f>
        <v>2024-06-03</v>
      </c>
      <c r="I5261" s="64">
        <f>DATEVALUE(tblLaborEntries[[#This Row],[Work date]])</f>
        <v>45447.0</v>
      </c>
    </row>
    <row r="5262" spans="1:9" ht="15" x14ac:dyDescent="0.25">
      <c r="A5262" s="53" t="inlineStr">
        <is>
          <t>LAB-005261</t>
        </is>
      </c>
      <c r="B5262" s="53" t="inlineStr">
        <is>
          <t>WP-02307</t>
        </is>
      </c>
      <c r="C5262" s="53" t="inlineStr">
        <is>
          <t>TECH-031</t>
        </is>
      </c>
      <c r="D5262" s="53" t="inlineStr">
        <is>
          <t>Airframe</t>
        </is>
      </c>
      <c r="E5262" s="53" t="inlineStr">
        <is>
          <t>2024-06-05</t>
        </is>
      </c>
      <c r="F5262" s="53">
        <v>1.1</v>
      </c>
      <c r="G5262" s="53">
        <v>0</v>
      </c>
      <c r="H5262" s="51" t="str">
        <f>TEXT(tblLaborEntries[[#This Row],[Work date serial]]-WEEKDAY(tblLaborEntries[[#This Row],[Work date serial]],3),"yyyy-mm-dd")</f>
        <v>2024-06-03</v>
      </c>
      <c r="I5262" s="64">
        <f>DATEVALUE(tblLaborEntries[[#This Row],[Work date]])</f>
        <v>45448.0</v>
      </c>
    </row>
    <row r="5263" spans="1:9" ht="15" x14ac:dyDescent="0.25">
      <c r="A5263" s="53" t="inlineStr">
        <is>
          <t>LAB-005262</t>
        </is>
      </c>
      <c r="B5263" s="53" t="inlineStr">
        <is>
          <t>WP-02308</t>
        </is>
      </c>
      <c r="C5263" s="53" t="inlineStr">
        <is>
          <t>TECH-014</t>
        </is>
      </c>
      <c r="D5263" s="53" t="inlineStr">
        <is>
          <t>Avionics</t>
        </is>
      </c>
      <c r="E5263" s="53" t="inlineStr">
        <is>
          <t>2024-07-19</t>
        </is>
      </c>
      <c r="F5263" s="53">
        <v>6</v>
      </c>
      <c r="G5263" s="53">
        <v>0</v>
      </c>
      <c r="H5263" s="51" t="str">
        <f>TEXT(tblLaborEntries[[#This Row],[Work date serial]]-WEEKDAY(tblLaborEntries[[#This Row],[Work date serial]],3),"yyyy-mm-dd")</f>
        <v>2024-07-15</v>
      </c>
      <c r="I5263" s="64">
        <f>DATEVALUE(tblLaborEntries[[#This Row],[Work date]])</f>
        <v>45492.0</v>
      </c>
    </row>
    <row r="5264" spans="1:9" ht="15" x14ac:dyDescent="0.25">
      <c r="A5264" s="53" t="inlineStr">
        <is>
          <t>LAB-005263</t>
        </is>
      </c>
      <c r="B5264" s="53" t="inlineStr">
        <is>
          <t>WP-02309</t>
        </is>
      </c>
      <c r="C5264" s="53" t="inlineStr">
        <is>
          <t>TECH-037</t>
        </is>
      </c>
      <c r="D5264" s="53" t="inlineStr">
        <is>
          <t>Airframe</t>
        </is>
      </c>
      <c r="E5264" s="53" t="inlineStr">
        <is>
          <t>2025-06-07</t>
        </is>
      </c>
      <c r="F5264" s="53">
        <v>2.7</v>
      </c>
      <c r="G5264" s="53">
        <v>0</v>
      </c>
      <c r="H5264" s="51" t="str">
        <f>TEXT(tblLaborEntries[[#This Row],[Work date serial]]-WEEKDAY(tblLaborEntries[[#This Row],[Work date serial]],3),"yyyy-mm-dd")</f>
        <v>2025-06-02</v>
      </c>
      <c r="I5264" s="64">
        <f>DATEVALUE(tblLaborEntries[[#This Row],[Work date]])</f>
        <v>45815.0</v>
      </c>
    </row>
    <row r="5265" spans="1:9" ht="15" x14ac:dyDescent="0.25">
      <c r="A5265" s="53" t="inlineStr">
        <is>
          <t>LAB-005264</t>
        </is>
      </c>
      <c r="B5265" s="53" t="inlineStr">
        <is>
          <t>WP-02309</t>
        </is>
      </c>
      <c r="C5265" s="53" t="inlineStr">
        <is>
          <t>TECH-019</t>
        </is>
      </c>
      <c r="D5265" s="53" t="inlineStr">
        <is>
          <t>Airframe</t>
        </is>
      </c>
      <c r="E5265" s="53" t="inlineStr">
        <is>
          <t>2025-06-08</t>
        </is>
      </c>
      <c r="F5265" s="53">
        <v>2.7</v>
      </c>
      <c r="G5265" s="53">
        <v>0</v>
      </c>
      <c r="H5265" s="51" t="str">
        <f>TEXT(tblLaborEntries[[#This Row],[Work date serial]]-WEEKDAY(tblLaborEntries[[#This Row],[Work date serial]],3),"yyyy-mm-dd")</f>
        <v>2025-06-02</v>
      </c>
      <c r="I5265" s="64">
        <f>DATEVALUE(tblLaborEntries[[#This Row],[Work date]])</f>
        <v>45816.0</v>
      </c>
    </row>
    <row r="5266" spans="1:9" ht="15" x14ac:dyDescent="0.25">
      <c r="A5266" s="53" t="inlineStr">
        <is>
          <t>LAB-005265</t>
        </is>
      </c>
      <c r="B5266" s="53" t="inlineStr">
        <is>
          <t>WP-02310</t>
        </is>
      </c>
      <c r="C5266" s="53" t="inlineStr">
        <is>
          <t>TECH-051</t>
        </is>
      </c>
      <c r="D5266" s="53" t="inlineStr">
        <is>
          <t>Hydraulics</t>
        </is>
      </c>
      <c r="E5266" s="53" t="inlineStr">
        <is>
          <t>2024-07-24</t>
        </is>
      </c>
      <c r="F5266" s="53">
        <v>2.2</v>
      </c>
      <c r="G5266" s="53">
        <v>0</v>
      </c>
      <c r="H5266" s="51" t="str">
        <f>TEXT(tblLaborEntries[[#This Row],[Work date serial]]-WEEKDAY(tblLaborEntries[[#This Row],[Work date serial]],3),"yyyy-mm-dd")</f>
        <v>2024-07-22</v>
      </c>
      <c r="I5266" s="64">
        <f>DATEVALUE(tblLaborEntries[[#This Row],[Work date]])</f>
        <v>45497.0</v>
      </c>
    </row>
    <row r="5267" spans="1:9" ht="15" x14ac:dyDescent="0.25">
      <c r="A5267" s="53" t="inlineStr">
        <is>
          <t>LAB-005266</t>
        </is>
      </c>
      <c r="B5267" s="53" t="inlineStr">
        <is>
          <t>WP-02310</t>
        </is>
      </c>
      <c r="C5267" s="53" t="inlineStr">
        <is>
          <t>TECH-015</t>
        </is>
      </c>
      <c r="D5267" s="53" t="inlineStr">
        <is>
          <t>Hydraulics</t>
        </is>
      </c>
      <c r="E5267" s="53" t="inlineStr">
        <is>
          <t>2024-07-25</t>
        </is>
      </c>
      <c r="F5267" s="53">
        <v>2.1</v>
      </c>
      <c r="G5267" s="53">
        <v>0</v>
      </c>
      <c r="H5267" s="51" t="str">
        <f>TEXT(tblLaborEntries[[#This Row],[Work date serial]]-WEEKDAY(tblLaborEntries[[#This Row],[Work date serial]],3),"yyyy-mm-dd")</f>
        <v>2024-07-22</v>
      </c>
      <c r="I5267" s="64">
        <f>DATEVALUE(tblLaborEntries[[#This Row],[Work date]])</f>
        <v>45498.0</v>
      </c>
    </row>
    <row r="5268" spans="1:9" ht="15" x14ac:dyDescent="0.25">
      <c r="A5268" s="53" t="inlineStr">
        <is>
          <t>LAB-005267</t>
        </is>
      </c>
      <c r="B5268" s="53" t="inlineStr">
        <is>
          <t>WP-02310</t>
        </is>
      </c>
      <c r="C5268" s="53" t="inlineStr">
        <is>
          <t>TECH-021</t>
        </is>
      </c>
      <c r="D5268" s="53" t="inlineStr">
        <is>
          <t>Hydraulics</t>
        </is>
      </c>
      <c r="E5268" s="53" t="inlineStr">
        <is>
          <t>2024-07-26</t>
        </is>
      </c>
      <c r="F5268" s="53">
        <v>1.7</v>
      </c>
      <c r="G5268" s="53">
        <v>0</v>
      </c>
      <c r="H5268" s="51" t="str">
        <f>TEXT(tblLaborEntries[[#This Row],[Work date serial]]-WEEKDAY(tblLaborEntries[[#This Row],[Work date serial]],3),"yyyy-mm-dd")</f>
        <v>2024-07-22</v>
      </c>
      <c r="I5268" s="64">
        <f>DATEVALUE(tblLaborEntries[[#This Row],[Work date]])</f>
        <v>45499.0</v>
      </c>
    </row>
    <row r="5269" spans="1:9" ht="15" x14ac:dyDescent="0.25">
      <c r="A5269" s="53" t="inlineStr">
        <is>
          <t>LAB-005268</t>
        </is>
      </c>
      <c r="B5269" s="53" t="inlineStr">
        <is>
          <t>WP-02311</t>
        </is>
      </c>
      <c r="C5269" s="53" t="inlineStr">
        <is>
          <t>TECH-074</t>
        </is>
      </c>
      <c r="D5269" s="53" t="inlineStr">
        <is>
          <t>Avionics</t>
        </is>
      </c>
      <c r="E5269" s="53" t="inlineStr">
        <is>
          <t>2025-05-27</t>
        </is>
      </c>
      <c r="F5269" s="53">
        <v>11</v>
      </c>
      <c r="G5269" s="53">
        <v>3</v>
      </c>
      <c r="H5269" s="51" t="str">
        <f>TEXT(tblLaborEntries[[#This Row],[Work date serial]]-WEEKDAY(tblLaborEntries[[#This Row],[Work date serial]],3),"yyyy-mm-dd")</f>
        <v>2025-05-26</v>
      </c>
      <c r="I5269" s="64">
        <f>DATEVALUE(tblLaborEntries[[#This Row],[Work date]])</f>
        <v>45804.0</v>
      </c>
    </row>
    <row r="5270" spans="1:9" ht="15" x14ac:dyDescent="0.25">
      <c r="A5270" s="53" t="inlineStr">
        <is>
          <t>LAB-005269</t>
        </is>
      </c>
      <c r="B5270" s="53" t="inlineStr">
        <is>
          <t>WP-02311</t>
        </is>
      </c>
      <c r="C5270" s="53" t="inlineStr">
        <is>
          <t>TECH-062</t>
        </is>
      </c>
      <c r="D5270" s="53" t="inlineStr">
        <is>
          <t>Avionics</t>
        </is>
      </c>
      <c r="E5270" s="53" t="inlineStr">
        <is>
          <t>2025-05-28</t>
        </is>
      </c>
      <c r="F5270" s="53">
        <v>7.7</v>
      </c>
      <c r="G5270" s="53">
        <v>0</v>
      </c>
      <c r="H5270" s="51" t="str">
        <f>TEXT(tblLaborEntries[[#This Row],[Work date serial]]-WEEKDAY(tblLaborEntries[[#This Row],[Work date serial]],3),"yyyy-mm-dd")</f>
        <v>2025-05-26</v>
      </c>
      <c r="I5270" s="64">
        <f>DATEVALUE(tblLaborEntries[[#This Row],[Work date]])</f>
        <v>45805.0</v>
      </c>
    </row>
    <row r="5271" spans="1:9" ht="15" x14ac:dyDescent="0.25">
      <c r="A5271" s="53" t="inlineStr">
        <is>
          <t>LAB-005270</t>
        </is>
      </c>
      <c r="B5271" s="53" t="inlineStr">
        <is>
          <t>WP-02312</t>
        </is>
      </c>
      <c r="C5271" s="53" t="inlineStr">
        <is>
          <t>TECH-074</t>
        </is>
      </c>
      <c r="D5271" s="53" t="inlineStr">
        <is>
          <t>Avionics</t>
        </is>
      </c>
      <c r="E5271" s="53" t="inlineStr">
        <is>
          <t>2026-02-05</t>
        </is>
      </c>
      <c r="F5271" s="53">
        <v>11.2</v>
      </c>
      <c r="G5271" s="53">
        <v>3.2</v>
      </c>
      <c r="H5271" s="51" t="str">
        <f>TEXT(tblLaborEntries[[#This Row],[Work date serial]]-WEEKDAY(tblLaborEntries[[#This Row],[Work date serial]],3),"yyyy-mm-dd")</f>
        <v>2026-02-02</v>
      </c>
      <c r="I5271" s="64">
        <f>DATEVALUE(tblLaborEntries[[#This Row],[Work date]])</f>
        <v>46058.0</v>
      </c>
    </row>
    <row r="5272" spans="1:9" ht="15" x14ac:dyDescent="0.25">
      <c r="A5272" s="53" t="inlineStr">
        <is>
          <t>LAB-005271</t>
        </is>
      </c>
      <c r="B5272" s="53" t="inlineStr">
        <is>
          <t>WP-02312</t>
        </is>
      </c>
      <c r="C5272" s="53" t="inlineStr">
        <is>
          <t>TECH-062</t>
        </is>
      </c>
      <c r="D5272" s="53" t="inlineStr">
        <is>
          <t>Avionics</t>
        </is>
      </c>
      <c r="E5272" s="53" t="inlineStr">
        <is>
          <t>2026-02-06</t>
        </is>
      </c>
      <c r="F5272" s="53">
        <v>11</v>
      </c>
      <c r="G5272" s="53">
        <v>3</v>
      </c>
      <c r="H5272" s="51" t="str">
        <f>TEXT(tblLaborEntries[[#This Row],[Work date serial]]-WEEKDAY(tblLaborEntries[[#This Row],[Work date serial]],3),"yyyy-mm-dd")</f>
        <v>2026-02-02</v>
      </c>
      <c r="I5272" s="64">
        <f>DATEVALUE(tblLaborEntries[[#This Row],[Work date]])</f>
        <v>46059.0</v>
      </c>
    </row>
    <row r="5273" spans="1:9" ht="15" x14ac:dyDescent="0.25">
      <c r="A5273" s="53" t="inlineStr">
        <is>
          <t>LAB-005272</t>
        </is>
      </c>
      <c r="B5273" s="53" t="inlineStr">
        <is>
          <t>WP-02313</t>
        </is>
      </c>
      <c r="C5273" s="53" t="inlineStr">
        <is>
          <t>TECH-060</t>
        </is>
      </c>
      <c r="D5273" s="53" t="inlineStr">
        <is>
          <t>Powerplant</t>
        </is>
      </c>
      <c r="E5273" s="53" t="inlineStr">
        <is>
          <t>2024-04-20</t>
        </is>
      </c>
      <c r="F5273" s="53">
        <v>9.7</v>
      </c>
      <c r="G5273" s="53">
        <v>1.7</v>
      </c>
      <c r="H5273" s="51" t="str">
        <f>TEXT(tblLaborEntries[[#This Row],[Work date serial]]-WEEKDAY(tblLaborEntries[[#This Row],[Work date serial]],3),"yyyy-mm-dd")</f>
        <v>2024-04-15</v>
      </c>
      <c r="I5273" s="64">
        <f>DATEVALUE(tblLaborEntries[[#This Row],[Work date]])</f>
        <v>45402.0</v>
      </c>
    </row>
    <row r="5274" spans="1:9" ht="15" x14ac:dyDescent="0.25">
      <c r="A5274" s="53" t="inlineStr">
        <is>
          <t>LAB-005273</t>
        </is>
      </c>
      <c r="B5274" s="53" t="inlineStr">
        <is>
          <t>WP-02313</t>
        </is>
      </c>
      <c r="C5274" s="53" t="inlineStr">
        <is>
          <t>TECH-006</t>
        </is>
      </c>
      <c r="D5274" s="53" t="inlineStr">
        <is>
          <t>Powerplant</t>
        </is>
      </c>
      <c r="E5274" s="53" t="inlineStr">
        <is>
          <t>2024-04-21</t>
        </is>
      </c>
      <c r="F5274" s="53">
        <v>1.2</v>
      </c>
      <c r="G5274" s="53">
        <v>0</v>
      </c>
      <c r="H5274" s="51" t="str">
        <f>TEXT(tblLaborEntries[[#This Row],[Work date serial]]-WEEKDAY(tblLaborEntries[[#This Row],[Work date serial]],3),"yyyy-mm-dd")</f>
        <v>2024-04-15</v>
      </c>
      <c r="I5274" s="64">
        <f>DATEVALUE(tblLaborEntries[[#This Row],[Work date]])</f>
        <v>45403.0</v>
      </c>
    </row>
    <row r="5275" spans="1:9" ht="15" x14ac:dyDescent="0.25">
      <c r="A5275" s="53" t="inlineStr">
        <is>
          <t>LAB-005274</t>
        </is>
      </c>
      <c r="B5275" s="53" t="inlineStr">
        <is>
          <t>WP-02313</t>
        </is>
      </c>
      <c r="C5275" s="53" t="inlineStr">
        <is>
          <t>TECH-060</t>
        </is>
      </c>
      <c r="D5275" s="53" t="inlineStr">
        <is>
          <t>Powerplant</t>
        </is>
      </c>
      <c r="E5275" s="53" t="inlineStr">
        <is>
          <t>2024-04-21</t>
        </is>
      </c>
      <c r="F5275" s="53">
        <v>12</v>
      </c>
      <c r="G5275" s="53">
        <v>4</v>
      </c>
      <c r="H5275" s="51" t="str">
        <f>TEXT(tblLaborEntries[[#This Row],[Work date serial]]-WEEKDAY(tblLaborEntries[[#This Row],[Work date serial]],3),"yyyy-mm-dd")</f>
        <v>2024-04-15</v>
      </c>
      <c r="I5275" s="64">
        <f>DATEVALUE(tblLaborEntries[[#This Row],[Work date]])</f>
        <v>45403.0</v>
      </c>
    </row>
    <row r="5276" spans="1:9" ht="15" x14ac:dyDescent="0.25">
      <c r="A5276" s="53" t="inlineStr">
        <is>
          <t>LAB-005275</t>
        </is>
      </c>
      <c r="B5276" s="53" t="inlineStr">
        <is>
          <t>WP-02314</t>
        </is>
      </c>
      <c r="C5276" s="53" t="inlineStr">
        <is>
          <t>TECH-005</t>
        </is>
      </c>
      <c r="D5276" s="53" t="inlineStr">
        <is>
          <t>Structures</t>
        </is>
      </c>
      <c r="E5276" s="53" t="inlineStr">
        <is>
          <t>2025-06-18</t>
        </is>
      </c>
      <c r="F5276" s="53">
        <v>5.7</v>
      </c>
      <c r="G5276" s="53">
        <v>0</v>
      </c>
      <c r="H5276" s="51" t="str">
        <f>TEXT(tblLaborEntries[[#This Row],[Work date serial]]-WEEKDAY(tblLaborEntries[[#This Row],[Work date serial]],3),"yyyy-mm-dd")</f>
        <v>2025-06-16</v>
      </c>
      <c r="I5276" s="64">
        <f>DATEVALUE(tblLaborEntries[[#This Row],[Work date]])</f>
        <v>45826.0</v>
      </c>
    </row>
    <row r="5277" spans="1:9" ht="15" x14ac:dyDescent="0.25">
      <c r="A5277" s="53" t="inlineStr">
        <is>
          <t>LAB-005276</t>
        </is>
      </c>
      <c r="B5277" s="53" t="inlineStr">
        <is>
          <t>WP-02314</t>
        </is>
      </c>
      <c r="C5277" s="53" t="inlineStr">
        <is>
          <t>TECH-029</t>
        </is>
      </c>
      <c r="D5277" s="53" t="inlineStr">
        <is>
          <t>Structures</t>
        </is>
      </c>
      <c r="E5277" s="53" t="inlineStr">
        <is>
          <t>2025-06-18</t>
        </is>
      </c>
      <c r="F5277" s="53">
        <v>12</v>
      </c>
      <c r="G5277" s="53">
        <v>4</v>
      </c>
      <c r="H5277" s="51" t="str">
        <f>TEXT(tblLaborEntries[[#This Row],[Work date serial]]-WEEKDAY(tblLaborEntries[[#This Row],[Work date serial]],3),"yyyy-mm-dd")</f>
        <v>2025-06-16</v>
      </c>
      <c r="I5277" s="64">
        <f>DATEVALUE(tblLaborEntries[[#This Row],[Work date]])</f>
        <v>45826.0</v>
      </c>
    </row>
    <row r="5278" spans="1:9" ht="15" x14ac:dyDescent="0.25">
      <c r="A5278" s="53" t="inlineStr">
        <is>
          <t>LAB-005277</t>
        </is>
      </c>
      <c r="B5278" s="53" t="inlineStr">
        <is>
          <t>WP-02315</t>
        </is>
      </c>
      <c r="C5278" s="53" t="inlineStr">
        <is>
          <t>TECH-025</t>
        </is>
      </c>
      <c r="D5278" s="53" t="inlineStr">
        <is>
          <t>Airframe</t>
        </is>
      </c>
      <c r="E5278" s="53" t="inlineStr">
        <is>
          <t>2024-10-19</t>
        </is>
      </c>
      <c r="F5278" s="53">
        <v>1.4</v>
      </c>
      <c r="G5278" s="53">
        <v>0</v>
      </c>
      <c r="H5278" s="51" t="str">
        <f>TEXT(tblLaborEntries[[#This Row],[Work date serial]]-WEEKDAY(tblLaborEntries[[#This Row],[Work date serial]],3),"yyyy-mm-dd")</f>
        <v>2024-10-14</v>
      </c>
      <c r="I5278" s="64">
        <f>DATEVALUE(tblLaborEntries[[#This Row],[Work date]])</f>
        <v>45584.0</v>
      </c>
    </row>
    <row r="5279" spans="1:9" ht="15" x14ac:dyDescent="0.25">
      <c r="A5279" s="53" t="inlineStr">
        <is>
          <t>LAB-005278</t>
        </is>
      </c>
      <c r="B5279" s="53" t="inlineStr">
        <is>
          <t>WP-02315</t>
        </is>
      </c>
      <c r="C5279" s="53" t="inlineStr">
        <is>
          <t>TECH-049</t>
        </is>
      </c>
      <c r="D5279" s="53" t="inlineStr">
        <is>
          <t>Airframe</t>
        </is>
      </c>
      <c r="E5279" s="53" t="inlineStr">
        <is>
          <t>2024-10-20</t>
        </is>
      </c>
      <c r="F5279" s="53">
        <v>1.1</v>
      </c>
      <c r="G5279" s="53">
        <v>0</v>
      </c>
      <c r="H5279" s="51" t="str">
        <f>TEXT(tblLaborEntries[[#This Row],[Work date serial]]-WEEKDAY(tblLaborEntries[[#This Row],[Work date serial]],3),"yyyy-mm-dd")</f>
        <v>2024-10-14</v>
      </c>
      <c r="I5279" s="64">
        <f>DATEVALUE(tblLaborEntries[[#This Row],[Work date]])</f>
        <v>45585.0</v>
      </c>
    </row>
    <row r="5280" spans="1:9" ht="15" x14ac:dyDescent="0.25">
      <c r="A5280" s="53" t="inlineStr">
        <is>
          <t>LAB-005279</t>
        </is>
      </c>
      <c r="B5280" s="53" t="inlineStr">
        <is>
          <t>WP-02316</t>
        </is>
      </c>
      <c r="C5280" s="53" t="inlineStr">
        <is>
          <t>TECH-008</t>
        </is>
      </c>
      <c r="D5280" s="53" t="inlineStr">
        <is>
          <t>Avionics</t>
        </is>
      </c>
      <c r="E5280" s="53" t="inlineStr">
        <is>
          <t>2024-07-19</t>
        </is>
      </c>
      <c r="F5280" s="53">
        <v>0.1</v>
      </c>
      <c r="G5280" s="53">
        <v>0</v>
      </c>
      <c r="H5280" s="51" t="str">
        <f>TEXT(tblLaborEntries[[#This Row],[Work date serial]]-WEEKDAY(tblLaborEntries[[#This Row],[Work date serial]],3),"yyyy-mm-dd")</f>
        <v>2024-07-15</v>
      </c>
      <c r="I5280" s="64">
        <f>DATEVALUE(tblLaborEntries[[#This Row],[Work date]])</f>
        <v>45492.0</v>
      </c>
    </row>
    <row r="5281" spans="1:9" ht="15" x14ac:dyDescent="0.25">
      <c r="A5281" s="53" t="inlineStr">
        <is>
          <t>LAB-005280</t>
        </is>
      </c>
      <c r="B5281" s="53" t="inlineStr">
        <is>
          <t>WP-02316</t>
        </is>
      </c>
      <c r="C5281" s="53" t="inlineStr">
        <is>
          <t>TECH-014</t>
        </is>
      </c>
      <c r="D5281" s="53" t="inlineStr">
        <is>
          <t>Avionics</t>
        </is>
      </c>
      <c r="E5281" s="53" t="inlineStr">
        <is>
          <t>2024-07-19</t>
        </is>
      </c>
      <c r="F5281" s="53">
        <v>6</v>
      </c>
      <c r="G5281" s="53">
        <v>4</v>
      </c>
      <c r="H5281" s="51" t="str">
        <f>TEXT(tblLaborEntries[[#This Row],[Work date serial]]-WEEKDAY(tblLaborEntries[[#This Row],[Work date serial]],3),"yyyy-mm-dd")</f>
        <v>2024-07-15</v>
      </c>
      <c r="I5281" s="64">
        <f>DATEVALUE(tblLaborEntries[[#This Row],[Work date]])</f>
        <v>45492.0</v>
      </c>
    </row>
    <row r="5282" spans="1:9" ht="15" x14ac:dyDescent="0.25">
      <c r="A5282" s="53" t="inlineStr">
        <is>
          <t>LAB-005281</t>
        </is>
      </c>
      <c r="B5282" s="53" t="inlineStr">
        <is>
          <t>WP-02316</t>
        </is>
      </c>
      <c r="C5282" s="53" t="inlineStr">
        <is>
          <t>TECH-014</t>
        </is>
      </c>
      <c r="D5282" s="53" t="inlineStr">
        <is>
          <t>Avionics</t>
        </is>
      </c>
      <c r="E5282" s="53" t="inlineStr">
        <is>
          <t>2024-07-20</t>
        </is>
      </c>
      <c r="F5282" s="53">
        <v>6.5</v>
      </c>
      <c r="G5282" s="53">
        <v>0</v>
      </c>
      <c r="H5282" s="51" t="str">
        <f>TEXT(tblLaborEntries[[#This Row],[Work date serial]]-WEEKDAY(tblLaborEntries[[#This Row],[Work date serial]],3),"yyyy-mm-dd")</f>
        <v>2024-07-15</v>
      </c>
      <c r="I5282" s="64">
        <f>DATEVALUE(tblLaborEntries[[#This Row],[Work date]])</f>
        <v>45493.0</v>
      </c>
    </row>
    <row r="5283" spans="1:9" ht="15" x14ac:dyDescent="0.25">
      <c r="A5283" s="53" t="inlineStr">
        <is>
          <t>LAB-005282</t>
        </is>
      </c>
      <c r="B5283" s="53" t="inlineStr">
        <is>
          <t>WP-02316</t>
        </is>
      </c>
      <c r="C5283" s="53" t="inlineStr">
        <is>
          <t>TECH-056</t>
        </is>
      </c>
      <c r="D5283" s="53" t="inlineStr">
        <is>
          <t>Avionics</t>
        </is>
      </c>
      <c r="E5283" s="53" t="inlineStr">
        <is>
          <t>2024-07-21</t>
        </is>
      </c>
      <c r="F5283" s="53">
        <v>5.5</v>
      </c>
      <c r="G5283" s="53">
        <v>0</v>
      </c>
      <c r="H5283" s="51" t="str">
        <f>TEXT(tblLaborEntries[[#This Row],[Work date serial]]-WEEKDAY(tblLaborEntries[[#This Row],[Work date serial]],3),"yyyy-mm-dd")</f>
        <v>2024-07-15</v>
      </c>
      <c r="I5283" s="64">
        <f>DATEVALUE(tblLaborEntries[[#This Row],[Work date]])</f>
        <v>45494.0</v>
      </c>
    </row>
    <row r="5284" spans="1:9" ht="15" x14ac:dyDescent="0.25">
      <c r="A5284" s="53" t="inlineStr">
        <is>
          <t>LAB-005283</t>
        </is>
      </c>
      <c r="B5284" s="53" t="inlineStr">
        <is>
          <t>WP-02317</t>
        </is>
      </c>
      <c r="C5284" s="53" t="inlineStr">
        <is>
          <t>TECH-024</t>
        </is>
      </c>
      <c r="D5284" s="53" t="inlineStr">
        <is>
          <t>Powerplant</t>
        </is>
      </c>
      <c r="E5284" s="53" t="inlineStr">
        <is>
          <t>2024-05-30</t>
        </is>
      </c>
      <c r="F5284" s="53">
        <v>8.7</v>
      </c>
      <c r="G5284" s="53">
        <v>0.7</v>
      </c>
      <c r="H5284" s="51" t="str">
        <f>TEXT(tblLaborEntries[[#This Row],[Work date serial]]-WEEKDAY(tblLaborEntries[[#This Row],[Work date serial]],3),"yyyy-mm-dd")</f>
        <v>2024-05-27</v>
      </c>
      <c r="I5284" s="64">
        <f>DATEVALUE(tblLaborEntries[[#This Row],[Work date]])</f>
        <v>45442.0</v>
      </c>
    </row>
    <row r="5285" spans="1:9" ht="15" x14ac:dyDescent="0.25">
      <c r="A5285" s="53" t="inlineStr">
        <is>
          <t>LAB-005284</t>
        </is>
      </c>
      <c r="B5285" s="53" t="inlineStr">
        <is>
          <t>WP-02318</t>
        </is>
      </c>
      <c r="C5285" s="53" t="inlineStr">
        <is>
          <t>TECH-074</t>
        </is>
      </c>
      <c r="D5285" s="53" t="inlineStr">
        <is>
          <t>Avionics</t>
        </is>
      </c>
      <c r="E5285" s="53" t="inlineStr">
        <is>
          <t>2025-08-18</t>
        </is>
      </c>
      <c r="F5285" s="53">
        <v>3.4</v>
      </c>
      <c r="G5285" s="53">
        <v>0</v>
      </c>
      <c r="H5285" s="51" t="str">
        <f>TEXT(tblLaborEntries[[#This Row],[Work date serial]]-WEEKDAY(tblLaborEntries[[#This Row],[Work date serial]],3),"yyyy-mm-dd")</f>
        <v>2025-08-18</v>
      </c>
      <c r="I5285" s="64">
        <f>DATEVALUE(tblLaborEntries[[#This Row],[Work date]])</f>
        <v>45887.0</v>
      </c>
    </row>
    <row r="5286" spans="1:9" ht="15" x14ac:dyDescent="0.25">
      <c r="A5286" s="53" t="inlineStr">
        <is>
          <t>LAB-005285</t>
        </is>
      </c>
      <c r="B5286" s="53" t="inlineStr">
        <is>
          <t>WP-02318</t>
        </is>
      </c>
      <c r="C5286" s="53" t="inlineStr">
        <is>
          <t>TECH-050</t>
        </is>
      </c>
      <c r="D5286" s="53" t="inlineStr">
        <is>
          <t>Avionics</t>
        </is>
      </c>
      <c r="E5286" s="53" t="inlineStr">
        <is>
          <t>2025-08-19</t>
        </is>
      </c>
      <c r="F5286" s="53">
        <v>2.2</v>
      </c>
      <c r="G5286" s="53">
        <v>0</v>
      </c>
      <c r="H5286" s="51" t="str">
        <f>TEXT(tblLaborEntries[[#This Row],[Work date serial]]-WEEKDAY(tblLaborEntries[[#This Row],[Work date serial]],3),"yyyy-mm-dd")</f>
        <v>2025-08-18</v>
      </c>
      <c r="I5286" s="64">
        <f>DATEVALUE(tblLaborEntries[[#This Row],[Work date]])</f>
        <v>45888.0</v>
      </c>
    </row>
    <row r="5287" spans="1:9" ht="15" x14ac:dyDescent="0.25">
      <c r="A5287" s="53" t="inlineStr">
        <is>
          <t>LAB-005286</t>
        </is>
      </c>
      <c r="B5287" s="53" t="inlineStr">
        <is>
          <t>WP-02318</t>
        </is>
      </c>
      <c r="C5287" s="53" t="inlineStr">
        <is>
          <t>TECH-038</t>
        </is>
      </c>
      <c r="D5287" s="53" t="inlineStr">
        <is>
          <t>Avionics</t>
        </is>
      </c>
      <c r="E5287" s="53" t="inlineStr">
        <is>
          <t>2025-08-20</t>
        </is>
      </c>
      <c r="F5287" s="53">
        <v>3</v>
      </c>
      <c r="G5287" s="53">
        <v>0</v>
      </c>
      <c r="H5287" s="51" t="str">
        <f>TEXT(tblLaborEntries[[#This Row],[Work date serial]]-WEEKDAY(tblLaborEntries[[#This Row],[Work date serial]],3),"yyyy-mm-dd")</f>
        <v>2025-08-18</v>
      </c>
      <c r="I5287" s="64">
        <f>DATEVALUE(tblLaborEntries[[#This Row],[Work date]])</f>
        <v>45889.0</v>
      </c>
    </row>
    <row r="5288" spans="1:9" ht="15" x14ac:dyDescent="0.25">
      <c r="A5288" s="53" t="inlineStr">
        <is>
          <t>LAB-005287</t>
        </is>
      </c>
      <c r="B5288" s="53" t="inlineStr">
        <is>
          <t>WP-02319</t>
        </is>
      </c>
      <c r="C5288" s="53" t="inlineStr">
        <is>
          <t>TECH-074</t>
        </is>
      </c>
      <c r="D5288" s="53" t="inlineStr">
        <is>
          <t>Avionics</t>
        </is>
      </c>
      <c r="E5288" s="53" t="inlineStr">
        <is>
          <t>2024-10-21</t>
        </is>
      </c>
      <c r="F5288" s="53">
        <v>3.4</v>
      </c>
      <c r="G5288" s="53">
        <v>0</v>
      </c>
      <c r="H5288" s="51" t="str">
        <f>TEXT(tblLaborEntries[[#This Row],[Work date serial]]-WEEKDAY(tblLaborEntries[[#This Row],[Work date serial]],3),"yyyy-mm-dd")</f>
        <v>2024-10-21</v>
      </c>
      <c r="I5288" s="64">
        <f>DATEVALUE(tblLaborEntries[[#This Row],[Work date]])</f>
        <v>45586.0</v>
      </c>
    </row>
    <row r="5289" spans="1:9" ht="15" x14ac:dyDescent="0.25">
      <c r="A5289" s="53" t="inlineStr">
        <is>
          <t>LAB-005288</t>
        </is>
      </c>
      <c r="B5289" s="53" t="inlineStr">
        <is>
          <t>WP-02319</t>
        </is>
      </c>
      <c r="C5289" s="53" t="inlineStr">
        <is>
          <t>TECH-044</t>
        </is>
      </c>
      <c r="D5289" s="53" t="inlineStr">
        <is>
          <t>Avionics</t>
        </is>
      </c>
      <c r="E5289" s="53" t="inlineStr">
        <is>
          <t>2024-10-22</t>
        </is>
      </c>
      <c r="F5289" s="53">
        <v>5.2</v>
      </c>
      <c r="G5289" s="53">
        <v>0</v>
      </c>
      <c r="H5289" s="51" t="str">
        <f>TEXT(tblLaborEntries[[#This Row],[Work date serial]]-WEEKDAY(tblLaborEntries[[#This Row],[Work date serial]],3),"yyyy-mm-dd")</f>
        <v>2024-10-21</v>
      </c>
      <c r="I5289" s="64">
        <f>DATEVALUE(tblLaborEntries[[#This Row],[Work date]])</f>
        <v>45587.0</v>
      </c>
    </row>
    <row r="5290" spans="1:9" ht="15" x14ac:dyDescent="0.25">
      <c r="A5290" s="53" t="inlineStr">
        <is>
          <t>LAB-005289</t>
        </is>
      </c>
      <c r="B5290" s="53" t="inlineStr">
        <is>
          <t>WP-02320</t>
        </is>
      </c>
      <c r="C5290" s="53" t="inlineStr">
        <is>
          <t>TECH-006</t>
        </is>
      </c>
      <c r="D5290" s="53" t="inlineStr">
        <is>
          <t>Powerplant</t>
        </is>
      </c>
      <c r="E5290" s="53" t="inlineStr">
        <is>
          <t>2024-03-03</t>
        </is>
      </c>
      <c r="F5290" s="53">
        <v>0.9</v>
      </c>
      <c r="G5290" s="53">
        <v>0</v>
      </c>
      <c r="H5290" s="51" t="str">
        <f>TEXT(tblLaborEntries[[#This Row],[Work date serial]]-WEEKDAY(tblLaborEntries[[#This Row],[Work date serial]],3),"yyyy-mm-dd")</f>
        <v>2024-02-26</v>
      </c>
      <c r="I5290" s="64">
        <f>DATEVALUE(tblLaborEntries[[#This Row],[Work date]])</f>
        <v>45354.0</v>
      </c>
    </row>
    <row r="5291" spans="1:9" ht="15" x14ac:dyDescent="0.25">
      <c r="A5291" s="53" t="inlineStr">
        <is>
          <t>LAB-005290</t>
        </is>
      </c>
      <c r="B5291" s="53" t="inlineStr">
        <is>
          <t>WP-02320</t>
        </is>
      </c>
      <c r="C5291" s="53" t="inlineStr">
        <is>
          <t>TECH-018</t>
        </is>
      </c>
      <c r="D5291" s="53" t="inlineStr">
        <is>
          <t>Powerplant</t>
        </is>
      </c>
      <c r="E5291" s="53" t="inlineStr">
        <is>
          <t>2024-03-03</t>
        </is>
      </c>
      <c r="F5291" s="53">
        <v>12</v>
      </c>
      <c r="G5291" s="53">
        <v>4</v>
      </c>
      <c r="H5291" s="51" t="str">
        <f>TEXT(tblLaborEntries[[#This Row],[Work date serial]]-WEEKDAY(tblLaborEntries[[#This Row],[Work date serial]],3),"yyyy-mm-dd")</f>
        <v>2024-02-26</v>
      </c>
      <c r="I5291" s="64">
        <f>DATEVALUE(tblLaborEntries[[#This Row],[Work date]])</f>
        <v>45354.0</v>
      </c>
    </row>
    <row r="5292" spans="1:9" ht="15" x14ac:dyDescent="0.25">
      <c r="A5292" s="53" t="inlineStr">
        <is>
          <t>LAB-005291</t>
        </is>
      </c>
      <c r="B5292" s="53" t="inlineStr">
        <is>
          <t>WP-02321</t>
        </is>
      </c>
      <c r="C5292" s="53" t="inlineStr">
        <is>
          <t>TECH-032</t>
        </is>
      </c>
      <c r="D5292" s="53" t="inlineStr">
        <is>
          <t>Avionics</t>
        </is>
      </c>
      <c r="E5292" s="53" t="inlineStr">
        <is>
          <t>2024-11-05</t>
        </is>
      </c>
      <c r="F5292" s="53">
        <v>3.3</v>
      </c>
      <c r="G5292" s="53">
        <v>0</v>
      </c>
      <c r="H5292" s="51" t="str">
        <f>TEXT(tblLaborEntries[[#This Row],[Work date serial]]-WEEKDAY(tblLaborEntries[[#This Row],[Work date serial]],3),"yyyy-mm-dd")</f>
        <v>2024-11-04</v>
      </c>
      <c r="I5292" s="64">
        <f>DATEVALUE(tblLaborEntries[[#This Row],[Work date]])</f>
        <v>45601.0</v>
      </c>
    </row>
    <row r="5293" spans="1:9" ht="15" x14ac:dyDescent="0.25">
      <c r="A5293" s="53" t="inlineStr">
        <is>
          <t>LAB-005292</t>
        </is>
      </c>
      <c r="B5293" s="53" t="inlineStr">
        <is>
          <t>WP-02321</t>
        </is>
      </c>
      <c r="C5293" s="53" t="inlineStr">
        <is>
          <t>TECH-062</t>
        </is>
      </c>
      <c r="D5293" s="53" t="inlineStr">
        <is>
          <t>Avionics</t>
        </is>
      </c>
      <c r="E5293" s="53" t="inlineStr">
        <is>
          <t>2024-11-06</t>
        </is>
      </c>
      <c r="F5293" s="53">
        <v>3.6</v>
      </c>
      <c r="G5293" s="53">
        <v>0</v>
      </c>
      <c r="H5293" s="51" t="str">
        <f>TEXT(tblLaborEntries[[#This Row],[Work date serial]]-WEEKDAY(tblLaborEntries[[#This Row],[Work date serial]],3),"yyyy-mm-dd")</f>
        <v>2024-11-04</v>
      </c>
      <c r="I5293" s="64">
        <f>DATEVALUE(tblLaborEntries[[#This Row],[Work date]])</f>
        <v>45602.0</v>
      </c>
    </row>
    <row r="5294" spans="1:9" ht="15" x14ac:dyDescent="0.25">
      <c r="A5294" s="53" t="inlineStr">
        <is>
          <t>LAB-005293</t>
        </is>
      </c>
      <c r="B5294" s="53" t="inlineStr">
        <is>
          <t>WP-02321</t>
        </is>
      </c>
      <c r="C5294" s="53" t="inlineStr">
        <is>
          <t>TECH-062</t>
        </is>
      </c>
      <c r="D5294" s="53" t="inlineStr">
        <is>
          <t>Avionics</t>
        </is>
      </c>
      <c r="E5294" s="53" t="inlineStr">
        <is>
          <t>2024-11-07</t>
        </is>
      </c>
      <c r="F5294" s="53">
        <v>3.2</v>
      </c>
      <c r="G5294" s="53">
        <v>0</v>
      </c>
      <c r="H5294" s="51" t="str">
        <f>TEXT(tblLaborEntries[[#This Row],[Work date serial]]-WEEKDAY(tblLaborEntries[[#This Row],[Work date serial]],3),"yyyy-mm-dd")</f>
        <v>2024-11-04</v>
      </c>
      <c r="I5294" s="64">
        <f>DATEVALUE(tblLaborEntries[[#This Row],[Work date]])</f>
        <v>45603.0</v>
      </c>
    </row>
    <row r="5295" spans="1:9" ht="15" x14ac:dyDescent="0.25">
      <c r="A5295" s="53" t="inlineStr">
        <is>
          <t>LAB-005294</t>
        </is>
      </c>
      <c r="B5295" s="53" t="inlineStr">
        <is>
          <t>WP-02322</t>
        </is>
      </c>
      <c r="C5295" s="53" t="inlineStr">
        <is>
          <t>TECH-038</t>
        </is>
      </c>
      <c r="D5295" s="53" t="inlineStr">
        <is>
          <t>Avionics</t>
        </is>
      </c>
      <c r="E5295" s="53" t="inlineStr">
        <is>
          <t>2025-07-18</t>
        </is>
      </c>
      <c r="F5295" s="53">
        <v>9</v>
      </c>
      <c r="G5295" s="53">
        <v>1</v>
      </c>
      <c r="H5295" s="51" t="str">
        <f>TEXT(tblLaborEntries[[#This Row],[Work date serial]]-WEEKDAY(tblLaborEntries[[#This Row],[Work date serial]],3),"yyyy-mm-dd")</f>
        <v>2025-07-14</v>
      </c>
      <c r="I5295" s="64">
        <f>DATEVALUE(tblLaborEntries[[#This Row],[Work date]])</f>
        <v>45856.0</v>
      </c>
    </row>
    <row r="5296" spans="1:9" ht="15" x14ac:dyDescent="0.25">
      <c r="A5296" s="53" t="inlineStr">
        <is>
          <t>LAB-005295</t>
        </is>
      </c>
      <c r="B5296" s="53" t="inlineStr">
        <is>
          <t>WP-02322</t>
        </is>
      </c>
      <c r="C5296" s="53" t="inlineStr">
        <is>
          <t>TECH-008</t>
        </is>
      </c>
      <c r="D5296" s="53" t="inlineStr">
        <is>
          <t>Avionics</t>
        </is>
      </c>
      <c r="E5296" s="53" t="inlineStr">
        <is>
          <t>2025-07-19</t>
        </is>
      </c>
      <c r="F5296" s="53">
        <v>0.3</v>
      </c>
      <c r="G5296" s="53">
        <v>0</v>
      </c>
      <c r="H5296" s="51" t="str">
        <f>TEXT(tblLaborEntries[[#This Row],[Work date serial]]-WEEKDAY(tblLaborEntries[[#This Row],[Work date serial]],3),"yyyy-mm-dd")</f>
        <v>2025-07-14</v>
      </c>
      <c r="I5296" s="64">
        <f>DATEVALUE(tblLaborEntries[[#This Row],[Work date]])</f>
        <v>45857.0</v>
      </c>
    </row>
    <row r="5297" spans="1:9" ht="15" x14ac:dyDescent="0.25">
      <c r="A5297" s="53" t="inlineStr">
        <is>
          <t>LAB-005296</t>
        </is>
      </c>
      <c r="B5297" s="53" t="inlineStr">
        <is>
          <t>WP-02322</t>
        </is>
      </c>
      <c r="C5297" s="53" t="inlineStr">
        <is>
          <t>TECH-020</t>
        </is>
      </c>
      <c r="D5297" s="53" t="inlineStr">
        <is>
          <t>Avionics</t>
        </is>
      </c>
      <c r="E5297" s="53" t="inlineStr">
        <is>
          <t>2025-07-19</t>
        </is>
      </c>
      <c r="F5297" s="53">
        <v>12</v>
      </c>
      <c r="G5297" s="53">
        <v>4</v>
      </c>
      <c r="H5297" s="51" t="str">
        <f>TEXT(tblLaborEntries[[#This Row],[Work date serial]]-WEEKDAY(tblLaborEntries[[#This Row],[Work date serial]],3),"yyyy-mm-dd")</f>
        <v>2025-07-14</v>
      </c>
      <c r="I5297" s="64">
        <f>DATEVALUE(tblLaborEntries[[#This Row],[Work date]])</f>
        <v>45857.0</v>
      </c>
    </row>
    <row r="5298" spans="1:9" ht="15" x14ac:dyDescent="0.25">
      <c r="A5298" s="53" t="inlineStr">
        <is>
          <t>LAB-005297</t>
        </is>
      </c>
      <c r="B5298" s="53" t="inlineStr">
        <is>
          <t>WP-02322</t>
        </is>
      </c>
      <c r="C5298" s="53" t="inlineStr">
        <is>
          <t>TECH-050</t>
        </is>
      </c>
      <c r="D5298" s="53" t="inlineStr">
        <is>
          <t>Avionics</t>
        </is>
      </c>
      <c r="E5298" s="53" t="inlineStr">
        <is>
          <t>2025-07-20</t>
        </is>
      </c>
      <c r="F5298" s="53">
        <v>10.2</v>
      </c>
      <c r="G5298" s="53">
        <v>2.2</v>
      </c>
      <c r="H5298" s="51" t="str">
        <f>TEXT(tblLaborEntries[[#This Row],[Work date serial]]-WEEKDAY(tblLaborEntries[[#This Row],[Work date serial]],3),"yyyy-mm-dd")</f>
        <v>2025-07-14</v>
      </c>
      <c r="I5298" s="64">
        <f>DATEVALUE(tblLaborEntries[[#This Row],[Work date]])</f>
        <v>45858.0</v>
      </c>
    </row>
    <row r="5299" spans="1:9" ht="15" x14ac:dyDescent="0.25">
      <c r="A5299" s="53" t="inlineStr">
        <is>
          <t>LAB-005298</t>
        </is>
      </c>
      <c r="B5299" s="53" t="inlineStr">
        <is>
          <t>WP-02323</t>
        </is>
      </c>
      <c r="C5299" s="53" t="inlineStr">
        <is>
          <t>TECH-024</t>
        </is>
      </c>
      <c r="D5299" s="53" t="inlineStr">
        <is>
          <t>Powerplant</t>
        </is>
      </c>
      <c r="E5299" s="53" t="inlineStr">
        <is>
          <t>2025-12-07</t>
        </is>
      </c>
      <c r="F5299" s="53">
        <v>10.1</v>
      </c>
      <c r="G5299" s="53">
        <v>2.1</v>
      </c>
      <c r="H5299" s="51" t="str">
        <f>TEXT(tblLaborEntries[[#This Row],[Work date serial]]-WEEKDAY(tblLaborEntries[[#This Row],[Work date serial]],3),"yyyy-mm-dd")</f>
        <v>2025-12-01</v>
      </c>
      <c r="I5299" s="64">
        <f>DATEVALUE(tblLaborEntries[[#This Row],[Work date]])</f>
        <v>45998.0</v>
      </c>
    </row>
    <row r="5300" spans="1:9" ht="15" x14ac:dyDescent="0.25">
      <c r="A5300" s="53" t="inlineStr">
        <is>
          <t>LAB-005299</t>
        </is>
      </c>
      <c r="B5300" s="53" t="inlineStr">
        <is>
          <t>WP-02323</t>
        </is>
      </c>
      <c r="C5300" s="53" t="inlineStr">
        <is>
          <t>TECH-018</t>
        </is>
      </c>
      <c r="D5300" s="53" t="inlineStr">
        <is>
          <t>Powerplant</t>
        </is>
      </c>
      <c r="E5300" s="53" t="inlineStr">
        <is>
          <t>2025-12-08</t>
        </is>
      </c>
      <c r="F5300" s="53">
        <v>7.5</v>
      </c>
      <c r="G5300" s="53">
        <v>0</v>
      </c>
      <c r="H5300" s="51" t="str">
        <f>TEXT(tblLaborEntries[[#This Row],[Work date serial]]-WEEKDAY(tblLaborEntries[[#This Row],[Work date serial]],3),"yyyy-mm-dd")</f>
        <v>2025-12-08</v>
      </c>
      <c r="I5300" s="64">
        <f>DATEVALUE(tblLaborEntries[[#This Row],[Work date]])</f>
        <v>45999.0</v>
      </c>
    </row>
    <row r="5301" spans="1:9" ht="15" x14ac:dyDescent="0.25">
      <c r="A5301" s="53" t="inlineStr">
        <is>
          <t>LAB-005300</t>
        </is>
      </c>
      <c r="B5301" s="53" t="inlineStr">
        <is>
          <t>WP-02324</t>
        </is>
      </c>
      <c r="C5301" s="53" t="inlineStr">
        <is>
          <t>TECH-002</t>
        </is>
      </c>
      <c r="D5301" s="53" t="inlineStr">
        <is>
          <t>Avionics</t>
        </is>
      </c>
      <c r="E5301" s="53" t="inlineStr">
        <is>
          <t>2024-02-05</t>
        </is>
      </c>
      <c r="F5301" s="53">
        <v>12</v>
      </c>
      <c r="G5301" s="53">
        <v>4</v>
      </c>
      <c r="H5301" s="51" t="str">
        <f>TEXT(tblLaborEntries[[#This Row],[Work date serial]]-WEEKDAY(tblLaborEntries[[#This Row],[Work date serial]],3),"yyyy-mm-dd")</f>
        <v>2024-02-05</v>
      </c>
      <c r="I5301" s="64">
        <f>DATEVALUE(tblLaborEntries[[#This Row],[Work date]])</f>
        <v>45327.0</v>
      </c>
    </row>
    <row r="5302" spans="1:9" ht="15" x14ac:dyDescent="0.25">
      <c r="A5302" s="53" t="inlineStr">
        <is>
          <t>LAB-005301</t>
        </is>
      </c>
      <c r="B5302" s="53" t="inlineStr">
        <is>
          <t>WP-02324</t>
        </is>
      </c>
      <c r="C5302" s="53" t="inlineStr">
        <is>
          <t>TECH-008</t>
        </is>
      </c>
      <c r="D5302" s="53" t="inlineStr">
        <is>
          <t>Avionics</t>
        </is>
      </c>
      <c r="E5302" s="53" t="inlineStr">
        <is>
          <t>2024-02-05</t>
        </is>
      </c>
      <c r="F5302" s="53">
        <v>8.7</v>
      </c>
      <c r="G5302" s="53">
        <v>0.7</v>
      </c>
      <c r="H5302" s="51" t="str">
        <f>TEXT(tblLaborEntries[[#This Row],[Work date serial]]-WEEKDAY(tblLaborEntries[[#This Row],[Work date serial]],3),"yyyy-mm-dd")</f>
        <v>2024-02-05</v>
      </c>
      <c r="I5302" s="64">
        <f>DATEVALUE(tblLaborEntries[[#This Row],[Work date]])</f>
        <v>45327.0</v>
      </c>
    </row>
    <row r="5303" spans="1:9" ht="15" x14ac:dyDescent="0.25">
      <c r="A5303" s="53" t="inlineStr">
        <is>
          <t>LAB-005302</t>
        </is>
      </c>
      <c r="B5303" s="53" t="inlineStr">
        <is>
          <t>WP-02324</t>
        </is>
      </c>
      <c r="C5303" s="53" t="inlineStr">
        <is>
          <t>TECH-020</t>
        </is>
      </c>
      <c r="D5303" s="53" t="inlineStr">
        <is>
          <t>Avionics</t>
        </is>
      </c>
      <c r="E5303" s="53" t="inlineStr">
        <is>
          <t>2024-02-05</t>
        </is>
      </c>
      <c r="F5303" s="53">
        <v>12</v>
      </c>
      <c r="G5303" s="53">
        <v>4</v>
      </c>
      <c r="H5303" s="51" t="str">
        <f>TEXT(tblLaborEntries[[#This Row],[Work date serial]]-WEEKDAY(tblLaborEntries[[#This Row],[Work date serial]],3),"yyyy-mm-dd")</f>
        <v>2024-02-05</v>
      </c>
      <c r="I5303" s="64">
        <f>DATEVALUE(tblLaborEntries[[#This Row],[Work date]])</f>
        <v>45327.0</v>
      </c>
    </row>
    <row r="5304" spans="1:9" ht="15" x14ac:dyDescent="0.25">
      <c r="A5304" s="53" t="inlineStr">
        <is>
          <t>LAB-005303</t>
        </is>
      </c>
      <c r="B5304" s="53" t="inlineStr">
        <is>
          <t>WP-02325</t>
        </is>
      </c>
      <c r="C5304" s="53" t="inlineStr">
        <is>
          <t>TECH-032</t>
        </is>
      </c>
      <c r="D5304" s="53" t="inlineStr">
        <is>
          <t>Avionics</t>
        </is>
      </c>
      <c r="E5304" s="53" t="inlineStr">
        <is>
          <t>2025-02-12</t>
        </is>
      </c>
      <c r="F5304" s="53">
        <v>2.7</v>
      </c>
      <c r="G5304" s="53">
        <v>0</v>
      </c>
      <c r="H5304" s="51" t="str">
        <f>TEXT(tblLaborEntries[[#This Row],[Work date serial]]-WEEKDAY(tblLaborEntries[[#This Row],[Work date serial]],3),"yyyy-mm-dd")</f>
        <v>2025-02-10</v>
      </c>
      <c r="I5304" s="64">
        <f>DATEVALUE(tblLaborEntries[[#This Row],[Work date]])</f>
        <v>45700.0</v>
      </c>
    </row>
    <row r="5305" spans="1:9" ht="15" x14ac:dyDescent="0.25">
      <c r="A5305" s="53" t="inlineStr">
        <is>
          <t>LAB-005304</t>
        </is>
      </c>
      <c r="B5305" s="53" t="inlineStr">
        <is>
          <t>WP-02325</t>
        </is>
      </c>
      <c r="C5305" s="53" t="inlineStr">
        <is>
          <t>TECH-002</t>
        </is>
      </c>
      <c r="D5305" s="53" t="inlineStr">
        <is>
          <t>Avionics</t>
        </is>
      </c>
      <c r="E5305" s="53" t="inlineStr">
        <is>
          <t>2025-02-13</t>
        </is>
      </c>
      <c r="F5305" s="53">
        <v>2.4</v>
      </c>
      <c r="G5305" s="53">
        <v>0</v>
      </c>
      <c r="H5305" s="51" t="str">
        <f>TEXT(tblLaborEntries[[#This Row],[Work date serial]]-WEEKDAY(tblLaborEntries[[#This Row],[Work date serial]],3),"yyyy-mm-dd")</f>
        <v>2025-02-10</v>
      </c>
      <c r="I5305" s="64">
        <f>DATEVALUE(tblLaborEntries[[#This Row],[Work date]])</f>
        <v>45701.0</v>
      </c>
    </row>
    <row r="5306" spans="1:9" ht="15" x14ac:dyDescent="0.25">
      <c r="A5306" s="53" t="inlineStr">
        <is>
          <t>LAB-005305</t>
        </is>
      </c>
      <c r="B5306" s="53" t="inlineStr">
        <is>
          <t>WP-02326</t>
        </is>
      </c>
      <c r="C5306" s="53" t="inlineStr">
        <is>
          <t>TECH-012</t>
        </is>
      </c>
      <c r="D5306" s="53" t="inlineStr">
        <is>
          <t>Powerplant</t>
        </is>
      </c>
      <c r="E5306" s="53" t="inlineStr">
        <is>
          <t>2025-03-10</t>
        </is>
      </c>
      <c r="F5306" s="53">
        <v>12</v>
      </c>
      <c r="G5306" s="53">
        <v>4</v>
      </c>
      <c r="H5306" s="51" t="str">
        <f>TEXT(tblLaborEntries[[#This Row],[Work date serial]]-WEEKDAY(tblLaborEntries[[#This Row],[Work date serial]],3),"yyyy-mm-dd")</f>
        <v>2025-03-10</v>
      </c>
      <c r="I5306" s="64">
        <f>DATEVALUE(tblLaborEntries[[#This Row],[Work date]])</f>
        <v>45726.0</v>
      </c>
    </row>
    <row r="5307" spans="1:9" ht="15" x14ac:dyDescent="0.25">
      <c r="A5307" s="53" t="inlineStr">
        <is>
          <t>LAB-005306</t>
        </is>
      </c>
      <c r="B5307" s="53" t="inlineStr">
        <is>
          <t>WP-02326</t>
        </is>
      </c>
      <c r="C5307" s="53" t="inlineStr">
        <is>
          <t>TECH-018</t>
        </is>
      </c>
      <c r="D5307" s="53" t="inlineStr">
        <is>
          <t>Powerplant</t>
        </is>
      </c>
      <c r="E5307" s="53" t="inlineStr">
        <is>
          <t>2025-03-10</t>
        </is>
      </c>
      <c r="F5307" s="53">
        <v>8.8</v>
      </c>
      <c r="G5307" s="53">
        <v>0.8</v>
      </c>
      <c r="H5307" s="51" t="str">
        <f>TEXT(tblLaborEntries[[#This Row],[Work date serial]]-WEEKDAY(tblLaborEntries[[#This Row],[Work date serial]],3),"yyyy-mm-dd")</f>
        <v>2025-03-10</v>
      </c>
      <c r="I5307" s="64">
        <f>DATEVALUE(tblLaborEntries[[#This Row],[Work date]])</f>
        <v>45726.0</v>
      </c>
    </row>
    <row r="5308" spans="1:9" ht="15" x14ac:dyDescent="0.25">
      <c r="A5308" s="53" t="inlineStr">
        <is>
          <t>LAB-005307</t>
        </is>
      </c>
      <c r="B5308" s="53" t="inlineStr">
        <is>
          <t>WP-02326</t>
        </is>
      </c>
      <c r="C5308" s="53" t="inlineStr">
        <is>
          <t>TECH-054</t>
        </is>
      </c>
      <c r="D5308" s="53" t="inlineStr">
        <is>
          <t>Powerplant</t>
        </is>
      </c>
      <c r="E5308" s="53" t="inlineStr">
        <is>
          <t>2025-03-10</t>
        </is>
      </c>
      <c r="F5308" s="53">
        <v>1.8</v>
      </c>
      <c r="G5308" s="53">
        <v>1.8</v>
      </c>
      <c r="H5308" s="51" t="str">
        <f>TEXT(tblLaborEntries[[#This Row],[Work date serial]]-WEEKDAY(tblLaborEntries[[#This Row],[Work date serial]],3),"yyyy-mm-dd")</f>
        <v>2025-03-10</v>
      </c>
      <c r="I5308" s="64">
        <f>DATEVALUE(tblLaborEntries[[#This Row],[Work date]])</f>
        <v>45726.0</v>
      </c>
    </row>
    <row r="5309" spans="1:9" ht="15" x14ac:dyDescent="0.25">
      <c r="A5309" s="53" t="inlineStr">
        <is>
          <t>LAB-005308</t>
        </is>
      </c>
      <c r="B5309" s="53" t="inlineStr">
        <is>
          <t>WP-02327</t>
        </is>
      </c>
      <c r="C5309" s="53" t="inlineStr">
        <is>
          <t>TECH-003</t>
        </is>
      </c>
      <c r="D5309" s="53" t="inlineStr">
        <is>
          <t>Hydraulics</t>
        </is>
      </c>
      <c r="E5309" s="53" t="inlineStr">
        <is>
          <t>2025-01-27</t>
        </is>
      </c>
      <c r="F5309" s="53">
        <v>0.8</v>
      </c>
      <c r="G5309" s="53">
        <v>0</v>
      </c>
      <c r="H5309" s="51" t="str">
        <f>TEXT(tblLaborEntries[[#This Row],[Work date serial]]-WEEKDAY(tblLaborEntries[[#This Row],[Work date serial]],3),"yyyy-mm-dd")</f>
        <v>2025-01-27</v>
      </c>
      <c r="I5309" s="64">
        <f>DATEVALUE(tblLaborEntries[[#This Row],[Work date]])</f>
        <v>45684.0</v>
      </c>
    </row>
    <row r="5310" spans="1:9" ht="15" x14ac:dyDescent="0.25">
      <c r="A5310" s="53" t="inlineStr">
        <is>
          <t>LAB-005309</t>
        </is>
      </c>
      <c r="B5310" s="53" t="inlineStr">
        <is>
          <t>WP-02327</t>
        </is>
      </c>
      <c r="C5310" s="53" t="inlineStr">
        <is>
          <t>TECH-063</t>
        </is>
      </c>
      <c r="D5310" s="53" t="inlineStr">
        <is>
          <t>Hydraulics</t>
        </is>
      </c>
      <c r="E5310" s="53" t="inlineStr">
        <is>
          <t>2025-01-27</t>
        </is>
      </c>
      <c r="F5310" s="53">
        <v>12</v>
      </c>
      <c r="G5310" s="53">
        <v>4</v>
      </c>
      <c r="H5310" s="51" t="str">
        <f>TEXT(tblLaborEntries[[#This Row],[Work date serial]]-WEEKDAY(tblLaborEntries[[#This Row],[Work date serial]],3),"yyyy-mm-dd")</f>
        <v>2025-01-27</v>
      </c>
      <c r="I5310" s="64">
        <f>DATEVALUE(tblLaborEntries[[#This Row],[Work date]])</f>
        <v>45684.0</v>
      </c>
    </row>
    <row r="5311" spans="1:9" ht="15" x14ac:dyDescent="0.25">
      <c r="A5311" s="53" t="inlineStr">
        <is>
          <t>LAB-005310</t>
        </is>
      </c>
      <c r="B5311" s="53" t="inlineStr">
        <is>
          <t>WP-02328</t>
        </is>
      </c>
      <c r="C5311" s="53" t="inlineStr">
        <is>
          <t>TECH-043</t>
        </is>
      </c>
      <c r="D5311" s="53" t="inlineStr">
        <is>
          <t>Airframe</t>
        </is>
      </c>
      <c r="E5311" s="53" t="inlineStr">
        <is>
          <t>2025-01-12</t>
        </is>
      </c>
      <c r="F5311" s="53">
        <v>6</v>
      </c>
      <c r="G5311" s="53">
        <v>0</v>
      </c>
      <c r="H5311" s="51" t="str">
        <f>TEXT(tblLaborEntries[[#This Row],[Work date serial]]-WEEKDAY(tblLaborEntries[[#This Row],[Work date serial]],3),"yyyy-mm-dd")</f>
        <v>2025-01-06</v>
      </c>
      <c r="I5311" s="64">
        <f>DATEVALUE(tblLaborEntries[[#This Row],[Work date]])</f>
        <v>45669.0</v>
      </c>
    </row>
    <row r="5312" spans="1:9" ht="15" x14ac:dyDescent="0.25">
      <c r="A5312" s="53" t="inlineStr">
        <is>
          <t>LAB-005311</t>
        </is>
      </c>
      <c r="B5312" s="53" t="inlineStr">
        <is>
          <t>WP-02329</t>
        </is>
      </c>
      <c r="C5312" s="53" t="inlineStr">
        <is>
          <t>TECH-062</t>
        </is>
      </c>
      <c r="D5312" s="53" t="inlineStr">
        <is>
          <t>Avionics</t>
        </is>
      </c>
      <c r="E5312" s="53" t="inlineStr">
        <is>
          <t>2024-02-23</t>
        </is>
      </c>
      <c r="F5312" s="53">
        <v>1.2</v>
      </c>
      <c r="G5312" s="53">
        <v>0</v>
      </c>
      <c r="H5312" s="51" t="str">
        <f>TEXT(tblLaborEntries[[#This Row],[Work date serial]]-WEEKDAY(tblLaborEntries[[#This Row],[Work date serial]],3),"yyyy-mm-dd")</f>
        <v>2024-02-19</v>
      </c>
      <c r="I5312" s="64">
        <f>DATEVALUE(tblLaborEntries[[#This Row],[Work date]])</f>
        <v>45345.0</v>
      </c>
    </row>
    <row r="5313" spans="1:9" ht="15" x14ac:dyDescent="0.25">
      <c r="A5313" s="53" t="inlineStr">
        <is>
          <t>LAB-005312</t>
        </is>
      </c>
      <c r="B5313" s="53" t="inlineStr">
        <is>
          <t>WP-02329</t>
        </is>
      </c>
      <c r="C5313" s="53" t="inlineStr">
        <is>
          <t>TECH-014</t>
        </is>
      </c>
      <c r="D5313" s="53" t="inlineStr">
        <is>
          <t>Avionics</t>
        </is>
      </c>
      <c r="E5313" s="53" t="inlineStr">
        <is>
          <t>2024-02-24</t>
        </is>
      </c>
      <c r="F5313" s="53">
        <v>1.5</v>
      </c>
      <c r="G5313" s="53">
        <v>0</v>
      </c>
      <c r="H5313" s="51" t="str">
        <f>TEXT(tblLaborEntries[[#This Row],[Work date serial]]-WEEKDAY(tblLaborEntries[[#This Row],[Work date serial]],3),"yyyy-mm-dd")</f>
        <v>2024-02-19</v>
      </c>
      <c r="I5313" s="64">
        <f>DATEVALUE(tblLaborEntries[[#This Row],[Work date]])</f>
        <v>45346.0</v>
      </c>
    </row>
    <row r="5314" spans="1:9" ht="15" x14ac:dyDescent="0.25">
      <c r="A5314" s="53" t="inlineStr">
        <is>
          <t>LAB-005313</t>
        </is>
      </c>
      <c r="B5314" s="53" t="inlineStr">
        <is>
          <t>WP-02329</t>
        </is>
      </c>
      <c r="C5314" s="53" t="inlineStr">
        <is>
          <t>TECH-056</t>
        </is>
      </c>
      <c r="D5314" s="53" t="inlineStr">
        <is>
          <t>Avionics</t>
        </is>
      </c>
      <c r="E5314" s="53" t="inlineStr">
        <is>
          <t>2024-02-25</t>
        </is>
      </c>
      <c r="F5314" s="53">
        <v>1.5</v>
      </c>
      <c r="G5314" s="53">
        <v>0</v>
      </c>
      <c r="H5314" s="51" t="str">
        <f>TEXT(tblLaborEntries[[#This Row],[Work date serial]]-WEEKDAY(tblLaborEntries[[#This Row],[Work date serial]],3),"yyyy-mm-dd")</f>
        <v>2024-02-19</v>
      </c>
      <c r="I5314" s="64">
        <f>DATEVALUE(tblLaborEntries[[#This Row],[Work date]])</f>
        <v>45347.0</v>
      </c>
    </row>
    <row r="5315" spans="1:9" ht="15" x14ac:dyDescent="0.25">
      <c r="A5315" s="53" t="inlineStr">
        <is>
          <t>LAB-005314</t>
        </is>
      </c>
      <c r="B5315" s="53" t="inlineStr">
        <is>
          <t>WP-02330</t>
        </is>
      </c>
      <c r="C5315" s="53" t="inlineStr">
        <is>
          <t>TECH-014</t>
        </is>
      </c>
      <c r="D5315" s="53" t="inlineStr">
        <is>
          <t>Avionics</t>
        </is>
      </c>
      <c r="E5315" s="53" t="inlineStr">
        <is>
          <t>2025-03-15</t>
        </is>
      </c>
      <c r="F5315" s="53">
        <v>12</v>
      </c>
      <c r="G5315" s="53">
        <v>4</v>
      </c>
      <c r="H5315" s="51" t="str">
        <f>TEXT(tblLaborEntries[[#This Row],[Work date serial]]-WEEKDAY(tblLaborEntries[[#This Row],[Work date serial]],3),"yyyy-mm-dd")</f>
        <v>2025-03-10</v>
      </c>
      <c r="I5315" s="64">
        <f>DATEVALUE(tblLaborEntries[[#This Row],[Work date]])</f>
        <v>45731.0</v>
      </c>
    </row>
    <row r="5316" spans="1:9" ht="15" x14ac:dyDescent="0.25">
      <c r="A5316" s="53" t="inlineStr">
        <is>
          <t>LAB-005315</t>
        </is>
      </c>
      <c r="B5316" s="53" t="inlineStr">
        <is>
          <t>WP-02330</t>
        </is>
      </c>
      <c r="C5316" s="53" t="inlineStr">
        <is>
          <t>TECH-020</t>
        </is>
      </c>
      <c r="D5316" s="53" t="inlineStr">
        <is>
          <t>Avionics</t>
        </is>
      </c>
      <c r="E5316" s="53" t="inlineStr">
        <is>
          <t>2025-03-15</t>
        </is>
      </c>
      <c r="F5316" s="53">
        <v>4.4</v>
      </c>
      <c r="G5316" s="53">
        <v>0</v>
      </c>
      <c r="H5316" s="51" t="str">
        <f>TEXT(tblLaborEntries[[#This Row],[Work date serial]]-WEEKDAY(tblLaborEntries[[#This Row],[Work date serial]],3),"yyyy-mm-dd")</f>
        <v>2025-03-10</v>
      </c>
      <c r="I5316" s="64">
        <f>DATEVALUE(tblLaborEntries[[#This Row],[Work date]])</f>
        <v>45731.0</v>
      </c>
    </row>
    <row r="5317" spans="1:9" ht="15" x14ac:dyDescent="0.25">
      <c r="A5317" s="53" t="inlineStr">
        <is>
          <t>LAB-005316</t>
        </is>
      </c>
      <c r="B5317" s="53" t="inlineStr">
        <is>
          <t>WP-02330</t>
        </is>
      </c>
      <c r="C5317" s="53" t="inlineStr">
        <is>
          <t>TECH-002</t>
        </is>
      </c>
      <c r="D5317" s="53" t="inlineStr">
        <is>
          <t>Avionics</t>
        </is>
      </c>
      <c r="E5317" s="53" t="inlineStr">
        <is>
          <t>2025-03-16</t>
        </is>
      </c>
      <c r="F5317" s="53">
        <v>2.6</v>
      </c>
      <c r="G5317" s="53">
        <v>0</v>
      </c>
      <c r="H5317" s="51" t="str">
        <f>TEXT(tblLaborEntries[[#This Row],[Work date serial]]-WEEKDAY(tblLaborEntries[[#This Row],[Work date serial]],3),"yyyy-mm-dd")</f>
        <v>2025-03-10</v>
      </c>
      <c r="I5317" s="64">
        <f>DATEVALUE(tblLaborEntries[[#This Row],[Work date]])</f>
        <v>45732.0</v>
      </c>
    </row>
    <row r="5318" spans="1:9" ht="15" x14ac:dyDescent="0.25">
      <c r="A5318" s="53" t="inlineStr">
        <is>
          <t>LAB-005317</t>
        </is>
      </c>
      <c r="B5318" s="53" t="inlineStr">
        <is>
          <t>WP-02330</t>
        </is>
      </c>
      <c r="C5318" s="53" t="inlineStr">
        <is>
          <t>TECH-008</t>
        </is>
      </c>
      <c r="D5318" s="53" t="inlineStr">
        <is>
          <t>Avionics</t>
        </is>
      </c>
      <c r="E5318" s="53" t="inlineStr">
        <is>
          <t>2025-03-16</t>
        </is>
      </c>
      <c r="F5318" s="53">
        <v>12</v>
      </c>
      <c r="G5318" s="53">
        <v>4</v>
      </c>
      <c r="H5318" s="51" t="str">
        <f>TEXT(tblLaborEntries[[#This Row],[Work date serial]]-WEEKDAY(tblLaborEntries[[#This Row],[Work date serial]],3),"yyyy-mm-dd")</f>
        <v>2025-03-10</v>
      </c>
      <c r="I5318" s="64">
        <f>DATEVALUE(tblLaborEntries[[#This Row],[Work date]])</f>
        <v>45732.0</v>
      </c>
    </row>
    <row r="5319" spans="1:9" ht="15" x14ac:dyDescent="0.25">
      <c r="A5319" s="53" t="inlineStr">
        <is>
          <t>LAB-005318</t>
        </is>
      </c>
      <c r="B5319" s="53" t="inlineStr">
        <is>
          <t>WP-02331</t>
        </is>
      </c>
      <c r="C5319" s="53" t="inlineStr">
        <is>
          <t>TECH-013</t>
        </is>
      </c>
      <c r="D5319" s="53" t="inlineStr">
        <is>
          <t>Airframe</t>
        </is>
      </c>
      <c r="E5319" s="53" t="inlineStr">
        <is>
          <t>2024-09-27</t>
        </is>
      </c>
      <c r="F5319" s="53">
        <v>1.7</v>
      </c>
      <c r="G5319" s="53">
        <v>0</v>
      </c>
      <c r="H5319" s="51" t="str">
        <f>TEXT(tblLaborEntries[[#This Row],[Work date serial]]-WEEKDAY(tblLaborEntries[[#This Row],[Work date serial]],3),"yyyy-mm-dd")</f>
        <v>2024-09-23</v>
      </c>
      <c r="I5319" s="64">
        <f>DATEVALUE(tblLaborEntries[[#This Row],[Work date]])</f>
        <v>45562.0</v>
      </c>
    </row>
    <row r="5320" spans="1:9" ht="15" x14ac:dyDescent="0.25">
      <c r="A5320" s="53" t="inlineStr">
        <is>
          <t>LAB-005319</t>
        </is>
      </c>
      <c r="B5320" s="53" t="inlineStr">
        <is>
          <t>WP-02331</t>
        </is>
      </c>
      <c r="C5320" s="53" t="inlineStr">
        <is>
          <t>TECH-061</t>
        </is>
      </c>
      <c r="D5320" s="53" t="inlineStr">
        <is>
          <t>Airframe</t>
        </is>
      </c>
      <c r="E5320" s="53" t="inlineStr">
        <is>
          <t>2024-09-28</t>
        </is>
      </c>
      <c r="F5320" s="53">
        <v>1.4</v>
      </c>
      <c r="G5320" s="53">
        <v>0</v>
      </c>
      <c r="H5320" s="51" t="str">
        <f>TEXT(tblLaborEntries[[#This Row],[Work date serial]]-WEEKDAY(tblLaborEntries[[#This Row],[Work date serial]],3),"yyyy-mm-dd")</f>
        <v>2024-09-23</v>
      </c>
      <c r="I5320" s="64">
        <f>DATEVALUE(tblLaborEntries[[#This Row],[Work date]])</f>
        <v>45563.0</v>
      </c>
    </row>
    <row r="5321" spans="1:9" ht="15" x14ac:dyDescent="0.25">
      <c r="A5321" s="53" t="inlineStr">
        <is>
          <t>LAB-005320</t>
        </is>
      </c>
      <c r="B5321" s="53" t="inlineStr">
        <is>
          <t>WP-02331</t>
        </is>
      </c>
      <c r="C5321" s="53" t="inlineStr">
        <is>
          <t>TECH-067</t>
        </is>
      </c>
      <c r="D5321" s="53" t="inlineStr">
        <is>
          <t>Airframe</t>
        </is>
      </c>
      <c r="E5321" s="53" t="inlineStr">
        <is>
          <t>2024-09-29</t>
        </is>
      </c>
      <c r="F5321" s="53">
        <v>1.8</v>
      </c>
      <c r="G5321" s="53">
        <v>0</v>
      </c>
      <c r="H5321" s="51" t="str">
        <f>TEXT(tblLaborEntries[[#This Row],[Work date serial]]-WEEKDAY(tblLaborEntries[[#This Row],[Work date serial]],3),"yyyy-mm-dd")</f>
        <v>2024-09-23</v>
      </c>
      <c r="I5321" s="64">
        <f>DATEVALUE(tblLaborEntries[[#This Row],[Work date]])</f>
        <v>45564.0</v>
      </c>
    </row>
    <row r="5322" spans="1:9" ht="15" x14ac:dyDescent="0.25">
      <c r="A5322" s="53" t="inlineStr">
        <is>
          <t>LAB-005321</t>
        </is>
      </c>
      <c r="B5322" s="53" t="inlineStr">
        <is>
          <t>WP-02332</t>
        </is>
      </c>
      <c r="C5322" s="53" t="inlineStr">
        <is>
          <t>TECH-003</t>
        </is>
      </c>
      <c r="D5322" s="53" t="inlineStr">
        <is>
          <t>Hydraulics</t>
        </is>
      </c>
      <c r="E5322" s="53" t="inlineStr">
        <is>
          <t>2024-07-26</t>
        </is>
      </c>
      <c r="F5322" s="53">
        <v>5.3</v>
      </c>
      <c r="G5322" s="53">
        <v>0</v>
      </c>
      <c r="H5322" s="51" t="str">
        <f>TEXT(tblLaborEntries[[#This Row],[Work date serial]]-WEEKDAY(tblLaborEntries[[#This Row],[Work date serial]],3),"yyyy-mm-dd")</f>
        <v>2024-07-22</v>
      </c>
      <c r="I5322" s="64">
        <f>DATEVALUE(tblLaborEntries[[#This Row],[Work date]])</f>
        <v>45499.0</v>
      </c>
    </row>
    <row r="5323" spans="1:9" ht="15" x14ac:dyDescent="0.25">
      <c r="A5323" s="53" t="inlineStr">
        <is>
          <t>LAB-005322</t>
        </is>
      </c>
      <c r="B5323" s="53" t="inlineStr">
        <is>
          <t>WP-02332</t>
        </is>
      </c>
      <c r="C5323" s="53" t="inlineStr">
        <is>
          <t>TECH-027</t>
        </is>
      </c>
      <c r="D5323" s="53" t="inlineStr">
        <is>
          <t>Hydraulics</t>
        </is>
      </c>
      <c r="E5323" s="53" t="inlineStr">
        <is>
          <t>2024-07-26</t>
        </is>
      </c>
      <c r="F5323" s="53">
        <v>12</v>
      </c>
      <c r="G5323" s="53">
        <v>4</v>
      </c>
      <c r="H5323" s="51" t="str">
        <f>TEXT(tblLaborEntries[[#This Row],[Work date serial]]-WEEKDAY(tblLaborEntries[[#This Row],[Work date serial]],3),"yyyy-mm-dd")</f>
        <v>2024-07-22</v>
      </c>
      <c r="I5323" s="64">
        <f>DATEVALUE(tblLaborEntries[[#This Row],[Work date]])</f>
        <v>45499.0</v>
      </c>
    </row>
    <row r="5324" spans="1:9" ht="15" x14ac:dyDescent="0.25">
      <c r="A5324" s="53" t="inlineStr">
        <is>
          <t>LAB-005323</t>
        </is>
      </c>
      <c r="B5324" s="53" t="inlineStr">
        <is>
          <t>WP-02333</t>
        </is>
      </c>
      <c r="C5324" s="53" t="inlineStr">
        <is>
          <t>TECH-021</t>
        </is>
      </c>
      <c r="D5324" s="53" t="inlineStr">
        <is>
          <t>Hydraulics</t>
        </is>
      </c>
      <c r="E5324" s="53" t="inlineStr">
        <is>
          <t>2024-10-30</t>
        </is>
      </c>
      <c r="F5324" s="53">
        <v>4.6</v>
      </c>
      <c r="G5324" s="53">
        <v>0</v>
      </c>
      <c r="H5324" s="51" t="str">
        <f>TEXT(tblLaborEntries[[#This Row],[Work date serial]]-WEEKDAY(tblLaborEntries[[#This Row],[Work date serial]],3),"yyyy-mm-dd")</f>
        <v>2024-10-28</v>
      </c>
      <c r="I5324" s="64">
        <f>DATEVALUE(tblLaborEntries[[#This Row],[Work date]])</f>
        <v>45595.0</v>
      </c>
    </row>
    <row r="5325" spans="1:9" ht="15" x14ac:dyDescent="0.25">
      <c r="A5325" s="53" t="inlineStr">
        <is>
          <t>LAB-005324</t>
        </is>
      </c>
      <c r="B5325" s="53" t="inlineStr">
        <is>
          <t>WP-02333</t>
        </is>
      </c>
      <c r="C5325" s="53" t="inlineStr">
        <is>
          <t>TECH-009</t>
        </is>
      </c>
      <c r="D5325" s="53" t="inlineStr">
        <is>
          <t>Hydraulics</t>
        </is>
      </c>
      <c r="E5325" s="53" t="inlineStr">
        <is>
          <t>2024-10-31</t>
        </is>
      </c>
      <c r="F5325" s="53">
        <v>3.7</v>
      </c>
      <c r="G5325" s="53">
        <v>0</v>
      </c>
      <c r="H5325" s="51" t="str">
        <f>TEXT(tblLaborEntries[[#This Row],[Work date serial]]-WEEKDAY(tblLaborEntries[[#This Row],[Work date serial]],3),"yyyy-mm-dd")</f>
        <v>2024-10-28</v>
      </c>
      <c r="I5325" s="64">
        <f>DATEVALUE(tblLaborEntries[[#This Row],[Work date]])</f>
        <v>45596.0</v>
      </c>
    </row>
    <row r="5326" spans="1:9" ht="15" x14ac:dyDescent="0.25">
      <c r="A5326" s="53" t="inlineStr">
        <is>
          <t>LAB-005325</t>
        </is>
      </c>
      <c r="B5326" s="53" t="inlineStr">
        <is>
          <t>WP-02333</t>
        </is>
      </c>
      <c r="C5326" s="53" t="inlineStr">
        <is>
          <t>TECH-027</t>
        </is>
      </c>
      <c r="D5326" s="53" t="inlineStr">
        <is>
          <t>Hydraulics</t>
        </is>
      </c>
      <c r="E5326" s="53" t="inlineStr">
        <is>
          <t>2024-11-01</t>
        </is>
      </c>
      <c r="F5326" s="53">
        <v>4.2</v>
      </c>
      <c r="G5326" s="53">
        <v>0</v>
      </c>
      <c r="H5326" s="51" t="str">
        <f>TEXT(tblLaborEntries[[#This Row],[Work date serial]]-WEEKDAY(tblLaborEntries[[#This Row],[Work date serial]],3),"yyyy-mm-dd")</f>
        <v>2024-10-28</v>
      </c>
      <c r="I5326" s="64">
        <f>DATEVALUE(tblLaborEntries[[#This Row],[Work date]])</f>
        <v>45597.0</v>
      </c>
    </row>
    <row r="5327" spans="1:9" ht="15" x14ac:dyDescent="0.25">
      <c r="A5327" s="53" t="inlineStr">
        <is>
          <t>LAB-005326</t>
        </is>
      </c>
      <c r="B5327" s="53" t="inlineStr">
        <is>
          <t>WP-02334</t>
        </is>
      </c>
      <c r="C5327" s="53" t="inlineStr">
        <is>
          <t>TECH-030</t>
        </is>
      </c>
      <c r="D5327" s="53" t="inlineStr">
        <is>
          <t>Powerplant</t>
        </is>
      </c>
      <c r="E5327" s="53" t="inlineStr">
        <is>
          <t>2025-05-21</t>
        </is>
      </c>
      <c r="F5327" s="53">
        <v>6.1</v>
      </c>
      <c r="G5327" s="53">
        <v>4</v>
      </c>
      <c r="H5327" s="51" t="str">
        <f>TEXT(tblLaborEntries[[#This Row],[Work date serial]]-WEEKDAY(tblLaborEntries[[#This Row],[Work date serial]],3),"yyyy-mm-dd")</f>
        <v>2025-05-19</v>
      </c>
      <c r="I5327" s="64">
        <f>DATEVALUE(tblLaborEntries[[#This Row],[Work date]])</f>
        <v>45798.0</v>
      </c>
    </row>
    <row r="5328" spans="1:9" ht="15" x14ac:dyDescent="0.25">
      <c r="A5328" s="53" t="inlineStr">
        <is>
          <t>LAB-005327</t>
        </is>
      </c>
      <c r="B5328" s="53" t="inlineStr">
        <is>
          <t>WP-02334</t>
        </is>
      </c>
      <c r="C5328" s="53" t="inlineStr">
        <is>
          <t>TECH-060</t>
        </is>
      </c>
      <c r="D5328" s="53" t="inlineStr">
        <is>
          <t>Powerplant</t>
        </is>
      </c>
      <c r="E5328" s="53" t="inlineStr">
        <is>
          <t>2025-05-22</t>
        </is>
      </c>
      <c r="F5328" s="53">
        <v>4.6</v>
      </c>
      <c r="G5328" s="53">
        <v>0</v>
      </c>
      <c r="H5328" s="51" t="str">
        <f>TEXT(tblLaborEntries[[#This Row],[Work date serial]]-WEEKDAY(tblLaborEntries[[#This Row],[Work date serial]],3),"yyyy-mm-dd")</f>
        <v>2025-05-19</v>
      </c>
      <c r="I5328" s="64">
        <f>DATEVALUE(tblLaborEntries[[#This Row],[Work date]])</f>
        <v>45799.0</v>
      </c>
    </row>
    <row r="5329" spans="1:9" ht="15" x14ac:dyDescent="0.25">
      <c r="A5329" s="53" t="inlineStr">
        <is>
          <t>LAB-005328</t>
        </is>
      </c>
      <c r="B5329" s="53" t="inlineStr">
        <is>
          <t>WP-02335</t>
        </is>
      </c>
      <c r="C5329" s="53" t="inlineStr">
        <is>
          <t>TECH-030</t>
        </is>
      </c>
      <c r="D5329" s="53" t="inlineStr">
        <is>
          <t>Powerplant</t>
        </is>
      </c>
      <c r="E5329" s="53" t="inlineStr">
        <is>
          <t>2025-02-17</t>
        </is>
      </c>
      <c r="F5329" s="53">
        <v>8.4</v>
      </c>
      <c r="G5329" s="53">
        <v>0.4</v>
      </c>
      <c r="H5329" s="51" t="str">
        <f>TEXT(tblLaborEntries[[#This Row],[Work date serial]]-WEEKDAY(tblLaborEntries[[#This Row],[Work date serial]],3),"yyyy-mm-dd")</f>
        <v>2025-02-17</v>
      </c>
      <c r="I5329" s="64">
        <f>DATEVALUE(tblLaborEntries[[#This Row],[Work date]])</f>
        <v>45705.0</v>
      </c>
    </row>
    <row r="5330" spans="1:9" ht="15" x14ac:dyDescent="0.25">
      <c r="A5330" s="53" t="inlineStr">
        <is>
          <t>LAB-005329</t>
        </is>
      </c>
      <c r="B5330" s="53" t="inlineStr">
        <is>
          <t>WP-02335</t>
        </is>
      </c>
      <c r="C5330" s="53" t="inlineStr">
        <is>
          <t>TECH-042</t>
        </is>
      </c>
      <c r="D5330" s="53" t="inlineStr">
        <is>
          <t>Powerplant</t>
        </is>
      </c>
      <c r="E5330" s="53" t="inlineStr">
        <is>
          <t>2025-02-18</t>
        </is>
      </c>
      <c r="F5330" s="53">
        <v>10.4</v>
      </c>
      <c r="G5330" s="53">
        <v>2.4</v>
      </c>
      <c r="H5330" s="51" t="str">
        <f>TEXT(tblLaborEntries[[#This Row],[Work date serial]]-WEEKDAY(tblLaborEntries[[#This Row],[Work date serial]],3),"yyyy-mm-dd")</f>
        <v>2025-02-17</v>
      </c>
      <c r="I5330" s="64">
        <f>DATEVALUE(tblLaborEntries[[#This Row],[Work date]])</f>
        <v>45706.0</v>
      </c>
    </row>
    <row r="5331" spans="1:9" ht="15" x14ac:dyDescent="0.25">
      <c r="A5331" s="53" t="inlineStr">
        <is>
          <t>LAB-005330</t>
        </is>
      </c>
      <c r="B5331" s="53" t="inlineStr">
        <is>
          <t>WP-02336</t>
        </is>
      </c>
      <c r="C5331" s="53" t="inlineStr">
        <is>
          <t>TECH-068</t>
        </is>
      </c>
      <c r="D5331" s="53" t="inlineStr">
        <is>
          <t>Avionics</t>
        </is>
      </c>
      <c r="E5331" s="53" t="inlineStr">
        <is>
          <t>2024-08-26</t>
        </is>
      </c>
      <c r="F5331" s="53">
        <v>4.1</v>
      </c>
      <c r="G5331" s="53">
        <v>0</v>
      </c>
      <c r="H5331" s="51" t="str">
        <f>TEXT(tblLaborEntries[[#This Row],[Work date serial]]-WEEKDAY(tblLaborEntries[[#This Row],[Work date serial]],3),"yyyy-mm-dd")</f>
        <v>2024-08-26</v>
      </c>
      <c r="I5331" s="64">
        <f>DATEVALUE(tblLaborEntries[[#This Row],[Work date]])</f>
        <v>45530.0</v>
      </c>
    </row>
    <row r="5332" spans="1:9" ht="15" x14ac:dyDescent="0.25">
      <c r="A5332" s="53" t="inlineStr">
        <is>
          <t>LAB-005331</t>
        </is>
      </c>
      <c r="B5332" s="53" t="inlineStr">
        <is>
          <t>WP-02337</t>
        </is>
      </c>
      <c r="C5332" s="53" t="inlineStr">
        <is>
          <t>TECH-001</t>
        </is>
      </c>
      <c r="D5332" s="53" t="inlineStr">
        <is>
          <t>Airframe</t>
        </is>
      </c>
      <c r="E5332" s="53" t="inlineStr">
        <is>
          <t>2025-05-25</t>
        </is>
      </c>
      <c r="F5332" s="53">
        <v>4</v>
      </c>
      <c r="G5332" s="53">
        <v>0</v>
      </c>
      <c r="H5332" s="51" t="str">
        <f>TEXT(tblLaborEntries[[#This Row],[Work date serial]]-WEEKDAY(tblLaborEntries[[#This Row],[Work date serial]],3),"yyyy-mm-dd")</f>
        <v>2025-05-19</v>
      </c>
      <c r="I5332" s="64">
        <f>DATEVALUE(tblLaborEntries[[#This Row],[Work date]])</f>
        <v>45802.0</v>
      </c>
    </row>
    <row r="5333" spans="1:9" ht="15" x14ac:dyDescent="0.25">
      <c r="A5333" s="53" t="inlineStr">
        <is>
          <t>LAB-005332</t>
        </is>
      </c>
      <c r="B5333" s="53" t="inlineStr">
        <is>
          <t>WP-02337</t>
        </is>
      </c>
      <c r="C5333" s="53" t="inlineStr">
        <is>
          <t>TECH-019</t>
        </is>
      </c>
      <c r="D5333" s="53" t="inlineStr">
        <is>
          <t>Airframe</t>
        </is>
      </c>
      <c r="E5333" s="53" t="inlineStr">
        <is>
          <t>2025-05-25</t>
        </is>
      </c>
      <c r="F5333" s="53">
        <v>12</v>
      </c>
      <c r="G5333" s="53">
        <v>4</v>
      </c>
      <c r="H5333" s="51" t="str">
        <f>TEXT(tblLaborEntries[[#This Row],[Work date serial]]-WEEKDAY(tblLaborEntries[[#This Row],[Work date serial]],3),"yyyy-mm-dd")</f>
        <v>2025-05-19</v>
      </c>
      <c r="I5333" s="64">
        <f>DATEVALUE(tblLaborEntries[[#This Row],[Work date]])</f>
        <v>45802.0</v>
      </c>
    </row>
    <row r="5334" spans="1:9" ht="15" x14ac:dyDescent="0.25">
      <c r="A5334" s="53" t="inlineStr">
        <is>
          <t>LAB-005333</t>
        </is>
      </c>
      <c r="B5334" s="53" t="inlineStr">
        <is>
          <t>WP-02338</t>
        </is>
      </c>
      <c r="C5334" s="53" t="inlineStr">
        <is>
          <t>TECH-019</t>
        </is>
      </c>
      <c r="D5334" s="53" t="inlineStr">
        <is>
          <t>Airframe</t>
        </is>
      </c>
      <c r="E5334" s="53" t="inlineStr">
        <is>
          <t>2025-05-10</t>
        </is>
      </c>
      <c r="F5334" s="53">
        <v>7.6</v>
      </c>
      <c r="G5334" s="53">
        <v>3.7</v>
      </c>
      <c r="H5334" s="51" t="str">
        <f>TEXT(tblLaborEntries[[#This Row],[Work date serial]]-WEEKDAY(tblLaborEntries[[#This Row],[Work date serial]],3),"yyyy-mm-dd")</f>
        <v>2025-05-05</v>
      </c>
      <c r="I5334" s="64">
        <f>DATEVALUE(tblLaborEntries[[#This Row],[Work date]])</f>
        <v>45787.0</v>
      </c>
    </row>
    <row r="5335" spans="1:9" ht="15" x14ac:dyDescent="0.25">
      <c r="A5335" s="53" t="inlineStr">
        <is>
          <t>LAB-005334</t>
        </is>
      </c>
      <c r="B5335" s="53" t="inlineStr">
        <is>
          <t>WP-02339</t>
        </is>
      </c>
      <c r="C5335" s="53" t="inlineStr">
        <is>
          <t>TECH-068</t>
        </is>
      </c>
      <c r="D5335" s="53" t="inlineStr">
        <is>
          <t>Avionics</t>
        </is>
      </c>
      <c r="E5335" s="53" t="inlineStr">
        <is>
          <t>2024-03-27</t>
        </is>
      </c>
      <c r="F5335" s="53">
        <v>3.1</v>
      </c>
      <c r="G5335" s="53">
        <v>0</v>
      </c>
      <c r="H5335" s="51" t="str">
        <f>TEXT(tblLaborEntries[[#This Row],[Work date serial]]-WEEKDAY(tblLaborEntries[[#This Row],[Work date serial]],3),"yyyy-mm-dd")</f>
        <v>2024-03-25</v>
      </c>
      <c r="I5335" s="64">
        <f>DATEVALUE(tblLaborEntries[[#This Row],[Work date]])</f>
        <v>45378.0</v>
      </c>
    </row>
    <row r="5336" spans="1:9" ht="15" x14ac:dyDescent="0.25">
      <c r="A5336" s="53" t="inlineStr">
        <is>
          <t>LAB-005335</t>
        </is>
      </c>
      <c r="B5336" s="53" t="inlineStr">
        <is>
          <t>WP-02339</t>
        </is>
      </c>
      <c r="C5336" s="53" t="inlineStr">
        <is>
          <t>TECH-044</t>
        </is>
      </c>
      <c r="D5336" s="53" t="inlineStr">
        <is>
          <t>Avionics</t>
        </is>
      </c>
      <c r="E5336" s="53" t="inlineStr">
        <is>
          <t>2024-03-28</t>
        </is>
      </c>
      <c r="F5336" s="53">
        <v>3.7</v>
      </c>
      <c r="G5336" s="53">
        <v>0</v>
      </c>
      <c r="H5336" s="51" t="str">
        <f>TEXT(tblLaborEntries[[#This Row],[Work date serial]]-WEEKDAY(tblLaborEntries[[#This Row],[Work date serial]],3),"yyyy-mm-dd")</f>
        <v>2024-03-25</v>
      </c>
      <c r="I5336" s="64">
        <f>DATEVALUE(tblLaborEntries[[#This Row],[Work date]])</f>
        <v>45379.0</v>
      </c>
    </row>
    <row r="5337" spans="1:9" ht="15" x14ac:dyDescent="0.25">
      <c r="A5337" s="53" t="inlineStr">
        <is>
          <t>LAB-005336</t>
        </is>
      </c>
      <c r="B5337" s="53" t="inlineStr">
        <is>
          <t>WP-02339</t>
        </is>
      </c>
      <c r="C5337" s="53" t="inlineStr">
        <is>
          <t>TECH-008</t>
        </is>
      </c>
      <c r="D5337" s="53" t="inlineStr">
        <is>
          <t>Avionics</t>
        </is>
      </c>
      <c r="E5337" s="53" t="inlineStr">
        <is>
          <t>2024-03-29</t>
        </is>
      </c>
      <c r="F5337" s="53">
        <v>3.3</v>
      </c>
      <c r="G5337" s="53">
        <v>0</v>
      </c>
      <c r="H5337" s="51" t="str">
        <f>TEXT(tblLaborEntries[[#This Row],[Work date serial]]-WEEKDAY(tblLaborEntries[[#This Row],[Work date serial]],3),"yyyy-mm-dd")</f>
        <v>2024-03-25</v>
      </c>
      <c r="I5337" s="64">
        <f>DATEVALUE(tblLaborEntries[[#This Row],[Work date]])</f>
        <v>45380.0</v>
      </c>
    </row>
    <row r="5338" spans="1:9" ht="15" x14ac:dyDescent="0.25">
      <c r="A5338" s="53" t="inlineStr">
        <is>
          <t>LAB-005337</t>
        </is>
      </c>
      <c r="B5338" s="53" t="inlineStr">
        <is>
          <t>WP-02340</t>
        </is>
      </c>
      <c r="C5338" s="53" t="inlineStr">
        <is>
          <t>TECH-068</t>
        </is>
      </c>
      <c r="D5338" s="53" t="inlineStr">
        <is>
          <t>Avionics</t>
        </is>
      </c>
      <c r="E5338" s="53" t="inlineStr">
        <is>
          <t>2025-07-25</t>
        </is>
      </c>
      <c r="F5338" s="53">
        <v>1.5</v>
      </c>
      <c r="G5338" s="53">
        <v>0</v>
      </c>
      <c r="H5338" s="51" t="str">
        <f>TEXT(tblLaborEntries[[#This Row],[Work date serial]]-WEEKDAY(tblLaborEntries[[#This Row],[Work date serial]],3),"yyyy-mm-dd")</f>
        <v>2025-07-21</v>
      </c>
      <c r="I5338" s="64">
        <f>DATEVALUE(tblLaborEntries[[#This Row],[Work date]])</f>
        <v>45863.0</v>
      </c>
    </row>
    <row r="5339" spans="1:9" ht="15" x14ac:dyDescent="0.25">
      <c r="A5339" s="53" t="inlineStr">
        <is>
          <t>LAB-005338</t>
        </is>
      </c>
      <c r="B5339" s="53" t="inlineStr">
        <is>
          <t>WP-02340</t>
        </is>
      </c>
      <c r="C5339" s="53" t="inlineStr">
        <is>
          <t>TECH-014</t>
        </is>
      </c>
      <c r="D5339" s="53" t="inlineStr">
        <is>
          <t>Avionics</t>
        </is>
      </c>
      <c r="E5339" s="53" t="inlineStr">
        <is>
          <t>2025-07-26</t>
        </is>
      </c>
      <c r="F5339" s="53">
        <v>1.1</v>
      </c>
      <c r="G5339" s="53">
        <v>0</v>
      </c>
      <c r="H5339" s="51" t="str">
        <f>TEXT(tblLaborEntries[[#This Row],[Work date serial]]-WEEKDAY(tblLaborEntries[[#This Row],[Work date serial]],3),"yyyy-mm-dd")</f>
        <v>2025-07-21</v>
      </c>
      <c r="I5339" s="64">
        <f>DATEVALUE(tblLaborEntries[[#This Row],[Work date]])</f>
        <v>45864.0</v>
      </c>
    </row>
    <row r="5340" spans="1:9" ht="15" x14ac:dyDescent="0.25">
      <c r="A5340" s="53" t="inlineStr">
        <is>
          <t>LAB-005339</t>
        </is>
      </c>
      <c r="B5340" s="53" t="inlineStr">
        <is>
          <t>WP-02340</t>
        </is>
      </c>
      <c r="C5340" s="53" t="inlineStr">
        <is>
          <t>TECH-002</t>
        </is>
      </c>
      <c r="D5340" s="53" t="inlineStr">
        <is>
          <t>Avionics</t>
        </is>
      </c>
      <c r="E5340" s="53" t="inlineStr">
        <is>
          <t>2025-07-27</t>
        </is>
      </c>
      <c r="F5340" s="53">
        <v>1.2</v>
      </c>
      <c r="G5340" s="53">
        <v>0</v>
      </c>
      <c r="H5340" s="51" t="str">
        <f>TEXT(tblLaborEntries[[#This Row],[Work date serial]]-WEEKDAY(tblLaborEntries[[#This Row],[Work date serial]],3),"yyyy-mm-dd")</f>
        <v>2025-07-21</v>
      </c>
      <c r="I5340" s="64">
        <f>DATEVALUE(tblLaborEntries[[#This Row],[Work date]])</f>
        <v>45865.0</v>
      </c>
    </row>
    <row r="5341" spans="1:9" ht="15" x14ac:dyDescent="0.25">
      <c r="A5341" s="53" t="inlineStr">
        <is>
          <t>LAB-005340</t>
        </is>
      </c>
      <c r="B5341" s="53" t="inlineStr">
        <is>
          <t>WP-02341</t>
        </is>
      </c>
      <c r="C5341" s="53" t="inlineStr">
        <is>
          <t>TECH-019</t>
        </is>
      </c>
      <c r="D5341" s="53" t="inlineStr">
        <is>
          <t>Airframe</t>
        </is>
      </c>
      <c r="E5341" s="53" t="inlineStr">
        <is>
          <t>2024-07-15</t>
        </is>
      </c>
      <c r="F5341" s="53">
        <v>9.1</v>
      </c>
      <c r="G5341" s="53">
        <v>1.1</v>
      </c>
      <c r="H5341" s="51" t="str">
        <f>TEXT(tblLaborEntries[[#This Row],[Work date serial]]-WEEKDAY(tblLaborEntries[[#This Row],[Work date serial]],3),"yyyy-mm-dd")</f>
        <v>2024-07-15</v>
      </c>
      <c r="I5341" s="64">
        <f>DATEVALUE(tblLaborEntries[[#This Row],[Work date]])</f>
        <v>45488.0</v>
      </c>
    </row>
    <row r="5342" spans="1:9" ht="15" x14ac:dyDescent="0.25">
      <c r="A5342" s="53" t="inlineStr">
        <is>
          <t>LAB-005341</t>
        </is>
      </c>
      <c r="B5342" s="53" t="inlineStr">
        <is>
          <t>WP-02342</t>
        </is>
      </c>
      <c r="C5342" s="53" t="inlineStr">
        <is>
          <t>TECH-056</t>
        </is>
      </c>
      <c r="D5342" s="53" t="inlineStr">
        <is>
          <t>Avionics</t>
        </is>
      </c>
      <c r="E5342" s="53" t="inlineStr">
        <is>
          <t>2024-01-30</t>
        </is>
      </c>
      <c r="F5342" s="53">
        <v>2.3</v>
      </c>
      <c r="G5342" s="53">
        <v>0</v>
      </c>
      <c r="H5342" s="51" t="str">
        <f>TEXT(tblLaborEntries[[#This Row],[Work date serial]]-WEEKDAY(tblLaborEntries[[#This Row],[Work date serial]],3),"yyyy-mm-dd")</f>
        <v>2024-01-29</v>
      </c>
      <c r="I5342" s="64">
        <f>DATEVALUE(tblLaborEntries[[#This Row],[Work date]])</f>
        <v>45321.0</v>
      </c>
    </row>
    <row r="5343" spans="1:9" ht="15" x14ac:dyDescent="0.25">
      <c r="A5343" s="53" t="inlineStr">
        <is>
          <t>LAB-005342</t>
        </is>
      </c>
      <c r="B5343" s="53" t="inlineStr">
        <is>
          <t>WP-02343</t>
        </is>
      </c>
      <c r="C5343" s="53" t="inlineStr">
        <is>
          <t>TECH-068</t>
        </is>
      </c>
      <c r="D5343" s="53" t="inlineStr">
        <is>
          <t>Avionics</t>
        </is>
      </c>
      <c r="E5343" s="53" t="inlineStr">
        <is>
          <t>2025-03-20</t>
        </is>
      </c>
      <c r="F5343" s="53">
        <v>4</v>
      </c>
      <c r="G5343" s="53">
        <v>0</v>
      </c>
      <c r="H5343" s="51" t="str">
        <f>TEXT(tblLaborEntries[[#This Row],[Work date serial]]-WEEKDAY(tblLaborEntries[[#This Row],[Work date serial]],3),"yyyy-mm-dd")</f>
        <v>2025-03-17</v>
      </c>
      <c r="I5343" s="64">
        <f>DATEVALUE(tblLaborEntries[[#This Row],[Work date]])</f>
        <v>45736.0</v>
      </c>
    </row>
    <row r="5344" spans="1:9" ht="15" x14ac:dyDescent="0.25">
      <c r="A5344" s="53" t="inlineStr">
        <is>
          <t>LAB-005343</t>
        </is>
      </c>
      <c r="B5344" s="53" t="inlineStr">
        <is>
          <t>WP-02343</t>
        </is>
      </c>
      <c r="C5344" s="53" t="inlineStr">
        <is>
          <t>TECH-020</t>
        </is>
      </c>
      <c r="D5344" s="53" t="inlineStr">
        <is>
          <t>Avionics</t>
        </is>
      </c>
      <c r="E5344" s="53" t="inlineStr">
        <is>
          <t>2025-03-21</t>
        </is>
      </c>
      <c r="F5344" s="53">
        <v>2.8</v>
      </c>
      <c r="G5344" s="53">
        <v>0</v>
      </c>
      <c r="H5344" s="51" t="str">
        <f>TEXT(tblLaborEntries[[#This Row],[Work date serial]]-WEEKDAY(tblLaborEntries[[#This Row],[Work date serial]],3),"yyyy-mm-dd")</f>
        <v>2025-03-17</v>
      </c>
      <c r="I5344" s="64">
        <f>DATEVALUE(tblLaborEntries[[#This Row],[Work date]])</f>
        <v>45737.0</v>
      </c>
    </row>
    <row r="5345" spans="1:9" ht="15" x14ac:dyDescent="0.25">
      <c r="A5345" s="53" t="inlineStr">
        <is>
          <t>LAB-005344</t>
        </is>
      </c>
      <c r="B5345" s="53" t="inlineStr">
        <is>
          <t>WP-02344</t>
        </is>
      </c>
      <c r="C5345" s="53" t="inlineStr">
        <is>
          <t>TECH-073</t>
        </is>
      </c>
      <c r="D5345" s="53" t="inlineStr">
        <is>
          <t>Airframe</t>
        </is>
      </c>
      <c r="E5345" s="53" t="inlineStr">
        <is>
          <t>2024-03-27</t>
        </is>
      </c>
      <c r="F5345" s="53">
        <v>7.2</v>
      </c>
      <c r="G5345" s="53">
        <v>0</v>
      </c>
      <c r="H5345" s="51" t="str">
        <f>TEXT(tblLaborEntries[[#This Row],[Work date serial]]-WEEKDAY(tblLaborEntries[[#This Row],[Work date serial]],3),"yyyy-mm-dd")</f>
        <v>2024-03-25</v>
      </c>
      <c r="I5345" s="64">
        <f>DATEVALUE(tblLaborEntries[[#This Row],[Work date]])</f>
        <v>45378.0</v>
      </c>
    </row>
    <row r="5346" spans="1:9" ht="15" x14ac:dyDescent="0.25">
      <c r="A5346" s="53" t="inlineStr">
        <is>
          <t>LAB-005345</t>
        </is>
      </c>
      <c r="B5346" s="53" t="inlineStr">
        <is>
          <t>WP-02344</t>
        </is>
      </c>
      <c r="C5346" s="53" t="inlineStr">
        <is>
          <t>TECH-043</t>
        </is>
      </c>
      <c r="D5346" s="53" t="inlineStr">
        <is>
          <t>Airframe</t>
        </is>
      </c>
      <c r="E5346" s="53" t="inlineStr">
        <is>
          <t>2024-03-28</t>
        </is>
      </c>
      <c r="F5346" s="53">
        <v>6.2</v>
      </c>
      <c r="G5346" s="53">
        <v>0</v>
      </c>
      <c r="H5346" s="51" t="str">
        <f>TEXT(tblLaborEntries[[#This Row],[Work date serial]]-WEEKDAY(tblLaborEntries[[#This Row],[Work date serial]],3),"yyyy-mm-dd")</f>
        <v>2024-03-25</v>
      </c>
      <c r="I5346" s="64">
        <f>DATEVALUE(tblLaborEntries[[#This Row],[Work date]])</f>
        <v>45379.0</v>
      </c>
    </row>
    <row r="5347" spans="1:9" ht="15" x14ac:dyDescent="0.25">
      <c r="A5347" s="53" t="inlineStr">
        <is>
          <t>LAB-005346</t>
        </is>
      </c>
      <c r="B5347" s="53" t="inlineStr">
        <is>
          <t>WP-02345</t>
        </is>
      </c>
      <c r="C5347" s="53" t="inlineStr">
        <is>
          <t>TECH-006</t>
        </is>
      </c>
      <c r="D5347" s="53" t="inlineStr">
        <is>
          <t>Powerplant</t>
        </is>
      </c>
      <c r="E5347" s="53" t="inlineStr">
        <is>
          <t>2024-08-15</t>
        </is>
      </c>
      <c r="F5347" s="53">
        <v>1.3</v>
      </c>
      <c r="G5347" s="53">
        <v>0</v>
      </c>
      <c r="H5347" s="51" t="str">
        <f>TEXT(tblLaborEntries[[#This Row],[Work date serial]]-WEEKDAY(tblLaborEntries[[#This Row],[Work date serial]],3),"yyyy-mm-dd")</f>
        <v>2024-08-12</v>
      </c>
      <c r="I5347" s="64">
        <f>DATEVALUE(tblLaborEntries[[#This Row],[Work date]])</f>
        <v>45519.0</v>
      </c>
    </row>
    <row r="5348" spans="1:9" ht="15" x14ac:dyDescent="0.25">
      <c r="A5348" s="53" t="inlineStr">
        <is>
          <t>LAB-005347</t>
        </is>
      </c>
      <c r="B5348" s="53" t="inlineStr">
        <is>
          <t>WP-02345</t>
        </is>
      </c>
      <c r="C5348" s="53" t="inlineStr">
        <is>
          <t>TECH-012</t>
        </is>
      </c>
      <c r="D5348" s="53" t="inlineStr">
        <is>
          <t>Powerplant</t>
        </is>
      </c>
      <c r="E5348" s="53" t="inlineStr">
        <is>
          <t>2024-08-15</t>
        </is>
      </c>
      <c r="F5348" s="53">
        <v>12</v>
      </c>
      <c r="G5348" s="53">
        <v>4</v>
      </c>
      <c r="H5348" s="51" t="str">
        <f>TEXT(tblLaborEntries[[#This Row],[Work date serial]]-WEEKDAY(tblLaborEntries[[#This Row],[Work date serial]],3),"yyyy-mm-dd")</f>
        <v>2024-08-12</v>
      </c>
      <c r="I5348" s="64">
        <f>DATEVALUE(tblLaborEntries[[#This Row],[Work date]])</f>
        <v>45519.0</v>
      </c>
    </row>
    <row r="5349" spans="1:9" ht="15" x14ac:dyDescent="0.25">
      <c r="A5349" s="53" t="inlineStr">
        <is>
          <t>LAB-005348</t>
        </is>
      </c>
      <c r="B5349" s="53" t="inlineStr">
        <is>
          <t>WP-02346</t>
        </is>
      </c>
      <c r="C5349" s="53" t="inlineStr">
        <is>
          <t>TECH-065</t>
        </is>
      </c>
      <c r="D5349" s="53" t="inlineStr">
        <is>
          <t>Structures</t>
        </is>
      </c>
      <c r="E5349" s="53" t="inlineStr">
        <is>
          <t>2025-10-11</t>
        </is>
      </c>
      <c r="F5349" s="53">
        <v>12</v>
      </c>
      <c r="G5349" s="53">
        <v>4</v>
      </c>
      <c r="H5349" s="51" t="str">
        <f>TEXT(tblLaborEntries[[#This Row],[Work date serial]]-WEEKDAY(tblLaborEntries[[#This Row],[Work date serial]],3),"yyyy-mm-dd")</f>
        <v>2025-10-06</v>
      </c>
      <c r="I5349" s="64">
        <f>DATEVALUE(tblLaborEntries[[#This Row],[Work date]])</f>
        <v>45941.0</v>
      </c>
    </row>
    <row r="5350" spans="1:9" ht="15" x14ac:dyDescent="0.25">
      <c r="A5350" s="53" t="inlineStr">
        <is>
          <t>LAB-005349</t>
        </is>
      </c>
      <c r="B5350" s="53" t="inlineStr">
        <is>
          <t>WP-02346</t>
        </is>
      </c>
      <c r="C5350" s="53" t="inlineStr">
        <is>
          <t>TECH-005</t>
        </is>
      </c>
      <c r="D5350" s="53" t="inlineStr">
        <is>
          <t>Structures</t>
        </is>
      </c>
      <c r="E5350" s="53" t="inlineStr">
        <is>
          <t>2025-10-12</t>
        </is>
      </c>
      <c r="F5350" s="53">
        <v>1.5</v>
      </c>
      <c r="G5350" s="53">
        <v>0</v>
      </c>
      <c r="H5350" s="51" t="str">
        <f>TEXT(tblLaborEntries[[#This Row],[Work date serial]]-WEEKDAY(tblLaborEntries[[#This Row],[Work date serial]],3),"yyyy-mm-dd")</f>
        <v>2025-10-06</v>
      </c>
      <c r="I5350" s="64">
        <f>DATEVALUE(tblLaborEntries[[#This Row],[Work date]])</f>
        <v>45942.0</v>
      </c>
    </row>
    <row r="5351" spans="1:9" ht="15" x14ac:dyDescent="0.25">
      <c r="A5351" s="53" t="inlineStr">
        <is>
          <t>LAB-005350</t>
        </is>
      </c>
      <c r="B5351" s="53" t="inlineStr">
        <is>
          <t>WP-02346</t>
        </is>
      </c>
      <c r="C5351" s="53" t="inlineStr">
        <is>
          <t>TECH-059</t>
        </is>
      </c>
      <c r="D5351" s="53" t="inlineStr">
        <is>
          <t>Structures</t>
        </is>
      </c>
      <c r="E5351" s="53" t="inlineStr">
        <is>
          <t>2025-10-12</t>
        </is>
      </c>
      <c r="F5351" s="53">
        <v>12</v>
      </c>
      <c r="G5351" s="53">
        <v>4</v>
      </c>
      <c r="H5351" s="51" t="str">
        <f>TEXT(tblLaborEntries[[#This Row],[Work date serial]]-WEEKDAY(tblLaborEntries[[#This Row],[Work date serial]],3),"yyyy-mm-dd")</f>
        <v>2025-10-06</v>
      </c>
      <c r="I5351" s="64">
        <f>DATEVALUE(tblLaborEntries[[#This Row],[Work date]])</f>
        <v>45942.0</v>
      </c>
    </row>
    <row r="5352" spans="1:9" ht="15" x14ac:dyDescent="0.25">
      <c r="A5352" s="53" t="inlineStr">
        <is>
          <t>LAB-005351</t>
        </is>
      </c>
      <c r="B5352" s="53" t="inlineStr">
        <is>
          <t>WP-02346</t>
        </is>
      </c>
      <c r="C5352" s="53" t="inlineStr">
        <is>
          <t>TECH-065</t>
        </is>
      </c>
      <c r="D5352" s="53" t="inlineStr">
        <is>
          <t>Structures</t>
        </is>
      </c>
      <c r="E5352" s="53" t="inlineStr">
        <is>
          <t>2025-10-13</t>
        </is>
      </c>
      <c r="F5352" s="53">
        <v>10.3</v>
      </c>
      <c r="G5352" s="53">
        <v>2.3</v>
      </c>
      <c r="H5352" s="51" t="str">
        <f>TEXT(tblLaborEntries[[#This Row],[Work date serial]]-WEEKDAY(tblLaborEntries[[#This Row],[Work date serial]],3),"yyyy-mm-dd")</f>
        <v>2025-10-13</v>
      </c>
      <c r="I5352" s="64">
        <f>DATEVALUE(tblLaborEntries[[#This Row],[Work date]])</f>
        <v>45943.0</v>
      </c>
    </row>
    <row r="5353" spans="1:9" ht="15" x14ac:dyDescent="0.25">
      <c r="A5353" s="53" t="inlineStr">
        <is>
          <t>LAB-005352</t>
        </is>
      </c>
      <c r="B5353" s="53" t="inlineStr">
        <is>
          <t>WP-02347</t>
        </is>
      </c>
      <c r="C5353" s="53" t="inlineStr">
        <is>
          <t>TECH-013</t>
        </is>
      </c>
      <c r="D5353" s="53" t="inlineStr">
        <is>
          <t>Airframe</t>
        </is>
      </c>
      <c r="E5353" s="53" t="inlineStr">
        <is>
          <t>2025-03-17</t>
        </is>
      </c>
      <c r="F5353" s="53">
        <v>4.4</v>
      </c>
      <c r="G5353" s="53">
        <v>0</v>
      </c>
      <c r="H5353" s="51" t="str">
        <f>TEXT(tblLaborEntries[[#This Row],[Work date serial]]-WEEKDAY(tblLaborEntries[[#This Row],[Work date serial]],3),"yyyy-mm-dd")</f>
        <v>2025-03-17</v>
      </c>
      <c r="I5353" s="64">
        <f>DATEVALUE(tblLaborEntries[[#This Row],[Work date]])</f>
        <v>45733.0</v>
      </c>
    </row>
    <row r="5354" spans="1:9" ht="15" x14ac:dyDescent="0.25">
      <c r="A5354" s="53" t="inlineStr">
        <is>
          <t>LAB-005353</t>
        </is>
      </c>
      <c r="B5354" s="53" t="inlineStr">
        <is>
          <t>WP-02347</t>
        </is>
      </c>
      <c r="C5354" s="53" t="inlineStr">
        <is>
          <t>TECH-019</t>
        </is>
      </c>
      <c r="D5354" s="53" t="inlineStr">
        <is>
          <t>Airframe</t>
        </is>
      </c>
      <c r="E5354" s="53" t="inlineStr">
        <is>
          <t>2025-03-18</t>
        </is>
      </c>
      <c r="F5354" s="53">
        <v>5</v>
      </c>
      <c r="G5354" s="53">
        <v>0</v>
      </c>
      <c r="H5354" s="51" t="str">
        <f>TEXT(tblLaborEntries[[#This Row],[Work date serial]]-WEEKDAY(tblLaborEntries[[#This Row],[Work date serial]],3),"yyyy-mm-dd")</f>
        <v>2025-03-17</v>
      </c>
      <c r="I5354" s="64">
        <f>DATEVALUE(tblLaborEntries[[#This Row],[Work date]])</f>
        <v>45734.0</v>
      </c>
    </row>
    <row r="5355" spans="1:9" ht="15" x14ac:dyDescent="0.25">
      <c r="A5355" s="53" t="inlineStr">
        <is>
          <t>LAB-005354</t>
        </is>
      </c>
      <c r="B5355" s="53" t="inlineStr">
        <is>
          <t>WP-02347</t>
        </is>
      </c>
      <c r="C5355" s="53" t="inlineStr">
        <is>
          <t>TECH-043</t>
        </is>
      </c>
      <c r="D5355" s="53" t="inlineStr">
        <is>
          <t>Airframe</t>
        </is>
      </c>
      <c r="E5355" s="53" t="inlineStr">
        <is>
          <t>2025-03-19</t>
        </is>
      </c>
      <c r="F5355" s="53">
        <v>4.1</v>
      </c>
      <c r="G5355" s="53">
        <v>0</v>
      </c>
      <c r="H5355" s="51" t="str">
        <f>TEXT(tblLaborEntries[[#This Row],[Work date serial]]-WEEKDAY(tblLaborEntries[[#This Row],[Work date serial]],3),"yyyy-mm-dd")</f>
        <v>2025-03-17</v>
      </c>
      <c r="I5355" s="64">
        <f>DATEVALUE(tblLaborEntries[[#This Row],[Work date]])</f>
        <v>45735.0</v>
      </c>
    </row>
    <row r="5356" spans="1:9" ht="15" x14ac:dyDescent="0.25">
      <c r="A5356" s="53" t="inlineStr">
        <is>
          <t>LAB-005355</t>
        </is>
      </c>
      <c r="B5356" s="53" t="inlineStr">
        <is>
          <t>WP-02348</t>
        </is>
      </c>
      <c r="C5356" s="53" t="inlineStr">
        <is>
          <t>TECH-032</t>
        </is>
      </c>
      <c r="D5356" s="53" t="inlineStr">
        <is>
          <t>Avionics</t>
        </is>
      </c>
      <c r="E5356" s="53" t="inlineStr">
        <is>
          <t>2024-11-09</t>
        </is>
      </c>
      <c r="F5356" s="53">
        <v>6.4</v>
      </c>
      <c r="G5356" s="53">
        <v>0</v>
      </c>
      <c r="H5356" s="51" t="str">
        <f>TEXT(tblLaborEntries[[#This Row],[Work date serial]]-WEEKDAY(tblLaborEntries[[#This Row],[Work date serial]],3),"yyyy-mm-dd")</f>
        <v>2024-11-04</v>
      </c>
      <c r="I5356" s="64">
        <f>DATEVALUE(tblLaborEntries[[#This Row],[Work date]])</f>
        <v>45605.0</v>
      </c>
    </row>
    <row r="5357" spans="1:9" ht="15" x14ac:dyDescent="0.25">
      <c r="A5357" s="53" t="inlineStr">
        <is>
          <t>LAB-005356</t>
        </is>
      </c>
      <c r="B5357" s="53" t="inlineStr">
        <is>
          <t>WP-02348</t>
        </is>
      </c>
      <c r="C5357" s="53" t="inlineStr">
        <is>
          <t>TECH-044</t>
        </is>
      </c>
      <c r="D5357" s="53" t="inlineStr">
        <is>
          <t>Avionics</t>
        </is>
      </c>
      <c r="E5357" s="53" t="inlineStr">
        <is>
          <t>2024-11-10</t>
        </is>
      </c>
      <c r="F5357" s="53">
        <v>5.3</v>
      </c>
      <c r="G5357" s="53">
        <v>0</v>
      </c>
      <c r="H5357" s="51" t="str">
        <f>TEXT(tblLaborEntries[[#This Row],[Work date serial]]-WEEKDAY(tblLaborEntries[[#This Row],[Work date serial]],3),"yyyy-mm-dd")</f>
        <v>2024-11-04</v>
      </c>
      <c r="I5357" s="64">
        <f>DATEVALUE(tblLaborEntries[[#This Row],[Work date]])</f>
        <v>45606.0</v>
      </c>
    </row>
    <row r="5358" spans="1:9" ht="15" x14ac:dyDescent="0.25">
      <c r="A5358" s="53" t="inlineStr">
        <is>
          <t>LAB-005357</t>
        </is>
      </c>
      <c r="B5358" s="53" t="inlineStr">
        <is>
          <t>WP-02349</t>
        </is>
      </c>
      <c r="C5358" s="53" t="inlineStr">
        <is>
          <t>TECH-050</t>
        </is>
      </c>
      <c r="D5358" s="53" t="inlineStr">
        <is>
          <t>Avionics</t>
        </is>
      </c>
      <c r="E5358" s="53" t="inlineStr">
        <is>
          <t>2024-07-22</t>
        </is>
      </c>
      <c r="F5358" s="53">
        <v>4.8</v>
      </c>
      <c r="G5358" s="53">
        <v>0</v>
      </c>
      <c r="H5358" s="51" t="str">
        <f>TEXT(tblLaborEntries[[#This Row],[Work date serial]]-WEEKDAY(tblLaborEntries[[#This Row],[Work date serial]],3),"yyyy-mm-dd")</f>
        <v>2024-07-22</v>
      </c>
      <c r="I5358" s="64">
        <f>DATEVALUE(tblLaborEntries[[#This Row],[Work date]])</f>
        <v>45495.0</v>
      </c>
    </row>
    <row r="5359" spans="1:9" ht="15" x14ac:dyDescent="0.25">
      <c r="A5359" s="53" t="inlineStr">
        <is>
          <t>LAB-005358</t>
        </is>
      </c>
      <c r="B5359" s="53" t="inlineStr">
        <is>
          <t>WP-02349</t>
        </is>
      </c>
      <c r="C5359" s="53" t="inlineStr">
        <is>
          <t>TECH-056</t>
        </is>
      </c>
      <c r="D5359" s="53" t="inlineStr">
        <is>
          <t>Avionics</t>
        </is>
      </c>
      <c r="E5359" s="53" t="inlineStr">
        <is>
          <t>2024-07-23</t>
        </is>
      </c>
      <c r="F5359" s="53">
        <v>5</v>
      </c>
      <c r="G5359" s="53">
        <v>0</v>
      </c>
      <c r="H5359" s="51" t="str">
        <f>TEXT(tblLaborEntries[[#This Row],[Work date serial]]-WEEKDAY(tblLaborEntries[[#This Row],[Work date serial]],3),"yyyy-mm-dd")</f>
        <v>2024-07-22</v>
      </c>
      <c r="I5359" s="64">
        <f>DATEVALUE(tblLaborEntries[[#This Row],[Work date]])</f>
        <v>45496.0</v>
      </c>
    </row>
    <row r="5360" spans="1:9" ht="15" x14ac:dyDescent="0.25">
      <c r="A5360" s="53" t="inlineStr">
        <is>
          <t>LAB-005359</t>
        </is>
      </c>
      <c r="B5360" s="53" t="inlineStr">
        <is>
          <t>WP-02350</t>
        </is>
      </c>
      <c r="C5360" s="53" t="inlineStr">
        <is>
          <t>TECH-036</t>
        </is>
      </c>
      <c r="D5360" s="53" t="inlineStr">
        <is>
          <t>Powerplant</t>
        </is>
      </c>
      <c r="E5360" s="53" t="inlineStr">
        <is>
          <t>2025-08-06</t>
        </is>
      </c>
      <c r="F5360" s="53">
        <v>6.9</v>
      </c>
      <c r="G5360" s="53">
        <v>0</v>
      </c>
      <c r="H5360" s="51" t="str">
        <f>TEXT(tblLaborEntries[[#This Row],[Work date serial]]-WEEKDAY(tblLaborEntries[[#This Row],[Work date serial]],3),"yyyy-mm-dd")</f>
        <v>2025-08-04</v>
      </c>
      <c r="I5360" s="64">
        <f>DATEVALUE(tblLaborEntries[[#This Row],[Work date]])</f>
        <v>45875.0</v>
      </c>
    </row>
    <row r="5361" spans="1:9" ht="15" x14ac:dyDescent="0.25">
      <c r="A5361" s="53" t="inlineStr">
        <is>
          <t>LAB-005360</t>
        </is>
      </c>
      <c r="B5361" s="53" t="inlineStr">
        <is>
          <t>WP-02350</t>
        </is>
      </c>
      <c r="C5361" s="53" t="inlineStr">
        <is>
          <t>TECH-024</t>
        </is>
      </c>
      <c r="D5361" s="53" t="inlineStr">
        <is>
          <t>Powerplant</t>
        </is>
      </c>
      <c r="E5361" s="53" t="inlineStr">
        <is>
          <t>2025-08-07</t>
        </is>
      </c>
      <c r="F5361" s="53">
        <v>4.9</v>
      </c>
      <c r="G5361" s="53">
        <v>0</v>
      </c>
      <c r="H5361" s="51" t="str">
        <f>TEXT(tblLaborEntries[[#This Row],[Work date serial]]-WEEKDAY(tblLaborEntries[[#This Row],[Work date serial]],3),"yyyy-mm-dd")</f>
        <v>2025-08-04</v>
      </c>
      <c r="I5361" s="64">
        <f>DATEVALUE(tblLaborEntries[[#This Row],[Work date]])</f>
        <v>45876.0</v>
      </c>
    </row>
    <row r="5362" spans="1:9" ht="15" x14ac:dyDescent="0.25">
      <c r="A5362" s="53" t="inlineStr">
        <is>
          <t>LAB-005361</t>
        </is>
      </c>
      <c r="B5362" s="53" t="inlineStr">
        <is>
          <t>WP-02350</t>
        </is>
      </c>
      <c r="C5362" s="53" t="inlineStr">
        <is>
          <t>TECH-054</t>
        </is>
      </c>
      <c r="D5362" s="53" t="inlineStr">
        <is>
          <t>Powerplant</t>
        </is>
      </c>
      <c r="E5362" s="53" t="inlineStr">
        <is>
          <t>2025-08-08</t>
        </is>
      </c>
      <c r="F5362" s="53">
        <v>6.9</v>
      </c>
      <c r="G5362" s="53">
        <v>0</v>
      </c>
      <c r="H5362" s="51" t="str">
        <f>TEXT(tblLaborEntries[[#This Row],[Work date serial]]-WEEKDAY(tblLaborEntries[[#This Row],[Work date serial]],3),"yyyy-mm-dd")</f>
        <v>2025-08-04</v>
      </c>
      <c r="I5362" s="64">
        <f>DATEVALUE(tblLaborEntries[[#This Row],[Work date]])</f>
        <v>45877.0</v>
      </c>
    </row>
    <row r="5363" spans="1:9" ht="15" x14ac:dyDescent="0.25">
      <c r="A5363" s="53" t="inlineStr">
        <is>
          <t>LAB-005362</t>
        </is>
      </c>
      <c r="B5363" s="53" t="inlineStr">
        <is>
          <t>WP-02351</t>
        </is>
      </c>
      <c r="C5363" s="53" t="inlineStr">
        <is>
          <t>TECH-035</t>
        </is>
      </c>
      <c r="D5363" s="53" t="inlineStr">
        <is>
          <t>Structures</t>
        </is>
      </c>
      <c r="E5363" s="53" t="inlineStr">
        <is>
          <t>2025-06-28</t>
        </is>
      </c>
      <c r="F5363" s="53">
        <v>9.9</v>
      </c>
      <c r="G5363" s="53">
        <v>1.9</v>
      </c>
      <c r="H5363" s="51" t="str">
        <f>TEXT(tblLaborEntries[[#This Row],[Work date serial]]-WEEKDAY(tblLaborEntries[[#This Row],[Work date serial]],3),"yyyy-mm-dd")</f>
        <v>2025-06-23</v>
      </c>
      <c r="I5363" s="64">
        <f>DATEVALUE(tblLaborEntries[[#This Row],[Work date]])</f>
        <v>45836.0</v>
      </c>
    </row>
    <row r="5364" spans="1:9" ht="15" x14ac:dyDescent="0.25">
      <c r="A5364" s="53" t="inlineStr">
        <is>
          <t>LAB-005363</t>
        </is>
      </c>
      <c r="B5364" s="53" t="inlineStr">
        <is>
          <t>WP-02351</t>
        </is>
      </c>
      <c r="C5364" s="53" t="inlineStr">
        <is>
          <t>TECH-005</t>
        </is>
      </c>
      <c r="D5364" s="53" t="inlineStr">
        <is>
          <t>Structures</t>
        </is>
      </c>
      <c r="E5364" s="53" t="inlineStr">
        <is>
          <t>2025-06-29</t>
        </is>
      </c>
      <c r="F5364" s="53">
        <v>1.9</v>
      </c>
      <c r="G5364" s="53">
        <v>0</v>
      </c>
      <c r="H5364" s="51" t="str">
        <f>TEXT(tblLaborEntries[[#This Row],[Work date serial]]-WEEKDAY(tblLaborEntries[[#This Row],[Work date serial]],3),"yyyy-mm-dd")</f>
        <v>2025-06-23</v>
      </c>
      <c r="I5364" s="64">
        <f>DATEVALUE(tblLaborEntries[[#This Row],[Work date]])</f>
        <v>45837.0</v>
      </c>
    </row>
    <row r="5365" spans="1:9" ht="15" x14ac:dyDescent="0.25">
      <c r="A5365" s="53" t="inlineStr">
        <is>
          <t>LAB-005364</t>
        </is>
      </c>
      <c r="B5365" s="53" t="inlineStr">
        <is>
          <t>WP-02351</t>
        </is>
      </c>
      <c r="C5365" s="53" t="inlineStr">
        <is>
          <t>TECH-041</t>
        </is>
      </c>
      <c r="D5365" s="53" t="inlineStr">
        <is>
          <t>Structures</t>
        </is>
      </c>
      <c r="E5365" s="53" t="inlineStr">
        <is>
          <t>2025-06-29</t>
        </is>
      </c>
      <c r="F5365" s="53">
        <v>12</v>
      </c>
      <c r="G5365" s="53">
        <v>4</v>
      </c>
      <c r="H5365" s="51" t="str">
        <f>TEXT(tblLaborEntries[[#This Row],[Work date serial]]-WEEKDAY(tblLaborEntries[[#This Row],[Work date serial]],3),"yyyy-mm-dd")</f>
        <v>2025-06-23</v>
      </c>
      <c r="I5365" s="64">
        <f>DATEVALUE(tblLaborEntries[[#This Row],[Work date]])</f>
        <v>45837.0</v>
      </c>
    </row>
    <row r="5366" spans="1:9" ht="15" x14ac:dyDescent="0.25">
      <c r="A5366" s="53" t="inlineStr">
        <is>
          <t>LAB-005365</t>
        </is>
      </c>
      <c r="B5366" s="53" t="inlineStr">
        <is>
          <t>WP-02352</t>
        </is>
      </c>
      <c r="C5366" s="53" t="inlineStr">
        <is>
          <t>TECH-002</t>
        </is>
      </c>
      <c r="D5366" s="53" t="inlineStr">
        <is>
          <t>Avionics</t>
        </is>
      </c>
      <c r="E5366" s="53" t="inlineStr">
        <is>
          <t>2025-11-12</t>
        </is>
      </c>
      <c r="F5366" s="53">
        <v>6.9</v>
      </c>
      <c r="G5366" s="53">
        <v>0</v>
      </c>
      <c r="H5366" s="51" t="str">
        <f>TEXT(tblLaborEntries[[#This Row],[Work date serial]]-WEEKDAY(tblLaborEntries[[#This Row],[Work date serial]],3),"yyyy-mm-dd")</f>
        <v>2025-11-10</v>
      </c>
      <c r="I5366" s="64">
        <f>DATEVALUE(tblLaborEntries[[#This Row],[Work date]])</f>
        <v>45973.0</v>
      </c>
    </row>
    <row r="5367" spans="1:9" ht="15" x14ac:dyDescent="0.25">
      <c r="A5367" s="53" t="inlineStr">
        <is>
          <t>LAB-005366</t>
        </is>
      </c>
      <c r="B5367" s="53" t="inlineStr">
        <is>
          <t>WP-02352</t>
        </is>
      </c>
      <c r="C5367" s="53" t="inlineStr">
        <is>
          <t>TECH-014</t>
        </is>
      </c>
      <c r="D5367" s="53" t="inlineStr">
        <is>
          <t>Avionics</t>
        </is>
      </c>
      <c r="E5367" s="53" t="inlineStr">
        <is>
          <t>2025-11-13</t>
        </is>
      </c>
      <c r="F5367" s="53">
        <v>5.9</v>
      </c>
      <c r="G5367" s="53">
        <v>0</v>
      </c>
      <c r="H5367" s="51" t="str">
        <f>TEXT(tblLaborEntries[[#This Row],[Work date serial]]-WEEKDAY(tblLaborEntries[[#This Row],[Work date serial]],3),"yyyy-mm-dd")</f>
        <v>2025-11-10</v>
      </c>
      <c r="I5367" s="64">
        <f>DATEVALUE(tblLaborEntries[[#This Row],[Work date]])</f>
        <v>45974.0</v>
      </c>
    </row>
    <row r="5368" spans="1:9" ht="15" x14ac:dyDescent="0.25">
      <c r="A5368" s="53" t="inlineStr">
        <is>
          <t>LAB-005367</t>
        </is>
      </c>
      <c r="B5368" s="53" t="inlineStr">
        <is>
          <t>WP-02352</t>
        </is>
      </c>
      <c r="C5368" s="53" t="inlineStr">
        <is>
          <t>TECH-032</t>
        </is>
      </c>
      <c r="D5368" s="53" t="inlineStr">
        <is>
          <t>Avionics</t>
        </is>
      </c>
      <c r="E5368" s="53" t="inlineStr">
        <is>
          <t>2025-11-14</t>
        </is>
      </c>
      <c r="F5368" s="53">
        <v>5.1</v>
      </c>
      <c r="G5368" s="53">
        <v>0</v>
      </c>
      <c r="H5368" s="51" t="str">
        <f>TEXT(tblLaborEntries[[#This Row],[Work date serial]]-WEEKDAY(tblLaborEntries[[#This Row],[Work date serial]],3),"yyyy-mm-dd")</f>
        <v>2025-11-10</v>
      </c>
      <c r="I5368" s="64">
        <f>DATEVALUE(tblLaborEntries[[#This Row],[Work date]])</f>
        <v>45975.0</v>
      </c>
    </row>
    <row r="5369" spans="1:9" ht="15" x14ac:dyDescent="0.25">
      <c r="A5369" s="53" t="inlineStr">
        <is>
          <t>LAB-005368</t>
        </is>
      </c>
      <c r="B5369" s="53" t="inlineStr">
        <is>
          <t>WP-02353</t>
        </is>
      </c>
      <c r="C5369" s="53" t="inlineStr">
        <is>
          <t>TECH-049</t>
        </is>
      </c>
      <c r="D5369" s="53" t="inlineStr">
        <is>
          <t>Airframe</t>
        </is>
      </c>
      <c r="E5369" s="53" t="inlineStr">
        <is>
          <t>2024-01-13</t>
        </is>
      </c>
      <c r="F5369" s="53">
        <v>1.8</v>
      </c>
      <c r="G5369" s="53">
        <v>0</v>
      </c>
      <c r="H5369" s="51" t="str">
        <f>TEXT(tblLaborEntries[[#This Row],[Work date serial]]-WEEKDAY(tblLaborEntries[[#This Row],[Work date serial]],3),"yyyy-mm-dd")</f>
        <v>2024-01-08</v>
      </c>
      <c r="I5369" s="64">
        <f>DATEVALUE(tblLaborEntries[[#This Row],[Work date]])</f>
        <v>45304.0</v>
      </c>
    </row>
    <row r="5370" spans="1:9" ht="15" x14ac:dyDescent="0.25">
      <c r="A5370" s="53" t="inlineStr">
        <is>
          <t>LAB-005369</t>
        </is>
      </c>
      <c r="B5370" s="53" t="inlineStr">
        <is>
          <t>WP-02353</t>
        </is>
      </c>
      <c r="C5370" s="53" t="inlineStr">
        <is>
          <t>TECH-031</t>
        </is>
      </c>
      <c r="D5370" s="53" t="inlineStr">
        <is>
          <t>Airframe</t>
        </is>
      </c>
      <c r="E5370" s="53" t="inlineStr">
        <is>
          <t>2024-01-14</t>
        </is>
      </c>
      <c r="F5370" s="53">
        <v>1.7</v>
      </c>
      <c r="G5370" s="53">
        <v>0</v>
      </c>
      <c r="H5370" s="51" t="str">
        <f>TEXT(tblLaborEntries[[#This Row],[Work date serial]]-WEEKDAY(tblLaborEntries[[#This Row],[Work date serial]],3),"yyyy-mm-dd")</f>
        <v>2024-01-08</v>
      </c>
      <c r="I5370" s="64">
        <f>DATEVALUE(tblLaborEntries[[#This Row],[Work date]])</f>
        <v>45305.0</v>
      </c>
    </row>
    <row r="5371" spans="1:9" ht="15" x14ac:dyDescent="0.25">
      <c r="A5371" s="53" t="inlineStr">
        <is>
          <t>LAB-005370</t>
        </is>
      </c>
      <c r="B5371" s="53" t="inlineStr">
        <is>
          <t>WP-02353</t>
        </is>
      </c>
      <c r="C5371" s="53" t="inlineStr">
        <is>
          <t>TECH-055</t>
        </is>
      </c>
      <c r="D5371" s="53" t="inlineStr">
        <is>
          <t>Airframe</t>
        </is>
      </c>
      <c r="E5371" s="53" t="inlineStr">
        <is>
          <t>2024-01-15</t>
        </is>
      </c>
      <c r="F5371" s="53">
        <v>2.5</v>
      </c>
      <c r="G5371" s="53">
        <v>0</v>
      </c>
      <c r="H5371" s="51" t="str">
        <f>TEXT(tblLaborEntries[[#This Row],[Work date serial]]-WEEKDAY(tblLaborEntries[[#This Row],[Work date serial]],3),"yyyy-mm-dd")</f>
        <v>2024-01-15</v>
      </c>
      <c r="I5371" s="64">
        <f>DATEVALUE(tblLaborEntries[[#This Row],[Work date]])</f>
        <v>45306.0</v>
      </c>
    </row>
    <row r="5372" spans="1:9" ht="15" x14ac:dyDescent="0.25">
      <c r="A5372" s="53" t="inlineStr">
        <is>
          <t>LAB-005371</t>
        </is>
      </c>
      <c r="B5372" s="53" t="inlineStr">
        <is>
          <t>WP-02354</t>
        </is>
      </c>
      <c r="C5372" s="53" t="inlineStr">
        <is>
          <t>TECH-029</t>
        </is>
      </c>
      <c r="D5372" s="53" t="inlineStr">
        <is>
          <t>Structures</t>
        </is>
      </c>
      <c r="E5372" s="53" t="inlineStr">
        <is>
          <t>2024-01-25</t>
        </is>
      </c>
      <c r="F5372" s="53">
        <v>3.3</v>
      </c>
      <c r="G5372" s="53">
        <v>0</v>
      </c>
      <c r="H5372" s="51" t="str">
        <f>TEXT(tblLaborEntries[[#This Row],[Work date serial]]-WEEKDAY(tblLaborEntries[[#This Row],[Work date serial]],3),"yyyy-mm-dd")</f>
        <v>2024-01-22</v>
      </c>
      <c r="I5372" s="64">
        <f>DATEVALUE(tblLaborEntries[[#This Row],[Work date]])</f>
        <v>45316.0</v>
      </c>
    </row>
    <row r="5373" spans="1:9" ht="15" x14ac:dyDescent="0.25">
      <c r="A5373" s="53" t="inlineStr">
        <is>
          <t>LAB-005372</t>
        </is>
      </c>
      <c r="B5373" s="53" t="inlineStr">
        <is>
          <t>WP-02354</t>
        </is>
      </c>
      <c r="C5373" s="53" t="inlineStr">
        <is>
          <t>TECH-035</t>
        </is>
      </c>
      <c r="D5373" s="53" t="inlineStr">
        <is>
          <t>Structures</t>
        </is>
      </c>
      <c r="E5373" s="53" t="inlineStr">
        <is>
          <t>2024-01-26</t>
        </is>
      </c>
      <c r="F5373" s="53">
        <v>4.5</v>
      </c>
      <c r="G5373" s="53">
        <v>0</v>
      </c>
      <c r="H5373" s="51" t="str">
        <f>TEXT(tblLaborEntries[[#This Row],[Work date serial]]-WEEKDAY(tblLaborEntries[[#This Row],[Work date serial]],3),"yyyy-mm-dd")</f>
        <v>2024-01-22</v>
      </c>
      <c r="I5373" s="64">
        <f>DATEVALUE(tblLaborEntries[[#This Row],[Work date]])</f>
        <v>45317.0</v>
      </c>
    </row>
    <row r="5374" spans="1:9" ht="15" x14ac:dyDescent="0.25">
      <c r="A5374" s="53" t="inlineStr">
        <is>
          <t>LAB-005373</t>
        </is>
      </c>
      <c r="B5374" s="53" t="inlineStr">
        <is>
          <t>WP-02354</t>
        </is>
      </c>
      <c r="C5374" s="53" t="inlineStr">
        <is>
          <t>TECH-047</t>
        </is>
      </c>
      <c r="D5374" s="53" t="inlineStr">
        <is>
          <t>Structures</t>
        </is>
      </c>
      <c r="E5374" s="53" t="inlineStr">
        <is>
          <t>2024-01-27</t>
        </is>
      </c>
      <c r="F5374" s="53">
        <v>4.7</v>
      </c>
      <c r="G5374" s="53">
        <v>0</v>
      </c>
      <c r="H5374" s="51" t="str">
        <f>TEXT(tblLaborEntries[[#This Row],[Work date serial]]-WEEKDAY(tblLaborEntries[[#This Row],[Work date serial]],3),"yyyy-mm-dd")</f>
        <v>2024-01-22</v>
      </c>
      <c r="I5374" s="64">
        <f>DATEVALUE(tblLaborEntries[[#This Row],[Work date]])</f>
        <v>45318.0</v>
      </c>
    </row>
    <row r="5375" spans="1:9" ht="15" x14ac:dyDescent="0.25">
      <c r="A5375" s="53" t="inlineStr">
        <is>
          <t>LAB-005374</t>
        </is>
      </c>
      <c r="B5375" s="53" t="inlineStr">
        <is>
          <t>WP-02355</t>
        </is>
      </c>
      <c r="C5375" s="53" t="inlineStr">
        <is>
          <t>TECH-003</t>
        </is>
      </c>
      <c r="D5375" s="53" t="inlineStr">
        <is>
          <t>Hydraulics</t>
        </is>
      </c>
      <c r="E5375" s="53" t="inlineStr">
        <is>
          <t>2025-12-13</t>
        </is>
      </c>
      <c r="F5375" s="53">
        <v>1</v>
      </c>
      <c r="G5375" s="53">
        <v>0</v>
      </c>
      <c r="H5375" s="51" t="str">
        <f>TEXT(tblLaborEntries[[#This Row],[Work date serial]]-WEEKDAY(tblLaborEntries[[#This Row],[Work date serial]],3),"yyyy-mm-dd")</f>
        <v>2025-12-08</v>
      </c>
      <c r="I5375" s="64">
        <f>DATEVALUE(tblLaborEntries[[#This Row],[Work date]])</f>
        <v>46004.0</v>
      </c>
    </row>
    <row r="5376" spans="1:9" ht="15" x14ac:dyDescent="0.25">
      <c r="A5376" s="53" t="inlineStr">
        <is>
          <t>LAB-005375</t>
        </is>
      </c>
      <c r="B5376" s="53" t="inlineStr">
        <is>
          <t>WP-02355</t>
        </is>
      </c>
      <c r="C5376" s="53" t="inlineStr">
        <is>
          <t>TECH-069</t>
        </is>
      </c>
      <c r="D5376" s="53" t="inlineStr">
        <is>
          <t>Hydraulics</t>
        </is>
      </c>
      <c r="E5376" s="53" t="inlineStr">
        <is>
          <t>2025-12-13</t>
        </is>
      </c>
      <c r="F5376" s="53">
        <v>12</v>
      </c>
      <c r="G5376" s="53">
        <v>4</v>
      </c>
      <c r="H5376" s="51" t="str">
        <f>TEXT(tblLaborEntries[[#This Row],[Work date serial]]-WEEKDAY(tblLaborEntries[[#This Row],[Work date serial]],3),"yyyy-mm-dd")</f>
        <v>2025-12-08</v>
      </c>
      <c r="I5376" s="64">
        <f>DATEVALUE(tblLaborEntries[[#This Row],[Work date]])</f>
        <v>46004.0</v>
      </c>
    </row>
    <row r="5377" spans="1:9" ht="15" x14ac:dyDescent="0.25">
      <c r="A5377" s="53" t="inlineStr">
        <is>
          <t>LAB-005376</t>
        </is>
      </c>
      <c r="B5377" s="53" t="inlineStr">
        <is>
          <t>WP-02355</t>
        </is>
      </c>
      <c r="C5377" s="53" t="inlineStr">
        <is>
          <t>TECH-045</t>
        </is>
      </c>
      <c r="D5377" s="53" t="inlineStr">
        <is>
          <t>Hydraulics</t>
        </is>
      </c>
      <c r="E5377" s="53" t="inlineStr">
        <is>
          <t>2025-12-14</t>
        </is>
      </c>
      <c r="F5377" s="53">
        <v>11</v>
      </c>
      <c r="G5377" s="53">
        <v>3</v>
      </c>
      <c r="H5377" s="51" t="str">
        <f>TEXT(tblLaborEntries[[#This Row],[Work date serial]]-WEEKDAY(tblLaborEntries[[#This Row],[Work date serial]],3),"yyyy-mm-dd")</f>
        <v>2025-12-08</v>
      </c>
      <c r="I5377" s="64">
        <f>DATEVALUE(tblLaborEntries[[#This Row],[Work date]])</f>
        <v>46005.0</v>
      </c>
    </row>
    <row r="5378" spans="1:9" ht="15" x14ac:dyDescent="0.25">
      <c r="A5378" s="53" t="inlineStr">
        <is>
          <t>LAB-005377</t>
        </is>
      </c>
      <c r="B5378" s="53" t="inlineStr">
        <is>
          <t>WP-02356</t>
        </is>
      </c>
      <c r="C5378" s="53" t="inlineStr">
        <is>
          <t>TECH-001</t>
        </is>
      </c>
      <c r="D5378" s="53" t="inlineStr">
        <is>
          <t>Airframe</t>
        </is>
      </c>
      <c r="E5378" s="53" t="inlineStr">
        <is>
          <t>2025-02-13</t>
        </is>
      </c>
      <c r="F5378" s="53">
        <v>2.5</v>
      </c>
      <c r="G5378" s="53">
        <v>0</v>
      </c>
      <c r="H5378" s="51" t="str">
        <f>TEXT(tblLaborEntries[[#This Row],[Work date serial]]-WEEKDAY(tblLaborEntries[[#This Row],[Work date serial]],3),"yyyy-mm-dd")</f>
        <v>2025-02-10</v>
      </c>
      <c r="I5378" s="64">
        <f>DATEVALUE(tblLaborEntries[[#This Row],[Work date]])</f>
        <v>45701.0</v>
      </c>
    </row>
    <row r="5379" spans="1:9" ht="15" x14ac:dyDescent="0.25">
      <c r="A5379" s="53" t="inlineStr">
        <is>
          <t>LAB-005378</t>
        </is>
      </c>
      <c r="B5379" s="53" t="inlineStr">
        <is>
          <t>WP-02356</t>
        </is>
      </c>
      <c r="C5379" s="53" t="inlineStr">
        <is>
          <t>TECH-055</t>
        </is>
      </c>
      <c r="D5379" s="53" t="inlineStr">
        <is>
          <t>Airframe</t>
        </is>
      </c>
      <c r="E5379" s="53" t="inlineStr">
        <is>
          <t>2025-02-13</t>
        </is>
      </c>
      <c r="F5379" s="53">
        <v>12</v>
      </c>
      <c r="G5379" s="53">
        <v>4</v>
      </c>
      <c r="H5379" s="51" t="str">
        <f>TEXT(tblLaborEntries[[#This Row],[Work date serial]]-WEEKDAY(tblLaborEntries[[#This Row],[Work date serial]],3),"yyyy-mm-dd")</f>
        <v>2025-02-10</v>
      </c>
      <c r="I5379" s="64">
        <f>DATEVALUE(tblLaborEntries[[#This Row],[Work date]])</f>
        <v>45701.0</v>
      </c>
    </row>
    <row r="5380" spans="1:9" ht="15" x14ac:dyDescent="0.25">
      <c r="A5380" s="53" t="inlineStr">
        <is>
          <t>LAB-005379</t>
        </is>
      </c>
      <c r="B5380" s="53" t="inlineStr">
        <is>
          <t>WP-02357</t>
        </is>
      </c>
      <c r="C5380" s="53" t="inlineStr">
        <is>
          <t>TECH-001</t>
        </is>
      </c>
      <c r="D5380" s="53" t="inlineStr">
        <is>
          <t>Airframe</t>
        </is>
      </c>
      <c r="E5380" s="53" t="inlineStr">
        <is>
          <t>2025-03-17</t>
        </is>
      </c>
      <c r="F5380" s="53">
        <v>2.1</v>
      </c>
      <c r="G5380" s="53">
        <v>0</v>
      </c>
      <c r="H5380" s="51" t="str">
        <f>TEXT(tblLaborEntries[[#This Row],[Work date serial]]-WEEKDAY(tblLaborEntries[[#This Row],[Work date serial]],3),"yyyy-mm-dd")</f>
        <v>2025-03-17</v>
      </c>
      <c r="I5380" s="64">
        <f>DATEVALUE(tblLaborEntries[[#This Row],[Work date]])</f>
        <v>45733.0</v>
      </c>
    </row>
    <row r="5381" spans="1:9" ht="15" x14ac:dyDescent="0.25">
      <c r="A5381" s="53" t="inlineStr">
        <is>
          <t>LAB-005380</t>
        </is>
      </c>
      <c r="B5381" s="53" t="inlineStr">
        <is>
          <t>WP-02357</t>
        </is>
      </c>
      <c r="C5381" s="53" t="inlineStr">
        <is>
          <t>TECH-037</t>
        </is>
      </c>
      <c r="D5381" s="53" t="inlineStr">
        <is>
          <t>Airframe</t>
        </is>
      </c>
      <c r="E5381" s="53" t="inlineStr">
        <is>
          <t>2025-03-17</t>
        </is>
      </c>
      <c r="F5381" s="53">
        <v>12</v>
      </c>
      <c r="G5381" s="53">
        <v>4</v>
      </c>
      <c r="H5381" s="51" t="str">
        <f>TEXT(tblLaborEntries[[#This Row],[Work date serial]]-WEEKDAY(tblLaborEntries[[#This Row],[Work date serial]],3),"yyyy-mm-dd")</f>
        <v>2025-03-17</v>
      </c>
      <c r="I5381" s="64">
        <f>DATEVALUE(tblLaborEntries[[#This Row],[Work date]])</f>
        <v>45733.0</v>
      </c>
    </row>
    <row r="5382" spans="1:9" ht="15" x14ac:dyDescent="0.25">
      <c r="A5382" s="53" t="inlineStr">
        <is>
          <t>LAB-005381</t>
        </is>
      </c>
      <c r="B5382" s="53" t="inlineStr">
        <is>
          <t>WP-02358</t>
        </is>
      </c>
      <c r="C5382" s="53" t="inlineStr">
        <is>
          <t>TECH-038</t>
        </is>
      </c>
      <c r="D5382" s="53" t="inlineStr">
        <is>
          <t>Avionics</t>
        </is>
      </c>
      <c r="E5382" s="53" t="inlineStr">
        <is>
          <t>2025-08-03</t>
        </is>
      </c>
      <c r="F5382" s="53">
        <v>7</v>
      </c>
      <c r="G5382" s="53">
        <v>0</v>
      </c>
      <c r="H5382" s="51" t="str">
        <f>TEXT(tblLaborEntries[[#This Row],[Work date serial]]-WEEKDAY(tblLaborEntries[[#This Row],[Work date serial]],3),"yyyy-mm-dd")</f>
        <v>2025-07-28</v>
      </c>
      <c r="I5382" s="64">
        <f>DATEVALUE(tblLaborEntries[[#This Row],[Work date]])</f>
        <v>45872.0</v>
      </c>
    </row>
    <row r="5383" spans="1:9" ht="15" x14ac:dyDescent="0.25">
      <c r="A5383" s="53" t="inlineStr">
        <is>
          <t>LAB-005382</t>
        </is>
      </c>
      <c r="B5383" s="53" t="inlineStr">
        <is>
          <t>WP-02358</t>
        </is>
      </c>
      <c r="C5383" s="53" t="inlineStr">
        <is>
          <t>TECH-032</t>
        </is>
      </c>
      <c r="D5383" s="53" t="inlineStr">
        <is>
          <t>Avionics</t>
        </is>
      </c>
      <c r="E5383" s="53" t="inlineStr">
        <is>
          <t>2025-08-04</t>
        </is>
      </c>
      <c r="F5383" s="53">
        <v>6.5</v>
      </c>
      <c r="G5383" s="53">
        <v>0</v>
      </c>
      <c r="H5383" s="51" t="str">
        <f>TEXT(tblLaborEntries[[#This Row],[Work date serial]]-WEEKDAY(tblLaborEntries[[#This Row],[Work date serial]],3),"yyyy-mm-dd")</f>
        <v>2025-08-04</v>
      </c>
      <c r="I5383" s="64">
        <f>DATEVALUE(tblLaborEntries[[#This Row],[Work date]])</f>
        <v>45873.0</v>
      </c>
    </row>
    <row r="5384" spans="1:9" ht="15" x14ac:dyDescent="0.25">
      <c r="A5384" s="53" t="inlineStr">
        <is>
          <t>LAB-005383</t>
        </is>
      </c>
      <c r="B5384" s="53" t="inlineStr">
        <is>
          <t>WP-02358</t>
        </is>
      </c>
      <c r="C5384" s="53" t="inlineStr">
        <is>
          <t>TECH-002</t>
        </is>
      </c>
      <c r="D5384" s="53" t="inlineStr">
        <is>
          <t>Avionics</t>
        </is>
      </c>
      <c r="E5384" s="53" t="inlineStr">
        <is>
          <t>2025-08-05</t>
        </is>
      </c>
      <c r="F5384" s="53">
        <v>5.8</v>
      </c>
      <c r="G5384" s="53">
        <v>0</v>
      </c>
      <c r="H5384" s="51" t="str">
        <f>TEXT(tblLaborEntries[[#This Row],[Work date serial]]-WEEKDAY(tblLaborEntries[[#This Row],[Work date serial]],3),"yyyy-mm-dd")</f>
        <v>2025-08-04</v>
      </c>
      <c r="I5384" s="64">
        <f>DATEVALUE(tblLaborEntries[[#This Row],[Work date]])</f>
        <v>45874.0</v>
      </c>
    </row>
    <row r="5385" spans="1:9" ht="15" x14ac:dyDescent="0.25">
      <c r="A5385" s="53" t="inlineStr">
        <is>
          <t>LAB-005384</t>
        </is>
      </c>
      <c r="B5385" s="53" t="inlineStr">
        <is>
          <t>WP-02359</t>
        </is>
      </c>
      <c r="C5385" s="53" t="inlineStr">
        <is>
          <t>TECH-056</t>
        </is>
      </c>
      <c r="D5385" s="53" t="inlineStr">
        <is>
          <t>Avionics</t>
        </is>
      </c>
      <c r="E5385" s="53" t="inlineStr">
        <is>
          <t>2024-02-14</t>
        </is>
      </c>
      <c r="F5385" s="53">
        <v>1.6</v>
      </c>
      <c r="G5385" s="53">
        <v>0</v>
      </c>
      <c r="H5385" s="51" t="str">
        <f>TEXT(tblLaborEntries[[#This Row],[Work date serial]]-WEEKDAY(tblLaborEntries[[#This Row],[Work date serial]],3),"yyyy-mm-dd")</f>
        <v>2024-02-12</v>
      </c>
      <c r="I5385" s="64">
        <f>DATEVALUE(tblLaborEntries[[#This Row],[Work date]])</f>
        <v>45336.0</v>
      </c>
    </row>
    <row r="5386" spans="1:9" ht="15" x14ac:dyDescent="0.25">
      <c r="A5386" s="53" t="inlineStr">
        <is>
          <t>LAB-005385</t>
        </is>
      </c>
      <c r="B5386" s="53" t="inlineStr">
        <is>
          <t>WP-02359</t>
        </is>
      </c>
      <c r="C5386" s="53" t="inlineStr">
        <is>
          <t>TECH-062</t>
        </is>
      </c>
      <c r="D5386" s="53" t="inlineStr">
        <is>
          <t>Avionics</t>
        </is>
      </c>
      <c r="E5386" s="53" t="inlineStr">
        <is>
          <t>2024-02-15</t>
        </is>
      </c>
      <c r="F5386" s="53">
        <v>1.5</v>
      </c>
      <c r="G5386" s="53">
        <v>0</v>
      </c>
      <c r="H5386" s="51" t="str">
        <f>TEXT(tblLaborEntries[[#This Row],[Work date serial]]-WEEKDAY(tblLaborEntries[[#This Row],[Work date serial]],3),"yyyy-mm-dd")</f>
        <v>2024-02-12</v>
      </c>
      <c r="I5386" s="64">
        <f>DATEVALUE(tblLaborEntries[[#This Row],[Work date]])</f>
        <v>45337.0</v>
      </c>
    </row>
    <row r="5387" spans="1:9" ht="15" x14ac:dyDescent="0.25">
      <c r="A5387" s="53" t="inlineStr">
        <is>
          <t>LAB-005386</t>
        </is>
      </c>
      <c r="B5387" s="53" t="inlineStr">
        <is>
          <t>WP-02359</t>
        </is>
      </c>
      <c r="C5387" s="53" t="inlineStr">
        <is>
          <t>TECH-026</t>
        </is>
      </c>
      <c r="D5387" s="53" t="inlineStr">
        <is>
          <t>Avionics</t>
        </is>
      </c>
      <c r="E5387" s="53" t="inlineStr">
        <is>
          <t>2024-02-16</t>
        </is>
      </c>
      <c r="F5387" s="53">
        <v>1.5</v>
      </c>
      <c r="G5387" s="53">
        <v>0</v>
      </c>
      <c r="H5387" s="51" t="str">
        <f>TEXT(tblLaborEntries[[#This Row],[Work date serial]]-WEEKDAY(tblLaborEntries[[#This Row],[Work date serial]],3),"yyyy-mm-dd")</f>
        <v>2024-02-12</v>
      </c>
      <c r="I5387" s="64">
        <f>DATEVALUE(tblLaborEntries[[#This Row],[Work date]])</f>
        <v>45338.0</v>
      </c>
    </row>
    <row r="5388" spans="1:9" ht="15" x14ac:dyDescent="0.25">
      <c r="A5388" s="53" t="inlineStr">
        <is>
          <t>LAB-005387</t>
        </is>
      </c>
      <c r="B5388" s="53" t="inlineStr">
        <is>
          <t>WP-02360</t>
        </is>
      </c>
      <c r="C5388" s="53" t="inlineStr">
        <is>
          <t>TECH-049</t>
        </is>
      </c>
      <c r="D5388" s="53" t="inlineStr">
        <is>
          <t>Airframe</t>
        </is>
      </c>
      <c r="E5388" s="53" t="inlineStr">
        <is>
          <t>2025-11-04</t>
        </is>
      </c>
      <c r="F5388" s="53">
        <v>4.8</v>
      </c>
      <c r="G5388" s="53">
        <v>0</v>
      </c>
      <c r="H5388" s="51" t="str">
        <f>TEXT(tblLaborEntries[[#This Row],[Work date serial]]-WEEKDAY(tblLaborEntries[[#This Row],[Work date serial]],3),"yyyy-mm-dd")</f>
        <v>2025-11-03</v>
      </c>
      <c r="I5388" s="64">
        <f>DATEVALUE(tblLaborEntries[[#This Row],[Work date]])</f>
        <v>45965.0</v>
      </c>
    </row>
    <row r="5389" spans="1:9" ht="15" x14ac:dyDescent="0.25">
      <c r="A5389" s="53" t="inlineStr">
        <is>
          <t>LAB-005388</t>
        </is>
      </c>
      <c r="B5389" s="53" t="inlineStr">
        <is>
          <t>WP-02360</t>
        </is>
      </c>
      <c r="C5389" s="53" t="inlineStr">
        <is>
          <t>TECH-049</t>
        </is>
      </c>
      <c r="D5389" s="53" t="inlineStr">
        <is>
          <t>Airframe</t>
        </is>
      </c>
      <c r="E5389" s="53" t="inlineStr">
        <is>
          <t>2025-11-05</t>
        </is>
      </c>
      <c r="F5389" s="53">
        <v>4.6</v>
      </c>
      <c r="G5389" s="53">
        <v>0.1</v>
      </c>
      <c r="H5389" s="51" t="str">
        <f>TEXT(tblLaborEntries[[#This Row],[Work date serial]]-WEEKDAY(tblLaborEntries[[#This Row],[Work date serial]],3),"yyyy-mm-dd")</f>
        <v>2025-11-03</v>
      </c>
      <c r="I5389" s="64">
        <f>DATEVALUE(tblLaborEntries[[#This Row],[Work date]])</f>
        <v>45966.0</v>
      </c>
    </row>
    <row r="5390" spans="1:9" ht="15" x14ac:dyDescent="0.25">
      <c r="A5390" s="53" t="inlineStr">
        <is>
          <t>LAB-005389</t>
        </is>
      </c>
      <c r="B5390" s="53" t="inlineStr">
        <is>
          <t>WP-02360</t>
        </is>
      </c>
      <c r="C5390" s="53" t="inlineStr">
        <is>
          <t>TECH-073</t>
        </is>
      </c>
      <c r="D5390" s="53" t="inlineStr">
        <is>
          <t>Airframe</t>
        </is>
      </c>
      <c r="E5390" s="53" t="inlineStr">
        <is>
          <t>2025-11-06</t>
        </is>
      </c>
      <c r="F5390" s="53">
        <v>7</v>
      </c>
      <c r="G5390" s="53">
        <v>0</v>
      </c>
      <c r="H5390" s="51" t="str">
        <f>TEXT(tblLaborEntries[[#This Row],[Work date serial]]-WEEKDAY(tblLaborEntries[[#This Row],[Work date serial]],3),"yyyy-mm-dd")</f>
        <v>2025-11-03</v>
      </c>
      <c r="I5390" s="64">
        <f>DATEVALUE(tblLaborEntries[[#This Row],[Work date]])</f>
        <v>45967.0</v>
      </c>
    </row>
    <row r="5391" spans="1:9" ht="15" x14ac:dyDescent="0.25">
      <c r="A5391" s="53" t="inlineStr">
        <is>
          <t>LAB-005390</t>
        </is>
      </c>
      <c r="B5391" s="53" t="inlineStr">
        <is>
          <t>WP-02361</t>
        </is>
      </c>
      <c r="C5391" s="53" t="inlineStr">
        <is>
          <t>TECH-043</t>
        </is>
      </c>
      <c r="D5391" s="53" t="inlineStr">
        <is>
          <t>Airframe</t>
        </is>
      </c>
      <c r="E5391" s="53" t="inlineStr">
        <is>
          <t>2025-05-20</t>
        </is>
      </c>
      <c r="F5391" s="53">
        <v>1.8</v>
      </c>
      <c r="G5391" s="53">
        <v>0</v>
      </c>
      <c r="H5391" s="51" t="str">
        <f>TEXT(tblLaborEntries[[#This Row],[Work date serial]]-WEEKDAY(tblLaborEntries[[#This Row],[Work date serial]],3),"yyyy-mm-dd")</f>
        <v>2025-05-19</v>
      </c>
      <c r="I5391" s="64">
        <f>DATEVALUE(tblLaborEntries[[#This Row],[Work date]])</f>
        <v>45797.0</v>
      </c>
    </row>
    <row r="5392" spans="1:9" ht="15" x14ac:dyDescent="0.25">
      <c r="A5392" s="53" t="inlineStr">
        <is>
          <t>LAB-005391</t>
        </is>
      </c>
      <c r="B5392" s="53" t="inlineStr">
        <is>
          <t>WP-02361</t>
        </is>
      </c>
      <c r="C5392" s="53" t="inlineStr">
        <is>
          <t>TECH-073</t>
        </is>
      </c>
      <c r="D5392" s="53" t="inlineStr">
        <is>
          <t>Airframe</t>
        </is>
      </c>
      <c r="E5392" s="53" t="inlineStr">
        <is>
          <t>2025-05-21</t>
        </is>
      </c>
      <c r="F5392" s="53">
        <v>2.2</v>
      </c>
      <c r="G5392" s="53">
        <v>0</v>
      </c>
      <c r="H5392" s="51" t="str">
        <f>TEXT(tblLaborEntries[[#This Row],[Work date serial]]-WEEKDAY(tblLaborEntries[[#This Row],[Work date serial]],3),"yyyy-mm-dd")</f>
        <v>2025-05-19</v>
      </c>
      <c r="I5392" s="64">
        <f>DATEVALUE(tblLaborEntries[[#This Row],[Work date]])</f>
        <v>45798.0</v>
      </c>
    </row>
    <row r="5393" spans="1:9" ht="15" x14ac:dyDescent="0.25">
      <c r="A5393" s="53" t="inlineStr">
        <is>
          <t>LAB-005392</t>
        </is>
      </c>
      <c r="B5393" s="53" t="inlineStr">
        <is>
          <t>WP-02362</t>
        </is>
      </c>
      <c r="C5393" s="53" t="inlineStr">
        <is>
          <t>TECH-067</t>
        </is>
      </c>
      <c r="D5393" s="53" t="inlineStr">
        <is>
          <t>Airframe</t>
        </is>
      </c>
      <c r="E5393" s="53" t="inlineStr">
        <is>
          <t>2025-06-28</t>
        </is>
      </c>
      <c r="F5393" s="53">
        <v>5.3</v>
      </c>
      <c r="G5393" s="53">
        <v>0</v>
      </c>
      <c r="H5393" s="51" t="str">
        <f>TEXT(tblLaborEntries[[#This Row],[Work date serial]]-WEEKDAY(tblLaborEntries[[#This Row],[Work date serial]],3),"yyyy-mm-dd")</f>
        <v>2025-06-23</v>
      </c>
      <c r="I5393" s="64">
        <f>DATEVALUE(tblLaborEntries[[#This Row],[Work date]])</f>
        <v>45836.0</v>
      </c>
    </row>
    <row r="5394" spans="1:9" ht="15" x14ac:dyDescent="0.25">
      <c r="A5394" s="53" t="inlineStr">
        <is>
          <t>LAB-005393</t>
        </is>
      </c>
      <c r="B5394" s="53" t="inlineStr">
        <is>
          <t>WP-02363</t>
        </is>
      </c>
      <c r="C5394" s="53" t="inlineStr">
        <is>
          <t>TECH-004</t>
        </is>
      </c>
      <c r="D5394" s="53" t="inlineStr">
        <is>
          <t>Electrical</t>
        </is>
      </c>
      <c r="E5394" s="53" t="inlineStr">
        <is>
          <t>2025-05-06</t>
        </is>
      </c>
      <c r="F5394" s="53">
        <v>2.1</v>
      </c>
      <c r="G5394" s="53">
        <v>0</v>
      </c>
      <c r="H5394" s="51" t="str">
        <f>TEXT(tblLaborEntries[[#This Row],[Work date serial]]-WEEKDAY(tblLaborEntries[[#This Row],[Work date serial]],3),"yyyy-mm-dd")</f>
        <v>2025-05-05</v>
      </c>
      <c r="I5394" s="64">
        <f>DATEVALUE(tblLaborEntries[[#This Row],[Work date]])</f>
        <v>45783.0</v>
      </c>
    </row>
    <row r="5395" spans="1:9" ht="15" x14ac:dyDescent="0.25">
      <c r="A5395" s="53" t="inlineStr">
        <is>
          <t>LAB-005394</t>
        </is>
      </c>
      <c r="B5395" s="53" t="inlineStr">
        <is>
          <t>WP-02363</t>
        </is>
      </c>
      <c r="C5395" s="53" t="inlineStr">
        <is>
          <t>TECH-022</t>
        </is>
      </c>
      <c r="D5395" s="53" t="inlineStr">
        <is>
          <t>Electrical</t>
        </is>
      </c>
      <c r="E5395" s="53" t="inlineStr">
        <is>
          <t>2025-05-06</t>
        </is>
      </c>
      <c r="F5395" s="53">
        <v>12</v>
      </c>
      <c r="G5395" s="53">
        <v>4</v>
      </c>
      <c r="H5395" s="51" t="str">
        <f>TEXT(tblLaborEntries[[#This Row],[Work date serial]]-WEEKDAY(tblLaborEntries[[#This Row],[Work date serial]],3),"yyyy-mm-dd")</f>
        <v>2025-05-05</v>
      </c>
      <c r="I5395" s="64">
        <f>DATEVALUE(tblLaborEntries[[#This Row],[Work date]])</f>
        <v>45783.0</v>
      </c>
    </row>
    <row r="5396" spans="1:9" ht="15" x14ac:dyDescent="0.25">
      <c r="A5396" s="53" t="inlineStr">
        <is>
          <t>LAB-005395</t>
        </is>
      </c>
      <c r="B5396" s="53" t="inlineStr">
        <is>
          <t>WP-02364</t>
        </is>
      </c>
      <c r="C5396" s="53" t="inlineStr">
        <is>
          <t>TECH-008</t>
        </is>
      </c>
      <c r="D5396" s="53" t="inlineStr">
        <is>
          <t>Avionics</t>
        </is>
      </c>
      <c r="E5396" s="53" t="inlineStr">
        <is>
          <t>2025-06-10</t>
        </is>
      </c>
      <c r="F5396" s="53">
        <v>1.8</v>
      </c>
      <c r="G5396" s="53">
        <v>0</v>
      </c>
      <c r="H5396" s="51" t="str">
        <f>TEXT(tblLaborEntries[[#This Row],[Work date serial]]-WEEKDAY(tblLaborEntries[[#This Row],[Work date serial]],3),"yyyy-mm-dd")</f>
        <v>2025-06-09</v>
      </c>
      <c r="I5396" s="64">
        <f>DATEVALUE(tblLaborEntries[[#This Row],[Work date]])</f>
        <v>45818.0</v>
      </c>
    </row>
    <row r="5397" spans="1:9" ht="15" x14ac:dyDescent="0.25">
      <c r="A5397" s="53" t="inlineStr">
        <is>
          <t>LAB-005396</t>
        </is>
      </c>
      <c r="B5397" s="53" t="inlineStr">
        <is>
          <t>WP-02364</t>
        </is>
      </c>
      <c r="C5397" s="53" t="inlineStr">
        <is>
          <t>TECH-026</t>
        </is>
      </c>
      <c r="D5397" s="53" t="inlineStr">
        <is>
          <t>Avionics</t>
        </is>
      </c>
      <c r="E5397" s="53" t="inlineStr">
        <is>
          <t>2025-06-11</t>
        </is>
      </c>
      <c r="F5397" s="53">
        <v>1.5</v>
      </c>
      <c r="G5397" s="53">
        <v>0</v>
      </c>
      <c r="H5397" s="51" t="str">
        <f>TEXT(tblLaborEntries[[#This Row],[Work date serial]]-WEEKDAY(tblLaborEntries[[#This Row],[Work date serial]],3),"yyyy-mm-dd")</f>
        <v>2025-06-09</v>
      </c>
      <c r="I5397" s="64">
        <f>DATEVALUE(tblLaborEntries[[#This Row],[Work date]])</f>
        <v>45819.0</v>
      </c>
    </row>
    <row r="5398" spans="1:9" ht="15" x14ac:dyDescent="0.25">
      <c r="A5398" s="53" t="inlineStr">
        <is>
          <t>LAB-005397</t>
        </is>
      </c>
      <c r="B5398" s="53" t="inlineStr">
        <is>
          <t>WP-02364</t>
        </is>
      </c>
      <c r="C5398" s="53" t="inlineStr">
        <is>
          <t>TECH-074</t>
        </is>
      </c>
      <c r="D5398" s="53" t="inlineStr">
        <is>
          <t>Avionics</t>
        </is>
      </c>
      <c r="E5398" s="53" t="inlineStr">
        <is>
          <t>2025-06-12</t>
        </is>
      </c>
      <c r="F5398" s="53">
        <v>1.5</v>
      </c>
      <c r="G5398" s="53">
        <v>0</v>
      </c>
      <c r="H5398" s="51" t="str">
        <f>TEXT(tblLaborEntries[[#This Row],[Work date serial]]-WEEKDAY(tblLaborEntries[[#This Row],[Work date serial]],3),"yyyy-mm-dd")</f>
        <v>2025-06-09</v>
      </c>
      <c r="I5398" s="64">
        <f>DATEVALUE(tblLaborEntries[[#This Row],[Work date]])</f>
        <v>45820.0</v>
      </c>
    </row>
    <row r="5399" spans="1:9" ht="15" x14ac:dyDescent="0.25">
      <c r="A5399" s="53" t="inlineStr">
        <is>
          <t>LAB-005398</t>
        </is>
      </c>
      <c r="B5399" s="53" t="inlineStr">
        <is>
          <t>WP-02365</t>
        </is>
      </c>
      <c r="C5399" s="53" t="inlineStr">
        <is>
          <t>TECH-039</t>
        </is>
      </c>
      <c r="D5399" s="53" t="inlineStr">
        <is>
          <t>Hydraulics</t>
        </is>
      </c>
      <c r="E5399" s="53" t="inlineStr">
        <is>
          <t>2025-01-31</t>
        </is>
      </c>
      <c r="F5399" s="53">
        <v>2.8</v>
      </c>
      <c r="G5399" s="53">
        <v>0</v>
      </c>
      <c r="H5399" s="51" t="str">
        <f>TEXT(tblLaborEntries[[#This Row],[Work date serial]]-WEEKDAY(tblLaborEntries[[#This Row],[Work date serial]],3),"yyyy-mm-dd")</f>
        <v>2025-01-27</v>
      </c>
      <c r="I5399" s="64">
        <f>DATEVALUE(tblLaborEntries[[#This Row],[Work date]])</f>
        <v>45688.0</v>
      </c>
    </row>
    <row r="5400" spans="1:9" ht="15" x14ac:dyDescent="0.25">
      <c r="A5400" s="53" t="inlineStr">
        <is>
          <t>LAB-005399</t>
        </is>
      </c>
      <c r="B5400" s="53" t="inlineStr">
        <is>
          <t>WP-02365</t>
        </is>
      </c>
      <c r="C5400" s="53" t="inlineStr">
        <is>
          <t>TECH-039</t>
        </is>
      </c>
      <c r="D5400" s="53" t="inlineStr">
        <is>
          <t>Hydraulics</t>
        </is>
      </c>
      <c r="E5400" s="53" t="inlineStr">
        <is>
          <t>2025-02-01</t>
        </is>
      </c>
      <c r="F5400" s="53">
        <v>2.3</v>
      </c>
      <c r="G5400" s="53">
        <v>0</v>
      </c>
      <c r="H5400" s="51" t="str">
        <f>TEXT(tblLaborEntries[[#This Row],[Work date serial]]-WEEKDAY(tblLaborEntries[[#This Row],[Work date serial]],3),"yyyy-mm-dd")</f>
        <v>2025-01-27</v>
      </c>
      <c r="I5400" s="64">
        <f>DATEVALUE(tblLaborEntries[[#This Row],[Work date]])</f>
        <v>45689.0</v>
      </c>
    </row>
    <row r="5401" spans="1:9" ht="15" x14ac:dyDescent="0.25">
      <c r="A5401" s="53" t="inlineStr">
        <is>
          <t>LAB-005400</t>
        </is>
      </c>
      <c r="B5401" s="53" t="inlineStr">
        <is>
          <t>WP-02365</t>
        </is>
      </c>
      <c r="C5401" s="53" t="inlineStr">
        <is>
          <t>TECH-075</t>
        </is>
      </c>
      <c r="D5401" s="53" t="inlineStr">
        <is>
          <t>Hydraulics</t>
        </is>
      </c>
      <c r="E5401" s="53" t="inlineStr">
        <is>
          <t>2025-02-02</t>
        </is>
      </c>
      <c r="F5401" s="53">
        <v>2.2</v>
      </c>
      <c r="G5401" s="53">
        <v>0</v>
      </c>
      <c r="H5401" s="51" t="str">
        <f>TEXT(tblLaborEntries[[#This Row],[Work date serial]]-WEEKDAY(tblLaborEntries[[#This Row],[Work date serial]],3),"yyyy-mm-dd")</f>
        <v>2025-01-27</v>
      </c>
      <c r="I5401" s="64">
        <f>DATEVALUE(tblLaborEntries[[#This Row],[Work date]])</f>
        <v>45690.0</v>
      </c>
    </row>
    <row r="5402" spans="1:9" ht="15" x14ac:dyDescent="0.25">
      <c r="A5402" s="53" t="inlineStr">
        <is>
          <t>LAB-005401</t>
        </is>
      </c>
      <c r="B5402" s="53" t="inlineStr">
        <is>
          <t>WP-02366</t>
        </is>
      </c>
      <c r="C5402" s="53" t="inlineStr">
        <is>
          <t>TECH-006</t>
        </is>
      </c>
      <c r="D5402" s="53" t="inlineStr">
        <is>
          <t>Powerplant</t>
        </is>
      </c>
      <c r="E5402" s="53" t="inlineStr">
        <is>
          <t>2025-02-04</t>
        </is>
      </c>
      <c r="F5402" s="53">
        <v>12</v>
      </c>
      <c r="G5402" s="53">
        <v>4</v>
      </c>
      <c r="H5402" s="51" t="str">
        <f>TEXT(tblLaborEntries[[#This Row],[Work date serial]]-WEEKDAY(tblLaborEntries[[#This Row],[Work date serial]],3),"yyyy-mm-dd")</f>
        <v>2025-02-03</v>
      </c>
      <c r="I5402" s="64">
        <f>DATEVALUE(tblLaborEntries[[#This Row],[Work date]])</f>
        <v>45692.0</v>
      </c>
    </row>
    <row r="5403" spans="1:9" ht="15" x14ac:dyDescent="0.25">
      <c r="A5403" s="53" t="inlineStr">
        <is>
          <t>LAB-005402</t>
        </is>
      </c>
      <c r="B5403" s="53" t="inlineStr">
        <is>
          <t>WP-02366</t>
        </is>
      </c>
      <c r="C5403" s="53" t="inlineStr">
        <is>
          <t>TECH-012</t>
        </is>
      </c>
      <c r="D5403" s="53" t="inlineStr">
        <is>
          <t>Powerplant</t>
        </is>
      </c>
      <c r="E5403" s="53" t="inlineStr">
        <is>
          <t>2025-02-04</t>
        </is>
      </c>
      <c r="F5403" s="53">
        <v>3.2</v>
      </c>
      <c r="G5403" s="53">
        <v>0</v>
      </c>
      <c r="H5403" s="51" t="str">
        <f>TEXT(tblLaborEntries[[#This Row],[Work date serial]]-WEEKDAY(tblLaborEntries[[#This Row],[Work date serial]],3),"yyyy-mm-dd")</f>
        <v>2025-02-03</v>
      </c>
      <c r="I5403" s="64">
        <f>DATEVALUE(tblLaborEntries[[#This Row],[Work date]])</f>
        <v>45692.0</v>
      </c>
    </row>
    <row r="5404" spans="1:9" ht="15" x14ac:dyDescent="0.25">
      <c r="A5404" s="53" t="inlineStr">
        <is>
          <t>LAB-005403</t>
        </is>
      </c>
      <c r="B5404" s="53" t="inlineStr">
        <is>
          <t>WP-02366</t>
        </is>
      </c>
      <c r="C5404" s="53" t="inlineStr">
        <is>
          <t>TECH-066</t>
        </is>
      </c>
      <c r="D5404" s="53" t="inlineStr">
        <is>
          <t>Powerplant</t>
        </is>
      </c>
      <c r="E5404" s="53" t="inlineStr">
        <is>
          <t>2025-02-04</t>
        </is>
      </c>
      <c r="F5404" s="53">
        <v>12</v>
      </c>
      <c r="G5404" s="53">
        <v>4</v>
      </c>
      <c r="H5404" s="51" t="str">
        <f>TEXT(tblLaborEntries[[#This Row],[Work date serial]]-WEEKDAY(tblLaborEntries[[#This Row],[Work date serial]],3),"yyyy-mm-dd")</f>
        <v>2025-02-03</v>
      </c>
      <c r="I5404" s="64">
        <f>DATEVALUE(tblLaborEntries[[#This Row],[Work date]])</f>
        <v>45692.0</v>
      </c>
    </row>
    <row r="5405" spans="1:9" ht="15" x14ac:dyDescent="0.25">
      <c r="A5405" s="53" t="inlineStr">
        <is>
          <t>LAB-005404</t>
        </is>
      </c>
      <c r="B5405" s="53" t="inlineStr">
        <is>
          <t>WP-02367</t>
        </is>
      </c>
      <c r="C5405" s="53" t="inlineStr">
        <is>
          <t>TECH-054</t>
        </is>
      </c>
      <c r="D5405" s="53" t="inlineStr">
        <is>
          <t>Powerplant</t>
        </is>
      </c>
      <c r="E5405" s="53" t="inlineStr">
        <is>
          <t>2025-01-11</t>
        </is>
      </c>
      <c r="F5405" s="53">
        <v>5.4</v>
      </c>
      <c r="G5405" s="53">
        <v>0</v>
      </c>
      <c r="H5405" s="51" t="str">
        <f>TEXT(tblLaborEntries[[#This Row],[Work date serial]]-WEEKDAY(tblLaborEntries[[#This Row],[Work date serial]],3),"yyyy-mm-dd")</f>
        <v>2025-01-06</v>
      </c>
      <c r="I5405" s="64">
        <f>DATEVALUE(tblLaborEntries[[#This Row],[Work date]])</f>
        <v>45668.0</v>
      </c>
    </row>
    <row r="5406" spans="1:9" ht="15" x14ac:dyDescent="0.25">
      <c r="A5406" s="53" t="inlineStr">
        <is>
          <t>LAB-005405</t>
        </is>
      </c>
      <c r="B5406" s="53" t="inlineStr">
        <is>
          <t>WP-02367</t>
        </is>
      </c>
      <c r="C5406" s="53" t="inlineStr">
        <is>
          <t>TECH-006</t>
        </is>
      </c>
      <c r="D5406" s="53" t="inlineStr">
        <is>
          <t>Powerplant</t>
        </is>
      </c>
      <c r="E5406" s="53" t="inlineStr">
        <is>
          <t>2025-01-12</t>
        </is>
      </c>
      <c r="F5406" s="53">
        <v>4.5</v>
      </c>
      <c r="G5406" s="53">
        <v>0</v>
      </c>
      <c r="H5406" s="51" t="str">
        <f>TEXT(tblLaborEntries[[#This Row],[Work date serial]]-WEEKDAY(tblLaborEntries[[#This Row],[Work date serial]],3),"yyyy-mm-dd")</f>
        <v>2025-01-06</v>
      </c>
      <c r="I5406" s="64">
        <f>DATEVALUE(tblLaborEntries[[#This Row],[Work date]])</f>
        <v>45669.0</v>
      </c>
    </row>
    <row r="5407" spans="1:9" ht="15" x14ac:dyDescent="0.25">
      <c r="A5407" s="53" t="inlineStr">
        <is>
          <t>LAB-005406</t>
        </is>
      </c>
      <c r="B5407" s="53" t="inlineStr">
        <is>
          <t>WP-02368</t>
        </is>
      </c>
      <c r="C5407" s="53" t="inlineStr">
        <is>
          <t>TECH-002</t>
        </is>
      </c>
      <c r="D5407" s="53" t="inlineStr">
        <is>
          <t>Avionics</t>
        </is>
      </c>
      <c r="E5407" s="53" t="inlineStr">
        <is>
          <t>2024-03-05</t>
        </is>
      </c>
      <c r="F5407" s="53">
        <v>2.2</v>
      </c>
      <c r="G5407" s="53">
        <v>0</v>
      </c>
      <c r="H5407" s="51" t="str">
        <f>TEXT(tblLaborEntries[[#This Row],[Work date serial]]-WEEKDAY(tblLaborEntries[[#This Row],[Work date serial]],3),"yyyy-mm-dd")</f>
        <v>2024-03-04</v>
      </c>
      <c r="I5407" s="64">
        <f>DATEVALUE(tblLaborEntries[[#This Row],[Work date]])</f>
        <v>45356.0</v>
      </c>
    </row>
    <row r="5408" spans="1:9" ht="15" x14ac:dyDescent="0.25">
      <c r="A5408" s="53" t="inlineStr">
        <is>
          <t>LAB-005407</t>
        </is>
      </c>
      <c r="B5408" s="53" t="inlineStr">
        <is>
          <t>WP-02368</t>
        </is>
      </c>
      <c r="C5408" s="53" t="inlineStr">
        <is>
          <t>TECH-044</t>
        </is>
      </c>
      <c r="D5408" s="53" t="inlineStr">
        <is>
          <t>Avionics</t>
        </is>
      </c>
      <c r="E5408" s="53" t="inlineStr">
        <is>
          <t>2024-03-05</t>
        </is>
      </c>
      <c r="F5408" s="53">
        <v>12</v>
      </c>
      <c r="G5408" s="53">
        <v>4</v>
      </c>
      <c r="H5408" s="51" t="str">
        <f>TEXT(tblLaborEntries[[#This Row],[Work date serial]]-WEEKDAY(tblLaborEntries[[#This Row],[Work date serial]],3),"yyyy-mm-dd")</f>
        <v>2024-03-04</v>
      </c>
      <c r="I5408" s="64">
        <f>DATEVALUE(tblLaborEntries[[#This Row],[Work date]])</f>
        <v>45356.0</v>
      </c>
    </row>
    <row r="5409" spans="1:9" ht="15" x14ac:dyDescent="0.25">
      <c r="A5409" s="53" t="inlineStr">
        <is>
          <t>LAB-005408</t>
        </is>
      </c>
      <c r="B5409" s="53" t="inlineStr">
        <is>
          <t>WP-02369</t>
        </is>
      </c>
      <c r="C5409" s="53" t="inlineStr">
        <is>
          <t>TECH-035</t>
        </is>
      </c>
      <c r="D5409" s="53" t="inlineStr">
        <is>
          <t>Structures</t>
        </is>
      </c>
      <c r="E5409" s="53" t="inlineStr">
        <is>
          <t>2025-10-30</t>
        </is>
      </c>
      <c r="F5409" s="53">
        <v>5.7</v>
      </c>
      <c r="G5409" s="53">
        <v>0</v>
      </c>
      <c r="H5409" s="51" t="str">
        <f>TEXT(tblLaborEntries[[#This Row],[Work date serial]]-WEEKDAY(tblLaborEntries[[#This Row],[Work date serial]],3),"yyyy-mm-dd")</f>
        <v>2025-10-27</v>
      </c>
      <c r="I5409" s="64">
        <f>DATEVALUE(tblLaborEntries[[#This Row],[Work date]])</f>
        <v>45960.0</v>
      </c>
    </row>
    <row r="5410" spans="1:9" ht="15" x14ac:dyDescent="0.25">
      <c r="A5410" s="53" t="inlineStr">
        <is>
          <t>LAB-005409</t>
        </is>
      </c>
      <c r="B5410" s="53" t="inlineStr">
        <is>
          <t>WP-02369</t>
        </is>
      </c>
      <c r="C5410" s="53" t="inlineStr">
        <is>
          <t>TECH-059</t>
        </is>
      </c>
      <c r="D5410" s="53" t="inlineStr">
        <is>
          <t>Structures</t>
        </is>
      </c>
      <c r="E5410" s="53" t="inlineStr">
        <is>
          <t>2025-10-31</t>
        </is>
      </c>
      <c r="F5410" s="53">
        <v>5.4</v>
      </c>
      <c r="G5410" s="53">
        <v>0</v>
      </c>
      <c r="H5410" s="51" t="str">
        <f>TEXT(tblLaborEntries[[#This Row],[Work date serial]]-WEEKDAY(tblLaborEntries[[#This Row],[Work date serial]],3),"yyyy-mm-dd")</f>
        <v>2025-10-27</v>
      </c>
      <c r="I5410" s="64">
        <f>DATEVALUE(tblLaborEntries[[#This Row],[Work date]])</f>
        <v>45961.0</v>
      </c>
    </row>
    <row r="5411" spans="1:9" ht="15" x14ac:dyDescent="0.25">
      <c r="A5411" s="53" t="inlineStr">
        <is>
          <t>LAB-005410</t>
        </is>
      </c>
      <c r="B5411" s="53" t="inlineStr">
        <is>
          <t>WP-02369</t>
        </is>
      </c>
      <c r="C5411" s="53" t="inlineStr">
        <is>
          <t>TECH-035</t>
        </is>
      </c>
      <c r="D5411" s="53" t="inlineStr">
        <is>
          <t>Structures</t>
        </is>
      </c>
      <c r="E5411" s="53" t="inlineStr">
        <is>
          <t>2025-11-01</t>
        </is>
      </c>
      <c r="F5411" s="53">
        <v>5.8</v>
      </c>
      <c r="G5411" s="53">
        <v>0</v>
      </c>
      <c r="H5411" s="51" t="str">
        <f>TEXT(tblLaborEntries[[#This Row],[Work date serial]]-WEEKDAY(tblLaborEntries[[#This Row],[Work date serial]],3),"yyyy-mm-dd")</f>
        <v>2025-10-27</v>
      </c>
      <c r="I5411" s="64">
        <f>DATEVALUE(tblLaborEntries[[#This Row],[Work date]])</f>
        <v>45962.0</v>
      </c>
    </row>
    <row r="5412" spans="1:9" ht="15" x14ac:dyDescent="0.25">
      <c r="A5412" s="53" t="inlineStr">
        <is>
          <t>LAB-005411</t>
        </is>
      </c>
      <c r="B5412" s="53" t="inlineStr">
        <is>
          <t>WP-02370</t>
        </is>
      </c>
      <c r="C5412" s="53" t="inlineStr">
        <is>
          <t>TECH-008</t>
        </is>
      </c>
      <c r="D5412" s="53" t="inlineStr">
        <is>
          <t>Avionics</t>
        </is>
      </c>
      <c r="E5412" s="53" t="inlineStr">
        <is>
          <t>2024-06-08</t>
        </is>
      </c>
      <c r="F5412" s="53">
        <v>4.7</v>
      </c>
      <c r="G5412" s="53">
        <v>0</v>
      </c>
      <c r="H5412" s="51" t="str">
        <f>TEXT(tblLaborEntries[[#This Row],[Work date serial]]-WEEKDAY(tblLaborEntries[[#This Row],[Work date serial]],3),"yyyy-mm-dd")</f>
        <v>2024-06-03</v>
      </c>
      <c r="I5412" s="64">
        <f>DATEVALUE(tblLaborEntries[[#This Row],[Work date]])</f>
        <v>45451.0</v>
      </c>
    </row>
    <row r="5413" spans="1:9" ht="15" x14ac:dyDescent="0.25">
      <c r="A5413" s="53" t="inlineStr">
        <is>
          <t>LAB-005412</t>
        </is>
      </c>
      <c r="B5413" s="53" t="inlineStr">
        <is>
          <t>WP-02371</t>
        </is>
      </c>
      <c r="C5413" s="53" t="inlineStr">
        <is>
          <t>TECH-002</t>
        </is>
      </c>
      <c r="D5413" s="53" t="inlineStr">
        <is>
          <t>Avionics</t>
        </is>
      </c>
      <c r="E5413" s="53" t="inlineStr">
        <is>
          <t>2025-09-15</t>
        </is>
      </c>
      <c r="F5413" s="53">
        <v>0.9</v>
      </c>
      <c r="G5413" s="53">
        <v>0</v>
      </c>
      <c r="H5413" s="51" t="str">
        <f>TEXT(tblLaborEntries[[#This Row],[Work date serial]]-WEEKDAY(tblLaborEntries[[#This Row],[Work date serial]],3),"yyyy-mm-dd")</f>
        <v>2025-09-15</v>
      </c>
      <c r="I5413" s="64">
        <f>DATEVALUE(tblLaborEntries[[#This Row],[Work date]])</f>
        <v>45915.0</v>
      </c>
    </row>
    <row r="5414" spans="1:9" ht="15" x14ac:dyDescent="0.25">
      <c r="A5414" s="53" t="inlineStr">
        <is>
          <t>LAB-005413</t>
        </is>
      </c>
      <c r="B5414" s="53" t="inlineStr">
        <is>
          <t>WP-02371</t>
        </is>
      </c>
      <c r="C5414" s="53" t="inlineStr">
        <is>
          <t>TECH-044</t>
        </is>
      </c>
      <c r="D5414" s="53" t="inlineStr">
        <is>
          <t>Avionics</t>
        </is>
      </c>
      <c r="E5414" s="53" t="inlineStr">
        <is>
          <t>2025-09-16</t>
        </is>
      </c>
      <c r="F5414" s="53">
        <v>1.1</v>
      </c>
      <c r="G5414" s="53">
        <v>0</v>
      </c>
      <c r="H5414" s="51" t="str">
        <f>TEXT(tblLaborEntries[[#This Row],[Work date serial]]-WEEKDAY(tblLaborEntries[[#This Row],[Work date serial]],3),"yyyy-mm-dd")</f>
        <v>2025-09-15</v>
      </c>
      <c r="I5414" s="64">
        <f>DATEVALUE(tblLaborEntries[[#This Row],[Work date]])</f>
        <v>45916.0</v>
      </c>
    </row>
    <row r="5415" spans="1:9" ht="15" x14ac:dyDescent="0.25">
      <c r="A5415" s="53" t="inlineStr">
        <is>
          <t>LAB-005414</t>
        </is>
      </c>
      <c r="B5415" s="53" t="inlineStr">
        <is>
          <t>WP-02371</t>
        </is>
      </c>
      <c r="C5415" s="53" t="inlineStr">
        <is>
          <t>TECH-062</t>
        </is>
      </c>
      <c r="D5415" s="53" t="inlineStr">
        <is>
          <t>Avionics</t>
        </is>
      </c>
      <c r="E5415" s="53" t="inlineStr">
        <is>
          <t>2025-09-17</t>
        </is>
      </c>
      <c r="F5415" s="53">
        <v>0.9</v>
      </c>
      <c r="G5415" s="53">
        <v>0</v>
      </c>
      <c r="H5415" s="51" t="str">
        <f>TEXT(tblLaborEntries[[#This Row],[Work date serial]]-WEEKDAY(tblLaborEntries[[#This Row],[Work date serial]],3),"yyyy-mm-dd")</f>
        <v>2025-09-15</v>
      </c>
      <c r="I5415" s="64">
        <f>DATEVALUE(tblLaborEntries[[#This Row],[Work date]])</f>
        <v>45917.0</v>
      </c>
    </row>
    <row r="5416" spans="1:9" ht="15" x14ac:dyDescent="0.25">
      <c r="A5416" s="53" t="inlineStr">
        <is>
          <t>LAB-005415</t>
        </is>
      </c>
      <c r="B5416" s="53" t="inlineStr">
        <is>
          <t>WP-02372</t>
        </is>
      </c>
      <c r="C5416" s="53" t="inlineStr">
        <is>
          <t>TECH-002</t>
        </is>
      </c>
      <c r="D5416" s="53" t="inlineStr">
        <is>
          <t>Avionics</t>
        </is>
      </c>
      <c r="E5416" s="53" t="inlineStr">
        <is>
          <t>2025-08-08</t>
        </is>
      </c>
      <c r="F5416" s="53">
        <v>1.8</v>
      </c>
      <c r="G5416" s="53">
        <v>0</v>
      </c>
      <c r="H5416" s="51" t="str">
        <f>TEXT(tblLaborEntries[[#This Row],[Work date serial]]-WEEKDAY(tblLaborEntries[[#This Row],[Work date serial]],3),"yyyy-mm-dd")</f>
        <v>2025-08-04</v>
      </c>
      <c r="I5416" s="64">
        <f>DATEVALUE(tblLaborEntries[[#This Row],[Work date]])</f>
        <v>45877.0</v>
      </c>
    </row>
    <row r="5417" spans="1:9" ht="15" x14ac:dyDescent="0.25">
      <c r="A5417" s="53" t="inlineStr">
        <is>
          <t>LAB-005416</t>
        </is>
      </c>
      <c r="B5417" s="53" t="inlineStr">
        <is>
          <t>WP-02372</t>
        </is>
      </c>
      <c r="C5417" s="53" t="inlineStr">
        <is>
          <t>TECH-056</t>
        </is>
      </c>
      <c r="D5417" s="53" t="inlineStr">
        <is>
          <t>Avionics</t>
        </is>
      </c>
      <c r="E5417" s="53" t="inlineStr">
        <is>
          <t>2025-08-09</t>
        </is>
      </c>
      <c r="F5417" s="53">
        <v>2</v>
      </c>
      <c r="G5417" s="53">
        <v>0</v>
      </c>
      <c r="H5417" s="51" t="str">
        <f>TEXT(tblLaborEntries[[#This Row],[Work date serial]]-WEEKDAY(tblLaborEntries[[#This Row],[Work date serial]],3),"yyyy-mm-dd")</f>
        <v>2025-08-04</v>
      </c>
      <c r="I5417" s="64">
        <f>DATEVALUE(tblLaborEntries[[#This Row],[Work date]])</f>
        <v>45878.0</v>
      </c>
    </row>
    <row r="5418" spans="1:9" ht="15" x14ac:dyDescent="0.25">
      <c r="A5418" s="53" t="inlineStr">
        <is>
          <t>LAB-005417</t>
        </is>
      </c>
      <c r="B5418" s="53" t="inlineStr">
        <is>
          <t>WP-02373</t>
        </is>
      </c>
      <c r="C5418" s="53" t="inlineStr">
        <is>
          <t>TECH-067</t>
        </is>
      </c>
      <c r="D5418" s="53" t="inlineStr">
        <is>
          <t>Airframe</t>
        </is>
      </c>
      <c r="E5418" s="53" t="inlineStr">
        <is>
          <t>2024-02-27</t>
        </is>
      </c>
      <c r="F5418" s="53">
        <v>2.1</v>
      </c>
      <c r="G5418" s="53">
        <v>2.1</v>
      </c>
      <c r="H5418" s="51" t="str">
        <f>TEXT(tblLaborEntries[[#This Row],[Work date serial]]-WEEKDAY(tblLaborEntries[[#This Row],[Work date serial]],3),"yyyy-mm-dd")</f>
        <v>2024-02-26</v>
      </c>
      <c r="I5418" s="64">
        <f>DATEVALUE(tblLaborEntries[[#This Row],[Work date]])</f>
        <v>45349.0</v>
      </c>
    </row>
    <row r="5419" spans="1:9" ht="15" x14ac:dyDescent="0.25">
      <c r="A5419" s="53" t="inlineStr">
        <is>
          <t>LAB-005418</t>
        </is>
      </c>
      <c r="B5419" s="53" t="inlineStr">
        <is>
          <t>WP-02374</t>
        </is>
      </c>
      <c r="C5419" s="53" t="inlineStr">
        <is>
          <t>TECH-051</t>
        </is>
      </c>
      <c r="D5419" s="53" t="inlineStr">
        <is>
          <t>Hydraulics</t>
        </is>
      </c>
      <c r="E5419" s="53" t="inlineStr">
        <is>
          <t>2024-12-11</t>
        </is>
      </c>
      <c r="F5419" s="53">
        <v>9.6</v>
      </c>
      <c r="G5419" s="53">
        <v>1.6</v>
      </c>
      <c r="H5419" s="51" t="str">
        <f>TEXT(tblLaborEntries[[#This Row],[Work date serial]]-WEEKDAY(tblLaborEntries[[#This Row],[Work date serial]],3),"yyyy-mm-dd")</f>
        <v>2024-12-09</v>
      </c>
      <c r="I5419" s="64">
        <f>DATEVALUE(tblLaborEntries[[#This Row],[Work date]])</f>
        <v>45637.0</v>
      </c>
    </row>
    <row r="5420" spans="1:9" ht="15" x14ac:dyDescent="0.25">
      <c r="A5420" s="53" t="inlineStr">
        <is>
          <t>LAB-005419</t>
        </is>
      </c>
      <c r="B5420" s="53" t="inlineStr">
        <is>
          <t>WP-02374</t>
        </is>
      </c>
      <c r="C5420" s="53" t="inlineStr">
        <is>
          <t>TECH-057</t>
        </is>
      </c>
      <c r="D5420" s="53" t="inlineStr">
        <is>
          <t>Hydraulics</t>
        </is>
      </c>
      <c r="E5420" s="53" t="inlineStr">
        <is>
          <t>2024-12-12</t>
        </is>
      </c>
      <c r="F5420" s="53">
        <v>7.8</v>
      </c>
      <c r="G5420" s="53">
        <v>0</v>
      </c>
      <c r="H5420" s="51" t="str">
        <f>TEXT(tblLaborEntries[[#This Row],[Work date serial]]-WEEKDAY(tblLaborEntries[[#This Row],[Work date serial]],3),"yyyy-mm-dd")</f>
        <v>2024-12-09</v>
      </c>
      <c r="I5420" s="64">
        <f>DATEVALUE(tblLaborEntries[[#This Row],[Work date]])</f>
        <v>45638.0</v>
      </c>
    </row>
    <row r="5421" spans="1:9" ht="15" x14ac:dyDescent="0.25">
      <c r="A5421" s="53" t="inlineStr">
        <is>
          <t>LAB-005420</t>
        </is>
      </c>
      <c r="B5421" s="53" t="inlineStr">
        <is>
          <t>WP-02375</t>
        </is>
      </c>
      <c r="C5421" s="53" t="inlineStr">
        <is>
          <t>TECH-055</t>
        </is>
      </c>
      <c r="D5421" s="53" t="inlineStr">
        <is>
          <t>Airframe</t>
        </is>
      </c>
      <c r="E5421" s="53" t="inlineStr">
        <is>
          <t>2024-09-27</t>
        </is>
      </c>
      <c r="F5421" s="53">
        <v>2.4</v>
      </c>
      <c r="G5421" s="53">
        <v>0</v>
      </c>
      <c r="H5421" s="51" t="str">
        <f>TEXT(tblLaborEntries[[#This Row],[Work date serial]]-WEEKDAY(tblLaborEntries[[#This Row],[Work date serial]],3),"yyyy-mm-dd")</f>
        <v>2024-09-23</v>
      </c>
      <c r="I5421" s="64">
        <f>DATEVALUE(tblLaborEntries[[#This Row],[Work date]])</f>
        <v>45562.0</v>
      </c>
    </row>
    <row r="5422" spans="1:9" ht="15" x14ac:dyDescent="0.25">
      <c r="A5422" s="53" t="inlineStr">
        <is>
          <t>LAB-005421</t>
        </is>
      </c>
      <c r="B5422" s="53" t="inlineStr">
        <is>
          <t>WP-02375</t>
        </is>
      </c>
      <c r="C5422" s="53" t="inlineStr">
        <is>
          <t>TECH-037</t>
        </is>
      </c>
      <c r="D5422" s="53" t="inlineStr">
        <is>
          <t>Airframe</t>
        </is>
      </c>
      <c r="E5422" s="53" t="inlineStr">
        <is>
          <t>2024-09-28</t>
        </is>
      </c>
      <c r="F5422" s="53">
        <v>1.9</v>
      </c>
      <c r="G5422" s="53">
        <v>0</v>
      </c>
      <c r="H5422" s="51" t="str">
        <f>TEXT(tblLaborEntries[[#This Row],[Work date serial]]-WEEKDAY(tblLaborEntries[[#This Row],[Work date serial]],3),"yyyy-mm-dd")</f>
        <v>2024-09-23</v>
      </c>
      <c r="I5422" s="64">
        <f>DATEVALUE(tblLaborEntries[[#This Row],[Work date]])</f>
        <v>45563.0</v>
      </c>
    </row>
    <row r="5423" spans="1:9" ht="15" x14ac:dyDescent="0.25">
      <c r="A5423" s="53" t="inlineStr">
        <is>
          <t>LAB-005422</t>
        </is>
      </c>
      <c r="B5423" s="53" t="inlineStr">
        <is>
          <t>WP-02376</t>
        </is>
      </c>
      <c r="C5423" s="53" t="inlineStr">
        <is>
          <t>TECH-038</t>
        </is>
      </c>
      <c r="D5423" s="53" t="inlineStr">
        <is>
          <t>Avionics</t>
        </is>
      </c>
      <c r="E5423" s="53" t="inlineStr">
        <is>
          <t>2024-06-19</t>
        </is>
      </c>
      <c r="F5423" s="53">
        <v>10.7</v>
      </c>
      <c r="G5423" s="53">
        <v>2.7</v>
      </c>
      <c r="H5423" s="51" t="str">
        <f>TEXT(tblLaborEntries[[#This Row],[Work date serial]]-WEEKDAY(tblLaborEntries[[#This Row],[Work date serial]],3),"yyyy-mm-dd")</f>
        <v>2024-06-17</v>
      </c>
      <c r="I5423" s="64">
        <f>DATEVALUE(tblLaborEntries[[#This Row],[Work date]])</f>
        <v>45462.0</v>
      </c>
    </row>
    <row r="5424" spans="1:9" ht="15" x14ac:dyDescent="0.25">
      <c r="A5424" s="53" t="inlineStr">
        <is>
          <t>LAB-005423</t>
        </is>
      </c>
      <c r="B5424" s="53" t="inlineStr">
        <is>
          <t>WP-02377</t>
        </is>
      </c>
      <c r="C5424" s="53" t="inlineStr">
        <is>
          <t>TECH-016</t>
        </is>
      </c>
      <c r="D5424" s="53" t="inlineStr">
        <is>
          <t>Electrical</t>
        </is>
      </c>
      <c r="E5424" s="53" t="inlineStr">
        <is>
          <t>2025-05-16</t>
        </is>
      </c>
      <c r="F5424" s="53">
        <v>3.3</v>
      </c>
      <c r="G5424" s="53">
        <v>0</v>
      </c>
      <c r="H5424" s="51" t="str">
        <f>TEXT(tblLaborEntries[[#This Row],[Work date serial]]-WEEKDAY(tblLaborEntries[[#This Row],[Work date serial]],3),"yyyy-mm-dd")</f>
        <v>2025-05-12</v>
      </c>
      <c r="I5424" s="64">
        <f>DATEVALUE(tblLaborEntries[[#This Row],[Work date]])</f>
        <v>45793.0</v>
      </c>
    </row>
    <row r="5425" spans="1:9" ht="15" x14ac:dyDescent="0.25">
      <c r="A5425" s="53" t="inlineStr">
        <is>
          <t>LAB-005424</t>
        </is>
      </c>
      <c r="B5425" s="53" t="inlineStr">
        <is>
          <t>WP-02377</t>
        </is>
      </c>
      <c r="C5425" s="53" t="inlineStr">
        <is>
          <t>TECH-022</t>
        </is>
      </c>
      <c r="D5425" s="53" t="inlineStr">
        <is>
          <t>Electrical</t>
        </is>
      </c>
      <c r="E5425" s="53" t="inlineStr">
        <is>
          <t>2025-05-17</t>
        </is>
      </c>
      <c r="F5425" s="53">
        <v>4.5</v>
      </c>
      <c r="G5425" s="53">
        <v>0</v>
      </c>
      <c r="H5425" s="51" t="str">
        <f>TEXT(tblLaborEntries[[#This Row],[Work date serial]]-WEEKDAY(tblLaborEntries[[#This Row],[Work date serial]],3),"yyyy-mm-dd")</f>
        <v>2025-05-12</v>
      </c>
      <c r="I5425" s="64">
        <f>DATEVALUE(tblLaborEntries[[#This Row],[Work date]])</f>
        <v>45794.0</v>
      </c>
    </row>
    <row r="5426" spans="1:9" ht="15" x14ac:dyDescent="0.25">
      <c r="A5426" s="53" t="inlineStr">
        <is>
          <t>LAB-005425</t>
        </is>
      </c>
      <c r="B5426" s="53" t="inlineStr">
        <is>
          <t>WP-02378</t>
        </is>
      </c>
      <c r="C5426" s="53" t="inlineStr">
        <is>
          <t>TECH-045</t>
        </is>
      </c>
      <c r="D5426" s="53" t="inlineStr">
        <is>
          <t>Hydraulics</t>
        </is>
      </c>
      <c r="E5426" s="53" t="inlineStr">
        <is>
          <t>2025-06-27</t>
        </is>
      </c>
      <c r="F5426" s="53">
        <v>2.5</v>
      </c>
      <c r="G5426" s="53">
        <v>0</v>
      </c>
      <c r="H5426" s="51" t="str">
        <f>TEXT(tblLaborEntries[[#This Row],[Work date serial]]-WEEKDAY(tblLaborEntries[[#This Row],[Work date serial]],3),"yyyy-mm-dd")</f>
        <v>2025-06-23</v>
      </c>
      <c r="I5426" s="64">
        <f>DATEVALUE(tblLaborEntries[[#This Row],[Work date]])</f>
        <v>45835.0</v>
      </c>
    </row>
    <row r="5427" spans="1:9" ht="15" x14ac:dyDescent="0.25">
      <c r="A5427" s="53" t="inlineStr">
        <is>
          <t>LAB-005426</t>
        </is>
      </c>
      <c r="B5427" s="53" t="inlineStr">
        <is>
          <t>WP-02378</t>
        </is>
      </c>
      <c r="C5427" s="53" t="inlineStr">
        <is>
          <t>TECH-009</t>
        </is>
      </c>
      <c r="D5427" s="53" t="inlineStr">
        <is>
          <t>Hydraulics</t>
        </is>
      </c>
      <c r="E5427" s="53" t="inlineStr">
        <is>
          <t>2025-06-28</t>
        </is>
      </c>
      <c r="F5427" s="53">
        <v>3</v>
      </c>
      <c r="G5427" s="53">
        <v>0</v>
      </c>
      <c r="H5427" s="51" t="str">
        <f>TEXT(tblLaborEntries[[#This Row],[Work date serial]]-WEEKDAY(tblLaborEntries[[#This Row],[Work date serial]],3),"yyyy-mm-dd")</f>
        <v>2025-06-23</v>
      </c>
      <c r="I5427" s="64">
        <f>DATEVALUE(tblLaborEntries[[#This Row],[Work date]])</f>
        <v>45836.0</v>
      </c>
    </row>
    <row r="5428" spans="1:9" ht="15" x14ac:dyDescent="0.25">
      <c r="A5428" s="53" t="inlineStr">
        <is>
          <t>LAB-005427</t>
        </is>
      </c>
      <c r="B5428" s="53" t="inlineStr">
        <is>
          <t>WP-02378</t>
        </is>
      </c>
      <c r="C5428" s="53" t="inlineStr">
        <is>
          <t>TECH-021</t>
        </is>
      </c>
      <c r="D5428" s="53" t="inlineStr">
        <is>
          <t>Hydraulics</t>
        </is>
      </c>
      <c r="E5428" s="53" t="inlineStr">
        <is>
          <t>2025-06-29</t>
        </is>
      </c>
      <c r="F5428" s="53">
        <v>4</v>
      </c>
      <c r="G5428" s="53">
        <v>0</v>
      </c>
      <c r="H5428" s="51" t="str">
        <f>TEXT(tblLaborEntries[[#This Row],[Work date serial]]-WEEKDAY(tblLaborEntries[[#This Row],[Work date serial]],3),"yyyy-mm-dd")</f>
        <v>2025-06-23</v>
      </c>
      <c r="I5428" s="64">
        <f>DATEVALUE(tblLaborEntries[[#This Row],[Work date]])</f>
        <v>45837.0</v>
      </c>
    </row>
    <row r="5429" spans="1:9" ht="15" x14ac:dyDescent="0.25">
      <c r="A5429" s="53" t="inlineStr">
        <is>
          <t>LAB-005428</t>
        </is>
      </c>
      <c r="B5429" s="53" t="inlineStr">
        <is>
          <t>WP-02379</t>
        </is>
      </c>
      <c r="C5429" s="53" t="inlineStr">
        <is>
          <t>TECH-038</t>
        </is>
      </c>
      <c r="D5429" s="53" t="inlineStr">
        <is>
          <t>Avionics</t>
        </is>
      </c>
      <c r="E5429" s="53" t="inlineStr">
        <is>
          <t>2025-08-07</t>
        </is>
      </c>
      <c r="F5429" s="53">
        <v>2.3</v>
      </c>
      <c r="G5429" s="53">
        <v>0</v>
      </c>
      <c r="H5429" s="51" t="str">
        <f>TEXT(tblLaborEntries[[#This Row],[Work date serial]]-WEEKDAY(tblLaborEntries[[#This Row],[Work date serial]],3),"yyyy-mm-dd")</f>
        <v>2025-08-04</v>
      </c>
      <c r="I5429" s="64">
        <f>DATEVALUE(tblLaborEntries[[#This Row],[Work date]])</f>
        <v>45876.0</v>
      </c>
    </row>
    <row r="5430" spans="1:9" ht="15" x14ac:dyDescent="0.25">
      <c r="A5430" s="53" t="inlineStr">
        <is>
          <t>LAB-005429</t>
        </is>
      </c>
      <c r="B5430" s="53" t="inlineStr">
        <is>
          <t>WP-02379</t>
        </is>
      </c>
      <c r="C5430" s="53" t="inlineStr">
        <is>
          <t>TECH-062</t>
        </is>
      </c>
      <c r="D5430" s="53" t="inlineStr">
        <is>
          <t>Avionics</t>
        </is>
      </c>
      <c r="E5430" s="53" t="inlineStr">
        <is>
          <t>2025-08-08</t>
        </is>
      </c>
      <c r="F5430" s="53">
        <v>2.5</v>
      </c>
      <c r="G5430" s="53">
        <v>0</v>
      </c>
      <c r="H5430" s="51" t="str">
        <f>TEXT(tblLaborEntries[[#This Row],[Work date serial]]-WEEKDAY(tblLaborEntries[[#This Row],[Work date serial]],3),"yyyy-mm-dd")</f>
        <v>2025-08-04</v>
      </c>
      <c r="I5430" s="64">
        <f>DATEVALUE(tblLaborEntries[[#This Row],[Work date]])</f>
        <v>45877.0</v>
      </c>
    </row>
    <row r="5431" spans="1:9" ht="15" x14ac:dyDescent="0.25">
      <c r="A5431" s="53" t="inlineStr">
        <is>
          <t>LAB-005430</t>
        </is>
      </c>
      <c r="B5431" s="53" t="inlineStr">
        <is>
          <t>WP-02379</t>
        </is>
      </c>
      <c r="C5431" s="53" t="inlineStr">
        <is>
          <t>TECH-038</t>
        </is>
      </c>
      <c r="D5431" s="53" t="inlineStr">
        <is>
          <t>Avionics</t>
        </is>
      </c>
      <c r="E5431" s="53" t="inlineStr">
        <is>
          <t>2025-08-09</t>
        </is>
      </c>
      <c r="F5431" s="53">
        <v>2.7</v>
      </c>
      <c r="G5431" s="53">
        <v>0</v>
      </c>
      <c r="H5431" s="51" t="str">
        <f>TEXT(tblLaborEntries[[#This Row],[Work date serial]]-WEEKDAY(tblLaborEntries[[#This Row],[Work date serial]],3),"yyyy-mm-dd")</f>
        <v>2025-08-04</v>
      </c>
      <c r="I5431" s="64">
        <f>DATEVALUE(tblLaborEntries[[#This Row],[Work date]])</f>
        <v>45878.0</v>
      </c>
    </row>
    <row r="5432" spans="1:9" ht="15" x14ac:dyDescent="0.25">
      <c r="A5432" s="53" t="inlineStr">
        <is>
          <t>LAB-005431</t>
        </is>
      </c>
      <c r="B5432" s="53" t="inlineStr">
        <is>
          <t>WP-02380</t>
        </is>
      </c>
      <c r="C5432" s="53" t="inlineStr">
        <is>
          <t>TECH-068</t>
        </is>
      </c>
      <c r="D5432" s="53" t="inlineStr">
        <is>
          <t>Avionics</t>
        </is>
      </c>
      <c r="E5432" s="53" t="inlineStr">
        <is>
          <t>2025-08-08</t>
        </is>
      </c>
      <c r="F5432" s="53">
        <v>3.6</v>
      </c>
      <c r="G5432" s="53">
        <v>0</v>
      </c>
      <c r="H5432" s="51" t="str">
        <f>TEXT(tblLaborEntries[[#This Row],[Work date serial]]-WEEKDAY(tblLaborEntries[[#This Row],[Work date serial]],3),"yyyy-mm-dd")</f>
        <v>2025-08-04</v>
      </c>
      <c r="I5432" s="64">
        <f>DATEVALUE(tblLaborEntries[[#This Row],[Work date]])</f>
        <v>45877.0</v>
      </c>
    </row>
    <row r="5433" spans="1:9" ht="15" x14ac:dyDescent="0.25">
      <c r="A5433" s="53" t="inlineStr">
        <is>
          <t>LAB-005432</t>
        </is>
      </c>
      <c r="B5433" s="53" t="inlineStr">
        <is>
          <t>WP-02380</t>
        </is>
      </c>
      <c r="C5433" s="53" t="inlineStr">
        <is>
          <t>TECH-014</t>
        </is>
      </c>
      <c r="D5433" s="53" t="inlineStr">
        <is>
          <t>Avionics</t>
        </is>
      </c>
      <c r="E5433" s="53" t="inlineStr">
        <is>
          <t>2025-08-09</t>
        </is>
      </c>
      <c r="F5433" s="53">
        <v>3.8</v>
      </c>
      <c r="G5433" s="53">
        <v>0</v>
      </c>
      <c r="H5433" s="51" t="str">
        <f>TEXT(tblLaborEntries[[#This Row],[Work date serial]]-WEEKDAY(tblLaborEntries[[#This Row],[Work date serial]],3),"yyyy-mm-dd")</f>
        <v>2025-08-04</v>
      </c>
      <c r="I5433" s="64">
        <f>DATEVALUE(tblLaborEntries[[#This Row],[Work date]])</f>
        <v>45878.0</v>
      </c>
    </row>
    <row r="5434" spans="1:9" ht="15" x14ac:dyDescent="0.25">
      <c r="A5434" s="53" t="inlineStr">
        <is>
          <t>LAB-005433</t>
        </is>
      </c>
      <c r="B5434" s="53" t="inlineStr">
        <is>
          <t>WP-02381</t>
        </is>
      </c>
      <c r="C5434" s="53" t="inlineStr">
        <is>
          <t>TECH-008</t>
        </is>
      </c>
      <c r="D5434" s="53" t="inlineStr">
        <is>
          <t>Avionics</t>
        </is>
      </c>
      <c r="E5434" s="53" t="inlineStr">
        <is>
          <t>2024-02-21</t>
        </is>
      </c>
      <c r="F5434" s="53">
        <v>2.7</v>
      </c>
      <c r="G5434" s="53">
        <v>0</v>
      </c>
      <c r="H5434" s="51" t="str">
        <f>TEXT(tblLaborEntries[[#This Row],[Work date serial]]-WEEKDAY(tblLaborEntries[[#This Row],[Work date serial]],3),"yyyy-mm-dd")</f>
        <v>2024-02-19</v>
      </c>
      <c r="I5434" s="64">
        <f>DATEVALUE(tblLaborEntries[[#This Row],[Work date]])</f>
        <v>45343.0</v>
      </c>
    </row>
    <row r="5435" spans="1:9" ht="15" x14ac:dyDescent="0.25">
      <c r="A5435" s="53" t="inlineStr">
        <is>
          <t>LAB-005434</t>
        </is>
      </c>
      <c r="B5435" s="53" t="inlineStr">
        <is>
          <t>WP-02381</t>
        </is>
      </c>
      <c r="C5435" s="53" t="inlineStr">
        <is>
          <t>TECH-044</t>
        </is>
      </c>
      <c r="D5435" s="53" t="inlineStr">
        <is>
          <t>Avionics</t>
        </is>
      </c>
      <c r="E5435" s="53" t="inlineStr">
        <is>
          <t>2024-02-22</t>
        </is>
      </c>
      <c r="F5435" s="53">
        <v>2.2</v>
      </c>
      <c r="G5435" s="53">
        <v>0</v>
      </c>
      <c r="H5435" s="51" t="str">
        <f>TEXT(tblLaborEntries[[#This Row],[Work date serial]]-WEEKDAY(tblLaborEntries[[#This Row],[Work date serial]],3),"yyyy-mm-dd")</f>
        <v>2024-02-19</v>
      </c>
      <c r="I5435" s="64">
        <f>DATEVALUE(tblLaborEntries[[#This Row],[Work date]])</f>
        <v>45344.0</v>
      </c>
    </row>
    <row r="5436" spans="1:9" ht="15" x14ac:dyDescent="0.25">
      <c r="A5436" s="53" t="inlineStr">
        <is>
          <t>LAB-005435</t>
        </is>
      </c>
      <c r="B5436" s="53" t="inlineStr">
        <is>
          <t>WP-02382</t>
        </is>
      </c>
      <c r="C5436" s="53" t="inlineStr">
        <is>
          <t>TECH-002</t>
        </is>
      </c>
      <c r="D5436" s="53" t="inlineStr">
        <is>
          <t>Avionics</t>
        </is>
      </c>
      <c r="E5436" s="53" t="inlineStr">
        <is>
          <t>2025-09-10</t>
        </is>
      </c>
      <c r="F5436" s="53">
        <v>5.9</v>
      </c>
      <c r="G5436" s="53">
        <v>0</v>
      </c>
      <c r="H5436" s="51" t="str">
        <f>TEXT(tblLaborEntries[[#This Row],[Work date serial]]-WEEKDAY(tblLaborEntries[[#This Row],[Work date serial]],3),"yyyy-mm-dd")</f>
        <v>2025-09-08</v>
      </c>
      <c r="I5436" s="64">
        <f>DATEVALUE(tblLaborEntries[[#This Row],[Work date]])</f>
        <v>45910.0</v>
      </c>
    </row>
    <row r="5437" spans="1:9" ht="15" x14ac:dyDescent="0.25">
      <c r="A5437" s="53" t="inlineStr">
        <is>
          <t>LAB-005436</t>
        </is>
      </c>
      <c r="B5437" s="53" t="inlineStr">
        <is>
          <t>WP-02383</t>
        </is>
      </c>
      <c r="C5437" s="53" t="inlineStr">
        <is>
          <t>TECH-044</t>
        </is>
      </c>
      <c r="D5437" s="53" t="inlineStr">
        <is>
          <t>Avionics</t>
        </is>
      </c>
      <c r="E5437" s="53" t="inlineStr">
        <is>
          <t>2024-10-16</t>
        </is>
      </c>
      <c r="F5437" s="53">
        <v>3.6</v>
      </c>
      <c r="G5437" s="53">
        <v>3.6</v>
      </c>
      <c r="H5437" s="51" t="str">
        <f>TEXT(tblLaborEntries[[#This Row],[Work date serial]]-WEEKDAY(tblLaborEntries[[#This Row],[Work date serial]],3),"yyyy-mm-dd")</f>
        <v>2024-10-14</v>
      </c>
      <c r="I5437" s="64">
        <f>DATEVALUE(tblLaborEntries[[#This Row],[Work date]])</f>
        <v>45581.0</v>
      </c>
    </row>
    <row r="5438" spans="1:9" ht="15" x14ac:dyDescent="0.25">
      <c r="A5438" s="53" t="inlineStr">
        <is>
          <t>LAB-005437</t>
        </is>
      </c>
      <c r="B5438" s="53" t="inlineStr">
        <is>
          <t>WP-02383</t>
        </is>
      </c>
      <c r="C5438" s="53" t="inlineStr">
        <is>
          <t>TECH-068</t>
        </is>
      </c>
      <c r="D5438" s="53" t="inlineStr">
        <is>
          <t>Avionics</t>
        </is>
      </c>
      <c r="E5438" s="53" t="inlineStr">
        <is>
          <t>2024-10-17</t>
        </is>
      </c>
      <c r="F5438" s="53">
        <v>3.2</v>
      </c>
      <c r="G5438" s="53">
        <v>0</v>
      </c>
      <c r="H5438" s="51" t="str">
        <f>TEXT(tblLaborEntries[[#This Row],[Work date serial]]-WEEKDAY(tblLaborEntries[[#This Row],[Work date serial]],3),"yyyy-mm-dd")</f>
        <v>2024-10-14</v>
      </c>
      <c r="I5438" s="64">
        <f>DATEVALUE(tblLaborEntries[[#This Row],[Work date]])</f>
        <v>45582.0</v>
      </c>
    </row>
    <row r="5439" spans="1:9" ht="15" x14ac:dyDescent="0.25">
      <c r="A5439" s="53" t="inlineStr">
        <is>
          <t>LAB-005438</t>
        </is>
      </c>
      <c r="B5439" s="53" t="inlineStr">
        <is>
          <t>WP-02384</t>
        </is>
      </c>
      <c r="C5439" s="53" t="inlineStr">
        <is>
          <t>TECH-014</t>
        </is>
      </c>
      <c r="D5439" s="53" t="inlineStr">
        <is>
          <t>Avionics</t>
        </is>
      </c>
      <c r="E5439" s="53" t="inlineStr">
        <is>
          <t>2024-02-15</t>
        </is>
      </c>
      <c r="F5439" s="53">
        <v>3.3</v>
      </c>
      <c r="G5439" s="53">
        <v>0</v>
      </c>
      <c r="H5439" s="51" t="str">
        <f>TEXT(tblLaborEntries[[#This Row],[Work date serial]]-WEEKDAY(tblLaborEntries[[#This Row],[Work date serial]],3),"yyyy-mm-dd")</f>
        <v>2024-02-12</v>
      </c>
      <c r="I5439" s="64">
        <f>DATEVALUE(tblLaborEntries[[#This Row],[Work date]])</f>
        <v>45337.0</v>
      </c>
    </row>
    <row r="5440" spans="1:9" ht="15" x14ac:dyDescent="0.25">
      <c r="A5440" s="53" t="inlineStr">
        <is>
          <t>LAB-005439</t>
        </is>
      </c>
      <c r="B5440" s="53" t="inlineStr">
        <is>
          <t>WP-02385</t>
        </is>
      </c>
      <c r="C5440" s="53" t="inlineStr">
        <is>
          <t>TECH-037</t>
        </is>
      </c>
      <c r="D5440" s="53" t="inlineStr">
        <is>
          <t>Airframe</t>
        </is>
      </c>
      <c r="E5440" s="53" t="inlineStr">
        <is>
          <t>2025-09-06</t>
        </is>
      </c>
      <c r="F5440" s="53">
        <v>2.8</v>
      </c>
      <c r="G5440" s="53">
        <v>0</v>
      </c>
      <c r="H5440" s="51" t="str">
        <f>TEXT(tblLaborEntries[[#This Row],[Work date serial]]-WEEKDAY(tblLaborEntries[[#This Row],[Work date serial]],3),"yyyy-mm-dd")</f>
        <v>2025-09-01</v>
      </c>
      <c r="I5440" s="64">
        <f>DATEVALUE(tblLaborEntries[[#This Row],[Work date]])</f>
        <v>45906.0</v>
      </c>
    </row>
    <row r="5441" spans="1:9" ht="15" x14ac:dyDescent="0.25">
      <c r="A5441" s="53" t="inlineStr">
        <is>
          <t>LAB-005440</t>
        </is>
      </c>
      <c r="B5441" s="53" t="inlineStr">
        <is>
          <t>WP-02385</t>
        </is>
      </c>
      <c r="C5441" s="53" t="inlineStr">
        <is>
          <t>TECH-073</t>
        </is>
      </c>
      <c r="D5441" s="53" t="inlineStr">
        <is>
          <t>Airframe</t>
        </is>
      </c>
      <c r="E5441" s="53" t="inlineStr">
        <is>
          <t>2025-09-07</t>
        </is>
      </c>
      <c r="F5441" s="53">
        <v>4.2</v>
      </c>
      <c r="G5441" s="53">
        <v>0</v>
      </c>
      <c r="H5441" s="51" t="str">
        <f>TEXT(tblLaborEntries[[#This Row],[Work date serial]]-WEEKDAY(tblLaborEntries[[#This Row],[Work date serial]],3),"yyyy-mm-dd")</f>
        <v>2025-09-01</v>
      </c>
      <c r="I5441" s="64">
        <f>DATEVALUE(tblLaborEntries[[#This Row],[Work date]])</f>
        <v>45907.0</v>
      </c>
    </row>
    <row r="5442" spans="1:9" ht="15" x14ac:dyDescent="0.25">
      <c r="A5442" s="53" t="inlineStr">
        <is>
          <t>LAB-005441</t>
        </is>
      </c>
      <c r="B5442" s="53" t="inlineStr">
        <is>
          <t>WP-02386</t>
        </is>
      </c>
      <c r="C5442" s="53" t="inlineStr">
        <is>
          <t>TECH-002</t>
        </is>
      </c>
      <c r="D5442" s="53" t="inlineStr">
        <is>
          <t>Avionics</t>
        </is>
      </c>
      <c r="E5442" s="53" t="inlineStr">
        <is>
          <t>2024-05-23</t>
        </is>
      </c>
      <c r="F5442" s="53">
        <v>12</v>
      </c>
      <c r="G5442" s="53">
        <v>4</v>
      </c>
      <c r="H5442" s="51" t="str">
        <f>TEXT(tblLaborEntries[[#This Row],[Work date serial]]-WEEKDAY(tblLaborEntries[[#This Row],[Work date serial]],3),"yyyy-mm-dd")</f>
        <v>2024-05-20</v>
      </c>
      <c r="I5442" s="64">
        <f>DATEVALUE(tblLaborEntries[[#This Row],[Work date]])</f>
        <v>45435.0</v>
      </c>
    </row>
    <row r="5443" spans="1:9" ht="15" x14ac:dyDescent="0.25">
      <c r="A5443" s="53" t="inlineStr">
        <is>
          <t>LAB-005442</t>
        </is>
      </c>
      <c r="B5443" s="53" t="inlineStr">
        <is>
          <t>WP-02386</t>
        </is>
      </c>
      <c r="C5443" s="53" t="inlineStr">
        <is>
          <t>TECH-008</t>
        </is>
      </c>
      <c r="D5443" s="53" t="inlineStr">
        <is>
          <t>Avionics</t>
        </is>
      </c>
      <c r="E5443" s="53" t="inlineStr">
        <is>
          <t>2024-05-23</t>
        </is>
      </c>
      <c r="F5443" s="53">
        <v>7</v>
      </c>
      <c r="G5443" s="53">
        <v>0</v>
      </c>
      <c r="H5443" s="51" t="str">
        <f>TEXT(tblLaborEntries[[#This Row],[Work date serial]]-WEEKDAY(tblLaborEntries[[#This Row],[Work date serial]],3),"yyyy-mm-dd")</f>
        <v>2024-05-20</v>
      </c>
      <c r="I5443" s="64">
        <f>DATEVALUE(tblLaborEntries[[#This Row],[Work date]])</f>
        <v>45435.0</v>
      </c>
    </row>
    <row r="5444" spans="1:9" ht="15" x14ac:dyDescent="0.25">
      <c r="A5444" s="53" t="inlineStr">
        <is>
          <t>LAB-005443</t>
        </is>
      </c>
      <c r="B5444" s="53" t="inlineStr">
        <is>
          <t>WP-02386</t>
        </is>
      </c>
      <c r="C5444" s="53" t="inlineStr">
        <is>
          <t>TECH-056</t>
        </is>
      </c>
      <c r="D5444" s="53" t="inlineStr">
        <is>
          <t>Avionics</t>
        </is>
      </c>
      <c r="E5444" s="53" t="inlineStr">
        <is>
          <t>2024-05-23</t>
        </is>
      </c>
      <c r="F5444" s="53">
        <v>12</v>
      </c>
      <c r="G5444" s="53">
        <v>4</v>
      </c>
      <c r="H5444" s="51" t="str">
        <f>TEXT(tblLaborEntries[[#This Row],[Work date serial]]-WEEKDAY(tblLaborEntries[[#This Row],[Work date serial]],3),"yyyy-mm-dd")</f>
        <v>2024-05-20</v>
      </c>
      <c r="I5444" s="64">
        <f>DATEVALUE(tblLaborEntries[[#This Row],[Work date]])</f>
        <v>45435.0</v>
      </c>
    </row>
    <row r="5445" spans="1:9" ht="15" x14ac:dyDescent="0.25">
      <c r="A5445" s="53" t="inlineStr">
        <is>
          <t>LAB-005444</t>
        </is>
      </c>
      <c r="B5445" s="53" t="inlineStr">
        <is>
          <t>WP-02387</t>
        </is>
      </c>
      <c r="C5445" s="53" t="inlineStr">
        <is>
          <t>TECH-006</t>
        </is>
      </c>
      <c r="D5445" s="53" t="inlineStr">
        <is>
          <t>Powerplant</t>
        </is>
      </c>
      <c r="E5445" s="53" t="inlineStr">
        <is>
          <t>2024-01-06</t>
        </is>
      </c>
      <c r="F5445" s="53">
        <v>3.6</v>
      </c>
      <c r="G5445" s="53">
        <v>0</v>
      </c>
      <c r="H5445" s="51" t="str">
        <f>TEXT(tblLaborEntries[[#This Row],[Work date serial]]-WEEKDAY(tblLaborEntries[[#This Row],[Work date serial]],3),"yyyy-mm-dd")</f>
        <v>2024-01-01</v>
      </c>
      <c r="I5445" s="64">
        <f>DATEVALUE(tblLaborEntries[[#This Row],[Work date]])</f>
        <v>45297.0</v>
      </c>
    </row>
    <row r="5446" spans="1:9" ht="15" x14ac:dyDescent="0.25">
      <c r="A5446" s="53" t="inlineStr">
        <is>
          <t>LAB-005445</t>
        </is>
      </c>
      <c r="B5446" s="53" t="inlineStr">
        <is>
          <t>WP-02387</t>
        </is>
      </c>
      <c r="C5446" s="53" t="inlineStr">
        <is>
          <t>TECH-024</t>
        </is>
      </c>
      <c r="D5446" s="53" t="inlineStr">
        <is>
          <t>Powerplant</t>
        </is>
      </c>
      <c r="E5446" s="53" t="inlineStr">
        <is>
          <t>2024-01-07</t>
        </is>
      </c>
      <c r="F5446" s="53">
        <v>3</v>
      </c>
      <c r="G5446" s="53">
        <v>0</v>
      </c>
      <c r="H5446" s="51" t="str">
        <f>TEXT(tblLaborEntries[[#This Row],[Work date serial]]-WEEKDAY(tblLaborEntries[[#This Row],[Work date serial]],3),"yyyy-mm-dd")</f>
        <v>2024-01-01</v>
      </c>
      <c r="I5446" s="64">
        <f>DATEVALUE(tblLaborEntries[[#This Row],[Work date]])</f>
        <v>45298.0</v>
      </c>
    </row>
    <row r="5447" spans="1:9" ht="15" x14ac:dyDescent="0.25">
      <c r="A5447" s="53" t="inlineStr">
        <is>
          <t>LAB-005446</t>
        </is>
      </c>
      <c r="B5447" s="53" t="inlineStr">
        <is>
          <t>WP-02387</t>
        </is>
      </c>
      <c r="C5447" s="53" t="inlineStr">
        <is>
          <t>TECH-018</t>
        </is>
      </c>
      <c r="D5447" s="53" t="inlineStr">
        <is>
          <t>Powerplant</t>
        </is>
      </c>
      <c r="E5447" s="53" t="inlineStr">
        <is>
          <t>2024-01-08</t>
        </is>
      </c>
      <c r="F5447" s="53">
        <v>3.9</v>
      </c>
      <c r="G5447" s="53">
        <v>3.7</v>
      </c>
      <c r="H5447" s="51" t="str">
        <f>TEXT(tblLaborEntries[[#This Row],[Work date serial]]-WEEKDAY(tblLaborEntries[[#This Row],[Work date serial]],3),"yyyy-mm-dd")</f>
        <v>2024-01-08</v>
      </c>
      <c r="I5447" s="64">
        <f>DATEVALUE(tblLaborEntries[[#This Row],[Work date]])</f>
        <v>45299.0</v>
      </c>
    </row>
    <row r="5448" spans="1:9" ht="15" x14ac:dyDescent="0.25">
      <c r="A5448" s="53" t="inlineStr">
        <is>
          <t>LAB-005447</t>
        </is>
      </c>
      <c r="B5448" s="53" t="inlineStr">
        <is>
          <t>WP-02388</t>
        </is>
      </c>
      <c r="C5448" s="53" t="inlineStr">
        <is>
          <t>TECH-003</t>
        </is>
      </c>
      <c r="D5448" s="53" t="inlineStr">
        <is>
          <t>Hydraulics</t>
        </is>
      </c>
      <c r="E5448" s="53" t="inlineStr">
        <is>
          <t>2025-06-24</t>
        </is>
      </c>
      <c r="F5448" s="53">
        <v>1.6</v>
      </c>
      <c r="G5448" s="53">
        <v>0</v>
      </c>
      <c r="H5448" s="51" t="str">
        <f>TEXT(tblLaborEntries[[#This Row],[Work date serial]]-WEEKDAY(tblLaborEntries[[#This Row],[Work date serial]],3),"yyyy-mm-dd")</f>
        <v>2025-06-23</v>
      </c>
      <c r="I5448" s="64">
        <f>DATEVALUE(tblLaborEntries[[#This Row],[Work date]])</f>
        <v>45832.0</v>
      </c>
    </row>
    <row r="5449" spans="1:9" ht="15" x14ac:dyDescent="0.25">
      <c r="A5449" s="53" t="inlineStr">
        <is>
          <t>LAB-005448</t>
        </is>
      </c>
      <c r="B5449" s="53" t="inlineStr">
        <is>
          <t>WP-02388</t>
        </is>
      </c>
      <c r="C5449" s="53" t="inlineStr">
        <is>
          <t>TECH-033</t>
        </is>
      </c>
      <c r="D5449" s="53" t="inlineStr">
        <is>
          <t>Hydraulics</t>
        </is>
      </c>
      <c r="E5449" s="53" t="inlineStr">
        <is>
          <t>2025-06-24</t>
        </is>
      </c>
      <c r="F5449" s="53">
        <v>12</v>
      </c>
      <c r="G5449" s="53">
        <v>4</v>
      </c>
      <c r="H5449" s="51" t="str">
        <f>TEXT(tblLaborEntries[[#This Row],[Work date serial]]-WEEKDAY(tblLaborEntries[[#This Row],[Work date serial]],3),"yyyy-mm-dd")</f>
        <v>2025-06-23</v>
      </c>
      <c r="I5449" s="64">
        <f>DATEVALUE(tblLaborEntries[[#This Row],[Work date]])</f>
        <v>45832.0</v>
      </c>
    </row>
    <row r="5450" spans="1:9" ht="15" x14ac:dyDescent="0.25">
      <c r="A5450" s="53" t="inlineStr">
        <is>
          <t>LAB-005449</t>
        </is>
      </c>
      <c r="B5450" s="53" t="inlineStr">
        <is>
          <t>WP-02388</t>
        </is>
      </c>
      <c r="C5450" s="53" t="inlineStr">
        <is>
          <t>TECH-009</t>
        </is>
      </c>
      <c r="D5450" s="53" t="inlineStr">
        <is>
          <t>Hydraulics</t>
        </is>
      </c>
      <c r="E5450" s="53" t="inlineStr">
        <is>
          <t>2025-06-25</t>
        </is>
      </c>
      <c r="F5450" s="53">
        <v>0.1</v>
      </c>
      <c r="G5450" s="53">
        <v>0</v>
      </c>
      <c r="H5450" s="51" t="str">
        <f>TEXT(tblLaborEntries[[#This Row],[Work date serial]]-WEEKDAY(tblLaborEntries[[#This Row],[Work date serial]],3),"yyyy-mm-dd")</f>
        <v>2025-06-23</v>
      </c>
      <c r="I5450" s="64">
        <f>DATEVALUE(tblLaborEntries[[#This Row],[Work date]])</f>
        <v>45833.0</v>
      </c>
    </row>
    <row r="5451" spans="1:9" ht="15" x14ac:dyDescent="0.25">
      <c r="A5451" s="53" t="inlineStr">
        <is>
          <t>LAB-005450</t>
        </is>
      </c>
      <c r="B5451" s="53" t="inlineStr">
        <is>
          <t>WP-02388</t>
        </is>
      </c>
      <c r="C5451" s="53" t="inlineStr">
        <is>
          <t>TECH-063</t>
        </is>
      </c>
      <c r="D5451" s="53" t="inlineStr">
        <is>
          <t>Hydraulics</t>
        </is>
      </c>
      <c r="E5451" s="53" t="inlineStr">
        <is>
          <t>2025-06-25</t>
        </is>
      </c>
      <c r="F5451" s="53">
        <v>12</v>
      </c>
      <c r="G5451" s="53">
        <v>4</v>
      </c>
      <c r="H5451" s="51" t="str">
        <f>TEXT(tblLaborEntries[[#This Row],[Work date serial]]-WEEKDAY(tblLaborEntries[[#This Row],[Work date serial]],3),"yyyy-mm-dd")</f>
        <v>2025-06-23</v>
      </c>
      <c r="I5451" s="64">
        <f>DATEVALUE(tblLaborEntries[[#This Row],[Work date]])</f>
        <v>45833.0</v>
      </c>
    </row>
    <row r="5452" spans="1:9" ht="15" x14ac:dyDescent="0.25">
      <c r="A5452" s="53" t="inlineStr">
        <is>
          <t>LAB-005451</t>
        </is>
      </c>
      <c r="B5452" s="53" t="inlineStr">
        <is>
          <t>WP-02389</t>
        </is>
      </c>
      <c r="C5452" s="53" t="inlineStr">
        <is>
          <t>TECH-028</t>
        </is>
      </c>
      <c r="D5452" s="53" t="inlineStr">
        <is>
          <t>Electrical</t>
        </is>
      </c>
      <c r="E5452" s="53" t="inlineStr">
        <is>
          <t>2025-05-21</t>
        </is>
      </c>
      <c r="F5452" s="53">
        <v>10.7</v>
      </c>
      <c r="G5452" s="53">
        <v>2.7</v>
      </c>
      <c r="H5452" s="51" t="str">
        <f>TEXT(tblLaborEntries[[#This Row],[Work date serial]]-WEEKDAY(tblLaborEntries[[#This Row],[Work date serial]],3),"yyyy-mm-dd")</f>
        <v>2025-05-19</v>
      </c>
      <c r="I5452" s="64">
        <f>DATEVALUE(tblLaborEntries[[#This Row],[Work date]])</f>
        <v>45798.0</v>
      </c>
    </row>
    <row r="5453" spans="1:9" ht="15" x14ac:dyDescent="0.25">
      <c r="A5453" s="53" t="inlineStr">
        <is>
          <t>LAB-005452</t>
        </is>
      </c>
      <c r="B5453" s="53" t="inlineStr">
        <is>
          <t>WP-02389</t>
        </is>
      </c>
      <c r="C5453" s="53" t="inlineStr">
        <is>
          <t>TECH-004</t>
        </is>
      </c>
      <c r="D5453" s="53" t="inlineStr">
        <is>
          <t>Electrical</t>
        </is>
      </c>
      <c r="E5453" s="53" t="inlineStr">
        <is>
          <t>2025-05-22</t>
        </is>
      </c>
      <c r="F5453" s="53">
        <v>0.4</v>
      </c>
      <c r="G5453" s="53">
        <v>0</v>
      </c>
      <c r="H5453" s="51" t="str">
        <f>TEXT(tblLaborEntries[[#This Row],[Work date serial]]-WEEKDAY(tblLaborEntries[[#This Row],[Work date serial]],3),"yyyy-mm-dd")</f>
        <v>2025-05-19</v>
      </c>
      <c r="I5453" s="64">
        <f>DATEVALUE(tblLaborEntries[[#This Row],[Work date]])</f>
        <v>45799.0</v>
      </c>
    </row>
    <row r="5454" spans="1:9" ht="15" x14ac:dyDescent="0.25">
      <c r="A5454" s="53" t="inlineStr">
        <is>
          <t>LAB-005453</t>
        </is>
      </c>
      <c r="B5454" s="53" t="inlineStr">
        <is>
          <t>WP-02389</t>
        </is>
      </c>
      <c r="C5454" s="53" t="inlineStr">
        <is>
          <t>TECH-046</t>
        </is>
      </c>
      <c r="D5454" s="53" t="inlineStr">
        <is>
          <t>Electrical</t>
        </is>
      </c>
      <c r="E5454" s="53" t="inlineStr">
        <is>
          <t>2025-05-22</t>
        </is>
      </c>
      <c r="F5454" s="53">
        <v>12</v>
      </c>
      <c r="G5454" s="53">
        <v>4</v>
      </c>
      <c r="H5454" s="51" t="str">
        <f>TEXT(tblLaborEntries[[#This Row],[Work date serial]]-WEEKDAY(tblLaborEntries[[#This Row],[Work date serial]],3),"yyyy-mm-dd")</f>
        <v>2025-05-19</v>
      </c>
      <c r="I5454" s="64">
        <f>DATEVALUE(tblLaborEntries[[#This Row],[Work date]])</f>
        <v>45799.0</v>
      </c>
    </row>
    <row r="5455" spans="1:9" ht="15" x14ac:dyDescent="0.25">
      <c r="A5455" s="53" t="inlineStr">
        <is>
          <t>LAB-005454</t>
        </is>
      </c>
      <c r="B5455" s="53" t="inlineStr">
        <is>
          <t>WP-02390</t>
        </is>
      </c>
      <c r="C5455" s="53" t="inlineStr">
        <is>
          <t>TECH-059</t>
        </is>
      </c>
      <c r="D5455" s="53" t="inlineStr">
        <is>
          <t>Structures</t>
        </is>
      </c>
      <c r="E5455" s="53" t="inlineStr">
        <is>
          <t>2024-12-21</t>
        </is>
      </c>
      <c r="F5455" s="53">
        <v>8.5</v>
      </c>
      <c r="G5455" s="53">
        <v>0.5</v>
      </c>
      <c r="H5455" s="51" t="str">
        <f>TEXT(tblLaborEntries[[#This Row],[Work date serial]]-WEEKDAY(tblLaborEntries[[#This Row],[Work date serial]],3),"yyyy-mm-dd")</f>
        <v>2024-12-16</v>
      </c>
      <c r="I5455" s="64">
        <f>DATEVALUE(tblLaborEntries[[#This Row],[Work date]])</f>
        <v>45647.0</v>
      </c>
    </row>
    <row r="5456" spans="1:9" ht="15" x14ac:dyDescent="0.25">
      <c r="A5456" s="53" t="inlineStr">
        <is>
          <t>LAB-005455</t>
        </is>
      </c>
      <c r="B5456" s="53" t="inlineStr">
        <is>
          <t>WP-02390</t>
        </is>
      </c>
      <c r="C5456" s="53" t="inlineStr">
        <is>
          <t>TECH-011</t>
        </is>
      </c>
      <c r="D5456" s="53" t="inlineStr">
        <is>
          <t>Structures</t>
        </is>
      </c>
      <c r="E5456" s="53" t="inlineStr">
        <is>
          <t>2024-12-22</t>
        </is>
      </c>
      <c r="F5456" s="53">
        <v>6.4</v>
      </c>
      <c r="G5456" s="53">
        <v>0</v>
      </c>
      <c r="H5456" s="51" t="str">
        <f>TEXT(tblLaborEntries[[#This Row],[Work date serial]]-WEEKDAY(tblLaborEntries[[#This Row],[Work date serial]],3),"yyyy-mm-dd")</f>
        <v>2024-12-16</v>
      </c>
      <c r="I5456" s="64">
        <f>DATEVALUE(tblLaborEntries[[#This Row],[Work date]])</f>
        <v>45648.0</v>
      </c>
    </row>
    <row r="5457" spans="1:9" ht="15" x14ac:dyDescent="0.25">
      <c r="A5457" s="53" t="inlineStr">
        <is>
          <t>LAB-005456</t>
        </is>
      </c>
      <c r="B5457" s="53" t="inlineStr">
        <is>
          <t>WP-02390</t>
        </is>
      </c>
      <c r="C5457" s="53" t="inlineStr">
        <is>
          <t>TECH-041</t>
        </is>
      </c>
      <c r="D5457" s="53" t="inlineStr">
        <is>
          <t>Structures</t>
        </is>
      </c>
      <c r="E5457" s="53" t="inlineStr">
        <is>
          <t>2024-12-23</t>
        </is>
      </c>
      <c r="F5457" s="53">
        <v>9.1</v>
      </c>
      <c r="G5457" s="53">
        <v>1.1</v>
      </c>
      <c r="H5457" s="51" t="str">
        <f>TEXT(tblLaborEntries[[#This Row],[Work date serial]]-WEEKDAY(tblLaborEntries[[#This Row],[Work date serial]],3),"yyyy-mm-dd")</f>
        <v>2024-12-23</v>
      </c>
      <c r="I5457" s="64">
        <f>DATEVALUE(tblLaborEntries[[#This Row],[Work date]])</f>
        <v>45649.0</v>
      </c>
    </row>
    <row r="5458" spans="1:9" ht="15" x14ac:dyDescent="0.25">
      <c r="A5458" s="53" t="inlineStr">
        <is>
          <t>LAB-005457</t>
        </is>
      </c>
      <c r="B5458" s="53" t="inlineStr">
        <is>
          <t>WP-02391</t>
        </is>
      </c>
      <c r="C5458" s="53" t="inlineStr">
        <is>
          <t>TECH-008</t>
        </is>
      </c>
      <c r="D5458" s="53" t="inlineStr">
        <is>
          <t>Avionics</t>
        </is>
      </c>
      <c r="E5458" s="53" t="inlineStr">
        <is>
          <t>2024-10-25</t>
        </is>
      </c>
      <c r="F5458" s="53">
        <v>2.5</v>
      </c>
      <c r="G5458" s="53">
        <v>0</v>
      </c>
      <c r="H5458" s="51" t="str">
        <f>TEXT(tblLaborEntries[[#This Row],[Work date serial]]-WEEKDAY(tblLaborEntries[[#This Row],[Work date serial]],3),"yyyy-mm-dd")</f>
        <v>2024-10-21</v>
      </c>
      <c r="I5458" s="64">
        <f>DATEVALUE(tblLaborEntries[[#This Row],[Work date]])</f>
        <v>45590.0</v>
      </c>
    </row>
    <row r="5459" spans="1:9" ht="15" x14ac:dyDescent="0.25">
      <c r="A5459" s="53" t="inlineStr">
        <is>
          <t>LAB-005458</t>
        </is>
      </c>
      <c r="B5459" s="53" t="inlineStr">
        <is>
          <t>WP-02391</t>
        </is>
      </c>
      <c r="C5459" s="53" t="inlineStr">
        <is>
          <t>TECH-026</t>
        </is>
      </c>
      <c r="D5459" s="53" t="inlineStr">
        <is>
          <t>Avionics</t>
        </is>
      </c>
      <c r="E5459" s="53" t="inlineStr">
        <is>
          <t>2024-10-26</t>
        </is>
      </c>
      <c r="F5459" s="53">
        <v>2</v>
      </c>
      <c r="G5459" s="53">
        <v>0</v>
      </c>
      <c r="H5459" s="51" t="str">
        <f>TEXT(tblLaborEntries[[#This Row],[Work date serial]]-WEEKDAY(tblLaborEntries[[#This Row],[Work date serial]],3),"yyyy-mm-dd")</f>
        <v>2024-10-21</v>
      </c>
      <c r="I5459" s="64">
        <f>DATEVALUE(tblLaborEntries[[#This Row],[Work date]])</f>
        <v>45591.0</v>
      </c>
    </row>
    <row r="5460" spans="1:9" ht="15" x14ac:dyDescent="0.25">
      <c r="A5460" s="53" t="inlineStr">
        <is>
          <t>LAB-005459</t>
        </is>
      </c>
      <c r="B5460" s="53" t="inlineStr">
        <is>
          <t>WP-02392</t>
        </is>
      </c>
      <c r="C5460" s="53" t="inlineStr">
        <is>
          <t>TECH-002</t>
        </is>
      </c>
      <c r="D5460" s="53" t="inlineStr">
        <is>
          <t>Avionics</t>
        </is>
      </c>
      <c r="E5460" s="53" t="inlineStr">
        <is>
          <t>2025-10-21</t>
        </is>
      </c>
      <c r="F5460" s="53">
        <v>3.3</v>
      </c>
      <c r="G5460" s="53">
        <v>0</v>
      </c>
      <c r="H5460" s="51" t="str">
        <f>TEXT(tblLaborEntries[[#This Row],[Work date serial]]-WEEKDAY(tblLaborEntries[[#This Row],[Work date serial]],3),"yyyy-mm-dd")</f>
        <v>2025-10-20</v>
      </c>
      <c r="I5460" s="64">
        <f>DATEVALUE(tblLaborEntries[[#This Row],[Work date]])</f>
        <v>45951.0</v>
      </c>
    </row>
    <row r="5461" spans="1:9" ht="15" x14ac:dyDescent="0.25">
      <c r="A5461" s="53" t="inlineStr">
        <is>
          <t>LAB-005460</t>
        </is>
      </c>
      <c r="B5461" s="53" t="inlineStr">
        <is>
          <t>WP-02392</t>
        </is>
      </c>
      <c r="C5461" s="53" t="inlineStr">
        <is>
          <t>TECH-008</t>
        </is>
      </c>
      <c r="D5461" s="53" t="inlineStr">
        <is>
          <t>Avionics</t>
        </is>
      </c>
      <c r="E5461" s="53" t="inlineStr">
        <is>
          <t>2025-10-21</t>
        </is>
      </c>
      <c r="F5461" s="53">
        <v>10.7</v>
      </c>
      <c r="G5461" s="53">
        <v>4</v>
      </c>
      <c r="H5461" s="51" t="str">
        <f>TEXT(tblLaborEntries[[#This Row],[Work date serial]]-WEEKDAY(tblLaborEntries[[#This Row],[Work date serial]],3),"yyyy-mm-dd")</f>
        <v>2025-10-20</v>
      </c>
      <c r="I5461" s="64">
        <f>DATEVALUE(tblLaborEntries[[#This Row],[Work date]])</f>
        <v>45951.0</v>
      </c>
    </row>
    <row r="5462" spans="1:9" ht="15" x14ac:dyDescent="0.25">
      <c r="A5462" s="53" t="inlineStr">
        <is>
          <t>LAB-005461</t>
        </is>
      </c>
      <c r="B5462" s="53" t="inlineStr">
        <is>
          <t>WP-02393</t>
        </is>
      </c>
      <c r="C5462" s="53" t="inlineStr">
        <is>
          <t>TECH-005</t>
        </is>
      </c>
      <c r="D5462" s="53" t="inlineStr">
        <is>
          <t>Structures</t>
        </is>
      </c>
      <c r="E5462" s="53" t="inlineStr">
        <is>
          <t>2024-05-09</t>
        </is>
      </c>
      <c r="F5462" s="53">
        <v>0.8</v>
      </c>
      <c r="G5462" s="53">
        <v>0</v>
      </c>
      <c r="H5462" s="51" t="str">
        <f>TEXT(tblLaborEntries[[#This Row],[Work date serial]]-WEEKDAY(tblLaborEntries[[#This Row],[Work date serial]],3),"yyyy-mm-dd")</f>
        <v>2024-05-06</v>
      </c>
      <c r="I5462" s="64">
        <f>DATEVALUE(tblLaborEntries[[#This Row],[Work date]])</f>
        <v>45421.0</v>
      </c>
    </row>
    <row r="5463" spans="1:9" ht="15" x14ac:dyDescent="0.25">
      <c r="A5463" s="53" t="inlineStr">
        <is>
          <t>LAB-005462</t>
        </is>
      </c>
      <c r="B5463" s="53" t="inlineStr">
        <is>
          <t>WP-02393</t>
        </is>
      </c>
      <c r="C5463" s="53" t="inlineStr">
        <is>
          <t>TECH-029</t>
        </is>
      </c>
      <c r="D5463" s="53" t="inlineStr">
        <is>
          <t>Structures</t>
        </is>
      </c>
      <c r="E5463" s="53" t="inlineStr">
        <is>
          <t>2024-05-09</t>
        </is>
      </c>
      <c r="F5463" s="53">
        <v>12</v>
      </c>
      <c r="G5463" s="53">
        <v>4</v>
      </c>
      <c r="H5463" s="51" t="str">
        <f>TEXT(tblLaborEntries[[#This Row],[Work date serial]]-WEEKDAY(tblLaborEntries[[#This Row],[Work date serial]],3),"yyyy-mm-dd")</f>
        <v>2024-05-06</v>
      </c>
      <c r="I5463" s="64">
        <f>DATEVALUE(tblLaborEntries[[#This Row],[Work date]])</f>
        <v>45421.0</v>
      </c>
    </row>
    <row r="5464" spans="1:9" ht="15" x14ac:dyDescent="0.25">
      <c r="A5464" s="53" t="inlineStr">
        <is>
          <t>LAB-005463</t>
        </is>
      </c>
      <c r="B5464" s="53" t="inlineStr">
        <is>
          <t>WP-02394</t>
        </is>
      </c>
      <c r="C5464" s="53" t="inlineStr">
        <is>
          <t>TECH-026</t>
        </is>
      </c>
      <c r="D5464" s="53" t="inlineStr">
        <is>
          <t>Avionics</t>
        </is>
      </c>
      <c r="E5464" s="53" t="inlineStr">
        <is>
          <t>2025-02-14</t>
        </is>
      </c>
      <c r="F5464" s="53">
        <v>9.9</v>
      </c>
      <c r="G5464" s="53">
        <v>1.9</v>
      </c>
      <c r="H5464" s="51" t="str">
        <f>TEXT(tblLaborEntries[[#This Row],[Work date serial]]-WEEKDAY(tblLaborEntries[[#This Row],[Work date serial]],3),"yyyy-mm-dd")</f>
        <v>2025-02-10</v>
      </c>
      <c r="I5464" s="64">
        <f>DATEVALUE(tblLaborEntries[[#This Row],[Work date]])</f>
        <v>45702.0</v>
      </c>
    </row>
    <row r="5465" spans="1:9" ht="15" x14ac:dyDescent="0.25">
      <c r="A5465" s="53" t="inlineStr">
        <is>
          <t>LAB-005464</t>
        </is>
      </c>
      <c r="B5465" s="53" t="inlineStr">
        <is>
          <t>WP-02394</t>
        </is>
      </c>
      <c r="C5465" s="53" t="inlineStr">
        <is>
          <t>TECH-062</t>
        </is>
      </c>
      <c r="D5465" s="53" t="inlineStr">
        <is>
          <t>Avionics</t>
        </is>
      </c>
      <c r="E5465" s="53" t="inlineStr">
        <is>
          <t>2025-02-15</t>
        </is>
      </c>
      <c r="F5465" s="53">
        <v>8.6</v>
      </c>
      <c r="G5465" s="53">
        <v>0.6</v>
      </c>
      <c r="H5465" s="51" t="str">
        <f>TEXT(tblLaborEntries[[#This Row],[Work date serial]]-WEEKDAY(tblLaborEntries[[#This Row],[Work date serial]],3),"yyyy-mm-dd")</f>
        <v>2025-02-10</v>
      </c>
      <c r="I5465" s="64">
        <f>DATEVALUE(tblLaborEntries[[#This Row],[Work date]])</f>
        <v>45703.0</v>
      </c>
    </row>
    <row r="5466" spans="1:9" ht="15" x14ac:dyDescent="0.25">
      <c r="A5466" s="53" t="inlineStr">
        <is>
          <t>LAB-005465</t>
        </is>
      </c>
      <c r="B5466" s="53" t="inlineStr">
        <is>
          <t>WP-02394</t>
        </is>
      </c>
      <c r="C5466" s="53" t="inlineStr">
        <is>
          <t>TECH-032</t>
        </is>
      </c>
      <c r="D5466" s="53" t="inlineStr">
        <is>
          <t>Avionics</t>
        </is>
      </c>
      <c r="E5466" s="53" t="inlineStr">
        <is>
          <t>2025-02-16</t>
        </is>
      </c>
      <c r="F5466" s="53">
        <v>7.4</v>
      </c>
      <c r="G5466" s="53">
        <v>0</v>
      </c>
      <c r="H5466" s="51" t="str">
        <f>TEXT(tblLaborEntries[[#This Row],[Work date serial]]-WEEKDAY(tblLaborEntries[[#This Row],[Work date serial]],3),"yyyy-mm-dd")</f>
        <v>2025-02-10</v>
      </c>
      <c r="I5466" s="64">
        <f>DATEVALUE(tblLaborEntries[[#This Row],[Work date]])</f>
        <v>45704.0</v>
      </c>
    </row>
    <row r="5467" spans="1:9" ht="15" x14ac:dyDescent="0.25">
      <c r="A5467" s="53" t="inlineStr">
        <is>
          <t>LAB-005466</t>
        </is>
      </c>
      <c r="B5467" s="53" t="inlineStr">
        <is>
          <t>WP-02395</t>
        </is>
      </c>
      <c r="C5467" s="53" t="inlineStr">
        <is>
          <t>TECH-012</t>
        </is>
      </c>
      <c r="D5467" s="53" t="inlineStr">
        <is>
          <t>Powerplant</t>
        </is>
      </c>
      <c r="E5467" s="53" t="inlineStr">
        <is>
          <t>2024-09-10</t>
        </is>
      </c>
      <c r="F5467" s="53">
        <v>3.3</v>
      </c>
      <c r="G5467" s="53">
        <v>0</v>
      </c>
      <c r="H5467" s="51" t="str">
        <f>TEXT(tblLaborEntries[[#This Row],[Work date serial]]-WEEKDAY(tblLaborEntries[[#This Row],[Work date serial]],3),"yyyy-mm-dd")</f>
        <v>2024-09-09</v>
      </c>
      <c r="I5467" s="64">
        <f>DATEVALUE(tblLaborEntries[[#This Row],[Work date]])</f>
        <v>45545.0</v>
      </c>
    </row>
    <row r="5468" spans="1:9" ht="15" x14ac:dyDescent="0.25">
      <c r="A5468" s="53" t="inlineStr">
        <is>
          <t>LAB-005467</t>
        </is>
      </c>
      <c r="B5468" s="53" t="inlineStr">
        <is>
          <t>WP-02395</t>
        </is>
      </c>
      <c r="C5468" s="53" t="inlineStr">
        <is>
          <t>TECH-036</t>
        </is>
      </c>
      <c r="D5468" s="53" t="inlineStr">
        <is>
          <t>Powerplant</t>
        </is>
      </c>
      <c r="E5468" s="53" t="inlineStr">
        <is>
          <t>2024-09-11</t>
        </is>
      </c>
      <c r="F5468" s="53">
        <v>2.8</v>
      </c>
      <c r="G5468" s="53">
        <v>0</v>
      </c>
      <c r="H5468" s="51" t="str">
        <f>TEXT(tblLaborEntries[[#This Row],[Work date serial]]-WEEKDAY(tblLaborEntries[[#This Row],[Work date serial]],3),"yyyy-mm-dd")</f>
        <v>2024-09-09</v>
      </c>
      <c r="I5468" s="64">
        <f>DATEVALUE(tblLaborEntries[[#This Row],[Work date]])</f>
        <v>45546.0</v>
      </c>
    </row>
    <row r="5469" spans="1:9" ht="15" x14ac:dyDescent="0.25">
      <c r="A5469" s="53" t="inlineStr">
        <is>
          <t>LAB-005468</t>
        </is>
      </c>
      <c r="B5469" s="53" t="inlineStr">
        <is>
          <t>WP-02396</t>
        </is>
      </c>
      <c r="C5469" s="53" t="inlineStr">
        <is>
          <t>TECH-058</t>
        </is>
      </c>
      <c r="D5469" s="53" t="inlineStr">
        <is>
          <t>Electrical</t>
        </is>
      </c>
      <c r="E5469" s="53" t="inlineStr">
        <is>
          <t>2025-09-06</t>
        </is>
      </c>
      <c r="F5469" s="53">
        <v>3.4</v>
      </c>
      <c r="G5469" s="53">
        <v>0</v>
      </c>
      <c r="H5469" s="51" t="str">
        <f>TEXT(tblLaborEntries[[#This Row],[Work date serial]]-WEEKDAY(tblLaborEntries[[#This Row],[Work date serial]],3),"yyyy-mm-dd")</f>
        <v>2025-09-01</v>
      </c>
      <c r="I5469" s="64">
        <f>DATEVALUE(tblLaborEntries[[#This Row],[Work date]])</f>
        <v>45906.0</v>
      </c>
    </row>
    <row r="5470" spans="1:9" ht="15" x14ac:dyDescent="0.25">
      <c r="A5470" s="53" t="inlineStr">
        <is>
          <t>LAB-005469</t>
        </is>
      </c>
      <c r="B5470" s="53" t="inlineStr">
        <is>
          <t>WP-02396</t>
        </is>
      </c>
      <c r="C5470" s="53" t="inlineStr">
        <is>
          <t>TECH-016</t>
        </is>
      </c>
      <c r="D5470" s="53" t="inlineStr">
        <is>
          <t>Electrical</t>
        </is>
      </c>
      <c r="E5470" s="53" t="inlineStr">
        <is>
          <t>2025-09-07</t>
        </is>
      </c>
      <c r="F5470" s="53">
        <v>3.1</v>
      </c>
      <c r="G5470" s="53">
        <v>0</v>
      </c>
      <c r="H5470" s="51" t="str">
        <f>TEXT(tblLaborEntries[[#This Row],[Work date serial]]-WEEKDAY(tblLaborEntries[[#This Row],[Work date serial]],3),"yyyy-mm-dd")</f>
        <v>2025-09-01</v>
      </c>
      <c r="I5470" s="64">
        <f>DATEVALUE(tblLaborEntries[[#This Row],[Work date]])</f>
        <v>45907.0</v>
      </c>
    </row>
    <row r="5471" spans="1:9" ht="15" x14ac:dyDescent="0.25">
      <c r="A5471" s="53" t="inlineStr">
        <is>
          <t>LAB-005470</t>
        </is>
      </c>
      <c r="B5471" s="53" t="inlineStr">
        <is>
          <t>WP-02397</t>
        </is>
      </c>
      <c r="C5471" s="53" t="inlineStr">
        <is>
          <t>TECH-020</t>
        </is>
      </c>
      <c r="D5471" s="53" t="inlineStr">
        <is>
          <t>Avionics</t>
        </is>
      </c>
      <c r="E5471" s="53" t="inlineStr">
        <is>
          <t>2025-12-22</t>
        </is>
      </c>
      <c r="F5471" s="53">
        <v>10</v>
      </c>
      <c r="G5471" s="53">
        <v>2</v>
      </c>
      <c r="H5471" s="51" t="str">
        <f>TEXT(tblLaborEntries[[#This Row],[Work date serial]]-WEEKDAY(tblLaborEntries[[#This Row],[Work date serial]],3),"yyyy-mm-dd")</f>
        <v>2025-12-22</v>
      </c>
      <c r="I5471" s="64">
        <f>DATEVALUE(tblLaborEntries[[#This Row],[Work date]])</f>
        <v>46013.0</v>
      </c>
    </row>
    <row r="5472" spans="1:9" ht="15" x14ac:dyDescent="0.25">
      <c r="A5472" s="53" t="inlineStr">
        <is>
          <t>LAB-005471</t>
        </is>
      </c>
      <c r="B5472" s="53" t="inlineStr">
        <is>
          <t>WP-02398</t>
        </is>
      </c>
      <c r="C5472" s="53" t="inlineStr">
        <is>
          <t>TECH-068</t>
        </is>
      </c>
      <c r="D5472" s="53" t="inlineStr">
        <is>
          <t>Avionics</t>
        </is>
      </c>
      <c r="E5472" s="53" t="inlineStr">
        <is>
          <t>2024-10-25</t>
        </is>
      </c>
      <c r="F5472" s="53">
        <v>2.9</v>
      </c>
      <c r="G5472" s="53">
        <v>0</v>
      </c>
      <c r="H5472" s="51" t="str">
        <f>TEXT(tblLaborEntries[[#This Row],[Work date serial]]-WEEKDAY(tblLaborEntries[[#This Row],[Work date serial]],3),"yyyy-mm-dd")</f>
        <v>2024-10-21</v>
      </c>
      <c r="I5472" s="64">
        <f>DATEVALUE(tblLaborEntries[[#This Row],[Work date]])</f>
        <v>45590.0</v>
      </c>
    </row>
    <row r="5473" spans="1:9" ht="15" x14ac:dyDescent="0.25">
      <c r="A5473" s="53" t="inlineStr">
        <is>
          <t>LAB-005472</t>
        </is>
      </c>
      <c r="B5473" s="53" t="inlineStr">
        <is>
          <t>WP-02399</t>
        </is>
      </c>
      <c r="C5473" s="53" t="inlineStr">
        <is>
          <t>TECH-001</t>
        </is>
      </c>
      <c r="D5473" s="53" t="inlineStr">
        <is>
          <t>Airframe</t>
        </is>
      </c>
      <c r="E5473" s="53" t="inlineStr">
        <is>
          <t>2024-05-26</t>
        </is>
      </c>
      <c r="F5473" s="53">
        <v>9.4</v>
      </c>
      <c r="G5473" s="53">
        <v>1.4</v>
      </c>
      <c r="H5473" s="51" t="str">
        <f>TEXT(tblLaborEntries[[#This Row],[Work date serial]]-WEEKDAY(tblLaborEntries[[#This Row],[Work date serial]],3),"yyyy-mm-dd")</f>
        <v>2024-05-20</v>
      </c>
      <c r="I5473" s="64">
        <f>DATEVALUE(tblLaborEntries[[#This Row],[Work date]])</f>
        <v>45438.0</v>
      </c>
    </row>
    <row r="5474" spans="1:9" ht="15" x14ac:dyDescent="0.25">
      <c r="A5474" s="53" t="inlineStr">
        <is>
          <t>LAB-005473</t>
        </is>
      </c>
      <c r="B5474" s="53" t="inlineStr">
        <is>
          <t>WP-02399</t>
        </is>
      </c>
      <c r="C5474" s="53" t="inlineStr">
        <is>
          <t>TECH-007</t>
        </is>
      </c>
      <c r="D5474" s="53" t="inlineStr">
        <is>
          <t>Airframe</t>
        </is>
      </c>
      <c r="E5474" s="53" t="inlineStr">
        <is>
          <t>2024-05-27</t>
        </is>
      </c>
      <c r="F5474" s="53">
        <v>9.7</v>
      </c>
      <c r="G5474" s="53">
        <v>1.7</v>
      </c>
      <c r="H5474" s="51" t="str">
        <f>TEXT(tblLaborEntries[[#This Row],[Work date serial]]-WEEKDAY(tblLaborEntries[[#This Row],[Work date serial]],3),"yyyy-mm-dd")</f>
        <v>2024-05-27</v>
      </c>
      <c r="I5474" s="64">
        <f>DATEVALUE(tblLaborEntries[[#This Row],[Work date]])</f>
        <v>45439.0</v>
      </c>
    </row>
    <row r="5475" spans="1:9" ht="15" x14ac:dyDescent="0.25">
      <c r="A5475" s="53" t="inlineStr">
        <is>
          <t>LAB-005474</t>
        </is>
      </c>
      <c r="B5475" s="53" t="inlineStr">
        <is>
          <t>WP-02400</t>
        </is>
      </c>
      <c r="C5475" s="53" t="inlineStr">
        <is>
          <t>TECH-019</t>
        </is>
      </c>
      <c r="D5475" s="53" t="inlineStr">
        <is>
          <t>Airframe</t>
        </is>
      </c>
      <c r="E5475" s="53" t="inlineStr">
        <is>
          <t>2024-08-13</t>
        </is>
      </c>
      <c r="F5475" s="53">
        <v>1.8</v>
      </c>
      <c r="G5475" s="53">
        <v>0</v>
      </c>
      <c r="H5475" s="51" t="str">
        <f>TEXT(tblLaborEntries[[#This Row],[Work date serial]]-WEEKDAY(tblLaborEntries[[#This Row],[Work date serial]],3),"yyyy-mm-dd")</f>
        <v>2024-08-12</v>
      </c>
      <c r="I5475" s="64">
        <f>DATEVALUE(tblLaborEntries[[#This Row],[Work date]])</f>
        <v>45517.0</v>
      </c>
    </row>
    <row r="5476" spans="1:9" ht="15" x14ac:dyDescent="0.25">
      <c r="A5476" s="53" t="inlineStr">
        <is>
          <t>LAB-005475</t>
        </is>
      </c>
      <c r="B5476" s="53" t="inlineStr">
        <is>
          <t>WP-02400</t>
        </is>
      </c>
      <c r="C5476" s="53" t="inlineStr">
        <is>
          <t>TECH-061</t>
        </is>
      </c>
      <c r="D5476" s="53" t="inlineStr">
        <is>
          <t>Airframe</t>
        </is>
      </c>
      <c r="E5476" s="53" t="inlineStr">
        <is>
          <t>2024-08-14</t>
        </is>
      </c>
      <c r="F5476" s="53">
        <v>2.2</v>
      </c>
      <c r="G5476" s="53">
        <v>0</v>
      </c>
      <c r="H5476" s="51" t="str">
        <f>TEXT(tblLaborEntries[[#This Row],[Work date serial]]-WEEKDAY(tblLaborEntries[[#This Row],[Work date serial]],3),"yyyy-mm-dd")</f>
        <v>2024-08-12</v>
      </c>
      <c r="I5476" s="64">
        <f>DATEVALUE(tblLaborEntries[[#This Row],[Work date]])</f>
        <v>45518.0</v>
      </c>
    </row>
  </sheetData>
  <pageMargins left="0.7" right="0.7" top="0.75" bottom="0.75"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6"/>
  <sheetViews>
    <sheetView showGridLines="0" zoomScaleNormal="100" workbookViewId="0">
      <pane ySplit="1" topLeftCell="A2" activePane="bottomLeft" state="frozen"/>
      <selection pane="bottomLeft" activeCell="E4" sqref="E4"/>
    </sheetView>
  </sheetViews>
  <sheetFormatPr defaultColWidth="8.7109375" defaultRowHeight="12.75" x14ac:dyDescent="0.2"/>
  <cols>
    <col min="1" max="1" width="19" style="51" customWidth="1"/>
    <col min="2" max="2" width="18" style="51" customWidth="1"/>
    <col min="3" max="3" width="14" style="51" customWidth="1"/>
    <col min="4" max="4" width="16" style="51" customWidth="1"/>
    <col min="5" max="5" width="20" style="51" customWidth="1"/>
    <col min="6" max="16384" width="8.7109375" style="51"/>
  </cols>
  <sheetData>
    <row r="1" spans="1:5" x14ac:dyDescent="0.2">
      <c r="A1" s="63" t="s">
        <v>3321</v>
      </c>
      <c r="B1" s="63" t="s">
        <v>8264</v>
      </c>
      <c r="C1" s="63" t="s">
        <v>8265</v>
      </c>
      <c r="D1" s="63" t="s">
        <v>8266</v>
      </c>
      <c r="E1" s="63" t="s">
        <v>8267</v>
      </c>
    </row>
    <row r="2" spans="1:5" x14ac:dyDescent="0.2">
      <c r="A2" s="53" t="s">
        <v>3528</v>
      </c>
      <c r="B2" s="53" t="s">
        <v>129</v>
      </c>
      <c r="C2" s="53" t="s">
        <v>8268</v>
      </c>
      <c r="D2" s="53">
        <v>2024</v>
      </c>
      <c r="E2" s="53">
        <v>0.86677347475662803</v>
      </c>
    </row>
    <row r="3" spans="1:5" x14ac:dyDescent="0.2">
      <c r="A3" s="53" t="s">
        <v>3344</v>
      </c>
      <c r="B3" s="53" t="s">
        <v>138</v>
      </c>
      <c r="C3" s="53" t="s">
        <v>8268</v>
      </c>
      <c r="D3" s="53" t="n">
        <v>2024</v>
      </c>
      <c r="E3" s="53">
        <v>0.83847800556570296</v>
      </c>
    </row>
    <row r="4" spans="1:5" x14ac:dyDescent="0.2">
      <c r="A4" s="53" t="s">
        <v>3555</v>
      </c>
      <c r="B4" s="53" t="s">
        <v>146</v>
      </c>
      <c r="C4" s="53" t="s">
        <v>8268</v>
      </c>
      <c r="D4" s="53">
        <v>2024</v>
      </c>
      <c r="E4" s="53">
        <v>0.85293262450024498</v>
      </c>
    </row>
    <row r="5" spans="1:5" x14ac:dyDescent="0.2">
      <c r="A5" s="53" t="s">
        <v>3758</v>
      </c>
      <c r="B5" s="53" t="s">
        <v>273</v>
      </c>
      <c r="C5" s="53" t="s">
        <v>8269</v>
      </c>
      <c r="D5" s="53" t="n">
        <v>2024</v>
      </c>
      <c r="E5" s="53">
        <v>0.88714954264461998</v>
      </c>
    </row>
    <row r="6" spans="1:5" x14ac:dyDescent="0.2">
      <c r="A6" s="53" t="s">
        <v>3461</v>
      </c>
      <c r="B6" s="53" t="s">
        <v>210</v>
      </c>
      <c r="C6" s="53" t="s">
        <v>8268</v>
      </c>
      <c r="D6" s="53">
        <v>2024</v>
      </c>
      <c r="E6" s="53">
        <v>0.79466289224103104</v>
      </c>
    </row>
    <row r="7" spans="1:5" x14ac:dyDescent="0.2">
      <c r="A7" s="53" t="s">
        <v>3436</v>
      </c>
      <c r="B7" s="53" t="s">
        <v>154</v>
      </c>
      <c r="C7" s="53" t="s">
        <v>8268</v>
      </c>
      <c r="D7" s="53">
        <v>2024</v>
      </c>
      <c r="E7" s="53">
        <v>0.88049859058111901</v>
      </c>
    </row>
    <row r="8" spans="1:5" x14ac:dyDescent="0.2">
      <c r="A8" s="53" t="s">
        <v>3329</v>
      </c>
      <c r="B8" s="53" t="s">
        <v>129</v>
      </c>
      <c r="C8" s="53" t="s">
        <v>8268</v>
      </c>
      <c r="D8" s="53" t="n">
        <v>2024</v>
      </c>
      <c r="E8" s="53">
        <v>0.76131571268662801</v>
      </c>
    </row>
    <row r="9" spans="1:5" x14ac:dyDescent="0.2">
      <c r="A9" s="53" t="s">
        <v>3355</v>
      </c>
      <c r="B9" s="53" t="s">
        <v>138</v>
      </c>
      <c r="C9" s="53" t="s">
        <v>8269</v>
      </c>
      <c r="D9" s="53">
        <v>2024</v>
      </c>
      <c r="E9" s="53">
        <v>0.77890784934163104</v>
      </c>
    </row>
    <row r="10" spans="1:5" x14ac:dyDescent="0.2">
      <c r="A10" s="53" t="s">
        <v>3394</v>
      </c>
      <c r="B10" s="53" t="s">
        <v>146</v>
      </c>
      <c r="C10" s="53" t="s">
        <v>8268</v>
      </c>
      <c r="D10" s="53">
        <v>2024</v>
      </c>
      <c r="E10" s="53">
        <v>0.86591698953881902</v>
      </c>
    </row>
    <row r="11" spans="1:5" x14ac:dyDescent="0.2">
      <c r="A11" s="53" t="s">
        <v>3518</v>
      </c>
      <c r="B11" s="53" t="s">
        <v>273</v>
      </c>
      <c r="C11" s="53" t="s">
        <v>8268</v>
      </c>
      <c r="D11" s="53" t="n">
        <v>2024</v>
      </c>
      <c r="E11" s="53">
        <v>0.74483902890235199</v>
      </c>
    </row>
    <row r="12" spans="1:5" x14ac:dyDescent="0.2">
      <c r="A12" s="53" t="s">
        <v>3694</v>
      </c>
      <c r="B12" s="53" t="s">
        <v>210</v>
      </c>
      <c r="C12" s="53" t="s">
        <v>8268</v>
      </c>
      <c r="D12" s="53">
        <v>2024</v>
      </c>
      <c r="E12" s="53">
        <v>0.73768906814977497</v>
      </c>
    </row>
    <row r="13" spans="1:5" x14ac:dyDescent="0.2">
      <c r="A13" s="53" t="s">
        <v>3459</v>
      </c>
      <c r="B13" s="53" t="s">
        <v>154</v>
      </c>
      <c r="C13" s="53" t="s">
        <v>8269</v>
      </c>
      <c r="D13" s="53" t="n">
        <v>2024</v>
      </c>
      <c r="E13" s="53">
        <v>0.83654622815549395</v>
      </c>
    </row>
    <row r="14" spans="1:5" x14ac:dyDescent="0.2">
      <c r="A14" s="53" t="s">
        <v>3376</v>
      </c>
      <c r="B14" s="53" t="s">
        <v>129</v>
      </c>
      <c r="C14" s="53" t="s">
        <v>8268</v>
      </c>
      <c r="D14" s="53" t="n">
        <v>2024</v>
      </c>
      <c r="E14" s="53">
        <v>0.89711177067831205</v>
      </c>
    </row>
    <row r="15" spans="1:5" x14ac:dyDescent="0.2">
      <c r="A15" s="53" t="s">
        <v>3353</v>
      </c>
      <c r="B15" s="53" t="s">
        <v>138</v>
      </c>
      <c r="C15" s="53" t="s">
        <v>8268</v>
      </c>
      <c r="D15" s="53">
        <v>2024</v>
      </c>
      <c r="E15" s="53">
        <v>0.83089087631553404</v>
      </c>
    </row>
    <row r="16" spans="1:5" x14ac:dyDescent="0.2">
      <c r="A16" s="53" t="s">
        <v>3396</v>
      </c>
      <c r="B16" s="53" t="s">
        <v>146</v>
      </c>
      <c r="C16" s="53" t="s">
        <v>8268</v>
      </c>
      <c r="D16" s="53">
        <v>2024</v>
      </c>
      <c r="E16" s="53">
        <v>0.74914749374613199</v>
      </c>
    </row>
    <row r="17" spans="1:5" x14ac:dyDescent="0.2">
      <c r="A17" s="53" t="s">
        <v>3992</v>
      </c>
      <c r="B17" s="53" t="s">
        <v>273</v>
      </c>
      <c r="C17" s="53" t="s">
        <v>8269</v>
      </c>
      <c r="D17" s="53" t="n">
        <v>2024</v>
      </c>
      <c r="E17" s="53">
        <v>0.91588323682546602</v>
      </c>
    </row>
    <row r="18" spans="1:5" x14ac:dyDescent="0.2">
      <c r="A18" s="53" t="s">
        <v>3583</v>
      </c>
      <c r="B18" s="53" t="s">
        <v>210</v>
      </c>
      <c r="C18" s="53" t="s">
        <v>8268</v>
      </c>
      <c r="D18" s="53" t="n">
        <v>2024</v>
      </c>
      <c r="E18" s="53">
        <v>0.76025536859408005</v>
      </c>
    </row>
    <row r="19" spans="1:5" x14ac:dyDescent="0.2">
      <c r="A19" s="53" t="s">
        <v>3379</v>
      </c>
      <c r="B19" s="53" t="s">
        <v>154</v>
      </c>
      <c r="C19" s="53" t="s">
        <v>8268</v>
      </c>
      <c r="D19" s="53" t="n">
        <v>2024</v>
      </c>
      <c r="E19" s="53">
        <v>0.84357547376304898</v>
      </c>
    </row>
    <row r="20" spans="1:5" x14ac:dyDescent="0.2">
      <c r="A20" s="53" t="s">
        <v>3346</v>
      </c>
      <c r="B20" s="53" t="s">
        <v>129</v>
      </c>
      <c r="C20" s="53" t="s">
        <v>8268</v>
      </c>
      <c r="D20" s="53" t="n">
        <v>2024</v>
      </c>
      <c r="E20" s="53">
        <v>0.83481948373839299</v>
      </c>
    </row>
    <row r="21" spans="1:5" x14ac:dyDescent="0.2">
      <c r="A21" s="53" t="s">
        <v>3392</v>
      </c>
      <c r="B21" s="53" t="s">
        <v>138</v>
      </c>
      <c r="C21" s="53" t="s">
        <v>8269</v>
      </c>
      <c r="D21" s="53" t="n">
        <v>2024</v>
      </c>
      <c r="E21" s="53">
        <v>0.78393128074705598</v>
      </c>
    </row>
    <row r="22" spans="1:5" x14ac:dyDescent="0.2">
      <c r="A22" s="53" t="s">
        <v>3398</v>
      </c>
      <c r="B22" s="53" t="s">
        <v>146</v>
      </c>
      <c r="C22" s="53" t="s">
        <v>8268</v>
      </c>
      <c r="D22" s="53">
        <v>2024</v>
      </c>
      <c r="E22" s="53">
        <v>0.75661617012694504</v>
      </c>
    </row>
    <row r="23" spans="1:5" x14ac:dyDescent="0.2">
      <c r="A23" s="53" t="s">
        <v>3627</v>
      </c>
      <c r="B23" s="53" t="s">
        <v>273</v>
      </c>
      <c r="C23" s="53" t="s">
        <v>8268</v>
      </c>
      <c r="D23" s="53" t="n">
        <v>2024</v>
      </c>
      <c r="E23" s="53">
        <v>0.77029707234352796</v>
      </c>
    </row>
    <row r="24" spans="1:5" x14ac:dyDescent="0.2">
      <c r="A24" s="53" t="s">
        <v>3787</v>
      </c>
      <c r="B24" s="53" t="s">
        <v>210</v>
      </c>
      <c r="C24" s="53" t="s">
        <v>8268</v>
      </c>
      <c r="D24" s="53" t="n">
        <v>2024</v>
      </c>
      <c r="E24" s="53">
        <v>0.81094534879550295</v>
      </c>
    </row>
    <row r="25" spans="1:5" x14ac:dyDescent="0.2">
      <c r="A25" s="53" t="s">
        <v>3381</v>
      </c>
      <c r="B25" s="53" t="s">
        <v>154</v>
      </c>
      <c r="C25" s="53" t="s">
        <v>8269</v>
      </c>
      <c r="D25" s="53">
        <v>2024</v>
      </c>
      <c r="E25" s="53">
        <v>0.87709973797202101</v>
      </c>
    </row>
    <row r="26" spans="1:5" x14ac:dyDescent="0.2">
      <c r="A26" s="53" t="s">
        <v>3454</v>
      </c>
      <c r="B26" s="53" t="s">
        <v>129</v>
      </c>
      <c r="C26" s="53" t="s">
        <v>8268</v>
      </c>
      <c r="D26" s="53">
        <v>2024</v>
      </c>
      <c r="E26" s="53">
        <v>0.75305094102397596</v>
      </c>
    </row>
    <row r="27" spans="1:5" x14ac:dyDescent="0.2">
      <c r="A27" s="53" t="s">
        <v>3402</v>
      </c>
      <c r="B27" s="53" t="s">
        <v>138</v>
      </c>
      <c r="C27" s="53" t="s">
        <v>8268</v>
      </c>
      <c r="D27" s="53" t="n">
        <v>2024</v>
      </c>
      <c r="E27" s="53">
        <v>0.72039595831185599</v>
      </c>
    </row>
    <row r="28" spans="1:5" x14ac:dyDescent="0.2">
      <c r="A28" s="53" t="s">
        <v>3419</v>
      </c>
      <c r="B28" s="53" t="s">
        <v>146</v>
      </c>
      <c r="C28" s="53" t="s">
        <v>8268</v>
      </c>
      <c r="D28" s="53" t="n">
        <v>2024</v>
      </c>
      <c r="E28" s="53">
        <v>0.73845534099265897</v>
      </c>
    </row>
    <row r="29" spans="1:5" x14ac:dyDescent="0.2">
      <c r="A29" s="53" t="s">
        <v>3764</v>
      </c>
      <c r="B29" s="53" t="s">
        <v>273</v>
      </c>
      <c r="C29" s="53" t="s">
        <v>8269</v>
      </c>
      <c r="D29" s="53">
        <v>2024</v>
      </c>
      <c r="E29" s="53">
        <v>0.72189808420836898</v>
      </c>
    </row>
    <row r="30" spans="1:5" x14ac:dyDescent="0.2">
      <c r="A30" s="53" t="s">
        <v>3512</v>
      </c>
      <c r="B30" s="53" t="s">
        <v>210</v>
      </c>
      <c r="C30" s="53" t="s">
        <v>8268</v>
      </c>
      <c r="D30" s="53">
        <v>2024</v>
      </c>
      <c r="E30" s="53">
        <v>0.88083295093849301</v>
      </c>
    </row>
    <row r="31" spans="1:5" x14ac:dyDescent="0.2">
      <c r="A31" s="53" t="s">
        <v>3340</v>
      </c>
      <c r="B31" s="53" t="s">
        <v>154</v>
      </c>
      <c r="C31" s="53" t="s">
        <v>8268</v>
      </c>
      <c r="D31" s="53" t="n">
        <v>2024</v>
      </c>
      <c r="E31" s="53">
        <v>0.82710157807916396</v>
      </c>
    </row>
    <row r="32" spans="1:5" x14ac:dyDescent="0.2">
      <c r="A32" s="53" t="s">
        <v>3348</v>
      </c>
      <c r="B32" s="53" t="s">
        <v>129</v>
      </c>
      <c r="C32" s="53" t="s">
        <v>8268</v>
      </c>
      <c r="D32" s="53" t="n">
        <v>2024</v>
      </c>
      <c r="E32" s="53">
        <v>0.75304777881130602</v>
      </c>
    </row>
    <row r="33" spans="1:5" x14ac:dyDescent="0.2">
      <c r="A33" s="53" t="s">
        <v>3383</v>
      </c>
      <c r="B33" s="53" t="s">
        <v>138</v>
      </c>
      <c r="C33" s="53" t="s">
        <v>8269</v>
      </c>
      <c r="D33" s="53" t="n">
        <v>2024</v>
      </c>
      <c r="E33" s="53">
        <v>0.81813901782035803</v>
      </c>
    </row>
    <row r="34" spans="1:5" x14ac:dyDescent="0.2">
      <c r="A34" s="53" t="s">
        <v>3336</v>
      </c>
      <c r="B34" s="53" t="s">
        <v>146</v>
      </c>
      <c r="C34" s="53" t="s">
        <v>8268</v>
      </c>
      <c r="D34" s="53">
        <v>2024</v>
      </c>
      <c r="E34" s="53">
        <v>0.79698009843006701</v>
      </c>
    </row>
    <row r="35" spans="1:5" x14ac:dyDescent="0.2">
      <c r="A35" s="53" t="s">
        <v>3884</v>
      </c>
      <c r="B35" s="53" t="s">
        <v>273</v>
      </c>
      <c r="C35" s="53" t="s">
        <v>8268</v>
      </c>
      <c r="D35" s="53" t="n">
        <v>2024</v>
      </c>
      <c r="E35" s="53">
        <v>0.81198566321283605</v>
      </c>
    </row>
    <row r="36" spans="1:5" x14ac:dyDescent="0.2">
      <c r="A36" s="53" t="s">
        <v>3371</v>
      </c>
      <c r="B36" s="53" t="s">
        <v>210</v>
      </c>
      <c r="C36" s="53" t="s">
        <v>8268</v>
      </c>
      <c r="D36" s="53">
        <v>2024</v>
      </c>
      <c r="E36" s="53">
        <v>0.857767172139138</v>
      </c>
    </row>
    <row r="37" spans="1:5" x14ac:dyDescent="0.2">
      <c r="A37" s="53" t="s">
        <v>3430</v>
      </c>
      <c r="B37" s="53" t="s">
        <v>154</v>
      </c>
      <c r="C37" s="53" t="s">
        <v>8269</v>
      </c>
      <c r="D37" s="53" t="n">
        <v>2024</v>
      </c>
      <c r="E37" s="53">
        <v>0.784641584828496</v>
      </c>
    </row>
    <row r="38" spans="1:5" x14ac:dyDescent="0.2">
      <c r="A38" s="53" t="s">
        <v>3374</v>
      </c>
      <c r="B38" s="53" t="s">
        <v>129</v>
      </c>
      <c r="C38" s="53" t="s">
        <v>8268</v>
      </c>
      <c r="D38" s="53" t="n">
        <v>2024</v>
      </c>
      <c r="E38" s="53">
        <v>0.908083035964519</v>
      </c>
    </row>
    <row r="39" spans="1:5" x14ac:dyDescent="0.2">
      <c r="A39" s="53" t="s">
        <v>3334</v>
      </c>
      <c r="B39" s="53" t="s">
        <v>138</v>
      </c>
      <c r="C39" s="53" t="s">
        <v>8268</v>
      </c>
      <c r="D39" s="53" t="n">
        <v>2024</v>
      </c>
      <c r="E39" s="53">
        <v>0.81191535543650395</v>
      </c>
    </row>
    <row r="40" spans="1:5" x14ac:dyDescent="0.2">
      <c r="A40" s="53" t="s">
        <v>3532</v>
      </c>
      <c r="B40" s="53" t="s">
        <v>146</v>
      </c>
      <c r="C40" s="53" t="s">
        <v>8268</v>
      </c>
      <c r="D40" s="53">
        <v>2024</v>
      </c>
      <c r="E40" s="53">
        <v>0.87808234727010104</v>
      </c>
    </row>
    <row r="41" spans="1:5" x14ac:dyDescent="0.2">
      <c r="A41" s="53" t="s">
        <v>3411</v>
      </c>
      <c r="B41" s="53" t="s">
        <v>273</v>
      </c>
      <c r="C41" s="53" t="s">
        <v>8269</v>
      </c>
      <c r="D41" s="53">
        <v>2024</v>
      </c>
      <c r="E41" s="53">
        <v>0.76743430390954004</v>
      </c>
    </row>
    <row r="42" spans="1:5" x14ac:dyDescent="0.2">
      <c r="A42" s="53" t="s">
        <v>3670</v>
      </c>
      <c r="B42" s="53" t="s">
        <v>210</v>
      </c>
      <c r="C42" s="53" t="s">
        <v>8268</v>
      </c>
      <c r="D42" s="53">
        <v>2024</v>
      </c>
      <c r="E42" s="53">
        <v>0.75663329491391795</v>
      </c>
    </row>
    <row r="43" spans="1:5" x14ac:dyDescent="0.2">
      <c r="A43" s="53" t="s">
        <v>3438</v>
      </c>
      <c r="B43" s="53" t="s">
        <v>154</v>
      </c>
      <c r="C43" s="53" t="s">
        <v>8268</v>
      </c>
      <c r="D43" s="53">
        <v>2024</v>
      </c>
      <c r="E43" s="53">
        <v>0.86850633163005098</v>
      </c>
    </row>
    <row r="44" spans="1:5" x14ac:dyDescent="0.2">
      <c r="A44" s="53" t="s">
        <v>3367</v>
      </c>
      <c r="B44" s="53" t="s">
        <v>129</v>
      </c>
      <c r="C44" s="53" t="s">
        <v>8268</v>
      </c>
      <c r="D44" s="53" t="n">
        <v>2024</v>
      </c>
      <c r="E44" s="53">
        <v>0.779464571904391</v>
      </c>
    </row>
    <row r="45" spans="1:5" x14ac:dyDescent="0.2">
      <c r="A45" s="53" t="s">
        <v>3386</v>
      </c>
      <c r="B45" s="53" t="s">
        <v>138</v>
      </c>
      <c r="C45" s="53" t="s">
        <v>8269</v>
      </c>
      <c r="D45" s="53" t="n">
        <v>2024</v>
      </c>
      <c r="E45" s="53">
        <v>0.91045829139649903</v>
      </c>
    </row>
    <row r="46" spans="1:5" x14ac:dyDescent="0.2">
      <c r="A46" s="53" t="s">
        <v>3536</v>
      </c>
      <c r="B46" s="53" t="s">
        <v>146</v>
      </c>
      <c r="C46" s="53" t="s">
        <v>8268</v>
      </c>
      <c r="D46" s="53">
        <v>2024</v>
      </c>
      <c r="E46" s="53">
        <v>0.76985141055658501</v>
      </c>
    </row>
    <row r="47" spans="1:5" x14ac:dyDescent="0.2">
      <c r="A47" s="53" t="s">
        <v>3489</v>
      </c>
      <c r="B47" s="53" t="s">
        <v>273</v>
      </c>
      <c r="C47" s="53" t="s">
        <v>8268</v>
      </c>
      <c r="D47" s="53" t="n">
        <v>2024</v>
      </c>
      <c r="E47" s="53">
        <v>0.88007592882961005</v>
      </c>
    </row>
    <row r="48" spans="1:5" x14ac:dyDescent="0.2">
      <c r="A48" s="53" t="s">
        <v>3514</v>
      </c>
      <c r="B48" s="53" t="s">
        <v>210</v>
      </c>
      <c r="C48" s="53" t="s">
        <v>8268</v>
      </c>
      <c r="D48" s="53">
        <v>2024</v>
      </c>
      <c r="E48" s="53">
        <v>0.74746568014845305</v>
      </c>
    </row>
    <row r="49" spans="1:5" x14ac:dyDescent="0.2">
      <c r="A49" s="53" t="s">
        <v>3484</v>
      </c>
      <c r="B49" s="53" t="s">
        <v>154</v>
      </c>
      <c r="C49" s="53" t="s">
        <v>8269</v>
      </c>
      <c r="D49" s="53" t="n">
        <v>2024</v>
      </c>
      <c r="E49" s="53">
        <v>0.88877038627862903</v>
      </c>
    </row>
    <row r="50" spans="1:5" x14ac:dyDescent="0.2">
      <c r="A50" s="53" t="s">
        <v>3422</v>
      </c>
      <c r="B50" s="53" t="s">
        <v>129</v>
      </c>
      <c r="C50" s="53" t="s">
        <v>8268</v>
      </c>
      <c r="D50" s="53" t="n">
        <v>2024</v>
      </c>
      <c r="E50" s="53">
        <v>0.77101504707709001</v>
      </c>
    </row>
    <row r="51" spans="1:5" x14ac:dyDescent="0.2">
      <c r="A51" s="53" t="s">
        <v>3361</v>
      </c>
      <c r="B51" s="53" t="s">
        <v>138</v>
      </c>
      <c r="C51" s="53" t="s">
        <v>8268</v>
      </c>
      <c r="D51" s="53">
        <v>2024</v>
      </c>
      <c r="E51" s="53">
        <v>0.81609626922756395</v>
      </c>
    </row>
    <row r="52" spans="1:5" x14ac:dyDescent="0.2">
      <c r="A52" s="53" t="s">
        <v>3866</v>
      </c>
      <c r="B52" s="53" t="s">
        <v>146</v>
      </c>
      <c r="C52" s="53" t="s">
        <v>8268</v>
      </c>
      <c r="D52" s="53">
        <v>2024</v>
      </c>
      <c r="E52" s="53">
        <v>0.83029619751498096</v>
      </c>
    </row>
    <row r="53" spans="1:5" x14ac:dyDescent="0.2">
      <c r="A53" s="53" t="s">
        <v>4201</v>
      </c>
      <c r="B53" s="53" t="s">
        <v>273</v>
      </c>
      <c r="C53" s="53" t="s">
        <v>8269</v>
      </c>
      <c r="D53" s="53">
        <v>2024</v>
      </c>
      <c r="E53" s="53">
        <v>0.90424627520143996</v>
      </c>
    </row>
    <row r="54" spans="1:5" x14ac:dyDescent="0.2">
      <c r="A54" s="53" t="s">
        <v>3510</v>
      </c>
      <c r="B54" s="53" t="s">
        <v>210</v>
      </c>
      <c r="C54" s="53" t="s">
        <v>8268</v>
      </c>
      <c r="D54" s="53" t="n">
        <v>2024</v>
      </c>
      <c r="E54" s="53">
        <v>0.85328712256625305</v>
      </c>
    </row>
    <row r="55" spans="1:5" x14ac:dyDescent="0.2">
      <c r="A55" s="53" t="s">
        <v>3342</v>
      </c>
      <c r="B55" s="53" t="s">
        <v>154</v>
      </c>
      <c r="C55" s="53" t="s">
        <v>8268</v>
      </c>
      <c r="D55" s="53" t="n">
        <v>2024</v>
      </c>
      <c r="E55" s="53">
        <v>0.79414738517254602</v>
      </c>
    </row>
    <row r="56" spans="1:5" x14ac:dyDescent="0.2">
      <c r="A56" s="53" t="s">
        <v>3331</v>
      </c>
      <c r="B56" s="53" t="s">
        <v>129</v>
      </c>
      <c r="C56" s="53" t="s">
        <v>8268</v>
      </c>
      <c r="D56" s="53">
        <v>2024</v>
      </c>
      <c r="E56" s="53">
        <v>0.743903465922922</v>
      </c>
    </row>
    <row r="57" spans="1:5" x14ac:dyDescent="0.2">
      <c r="A57" s="53" t="s">
        <v>3469</v>
      </c>
      <c r="B57" s="53" t="s">
        <v>138</v>
      </c>
      <c r="C57" s="53" t="s">
        <v>8269</v>
      </c>
      <c r="D57" s="53" t="n">
        <v>2024</v>
      </c>
      <c r="E57" s="53">
        <v>0.74378361746668797</v>
      </c>
    </row>
    <row r="58" spans="1:5" x14ac:dyDescent="0.2">
      <c r="A58" s="53" t="s">
        <v>3678</v>
      </c>
      <c r="B58" s="53" t="s">
        <v>146</v>
      </c>
      <c r="C58" s="53" t="s">
        <v>8268</v>
      </c>
      <c r="D58" s="53">
        <v>2024</v>
      </c>
      <c r="E58" s="53">
        <v>0.81604393402114495</v>
      </c>
    </row>
    <row r="59" spans="1:5" x14ac:dyDescent="0.2">
      <c r="A59" s="53" t="s">
        <v>3415</v>
      </c>
      <c r="B59" s="53" t="s">
        <v>273</v>
      </c>
      <c r="C59" s="53" t="s">
        <v>8268</v>
      </c>
      <c r="D59" s="53" t="n">
        <v>2024</v>
      </c>
      <c r="E59" s="53">
        <v>0.81937034416943799</v>
      </c>
    </row>
    <row r="60" spans="1:5" x14ac:dyDescent="0.2">
      <c r="A60" s="53" t="s">
        <v>3596</v>
      </c>
      <c r="B60" s="53" t="s">
        <v>210</v>
      </c>
      <c r="C60" s="53" t="s">
        <v>8268</v>
      </c>
      <c r="D60" s="53">
        <v>2024</v>
      </c>
      <c r="E60" s="53">
        <v>0.83954976869747</v>
      </c>
    </row>
    <row r="61" spans="1:5" x14ac:dyDescent="0.2">
      <c r="A61" s="53" t="s">
        <v>3447</v>
      </c>
      <c r="B61" s="53" t="s">
        <v>154</v>
      </c>
      <c r="C61" s="53" t="s">
        <v>8269</v>
      </c>
      <c r="D61" s="53">
        <v>2024</v>
      </c>
      <c r="E61" s="53">
        <v>0.90000517003238201</v>
      </c>
    </row>
    <row r="62" spans="1:5" x14ac:dyDescent="0.2">
      <c r="A62" s="53" t="s">
        <v>3365</v>
      </c>
      <c r="B62" s="53" t="s">
        <v>129</v>
      </c>
      <c r="C62" s="53" t="s">
        <v>8268</v>
      </c>
      <c r="D62" s="53" t="n">
        <v>2024</v>
      </c>
      <c r="E62" s="53">
        <v>0.763703282345086</v>
      </c>
    </row>
    <row r="63" spans="1:5" x14ac:dyDescent="0.2">
      <c r="A63" s="53" t="s">
        <v>3357</v>
      </c>
      <c r="B63" s="53" t="s">
        <v>138</v>
      </c>
      <c r="C63" s="53" t="s">
        <v>8268</v>
      </c>
      <c r="D63" s="53">
        <v>2024</v>
      </c>
      <c r="E63" s="53">
        <v>0.78642037387937302</v>
      </c>
    </row>
    <row r="64" spans="1:5" x14ac:dyDescent="0.2">
      <c r="A64" s="53" t="s">
        <v>3338</v>
      </c>
      <c r="B64" s="53" t="s">
        <v>146</v>
      </c>
      <c r="C64" s="53" t="s">
        <v>8268</v>
      </c>
      <c r="D64" s="53">
        <v>2024</v>
      </c>
      <c r="E64" s="53">
        <v>0.83389045557007202</v>
      </c>
    </row>
    <row r="65" spans="1:5" x14ac:dyDescent="0.2">
      <c r="A65" s="53" t="s">
        <v>3726</v>
      </c>
      <c r="B65" s="53" t="s">
        <v>273</v>
      </c>
      <c r="C65" s="53" t="s">
        <v>8269</v>
      </c>
      <c r="D65" s="53" t="n">
        <v>2024</v>
      </c>
      <c r="E65" s="53">
        <v>0.75446191251277905</v>
      </c>
    </row>
    <row r="66" spans="1:5" x14ac:dyDescent="0.2">
      <c r="A66" s="53" t="s">
        <v>3843</v>
      </c>
      <c r="B66" s="53" t="s">
        <v>210</v>
      </c>
      <c r="C66" s="53" t="s">
        <v>8268</v>
      </c>
      <c r="D66" s="53" t="n">
        <v>2024</v>
      </c>
      <c r="E66" s="53">
        <v>0.86705259734764695</v>
      </c>
    </row>
    <row r="67" spans="1:5" x14ac:dyDescent="0.2">
      <c r="A67" s="53" t="s">
        <v>3434</v>
      </c>
      <c r="B67" s="53" t="s">
        <v>154</v>
      </c>
      <c r="C67" s="53" t="s">
        <v>8268</v>
      </c>
      <c r="D67" s="53" t="n">
        <v>2024</v>
      </c>
      <c r="E67" s="53">
        <v>0.74391998711973395</v>
      </c>
    </row>
    <row r="68" spans="1:5" x14ac:dyDescent="0.2">
      <c r="A68" s="53" t="s">
        <v>3457</v>
      </c>
      <c r="B68" s="53" t="s">
        <v>129</v>
      </c>
      <c r="C68" s="53" t="s">
        <v>8268</v>
      </c>
      <c r="D68" s="53">
        <v>2024</v>
      </c>
      <c r="E68" s="53">
        <v>0.901552067678422</v>
      </c>
    </row>
    <row r="69" spans="1:5" x14ac:dyDescent="0.2">
      <c r="A69" s="53" t="s">
        <v>3369</v>
      </c>
      <c r="B69" s="53" t="s">
        <v>138</v>
      </c>
      <c r="C69" s="53" t="s">
        <v>8269</v>
      </c>
      <c r="D69" s="53">
        <v>2024</v>
      </c>
      <c r="E69" s="53">
        <v>0.82333617217838795</v>
      </c>
    </row>
    <row r="70" spans="1:5" x14ac:dyDescent="0.2">
      <c r="A70" s="53" t="s">
        <v>3351</v>
      </c>
      <c r="B70" s="53" t="s">
        <v>146</v>
      </c>
      <c r="C70" s="53" t="s">
        <v>8268</v>
      </c>
      <c r="D70" s="53">
        <v>2024</v>
      </c>
      <c r="E70" s="53">
        <v>0.88707706274464704</v>
      </c>
    </row>
    <row r="71" spans="1:5" x14ac:dyDescent="0.2">
      <c r="A71" s="53" t="s">
        <v>3413</v>
      </c>
      <c r="B71" s="53" t="s">
        <v>273</v>
      </c>
      <c r="C71" s="53" t="s">
        <v>8268</v>
      </c>
      <c r="D71" s="53" t="n">
        <v>2024</v>
      </c>
      <c r="E71" s="53">
        <v>0.821412106864154</v>
      </c>
    </row>
    <row r="72" spans="1:5" x14ac:dyDescent="0.2">
      <c r="A72" s="53" t="s">
        <v>3594</v>
      </c>
      <c r="B72" s="53" t="s">
        <v>210</v>
      </c>
      <c r="C72" s="53" t="s">
        <v>8268</v>
      </c>
      <c r="D72" s="53">
        <v>2024</v>
      </c>
      <c r="E72" s="53">
        <v>0.73021046256646505</v>
      </c>
    </row>
    <row r="73" spans="1:5" x14ac:dyDescent="0.2">
      <c r="A73" s="53" t="s">
        <v>3440</v>
      </c>
      <c r="B73" s="53" t="s">
        <v>154</v>
      </c>
      <c r="C73" s="53" t="s">
        <v>8269</v>
      </c>
      <c r="D73" s="53">
        <v>2024</v>
      </c>
      <c r="E73" s="53">
        <v>0.86564474895596499</v>
      </c>
    </row>
    <row r="74" spans="1:5" x14ac:dyDescent="0.2">
      <c r="A74" s="53" t="s">
        <v>3363</v>
      </c>
      <c r="B74" s="53" t="s">
        <v>129</v>
      </c>
      <c r="C74" s="53" t="s">
        <v>8268</v>
      </c>
      <c r="D74" s="53" t="n">
        <v>2024</v>
      </c>
      <c r="E74" s="53">
        <v>0.86128774115815798</v>
      </c>
    </row>
    <row r="75" spans="1:5" x14ac:dyDescent="0.2">
      <c r="A75" s="53" t="s">
        <v>3409</v>
      </c>
      <c r="B75" s="53" t="s">
        <v>138</v>
      </c>
      <c r="C75" s="53" t="s">
        <v>8268</v>
      </c>
      <c r="D75" s="53">
        <v>2024</v>
      </c>
      <c r="E75" s="53">
        <v>0.81881319124251595</v>
      </c>
    </row>
    <row r="76" spans="1:5" x14ac:dyDescent="0.2">
      <c r="A76" s="53" t="s">
        <v>3560</v>
      </c>
      <c r="B76" s="53" t="s">
        <v>146</v>
      </c>
      <c r="C76" s="53" t="s">
        <v>8268</v>
      </c>
      <c r="D76" s="53">
        <v>2024</v>
      </c>
      <c r="E76" s="53">
        <v>0.73816893918439697</v>
      </c>
    </row>
  </sheetData>
  <pageMargins left="0.7" right="0.7" top="0.75" bottom="0.75"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835"/>
  <sheetViews>
    <sheetView showGridLines="0" zoomScaleNormal="100" workbookViewId="0">
      <pane ySplit="1" topLeftCell="A2" activePane="bottomLeft" state="frozen"/>
      <selection pane="bottomLeft" activeCell="E3" sqref="E3"/>
    </sheetView>
  </sheetViews>
  <sheetFormatPr defaultColWidth="8.7109375" defaultRowHeight="12.75" x14ac:dyDescent="0.2"/>
  <cols>
    <col min="1" max="3" width="19" customWidth="1"/>
    <col min="4" max="5" width="17" customWidth="1"/>
    <col min="6" max="7" width="15" customWidth="1"/>
  </cols>
  <sheetData>
    <row r="1" spans="1:7" x14ac:dyDescent="0.2">
      <c r="A1" s="63" t="s">
        <v>8270</v>
      </c>
      <c r="B1" s="7" t="s">
        <v>87</v>
      </c>
      <c r="C1" s="7" t="s">
        <v>8271</v>
      </c>
      <c r="D1" s="7" t="s">
        <v>8272</v>
      </c>
      <c r="E1" s="7" t="s">
        <v>8273</v>
      </c>
      <c r="F1" s="7" t="s">
        <v>8274</v>
      </c>
      <c r="G1" s="7" t="s">
        <v>8275</v>
      </c>
    </row>
    <row r="2" spans="1:7" x14ac:dyDescent="0.2">
      <c r="A2" s="3" t="s">
        <v>8276</v>
      </c>
      <c r="B2" s="3" t="s">
        <v>140</v>
      </c>
      <c r="C2" s="3" t="s">
        <v>8277</v>
      </c>
      <c r="D2" s="3" t="s">
        <v>142</v>
      </c>
      <c r="E2" s="3" t="s">
        <v>142</v>
      </c>
      <c r="F2" s="3">
        <v>0</v>
      </c>
      <c r="G2" s="3" t="s">
        <v>8278</v>
      </c>
    </row>
    <row r="3" spans="1:7" x14ac:dyDescent="0.2">
      <c r="A3" s="3" t="s">
        <v>8279</v>
      </c>
      <c r="B3" s="3" t="s">
        <v>156</v>
      </c>
      <c r="C3" s="3" t="s">
        <v>8280</v>
      </c>
      <c r="D3" s="3" t="s">
        <v>158</v>
      </c>
      <c r="E3" s="3" t="s">
        <v>158</v>
      </c>
      <c r="F3" s="3">
        <v>0</v>
      </c>
      <c r="G3" s="3" t="s">
        <v>8278</v>
      </c>
    </row>
    <row r="4" spans="1:7" x14ac:dyDescent="0.2">
      <c r="A4" s="3" t="s">
        <v>8281</v>
      </c>
      <c r="B4" s="3" t="s">
        <v>162</v>
      </c>
      <c r="C4" s="3" t="s">
        <v>8282</v>
      </c>
      <c r="D4" s="3" t="s">
        <v>164</v>
      </c>
      <c r="E4" s="3" t="s">
        <v>164</v>
      </c>
      <c r="F4" s="3">
        <v>0</v>
      </c>
      <c r="G4" s="3" t="s">
        <v>8278</v>
      </c>
    </row>
    <row r="5" spans="1:7" x14ac:dyDescent="0.2">
      <c r="A5" s="3" t="s">
        <v>8283</v>
      </c>
      <c r="B5" s="3" t="s">
        <v>172</v>
      </c>
      <c r="C5" s="3" t="s">
        <v>8277</v>
      </c>
      <c r="D5" s="3" t="s">
        <v>174</v>
      </c>
      <c r="E5" s="3" t="s">
        <v>430</v>
      </c>
      <c r="F5" s="3">
        <v>10</v>
      </c>
      <c r="G5" s="3" t="s">
        <v>8284</v>
      </c>
    </row>
    <row r="6" spans="1:7" x14ac:dyDescent="0.2">
      <c r="A6" s="3" t="s">
        <v>8285</v>
      </c>
      <c r="B6" s="3" t="s">
        <v>178</v>
      </c>
      <c r="C6" s="3" t="s">
        <v>8286</v>
      </c>
      <c r="D6" s="3" t="s">
        <v>179</v>
      </c>
      <c r="E6" s="3" t="s">
        <v>179</v>
      </c>
      <c r="F6" s="3">
        <v>0</v>
      </c>
      <c r="G6" s="3" t="s">
        <v>8278</v>
      </c>
    </row>
    <row r="7" spans="1:7" x14ac:dyDescent="0.2">
      <c r="A7" s="3" t="s">
        <v>8287</v>
      </c>
      <c r="B7" s="3" t="s">
        <v>207</v>
      </c>
      <c r="C7" s="3" t="s">
        <v>8288</v>
      </c>
      <c r="D7" s="3" t="s">
        <v>208</v>
      </c>
      <c r="E7" s="3" t="s">
        <v>208</v>
      </c>
      <c r="F7" s="3">
        <v>0</v>
      </c>
      <c r="G7" s="3" t="s">
        <v>8278</v>
      </c>
    </row>
    <row r="8" spans="1:7" x14ac:dyDescent="0.2">
      <c r="A8" s="3" t="s">
        <v>8289</v>
      </c>
      <c r="B8" s="3" t="s">
        <v>249</v>
      </c>
      <c r="C8" s="3" t="s">
        <v>8290</v>
      </c>
      <c r="D8" s="3" t="s">
        <v>251</v>
      </c>
      <c r="E8" s="3" t="s">
        <v>251</v>
      </c>
      <c r="F8" s="3">
        <v>0</v>
      </c>
      <c r="G8" s="3" t="s">
        <v>8278</v>
      </c>
    </row>
    <row r="9" spans="1:7" x14ac:dyDescent="0.2">
      <c r="A9" s="3" t="s">
        <v>8291</v>
      </c>
      <c r="B9" s="3" t="s">
        <v>254</v>
      </c>
      <c r="C9" s="3" t="s">
        <v>8277</v>
      </c>
      <c r="D9" s="3" t="s">
        <v>255</v>
      </c>
      <c r="E9" s="3" t="s">
        <v>255</v>
      </c>
      <c r="F9" s="3">
        <v>0</v>
      </c>
      <c r="G9" s="3" t="s">
        <v>8278</v>
      </c>
    </row>
    <row r="10" spans="1:7" x14ac:dyDescent="0.2">
      <c r="A10" s="3" t="s">
        <v>8292</v>
      </c>
      <c r="B10" s="3" t="s">
        <v>269</v>
      </c>
      <c r="C10" s="3" t="s">
        <v>8282</v>
      </c>
      <c r="D10" s="3" t="s">
        <v>270</v>
      </c>
      <c r="E10" s="3" t="s">
        <v>270</v>
      </c>
      <c r="F10" s="3">
        <v>0</v>
      </c>
      <c r="G10" s="3" t="s">
        <v>8278</v>
      </c>
    </row>
    <row r="11" spans="1:7" x14ac:dyDescent="0.2">
      <c r="A11" s="3" t="s">
        <v>8293</v>
      </c>
      <c r="B11" s="3" t="s">
        <v>278</v>
      </c>
      <c r="C11" s="3" t="s">
        <v>8277</v>
      </c>
      <c r="D11" s="3" t="s">
        <v>279</v>
      </c>
      <c r="E11" s="3" t="s">
        <v>279</v>
      </c>
      <c r="F11" s="3">
        <v>0</v>
      </c>
      <c r="G11" s="3" t="s">
        <v>8278</v>
      </c>
    </row>
    <row r="12" spans="1:7" x14ac:dyDescent="0.2">
      <c r="A12" s="3" t="s">
        <v>8294</v>
      </c>
      <c r="B12" s="3" t="s">
        <v>282</v>
      </c>
      <c r="C12" s="3" t="s">
        <v>8277</v>
      </c>
      <c r="D12" s="3" t="s">
        <v>283</v>
      </c>
      <c r="E12" s="3" t="s">
        <v>283</v>
      </c>
      <c r="F12" s="3">
        <v>0</v>
      </c>
      <c r="G12" s="3" t="s">
        <v>8278</v>
      </c>
    </row>
    <row r="13" spans="1:7" x14ac:dyDescent="0.2">
      <c r="A13" s="3" t="s">
        <v>8295</v>
      </c>
      <c r="B13" s="3" t="s">
        <v>292</v>
      </c>
      <c r="C13" s="3" t="s">
        <v>8286</v>
      </c>
      <c r="D13" s="3" t="s">
        <v>293</v>
      </c>
      <c r="E13" s="3" t="s">
        <v>293</v>
      </c>
      <c r="F13" s="3">
        <v>0</v>
      </c>
      <c r="G13" s="3" t="s">
        <v>8278</v>
      </c>
    </row>
    <row r="14" spans="1:7" x14ac:dyDescent="0.2">
      <c r="A14" s="3" t="s">
        <v>8296</v>
      </c>
      <c r="B14" s="3" t="s">
        <v>306</v>
      </c>
      <c r="C14" s="3" t="s">
        <v>8288</v>
      </c>
      <c r="D14" s="3" t="s">
        <v>307</v>
      </c>
      <c r="E14" s="3" t="s">
        <v>307</v>
      </c>
      <c r="F14" s="3">
        <v>0</v>
      </c>
      <c r="G14" s="3" t="s">
        <v>8278</v>
      </c>
    </row>
    <row r="15" spans="1:7" x14ac:dyDescent="0.2">
      <c r="A15" s="3" t="s">
        <v>8297</v>
      </c>
      <c r="B15" s="3" t="s">
        <v>314</v>
      </c>
      <c r="C15" s="3" t="s">
        <v>8282</v>
      </c>
      <c r="D15" s="3" t="s">
        <v>315</v>
      </c>
      <c r="E15" s="3" t="s">
        <v>315</v>
      </c>
      <c r="F15" s="3">
        <v>0</v>
      </c>
      <c r="G15" s="3" t="s">
        <v>8278</v>
      </c>
    </row>
    <row r="16" spans="1:7" x14ac:dyDescent="0.2">
      <c r="A16" s="3" t="s">
        <v>8298</v>
      </c>
      <c r="B16" s="3" t="s">
        <v>333</v>
      </c>
      <c r="C16" s="3" t="s">
        <v>8277</v>
      </c>
      <c r="D16" s="3" t="s">
        <v>308</v>
      </c>
      <c r="E16" s="3" t="s">
        <v>1028</v>
      </c>
      <c r="F16" s="3">
        <v>4</v>
      </c>
      <c r="G16" s="3" t="s">
        <v>8284</v>
      </c>
    </row>
    <row r="17" spans="1:7" x14ac:dyDescent="0.2">
      <c r="A17" s="3" t="s">
        <v>8299</v>
      </c>
      <c r="B17" s="3" t="s">
        <v>359</v>
      </c>
      <c r="C17" s="3" t="s">
        <v>8288</v>
      </c>
      <c r="D17" s="3" t="s">
        <v>360</v>
      </c>
      <c r="E17" s="3" t="s">
        <v>360</v>
      </c>
      <c r="F17" s="3">
        <v>0</v>
      </c>
      <c r="G17" s="3" t="s">
        <v>8278</v>
      </c>
    </row>
    <row r="18" spans="1:7" x14ac:dyDescent="0.2">
      <c r="A18" s="3" t="s">
        <v>8300</v>
      </c>
      <c r="B18" s="3" t="s">
        <v>367</v>
      </c>
      <c r="C18" s="3" t="s">
        <v>8280</v>
      </c>
      <c r="D18" s="3" t="s">
        <v>368</v>
      </c>
      <c r="E18" s="3" t="s">
        <v>368</v>
      </c>
      <c r="F18" s="3">
        <v>0</v>
      </c>
      <c r="G18" s="3" t="s">
        <v>8278</v>
      </c>
    </row>
    <row r="19" spans="1:7" x14ac:dyDescent="0.2">
      <c r="A19" s="3" t="s">
        <v>8301</v>
      </c>
      <c r="B19" s="3" t="s">
        <v>380</v>
      </c>
      <c r="C19" s="3" t="s">
        <v>8277</v>
      </c>
      <c r="D19" s="3" t="s">
        <v>372</v>
      </c>
      <c r="E19" s="3" t="s">
        <v>372</v>
      </c>
      <c r="F19" s="3">
        <v>0</v>
      </c>
      <c r="G19" s="3" t="s">
        <v>8278</v>
      </c>
    </row>
    <row r="20" spans="1:7" x14ac:dyDescent="0.2">
      <c r="A20" s="3" t="s">
        <v>8302</v>
      </c>
      <c r="B20" s="3" t="s">
        <v>389</v>
      </c>
      <c r="C20" s="3" t="s">
        <v>8288</v>
      </c>
      <c r="D20" s="3" t="s">
        <v>390</v>
      </c>
      <c r="E20" s="3" t="s">
        <v>390</v>
      </c>
      <c r="F20" s="3">
        <v>0</v>
      </c>
      <c r="G20" s="3" t="s">
        <v>8278</v>
      </c>
    </row>
    <row r="21" spans="1:7" x14ac:dyDescent="0.2">
      <c r="A21" s="3" t="s">
        <v>8303</v>
      </c>
      <c r="B21" s="3" t="s">
        <v>416</v>
      </c>
      <c r="C21" s="3" t="s">
        <v>8282</v>
      </c>
      <c r="D21" s="3" t="s">
        <v>417</v>
      </c>
      <c r="E21" s="3" t="s">
        <v>339</v>
      </c>
      <c r="F21" s="3">
        <v>10</v>
      </c>
      <c r="G21" s="3" t="s">
        <v>8284</v>
      </c>
    </row>
    <row r="22" spans="1:7" x14ac:dyDescent="0.2">
      <c r="A22" s="3" t="s">
        <v>8304</v>
      </c>
      <c r="B22" s="3" t="s">
        <v>429</v>
      </c>
      <c r="C22" s="3" t="s">
        <v>8286</v>
      </c>
      <c r="D22" s="3" t="s">
        <v>430</v>
      </c>
      <c r="E22" s="3" t="s">
        <v>430</v>
      </c>
      <c r="F22" s="3">
        <v>0</v>
      </c>
      <c r="G22" s="3" t="s">
        <v>8278</v>
      </c>
    </row>
    <row r="23" spans="1:7" x14ac:dyDescent="0.2">
      <c r="A23" s="3" t="s">
        <v>8305</v>
      </c>
      <c r="B23" s="3" t="s">
        <v>438</v>
      </c>
      <c r="C23" s="3" t="s">
        <v>8290</v>
      </c>
      <c r="D23" s="3" t="s">
        <v>304</v>
      </c>
      <c r="E23" s="3" t="s">
        <v>1324</v>
      </c>
      <c r="F23" s="3">
        <v>6</v>
      </c>
      <c r="G23" s="3" t="s">
        <v>8284</v>
      </c>
    </row>
    <row r="24" spans="1:7" x14ac:dyDescent="0.2">
      <c r="A24" s="3" t="s">
        <v>8306</v>
      </c>
      <c r="B24" s="3" t="s">
        <v>440</v>
      </c>
      <c r="C24" s="3" t="s">
        <v>8280</v>
      </c>
      <c r="D24" s="3" t="s">
        <v>441</v>
      </c>
      <c r="E24" s="3" t="s">
        <v>488</v>
      </c>
      <c r="F24" s="3">
        <v>11</v>
      </c>
      <c r="G24" s="3" t="s">
        <v>8284</v>
      </c>
    </row>
    <row r="25" spans="1:7" x14ac:dyDescent="0.2">
      <c r="A25" s="3" t="s">
        <v>8307</v>
      </c>
      <c r="B25" s="3" t="s">
        <v>465</v>
      </c>
      <c r="C25" s="3" t="s">
        <v>8280</v>
      </c>
      <c r="D25" s="3" t="s">
        <v>466</v>
      </c>
      <c r="E25" s="3" t="s">
        <v>967</v>
      </c>
      <c r="F25" s="3">
        <v>12</v>
      </c>
      <c r="G25" s="3" t="s">
        <v>8284</v>
      </c>
    </row>
    <row r="26" spans="1:7" x14ac:dyDescent="0.2">
      <c r="A26" s="3" t="s">
        <v>8308</v>
      </c>
      <c r="B26" s="3" t="s">
        <v>469</v>
      </c>
      <c r="C26" s="3" t="s">
        <v>8288</v>
      </c>
      <c r="D26" s="3" t="s">
        <v>470</v>
      </c>
      <c r="E26" s="3" t="s">
        <v>470</v>
      </c>
      <c r="F26" s="3">
        <v>0</v>
      </c>
      <c r="G26" s="3" t="s">
        <v>8278</v>
      </c>
    </row>
    <row r="27" spans="1:7" x14ac:dyDescent="0.2">
      <c r="A27" s="3" t="s">
        <v>8309</v>
      </c>
      <c r="B27" s="3" t="s">
        <v>476</v>
      </c>
      <c r="C27" s="3" t="s">
        <v>8282</v>
      </c>
      <c r="D27" s="3" t="s">
        <v>477</v>
      </c>
      <c r="E27" s="3" t="s">
        <v>477</v>
      </c>
      <c r="F27" s="3">
        <v>0</v>
      </c>
      <c r="G27" s="3" t="s">
        <v>8278</v>
      </c>
    </row>
    <row r="28" spans="1:7" x14ac:dyDescent="0.2">
      <c r="A28" s="3" t="s">
        <v>8310</v>
      </c>
      <c r="B28" s="3" t="s">
        <v>478</v>
      </c>
      <c r="C28" s="3" t="s">
        <v>8277</v>
      </c>
      <c r="D28" s="3" t="s">
        <v>383</v>
      </c>
      <c r="E28" s="3" t="s">
        <v>383</v>
      </c>
      <c r="F28" s="3">
        <v>0</v>
      </c>
      <c r="G28" s="3" t="s">
        <v>8278</v>
      </c>
    </row>
    <row r="29" spans="1:7" x14ac:dyDescent="0.2">
      <c r="A29" s="3" t="s">
        <v>8311</v>
      </c>
      <c r="B29" s="3" t="s">
        <v>479</v>
      </c>
      <c r="C29" s="3" t="s">
        <v>8277</v>
      </c>
      <c r="D29" s="3" t="s">
        <v>480</v>
      </c>
      <c r="E29" s="3" t="s">
        <v>480</v>
      </c>
      <c r="F29" s="3">
        <v>0</v>
      </c>
      <c r="G29" s="3" t="s">
        <v>8278</v>
      </c>
    </row>
    <row r="30" spans="1:7" x14ac:dyDescent="0.2">
      <c r="A30" s="3" t="s">
        <v>8312</v>
      </c>
      <c r="B30" s="3" t="s">
        <v>491</v>
      </c>
      <c r="C30" s="3" t="s">
        <v>8277</v>
      </c>
      <c r="D30" s="3" t="s">
        <v>492</v>
      </c>
      <c r="E30" s="3" t="s">
        <v>492</v>
      </c>
      <c r="F30" s="3">
        <v>0</v>
      </c>
      <c r="G30" s="3" t="s">
        <v>8278</v>
      </c>
    </row>
    <row r="31" spans="1:7" x14ac:dyDescent="0.2">
      <c r="A31" s="3" t="s">
        <v>8313</v>
      </c>
      <c r="B31" s="3" t="s">
        <v>496</v>
      </c>
      <c r="C31" s="3" t="s">
        <v>8288</v>
      </c>
      <c r="D31" s="3" t="s">
        <v>214</v>
      </c>
      <c r="E31" s="3" t="s">
        <v>1523</v>
      </c>
      <c r="F31" s="3">
        <v>4</v>
      </c>
      <c r="G31" s="3" t="s">
        <v>8284</v>
      </c>
    </row>
    <row r="32" spans="1:7" x14ac:dyDescent="0.2">
      <c r="A32" s="3" t="s">
        <v>8314</v>
      </c>
      <c r="B32" s="3" t="s">
        <v>503</v>
      </c>
      <c r="C32" s="3" t="s">
        <v>8288</v>
      </c>
      <c r="D32" s="3" t="s">
        <v>504</v>
      </c>
      <c r="E32" s="3" t="s">
        <v>504</v>
      </c>
      <c r="F32" s="3">
        <v>0</v>
      </c>
      <c r="G32" s="3" t="s">
        <v>8278</v>
      </c>
    </row>
    <row r="33" spans="1:7" x14ac:dyDescent="0.2">
      <c r="A33" s="3" t="s">
        <v>8315</v>
      </c>
      <c r="B33" s="3" t="s">
        <v>514</v>
      </c>
      <c r="C33" s="3" t="s">
        <v>8280</v>
      </c>
      <c r="D33" s="3" t="s">
        <v>515</v>
      </c>
      <c r="E33" s="3" t="s">
        <v>515</v>
      </c>
      <c r="F33" s="3">
        <v>0</v>
      </c>
      <c r="G33" s="3" t="s">
        <v>8278</v>
      </c>
    </row>
    <row r="34" spans="1:7" x14ac:dyDescent="0.2">
      <c r="A34" s="3" t="s">
        <v>8316</v>
      </c>
      <c r="B34" s="3" t="s">
        <v>526</v>
      </c>
      <c r="C34" s="3" t="s">
        <v>8288</v>
      </c>
      <c r="D34" s="3" t="s">
        <v>527</v>
      </c>
      <c r="E34" s="3" t="s">
        <v>527</v>
      </c>
      <c r="F34" s="3">
        <v>0</v>
      </c>
      <c r="G34" s="3" t="s">
        <v>8278</v>
      </c>
    </row>
    <row r="35" spans="1:7" x14ac:dyDescent="0.2">
      <c r="A35" s="3" t="s">
        <v>8317</v>
      </c>
      <c r="B35" s="3" t="s">
        <v>530</v>
      </c>
      <c r="C35" s="3" t="s">
        <v>8288</v>
      </c>
      <c r="D35" s="3" t="s">
        <v>501</v>
      </c>
      <c r="E35" s="3" t="s">
        <v>501</v>
      </c>
      <c r="F35" s="3">
        <v>0</v>
      </c>
      <c r="G35" s="3" t="s">
        <v>8278</v>
      </c>
    </row>
    <row r="36" spans="1:7" x14ac:dyDescent="0.2">
      <c r="A36" s="3" t="s">
        <v>8318</v>
      </c>
      <c r="B36" s="3" t="s">
        <v>533</v>
      </c>
      <c r="C36" s="3" t="s">
        <v>8288</v>
      </c>
      <c r="D36" s="3" t="s">
        <v>534</v>
      </c>
      <c r="E36" s="3" t="s">
        <v>534</v>
      </c>
      <c r="F36" s="3">
        <v>0</v>
      </c>
      <c r="G36" s="3" t="s">
        <v>8278</v>
      </c>
    </row>
    <row r="37" spans="1:7" x14ac:dyDescent="0.2">
      <c r="A37" s="3" t="s">
        <v>8319</v>
      </c>
      <c r="B37" s="3" t="s">
        <v>536</v>
      </c>
      <c r="C37" s="3" t="s">
        <v>8282</v>
      </c>
      <c r="D37" s="3" t="s">
        <v>422</v>
      </c>
      <c r="E37" s="3" t="s">
        <v>422</v>
      </c>
      <c r="F37" s="3">
        <v>0</v>
      </c>
      <c r="G37" s="3" t="s">
        <v>8278</v>
      </c>
    </row>
    <row r="38" spans="1:7" x14ac:dyDescent="0.2">
      <c r="A38" s="3" t="s">
        <v>8320</v>
      </c>
      <c r="B38" s="3" t="s">
        <v>544</v>
      </c>
      <c r="C38" s="3" t="s">
        <v>8290</v>
      </c>
      <c r="D38" s="3" t="s">
        <v>545</v>
      </c>
      <c r="E38" s="3" t="s">
        <v>545</v>
      </c>
      <c r="F38" s="3">
        <v>0</v>
      </c>
      <c r="G38" s="3" t="s">
        <v>8278</v>
      </c>
    </row>
    <row r="39" spans="1:7" x14ac:dyDescent="0.2">
      <c r="A39" s="3" t="s">
        <v>8321</v>
      </c>
      <c r="B39" s="3" t="s">
        <v>554</v>
      </c>
      <c r="C39" s="3" t="s">
        <v>8290</v>
      </c>
      <c r="D39" s="3" t="s">
        <v>555</v>
      </c>
      <c r="E39" s="3" t="s">
        <v>933</v>
      </c>
      <c r="F39" s="3">
        <v>3</v>
      </c>
      <c r="G39" s="3" t="s">
        <v>8284</v>
      </c>
    </row>
    <row r="40" spans="1:7" x14ac:dyDescent="0.2">
      <c r="A40" s="3" t="s">
        <v>8322</v>
      </c>
      <c r="B40" s="3" t="s">
        <v>561</v>
      </c>
      <c r="C40" s="3" t="s">
        <v>8280</v>
      </c>
      <c r="D40" s="3" t="s">
        <v>296</v>
      </c>
      <c r="E40" s="3" t="s">
        <v>296</v>
      </c>
      <c r="F40" s="3">
        <v>0</v>
      </c>
      <c r="G40" s="3" t="s">
        <v>8278</v>
      </c>
    </row>
    <row r="41" spans="1:7" x14ac:dyDescent="0.2">
      <c r="A41" s="3" t="s">
        <v>8323</v>
      </c>
      <c r="B41" s="3" t="s">
        <v>566</v>
      </c>
      <c r="C41" s="3" t="s">
        <v>8290</v>
      </c>
      <c r="D41" s="3" t="s">
        <v>567</v>
      </c>
      <c r="E41" s="3" t="s">
        <v>567</v>
      </c>
      <c r="F41" s="3">
        <v>0</v>
      </c>
      <c r="G41" s="3" t="s">
        <v>8278</v>
      </c>
    </row>
    <row r="42" spans="1:7" x14ac:dyDescent="0.2">
      <c r="A42" s="3" t="s">
        <v>8324</v>
      </c>
      <c r="B42" s="3" t="s">
        <v>578</v>
      </c>
      <c r="C42" s="3" t="s">
        <v>8286</v>
      </c>
      <c r="D42" s="3" t="s">
        <v>579</v>
      </c>
      <c r="E42" s="3" t="s">
        <v>579</v>
      </c>
      <c r="F42" s="3">
        <v>0</v>
      </c>
      <c r="G42" s="3" t="s">
        <v>8278</v>
      </c>
    </row>
    <row r="43" spans="1:7" x14ac:dyDescent="0.2">
      <c r="A43" s="3" t="s">
        <v>8325</v>
      </c>
      <c r="B43" s="3" t="s">
        <v>582</v>
      </c>
      <c r="C43" s="3" t="s">
        <v>8288</v>
      </c>
      <c r="D43" s="3" t="s">
        <v>228</v>
      </c>
      <c r="E43" s="3" t="s">
        <v>228</v>
      </c>
      <c r="F43" s="3">
        <v>0</v>
      </c>
      <c r="G43" s="3" t="s">
        <v>8278</v>
      </c>
    </row>
    <row r="44" spans="1:7" x14ac:dyDescent="0.2">
      <c r="A44" s="3" t="s">
        <v>8326</v>
      </c>
      <c r="B44" s="3" t="s">
        <v>585</v>
      </c>
      <c r="C44" s="3" t="s">
        <v>8277</v>
      </c>
      <c r="D44" s="3" t="s">
        <v>586</v>
      </c>
      <c r="E44" s="3" t="s">
        <v>586</v>
      </c>
      <c r="F44" s="3">
        <v>0</v>
      </c>
      <c r="G44" s="3" t="s">
        <v>8278</v>
      </c>
    </row>
    <row r="45" spans="1:7" x14ac:dyDescent="0.2">
      <c r="A45" s="3" t="s">
        <v>8327</v>
      </c>
      <c r="B45" s="3" t="s">
        <v>588</v>
      </c>
      <c r="C45" s="3" t="s">
        <v>8282</v>
      </c>
      <c r="D45" s="3" t="s">
        <v>589</v>
      </c>
      <c r="E45" s="3" t="s">
        <v>589</v>
      </c>
      <c r="F45" s="3">
        <v>0</v>
      </c>
      <c r="G45" s="3" t="s">
        <v>8278</v>
      </c>
    </row>
    <row r="46" spans="1:7" x14ac:dyDescent="0.2">
      <c r="A46" s="3" t="s">
        <v>8328</v>
      </c>
      <c r="B46" s="3" t="s">
        <v>596</v>
      </c>
      <c r="C46" s="3" t="s">
        <v>8286</v>
      </c>
      <c r="D46" s="3" t="s">
        <v>183</v>
      </c>
      <c r="E46" s="3" t="s">
        <v>183</v>
      </c>
      <c r="F46" s="3">
        <v>0</v>
      </c>
      <c r="G46" s="3" t="s">
        <v>8278</v>
      </c>
    </row>
    <row r="47" spans="1:7" x14ac:dyDescent="0.2">
      <c r="A47" s="3" t="s">
        <v>8329</v>
      </c>
      <c r="B47" s="3" t="s">
        <v>604</v>
      </c>
      <c r="C47" s="3" t="s">
        <v>8282</v>
      </c>
      <c r="D47" s="3" t="s">
        <v>311</v>
      </c>
      <c r="E47" s="3" t="s">
        <v>311</v>
      </c>
      <c r="F47" s="3">
        <v>0</v>
      </c>
      <c r="G47" s="3" t="s">
        <v>8278</v>
      </c>
    </row>
    <row r="48" spans="1:7" x14ac:dyDescent="0.2">
      <c r="A48" s="3" t="s">
        <v>8330</v>
      </c>
      <c r="B48" s="3" t="s">
        <v>610</v>
      </c>
      <c r="C48" s="3" t="s">
        <v>8280</v>
      </c>
      <c r="D48" s="3" t="s">
        <v>174</v>
      </c>
      <c r="E48" s="3" t="s">
        <v>1030</v>
      </c>
      <c r="F48" s="3">
        <v>8</v>
      </c>
      <c r="G48" s="3" t="s">
        <v>8284</v>
      </c>
    </row>
    <row r="49" spans="1:7" x14ac:dyDescent="0.2">
      <c r="A49" s="3" t="s">
        <v>8331</v>
      </c>
      <c r="B49" s="3" t="s">
        <v>612</v>
      </c>
      <c r="C49" s="3" t="s">
        <v>8280</v>
      </c>
      <c r="D49" s="3" t="s">
        <v>613</v>
      </c>
      <c r="E49" s="3" t="s">
        <v>613</v>
      </c>
      <c r="F49" s="3">
        <v>0</v>
      </c>
      <c r="G49" s="3" t="s">
        <v>8278</v>
      </c>
    </row>
    <row r="50" spans="1:7" x14ac:dyDescent="0.2">
      <c r="A50" s="3" t="s">
        <v>8332</v>
      </c>
      <c r="B50" s="3" t="s">
        <v>617</v>
      </c>
      <c r="C50" s="3" t="s">
        <v>8280</v>
      </c>
      <c r="D50" s="3" t="s">
        <v>364</v>
      </c>
      <c r="E50" s="3" t="s">
        <v>364</v>
      </c>
      <c r="F50" s="3">
        <v>0</v>
      </c>
      <c r="G50" s="3" t="s">
        <v>8278</v>
      </c>
    </row>
    <row r="51" spans="1:7" x14ac:dyDescent="0.2">
      <c r="A51" s="3" t="s">
        <v>8333</v>
      </c>
      <c r="B51" s="3" t="s">
        <v>623</v>
      </c>
      <c r="C51" s="3" t="s">
        <v>8286</v>
      </c>
      <c r="D51" s="3" t="s">
        <v>285</v>
      </c>
      <c r="E51" s="3" t="s">
        <v>285</v>
      </c>
      <c r="F51" s="3">
        <v>0</v>
      </c>
      <c r="G51" s="3" t="s">
        <v>8278</v>
      </c>
    </row>
    <row r="52" spans="1:7" x14ac:dyDescent="0.2">
      <c r="A52" s="3" t="s">
        <v>8334</v>
      </c>
      <c r="B52" s="3" t="s">
        <v>635</v>
      </c>
      <c r="C52" s="3" t="s">
        <v>8280</v>
      </c>
      <c r="D52" s="3" t="s">
        <v>636</v>
      </c>
      <c r="E52" s="3" t="s">
        <v>636</v>
      </c>
      <c r="F52" s="3">
        <v>0</v>
      </c>
      <c r="G52" s="3" t="s">
        <v>8278</v>
      </c>
    </row>
    <row r="53" spans="1:7" x14ac:dyDescent="0.2">
      <c r="A53" s="3" t="s">
        <v>8335</v>
      </c>
      <c r="B53" s="3" t="s">
        <v>641</v>
      </c>
      <c r="C53" s="3" t="s">
        <v>8288</v>
      </c>
      <c r="D53" s="3" t="s">
        <v>642</v>
      </c>
      <c r="E53" s="3" t="s">
        <v>642</v>
      </c>
      <c r="F53" s="3">
        <v>0</v>
      </c>
      <c r="G53" s="3" t="s">
        <v>8278</v>
      </c>
    </row>
    <row r="54" spans="1:7" x14ac:dyDescent="0.2">
      <c r="A54" s="3" t="s">
        <v>8336</v>
      </c>
      <c r="B54" s="3" t="s">
        <v>644</v>
      </c>
      <c r="C54" s="3" t="s">
        <v>8277</v>
      </c>
      <c r="D54" s="3" t="s">
        <v>645</v>
      </c>
      <c r="E54" s="3" t="s">
        <v>645</v>
      </c>
      <c r="F54" s="3">
        <v>0</v>
      </c>
      <c r="G54" s="3" t="s">
        <v>8278</v>
      </c>
    </row>
    <row r="55" spans="1:7" x14ac:dyDescent="0.2">
      <c r="A55" s="3" t="s">
        <v>8337</v>
      </c>
      <c r="B55" s="3" t="s">
        <v>654</v>
      </c>
      <c r="C55" s="3" t="s">
        <v>8288</v>
      </c>
      <c r="D55" s="3" t="s">
        <v>474</v>
      </c>
      <c r="E55" s="3" t="s">
        <v>474</v>
      </c>
      <c r="F55" s="3">
        <v>0</v>
      </c>
      <c r="G55" s="3" t="s">
        <v>8278</v>
      </c>
    </row>
    <row r="56" spans="1:7" x14ac:dyDescent="0.2">
      <c r="A56" s="3" t="s">
        <v>8338</v>
      </c>
      <c r="B56" s="3" t="s">
        <v>657</v>
      </c>
      <c r="C56" s="3" t="s">
        <v>8280</v>
      </c>
      <c r="D56" s="3" t="s">
        <v>341</v>
      </c>
      <c r="E56" s="3" t="s">
        <v>342</v>
      </c>
      <c r="F56" s="3">
        <v>13</v>
      </c>
      <c r="G56" s="3" t="s">
        <v>8284</v>
      </c>
    </row>
    <row r="57" spans="1:7" x14ac:dyDescent="0.2">
      <c r="A57" s="3" t="s">
        <v>8339</v>
      </c>
      <c r="B57" s="3" t="s">
        <v>669</v>
      </c>
      <c r="C57" s="3" t="s">
        <v>8277</v>
      </c>
      <c r="D57" s="3" t="s">
        <v>670</v>
      </c>
      <c r="E57" s="3" t="s">
        <v>670</v>
      </c>
      <c r="F57" s="3">
        <v>0</v>
      </c>
      <c r="G57" s="3" t="s">
        <v>8278</v>
      </c>
    </row>
    <row r="58" spans="1:7" x14ac:dyDescent="0.2">
      <c r="A58" s="3" t="s">
        <v>8340</v>
      </c>
      <c r="B58" s="3" t="s">
        <v>674</v>
      </c>
      <c r="C58" s="3" t="s">
        <v>8288</v>
      </c>
      <c r="D58" s="3" t="s">
        <v>675</v>
      </c>
      <c r="E58" s="3" t="s">
        <v>675</v>
      </c>
      <c r="F58" s="3">
        <v>0</v>
      </c>
      <c r="G58" s="3" t="s">
        <v>8278</v>
      </c>
    </row>
    <row r="59" spans="1:7" x14ac:dyDescent="0.2">
      <c r="A59" s="3" t="s">
        <v>8341</v>
      </c>
      <c r="B59" s="3" t="s">
        <v>684</v>
      </c>
      <c r="C59" s="3" t="s">
        <v>8280</v>
      </c>
      <c r="D59" s="3" t="s">
        <v>685</v>
      </c>
      <c r="E59" s="3" t="s">
        <v>685</v>
      </c>
      <c r="F59" s="3">
        <v>0</v>
      </c>
      <c r="G59" s="3" t="s">
        <v>8278</v>
      </c>
    </row>
    <row r="60" spans="1:7" x14ac:dyDescent="0.2">
      <c r="A60" s="3" t="s">
        <v>8342</v>
      </c>
      <c r="B60" s="3" t="s">
        <v>688</v>
      </c>
      <c r="C60" s="3" t="s">
        <v>8282</v>
      </c>
      <c r="D60" s="3" t="s">
        <v>689</v>
      </c>
      <c r="E60" s="3" t="s">
        <v>689</v>
      </c>
      <c r="F60" s="3">
        <v>0</v>
      </c>
      <c r="G60" s="3" t="s">
        <v>8278</v>
      </c>
    </row>
    <row r="61" spans="1:7" x14ac:dyDescent="0.2">
      <c r="A61" s="3" t="s">
        <v>8343</v>
      </c>
      <c r="B61" s="3" t="s">
        <v>702</v>
      </c>
      <c r="C61" s="3" t="s">
        <v>8290</v>
      </c>
      <c r="D61" s="3" t="s">
        <v>703</v>
      </c>
      <c r="E61" s="3" t="s">
        <v>703</v>
      </c>
      <c r="F61" s="3">
        <v>0</v>
      </c>
      <c r="G61" s="3" t="s">
        <v>8278</v>
      </c>
    </row>
    <row r="62" spans="1:7" x14ac:dyDescent="0.2">
      <c r="A62" s="3" t="s">
        <v>8344</v>
      </c>
      <c r="B62" s="3" t="s">
        <v>718</v>
      </c>
      <c r="C62" s="3" t="s">
        <v>8280</v>
      </c>
      <c r="D62" s="3" t="s">
        <v>148</v>
      </c>
      <c r="E62" s="3" t="s">
        <v>148</v>
      </c>
      <c r="F62" s="3">
        <v>0</v>
      </c>
      <c r="G62" s="3" t="s">
        <v>8278</v>
      </c>
    </row>
    <row r="63" spans="1:7" x14ac:dyDescent="0.2">
      <c r="A63" s="3" t="s">
        <v>8345</v>
      </c>
      <c r="B63" s="3" t="s">
        <v>728</v>
      </c>
      <c r="C63" s="3" t="s">
        <v>8282</v>
      </c>
      <c r="D63" s="3" t="s">
        <v>125</v>
      </c>
      <c r="E63" s="3" t="s">
        <v>125</v>
      </c>
      <c r="F63" s="3">
        <v>0</v>
      </c>
      <c r="G63" s="3" t="s">
        <v>8278</v>
      </c>
    </row>
    <row r="64" spans="1:7" x14ac:dyDescent="0.2">
      <c r="A64" s="3" t="s">
        <v>8346</v>
      </c>
      <c r="B64" s="3" t="s">
        <v>730</v>
      </c>
      <c r="C64" s="3" t="s">
        <v>8290</v>
      </c>
      <c r="D64" s="3" t="s">
        <v>575</v>
      </c>
      <c r="E64" s="3" t="s">
        <v>575</v>
      </c>
      <c r="F64" s="3">
        <v>0</v>
      </c>
      <c r="G64" s="3" t="s">
        <v>8278</v>
      </c>
    </row>
    <row r="65" spans="1:7" x14ac:dyDescent="0.2">
      <c r="A65" s="3" t="s">
        <v>8347</v>
      </c>
      <c r="B65" s="3" t="s">
        <v>735</v>
      </c>
      <c r="C65" s="3" t="s">
        <v>8282</v>
      </c>
      <c r="D65" s="3" t="s">
        <v>372</v>
      </c>
      <c r="E65" s="3" t="s">
        <v>372</v>
      </c>
      <c r="F65" s="3">
        <v>0</v>
      </c>
      <c r="G65" s="3" t="s">
        <v>8278</v>
      </c>
    </row>
    <row r="66" spans="1:7" x14ac:dyDescent="0.2">
      <c r="A66" s="3" t="s">
        <v>8348</v>
      </c>
      <c r="B66" s="3" t="s">
        <v>750</v>
      </c>
      <c r="C66" s="3" t="s">
        <v>8277</v>
      </c>
      <c r="D66" s="3" t="s">
        <v>236</v>
      </c>
      <c r="E66" s="3" t="s">
        <v>236</v>
      </c>
      <c r="F66" s="3">
        <v>0</v>
      </c>
      <c r="G66" s="3" t="s">
        <v>8278</v>
      </c>
    </row>
    <row r="67" spans="1:7" x14ac:dyDescent="0.2">
      <c r="A67" s="3" t="s">
        <v>8349</v>
      </c>
      <c r="B67" s="3" t="s">
        <v>752</v>
      </c>
      <c r="C67" s="3" t="s">
        <v>8286</v>
      </c>
      <c r="D67" s="3" t="s">
        <v>308</v>
      </c>
      <c r="E67" s="3" t="s">
        <v>498</v>
      </c>
      <c r="F67" s="3">
        <v>5</v>
      </c>
      <c r="G67" s="3" t="s">
        <v>8284</v>
      </c>
    </row>
    <row r="68" spans="1:7" x14ac:dyDescent="0.2">
      <c r="A68" s="3" t="s">
        <v>8350</v>
      </c>
      <c r="B68" s="3" t="s">
        <v>772</v>
      </c>
      <c r="C68" s="3" t="s">
        <v>8288</v>
      </c>
      <c r="D68" s="3" t="s">
        <v>773</v>
      </c>
      <c r="E68" s="3" t="s">
        <v>773</v>
      </c>
      <c r="F68" s="3">
        <v>0</v>
      </c>
      <c r="G68" s="3" t="s">
        <v>8278</v>
      </c>
    </row>
    <row r="69" spans="1:7" x14ac:dyDescent="0.2">
      <c r="A69" s="3" t="s">
        <v>8351</v>
      </c>
      <c r="B69" s="3" t="s">
        <v>789</v>
      </c>
      <c r="C69" s="3" t="s">
        <v>8290</v>
      </c>
      <c r="D69" s="3" t="s">
        <v>790</v>
      </c>
      <c r="E69" s="3" t="s">
        <v>790</v>
      </c>
      <c r="F69" s="3">
        <v>0</v>
      </c>
      <c r="G69" s="3" t="s">
        <v>8278</v>
      </c>
    </row>
    <row r="70" spans="1:7" x14ac:dyDescent="0.2">
      <c r="A70" s="3" t="s">
        <v>8352</v>
      </c>
      <c r="B70" s="3" t="s">
        <v>803</v>
      </c>
      <c r="C70" s="3" t="s">
        <v>8282</v>
      </c>
      <c r="D70" s="3" t="s">
        <v>773</v>
      </c>
      <c r="E70" s="3" t="s">
        <v>773</v>
      </c>
      <c r="F70" s="3">
        <v>0</v>
      </c>
      <c r="G70" s="3" t="s">
        <v>8278</v>
      </c>
    </row>
    <row r="71" spans="1:7" x14ac:dyDescent="0.2">
      <c r="A71" s="3" t="s">
        <v>8353</v>
      </c>
      <c r="B71" s="3" t="s">
        <v>809</v>
      </c>
      <c r="C71" s="3" t="s">
        <v>8280</v>
      </c>
      <c r="D71" s="3" t="s">
        <v>532</v>
      </c>
      <c r="E71" s="3" t="s">
        <v>886</v>
      </c>
      <c r="F71" s="3">
        <v>3</v>
      </c>
      <c r="G71" s="3" t="s">
        <v>8284</v>
      </c>
    </row>
    <row r="72" spans="1:7" x14ac:dyDescent="0.2">
      <c r="A72" s="3" t="s">
        <v>8354</v>
      </c>
      <c r="B72" s="3" t="s">
        <v>811</v>
      </c>
      <c r="C72" s="3" t="s">
        <v>8288</v>
      </c>
      <c r="D72" s="3" t="s">
        <v>334</v>
      </c>
      <c r="E72" s="3" t="s">
        <v>334</v>
      </c>
      <c r="F72" s="3">
        <v>0</v>
      </c>
      <c r="G72" s="3" t="s">
        <v>8278</v>
      </c>
    </row>
    <row r="73" spans="1:7" x14ac:dyDescent="0.2">
      <c r="A73" s="3" t="s">
        <v>8355</v>
      </c>
      <c r="B73" s="3" t="s">
        <v>813</v>
      </c>
      <c r="C73" s="3" t="s">
        <v>8288</v>
      </c>
      <c r="D73" s="3" t="s">
        <v>400</v>
      </c>
      <c r="E73" s="3" t="s">
        <v>400</v>
      </c>
      <c r="F73" s="3">
        <v>0</v>
      </c>
      <c r="G73" s="3" t="s">
        <v>8278</v>
      </c>
    </row>
    <row r="74" spans="1:7" x14ac:dyDescent="0.2">
      <c r="A74" s="3" t="s">
        <v>8356</v>
      </c>
      <c r="B74" s="3" t="s">
        <v>820</v>
      </c>
      <c r="C74" s="3" t="s">
        <v>8282</v>
      </c>
      <c r="D74" s="3" t="s">
        <v>301</v>
      </c>
      <c r="E74" s="3" t="s">
        <v>301</v>
      </c>
      <c r="F74" s="3">
        <v>0</v>
      </c>
      <c r="G74" s="3" t="s">
        <v>8278</v>
      </c>
    </row>
    <row r="75" spans="1:7" x14ac:dyDescent="0.2">
      <c r="A75" s="3" t="s">
        <v>8357</v>
      </c>
      <c r="B75" s="3" t="s">
        <v>823</v>
      </c>
      <c r="C75" s="3" t="s">
        <v>8280</v>
      </c>
      <c r="D75" s="3" t="s">
        <v>723</v>
      </c>
      <c r="E75" s="3" t="s">
        <v>509</v>
      </c>
      <c r="F75" s="3">
        <v>8</v>
      </c>
      <c r="G75" s="3" t="s">
        <v>8284</v>
      </c>
    </row>
    <row r="76" spans="1:7" x14ac:dyDescent="0.2">
      <c r="A76" s="3" t="s">
        <v>8358</v>
      </c>
      <c r="B76" s="3" t="s">
        <v>831</v>
      </c>
      <c r="C76" s="3" t="s">
        <v>8286</v>
      </c>
      <c r="D76" s="3" t="s">
        <v>832</v>
      </c>
      <c r="E76" s="3" t="s">
        <v>832</v>
      </c>
      <c r="F76" s="3">
        <v>0</v>
      </c>
      <c r="G76" s="3" t="s">
        <v>8278</v>
      </c>
    </row>
    <row r="77" spans="1:7" x14ac:dyDescent="0.2">
      <c r="A77" s="3" t="s">
        <v>8359</v>
      </c>
      <c r="B77" s="3" t="s">
        <v>836</v>
      </c>
      <c r="C77" s="3" t="s">
        <v>8290</v>
      </c>
      <c r="D77" s="3" t="s">
        <v>251</v>
      </c>
      <c r="E77" s="3" t="s">
        <v>251</v>
      </c>
      <c r="F77" s="3">
        <v>0</v>
      </c>
      <c r="G77" s="3" t="s">
        <v>8278</v>
      </c>
    </row>
    <row r="78" spans="1:7" x14ac:dyDescent="0.2">
      <c r="A78" s="3" t="s">
        <v>8360</v>
      </c>
      <c r="B78" s="3" t="s">
        <v>840</v>
      </c>
      <c r="C78" s="3" t="s">
        <v>8282</v>
      </c>
      <c r="D78" s="3" t="s">
        <v>668</v>
      </c>
      <c r="E78" s="3" t="s">
        <v>631</v>
      </c>
      <c r="F78" s="3">
        <v>3</v>
      </c>
      <c r="G78" s="3" t="s">
        <v>8284</v>
      </c>
    </row>
    <row r="79" spans="1:7" x14ac:dyDescent="0.2">
      <c r="A79" s="3" t="s">
        <v>8361</v>
      </c>
      <c r="B79" s="3" t="s">
        <v>841</v>
      </c>
      <c r="C79" s="3" t="s">
        <v>8290</v>
      </c>
      <c r="D79" s="3" t="s">
        <v>842</v>
      </c>
      <c r="E79" s="3" t="s">
        <v>842</v>
      </c>
      <c r="F79" s="3">
        <v>0</v>
      </c>
      <c r="G79" s="3" t="s">
        <v>8278</v>
      </c>
    </row>
    <row r="80" spans="1:7" x14ac:dyDescent="0.2">
      <c r="A80" s="3" t="s">
        <v>8362</v>
      </c>
      <c r="B80" s="3" t="s">
        <v>847</v>
      </c>
      <c r="C80" s="3" t="s">
        <v>8282</v>
      </c>
      <c r="D80" s="3" t="s">
        <v>848</v>
      </c>
      <c r="E80" s="3" t="s">
        <v>780</v>
      </c>
      <c r="F80" s="3">
        <v>3</v>
      </c>
      <c r="G80" s="3" t="s">
        <v>8284</v>
      </c>
    </row>
    <row r="81" spans="1:7" x14ac:dyDescent="0.2">
      <c r="A81" s="3" t="s">
        <v>8363</v>
      </c>
      <c r="B81" s="3" t="s">
        <v>855</v>
      </c>
      <c r="C81" s="3" t="s">
        <v>8288</v>
      </c>
      <c r="D81" s="3" t="s">
        <v>856</v>
      </c>
      <c r="E81" s="3" t="s">
        <v>856</v>
      </c>
      <c r="F81" s="3">
        <v>0</v>
      </c>
      <c r="G81" s="3" t="s">
        <v>8278</v>
      </c>
    </row>
    <row r="82" spans="1:7" x14ac:dyDescent="0.2">
      <c r="A82" s="3" t="s">
        <v>8364</v>
      </c>
      <c r="B82" s="3" t="s">
        <v>866</v>
      </c>
      <c r="C82" s="3" t="s">
        <v>8288</v>
      </c>
      <c r="D82" s="3" t="s">
        <v>762</v>
      </c>
      <c r="E82" s="3" t="s">
        <v>762</v>
      </c>
      <c r="F82" s="3">
        <v>0</v>
      </c>
      <c r="G82" s="3" t="s">
        <v>8278</v>
      </c>
    </row>
    <row r="83" spans="1:7" x14ac:dyDescent="0.2">
      <c r="A83" s="3" t="s">
        <v>8365</v>
      </c>
      <c r="B83" s="3" t="s">
        <v>869</v>
      </c>
      <c r="C83" s="3" t="s">
        <v>8290</v>
      </c>
      <c r="D83" s="3" t="s">
        <v>870</v>
      </c>
      <c r="E83" s="3" t="s">
        <v>870</v>
      </c>
      <c r="F83" s="3">
        <v>0</v>
      </c>
      <c r="G83" s="3" t="s">
        <v>8278</v>
      </c>
    </row>
    <row r="84" spans="1:7" x14ac:dyDescent="0.2">
      <c r="A84" s="3" t="s">
        <v>8366</v>
      </c>
      <c r="B84" s="3" t="s">
        <v>873</v>
      </c>
      <c r="C84" s="3" t="s">
        <v>8277</v>
      </c>
      <c r="D84" s="3" t="s">
        <v>846</v>
      </c>
      <c r="E84" s="3" t="s">
        <v>846</v>
      </c>
      <c r="F84" s="3">
        <v>0</v>
      </c>
      <c r="G84" s="3" t="s">
        <v>8278</v>
      </c>
    </row>
    <row r="85" spans="1:7" x14ac:dyDescent="0.2">
      <c r="A85" s="3" t="s">
        <v>8367</v>
      </c>
      <c r="B85" s="3" t="s">
        <v>876</v>
      </c>
      <c r="C85" s="3" t="s">
        <v>8282</v>
      </c>
      <c r="D85" s="3" t="s">
        <v>555</v>
      </c>
      <c r="E85" s="3" t="s">
        <v>555</v>
      </c>
      <c r="F85" s="3">
        <v>0</v>
      </c>
      <c r="G85" s="3" t="s">
        <v>8278</v>
      </c>
    </row>
    <row r="86" spans="1:7" x14ac:dyDescent="0.2">
      <c r="A86" s="3" t="s">
        <v>8368</v>
      </c>
      <c r="B86" s="3" t="s">
        <v>881</v>
      </c>
      <c r="C86" s="3" t="s">
        <v>8290</v>
      </c>
      <c r="D86" s="3" t="s">
        <v>703</v>
      </c>
      <c r="E86" s="3" t="s">
        <v>703</v>
      </c>
      <c r="F86" s="3">
        <v>0</v>
      </c>
      <c r="G86" s="3" t="s">
        <v>8278</v>
      </c>
    </row>
    <row r="87" spans="1:7" x14ac:dyDescent="0.2">
      <c r="A87" s="3" t="s">
        <v>8369</v>
      </c>
      <c r="B87" s="3" t="s">
        <v>882</v>
      </c>
      <c r="C87" s="3" t="s">
        <v>8280</v>
      </c>
      <c r="D87" s="3" t="s">
        <v>883</v>
      </c>
      <c r="E87" s="3" t="s">
        <v>883</v>
      </c>
      <c r="F87" s="3">
        <v>0</v>
      </c>
      <c r="G87" s="3" t="s">
        <v>8278</v>
      </c>
    </row>
    <row r="88" spans="1:7" x14ac:dyDescent="0.2">
      <c r="A88" s="3" t="s">
        <v>8370</v>
      </c>
      <c r="B88" s="3" t="s">
        <v>888</v>
      </c>
      <c r="C88" s="3" t="s">
        <v>8286</v>
      </c>
      <c r="D88" s="3" t="s">
        <v>793</v>
      </c>
      <c r="E88" s="3" t="s">
        <v>793</v>
      </c>
      <c r="F88" s="3">
        <v>0</v>
      </c>
      <c r="G88" s="3" t="s">
        <v>8278</v>
      </c>
    </row>
    <row r="89" spans="1:7" x14ac:dyDescent="0.2">
      <c r="A89" s="3" t="s">
        <v>8371</v>
      </c>
      <c r="B89" s="3" t="s">
        <v>893</v>
      </c>
      <c r="C89" s="3" t="s">
        <v>8282</v>
      </c>
      <c r="D89" s="3" t="s">
        <v>894</v>
      </c>
      <c r="E89" s="3" t="s">
        <v>1546</v>
      </c>
      <c r="F89" s="3">
        <v>4</v>
      </c>
      <c r="G89" s="3" t="s">
        <v>8284</v>
      </c>
    </row>
    <row r="90" spans="1:7" x14ac:dyDescent="0.2">
      <c r="A90" s="3" t="s">
        <v>8372</v>
      </c>
      <c r="B90" s="3" t="s">
        <v>896</v>
      </c>
      <c r="C90" s="3" t="s">
        <v>8290</v>
      </c>
      <c r="D90" s="3" t="s">
        <v>364</v>
      </c>
      <c r="E90" s="3" t="s">
        <v>364</v>
      </c>
      <c r="F90" s="3">
        <v>0</v>
      </c>
      <c r="G90" s="3" t="s">
        <v>8278</v>
      </c>
    </row>
    <row r="91" spans="1:7" x14ac:dyDescent="0.2">
      <c r="A91" s="3" t="s">
        <v>8373</v>
      </c>
      <c r="B91" s="3" t="s">
        <v>897</v>
      </c>
      <c r="C91" s="3" t="s">
        <v>8290</v>
      </c>
      <c r="D91" s="3" t="s">
        <v>317</v>
      </c>
      <c r="E91" s="3" t="s">
        <v>690</v>
      </c>
      <c r="F91" s="3">
        <v>4</v>
      </c>
      <c r="G91" s="3" t="s">
        <v>8284</v>
      </c>
    </row>
    <row r="92" spans="1:7" x14ac:dyDescent="0.2">
      <c r="A92" s="3" t="s">
        <v>8374</v>
      </c>
      <c r="B92" s="3" t="s">
        <v>902</v>
      </c>
      <c r="C92" s="3" t="s">
        <v>8280</v>
      </c>
      <c r="D92" s="3" t="s">
        <v>313</v>
      </c>
      <c r="E92" s="3" t="s">
        <v>313</v>
      </c>
      <c r="F92" s="3">
        <v>0</v>
      </c>
      <c r="G92" s="3" t="s">
        <v>8278</v>
      </c>
    </row>
    <row r="93" spans="1:7" x14ac:dyDescent="0.2">
      <c r="A93" s="3" t="s">
        <v>8375</v>
      </c>
      <c r="B93" s="3" t="s">
        <v>905</v>
      </c>
      <c r="C93" s="3" t="s">
        <v>8282</v>
      </c>
      <c r="D93" s="3" t="s">
        <v>906</v>
      </c>
      <c r="E93" s="3" t="s">
        <v>906</v>
      </c>
      <c r="F93" s="3">
        <v>0</v>
      </c>
      <c r="G93" s="3" t="s">
        <v>8278</v>
      </c>
    </row>
    <row r="94" spans="1:7" x14ac:dyDescent="0.2">
      <c r="A94" s="3" t="s">
        <v>8376</v>
      </c>
      <c r="B94" s="3" t="s">
        <v>923</v>
      </c>
      <c r="C94" s="3" t="s">
        <v>8290</v>
      </c>
      <c r="D94" s="3" t="s">
        <v>729</v>
      </c>
      <c r="E94" s="3" t="s">
        <v>729</v>
      </c>
      <c r="F94" s="3">
        <v>0</v>
      </c>
      <c r="G94" s="3" t="s">
        <v>8278</v>
      </c>
    </row>
    <row r="95" spans="1:7" x14ac:dyDescent="0.2">
      <c r="A95" s="3" t="s">
        <v>8377</v>
      </c>
      <c r="B95" s="3" t="s">
        <v>925</v>
      </c>
      <c r="C95" s="3" t="s">
        <v>8286</v>
      </c>
      <c r="D95" s="3" t="s">
        <v>926</v>
      </c>
      <c r="E95" s="3" t="s">
        <v>926</v>
      </c>
      <c r="F95" s="3">
        <v>0</v>
      </c>
      <c r="G95" s="3" t="s">
        <v>8278</v>
      </c>
    </row>
    <row r="96" spans="1:7" x14ac:dyDescent="0.2">
      <c r="A96" s="3" t="s">
        <v>8378</v>
      </c>
      <c r="B96" s="3" t="s">
        <v>927</v>
      </c>
      <c r="C96" s="3" t="s">
        <v>8282</v>
      </c>
      <c r="D96" s="3" t="s">
        <v>563</v>
      </c>
      <c r="E96" s="3" t="s">
        <v>762</v>
      </c>
      <c r="F96" s="3">
        <v>5</v>
      </c>
      <c r="G96" s="3" t="s">
        <v>8284</v>
      </c>
    </row>
    <row r="97" spans="1:7" x14ac:dyDescent="0.2">
      <c r="A97" s="3" t="s">
        <v>8379</v>
      </c>
      <c r="B97" s="3" t="s">
        <v>928</v>
      </c>
      <c r="C97" s="3" t="s">
        <v>8277</v>
      </c>
      <c r="D97" s="3" t="s">
        <v>821</v>
      </c>
      <c r="E97" s="3" t="s">
        <v>821</v>
      </c>
      <c r="F97" s="3">
        <v>0</v>
      </c>
      <c r="G97" s="3" t="s">
        <v>8278</v>
      </c>
    </row>
    <row r="98" spans="1:7" x14ac:dyDescent="0.2">
      <c r="A98" s="3" t="s">
        <v>8380</v>
      </c>
      <c r="B98" s="3" t="s">
        <v>934</v>
      </c>
      <c r="C98" s="3" t="s">
        <v>8280</v>
      </c>
      <c r="D98" s="3" t="s">
        <v>279</v>
      </c>
      <c r="E98" s="3" t="s">
        <v>279</v>
      </c>
      <c r="F98" s="3">
        <v>0</v>
      </c>
      <c r="G98" s="3" t="s">
        <v>8278</v>
      </c>
    </row>
    <row r="99" spans="1:7" x14ac:dyDescent="0.2">
      <c r="A99" s="3" t="s">
        <v>8381</v>
      </c>
      <c r="B99" s="3" t="s">
        <v>938</v>
      </c>
      <c r="C99" s="3" t="s">
        <v>8282</v>
      </c>
      <c r="D99" s="3" t="s">
        <v>538</v>
      </c>
      <c r="E99" s="3" t="s">
        <v>538</v>
      </c>
      <c r="F99" s="3">
        <v>0</v>
      </c>
      <c r="G99" s="3" t="s">
        <v>8278</v>
      </c>
    </row>
    <row r="100" spans="1:7" x14ac:dyDescent="0.2">
      <c r="A100" s="3" t="s">
        <v>8382</v>
      </c>
      <c r="B100" s="3" t="s">
        <v>940</v>
      </c>
      <c r="C100" s="3" t="s">
        <v>8280</v>
      </c>
      <c r="D100" s="3" t="s">
        <v>941</v>
      </c>
      <c r="E100" s="3" t="s">
        <v>941</v>
      </c>
      <c r="F100" s="3">
        <v>0</v>
      </c>
      <c r="G100" s="3" t="s">
        <v>8278</v>
      </c>
    </row>
    <row r="101" spans="1:7" x14ac:dyDescent="0.2">
      <c r="A101" s="3" t="s">
        <v>8383</v>
      </c>
      <c r="B101" s="3" t="s">
        <v>944</v>
      </c>
      <c r="C101" s="3" t="s">
        <v>8286</v>
      </c>
      <c r="D101" s="3" t="s">
        <v>782</v>
      </c>
      <c r="E101" s="3" t="s">
        <v>782</v>
      </c>
      <c r="F101" s="3">
        <v>0</v>
      </c>
      <c r="G101" s="3" t="s">
        <v>8278</v>
      </c>
    </row>
    <row r="102" spans="1:7" x14ac:dyDescent="0.2">
      <c r="A102" s="3" t="s">
        <v>8384</v>
      </c>
      <c r="B102" s="3" t="s">
        <v>950</v>
      </c>
      <c r="C102" s="3" t="s">
        <v>8290</v>
      </c>
      <c r="D102" s="3" t="s">
        <v>951</v>
      </c>
      <c r="E102" s="3" t="s">
        <v>951</v>
      </c>
      <c r="F102" s="3">
        <v>0</v>
      </c>
      <c r="G102" s="3" t="s">
        <v>8278</v>
      </c>
    </row>
    <row r="103" spans="1:7" x14ac:dyDescent="0.2">
      <c r="A103" s="3" t="s">
        <v>8385</v>
      </c>
      <c r="B103" s="3" t="s">
        <v>954</v>
      </c>
      <c r="C103" s="3" t="s">
        <v>8290</v>
      </c>
      <c r="D103" s="3" t="s">
        <v>663</v>
      </c>
      <c r="E103" s="3" t="s">
        <v>663</v>
      </c>
      <c r="F103" s="3">
        <v>0</v>
      </c>
      <c r="G103" s="3" t="s">
        <v>8278</v>
      </c>
    </row>
    <row r="104" spans="1:7" x14ac:dyDescent="0.2">
      <c r="A104" s="3" t="s">
        <v>8386</v>
      </c>
      <c r="B104" s="3" t="s">
        <v>969</v>
      </c>
      <c r="C104" s="3" t="s">
        <v>8288</v>
      </c>
      <c r="D104" s="3" t="s">
        <v>970</v>
      </c>
      <c r="E104" s="3" t="s">
        <v>971</v>
      </c>
      <c r="F104" s="3">
        <v>6</v>
      </c>
      <c r="G104" s="3" t="s">
        <v>8284</v>
      </c>
    </row>
    <row r="105" spans="1:7" x14ac:dyDescent="0.2">
      <c r="A105" s="3" t="s">
        <v>8387</v>
      </c>
      <c r="B105" s="3" t="s">
        <v>980</v>
      </c>
      <c r="C105" s="3" t="s">
        <v>8288</v>
      </c>
      <c r="D105" s="3" t="s">
        <v>981</v>
      </c>
      <c r="E105" s="3" t="s">
        <v>981</v>
      </c>
      <c r="F105" s="3">
        <v>0</v>
      </c>
      <c r="G105" s="3" t="s">
        <v>8278</v>
      </c>
    </row>
    <row r="106" spans="1:7" x14ac:dyDescent="0.2">
      <c r="A106" s="3" t="s">
        <v>8388</v>
      </c>
      <c r="B106" s="3" t="s">
        <v>985</v>
      </c>
      <c r="C106" s="3" t="s">
        <v>8282</v>
      </c>
      <c r="D106" s="3" t="s">
        <v>660</v>
      </c>
      <c r="E106" s="3" t="s">
        <v>660</v>
      </c>
      <c r="F106" s="3">
        <v>0</v>
      </c>
      <c r="G106" s="3" t="s">
        <v>8278</v>
      </c>
    </row>
    <row r="107" spans="1:7" x14ac:dyDescent="0.2">
      <c r="A107" s="3" t="s">
        <v>8389</v>
      </c>
      <c r="B107" s="3" t="s">
        <v>987</v>
      </c>
      <c r="C107" s="3" t="s">
        <v>8277</v>
      </c>
      <c r="D107" s="3" t="s">
        <v>941</v>
      </c>
      <c r="E107" s="3" t="s">
        <v>941</v>
      </c>
      <c r="F107" s="3">
        <v>0</v>
      </c>
      <c r="G107" s="3" t="s">
        <v>8278</v>
      </c>
    </row>
    <row r="108" spans="1:7" x14ac:dyDescent="0.2">
      <c r="A108" s="3" t="s">
        <v>8390</v>
      </c>
      <c r="B108" s="3" t="s">
        <v>996</v>
      </c>
      <c r="C108" s="3" t="s">
        <v>8286</v>
      </c>
      <c r="D108" s="3" t="s">
        <v>139</v>
      </c>
      <c r="E108" s="3" t="s">
        <v>139</v>
      </c>
      <c r="F108" s="3">
        <v>0</v>
      </c>
      <c r="G108" s="3" t="s">
        <v>8278</v>
      </c>
    </row>
    <row r="109" spans="1:7" x14ac:dyDescent="0.2">
      <c r="A109" s="3" t="s">
        <v>8391</v>
      </c>
      <c r="B109" s="3" t="s">
        <v>1002</v>
      </c>
      <c r="C109" s="3" t="s">
        <v>8288</v>
      </c>
      <c r="D109" s="3" t="s">
        <v>206</v>
      </c>
      <c r="E109" s="3" t="s">
        <v>599</v>
      </c>
      <c r="F109" s="3">
        <v>5</v>
      </c>
      <c r="G109" s="3" t="s">
        <v>8284</v>
      </c>
    </row>
    <row r="110" spans="1:7" x14ac:dyDescent="0.2">
      <c r="A110" s="3" t="s">
        <v>8392</v>
      </c>
      <c r="B110" s="3" t="s">
        <v>1006</v>
      </c>
      <c r="C110" s="3" t="s">
        <v>8282</v>
      </c>
      <c r="D110" s="3" t="s">
        <v>689</v>
      </c>
      <c r="E110" s="3" t="s">
        <v>689</v>
      </c>
      <c r="F110" s="3">
        <v>0</v>
      </c>
      <c r="G110" s="3" t="s">
        <v>8278</v>
      </c>
    </row>
    <row r="111" spans="1:7" x14ac:dyDescent="0.2">
      <c r="A111" s="3" t="s">
        <v>8393</v>
      </c>
      <c r="B111" s="3" t="s">
        <v>1009</v>
      </c>
      <c r="C111" s="3" t="s">
        <v>8288</v>
      </c>
      <c r="D111" s="3" t="s">
        <v>631</v>
      </c>
      <c r="E111" s="3" t="s">
        <v>1007</v>
      </c>
      <c r="F111" s="3">
        <v>9</v>
      </c>
      <c r="G111" s="3" t="s">
        <v>8284</v>
      </c>
    </row>
    <row r="112" spans="1:7" x14ac:dyDescent="0.2">
      <c r="A112" s="3" t="s">
        <v>8394</v>
      </c>
      <c r="B112" s="3" t="s">
        <v>1015</v>
      </c>
      <c r="C112" s="3" t="s">
        <v>8277</v>
      </c>
      <c r="D112" s="3" t="s">
        <v>637</v>
      </c>
      <c r="E112" s="3" t="s">
        <v>637</v>
      </c>
      <c r="F112" s="3">
        <v>0</v>
      </c>
      <c r="G112" s="3" t="s">
        <v>8278</v>
      </c>
    </row>
    <row r="113" spans="1:7" x14ac:dyDescent="0.2">
      <c r="A113" s="3" t="s">
        <v>8395</v>
      </c>
      <c r="B113" s="3" t="s">
        <v>1021</v>
      </c>
      <c r="C113" s="3" t="s">
        <v>8290</v>
      </c>
      <c r="D113" s="3" t="s">
        <v>194</v>
      </c>
      <c r="E113" s="3" t="s">
        <v>194</v>
      </c>
      <c r="F113" s="3">
        <v>0</v>
      </c>
      <c r="G113" s="3" t="s">
        <v>8278</v>
      </c>
    </row>
    <row r="114" spans="1:7" x14ac:dyDescent="0.2">
      <c r="A114" s="3" t="s">
        <v>8396</v>
      </c>
      <c r="B114" s="3" t="s">
        <v>1025</v>
      </c>
      <c r="C114" s="3" t="s">
        <v>8280</v>
      </c>
      <c r="D114" s="3" t="s">
        <v>347</v>
      </c>
      <c r="E114" s="3" t="s">
        <v>347</v>
      </c>
      <c r="F114" s="3">
        <v>0</v>
      </c>
      <c r="G114" s="3" t="s">
        <v>8278</v>
      </c>
    </row>
    <row r="115" spans="1:7" x14ac:dyDescent="0.2">
      <c r="A115" s="3" t="s">
        <v>8397</v>
      </c>
      <c r="B115" s="3" t="s">
        <v>1029</v>
      </c>
      <c r="C115" s="3" t="s">
        <v>8280</v>
      </c>
      <c r="D115" s="3" t="s">
        <v>1030</v>
      </c>
      <c r="E115" s="3" t="s">
        <v>1030</v>
      </c>
      <c r="F115" s="3">
        <v>0</v>
      </c>
      <c r="G115" s="3" t="s">
        <v>8278</v>
      </c>
    </row>
    <row r="116" spans="1:7" x14ac:dyDescent="0.2">
      <c r="A116" s="3" t="s">
        <v>8398</v>
      </c>
      <c r="B116" s="3" t="s">
        <v>1039</v>
      </c>
      <c r="C116" s="3" t="s">
        <v>8282</v>
      </c>
      <c r="D116" s="3" t="s">
        <v>668</v>
      </c>
      <c r="E116" s="3" t="s">
        <v>668</v>
      </c>
      <c r="F116" s="3">
        <v>0</v>
      </c>
      <c r="G116" s="3" t="s">
        <v>8278</v>
      </c>
    </row>
    <row r="117" spans="1:7" x14ac:dyDescent="0.2">
      <c r="A117" s="3" t="s">
        <v>8399</v>
      </c>
      <c r="B117" s="3" t="s">
        <v>1040</v>
      </c>
      <c r="C117" s="3" t="s">
        <v>8277</v>
      </c>
      <c r="D117" s="3" t="s">
        <v>1041</v>
      </c>
      <c r="E117" s="3" t="s">
        <v>263</v>
      </c>
      <c r="F117" s="3">
        <v>10</v>
      </c>
      <c r="G117" s="3" t="s">
        <v>8284</v>
      </c>
    </row>
    <row r="118" spans="1:7" x14ac:dyDescent="0.2">
      <c r="A118" s="3" t="s">
        <v>8400</v>
      </c>
      <c r="B118" s="3" t="s">
        <v>1043</v>
      </c>
      <c r="C118" s="3" t="s">
        <v>8286</v>
      </c>
      <c r="D118" s="3" t="s">
        <v>1035</v>
      </c>
      <c r="E118" s="3" t="s">
        <v>1035</v>
      </c>
      <c r="F118" s="3">
        <v>0</v>
      </c>
      <c r="G118" s="3" t="s">
        <v>8278</v>
      </c>
    </row>
    <row r="119" spans="1:7" x14ac:dyDescent="0.2">
      <c r="A119" s="3" t="s">
        <v>8401</v>
      </c>
      <c r="B119" s="3" t="s">
        <v>1047</v>
      </c>
      <c r="C119" s="3" t="s">
        <v>8286</v>
      </c>
      <c r="D119" s="3" t="s">
        <v>849</v>
      </c>
      <c r="E119" s="3" t="s">
        <v>849</v>
      </c>
      <c r="F119" s="3">
        <v>0</v>
      </c>
      <c r="G119" s="3" t="s">
        <v>8278</v>
      </c>
    </row>
    <row r="120" spans="1:7" x14ac:dyDescent="0.2">
      <c r="A120" s="3" t="s">
        <v>8402</v>
      </c>
      <c r="B120" s="3" t="s">
        <v>1050</v>
      </c>
      <c r="C120" s="3" t="s">
        <v>8286</v>
      </c>
      <c r="D120" s="3" t="s">
        <v>1051</v>
      </c>
      <c r="E120" s="3" t="s">
        <v>1051</v>
      </c>
      <c r="F120" s="3">
        <v>0</v>
      </c>
      <c r="G120" s="3" t="s">
        <v>8278</v>
      </c>
    </row>
    <row r="121" spans="1:7" x14ac:dyDescent="0.2">
      <c r="A121" s="3" t="s">
        <v>8403</v>
      </c>
      <c r="B121" s="3" t="s">
        <v>1052</v>
      </c>
      <c r="C121" s="3" t="s">
        <v>8286</v>
      </c>
      <c r="D121" s="3" t="s">
        <v>1053</v>
      </c>
      <c r="E121" s="3" t="s">
        <v>1053</v>
      </c>
      <c r="F121" s="3">
        <v>0</v>
      </c>
      <c r="G121" s="3" t="s">
        <v>8278</v>
      </c>
    </row>
    <row r="122" spans="1:7" x14ac:dyDescent="0.2">
      <c r="A122" s="3" t="s">
        <v>8404</v>
      </c>
      <c r="B122" s="3" t="s">
        <v>1054</v>
      </c>
      <c r="C122" s="3" t="s">
        <v>8290</v>
      </c>
      <c r="D122" s="3" t="s">
        <v>1035</v>
      </c>
      <c r="E122" s="3" t="s">
        <v>1035</v>
      </c>
      <c r="F122" s="3">
        <v>0</v>
      </c>
      <c r="G122" s="3" t="s">
        <v>8278</v>
      </c>
    </row>
    <row r="123" spans="1:7" x14ac:dyDescent="0.2">
      <c r="A123" s="3" t="s">
        <v>8405</v>
      </c>
      <c r="B123" s="3" t="s">
        <v>1059</v>
      </c>
      <c r="C123" s="3" t="s">
        <v>8280</v>
      </c>
      <c r="D123" s="3" t="s">
        <v>909</v>
      </c>
      <c r="E123" s="3" t="s">
        <v>909</v>
      </c>
      <c r="F123" s="3">
        <v>0</v>
      </c>
      <c r="G123" s="3" t="s">
        <v>8278</v>
      </c>
    </row>
    <row r="124" spans="1:7" x14ac:dyDescent="0.2">
      <c r="A124" s="3" t="s">
        <v>8406</v>
      </c>
      <c r="B124" s="3" t="s">
        <v>1070</v>
      </c>
      <c r="C124" s="3" t="s">
        <v>8288</v>
      </c>
      <c r="D124" s="3" t="s">
        <v>347</v>
      </c>
      <c r="E124" s="3" t="s">
        <v>347</v>
      </c>
      <c r="F124" s="3">
        <v>0</v>
      </c>
      <c r="G124" s="3" t="s">
        <v>8278</v>
      </c>
    </row>
    <row r="125" spans="1:7" x14ac:dyDescent="0.2">
      <c r="A125" s="3" t="s">
        <v>8407</v>
      </c>
      <c r="B125" s="3" t="s">
        <v>1074</v>
      </c>
      <c r="C125" s="3" t="s">
        <v>8277</v>
      </c>
      <c r="D125" s="3" t="s">
        <v>468</v>
      </c>
      <c r="E125" s="3" t="s">
        <v>468</v>
      </c>
      <c r="F125" s="3">
        <v>0</v>
      </c>
      <c r="G125" s="3" t="s">
        <v>8278</v>
      </c>
    </row>
    <row r="126" spans="1:7" x14ac:dyDescent="0.2">
      <c r="A126" s="3" t="s">
        <v>8408</v>
      </c>
      <c r="B126" s="3" t="s">
        <v>1075</v>
      </c>
      <c r="C126" s="3" t="s">
        <v>8286</v>
      </c>
      <c r="D126" s="3" t="s">
        <v>807</v>
      </c>
      <c r="E126" s="3" t="s">
        <v>807</v>
      </c>
      <c r="F126" s="3">
        <v>0</v>
      </c>
      <c r="G126" s="3" t="s">
        <v>8278</v>
      </c>
    </row>
    <row r="127" spans="1:7" x14ac:dyDescent="0.2">
      <c r="A127" s="3" t="s">
        <v>8409</v>
      </c>
      <c r="B127" s="3" t="s">
        <v>1080</v>
      </c>
      <c r="C127" s="3" t="s">
        <v>8280</v>
      </c>
      <c r="D127" s="3" t="s">
        <v>467</v>
      </c>
      <c r="E127" s="3" t="s">
        <v>467</v>
      </c>
      <c r="F127" s="3">
        <v>0</v>
      </c>
      <c r="G127" s="3" t="s">
        <v>8278</v>
      </c>
    </row>
    <row r="128" spans="1:7" x14ac:dyDescent="0.2">
      <c r="A128" s="3" t="s">
        <v>8410</v>
      </c>
      <c r="B128" s="3" t="s">
        <v>1088</v>
      </c>
      <c r="C128" s="3" t="s">
        <v>8286</v>
      </c>
      <c r="D128" s="3" t="s">
        <v>854</v>
      </c>
      <c r="E128" s="3" t="s">
        <v>854</v>
      </c>
      <c r="F128" s="3">
        <v>0</v>
      </c>
      <c r="G128" s="3" t="s">
        <v>8278</v>
      </c>
    </row>
    <row r="129" spans="1:7" x14ac:dyDescent="0.2">
      <c r="A129" s="3" t="s">
        <v>8411</v>
      </c>
      <c r="B129" s="3" t="s">
        <v>1091</v>
      </c>
      <c r="C129" s="3" t="s">
        <v>8288</v>
      </c>
      <c r="D129" s="3" t="s">
        <v>419</v>
      </c>
      <c r="E129" s="3" t="s">
        <v>419</v>
      </c>
      <c r="F129" s="3">
        <v>0</v>
      </c>
      <c r="G129" s="3" t="s">
        <v>8278</v>
      </c>
    </row>
    <row r="130" spans="1:7" x14ac:dyDescent="0.2">
      <c r="A130" s="3" t="s">
        <v>8412</v>
      </c>
      <c r="B130" s="3" t="s">
        <v>1096</v>
      </c>
      <c r="C130" s="3" t="s">
        <v>8277</v>
      </c>
      <c r="D130" s="3" t="s">
        <v>276</v>
      </c>
      <c r="E130" s="3" t="s">
        <v>276</v>
      </c>
      <c r="F130" s="3">
        <v>0</v>
      </c>
      <c r="G130" s="3" t="s">
        <v>8278</v>
      </c>
    </row>
    <row r="131" spans="1:7" x14ac:dyDescent="0.2">
      <c r="A131" s="3" t="s">
        <v>8413</v>
      </c>
      <c r="B131" s="3" t="s">
        <v>1098</v>
      </c>
      <c r="C131" s="3" t="s">
        <v>8282</v>
      </c>
      <c r="D131" s="3" t="s">
        <v>231</v>
      </c>
      <c r="E131" s="3" t="s">
        <v>231</v>
      </c>
      <c r="F131" s="3">
        <v>0</v>
      </c>
      <c r="G131" s="3" t="s">
        <v>8278</v>
      </c>
    </row>
    <row r="132" spans="1:7" x14ac:dyDescent="0.2">
      <c r="A132" s="3" t="s">
        <v>8414</v>
      </c>
      <c r="B132" s="3" t="s">
        <v>1110</v>
      </c>
      <c r="C132" s="3" t="s">
        <v>8286</v>
      </c>
      <c r="D132" s="3" t="s">
        <v>481</v>
      </c>
      <c r="E132" s="3" t="s">
        <v>481</v>
      </c>
      <c r="F132" s="3">
        <v>0</v>
      </c>
      <c r="G132" s="3" t="s">
        <v>8278</v>
      </c>
    </row>
    <row r="133" spans="1:7" x14ac:dyDescent="0.2">
      <c r="A133" s="3" t="s">
        <v>8415</v>
      </c>
      <c r="B133" s="3" t="s">
        <v>1111</v>
      </c>
      <c r="C133" s="3" t="s">
        <v>8277</v>
      </c>
      <c r="D133" s="3" t="s">
        <v>741</v>
      </c>
      <c r="E133" s="3" t="s">
        <v>741</v>
      </c>
      <c r="F133" s="3">
        <v>0</v>
      </c>
      <c r="G133" s="3" t="s">
        <v>8278</v>
      </c>
    </row>
    <row r="134" spans="1:7" x14ac:dyDescent="0.2">
      <c r="A134" s="3" t="s">
        <v>8416</v>
      </c>
      <c r="B134" s="3" t="s">
        <v>1114</v>
      </c>
      <c r="C134" s="3" t="s">
        <v>8277</v>
      </c>
      <c r="D134" s="3" t="s">
        <v>920</v>
      </c>
      <c r="E134" s="3" t="s">
        <v>920</v>
      </c>
      <c r="F134" s="3">
        <v>0</v>
      </c>
      <c r="G134" s="3" t="s">
        <v>8278</v>
      </c>
    </row>
    <row r="135" spans="1:7" x14ac:dyDescent="0.2">
      <c r="A135" s="3" t="s">
        <v>8417</v>
      </c>
      <c r="B135" s="3" t="s">
        <v>1116</v>
      </c>
      <c r="C135" s="3" t="s">
        <v>8290</v>
      </c>
      <c r="D135" s="3" t="s">
        <v>267</v>
      </c>
      <c r="E135" s="3" t="s">
        <v>267</v>
      </c>
      <c r="F135" s="3">
        <v>0</v>
      </c>
      <c r="G135" s="3" t="s">
        <v>8278</v>
      </c>
    </row>
    <row r="136" spans="1:7" x14ac:dyDescent="0.2">
      <c r="A136" s="3" t="s">
        <v>8418</v>
      </c>
      <c r="B136" s="3" t="s">
        <v>1119</v>
      </c>
      <c r="C136" s="3" t="s">
        <v>8282</v>
      </c>
      <c r="D136" s="3" t="s">
        <v>867</v>
      </c>
      <c r="E136" s="3" t="s">
        <v>867</v>
      </c>
      <c r="F136" s="3">
        <v>0</v>
      </c>
      <c r="G136" s="3" t="s">
        <v>8278</v>
      </c>
    </row>
    <row r="137" spans="1:7" x14ac:dyDescent="0.2">
      <c r="A137" s="3" t="s">
        <v>8419</v>
      </c>
      <c r="B137" s="3" t="s">
        <v>1122</v>
      </c>
      <c r="C137" s="3" t="s">
        <v>8290</v>
      </c>
      <c r="D137" s="3" t="s">
        <v>655</v>
      </c>
      <c r="E137" s="3" t="s">
        <v>655</v>
      </c>
      <c r="F137" s="3">
        <v>0</v>
      </c>
      <c r="G137" s="3" t="s">
        <v>8278</v>
      </c>
    </row>
    <row r="138" spans="1:7" x14ac:dyDescent="0.2">
      <c r="A138" s="3" t="s">
        <v>8420</v>
      </c>
      <c r="B138" s="3" t="s">
        <v>1132</v>
      </c>
      <c r="C138" s="3" t="s">
        <v>8277</v>
      </c>
      <c r="D138" s="3" t="s">
        <v>1133</v>
      </c>
      <c r="E138" s="3" t="s">
        <v>1133</v>
      </c>
      <c r="F138" s="3">
        <v>0</v>
      </c>
      <c r="G138" s="3" t="s">
        <v>8278</v>
      </c>
    </row>
    <row r="139" spans="1:7" x14ac:dyDescent="0.2">
      <c r="A139" s="3" t="s">
        <v>8421</v>
      </c>
      <c r="B139" s="3" t="s">
        <v>1134</v>
      </c>
      <c r="C139" s="3" t="s">
        <v>8282</v>
      </c>
      <c r="D139" s="3" t="s">
        <v>894</v>
      </c>
      <c r="E139" s="3" t="s">
        <v>894</v>
      </c>
      <c r="F139" s="3">
        <v>0</v>
      </c>
      <c r="G139" s="3" t="s">
        <v>8278</v>
      </c>
    </row>
    <row r="140" spans="1:7" x14ac:dyDescent="0.2">
      <c r="A140" s="3" t="s">
        <v>8422</v>
      </c>
      <c r="B140" s="3" t="s">
        <v>1140</v>
      </c>
      <c r="C140" s="3" t="s">
        <v>8280</v>
      </c>
      <c r="D140" s="3" t="s">
        <v>675</v>
      </c>
      <c r="E140" s="3" t="s">
        <v>316</v>
      </c>
      <c r="F140" s="3">
        <v>4</v>
      </c>
      <c r="G140" s="3" t="s">
        <v>8284</v>
      </c>
    </row>
    <row r="141" spans="1:7" x14ac:dyDescent="0.2">
      <c r="A141" s="3" t="s">
        <v>8423</v>
      </c>
      <c r="B141" s="3" t="s">
        <v>1142</v>
      </c>
      <c r="C141" s="3" t="s">
        <v>8282</v>
      </c>
      <c r="D141" s="3" t="s">
        <v>761</v>
      </c>
      <c r="E141" s="3" t="s">
        <v>761</v>
      </c>
      <c r="F141" s="3">
        <v>0</v>
      </c>
      <c r="G141" s="3" t="s">
        <v>8278</v>
      </c>
    </row>
    <row r="142" spans="1:7" x14ac:dyDescent="0.2">
      <c r="A142" s="3" t="s">
        <v>8424</v>
      </c>
      <c r="B142" s="3" t="s">
        <v>1144</v>
      </c>
      <c r="C142" s="3" t="s">
        <v>8286</v>
      </c>
      <c r="D142" s="3" t="s">
        <v>686</v>
      </c>
      <c r="E142" s="3" t="s">
        <v>686</v>
      </c>
      <c r="F142" s="3">
        <v>0</v>
      </c>
      <c r="G142" s="3" t="s">
        <v>8278</v>
      </c>
    </row>
    <row r="143" spans="1:7" x14ac:dyDescent="0.2">
      <c r="A143" s="3" t="s">
        <v>8425</v>
      </c>
      <c r="B143" s="3" t="s">
        <v>1145</v>
      </c>
      <c r="C143" s="3" t="s">
        <v>8286</v>
      </c>
      <c r="D143" s="3" t="s">
        <v>442</v>
      </c>
      <c r="E143" s="3" t="s">
        <v>442</v>
      </c>
      <c r="F143" s="3">
        <v>0</v>
      </c>
      <c r="G143" s="3" t="s">
        <v>8278</v>
      </c>
    </row>
    <row r="144" spans="1:7" x14ac:dyDescent="0.2">
      <c r="A144" s="3" t="s">
        <v>8426</v>
      </c>
      <c r="B144" s="3" t="s">
        <v>1153</v>
      </c>
      <c r="C144" s="3" t="s">
        <v>8290</v>
      </c>
      <c r="D144" s="3" t="s">
        <v>627</v>
      </c>
      <c r="E144" s="3" t="s">
        <v>627</v>
      </c>
      <c r="F144" s="3">
        <v>0</v>
      </c>
      <c r="G144" s="3" t="s">
        <v>8278</v>
      </c>
    </row>
    <row r="145" spans="1:7" x14ac:dyDescent="0.2">
      <c r="A145" s="3" t="s">
        <v>8427</v>
      </c>
      <c r="B145" s="3" t="s">
        <v>1160</v>
      </c>
      <c r="C145" s="3" t="s">
        <v>8288</v>
      </c>
      <c r="D145" s="3" t="s">
        <v>1161</v>
      </c>
      <c r="E145" s="3" t="s">
        <v>765</v>
      </c>
      <c r="F145" s="3">
        <v>10</v>
      </c>
      <c r="G145" s="3" t="s">
        <v>8284</v>
      </c>
    </row>
    <row r="146" spans="1:7" x14ac:dyDescent="0.2">
      <c r="A146" s="3" t="s">
        <v>8428</v>
      </c>
      <c r="B146" s="3" t="s">
        <v>1171</v>
      </c>
      <c r="C146" s="3" t="s">
        <v>8280</v>
      </c>
      <c r="D146" s="3" t="s">
        <v>1172</v>
      </c>
      <c r="E146" s="3" t="s">
        <v>1172</v>
      </c>
      <c r="F146" s="3">
        <v>0</v>
      </c>
      <c r="G146" s="3" t="s">
        <v>8278</v>
      </c>
    </row>
    <row r="147" spans="1:7" x14ac:dyDescent="0.2">
      <c r="A147" s="3" t="s">
        <v>8429</v>
      </c>
      <c r="B147" s="3" t="s">
        <v>1173</v>
      </c>
      <c r="C147" s="3" t="s">
        <v>8277</v>
      </c>
      <c r="D147" s="3" t="s">
        <v>1126</v>
      </c>
      <c r="E147" s="3" t="s">
        <v>1126</v>
      </c>
      <c r="F147" s="3">
        <v>0</v>
      </c>
      <c r="G147" s="3" t="s">
        <v>8278</v>
      </c>
    </row>
    <row r="148" spans="1:7" x14ac:dyDescent="0.2">
      <c r="A148" s="3" t="s">
        <v>8430</v>
      </c>
      <c r="B148" s="3" t="s">
        <v>1175</v>
      </c>
      <c r="C148" s="3" t="s">
        <v>8280</v>
      </c>
      <c r="D148" s="3" t="s">
        <v>606</v>
      </c>
      <c r="E148" s="3" t="s">
        <v>606</v>
      </c>
      <c r="F148" s="3">
        <v>0</v>
      </c>
      <c r="G148" s="3" t="s">
        <v>8278</v>
      </c>
    </row>
    <row r="149" spans="1:7" x14ac:dyDescent="0.2">
      <c r="A149" s="3" t="s">
        <v>8431</v>
      </c>
      <c r="B149" s="3" t="s">
        <v>1176</v>
      </c>
      <c r="C149" s="3" t="s">
        <v>8286</v>
      </c>
      <c r="D149" s="3" t="s">
        <v>939</v>
      </c>
      <c r="E149" s="3" t="s">
        <v>939</v>
      </c>
      <c r="F149" s="3">
        <v>0</v>
      </c>
      <c r="G149" s="3" t="s">
        <v>8278</v>
      </c>
    </row>
    <row r="150" spans="1:7" x14ac:dyDescent="0.2">
      <c r="A150" s="3" t="s">
        <v>8432</v>
      </c>
      <c r="B150" s="3" t="s">
        <v>1181</v>
      </c>
      <c r="C150" s="3" t="s">
        <v>8277</v>
      </c>
      <c r="D150" s="3" t="s">
        <v>470</v>
      </c>
      <c r="E150" s="3" t="s">
        <v>470</v>
      </c>
      <c r="F150" s="3">
        <v>0</v>
      </c>
      <c r="G150" s="3" t="s">
        <v>8278</v>
      </c>
    </row>
    <row r="151" spans="1:7" x14ac:dyDescent="0.2">
      <c r="A151" s="3" t="s">
        <v>8433</v>
      </c>
      <c r="B151" s="3" t="s">
        <v>1189</v>
      </c>
      <c r="C151" s="3" t="s">
        <v>8286</v>
      </c>
      <c r="D151" s="3" t="s">
        <v>874</v>
      </c>
      <c r="E151" s="3" t="s">
        <v>800</v>
      </c>
      <c r="F151" s="3">
        <v>14</v>
      </c>
      <c r="G151" s="3" t="s">
        <v>8284</v>
      </c>
    </row>
    <row r="152" spans="1:7" x14ac:dyDescent="0.2">
      <c r="A152" s="3" t="s">
        <v>8434</v>
      </c>
      <c r="B152" s="3" t="s">
        <v>1190</v>
      </c>
      <c r="C152" s="3" t="s">
        <v>8288</v>
      </c>
      <c r="D152" s="3" t="s">
        <v>1191</v>
      </c>
      <c r="E152" s="3" t="s">
        <v>1191</v>
      </c>
      <c r="F152" s="3">
        <v>0</v>
      </c>
      <c r="G152" s="3" t="s">
        <v>8278</v>
      </c>
    </row>
    <row r="153" spans="1:7" x14ac:dyDescent="0.2">
      <c r="A153" s="3" t="s">
        <v>8435</v>
      </c>
      <c r="B153" s="3" t="s">
        <v>1196</v>
      </c>
      <c r="C153" s="3" t="s">
        <v>8290</v>
      </c>
      <c r="D153" s="3" t="s">
        <v>412</v>
      </c>
      <c r="E153" s="3" t="s">
        <v>412</v>
      </c>
      <c r="F153" s="3">
        <v>0</v>
      </c>
      <c r="G153" s="3" t="s">
        <v>8278</v>
      </c>
    </row>
    <row r="154" spans="1:7" x14ac:dyDescent="0.2">
      <c r="A154" s="3" t="s">
        <v>8436</v>
      </c>
      <c r="B154" s="3" t="s">
        <v>1198</v>
      </c>
      <c r="C154" s="3" t="s">
        <v>8288</v>
      </c>
      <c r="D154" s="3" t="s">
        <v>863</v>
      </c>
      <c r="E154" s="3" t="s">
        <v>863</v>
      </c>
      <c r="F154" s="3">
        <v>0</v>
      </c>
      <c r="G154" s="3" t="s">
        <v>8278</v>
      </c>
    </row>
    <row r="155" spans="1:7" x14ac:dyDescent="0.2">
      <c r="A155" s="3" t="s">
        <v>8437</v>
      </c>
      <c r="B155" s="3" t="s">
        <v>1201</v>
      </c>
      <c r="C155" s="3" t="s">
        <v>8282</v>
      </c>
      <c r="D155" s="3" t="s">
        <v>675</v>
      </c>
      <c r="E155" s="3" t="s">
        <v>675</v>
      </c>
      <c r="F155" s="3">
        <v>0</v>
      </c>
      <c r="G155" s="3" t="s">
        <v>8278</v>
      </c>
    </row>
    <row r="156" spans="1:7" x14ac:dyDescent="0.2">
      <c r="A156" s="3" t="s">
        <v>8438</v>
      </c>
      <c r="B156" s="3" t="s">
        <v>1209</v>
      </c>
      <c r="C156" s="3" t="s">
        <v>8282</v>
      </c>
      <c r="D156" s="3" t="s">
        <v>1063</v>
      </c>
      <c r="E156" s="3" t="s">
        <v>1063</v>
      </c>
      <c r="F156" s="3">
        <v>0</v>
      </c>
      <c r="G156" s="3" t="s">
        <v>8278</v>
      </c>
    </row>
    <row r="157" spans="1:7" x14ac:dyDescent="0.2">
      <c r="A157" s="3" t="s">
        <v>8439</v>
      </c>
      <c r="B157" s="3" t="s">
        <v>1215</v>
      </c>
      <c r="C157" s="3" t="s">
        <v>8280</v>
      </c>
      <c r="D157" s="3" t="s">
        <v>463</v>
      </c>
      <c r="E157" s="3" t="s">
        <v>463</v>
      </c>
      <c r="F157" s="3">
        <v>0</v>
      </c>
      <c r="G157" s="3" t="s">
        <v>8278</v>
      </c>
    </row>
    <row r="158" spans="1:7" x14ac:dyDescent="0.2">
      <c r="A158" s="3" t="s">
        <v>8440</v>
      </c>
      <c r="B158" s="3" t="s">
        <v>1220</v>
      </c>
      <c r="C158" s="3" t="s">
        <v>8277</v>
      </c>
      <c r="D158" s="3" t="s">
        <v>1063</v>
      </c>
      <c r="E158" s="3" t="s">
        <v>1445</v>
      </c>
      <c r="F158" s="3">
        <v>9</v>
      </c>
      <c r="G158" s="3" t="s">
        <v>8284</v>
      </c>
    </row>
    <row r="159" spans="1:7" x14ac:dyDescent="0.2">
      <c r="A159" s="3" t="s">
        <v>8441</v>
      </c>
      <c r="B159" s="3" t="s">
        <v>1222</v>
      </c>
      <c r="C159" s="3" t="s">
        <v>8277</v>
      </c>
      <c r="D159" s="3" t="s">
        <v>345</v>
      </c>
      <c r="E159" s="3" t="s">
        <v>345</v>
      </c>
      <c r="F159" s="3">
        <v>0</v>
      </c>
      <c r="G159" s="3" t="s">
        <v>8278</v>
      </c>
    </row>
    <row r="160" spans="1:7" x14ac:dyDescent="0.2">
      <c r="A160" s="3" t="s">
        <v>8442</v>
      </c>
      <c r="B160" s="3" t="s">
        <v>1224</v>
      </c>
      <c r="C160" s="3" t="s">
        <v>8282</v>
      </c>
      <c r="D160" s="3" t="s">
        <v>636</v>
      </c>
      <c r="E160" s="3" t="s">
        <v>636</v>
      </c>
      <c r="F160" s="3">
        <v>0</v>
      </c>
      <c r="G160" s="3" t="s">
        <v>8278</v>
      </c>
    </row>
    <row r="161" spans="1:7" x14ac:dyDescent="0.2">
      <c r="A161" s="3" t="s">
        <v>8443</v>
      </c>
      <c r="B161" s="3" t="s">
        <v>1225</v>
      </c>
      <c r="C161" s="3" t="s">
        <v>8290</v>
      </c>
      <c r="D161" s="3" t="s">
        <v>270</v>
      </c>
      <c r="E161" s="3" t="s">
        <v>1480</v>
      </c>
      <c r="F161" s="3">
        <v>6</v>
      </c>
      <c r="G161" s="3" t="s">
        <v>8284</v>
      </c>
    </row>
    <row r="162" spans="1:7" x14ac:dyDescent="0.2">
      <c r="A162" s="3" t="s">
        <v>8444</v>
      </c>
      <c r="B162" s="3" t="s">
        <v>1227</v>
      </c>
      <c r="C162" s="3" t="s">
        <v>8290</v>
      </c>
      <c r="D162" s="3" t="s">
        <v>1058</v>
      </c>
      <c r="E162" s="3" t="s">
        <v>1058</v>
      </c>
      <c r="F162" s="3">
        <v>0</v>
      </c>
      <c r="G162" s="3" t="s">
        <v>8278</v>
      </c>
    </row>
    <row r="163" spans="1:7" x14ac:dyDescent="0.2">
      <c r="A163" s="3" t="s">
        <v>8445</v>
      </c>
      <c r="B163" s="3" t="s">
        <v>1235</v>
      </c>
      <c r="C163" s="3" t="s">
        <v>8280</v>
      </c>
      <c r="D163" s="3" t="s">
        <v>1236</v>
      </c>
      <c r="E163" s="3" t="s">
        <v>1236</v>
      </c>
      <c r="F163" s="3">
        <v>0</v>
      </c>
      <c r="G163" s="3" t="s">
        <v>8278</v>
      </c>
    </row>
    <row r="164" spans="1:7" x14ac:dyDescent="0.2">
      <c r="A164" s="3" t="s">
        <v>8446</v>
      </c>
      <c r="B164" s="3" t="s">
        <v>1240</v>
      </c>
      <c r="C164" s="3" t="s">
        <v>8286</v>
      </c>
      <c r="D164" s="3" t="s">
        <v>451</v>
      </c>
      <c r="E164" s="3" t="s">
        <v>451</v>
      </c>
      <c r="F164" s="3">
        <v>0</v>
      </c>
      <c r="G164" s="3" t="s">
        <v>8278</v>
      </c>
    </row>
    <row r="165" spans="1:7" x14ac:dyDescent="0.2">
      <c r="A165" s="3" t="s">
        <v>8447</v>
      </c>
      <c r="B165" s="3" t="s">
        <v>1241</v>
      </c>
      <c r="C165" s="3" t="s">
        <v>8286</v>
      </c>
      <c r="D165" s="3" t="s">
        <v>1242</v>
      </c>
      <c r="E165" s="3" t="s">
        <v>1964</v>
      </c>
      <c r="F165" s="3">
        <v>4</v>
      </c>
      <c r="G165" s="3" t="s">
        <v>8284</v>
      </c>
    </row>
    <row r="166" spans="1:7" x14ac:dyDescent="0.2">
      <c r="A166" s="3" t="s">
        <v>8448</v>
      </c>
      <c r="B166" s="3" t="s">
        <v>1243</v>
      </c>
      <c r="C166" s="3" t="s">
        <v>8288</v>
      </c>
      <c r="D166" s="3" t="s">
        <v>1063</v>
      </c>
      <c r="E166" s="3" t="s">
        <v>1063</v>
      </c>
      <c r="F166" s="3">
        <v>0</v>
      </c>
      <c r="G166" s="3" t="s">
        <v>8278</v>
      </c>
    </row>
    <row r="167" spans="1:7" x14ac:dyDescent="0.2">
      <c r="A167" s="3" t="s">
        <v>8449</v>
      </c>
      <c r="B167" s="3" t="s">
        <v>1245</v>
      </c>
      <c r="C167" s="3" t="s">
        <v>8288</v>
      </c>
      <c r="D167" s="3" t="s">
        <v>1246</v>
      </c>
      <c r="E167" s="3" t="s">
        <v>1246</v>
      </c>
      <c r="F167" s="3">
        <v>0</v>
      </c>
      <c r="G167" s="3" t="s">
        <v>8278</v>
      </c>
    </row>
    <row r="168" spans="1:7" x14ac:dyDescent="0.2">
      <c r="A168" s="3" t="s">
        <v>8450</v>
      </c>
      <c r="B168" s="3" t="s">
        <v>1247</v>
      </c>
      <c r="C168" s="3" t="s">
        <v>8282</v>
      </c>
      <c r="D168" s="3" t="s">
        <v>518</v>
      </c>
      <c r="E168" s="3" t="s">
        <v>518</v>
      </c>
      <c r="F168" s="3">
        <v>0</v>
      </c>
      <c r="G168" s="3" t="s">
        <v>8278</v>
      </c>
    </row>
    <row r="169" spans="1:7" x14ac:dyDescent="0.2">
      <c r="A169" s="3" t="s">
        <v>8451</v>
      </c>
      <c r="B169" s="3" t="s">
        <v>1248</v>
      </c>
      <c r="C169" s="3" t="s">
        <v>8286</v>
      </c>
      <c r="D169" s="3" t="s">
        <v>589</v>
      </c>
      <c r="E169" s="3" t="s">
        <v>589</v>
      </c>
      <c r="F169" s="3">
        <v>0</v>
      </c>
      <c r="G169" s="3" t="s">
        <v>8278</v>
      </c>
    </row>
    <row r="170" spans="1:7" x14ac:dyDescent="0.2">
      <c r="A170" s="3" t="s">
        <v>8452</v>
      </c>
      <c r="B170" s="3" t="s">
        <v>1252</v>
      </c>
      <c r="C170" s="3" t="s">
        <v>8280</v>
      </c>
      <c r="D170" s="3" t="s">
        <v>646</v>
      </c>
      <c r="E170" s="3" t="s">
        <v>646</v>
      </c>
      <c r="F170" s="3">
        <v>0</v>
      </c>
      <c r="G170" s="3" t="s">
        <v>8278</v>
      </c>
    </row>
    <row r="171" spans="1:7" x14ac:dyDescent="0.2">
      <c r="A171" s="3" t="s">
        <v>8453</v>
      </c>
      <c r="B171" s="3" t="s">
        <v>1254</v>
      </c>
      <c r="C171" s="3" t="s">
        <v>8277</v>
      </c>
      <c r="D171" s="3" t="s">
        <v>300</v>
      </c>
      <c r="E171" s="3" t="s">
        <v>300</v>
      </c>
      <c r="F171" s="3">
        <v>0</v>
      </c>
      <c r="G171" s="3" t="s">
        <v>8278</v>
      </c>
    </row>
    <row r="172" spans="1:7" x14ac:dyDescent="0.2">
      <c r="A172" s="3" t="s">
        <v>8454</v>
      </c>
      <c r="B172" s="3" t="s">
        <v>1264</v>
      </c>
      <c r="C172" s="3" t="s">
        <v>8277</v>
      </c>
      <c r="D172" s="3" t="s">
        <v>221</v>
      </c>
      <c r="E172" s="3" t="s">
        <v>221</v>
      </c>
      <c r="F172" s="3">
        <v>0</v>
      </c>
      <c r="G172" s="3" t="s">
        <v>8278</v>
      </c>
    </row>
    <row r="173" spans="1:7" x14ac:dyDescent="0.2">
      <c r="A173" s="3" t="s">
        <v>8455</v>
      </c>
      <c r="B173" s="3" t="s">
        <v>1265</v>
      </c>
      <c r="C173" s="3" t="s">
        <v>8282</v>
      </c>
      <c r="D173" s="3" t="s">
        <v>354</v>
      </c>
      <c r="E173" s="3" t="s">
        <v>354</v>
      </c>
      <c r="F173" s="3">
        <v>0</v>
      </c>
      <c r="G173" s="3" t="s">
        <v>8278</v>
      </c>
    </row>
    <row r="174" spans="1:7" x14ac:dyDescent="0.2">
      <c r="A174" s="3" t="s">
        <v>8456</v>
      </c>
      <c r="B174" s="3" t="s">
        <v>1266</v>
      </c>
      <c r="C174" s="3" t="s">
        <v>8288</v>
      </c>
      <c r="D174" s="3" t="s">
        <v>365</v>
      </c>
      <c r="E174" s="3" t="s">
        <v>365</v>
      </c>
      <c r="F174" s="3">
        <v>0</v>
      </c>
      <c r="G174" s="3" t="s">
        <v>8278</v>
      </c>
    </row>
    <row r="175" spans="1:7" x14ac:dyDescent="0.2">
      <c r="A175" s="3" t="s">
        <v>8457</v>
      </c>
      <c r="B175" s="3" t="s">
        <v>1268</v>
      </c>
      <c r="C175" s="3" t="s">
        <v>8280</v>
      </c>
      <c r="D175" s="3" t="s">
        <v>337</v>
      </c>
      <c r="E175" s="3" t="s">
        <v>337</v>
      </c>
      <c r="F175" s="3">
        <v>0</v>
      </c>
      <c r="G175" s="3" t="s">
        <v>8278</v>
      </c>
    </row>
    <row r="176" spans="1:7" x14ac:dyDescent="0.2">
      <c r="A176" s="3" t="s">
        <v>8458</v>
      </c>
      <c r="B176" s="3" t="s">
        <v>1270</v>
      </c>
      <c r="C176" s="3" t="s">
        <v>8280</v>
      </c>
      <c r="D176" s="3" t="s">
        <v>753</v>
      </c>
      <c r="E176" s="3" t="s">
        <v>753</v>
      </c>
      <c r="F176" s="3">
        <v>0</v>
      </c>
      <c r="G176" s="3" t="s">
        <v>8278</v>
      </c>
    </row>
    <row r="177" spans="1:7" x14ac:dyDescent="0.2">
      <c r="A177" s="3" t="s">
        <v>8459</v>
      </c>
      <c r="B177" s="3" t="s">
        <v>1287</v>
      </c>
      <c r="C177" s="3" t="s">
        <v>8286</v>
      </c>
      <c r="D177" s="3" t="s">
        <v>1288</v>
      </c>
      <c r="E177" s="3" t="s">
        <v>1288</v>
      </c>
      <c r="F177" s="3">
        <v>0</v>
      </c>
      <c r="G177" s="3" t="s">
        <v>8278</v>
      </c>
    </row>
    <row r="178" spans="1:7" x14ac:dyDescent="0.2">
      <c r="A178" s="3" t="s">
        <v>8460</v>
      </c>
      <c r="B178" s="3" t="s">
        <v>1291</v>
      </c>
      <c r="C178" s="3" t="s">
        <v>8280</v>
      </c>
      <c r="D178" s="3" t="s">
        <v>537</v>
      </c>
      <c r="E178" s="3" t="s">
        <v>537</v>
      </c>
      <c r="F178" s="3">
        <v>0</v>
      </c>
      <c r="G178" s="3" t="s">
        <v>8278</v>
      </c>
    </row>
    <row r="179" spans="1:7" x14ac:dyDescent="0.2">
      <c r="A179" s="3" t="s">
        <v>8461</v>
      </c>
      <c r="B179" s="3" t="s">
        <v>1305</v>
      </c>
      <c r="C179" s="3" t="s">
        <v>8286</v>
      </c>
      <c r="D179" s="3" t="s">
        <v>1124</v>
      </c>
      <c r="E179" s="3" t="s">
        <v>407</v>
      </c>
      <c r="F179" s="3">
        <v>14</v>
      </c>
      <c r="G179" s="3" t="s">
        <v>8284</v>
      </c>
    </row>
    <row r="180" spans="1:7" x14ac:dyDescent="0.2">
      <c r="A180" s="3" t="s">
        <v>8462</v>
      </c>
      <c r="B180" s="3" t="s">
        <v>1307</v>
      </c>
      <c r="C180" s="3" t="s">
        <v>8288</v>
      </c>
      <c r="D180" s="3" t="s">
        <v>990</v>
      </c>
      <c r="E180" s="3" t="s">
        <v>990</v>
      </c>
      <c r="F180" s="3">
        <v>0</v>
      </c>
      <c r="G180" s="3" t="s">
        <v>8278</v>
      </c>
    </row>
    <row r="181" spans="1:7" x14ac:dyDescent="0.2">
      <c r="A181" s="3" t="s">
        <v>8463</v>
      </c>
      <c r="B181" s="3" t="s">
        <v>1308</v>
      </c>
      <c r="C181" s="3" t="s">
        <v>8280</v>
      </c>
      <c r="D181" s="3" t="s">
        <v>506</v>
      </c>
      <c r="E181" s="3" t="s">
        <v>506</v>
      </c>
      <c r="F181" s="3">
        <v>0</v>
      </c>
      <c r="G181" s="3" t="s">
        <v>8278</v>
      </c>
    </row>
    <row r="182" spans="1:7" x14ac:dyDescent="0.2">
      <c r="A182" s="3" t="s">
        <v>8464</v>
      </c>
      <c r="B182" s="3" t="s">
        <v>1313</v>
      </c>
      <c r="C182" s="3" t="s">
        <v>8286</v>
      </c>
      <c r="D182" s="3" t="s">
        <v>1314</v>
      </c>
      <c r="E182" s="3" t="s">
        <v>1314</v>
      </c>
      <c r="F182" s="3">
        <v>0</v>
      </c>
      <c r="G182" s="3" t="s">
        <v>8278</v>
      </c>
    </row>
    <row r="183" spans="1:7" x14ac:dyDescent="0.2">
      <c r="A183" s="3" t="s">
        <v>8465</v>
      </c>
      <c r="B183" s="3" t="s">
        <v>1316</v>
      </c>
      <c r="C183" s="3" t="s">
        <v>8280</v>
      </c>
      <c r="D183" s="3" t="s">
        <v>174</v>
      </c>
      <c r="E183" s="3" t="s">
        <v>174</v>
      </c>
      <c r="F183" s="3">
        <v>0</v>
      </c>
      <c r="G183" s="3" t="s">
        <v>8278</v>
      </c>
    </row>
    <row r="184" spans="1:7" x14ac:dyDescent="0.2">
      <c r="A184" s="3" t="s">
        <v>8466</v>
      </c>
      <c r="B184" s="3" t="s">
        <v>1319</v>
      </c>
      <c r="C184" s="3" t="s">
        <v>8286</v>
      </c>
      <c r="D184" s="3" t="s">
        <v>1320</v>
      </c>
      <c r="E184" s="3" t="s">
        <v>1370</v>
      </c>
      <c r="F184" s="3">
        <v>8</v>
      </c>
      <c r="G184" s="3" t="s">
        <v>8284</v>
      </c>
    </row>
    <row r="185" spans="1:7" x14ac:dyDescent="0.2">
      <c r="A185" s="3" t="s">
        <v>8467</v>
      </c>
      <c r="B185" s="3" t="s">
        <v>1326</v>
      </c>
      <c r="C185" s="3" t="s">
        <v>8282</v>
      </c>
      <c r="D185" s="3" t="s">
        <v>457</v>
      </c>
      <c r="E185" s="3" t="s">
        <v>457</v>
      </c>
      <c r="F185" s="3">
        <v>0</v>
      </c>
      <c r="G185" s="3" t="s">
        <v>8278</v>
      </c>
    </row>
    <row r="186" spans="1:7" x14ac:dyDescent="0.2">
      <c r="A186" s="3" t="s">
        <v>8468</v>
      </c>
      <c r="B186" s="3" t="s">
        <v>1328</v>
      </c>
      <c r="C186" s="3" t="s">
        <v>8286</v>
      </c>
      <c r="D186" s="3" t="s">
        <v>388</v>
      </c>
      <c r="E186" s="3" t="s">
        <v>388</v>
      </c>
      <c r="F186" s="3">
        <v>0</v>
      </c>
      <c r="G186" s="3" t="s">
        <v>8278</v>
      </c>
    </row>
    <row r="187" spans="1:7" x14ac:dyDescent="0.2">
      <c r="A187" s="3" t="s">
        <v>8469</v>
      </c>
      <c r="B187" s="3" t="s">
        <v>1334</v>
      </c>
      <c r="C187" s="3" t="s">
        <v>8288</v>
      </c>
      <c r="D187" s="3" t="s">
        <v>301</v>
      </c>
      <c r="E187" s="3" t="s">
        <v>301</v>
      </c>
      <c r="F187" s="3">
        <v>0</v>
      </c>
      <c r="G187" s="3" t="s">
        <v>8278</v>
      </c>
    </row>
    <row r="188" spans="1:7" x14ac:dyDescent="0.2">
      <c r="A188" s="3" t="s">
        <v>8470</v>
      </c>
      <c r="B188" s="3" t="s">
        <v>1337</v>
      </c>
      <c r="C188" s="3" t="s">
        <v>8288</v>
      </c>
      <c r="D188" s="3" t="s">
        <v>329</v>
      </c>
      <c r="E188" s="3" t="s">
        <v>329</v>
      </c>
      <c r="F188" s="3">
        <v>0</v>
      </c>
      <c r="G188" s="3" t="s">
        <v>8278</v>
      </c>
    </row>
    <row r="189" spans="1:7" x14ac:dyDescent="0.2">
      <c r="A189" s="3" t="s">
        <v>8471</v>
      </c>
      <c r="B189" s="3" t="s">
        <v>1342</v>
      </c>
      <c r="C189" s="3" t="s">
        <v>8290</v>
      </c>
      <c r="D189" s="3" t="s">
        <v>1087</v>
      </c>
      <c r="E189" s="3" t="s">
        <v>1087</v>
      </c>
      <c r="F189" s="3">
        <v>0</v>
      </c>
      <c r="G189" s="3" t="s">
        <v>8278</v>
      </c>
    </row>
    <row r="190" spans="1:7" x14ac:dyDescent="0.2">
      <c r="A190" s="3" t="s">
        <v>8472</v>
      </c>
      <c r="B190" s="3" t="s">
        <v>1350</v>
      </c>
      <c r="C190" s="3" t="s">
        <v>8280</v>
      </c>
      <c r="D190" s="3" t="s">
        <v>188</v>
      </c>
      <c r="E190" s="3" t="s">
        <v>188</v>
      </c>
      <c r="F190" s="3">
        <v>0</v>
      </c>
      <c r="G190" s="3" t="s">
        <v>8278</v>
      </c>
    </row>
    <row r="191" spans="1:7" x14ac:dyDescent="0.2">
      <c r="A191" s="3" t="s">
        <v>8473</v>
      </c>
      <c r="B191" s="3" t="s">
        <v>1352</v>
      </c>
      <c r="C191" s="3" t="s">
        <v>8286</v>
      </c>
      <c r="D191" s="3" t="s">
        <v>244</v>
      </c>
      <c r="E191" s="3" t="s">
        <v>244</v>
      </c>
      <c r="F191" s="3">
        <v>0</v>
      </c>
      <c r="G191" s="3" t="s">
        <v>8278</v>
      </c>
    </row>
    <row r="192" spans="1:7" x14ac:dyDescent="0.2">
      <c r="A192" s="3" t="s">
        <v>8474</v>
      </c>
      <c r="B192" s="3" t="s">
        <v>1355</v>
      </c>
      <c r="C192" s="3" t="s">
        <v>8290</v>
      </c>
      <c r="D192" s="3" t="s">
        <v>312</v>
      </c>
      <c r="E192" s="3" t="s">
        <v>312</v>
      </c>
      <c r="F192" s="3">
        <v>0</v>
      </c>
      <c r="G192" s="3" t="s">
        <v>8278</v>
      </c>
    </row>
    <row r="193" spans="1:7" x14ac:dyDescent="0.2">
      <c r="A193" s="3" t="s">
        <v>8475</v>
      </c>
      <c r="B193" s="3" t="s">
        <v>1356</v>
      </c>
      <c r="C193" s="3" t="s">
        <v>8280</v>
      </c>
      <c r="D193" s="3" t="s">
        <v>774</v>
      </c>
      <c r="E193" s="3" t="s">
        <v>774</v>
      </c>
      <c r="F193" s="3">
        <v>0</v>
      </c>
      <c r="G193" s="3" t="s">
        <v>8278</v>
      </c>
    </row>
    <row r="194" spans="1:7" x14ac:dyDescent="0.2">
      <c r="A194" s="3" t="s">
        <v>8476</v>
      </c>
      <c r="B194" s="3" t="s">
        <v>1357</v>
      </c>
      <c r="C194" s="3" t="s">
        <v>8288</v>
      </c>
      <c r="D194" s="3" t="s">
        <v>827</v>
      </c>
      <c r="E194" s="3" t="s">
        <v>827</v>
      </c>
      <c r="F194" s="3">
        <v>0</v>
      </c>
      <c r="G194" s="3" t="s">
        <v>8278</v>
      </c>
    </row>
    <row r="195" spans="1:7" x14ac:dyDescent="0.2">
      <c r="A195" s="3" t="s">
        <v>8477</v>
      </c>
      <c r="B195" s="3" t="s">
        <v>1368</v>
      </c>
      <c r="C195" s="3" t="s">
        <v>8286</v>
      </c>
      <c r="D195" s="3" t="s">
        <v>1205</v>
      </c>
      <c r="E195" s="3" t="s">
        <v>1205</v>
      </c>
      <c r="F195" s="3">
        <v>0</v>
      </c>
      <c r="G195" s="3" t="s">
        <v>8278</v>
      </c>
    </row>
    <row r="196" spans="1:7" x14ac:dyDescent="0.2">
      <c r="A196" s="3" t="s">
        <v>8478</v>
      </c>
      <c r="B196" s="3" t="s">
        <v>1371</v>
      </c>
      <c r="C196" s="3" t="s">
        <v>8286</v>
      </c>
      <c r="D196" s="3" t="s">
        <v>155</v>
      </c>
      <c r="E196" s="3" t="s">
        <v>799</v>
      </c>
      <c r="F196" s="3">
        <v>14</v>
      </c>
      <c r="G196" s="3" t="s">
        <v>8284</v>
      </c>
    </row>
    <row r="197" spans="1:7" x14ac:dyDescent="0.2">
      <c r="A197" s="3" t="s">
        <v>8479</v>
      </c>
      <c r="B197" s="3" t="s">
        <v>1382</v>
      </c>
      <c r="C197" s="3" t="s">
        <v>8286</v>
      </c>
      <c r="D197" s="3" t="s">
        <v>1383</v>
      </c>
      <c r="E197" s="3" t="s">
        <v>1383</v>
      </c>
      <c r="F197" s="3">
        <v>0</v>
      </c>
      <c r="G197" s="3" t="s">
        <v>8278</v>
      </c>
    </row>
    <row r="198" spans="1:7" x14ac:dyDescent="0.2">
      <c r="A198" s="3" t="s">
        <v>8480</v>
      </c>
      <c r="B198" s="3" t="s">
        <v>1385</v>
      </c>
      <c r="C198" s="3" t="s">
        <v>8280</v>
      </c>
      <c r="D198" s="3" t="s">
        <v>188</v>
      </c>
      <c r="E198" s="3" t="s">
        <v>188</v>
      </c>
      <c r="F198" s="3">
        <v>0</v>
      </c>
      <c r="G198" s="3" t="s">
        <v>8278</v>
      </c>
    </row>
    <row r="199" spans="1:7" x14ac:dyDescent="0.2">
      <c r="A199" s="3" t="s">
        <v>8481</v>
      </c>
      <c r="B199" s="3" t="s">
        <v>1388</v>
      </c>
      <c r="C199" s="3" t="s">
        <v>8286</v>
      </c>
      <c r="D199" s="3" t="s">
        <v>400</v>
      </c>
      <c r="E199" s="3" t="s">
        <v>400</v>
      </c>
      <c r="F199" s="3">
        <v>0</v>
      </c>
      <c r="G199" s="3" t="s">
        <v>8278</v>
      </c>
    </row>
    <row r="200" spans="1:7" x14ac:dyDescent="0.2">
      <c r="A200" s="3" t="s">
        <v>8482</v>
      </c>
      <c r="B200" s="3" t="s">
        <v>1391</v>
      </c>
      <c r="C200" s="3" t="s">
        <v>8282</v>
      </c>
      <c r="D200" s="3" t="s">
        <v>361</v>
      </c>
      <c r="E200" s="3" t="s">
        <v>361</v>
      </c>
      <c r="F200" s="3">
        <v>0</v>
      </c>
      <c r="G200" s="3" t="s">
        <v>8278</v>
      </c>
    </row>
    <row r="201" spans="1:7" x14ac:dyDescent="0.2">
      <c r="A201" s="3" t="s">
        <v>8483</v>
      </c>
      <c r="B201" s="3" t="s">
        <v>1395</v>
      </c>
      <c r="C201" s="3" t="s">
        <v>8290</v>
      </c>
      <c r="D201" s="3" t="s">
        <v>584</v>
      </c>
      <c r="E201" s="3" t="s">
        <v>584</v>
      </c>
      <c r="F201" s="3">
        <v>0</v>
      </c>
      <c r="G201" s="3" t="s">
        <v>8278</v>
      </c>
    </row>
    <row r="202" spans="1:7" x14ac:dyDescent="0.2">
      <c r="A202" s="3" t="s">
        <v>8484</v>
      </c>
      <c r="B202" s="3" t="s">
        <v>1403</v>
      </c>
      <c r="C202" s="3" t="s">
        <v>8286</v>
      </c>
      <c r="D202" s="3" t="s">
        <v>387</v>
      </c>
      <c r="E202" s="3" t="s">
        <v>387</v>
      </c>
      <c r="F202" s="3">
        <v>0</v>
      </c>
      <c r="G202" s="3" t="s">
        <v>8278</v>
      </c>
    </row>
    <row r="203" spans="1:7" x14ac:dyDescent="0.2">
      <c r="A203" s="3" t="s">
        <v>8485</v>
      </c>
      <c r="B203" s="3" t="s">
        <v>1408</v>
      </c>
      <c r="C203" s="3" t="s">
        <v>8280</v>
      </c>
      <c r="D203" s="3" t="s">
        <v>658</v>
      </c>
      <c r="E203" s="3" t="s">
        <v>658</v>
      </c>
      <c r="F203" s="3">
        <v>0</v>
      </c>
      <c r="G203" s="3" t="s">
        <v>8278</v>
      </c>
    </row>
    <row r="204" spans="1:7" x14ac:dyDescent="0.2">
      <c r="A204" s="3" t="s">
        <v>8486</v>
      </c>
      <c r="B204" s="3" t="s">
        <v>1410</v>
      </c>
      <c r="C204" s="3" t="s">
        <v>8288</v>
      </c>
      <c r="D204" s="3" t="s">
        <v>447</v>
      </c>
      <c r="E204" s="3" t="s">
        <v>447</v>
      </c>
      <c r="F204" s="3">
        <v>0</v>
      </c>
      <c r="G204" s="3" t="s">
        <v>8278</v>
      </c>
    </row>
    <row r="205" spans="1:7" x14ac:dyDescent="0.2">
      <c r="A205" s="3" t="s">
        <v>8487</v>
      </c>
      <c r="B205" s="3" t="s">
        <v>1413</v>
      </c>
      <c r="C205" s="3" t="s">
        <v>8286</v>
      </c>
      <c r="D205" s="3" t="s">
        <v>824</v>
      </c>
      <c r="E205" s="3" t="s">
        <v>824</v>
      </c>
      <c r="F205" s="3">
        <v>0</v>
      </c>
      <c r="G205" s="3" t="s">
        <v>8278</v>
      </c>
    </row>
    <row r="206" spans="1:7" x14ac:dyDescent="0.2">
      <c r="A206" s="3" t="s">
        <v>8488</v>
      </c>
      <c r="B206" s="3" t="s">
        <v>1415</v>
      </c>
      <c r="C206" s="3" t="s">
        <v>8280</v>
      </c>
      <c r="D206" s="3" t="s">
        <v>1289</v>
      </c>
      <c r="E206" s="3" t="s">
        <v>1289</v>
      </c>
      <c r="F206" s="3">
        <v>0</v>
      </c>
      <c r="G206" s="3" t="s">
        <v>8278</v>
      </c>
    </row>
    <row r="207" spans="1:7" x14ac:dyDescent="0.2">
      <c r="A207" s="3" t="s">
        <v>8489</v>
      </c>
      <c r="B207" s="3" t="s">
        <v>1422</v>
      </c>
      <c r="C207" s="3" t="s">
        <v>8282</v>
      </c>
      <c r="D207" s="3" t="s">
        <v>388</v>
      </c>
      <c r="E207" s="3" t="s">
        <v>388</v>
      </c>
      <c r="F207" s="3">
        <v>0</v>
      </c>
      <c r="G207" s="3" t="s">
        <v>8278</v>
      </c>
    </row>
    <row r="208" spans="1:7" x14ac:dyDescent="0.2">
      <c r="A208" s="3" t="s">
        <v>8490</v>
      </c>
      <c r="B208" s="3" t="s">
        <v>1428</v>
      </c>
      <c r="C208" s="3" t="s">
        <v>8290</v>
      </c>
      <c r="D208" s="3" t="s">
        <v>1429</v>
      </c>
      <c r="E208" s="3" t="s">
        <v>1429</v>
      </c>
      <c r="F208" s="3">
        <v>0</v>
      </c>
      <c r="G208" s="3" t="s">
        <v>8278</v>
      </c>
    </row>
    <row r="209" spans="1:7" x14ac:dyDescent="0.2">
      <c r="A209" s="3" t="s">
        <v>8491</v>
      </c>
      <c r="B209" s="3" t="s">
        <v>1430</v>
      </c>
      <c r="C209" s="3" t="s">
        <v>8290</v>
      </c>
      <c r="D209" s="3" t="s">
        <v>361</v>
      </c>
      <c r="E209" s="3" t="s">
        <v>361</v>
      </c>
      <c r="F209" s="3">
        <v>0</v>
      </c>
      <c r="G209" s="3" t="s">
        <v>8278</v>
      </c>
    </row>
    <row r="210" spans="1:7" x14ac:dyDescent="0.2">
      <c r="A210" s="3" t="s">
        <v>8492</v>
      </c>
      <c r="B210" s="3" t="s">
        <v>1431</v>
      </c>
      <c r="C210" s="3" t="s">
        <v>8290</v>
      </c>
      <c r="D210" s="3" t="s">
        <v>606</v>
      </c>
      <c r="E210" s="3" t="s">
        <v>606</v>
      </c>
      <c r="F210" s="3">
        <v>0</v>
      </c>
      <c r="G210" s="3" t="s">
        <v>8278</v>
      </c>
    </row>
    <row r="211" spans="1:7" x14ac:dyDescent="0.2">
      <c r="A211" s="3" t="s">
        <v>8493</v>
      </c>
      <c r="B211" s="3" t="s">
        <v>1432</v>
      </c>
      <c r="C211" s="3" t="s">
        <v>8277</v>
      </c>
      <c r="D211" s="3" t="s">
        <v>565</v>
      </c>
      <c r="E211" s="3" t="s">
        <v>565</v>
      </c>
      <c r="F211" s="3">
        <v>0</v>
      </c>
      <c r="G211" s="3" t="s">
        <v>8278</v>
      </c>
    </row>
    <row r="212" spans="1:7" x14ac:dyDescent="0.2">
      <c r="A212" s="3" t="s">
        <v>8494</v>
      </c>
      <c r="B212" s="3" t="s">
        <v>1444</v>
      </c>
      <c r="C212" s="3" t="s">
        <v>8288</v>
      </c>
      <c r="D212" s="3" t="s">
        <v>717</v>
      </c>
      <c r="E212" s="3" t="s">
        <v>900</v>
      </c>
      <c r="F212" s="3">
        <v>5</v>
      </c>
      <c r="G212" s="3" t="s">
        <v>8284</v>
      </c>
    </row>
    <row r="213" spans="1:7" x14ac:dyDescent="0.2">
      <c r="A213" s="3" t="s">
        <v>8495</v>
      </c>
      <c r="B213" s="3" t="s">
        <v>1451</v>
      </c>
      <c r="C213" s="3" t="s">
        <v>8288</v>
      </c>
      <c r="D213" s="3" t="s">
        <v>963</v>
      </c>
      <c r="E213" s="3" t="s">
        <v>963</v>
      </c>
      <c r="F213" s="3">
        <v>0</v>
      </c>
      <c r="G213" s="3" t="s">
        <v>8278</v>
      </c>
    </row>
    <row r="214" spans="1:7" x14ac:dyDescent="0.2">
      <c r="A214" s="3" t="s">
        <v>8496</v>
      </c>
      <c r="B214" s="3" t="s">
        <v>1452</v>
      </c>
      <c r="C214" s="3" t="s">
        <v>8282</v>
      </c>
      <c r="D214" s="3" t="s">
        <v>1453</v>
      </c>
      <c r="E214" s="3" t="s">
        <v>1453</v>
      </c>
      <c r="F214" s="3">
        <v>0</v>
      </c>
      <c r="G214" s="3" t="s">
        <v>8278</v>
      </c>
    </row>
    <row r="215" spans="1:7" x14ac:dyDescent="0.2">
      <c r="A215" s="3" t="s">
        <v>8497</v>
      </c>
      <c r="B215" s="3" t="s">
        <v>1454</v>
      </c>
      <c r="C215" s="3" t="s">
        <v>8280</v>
      </c>
      <c r="D215" s="3" t="s">
        <v>681</v>
      </c>
      <c r="E215" s="3" t="s">
        <v>681</v>
      </c>
      <c r="F215" s="3">
        <v>0</v>
      </c>
      <c r="G215" s="3" t="s">
        <v>8278</v>
      </c>
    </row>
    <row r="216" spans="1:7" x14ac:dyDescent="0.2">
      <c r="A216" s="3" t="s">
        <v>8498</v>
      </c>
      <c r="B216" s="3" t="s">
        <v>1459</v>
      </c>
      <c r="C216" s="3" t="s">
        <v>8288</v>
      </c>
      <c r="D216" s="3" t="s">
        <v>765</v>
      </c>
      <c r="E216" s="3" t="s">
        <v>765</v>
      </c>
      <c r="F216" s="3">
        <v>0</v>
      </c>
      <c r="G216" s="3" t="s">
        <v>8278</v>
      </c>
    </row>
    <row r="217" spans="1:7" x14ac:dyDescent="0.2">
      <c r="A217" s="3" t="s">
        <v>8499</v>
      </c>
      <c r="B217" s="3" t="s">
        <v>1462</v>
      </c>
      <c r="C217" s="3" t="s">
        <v>8277</v>
      </c>
      <c r="D217" s="3" t="s">
        <v>691</v>
      </c>
      <c r="E217" s="3" t="s">
        <v>691</v>
      </c>
      <c r="F217" s="3">
        <v>0</v>
      </c>
      <c r="G217" s="3" t="s">
        <v>8278</v>
      </c>
    </row>
    <row r="218" spans="1:7" x14ac:dyDescent="0.2">
      <c r="A218" s="3" t="s">
        <v>8500</v>
      </c>
      <c r="B218" s="3" t="s">
        <v>1463</v>
      </c>
      <c r="C218" s="3" t="s">
        <v>8286</v>
      </c>
      <c r="D218" s="3" t="s">
        <v>867</v>
      </c>
      <c r="E218" s="3" t="s">
        <v>867</v>
      </c>
      <c r="F218" s="3">
        <v>0</v>
      </c>
      <c r="G218" s="3" t="s">
        <v>8278</v>
      </c>
    </row>
    <row r="219" spans="1:7" x14ac:dyDescent="0.2">
      <c r="A219" s="3" t="s">
        <v>8501</v>
      </c>
      <c r="B219" s="3" t="s">
        <v>1475</v>
      </c>
      <c r="C219" s="3" t="s">
        <v>8288</v>
      </c>
      <c r="D219" s="3" t="s">
        <v>195</v>
      </c>
      <c r="E219" s="3" t="s">
        <v>195</v>
      </c>
      <c r="F219" s="3">
        <v>0</v>
      </c>
      <c r="G219" s="3" t="s">
        <v>8278</v>
      </c>
    </row>
    <row r="220" spans="1:7" x14ac:dyDescent="0.2">
      <c r="A220" s="3" t="s">
        <v>8502</v>
      </c>
      <c r="B220" s="3" t="s">
        <v>1481</v>
      </c>
      <c r="C220" s="3" t="s">
        <v>8277</v>
      </c>
      <c r="D220" s="3" t="s">
        <v>843</v>
      </c>
      <c r="E220" s="3" t="s">
        <v>843</v>
      </c>
      <c r="F220" s="3">
        <v>0</v>
      </c>
      <c r="G220" s="3" t="s">
        <v>8278</v>
      </c>
    </row>
    <row r="221" spans="1:7" x14ac:dyDescent="0.2">
      <c r="A221" s="3" t="s">
        <v>8503</v>
      </c>
      <c r="B221" s="3" t="s">
        <v>1483</v>
      </c>
      <c r="C221" s="3" t="s">
        <v>8280</v>
      </c>
      <c r="D221" s="3" t="s">
        <v>1484</v>
      </c>
      <c r="E221" s="3" t="s">
        <v>916</v>
      </c>
      <c r="F221" s="3">
        <v>14</v>
      </c>
      <c r="G221" s="3" t="s">
        <v>8284</v>
      </c>
    </row>
    <row r="222" spans="1:7" x14ac:dyDescent="0.2">
      <c r="A222" s="3" t="s">
        <v>8504</v>
      </c>
      <c r="B222" s="3" t="s">
        <v>1488</v>
      </c>
      <c r="C222" s="3" t="s">
        <v>8282</v>
      </c>
      <c r="D222" s="3" t="s">
        <v>942</v>
      </c>
      <c r="E222" s="3" t="s">
        <v>942</v>
      </c>
      <c r="F222" s="3">
        <v>0</v>
      </c>
      <c r="G222" s="3" t="s">
        <v>8278</v>
      </c>
    </row>
    <row r="223" spans="1:7" x14ac:dyDescent="0.2">
      <c r="A223" s="3" t="s">
        <v>8505</v>
      </c>
      <c r="B223" s="3" t="s">
        <v>1490</v>
      </c>
      <c r="C223" s="3" t="s">
        <v>8280</v>
      </c>
      <c r="D223" s="3" t="s">
        <v>151</v>
      </c>
      <c r="E223" s="3" t="s">
        <v>151</v>
      </c>
      <c r="F223" s="3">
        <v>0</v>
      </c>
      <c r="G223" s="3" t="s">
        <v>8278</v>
      </c>
    </row>
    <row r="224" spans="1:7" x14ac:dyDescent="0.2">
      <c r="A224" s="3" t="s">
        <v>8506</v>
      </c>
      <c r="B224" s="3" t="s">
        <v>1495</v>
      </c>
      <c r="C224" s="3" t="s">
        <v>8280</v>
      </c>
      <c r="D224" s="3" t="s">
        <v>785</v>
      </c>
      <c r="E224" s="3" t="s">
        <v>785</v>
      </c>
      <c r="F224" s="3">
        <v>0</v>
      </c>
      <c r="G224" s="3" t="s">
        <v>8278</v>
      </c>
    </row>
    <row r="225" spans="1:7" x14ac:dyDescent="0.2">
      <c r="A225" s="3" t="s">
        <v>8507</v>
      </c>
      <c r="B225" s="3" t="s">
        <v>1496</v>
      </c>
      <c r="C225" s="3" t="s">
        <v>8277</v>
      </c>
      <c r="D225" s="3" t="s">
        <v>1017</v>
      </c>
      <c r="E225" s="3" t="s">
        <v>1017</v>
      </c>
      <c r="F225" s="3">
        <v>0</v>
      </c>
      <c r="G225" s="3" t="s">
        <v>8278</v>
      </c>
    </row>
    <row r="226" spans="1:7" x14ac:dyDescent="0.2">
      <c r="A226" s="3" t="s">
        <v>8508</v>
      </c>
      <c r="B226" s="3" t="s">
        <v>1498</v>
      </c>
      <c r="C226" s="3" t="s">
        <v>8286</v>
      </c>
      <c r="D226" s="3" t="s">
        <v>467</v>
      </c>
      <c r="E226" s="3" t="s">
        <v>467</v>
      </c>
      <c r="F226" s="3">
        <v>0</v>
      </c>
      <c r="G226" s="3" t="s">
        <v>8278</v>
      </c>
    </row>
    <row r="227" spans="1:7" x14ac:dyDescent="0.2">
      <c r="A227" s="3" t="s">
        <v>8509</v>
      </c>
      <c r="B227" s="3" t="s">
        <v>1499</v>
      </c>
      <c r="C227" s="3" t="s">
        <v>8280</v>
      </c>
      <c r="D227" s="3" t="s">
        <v>986</v>
      </c>
      <c r="E227" s="3" t="s">
        <v>986</v>
      </c>
      <c r="F227" s="3">
        <v>0</v>
      </c>
      <c r="G227" s="3" t="s">
        <v>8278</v>
      </c>
    </row>
    <row r="228" spans="1:7" x14ac:dyDescent="0.2">
      <c r="A228" s="3" t="s">
        <v>8510</v>
      </c>
      <c r="B228" s="3" t="s">
        <v>1500</v>
      </c>
      <c r="C228" s="3" t="s">
        <v>8286</v>
      </c>
      <c r="D228" s="3" t="s">
        <v>466</v>
      </c>
      <c r="E228" s="3" t="s">
        <v>466</v>
      </c>
      <c r="F228" s="3">
        <v>0</v>
      </c>
      <c r="G228" s="3" t="s">
        <v>8278</v>
      </c>
    </row>
    <row r="229" spans="1:7" x14ac:dyDescent="0.2">
      <c r="A229" s="3" t="s">
        <v>8511</v>
      </c>
      <c r="B229" s="3" t="s">
        <v>1502</v>
      </c>
      <c r="C229" s="3" t="s">
        <v>8290</v>
      </c>
      <c r="D229" s="3" t="s">
        <v>1017</v>
      </c>
      <c r="E229" s="3" t="s">
        <v>1017</v>
      </c>
      <c r="F229" s="3">
        <v>0</v>
      </c>
      <c r="G229" s="3" t="s">
        <v>8278</v>
      </c>
    </row>
    <row r="230" spans="1:7" x14ac:dyDescent="0.2">
      <c r="A230" s="3" t="s">
        <v>8512</v>
      </c>
      <c r="B230" s="3" t="s">
        <v>1503</v>
      </c>
      <c r="C230" s="3" t="s">
        <v>8280</v>
      </c>
      <c r="D230" s="3" t="s">
        <v>501</v>
      </c>
      <c r="E230" s="3" t="s">
        <v>501</v>
      </c>
      <c r="F230" s="3">
        <v>0</v>
      </c>
      <c r="G230" s="3" t="s">
        <v>8278</v>
      </c>
    </row>
    <row r="231" spans="1:7" x14ac:dyDescent="0.2">
      <c r="A231" s="3" t="s">
        <v>8513</v>
      </c>
      <c r="B231" s="3" t="s">
        <v>1505</v>
      </c>
      <c r="C231" s="3" t="s">
        <v>8290</v>
      </c>
      <c r="D231" s="3" t="s">
        <v>419</v>
      </c>
      <c r="E231" s="3" t="s">
        <v>419</v>
      </c>
      <c r="F231" s="3">
        <v>0</v>
      </c>
      <c r="G231" s="3" t="s">
        <v>8278</v>
      </c>
    </row>
    <row r="232" spans="1:7" x14ac:dyDescent="0.2">
      <c r="A232" s="3" t="s">
        <v>8514</v>
      </c>
      <c r="B232" s="3" t="s">
        <v>1506</v>
      </c>
      <c r="C232" s="3" t="s">
        <v>8290</v>
      </c>
      <c r="D232" s="3" t="s">
        <v>396</v>
      </c>
      <c r="E232" s="3" t="s">
        <v>396</v>
      </c>
      <c r="F232" s="3">
        <v>0</v>
      </c>
      <c r="G232" s="3" t="s">
        <v>8278</v>
      </c>
    </row>
    <row r="233" spans="1:7" x14ac:dyDescent="0.2">
      <c r="A233" s="3" t="s">
        <v>8515</v>
      </c>
      <c r="B233" s="3" t="s">
        <v>1507</v>
      </c>
      <c r="C233" s="3" t="s">
        <v>8290</v>
      </c>
      <c r="D233" s="3" t="s">
        <v>471</v>
      </c>
      <c r="E233" s="3" t="s">
        <v>471</v>
      </c>
      <c r="F233" s="3">
        <v>0</v>
      </c>
      <c r="G233" s="3" t="s">
        <v>8278</v>
      </c>
    </row>
    <row r="234" spans="1:7" x14ac:dyDescent="0.2">
      <c r="A234" s="3" t="s">
        <v>8516</v>
      </c>
      <c r="B234" s="3" t="s">
        <v>1512</v>
      </c>
      <c r="C234" s="3" t="s">
        <v>8280</v>
      </c>
      <c r="D234" s="3" t="s">
        <v>1417</v>
      </c>
      <c r="E234" s="3" t="s">
        <v>1417</v>
      </c>
      <c r="F234" s="3">
        <v>0</v>
      </c>
      <c r="G234" s="3" t="s">
        <v>8278</v>
      </c>
    </row>
    <row r="235" spans="1:7" x14ac:dyDescent="0.2">
      <c r="A235" s="3" t="s">
        <v>8517</v>
      </c>
      <c r="B235" s="3" t="s">
        <v>1514</v>
      </c>
      <c r="C235" s="3" t="s">
        <v>8277</v>
      </c>
      <c r="D235" s="3" t="s">
        <v>198</v>
      </c>
      <c r="E235" s="3" t="s">
        <v>198</v>
      </c>
      <c r="F235" s="3">
        <v>0</v>
      </c>
      <c r="G235" s="3" t="s">
        <v>8278</v>
      </c>
    </row>
    <row r="236" spans="1:7" x14ac:dyDescent="0.2">
      <c r="A236" s="3" t="s">
        <v>8518</v>
      </c>
      <c r="B236" s="3" t="s">
        <v>1517</v>
      </c>
      <c r="C236" s="3" t="s">
        <v>8280</v>
      </c>
      <c r="D236" s="3" t="s">
        <v>305</v>
      </c>
      <c r="E236" s="3" t="s">
        <v>305</v>
      </c>
      <c r="F236" s="3">
        <v>0</v>
      </c>
      <c r="G236" s="3" t="s">
        <v>8278</v>
      </c>
    </row>
    <row r="237" spans="1:7" x14ac:dyDescent="0.2">
      <c r="A237" s="3" t="s">
        <v>8519</v>
      </c>
      <c r="B237" s="3" t="s">
        <v>1518</v>
      </c>
      <c r="C237" s="3" t="s">
        <v>8290</v>
      </c>
      <c r="D237" s="3" t="s">
        <v>1152</v>
      </c>
      <c r="E237" s="3" t="s">
        <v>1152</v>
      </c>
      <c r="F237" s="3">
        <v>0</v>
      </c>
      <c r="G237" s="3" t="s">
        <v>8278</v>
      </c>
    </row>
    <row r="238" spans="1:7" x14ac:dyDescent="0.2">
      <c r="A238" s="3" t="s">
        <v>8520</v>
      </c>
      <c r="B238" s="3" t="s">
        <v>1528</v>
      </c>
      <c r="C238" s="3" t="s">
        <v>8280</v>
      </c>
      <c r="D238" s="3" t="s">
        <v>776</v>
      </c>
      <c r="E238" s="3" t="s">
        <v>222</v>
      </c>
      <c r="F238" s="3">
        <v>11</v>
      </c>
      <c r="G238" s="3" t="s">
        <v>8284</v>
      </c>
    </row>
    <row r="239" spans="1:7" x14ac:dyDescent="0.2">
      <c r="A239" s="3" t="s">
        <v>8521</v>
      </c>
      <c r="B239" s="3" t="s">
        <v>1530</v>
      </c>
      <c r="C239" s="3" t="s">
        <v>8277</v>
      </c>
      <c r="D239" s="3" t="s">
        <v>1028</v>
      </c>
      <c r="E239" s="3" t="s">
        <v>1028</v>
      </c>
      <c r="F239" s="3">
        <v>0</v>
      </c>
      <c r="G239" s="3" t="s">
        <v>8278</v>
      </c>
    </row>
    <row r="240" spans="1:7" x14ac:dyDescent="0.2">
      <c r="A240" s="3" t="s">
        <v>8522</v>
      </c>
      <c r="B240" s="3" t="s">
        <v>1531</v>
      </c>
      <c r="C240" s="3" t="s">
        <v>8277</v>
      </c>
      <c r="D240" s="3" t="s">
        <v>558</v>
      </c>
      <c r="E240" s="3" t="s">
        <v>1103</v>
      </c>
      <c r="F240" s="3">
        <v>8</v>
      </c>
      <c r="G240" s="3" t="s">
        <v>8284</v>
      </c>
    </row>
    <row r="241" spans="1:7" x14ac:dyDescent="0.2">
      <c r="A241" s="3" t="s">
        <v>8523</v>
      </c>
      <c r="B241" s="3" t="s">
        <v>1532</v>
      </c>
      <c r="C241" s="3" t="s">
        <v>8288</v>
      </c>
      <c r="D241" s="3" t="s">
        <v>175</v>
      </c>
      <c r="E241" s="3" t="s">
        <v>175</v>
      </c>
      <c r="F241" s="3">
        <v>0</v>
      </c>
      <c r="G241" s="3" t="s">
        <v>8278</v>
      </c>
    </row>
    <row r="242" spans="1:7" x14ac:dyDescent="0.2">
      <c r="A242" s="3" t="s">
        <v>8524</v>
      </c>
      <c r="B242" s="3" t="s">
        <v>1535</v>
      </c>
      <c r="C242" s="3" t="s">
        <v>8288</v>
      </c>
      <c r="D242" s="3" t="s">
        <v>398</v>
      </c>
      <c r="E242" s="3" t="s">
        <v>398</v>
      </c>
      <c r="F242" s="3">
        <v>0</v>
      </c>
      <c r="G242" s="3" t="s">
        <v>8278</v>
      </c>
    </row>
    <row r="243" spans="1:7" x14ac:dyDescent="0.2">
      <c r="A243" s="3" t="s">
        <v>8525</v>
      </c>
      <c r="B243" s="3" t="s">
        <v>1536</v>
      </c>
      <c r="C243" s="3" t="s">
        <v>8280</v>
      </c>
      <c r="D243" s="3" t="s">
        <v>337</v>
      </c>
      <c r="E243" s="3" t="s">
        <v>337</v>
      </c>
      <c r="F243" s="3">
        <v>0</v>
      </c>
      <c r="G243" s="3" t="s">
        <v>8278</v>
      </c>
    </row>
    <row r="244" spans="1:7" x14ac:dyDescent="0.2">
      <c r="A244" s="3" t="s">
        <v>8526</v>
      </c>
      <c r="B244" s="3" t="s">
        <v>1537</v>
      </c>
      <c r="C244" s="3" t="s">
        <v>8282</v>
      </c>
      <c r="D244" s="3" t="s">
        <v>583</v>
      </c>
      <c r="E244" s="3" t="s">
        <v>583</v>
      </c>
      <c r="F244" s="3">
        <v>0</v>
      </c>
      <c r="G244" s="3" t="s">
        <v>8278</v>
      </c>
    </row>
    <row r="245" spans="1:7" x14ac:dyDescent="0.2">
      <c r="A245" s="3" t="s">
        <v>8527</v>
      </c>
      <c r="B245" s="3" t="s">
        <v>1541</v>
      </c>
      <c r="C245" s="3" t="s">
        <v>8277</v>
      </c>
      <c r="D245" s="3" t="s">
        <v>331</v>
      </c>
      <c r="E245" s="3" t="s">
        <v>2029</v>
      </c>
      <c r="F245" s="3">
        <v>9</v>
      </c>
      <c r="G245" s="3" t="s">
        <v>8284</v>
      </c>
    </row>
    <row r="246" spans="1:7" x14ac:dyDescent="0.2">
      <c r="A246" s="3" t="s">
        <v>8528</v>
      </c>
      <c r="B246" s="3" t="s">
        <v>1542</v>
      </c>
      <c r="C246" s="3" t="s">
        <v>8282</v>
      </c>
      <c r="D246" s="3" t="s">
        <v>148</v>
      </c>
      <c r="E246" s="3" t="s">
        <v>148</v>
      </c>
      <c r="F246" s="3">
        <v>0</v>
      </c>
      <c r="G246" s="3" t="s">
        <v>8278</v>
      </c>
    </row>
    <row r="247" spans="1:7" x14ac:dyDescent="0.2">
      <c r="A247" s="3" t="s">
        <v>8529</v>
      </c>
      <c r="B247" s="3" t="s">
        <v>1545</v>
      </c>
      <c r="C247" s="3" t="s">
        <v>8290</v>
      </c>
      <c r="D247" s="3" t="s">
        <v>296</v>
      </c>
      <c r="E247" s="3" t="s">
        <v>296</v>
      </c>
      <c r="F247" s="3">
        <v>0</v>
      </c>
      <c r="G247" s="3" t="s">
        <v>8278</v>
      </c>
    </row>
    <row r="248" spans="1:7" x14ac:dyDescent="0.2">
      <c r="A248" s="3" t="s">
        <v>8530</v>
      </c>
      <c r="B248" s="3" t="s">
        <v>1554</v>
      </c>
      <c r="C248" s="3" t="s">
        <v>8280</v>
      </c>
      <c r="D248" s="3" t="s">
        <v>1429</v>
      </c>
      <c r="E248" s="3" t="s">
        <v>1429</v>
      </c>
      <c r="F248" s="3">
        <v>0</v>
      </c>
      <c r="G248" s="3" t="s">
        <v>8278</v>
      </c>
    </row>
    <row r="249" spans="1:7" x14ac:dyDescent="0.2">
      <c r="A249" s="3" t="s">
        <v>8531</v>
      </c>
      <c r="B249" s="3" t="s">
        <v>1558</v>
      </c>
      <c r="C249" s="3" t="s">
        <v>8280</v>
      </c>
      <c r="D249" s="3" t="s">
        <v>639</v>
      </c>
      <c r="E249" s="3" t="s">
        <v>639</v>
      </c>
      <c r="F249" s="3">
        <v>0</v>
      </c>
      <c r="G249" s="3" t="s">
        <v>8278</v>
      </c>
    </row>
    <row r="250" spans="1:7" x14ac:dyDescent="0.2">
      <c r="A250" s="3" t="s">
        <v>8532</v>
      </c>
      <c r="B250" s="3" t="s">
        <v>1561</v>
      </c>
      <c r="C250" s="3" t="s">
        <v>8288</v>
      </c>
      <c r="D250" s="3" t="s">
        <v>148</v>
      </c>
      <c r="E250" s="3" t="s">
        <v>148</v>
      </c>
      <c r="F250" s="3">
        <v>0</v>
      </c>
      <c r="G250" s="3" t="s">
        <v>8278</v>
      </c>
    </row>
    <row r="251" spans="1:7" x14ac:dyDescent="0.2">
      <c r="A251" s="3" t="s">
        <v>8533</v>
      </c>
      <c r="B251" s="3" t="s">
        <v>1564</v>
      </c>
      <c r="C251" s="3" t="s">
        <v>8290</v>
      </c>
      <c r="D251" s="3" t="s">
        <v>621</v>
      </c>
      <c r="E251" s="3" t="s">
        <v>621</v>
      </c>
      <c r="F251" s="3">
        <v>0</v>
      </c>
      <c r="G251" s="3" t="s">
        <v>8278</v>
      </c>
    </row>
    <row r="252" spans="1:7" x14ac:dyDescent="0.2">
      <c r="A252" s="3" t="s">
        <v>8534</v>
      </c>
      <c r="B252" s="3" t="s">
        <v>1567</v>
      </c>
      <c r="C252" s="3" t="s">
        <v>8277</v>
      </c>
      <c r="D252" s="3" t="s">
        <v>387</v>
      </c>
      <c r="E252" s="3" t="s">
        <v>387</v>
      </c>
      <c r="F252" s="3">
        <v>0</v>
      </c>
      <c r="G252" s="3" t="s">
        <v>8278</v>
      </c>
    </row>
    <row r="253" spans="1:7" x14ac:dyDescent="0.2">
      <c r="A253" s="3" t="s">
        <v>8535</v>
      </c>
      <c r="B253" s="3" t="s">
        <v>1571</v>
      </c>
      <c r="C253" s="3" t="s">
        <v>8282</v>
      </c>
      <c r="D253" s="3" t="s">
        <v>1152</v>
      </c>
      <c r="E253" s="3" t="s">
        <v>1152</v>
      </c>
      <c r="F253" s="3">
        <v>0</v>
      </c>
      <c r="G253" s="3" t="s">
        <v>8278</v>
      </c>
    </row>
    <row r="254" spans="1:7" x14ac:dyDescent="0.2">
      <c r="A254" s="3" t="s">
        <v>8536</v>
      </c>
      <c r="B254" s="3" t="s">
        <v>1573</v>
      </c>
      <c r="C254" s="3" t="s">
        <v>8277</v>
      </c>
      <c r="D254" s="3" t="s">
        <v>1036</v>
      </c>
      <c r="E254" s="3" t="s">
        <v>1036</v>
      </c>
      <c r="F254" s="3">
        <v>0</v>
      </c>
      <c r="G254" s="3" t="s">
        <v>8278</v>
      </c>
    </row>
    <row r="255" spans="1:7" x14ac:dyDescent="0.2">
      <c r="A255" s="3" t="s">
        <v>8537</v>
      </c>
      <c r="B255" s="3" t="s">
        <v>1580</v>
      </c>
      <c r="C255" s="3" t="s">
        <v>8282</v>
      </c>
      <c r="D255" s="3" t="s">
        <v>1581</v>
      </c>
      <c r="E255" s="3" t="s">
        <v>1581</v>
      </c>
      <c r="F255" s="3">
        <v>0</v>
      </c>
      <c r="G255" s="3" t="s">
        <v>8278</v>
      </c>
    </row>
    <row r="256" spans="1:7" x14ac:dyDescent="0.2">
      <c r="A256" s="3" t="s">
        <v>8538</v>
      </c>
      <c r="B256" s="3" t="s">
        <v>1585</v>
      </c>
      <c r="C256" s="3" t="s">
        <v>8280</v>
      </c>
      <c r="D256" s="3" t="s">
        <v>260</v>
      </c>
      <c r="E256" s="3" t="s">
        <v>260</v>
      </c>
      <c r="F256" s="3">
        <v>0</v>
      </c>
      <c r="G256" s="3" t="s">
        <v>8278</v>
      </c>
    </row>
    <row r="257" spans="1:7" x14ac:dyDescent="0.2">
      <c r="A257" s="3" t="s">
        <v>8539</v>
      </c>
      <c r="B257" s="3" t="s">
        <v>1588</v>
      </c>
      <c r="C257" s="3" t="s">
        <v>8290</v>
      </c>
      <c r="D257" s="3" t="s">
        <v>579</v>
      </c>
      <c r="E257" s="3" t="s">
        <v>1048</v>
      </c>
      <c r="F257" s="3">
        <v>3</v>
      </c>
      <c r="G257" s="3" t="s">
        <v>8284</v>
      </c>
    </row>
    <row r="258" spans="1:7" x14ac:dyDescent="0.2">
      <c r="A258" s="3" t="s">
        <v>8540</v>
      </c>
      <c r="B258" s="3" t="s">
        <v>1590</v>
      </c>
      <c r="C258" s="3" t="s">
        <v>8286</v>
      </c>
      <c r="D258" s="3" t="s">
        <v>621</v>
      </c>
      <c r="E258" s="3" t="s">
        <v>621</v>
      </c>
      <c r="F258" s="3">
        <v>0</v>
      </c>
      <c r="G258" s="3" t="s">
        <v>8278</v>
      </c>
    </row>
    <row r="259" spans="1:7" x14ac:dyDescent="0.2">
      <c r="A259" s="3" t="s">
        <v>8541</v>
      </c>
      <c r="B259" s="3" t="s">
        <v>1592</v>
      </c>
      <c r="C259" s="3" t="s">
        <v>8290</v>
      </c>
      <c r="D259" s="3" t="s">
        <v>1148</v>
      </c>
      <c r="E259" s="3" t="s">
        <v>1148</v>
      </c>
      <c r="F259" s="3">
        <v>0</v>
      </c>
      <c r="G259" s="3" t="s">
        <v>8278</v>
      </c>
    </row>
    <row r="260" spans="1:7" x14ac:dyDescent="0.2">
      <c r="A260" s="3" t="s">
        <v>8542</v>
      </c>
      <c r="B260" s="3" t="s">
        <v>1595</v>
      </c>
      <c r="C260" s="3" t="s">
        <v>8286</v>
      </c>
      <c r="D260" s="3" t="s">
        <v>349</v>
      </c>
      <c r="E260" s="3" t="s">
        <v>349</v>
      </c>
      <c r="F260" s="3">
        <v>0</v>
      </c>
      <c r="G260" s="3" t="s">
        <v>8278</v>
      </c>
    </row>
    <row r="261" spans="1:7" x14ac:dyDescent="0.2">
      <c r="A261" s="3" t="s">
        <v>8543</v>
      </c>
      <c r="B261" s="3" t="s">
        <v>1599</v>
      </c>
      <c r="C261" s="3" t="s">
        <v>8277</v>
      </c>
      <c r="D261" s="3" t="s">
        <v>658</v>
      </c>
      <c r="E261" s="3" t="s">
        <v>658</v>
      </c>
      <c r="F261" s="3">
        <v>0</v>
      </c>
      <c r="G261" s="3" t="s">
        <v>8278</v>
      </c>
    </row>
    <row r="262" spans="1:7" x14ac:dyDescent="0.2">
      <c r="A262" s="3" t="s">
        <v>8544</v>
      </c>
      <c r="B262" s="3" t="s">
        <v>1600</v>
      </c>
      <c r="C262" s="3" t="s">
        <v>8290</v>
      </c>
      <c r="D262" s="3" t="s">
        <v>903</v>
      </c>
      <c r="E262" s="3" t="s">
        <v>903</v>
      </c>
      <c r="F262" s="3">
        <v>0</v>
      </c>
      <c r="G262" s="3" t="s">
        <v>8278</v>
      </c>
    </row>
    <row r="263" spans="1:7" x14ac:dyDescent="0.2">
      <c r="A263" s="3" t="s">
        <v>8545</v>
      </c>
      <c r="B263" s="3" t="s">
        <v>1602</v>
      </c>
      <c r="C263" s="3" t="s">
        <v>8288</v>
      </c>
      <c r="D263" s="3" t="s">
        <v>1262</v>
      </c>
      <c r="E263" s="3" t="s">
        <v>1262</v>
      </c>
      <c r="F263" s="3">
        <v>0</v>
      </c>
      <c r="G263" s="3" t="s">
        <v>8278</v>
      </c>
    </row>
    <row r="264" spans="1:7" x14ac:dyDescent="0.2">
      <c r="A264" s="3" t="s">
        <v>8546</v>
      </c>
      <c r="B264" s="3" t="s">
        <v>1605</v>
      </c>
      <c r="C264" s="3" t="s">
        <v>8286</v>
      </c>
      <c r="D264" s="3" t="s">
        <v>900</v>
      </c>
      <c r="E264" s="3" t="s">
        <v>1620</v>
      </c>
      <c r="F264" s="3">
        <v>13</v>
      </c>
      <c r="G264" s="3" t="s">
        <v>8284</v>
      </c>
    </row>
    <row r="265" spans="1:7" x14ac:dyDescent="0.2">
      <c r="A265" s="3" t="s">
        <v>8547</v>
      </c>
      <c r="B265" s="3" t="s">
        <v>1608</v>
      </c>
      <c r="C265" s="3" t="s">
        <v>8286</v>
      </c>
      <c r="D265" s="3" t="s">
        <v>753</v>
      </c>
      <c r="E265" s="3" t="s">
        <v>753</v>
      </c>
      <c r="F265" s="3">
        <v>0</v>
      </c>
      <c r="G265" s="3" t="s">
        <v>8278</v>
      </c>
    </row>
    <row r="266" spans="1:7" x14ac:dyDescent="0.2">
      <c r="A266" s="3" t="s">
        <v>8548</v>
      </c>
      <c r="B266" s="3" t="s">
        <v>1609</v>
      </c>
      <c r="C266" s="3" t="s">
        <v>8277</v>
      </c>
      <c r="D266" s="3" t="s">
        <v>470</v>
      </c>
      <c r="E266" s="3" t="s">
        <v>470</v>
      </c>
      <c r="F266" s="3">
        <v>0</v>
      </c>
      <c r="G266" s="3" t="s">
        <v>8278</v>
      </c>
    </row>
    <row r="267" spans="1:7" x14ac:dyDescent="0.2">
      <c r="A267" s="3" t="s">
        <v>8549</v>
      </c>
      <c r="B267" s="3" t="s">
        <v>1610</v>
      </c>
      <c r="C267" s="3" t="s">
        <v>8277</v>
      </c>
      <c r="D267" s="3" t="s">
        <v>601</v>
      </c>
      <c r="E267" s="3" t="s">
        <v>601</v>
      </c>
      <c r="F267" s="3">
        <v>0</v>
      </c>
      <c r="G267" s="3" t="s">
        <v>8278</v>
      </c>
    </row>
    <row r="268" spans="1:7" x14ac:dyDescent="0.2">
      <c r="A268" s="3" t="s">
        <v>8550</v>
      </c>
      <c r="B268" s="3" t="s">
        <v>1612</v>
      </c>
      <c r="C268" s="3" t="s">
        <v>8288</v>
      </c>
      <c r="D268" s="3" t="s">
        <v>631</v>
      </c>
      <c r="E268" s="3" t="s">
        <v>437</v>
      </c>
      <c r="F268" s="3">
        <v>11</v>
      </c>
      <c r="G268" s="3" t="s">
        <v>8284</v>
      </c>
    </row>
    <row r="269" spans="1:7" x14ac:dyDescent="0.2">
      <c r="A269" s="3" t="s">
        <v>8551</v>
      </c>
      <c r="B269" s="3" t="s">
        <v>1613</v>
      </c>
      <c r="C269" s="3" t="s">
        <v>8290</v>
      </c>
      <c r="D269" s="3" t="s">
        <v>326</v>
      </c>
      <c r="E269" s="3" t="s">
        <v>326</v>
      </c>
      <c r="F269" s="3">
        <v>0</v>
      </c>
      <c r="G269" s="3" t="s">
        <v>8278</v>
      </c>
    </row>
    <row r="270" spans="1:7" x14ac:dyDescent="0.2">
      <c r="A270" s="3" t="s">
        <v>8552</v>
      </c>
      <c r="B270" s="3" t="s">
        <v>1615</v>
      </c>
      <c r="C270" s="3" t="s">
        <v>8286</v>
      </c>
      <c r="D270" s="3" t="s">
        <v>1380</v>
      </c>
      <c r="E270" s="3" t="s">
        <v>1380</v>
      </c>
      <c r="F270" s="3">
        <v>0</v>
      </c>
      <c r="G270" s="3" t="s">
        <v>8278</v>
      </c>
    </row>
    <row r="271" spans="1:7" x14ac:dyDescent="0.2">
      <c r="A271" s="3" t="s">
        <v>8553</v>
      </c>
      <c r="B271" s="3" t="s">
        <v>1621</v>
      </c>
      <c r="C271" s="3" t="s">
        <v>8290</v>
      </c>
      <c r="D271" s="3" t="s">
        <v>332</v>
      </c>
      <c r="E271" s="3" t="s">
        <v>332</v>
      </c>
      <c r="F271" s="3">
        <v>0</v>
      </c>
      <c r="G271" s="3" t="s">
        <v>8278</v>
      </c>
    </row>
    <row r="272" spans="1:7" x14ac:dyDescent="0.2">
      <c r="A272" s="3" t="s">
        <v>8554</v>
      </c>
      <c r="B272" s="3" t="s">
        <v>1622</v>
      </c>
      <c r="C272" s="3" t="s">
        <v>8290</v>
      </c>
      <c r="D272" s="3" t="s">
        <v>375</v>
      </c>
      <c r="E272" s="3" t="s">
        <v>375</v>
      </c>
      <c r="F272" s="3">
        <v>0</v>
      </c>
      <c r="G272" s="3" t="s">
        <v>8278</v>
      </c>
    </row>
    <row r="273" spans="1:7" x14ac:dyDescent="0.2">
      <c r="A273" s="3" t="s">
        <v>8555</v>
      </c>
      <c r="B273" s="3" t="s">
        <v>1623</v>
      </c>
      <c r="C273" s="3" t="s">
        <v>8286</v>
      </c>
      <c r="D273" s="3" t="s">
        <v>686</v>
      </c>
      <c r="E273" s="3" t="s">
        <v>686</v>
      </c>
      <c r="F273" s="3">
        <v>0</v>
      </c>
      <c r="G273" s="3" t="s">
        <v>8278</v>
      </c>
    </row>
    <row r="274" spans="1:7" x14ac:dyDescent="0.2">
      <c r="A274" s="3" t="s">
        <v>8556</v>
      </c>
      <c r="B274" s="3" t="s">
        <v>1626</v>
      </c>
      <c r="C274" s="3" t="s">
        <v>8282</v>
      </c>
      <c r="D274" s="3" t="s">
        <v>1627</v>
      </c>
      <c r="E274" s="3" t="s">
        <v>1627</v>
      </c>
      <c r="F274" s="3">
        <v>0</v>
      </c>
      <c r="G274" s="3" t="s">
        <v>8278</v>
      </c>
    </row>
    <row r="275" spans="1:7" x14ac:dyDescent="0.2">
      <c r="A275" s="3" t="s">
        <v>8557</v>
      </c>
      <c r="B275" s="3" t="s">
        <v>1634</v>
      </c>
      <c r="C275" s="3" t="s">
        <v>8286</v>
      </c>
      <c r="D275" s="3" t="s">
        <v>794</v>
      </c>
      <c r="E275" s="3" t="s">
        <v>794</v>
      </c>
      <c r="F275" s="3">
        <v>0</v>
      </c>
      <c r="G275" s="3" t="s">
        <v>8278</v>
      </c>
    </row>
    <row r="276" spans="1:7" x14ac:dyDescent="0.2">
      <c r="A276" s="3" t="s">
        <v>8558</v>
      </c>
      <c r="B276" s="3" t="s">
        <v>1635</v>
      </c>
      <c r="C276" s="3" t="s">
        <v>8282</v>
      </c>
      <c r="D276" s="3" t="s">
        <v>1154</v>
      </c>
      <c r="E276" s="3" t="s">
        <v>1473</v>
      </c>
      <c r="F276" s="3">
        <v>5</v>
      </c>
      <c r="G276" s="3" t="s">
        <v>8284</v>
      </c>
    </row>
    <row r="277" spans="1:7" x14ac:dyDescent="0.2">
      <c r="A277" s="3" t="s">
        <v>8559</v>
      </c>
      <c r="B277" s="3" t="s">
        <v>1636</v>
      </c>
      <c r="C277" s="3" t="s">
        <v>8288</v>
      </c>
      <c r="D277" s="3" t="s">
        <v>481</v>
      </c>
      <c r="E277" s="3" t="s">
        <v>833</v>
      </c>
      <c r="F277" s="3">
        <v>8</v>
      </c>
      <c r="G277" s="3" t="s">
        <v>8284</v>
      </c>
    </row>
    <row r="278" spans="1:7" x14ac:dyDescent="0.2">
      <c r="A278" s="3" t="s">
        <v>8560</v>
      </c>
      <c r="B278" s="3" t="s">
        <v>1637</v>
      </c>
      <c r="C278" s="3" t="s">
        <v>8282</v>
      </c>
      <c r="D278" s="3" t="s">
        <v>971</v>
      </c>
      <c r="E278" s="3" t="s">
        <v>726</v>
      </c>
      <c r="F278" s="3">
        <v>8</v>
      </c>
      <c r="G278" s="3" t="s">
        <v>8284</v>
      </c>
    </row>
    <row r="279" spans="1:7" x14ac:dyDescent="0.2">
      <c r="A279" s="3" t="s">
        <v>8561</v>
      </c>
      <c r="B279" s="3" t="s">
        <v>1647</v>
      </c>
      <c r="C279" s="3" t="s">
        <v>8288</v>
      </c>
      <c r="D279" s="3" t="s">
        <v>790</v>
      </c>
      <c r="E279" s="3" t="s">
        <v>790</v>
      </c>
      <c r="F279" s="3">
        <v>0</v>
      </c>
      <c r="G279" s="3" t="s">
        <v>8278</v>
      </c>
    </row>
    <row r="280" spans="1:7" x14ac:dyDescent="0.2">
      <c r="A280" s="3" t="s">
        <v>8562</v>
      </c>
      <c r="B280" s="3" t="s">
        <v>1649</v>
      </c>
      <c r="C280" s="3" t="s">
        <v>8290</v>
      </c>
      <c r="D280" s="3" t="s">
        <v>871</v>
      </c>
      <c r="E280" s="3" t="s">
        <v>871</v>
      </c>
      <c r="F280" s="3">
        <v>0</v>
      </c>
      <c r="G280" s="3" t="s">
        <v>8278</v>
      </c>
    </row>
    <row r="281" spans="1:7" x14ac:dyDescent="0.2">
      <c r="A281" s="3" t="s">
        <v>8563</v>
      </c>
      <c r="B281" s="3" t="s">
        <v>1651</v>
      </c>
      <c r="C281" s="3" t="s">
        <v>8290</v>
      </c>
      <c r="D281" s="3" t="s">
        <v>1089</v>
      </c>
      <c r="E281" s="3" t="s">
        <v>1089</v>
      </c>
      <c r="F281" s="3">
        <v>0</v>
      </c>
      <c r="G281" s="3" t="s">
        <v>8278</v>
      </c>
    </row>
    <row r="282" spans="1:7" x14ac:dyDescent="0.2">
      <c r="A282" s="3" t="s">
        <v>8564</v>
      </c>
      <c r="B282" s="3" t="s">
        <v>1654</v>
      </c>
      <c r="C282" s="3" t="s">
        <v>8277</v>
      </c>
      <c r="D282" s="3" t="s">
        <v>714</v>
      </c>
      <c r="E282" s="3" t="s">
        <v>714</v>
      </c>
      <c r="F282" s="3">
        <v>0</v>
      </c>
      <c r="G282" s="3" t="s">
        <v>8278</v>
      </c>
    </row>
    <row r="283" spans="1:7" x14ac:dyDescent="0.2">
      <c r="A283" s="3" t="s">
        <v>8565</v>
      </c>
      <c r="B283" s="3" t="s">
        <v>1662</v>
      </c>
      <c r="C283" s="3" t="s">
        <v>8288</v>
      </c>
      <c r="D283" s="3" t="s">
        <v>759</v>
      </c>
      <c r="E283" s="3" t="s">
        <v>759</v>
      </c>
      <c r="F283" s="3">
        <v>0</v>
      </c>
      <c r="G283" s="3" t="s">
        <v>8278</v>
      </c>
    </row>
    <row r="284" spans="1:7" x14ac:dyDescent="0.2">
      <c r="A284" s="3" t="s">
        <v>8566</v>
      </c>
      <c r="B284" s="3" t="s">
        <v>1664</v>
      </c>
      <c r="C284" s="3" t="s">
        <v>8282</v>
      </c>
      <c r="D284" s="3" t="s">
        <v>447</v>
      </c>
      <c r="E284" s="3" t="s">
        <v>447</v>
      </c>
      <c r="F284" s="3">
        <v>0</v>
      </c>
      <c r="G284" s="3" t="s">
        <v>8278</v>
      </c>
    </row>
    <row r="285" spans="1:7" x14ac:dyDescent="0.2">
      <c r="A285" s="3" t="s">
        <v>8567</v>
      </c>
      <c r="B285" s="3" t="s">
        <v>1665</v>
      </c>
      <c r="C285" s="3" t="s">
        <v>8288</v>
      </c>
      <c r="D285" s="3" t="s">
        <v>449</v>
      </c>
      <c r="E285" s="3" t="s">
        <v>449</v>
      </c>
      <c r="F285" s="3">
        <v>0</v>
      </c>
      <c r="G285" s="3" t="s">
        <v>8278</v>
      </c>
    </row>
    <row r="286" spans="1:7" x14ac:dyDescent="0.2">
      <c r="A286" s="3" t="s">
        <v>8568</v>
      </c>
      <c r="B286" s="3" t="s">
        <v>1666</v>
      </c>
      <c r="C286" s="3" t="s">
        <v>8288</v>
      </c>
      <c r="D286" s="3" t="s">
        <v>1667</v>
      </c>
      <c r="E286" s="3" t="s">
        <v>1667</v>
      </c>
      <c r="F286" s="3">
        <v>0</v>
      </c>
      <c r="G286" s="3" t="s">
        <v>8278</v>
      </c>
    </row>
    <row r="287" spans="1:7" x14ac:dyDescent="0.2">
      <c r="A287" s="3" t="s">
        <v>8569</v>
      </c>
      <c r="B287" s="3" t="s">
        <v>1669</v>
      </c>
      <c r="C287" s="3" t="s">
        <v>8290</v>
      </c>
      <c r="D287" s="3" t="s">
        <v>515</v>
      </c>
      <c r="E287" s="3" t="s">
        <v>515</v>
      </c>
      <c r="F287" s="3">
        <v>0</v>
      </c>
      <c r="G287" s="3" t="s">
        <v>8278</v>
      </c>
    </row>
    <row r="288" spans="1:7" x14ac:dyDescent="0.2">
      <c r="A288" s="3" t="s">
        <v>8570</v>
      </c>
      <c r="B288" s="3" t="s">
        <v>1670</v>
      </c>
      <c r="C288" s="3" t="s">
        <v>8277</v>
      </c>
      <c r="D288" s="3" t="s">
        <v>329</v>
      </c>
      <c r="E288" s="3" t="s">
        <v>329</v>
      </c>
      <c r="F288" s="3">
        <v>0</v>
      </c>
      <c r="G288" s="3" t="s">
        <v>8278</v>
      </c>
    </row>
    <row r="289" spans="1:7" x14ac:dyDescent="0.2">
      <c r="A289" s="3" t="s">
        <v>8571</v>
      </c>
      <c r="B289" s="3" t="s">
        <v>1671</v>
      </c>
      <c r="C289" s="3" t="s">
        <v>8290</v>
      </c>
      <c r="D289" s="3" t="s">
        <v>870</v>
      </c>
      <c r="E289" s="3" t="s">
        <v>870</v>
      </c>
      <c r="F289" s="3">
        <v>0</v>
      </c>
      <c r="G289" s="3" t="s">
        <v>8278</v>
      </c>
    </row>
    <row r="290" spans="1:7" x14ac:dyDescent="0.2">
      <c r="A290" s="3" t="s">
        <v>8572</v>
      </c>
      <c r="B290" s="3" t="s">
        <v>1673</v>
      </c>
      <c r="C290" s="3" t="s">
        <v>8277</v>
      </c>
      <c r="D290" s="3" t="s">
        <v>1581</v>
      </c>
      <c r="E290" s="3" t="s">
        <v>1581</v>
      </c>
      <c r="F290" s="3">
        <v>0</v>
      </c>
      <c r="G290" s="3" t="s">
        <v>8278</v>
      </c>
    </row>
    <row r="291" spans="1:7" x14ac:dyDescent="0.2">
      <c r="A291" s="3" t="s">
        <v>8573</v>
      </c>
      <c r="B291" s="3" t="s">
        <v>1674</v>
      </c>
      <c r="C291" s="3" t="s">
        <v>8286</v>
      </c>
      <c r="D291" s="3" t="s">
        <v>590</v>
      </c>
      <c r="E291" s="3" t="s">
        <v>590</v>
      </c>
      <c r="F291" s="3">
        <v>0</v>
      </c>
      <c r="G291" s="3" t="s">
        <v>8278</v>
      </c>
    </row>
    <row r="292" spans="1:7" x14ac:dyDescent="0.2">
      <c r="A292" s="3" t="s">
        <v>8574</v>
      </c>
      <c r="B292" s="3" t="s">
        <v>1675</v>
      </c>
      <c r="C292" s="3" t="s">
        <v>8288</v>
      </c>
      <c r="D292" s="3" t="s">
        <v>1067</v>
      </c>
      <c r="E292" s="3" t="s">
        <v>1067</v>
      </c>
      <c r="F292" s="3">
        <v>0</v>
      </c>
      <c r="G292" s="3" t="s">
        <v>8278</v>
      </c>
    </row>
    <row r="293" spans="1:7" x14ac:dyDescent="0.2">
      <c r="A293" s="3" t="s">
        <v>8575</v>
      </c>
      <c r="B293" s="3" t="s">
        <v>1680</v>
      </c>
      <c r="C293" s="3" t="s">
        <v>8277</v>
      </c>
      <c r="D293" s="3" t="s">
        <v>1019</v>
      </c>
      <c r="E293" s="3" t="s">
        <v>1019</v>
      </c>
      <c r="F293" s="3">
        <v>0</v>
      </c>
      <c r="G293" s="3" t="s">
        <v>8278</v>
      </c>
    </row>
    <row r="294" spans="1:7" x14ac:dyDescent="0.2">
      <c r="A294" s="3" t="s">
        <v>8576</v>
      </c>
      <c r="B294" s="3" t="s">
        <v>1686</v>
      </c>
      <c r="C294" s="3" t="s">
        <v>8290</v>
      </c>
      <c r="D294" s="3" t="s">
        <v>639</v>
      </c>
      <c r="E294" s="3" t="s">
        <v>639</v>
      </c>
      <c r="F294" s="3">
        <v>0</v>
      </c>
      <c r="G294" s="3" t="s">
        <v>8278</v>
      </c>
    </row>
    <row r="295" spans="1:7" x14ac:dyDescent="0.2">
      <c r="A295" s="3" t="s">
        <v>8577</v>
      </c>
      <c r="B295" s="3" t="s">
        <v>1687</v>
      </c>
      <c r="C295" s="3" t="s">
        <v>8286</v>
      </c>
      <c r="D295" s="3" t="s">
        <v>259</v>
      </c>
      <c r="E295" s="3" t="s">
        <v>259</v>
      </c>
      <c r="F295" s="3">
        <v>0</v>
      </c>
      <c r="G295" s="3" t="s">
        <v>8278</v>
      </c>
    </row>
    <row r="296" spans="1:7" x14ac:dyDescent="0.2">
      <c r="A296" s="3" t="s">
        <v>8578</v>
      </c>
      <c r="B296" s="3" t="s">
        <v>1690</v>
      </c>
      <c r="C296" s="3" t="s">
        <v>8277</v>
      </c>
      <c r="D296" s="3" t="s">
        <v>661</v>
      </c>
      <c r="E296" s="3" t="s">
        <v>757</v>
      </c>
      <c r="F296" s="3">
        <v>3</v>
      </c>
      <c r="G296" s="3" t="s">
        <v>8284</v>
      </c>
    </row>
    <row r="297" spans="1:7" x14ac:dyDescent="0.2">
      <c r="A297" s="3" t="s">
        <v>8579</v>
      </c>
      <c r="B297" s="3" t="s">
        <v>1693</v>
      </c>
      <c r="C297" s="3" t="s">
        <v>8290</v>
      </c>
      <c r="D297" s="3" t="s">
        <v>600</v>
      </c>
      <c r="E297" s="3" t="s">
        <v>600</v>
      </c>
      <c r="F297" s="3">
        <v>0</v>
      </c>
      <c r="G297" s="3" t="s">
        <v>8278</v>
      </c>
    </row>
    <row r="298" spans="1:7" x14ac:dyDescent="0.2">
      <c r="A298" s="3" t="s">
        <v>8580</v>
      </c>
      <c r="B298" s="3" t="s">
        <v>1694</v>
      </c>
      <c r="C298" s="3" t="s">
        <v>8277</v>
      </c>
      <c r="D298" s="3" t="s">
        <v>284</v>
      </c>
      <c r="E298" s="3" t="s">
        <v>284</v>
      </c>
      <c r="F298" s="3">
        <v>0</v>
      </c>
      <c r="G298" s="3" t="s">
        <v>8278</v>
      </c>
    </row>
    <row r="299" spans="1:7" x14ac:dyDescent="0.2">
      <c r="A299" s="3" t="s">
        <v>8581</v>
      </c>
      <c r="B299" s="3" t="s">
        <v>1696</v>
      </c>
      <c r="C299" s="3" t="s">
        <v>8277</v>
      </c>
      <c r="D299" s="3" t="s">
        <v>300</v>
      </c>
      <c r="E299" s="3" t="s">
        <v>300</v>
      </c>
      <c r="F299" s="3">
        <v>0</v>
      </c>
      <c r="G299" s="3" t="s">
        <v>8278</v>
      </c>
    </row>
    <row r="300" spans="1:7" x14ac:dyDescent="0.2">
      <c r="A300" s="3" t="s">
        <v>8582</v>
      </c>
      <c r="B300" s="3" t="s">
        <v>1698</v>
      </c>
      <c r="C300" s="3" t="s">
        <v>8280</v>
      </c>
      <c r="D300" s="3" t="s">
        <v>264</v>
      </c>
      <c r="E300" s="3" t="s">
        <v>264</v>
      </c>
      <c r="F300" s="3">
        <v>0</v>
      </c>
      <c r="G300" s="3" t="s">
        <v>8278</v>
      </c>
    </row>
    <row r="301" spans="1:7" x14ac:dyDescent="0.2">
      <c r="A301" s="3" t="s">
        <v>8583</v>
      </c>
      <c r="B301" s="3" t="s">
        <v>1701</v>
      </c>
      <c r="C301" s="3" t="s">
        <v>8286</v>
      </c>
      <c r="D301" s="3" t="s">
        <v>665</v>
      </c>
      <c r="E301" s="3" t="s">
        <v>665</v>
      </c>
      <c r="F301" s="3">
        <v>0</v>
      </c>
      <c r="G301" s="3" t="s">
        <v>8278</v>
      </c>
    </row>
    <row r="302" spans="1:7" x14ac:dyDescent="0.2">
      <c r="A302" s="3" t="s">
        <v>8584</v>
      </c>
      <c r="B302" s="3" t="s">
        <v>1710</v>
      </c>
      <c r="C302" s="3" t="s">
        <v>8290</v>
      </c>
      <c r="D302" s="3" t="s">
        <v>1067</v>
      </c>
      <c r="E302" s="3" t="s">
        <v>1067</v>
      </c>
      <c r="F302" s="3">
        <v>0</v>
      </c>
      <c r="G302" s="3" t="s">
        <v>8278</v>
      </c>
    </row>
    <row r="303" spans="1:7" x14ac:dyDescent="0.2">
      <c r="A303" s="3" t="s">
        <v>8585</v>
      </c>
      <c r="B303" s="3" t="s">
        <v>1711</v>
      </c>
      <c r="C303" s="3" t="s">
        <v>8286</v>
      </c>
      <c r="D303" s="3" t="s">
        <v>165</v>
      </c>
      <c r="E303" s="3" t="s">
        <v>524</v>
      </c>
      <c r="F303" s="3">
        <v>9</v>
      </c>
      <c r="G303" s="3" t="s">
        <v>8284</v>
      </c>
    </row>
    <row r="304" spans="1:7" x14ac:dyDescent="0.2">
      <c r="A304" s="3" t="s">
        <v>8586</v>
      </c>
      <c r="B304" s="3" t="s">
        <v>1715</v>
      </c>
      <c r="C304" s="3" t="s">
        <v>8288</v>
      </c>
      <c r="D304" s="3" t="s">
        <v>1398</v>
      </c>
      <c r="E304" s="3" t="s">
        <v>1398</v>
      </c>
      <c r="F304" s="3">
        <v>0</v>
      </c>
      <c r="G304" s="3" t="s">
        <v>8278</v>
      </c>
    </row>
    <row r="305" spans="1:7" x14ac:dyDescent="0.2">
      <c r="A305" s="3" t="s">
        <v>8587</v>
      </c>
      <c r="B305" s="3" t="s">
        <v>1719</v>
      </c>
      <c r="C305" s="3" t="s">
        <v>8290</v>
      </c>
      <c r="D305" s="3" t="s">
        <v>751</v>
      </c>
      <c r="E305" s="3" t="s">
        <v>751</v>
      </c>
      <c r="F305" s="3">
        <v>0</v>
      </c>
      <c r="G305" s="3" t="s">
        <v>8278</v>
      </c>
    </row>
    <row r="306" spans="1:7" x14ac:dyDescent="0.2">
      <c r="A306" s="3" t="s">
        <v>8588</v>
      </c>
      <c r="B306" s="3" t="s">
        <v>1722</v>
      </c>
      <c r="C306" s="3" t="s">
        <v>8286</v>
      </c>
      <c r="D306" s="3" t="s">
        <v>396</v>
      </c>
      <c r="E306" s="3" t="s">
        <v>396</v>
      </c>
      <c r="F306" s="3">
        <v>0</v>
      </c>
      <c r="G306" s="3" t="s">
        <v>8278</v>
      </c>
    </row>
    <row r="307" spans="1:7" x14ac:dyDescent="0.2">
      <c r="A307" s="3" t="s">
        <v>8589</v>
      </c>
      <c r="B307" s="3" t="s">
        <v>1723</v>
      </c>
      <c r="C307" s="3" t="s">
        <v>8290</v>
      </c>
      <c r="D307" s="3" t="s">
        <v>560</v>
      </c>
      <c r="E307" s="3" t="s">
        <v>560</v>
      </c>
      <c r="F307" s="3">
        <v>0</v>
      </c>
      <c r="G307" s="3" t="s">
        <v>8278</v>
      </c>
    </row>
    <row r="308" spans="1:7" x14ac:dyDescent="0.2">
      <c r="A308" s="3" t="s">
        <v>8590</v>
      </c>
      <c r="B308" s="3" t="s">
        <v>1724</v>
      </c>
      <c r="C308" s="3" t="s">
        <v>8286</v>
      </c>
      <c r="D308" s="3" t="s">
        <v>746</v>
      </c>
      <c r="E308" s="3" t="s">
        <v>746</v>
      </c>
      <c r="F308" s="3">
        <v>0</v>
      </c>
      <c r="G308" s="3" t="s">
        <v>8278</v>
      </c>
    </row>
    <row r="309" spans="1:7" x14ac:dyDescent="0.2">
      <c r="A309" s="3" t="s">
        <v>8591</v>
      </c>
      <c r="B309" s="3" t="s">
        <v>1727</v>
      </c>
      <c r="C309" s="3" t="s">
        <v>8288</v>
      </c>
      <c r="D309" s="3" t="s">
        <v>1728</v>
      </c>
      <c r="E309" s="3" t="s">
        <v>1728</v>
      </c>
      <c r="F309" s="3">
        <v>0</v>
      </c>
      <c r="G309" s="3" t="s">
        <v>8278</v>
      </c>
    </row>
    <row r="310" spans="1:7" x14ac:dyDescent="0.2">
      <c r="A310" s="3" t="s">
        <v>8592</v>
      </c>
      <c r="B310" s="3" t="s">
        <v>1732</v>
      </c>
      <c r="C310" s="3" t="s">
        <v>8282</v>
      </c>
      <c r="D310" s="3" t="s">
        <v>1578</v>
      </c>
      <c r="E310" s="3" t="s">
        <v>1578</v>
      </c>
      <c r="F310" s="3">
        <v>0</v>
      </c>
      <c r="G310" s="3" t="s">
        <v>8278</v>
      </c>
    </row>
    <row r="311" spans="1:7" x14ac:dyDescent="0.2">
      <c r="A311" s="3" t="s">
        <v>8593</v>
      </c>
      <c r="B311" s="3" t="s">
        <v>1733</v>
      </c>
      <c r="C311" s="3" t="s">
        <v>8288</v>
      </c>
      <c r="D311" s="3" t="s">
        <v>755</v>
      </c>
      <c r="E311" s="3" t="s">
        <v>755</v>
      </c>
      <c r="F311" s="3">
        <v>0</v>
      </c>
      <c r="G311" s="3" t="s">
        <v>8278</v>
      </c>
    </row>
    <row r="312" spans="1:7" x14ac:dyDescent="0.2">
      <c r="A312" s="3" t="s">
        <v>8594</v>
      </c>
      <c r="B312" s="3" t="s">
        <v>1740</v>
      </c>
      <c r="C312" s="3" t="s">
        <v>8280</v>
      </c>
      <c r="D312" s="3" t="s">
        <v>960</v>
      </c>
      <c r="E312" s="3" t="s">
        <v>960</v>
      </c>
      <c r="F312" s="3">
        <v>0</v>
      </c>
      <c r="G312" s="3" t="s">
        <v>8278</v>
      </c>
    </row>
    <row r="313" spans="1:7" x14ac:dyDescent="0.2">
      <c r="A313" s="3" t="s">
        <v>8595</v>
      </c>
      <c r="B313" s="3" t="s">
        <v>1744</v>
      </c>
      <c r="C313" s="3" t="s">
        <v>8280</v>
      </c>
      <c r="D313" s="3" t="s">
        <v>568</v>
      </c>
      <c r="E313" s="3" t="s">
        <v>1118</v>
      </c>
      <c r="F313" s="3">
        <v>11</v>
      </c>
      <c r="G313" s="3" t="s">
        <v>8284</v>
      </c>
    </row>
    <row r="314" spans="1:7" x14ac:dyDescent="0.2">
      <c r="A314" s="3" t="s">
        <v>8596</v>
      </c>
      <c r="B314" s="3" t="s">
        <v>1751</v>
      </c>
      <c r="C314" s="3" t="s">
        <v>8290</v>
      </c>
      <c r="D314" s="3" t="s">
        <v>853</v>
      </c>
      <c r="E314" s="3" t="s">
        <v>853</v>
      </c>
      <c r="F314" s="3">
        <v>0</v>
      </c>
      <c r="G314" s="3" t="s">
        <v>8278</v>
      </c>
    </row>
    <row r="315" spans="1:7" x14ac:dyDescent="0.2">
      <c r="A315" s="3" t="s">
        <v>8597</v>
      </c>
      <c r="B315" s="3" t="s">
        <v>1755</v>
      </c>
      <c r="C315" s="3" t="s">
        <v>8286</v>
      </c>
      <c r="D315" s="3" t="s">
        <v>817</v>
      </c>
      <c r="E315" s="3" t="s">
        <v>512</v>
      </c>
      <c r="F315" s="3">
        <v>4</v>
      </c>
      <c r="G315" s="3" t="s">
        <v>8284</v>
      </c>
    </row>
    <row r="316" spans="1:7" x14ac:dyDescent="0.2">
      <c r="A316" s="3" t="s">
        <v>8598</v>
      </c>
      <c r="B316" s="3" t="s">
        <v>1762</v>
      </c>
      <c r="C316" s="3" t="s">
        <v>8277</v>
      </c>
      <c r="D316" s="3" t="s">
        <v>277</v>
      </c>
      <c r="E316" s="3" t="s">
        <v>277</v>
      </c>
      <c r="F316" s="3">
        <v>0</v>
      </c>
      <c r="G316" s="3" t="s">
        <v>8278</v>
      </c>
    </row>
    <row r="317" spans="1:7" x14ac:dyDescent="0.2">
      <c r="A317" s="3" t="s">
        <v>8599</v>
      </c>
      <c r="B317" s="3" t="s">
        <v>1767</v>
      </c>
      <c r="C317" s="3" t="s">
        <v>8280</v>
      </c>
      <c r="D317" s="3" t="s">
        <v>880</v>
      </c>
      <c r="E317" s="3" t="s">
        <v>880</v>
      </c>
      <c r="F317" s="3">
        <v>0</v>
      </c>
      <c r="G317" s="3" t="s">
        <v>8278</v>
      </c>
    </row>
    <row r="318" spans="1:7" x14ac:dyDescent="0.2">
      <c r="A318" s="3" t="s">
        <v>8600</v>
      </c>
      <c r="B318" s="3" t="s">
        <v>1769</v>
      </c>
      <c r="C318" s="3" t="s">
        <v>8282</v>
      </c>
      <c r="D318" s="3" t="s">
        <v>1293</v>
      </c>
      <c r="E318" s="3" t="s">
        <v>1293</v>
      </c>
      <c r="F318" s="3">
        <v>0</v>
      </c>
      <c r="G318" s="3" t="s">
        <v>8278</v>
      </c>
    </row>
    <row r="319" spans="1:7" x14ac:dyDescent="0.2">
      <c r="A319" s="3" t="s">
        <v>8601</v>
      </c>
      <c r="B319" s="3" t="s">
        <v>1775</v>
      </c>
      <c r="C319" s="3" t="s">
        <v>8282</v>
      </c>
      <c r="D319" s="3" t="s">
        <v>1776</v>
      </c>
      <c r="E319" s="3" t="s">
        <v>1776</v>
      </c>
      <c r="F319" s="3">
        <v>0</v>
      </c>
      <c r="G319" s="3" t="s">
        <v>8278</v>
      </c>
    </row>
    <row r="320" spans="1:7" x14ac:dyDescent="0.2">
      <c r="A320" s="3" t="s">
        <v>8602</v>
      </c>
      <c r="B320" s="3" t="s">
        <v>1779</v>
      </c>
      <c r="C320" s="3" t="s">
        <v>8280</v>
      </c>
      <c r="D320" s="3" t="s">
        <v>276</v>
      </c>
      <c r="E320" s="3" t="s">
        <v>276</v>
      </c>
      <c r="F320" s="3">
        <v>0</v>
      </c>
      <c r="G320" s="3" t="s">
        <v>8278</v>
      </c>
    </row>
    <row r="321" spans="1:7" x14ac:dyDescent="0.2">
      <c r="A321" s="3" t="s">
        <v>8603</v>
      </c>
      <c r="B321" s="3" t="s">
        <v>1783</v>
      </c>
      <c r="C321" s="3" t="s">
        <v>8282</v>
      </c>
      <c r="D321" s="3" t="s">
        <v>751</v>
      </c>
      <c r="E321" s="3" t="s">
        <v>751</v>
      </c>
      <c r="F321" s="3">
        <v>0</v>
      </c>
      <c r="G321" s="3" t="s">
        <v>8278</v>
      </c>
    </row>
    <row r="322" spans="1:7" x14ac:dyDescent="0.2">
      <c r="A322" s="3" t="s">
        <v>8604</v>
      </c>
      <c r="B322" s="3" t="s">
        <v>1784</v>
      </c>
      <c r="C322" s="3" t="s">
        <v>8288</v>
      </c>
      <c r="D322" s="3" t="s">
        <v>490</v>
      </c>
      <c r="E322" s="3" t="s">
        <v>490</v>
      </c>
      <c r="F322" s="3">
        <v>0</v>
      </c>
      <c r="G322" s="3" t="s">
        <v>8278</v>
      </c>
    </row>
    <row r="323" spans="1:7" x14ac:dyDescent="0.2">
      <c r="A323" s="3" t="s">
        <v>8605</v>
      </c>
      <c r="B323" s="3" t="s">
        <v>1786</v>
      </c>
      <c r="C323" s="3" t="s">
        <v>8286</v>
      </c>
      <c r="D323" s="3" t="s">
        <v>342</v>
      </c>
      <c r="E323" s="3" t="s">
        <v>211</v>
      </c>
      <c r="F323" s="3">
        <v>11</v>
      </c>
      <c r="G323" s="3" t="s">
        <v>8284</v>
      </c>
    </row>
    <row r="324" spans="1:7" x14ac:dyDescent="0.2">
      <c r="A324" s="3" t="s">
        <v>8606</v>
      </c>
      <c r="B324" s="3" t="s">
        <v>1788</v>
      </c>
      <c r="C324" s="3" t="s">
        <v>8277</v>
      </c>
      <c r="D324" s="3" t="s">
        <v>421</v>
      </c>
      <c r="E324" s="3" t="s">
        <v>421</v>
      </c>
      <c r="F324" s="3">
        <v>0</v>
      </c>
      <c r="G324" s="3" t="s">
        <v>8278</v>
      </c>
    </row>
    <row r="325" spans="1:7" x14ac:dyDescent="0.2">
      <c r="A325" s="3" t="s">
        <v>8607</v>
      </c>
      <c r="B325" s="3" t="s">
        <v>1791</v>
      </c>
      <c r="C325" s="3" t="s">
        <v>8277</v>
      </c>
      <c r="D325" s="3" t="s">
        <v>527</v>
      </c>
      <c r="E325" s="3" t="s">
        <v>527</v>
      </c>
      <c r="F325" s="3">
        <v>0</v>
      </c>
      <c r="G325" s="3" t="s">
        <v>8278</v>
      </c>
    </row>
    <row r="326" spans="1:7" x14ac:dyDescent="0.2">
      <c r="A326" s="3" t="s">
        <v>8608</v>
      </c>
      <c r="B326" s="3" t="s">
        <v>1792</v>
      </c>
      <c r="C326" s="3" t="s">
        <v>8280</v>
      </c>
      <c r="D326" s="3" t="s">
        <v>378</v>
      </c>
      <c r="E326" s="3" t="s">
        <v>991</v>
      </c>
      <c r="F326" s="3">
        <v>2</v>
      </c>
      <c r="G326" s="3" t="s">
        <v>8284</v>
      </c>
    </row>
    <row r="327" spans="1:7" x14ac:dyDescent="0.2">
      <c r="A327" s="3" t="s">
        <v>8609</v>
      </c>
      <c r="B327" s="3" t="s">
        <v>1796</v>
      </c>
      <c r="C327" s="3" t="s">
        <v>8286</v>
      </c>
      <c r="D327" s="3" t="s">
        <v>271</v>
      </c>
      <c r="E327" s="3" t="s">
        <v>271</v>
      </c>
      <c r="F327" s="3">
        <v>0</v>
      </c>
      <c r="G327" s="3" t="s">
        <v>8278</v>
      </c>
    </row>
    <row r="328" spans="1:7" x14ac:dyDescent="0.2">
      <c r="A328" s="3" t="s">
        <v>8610</v>
      </c>
      <c r="B328" s="3" t="s">
        <v>1798</v>
      </c>
      <c r="C328" s="3" t="s">
        <v>8280</v>
      </c>
      <c r="D328" s="3" t="s">
        <v>587</v>
      </c>
      <c r="E328" s="3" t="s">
        <v>1062</v>
      </c>
      <c r="F328" s="3">
        <v>11</v>
      </c>
      <c r="G328" s="3" t="s">
        <v>8284</v>
      </c>
    </row>
    <row r="329" spans="1:7" x14ac:dyDescent="0.2">
      <c r="A329" s="3" t="s">
        <v>8611</v>
      </c>
      <c r="B329" s="3" t="s">
        <v>1801</v>
      </c>
      <c r="C329" s="3" t="s">
        <v>8288</v>
      </c>
      <c r="D329" s="3" t="s">
        <v>1183</v>
      </c>
      <c r="E329" s="3" t="s">
        <v>180</v>
      </c>
      <c r="F329" s="3">
        <v>7</v>
      </c>
      <c r="G329" s="3" t="s">
        <v>8284</v>
      </c>
    </row>
    <row r="330" spans="1:7" x14ac:dyDescent="0.2">
      <c r="A330" s="3" t="s">
        <v>8612</v>
      </c>
      <c r="B330" s="3" t="s">
        <v>1806</v>
      </c>
      <c r="C330" s="3" t="s">
        <v>8290</v>
      </c>
      <c r="D330" s="3" t="s">
        <v>255</v>
      </c>
      <c r="E330" s="3" t="s">
        <v>817</v>
      </c>
      <c r="F330" s="3">
        <v>5</v>
      </c>
      <c r="G330" s="3" t="s">
        <v>8284</v>
      </c>
    </row>
    <row r="331" spans="1:7" x14ac:dyDescent="0.2">
      <c r="A331" s="3" t="s">
        <v>8613</v>
      </c>
      <c r="B331" s="3" t="s">
        <v>1807</v>
      </c>
      <c r="C331" s="3" t="s">
        <v>8286</v>
      </c>
      <c r="D331" s="3" t="s">
        <v>445</v>
      </c>
      <c r="E331" s="3" t="s">
        <v>445</v>
      </c>
      <c r="F331" s="3">
        <v>0</v>
      </c>
      <c r="G331" s="3" t="s">
        <v>8278</v>
      </c>
    </row>
    <row r="332" spans="1:7" x14ac:dyDescent="0.2">
      <c r="A332" s="3" t="s">
        <v>8614</v>
      </c>
      <c r="B332" s="3" t="s">
        <v>1811</v>
      </c>
      <c r="C332" s="3" t="s">
        <v>8290</v>
      </c>
      <c r="D332" s="3" t="s">
        <v>1019</v>
      </c>
      <c r="E332" s="3" t="s">
        <v>1019</v>
      </c>
      <c r="F332" s="3">
        <v>0</v>
      </c>
      <c r="G332" s="3" t="s">
        <v>8278</v>
      </c>
    </row>
    <row r="333" spans="1:7" x14ac:dyDescent="0.2">
      <c r="A333" s="3" t="s">
        <v>8615</v>
      </c>
      <c r="B333" s="3" t="s">
        <v>1819</v>
      </c>
      <c r="C333" s="3" t="s">
        <v>8280</v>
      </c>
      <c r="D333" s="3" t="s">
        <v>1457</v>
      </c>
      <c r="E333" s="3" t="s">
        <v>1457</v>
      </c>
      <c r="F333" s="3">
        <v>0</v>
      </c>
      <c r="G333" s="3" t="s">
        <v>8278</v>
      </c>
    </row>
    <row r="334" spans="1:7" x14ac:dyDescent="0.2">
      <c r="A334" s="3" t="s">
        <v>8616</v>
      </c>
      <c r="B334" s="3" t="s">
        <v>1822</v>
      </c>
      <c r="C334" s="3" t="s">
        <v>8288</v>
      </c>
      <c r="D334" s="3" t="s">
        <v>283</v>
      </c>
      <c r="E334" s="3" t="s">
        <v>283</v>
      </c>
      <c r="F334" s="3">
        <v>0</v>
      </c>
      <c r="G334" s="3" t="s">
        <v>8278</v>
      </c>
    </row>
    <row r="335" spans="1:7" x14ac:dyDescent="0.2">
      <c r="A335" s="3" t="s">
        <v>8617</v>
      </c>
      <c r="B335" s="3" t="s">
        <v>1827</v>
      </c>
      <c r="C335" s="3" t="s">
        <v>8277</v>
      </c>
      <c r="D335" s="3" t="s">
        <v>615</v>
      </c>
      <c r="E335" s="3" t="s">
        <v>488</v>
      </c>
      <c r="F335" s="3">
        <v>12</v>
      </c>
      <c r="G335" s="3" t="s">
        <v>8284</v>
      </c>
    </row>
    <row r="336" spans="1:7" x14ac:dyDescent="0.2">
      <c r="A336" s="3" t="s">
        <v>8618</v>
      </c>
      <c r="B336" s="3" t="s">
        <v>1828</v>
      </c>
      <c r="C336" s="3" t="s">
        <v>8277</v>
      </c>
      <c r="D336" s="3" t="s">
        <v>1016</v>
      </c>
      <c r="E336" s="3" t="s">
        <v>1016</v>
      </c>
      <c r="F336" s="3">
        <v>0</v>
      </c>
      <c r="G336" s="3" t="s">
        <v>8278</v>
      </c>
    </row>
    <row r="337" spans="1:7" x14ac:dyDescent="0.2">
      <c r="A337" s="3" t="s">
        <v>8619</v>
      </c>
      <c r="B337" s="3" t="s">
        <v>1829</v>
      </c>
      <c r="C337" s="3" t="s">
        <v>8286</v>
      </c>
      <c r="D337" s="3" t="s">
        <v>611</v>
      </c>
      <c r="E337" s="3" t="s">
        <v>611</v>
      </c>
      <c r="F337" s="3">
        <v>0</v>
      </c>
      <c r="G337" s="3" t="s">
        <v>8278</v>
      </c>
    </row>
    <row r="338" spans="1:7" x14ac:dyDescent="0.2">
      <c r="A338" s="3" t="s">
        <v>8620</v>
      </c>
      <c r="B338" s="3" t="s">
        <v>1830</v>
      </c>
      <c r="C338" s="3" t="s">
        <v>8290</v>
      </c>
      <c r="D338" s="3" t="s">
        <v>1523</v>
      </c>
      <c r="E338" s="3" t="s">
        <v>1523</v>
      </c>
      <c r="F338" s="3">
        <v>0</v>
      </c>
      <c r="G338" s="3" t="s">
        <v>8278</v>
      </c>
    </row>
    <row r="339" spans="1:7" x14ac:dyDescent="0.2">
      <c r="A339" s="3" t="s">
        <v>8621</v>
      </c>
      <c r="B339" s="3" t="s">
        <v>1832</v>
      </c>
      <c r="C339" s="3" t="s">
        <v>8280</v>
      </c>
      <c r="D339" s="3" t="s">
        <v>343</v>
      </c>
      <c r="E339" s="3" t="s">
        <v>343</v>
      </c>
      <c r="F339" s="3">
        <v>0</v>
      </c>
      <c r="G339" s="3" t="s">
        <v>8278</v>
      </c>
    </row>
    <row r="340" spans="1:7" x14ac:dyDescent="0.2">
      <c r="A340" s="3" t="s">
        <v>8622</v>
      </c>
      <c r="B340" s="3" t="s">
        <v>1833</v>
      </c>
      <c r="C340" s="3" t="s">
        <v>8290</v>
      </c>
      <c r="D340" s="3" t="s">
        <v>316</v>
      </c>
      <c r="E340" s="3" t="s">
        <v>1380</v>
      </c>
      <c r="F340" s="3">
        <v>12</v>
      </c>
      <c r="G340" s="3" t="s">
        <v>8284</v>
      </c>
    </row>
    <row r="341" spans="1:7" x14ac:dyDescent="0.2">
      <c r="A341" s="3" t="s">
        <v>8623</v>
      </c>
      <c r="B341" s="3" t="s">
        <v>1834</v>
      </c>
      <c r="C341" s="3" t="s">
        <v>8277</v>
      </c>
      <c r="D341" s="3" t="s">
        <v>1234</v>
      </c>
      <c r="E341" s="3" t="s">
        <v>1234</v>
      </c>
      <c r="F341" s="3">
        <v>0</v>
      </c>
      <c r="G341" s="3" t="s">
        <v>8278</v>
      </c>
    </row>
    <row r="342" spans="1:7" x14ac:dyDescent="0.2">
      <c r="A342" s="3" t="s">
        <v>8624</v>
      </c>
      <c r="B342" s="3" t="s">
        <v>1835</v>
      </c>
      <c r="C342" s="3" t="s">
        <v>8280</v>
      </c>
      <c r="D342" s="3" t="s">
        <v>131</v>
      </c>
      <c r="E342" s="3" t="s">
        <v>131</v>
      </c>
      <c r="F342" s="3">
        <v>0</v>
      </c>
      <c r="G342" s="3" t="s">
        <v>8278</v>
      </c>
    </row>
    <row r="343" spans="1:7" x14ac:dyDescent="0.2">
      <c r="A343" s="3" t="s">
        <v>8625</v>
      </c>
      <c r="B343" s="3" t="s">
        <v>1837</v>
      </c>
      <c r="C343" s="3" t="s">
        <v>8288</v>
      </c>
      <c r="D343" s="3" t="s">
        <v>1838</v>
      </c>
      <c r="E343" s="3" t="s">
        <v>364</v>
      </c>
      <c r="F343" s="3">
        <v>4</v>
      </c>
      <c r="G343" s="3" t="s">
        <v>8284</v>
      </c>
    </row>
    <row r="344" spans="1:7" x14ac:dyDescent="0.2">
      <c r="A344" s="3" t="s">
        <v>8626</v>
      </c>
      <c r="B344" s="3" t="s">
        <v>1841</v>
      </c>
      <c r="C344" s="3" t="s">
        <v>8282</v>
      </c>
      <c r="D344" s="3" t="s">
        <v>447</v>
      </c>
      <c r="E344" s="3" t="s">
        <v>447</v>
      </c>
      <c r="F344" s="3">
        <v>0</v>
      </c>
      <c r="G344" s="3" t="s">
        <v>8278</v>
      </c>
    </row>
    <row r="345" spans="1:7" x14ac:dyDescent="0.2">
      <c r="A345" s="3" t="s">
        <v>8627</v>
      </c>
      <c r="B345" s="3" t="s">
        <v>1846</v>
      </c>
      <c r="C345" s="3" t="s">
        <v>8286</v>
      </c>
      <c r="D345" s="3" t="s">
        <v>675</v>
      </c>
      <c r="E345" s="3" t="s">
        <v>920</v>
      </c>
      <c r="F345" s="3">
        <v>2</v>
      </c>
      <c r="G345" s="3" t="s">
        <v>8284</v>
      </c>
    </row>
    <row r="346" spans="1:7" x14ac:dyDescent="0.2">
      <c r="A346" s="3" t="s">
        <v>8628</v>
      </c>
      <c r="B346" s="3" t="s">
        <v>1851</v>
      </c>
      <c r="C346" s="3" t="s">
        <v>8282</v>
      </c>
      <c r="D346" s="3" t="s">
        <v>265</v>
      </c>
      <c r="E346" s="3" t="s">
        <v>265</v>
      </c>
      <c r="F346" s="3">
        <v>0</v>
      </c>
      <c r="G346" s="3" t="s">
        <v>8278</v>
      </c>
    </row>
    <row r="347" spans="1:7" x14ac:dyDescent="0.2">
      <c r="A347" s="3" t="s">
        <v>8629</v>
      </c>
      <c r="B347" s="3" t="s">
        <v>1852</v>
      </c>
      <c r="C347" s="3" t="s">
        <v>8286</v>
      </c>
      <c r="D347" s="3" t="s">
        <v>186</v>
      </c>
      <c r="E347" s="3" t="s">
        <v>353</v>
      </c>
      <c r="F347" s="3">
        <v>8</v>
      </c>
      <c r="G347" s="3" t="s">
        <v>8284</v>
      </c>
    </row>
    <row r="348" spans="1:7" x14ac:dyDescent="0.2">
      <c r="A348" s="3" t="s">
        <v>8630</v>
      </c>
      <c r="B348" s="3" t="s">
        <v>1858</v>
      </c>
      <c r="C348" s="3" t="s">
        <v>8277</v>
      </c>
      <c r="D348" s="3" t="s">
        <v>854</v>
      </c>
      <c r="E348" s="3" t="s">
        <v>854</v>
      </c>
      <c r="F348" s="3">
        <v>0</v>
      </c>
      <c r="G348" s="3" t="s">
        <v>8278</v>
      </c>
    </row>
    <row r="349" spans="1:7" x14ac:dyDescent="0.2">
      <c r="A349" s="3" t="s">
        <v>8631</v>
      </c>
      <c r="B349" s="3" t="s">
        <v>1863</v>
      </c>
      <c r="C349" s="3" t="s">
        <v>8277</v>
      </c>
      <c r="D349" s="3" t="s">
        <v>1383</v>
      </c>
      <c r="E349" s="3" t="s">
        <v>1383</v>
      </c>
      <c r="F349" s="3">
        <v>0</v>
      </c>
      <c r="G349" s="3" t="s">
        <v>8278</v>
      </c>
    </row>
    <row r="350" spans="1:7" x14ac:dyDescent="0.2">
      <c r="A350" s="3" t="s">
        <v>8632</v>
      </c>
      <c r="B350" s="3" t="s">
        <v>1864</v>
      </c>
      <c r="C350" s="3" t="s">
        <v>8290</v>
      </c>
      <c r="D350" s="3" t="s">
        <v>353</v>
      </c>
      <c r="E350" s="3" t="s">
        <v>827</v>
      </c>
      <c r="F350" s="3">
        <v>3</v>
      </c>
      <c r="G350" s="3" t="s">
        <v>8284</v>
      </c>
    </row>
    <row r="351" spans="1:7" x14ac:dyDescent="0.2">
      <c r="A351" s="3" t="s">
        <v>8633</v>
      </c>
      <c r="B351" s="3" t="s">
        <v>1867</v>
      </c>
      <c r="C351" s="3" t="s">
        <v>8290</v>
      </c>
      <c r="D351" s="3" t="s">
        <v>883</v>
      </c>
      <c r="E351" s="3" t="s">
        <v>883</v>
      </c>
      <c r="F351" s="3">
        <v>0</v>
      </c>
      <c r="G351" s="3" t="s">
        <v>8278</v>
      </c>
    </row>
    <row r="352" spans="1:7" x14ac:dyDescent="0.2">
      <c r="A352" s="3" t="s">
        <v>8634</v>
      </c>
      <c r="B352" s="3" t="s">
        <v>1877</v>
      </c>
      <c r="C352" s="3" t="s">
        <v>8280</v>
      </c>
      <c r="D352" s="3" t="s">
        <v>1221</v>
      </c>
      <c r="E352" s="3" t="s">
        <v>1221</v>
      </c>
      <c r="F352" s="3">
        <v>0</v>
      </c>
      <c r="G352" s="3" t="s">
        <v>8278</v>
      </c>
    </row>
    <row r="353" spans="1:7" x14ac:dyDescent="0.2">
      <c r="A353" s="3" t="s">
        <v>8635</v>
      </c>
      <c r="B353" s="3" t="s">
        <v>1883</v>
      </c>
      <c r="C353" s="3" t="s">
        <v>8280</v>
      </c>
      <c r="D353" s="3" t="s">
        <v>1314</v>
      </c>
      <c r="E353" s="3" t="s">
        <v>1314</v>
      </c>
      <c r="F353" s="3">
        <v>0</v>
      </c>
      <c r="G353" s="3" t="s">
        <v>8278</v>
      </c>
    </row>
    <row r="354" spans="1:7" x14ac:dyDescent="0.2">
      <c r="A354" s="3" t="s">
        <v>8636</v>
      </c>
      <c r="B354" s="3" t="s">
        <v>1889</v>
      </c>
      <c r="C354" s="3" t="s">
        <v>8280</v>
      </c>
      <c r="D354" s="3" t="s">
        <v>960</v>
      </c>
      <c r="E354" s="3" t="s">
        <v>960</v>
      </c>
      <c r="F354" s="3">
        <v>0</v>
      </c>
      <c r="G354" s="3" t="s">
        <v>8278</v>
      </c>
    </row>
    <row r="355" spans="1:7" x14ac:dyDescent="0.2">
      <c r="A355" s="3" t="s">
        <v>8637</v>
      </c>
      <c r="B355" s="3" t="s">
        <v>1892</v>
      </c>
      <c r="C355" s="3" t="s">
        <v>8282</v>
      </c>
      <c r="D355" s="3" t="s">
        <v>1053</v>
      </c>
      <c r="E355" s="3" t="s">
        <v>1053</v>
      </c>
      <c r="F355" s="3">
        <v>0</v>
      </c>
      <c r="G355" s="3" t="s">
        <v>8278</v>
      </c>
    </row>
    <row r="356" spans="1:7" x14ac:dyDescent="0.2">
      <c r="A356" s="3" t="s">
        <v>8638</v>
      </c>
      <c r="B356" s="3" t="s">
        <v>1893</v>
      </c>
      <c r="C356" s="3" t="s">
        <v>8286</v>
      </c>
      <c r="D356" s="3" t="s">
        <v>1370</v>
      </c>
      <c r="E356" s="3" t="s">
        <v>1370</v>
      </c>
      <c r="F356" s="3">
        <v>0</v>
      </c>
      <c r="G356" s="3" t="s">
        <v>8278</v>
      </c>
    </row>
    <row r="357" spans="1:7" x14ac:dyDescent="0.2">
      <c r="A357" s="3" t="s">
        <v>8639</v>
      </c>
      <c r="B357" s="3" t="s">
        <v>1900</v>
      </c>
      <c r="C357" s="3" t="s">
        <v>8280</v>
      </c>
      <c r="D357" s="3" t="s">
        <v>1028</v>
      </c>
      <c r="E357" s="3" t="s">
        <v>1028</v>
      </c>
      <c r="F357" s="3">
        <v>0</v>
      </c>
      <c r="G357" s="3" t="s">
        <v>8278</v>
      </c>
    </row>
    <row r="358" spans="1:7" x14ac:dyDescent="0.2">
      <c r="A358" s="3" t="s">
        <v>8640</v>
      </c>
      <c r="B358" s="3" t="s">
        <v>1901</v>
      </c>
      <c r="C358" s="3" t="s">
        <v>8290</v>
      </c>
      <c r="D358" s="3" t="s">
        <v>329</v>
      </c>
      <c r="E358" s="3" t="s">
        <v>329</v>
      </c>
      <c r="F358" s="3">
        <v>0</v>
      </c>
      <c r="G358" s="3" t="s">
        <v>8278</v>
      </c>
    </row>
    <row r="359" spans="1:7" x14ac:dyDescent="0.2">
      <c r="A359" s="3" t="s">
        <v>8641</v>
      </c>
      <c r="B359" s="3" t="s">
        <v>1903</v>
      </c>
      <c r="C359" s="3" t="s">
        <v>8290</v>
      </c>
      <c r="D359" s="3" t="s">
        <v>464</v>
      </c>
      <c r="E359" s="3" t="s">
        <v>683</v>
      </c>
      <c r="F359" s="3">
        <v>3</v>
      </c>
      <c r="G359" s="3" t="s">
        <v>8284</v>
      </c>
    </row>
    <row r="360" spans="1:7" x14ac:dyDescent="0.2">
      <c r="A360" s="3" t="s">
        <v>8642</v>
      </c>
      <c r="B360" s="3" t="s">
        <v>1904</v>
      </c>
      <c r="C360" s="3" t="s">
        <v>8280</v>
      </c>
      <c r="D360" s="3" t="s">
        <v>1446</v>
      </c>
      <c r="E360" s="3" t="s">
        <v>1446</v>
      </c>
      <c r="F360" s="3">
        <v>0</v>
      </c>
      <c r="G360" s="3" t="s">
        <v>8278</v>
      </c>
    </row>
    <row r="361" spans="1:7" x14ac:dyDescent="0.2">
      <c r="A361" s="3" t="s">
        <v>8643</v>
      </c>
      <c r="B361" s="3" t="s">
        <v>1911</v>
      </c>
      <c r="C361" s="3" t="s">
        <v>8290</v>
      </c>
      <c r="D361" s="3" t="s">
        <v>898</v>
      </c>
      <c r="E361" s="3" t="s">
        <v>822</v>
      </c>
      <c r="F361" s="3">
        <v>5</v>
      </c>
      <c r="G361" s="3" t="s">
        <v>8284</v>
      </c>
    </row>
    <row r="362" spans="1:7" x14ac:dyDescent="0.2">
      <c r="A362" s="3" t="s">
        <v>8644</v>
      </c>
      <c r="B362" s="3" t="s">
        <v>1913</v>
      </c>
      <c r="C362" s="3" t="s">
        <v>8286</v>
      </c>
      <c r="D362" s="3" t="s">
        <v>1044</v>
      </c>
      <c r="E362" s="3" t="s">
        <v>1044</v>
      </c>
      <c r="F362" s="3">
        <v>0</v>
      </c>
      <c r="G362" s="3" t="s">
        <v>8278</v>
      </c>
    </row>
    <row r="363" spans="1:7" x14ac:dyDescent="0.2">
      <c r="A363" s="3" t="s">
        <v>8645</v>
      </c>
      <c r="B363" s="3" t="s">
        <v>1923</v>
      </c>
      <c r="C363" s="3" t="s">
        <v>8280</v>
      </c>
      <c r="D363" s="3" t="s">
        <v>979</v>
      </c>
      <c r="E363" s="3" t="s">
        <v>979</v>
      </c>
      <c r="F363" s="3">
        <v>0</v>
      </c>
      <c r="G363" s="3" t="s">
        <v>8278</v>
      </c>
    </row>
    <row r="364" spans="1:7" x14ac:dyDescent="0.2">
      <c r="A364" s="3" t="s">
        <v>8646</v>
      </c>
      <c r="B364" s="3" t="s">
        <v>1924</v>
      </c>
      <c r="C364" s="3" t="s">
        <v>8280</v>
      </c>
      <c r="D364" s="3" t="s">
        <v>417</v>
      </c>
      <c r="E364" s="3" t="s">
        <v>417</v>
      </c>
      <c r="F364" s="3">
        <v>0</v>
      </c>
      <c r="G364" s="3" t="s">
        <v>8278</v>
      </c>
    </row>
    <row r="365" spans="1:7" x14ac:dyDescent="0.2">
      <c r="A365" s="3" t="s">
        <v>8647</v>
      </c>
      <c r="B365" s="3" t="s">
        <v>1926</v>
      </c>
      <c r="C365" s="3" t="s">
        <v>8290</v>
      </c>
      <c r="D365" s="3" t="s">
        <v>428</v>
      </c>
      <c r="E365" s="3" t="s">
        <v>428</v>
      </c>
      <c r="F365" s="3">
        <v>0</v>
      </c>
      <c r="G365" s="3" t="s">
        <v>8278</v>
      </c>
    </row>
    <row r="366" spans="1:7" x14ac:dyDescent="0.2">
      <c r="A366" s="3" t="s">
        <v>8648</v>
      </c>
      <c r="B366" s="3" t="s">
        <v>1928</v>
      </c>
      <c r="C366" s="3" t="s">
        <v>8277</v>
      </c>
      <c r="D366" s="3" t="s">
        <v>1063</v>
      </c>
      <c r="E366" s="3" t="s">
        <v>1063</v>
      </c>
      <c r="F366" s="3">
        <v>0</v>
      </c>
      <c r="G366" s="3" t="s">
        <v>8278</v>
      </c>
    </row>
    <row r="367" spans="1:7" x14ac:dyDescent="0.2">
      <c r="A367" s="3" t="s">
        <v>8649</v>
      </c>
      <c r="B367" s="3" t="s">
        <v>1931</v>
      </c>
      <c r="C367" s="3" t="s">
        <v>8280</v>
      </c>
      <c r="D367" s="3" t="s">
        <v>691</v>
      </c>
      <c r="E367" s="3" t="s">
        <v>691</v>
      </c>
      <c r="F367" s="3">
        <v>0</v>
      </c>
      <c r="G367" s="3" t="s">
        <v>8278</v>
      </c>
    </row>
    <row r="368" spans="1:7" x14ac:dyDescent="0.2">
      <c r="A368" s="3" t="s">
        <v>8650</v>
      </c>
      <c r="B368" s="3" t="s">
        <v>1935</v>
      </c>
      <c r="C368" s="3" t="s">
        <v>8277</v>
      </c>
      <c r="D368" s="3" t="s">
        <v>1802</v>
      </c>
      <c r="E368" s="3" t="s">
        <v>1802</v>
      </c>
      <c r="F368" s="3">
        <v>0</v>
      </c>
      <c r="G368" s="3" t="s">
        <v>8278</v>
      </c>
    </row>
    <row r="369" spans="1:7" x14ac:dyDescent="0.2">
      <c r="A369" s="3" t="s">
        <v>8651</v>
      </c>
      <c r="B369" s="3" t="s">
        <v>1938</v>
      </c>
      <c r="C369" s="3" t="s">
        <v>8282</v>
      </c>
      <c r="D369" s="3" t="s">
        <v>738</v>
      </c>
      <c r="E369" s="3" t="s">
        <v>738</v>
      </c>
      <c r="F369" s="3">
        <v>0</v>
      </c>
      <c r="G369" s="3" t="s">
        <v>8278</v>
      </c>
    </row>
    <row r="370" spans="1:7" x14ac:dyDescent="0.2">
      <c r="A370" s="3" t="s">
        <v>8652</v>
      </c>
      <c r="B370" s="3" t="s">
        <v>1939</v>
      </c>
      <c r="C370" s="3" t="s">
        <v>8288</v>
      </c>
      <c r="D370" s="3" t="s">
        <v>166</v>
      </c>
      <c r="E370" s="3" t="s">
        <v>166</v>
      </c>
      <c r="F370" s="3">
        <v>0</v>
      </c>
      <c r="G370" s="3" t="s">
        <v>8278</v>
      </c>
    </row>
    <row r="371" spans="1:7" x14ac:dyDescent="0.2">
      <c r="A371" s="3" t="s">
        <v>8653</v>
      </c>
      <c r="B371" s="3" t="s">
        <v>1947</v>
      </c>
      <c r="C371" s="3" t="s">
        <v>8286</v>
      </c>
      <c r="D371" s="3" t="s">
        <v>194</v>
      </c>
      <c r="E371" s="3" t="s">
        <v>722</v>
      </c>
      <c r="F371" s="3">
        <v>2</v>
      </c>
      <c r="G371" s="3" t="s">
        <v>8284</v>
      </c>
    </row>
    <row r="372" spans="1:7" x14ac:dyDescent="0.2">
      <c r="A372" s="3" t="s">
        <v>8654</v>
      </c>
      <c r="B372" s="3" t="s">
        <v>1951</v>
      </c>
      <c r="C372" s="3" t="s">
        <v>8286</v>
      </c>
      <c r="D372" s="3" t="s">
        <v>1314</v>
      </c>
      <c r="E372" s="3" t="s">
        <v>454</v>
      </c>
      <c r="F372" s="3">
        <v>9</v>
      </c>
      <c r="G372" s="3" t="s">
        <v>8284</v>
      </c>
    </row>
    <row r="373" spans="1:7" x14ac:dyDescent="0.2">
      <c r="A373" s="3" t="s">
        <v>8655</v>
      </c>
      <c r="B373" s="3" t="s">
        <v>1953</v>
      </c>
      <c r="C373" s="3" t="s">
        <v>8282</v>
      </c>
      <c r="D373" s="3" t="s">
        <v>349</v>
      </c>
      <c r="E373" s="3" t="s">
        <v>349</v>
      </c>
      <c r="F373" s="3">
        <v>0</v>
      </c>
      <c r="G373" s="3" t="s">
        <v>8278</v>
      </c>
    </row>
    <row r="374" spans="1:7" x14ac:dyDescent="0.2">
      <c r="A374" s="3" t="s">
        <v>8656</v>
      </c>
      <c r="B374" s="3" t="s">
        <v>1954</v>
      </c>
      <c r="C374" s="3" t="s">
        <v>8280</v>
      </c>
      <c r="D374" s="3" t="s">
        <v>621</v>
      </c>
      <c r="E374" s="3" t="s">
        <v>361</v>
      </c>
      <c r="F374" s="3">
        <v>6</v>
      </c>
      <c r="G374" s="3" t="s">
        <v>8284</v>
      </c>
    </row>
    <row r="375" spans="1:7" x14ac:dyDescent="0.2">
      <c r="A375" s="3" t="s">
        <v>8657</v>
      </c>
      <c r="B375" s="3" t="s">
        <v>1955</v>
      </c>
      <c r="C375" s="3" t="s">
        <v>8277</v>
      </c>
      <c r="D375" s="3" t="s">
        <v>1361</v>
      </c>
      <c r="E375" s="3" t="s">
        <v>492</v>
      </c>
      <c r="F375" s="3">
        <v>5</v>
      </c>
      <c r="G375" s="3" t="s">
        <v>8284</v>
      </c>
    </row>
    <row r="376" spans="1:7" x14ac:dyDescent="0.2">
      <c r="A376" s="3" t="s">
        <v>8658</v>
      </c>
      <c r="B376" s="3" t="s">
        <v>1957</v>
      </c>
      <c r="C376" s="3" t="s">
        <v>8288</v>
      </c>
      <c r="D376" s="3" t="s">
        <v>425</v>
      </c>
      <c r="E376" s="3" t="s">
        <v>425</v>
      </c>
      <c r="F376" s="3">
        <v>0</v>
      </c>
      <c r="G376" s="3" t="s">
        <v>8278</v>
      </c>
    </row>
    <row r="377" spans="1:7" x14ac:dyDescent="0.2">
      <c r="A377" s="3" t="s">
        <v>8659</v>
      </c>
      <c r="B377" s="3" t="s">
        <v>1958</v>
      </c>
      <c r="C377" s="3" t="s">
        <v>8286</v>
      </c>
      <c r="D377" s="3" t="s">
        <v>929</v>
      </c>
      <c r="E377" s="3" t="s">
        <v>439</v>
      </c>
      <c r="F377" s="3">
        <v>7</v>
      </c>
      <c r="G377" s="3" t="s">
        <v>8284</v>
      </c>
    </row>
    <row r="378" spans="1:7" x14ac:dyDescent="0.2">
      <c r="A378" s="3" t="s">
        <v>8660</v>
      </c>
      <c r="B378" s="3" t="s">
        <v>1959</v>
      </c>
      <c r="C378" s="3" t="s">
        <v>8290</v>
      </c>
      <c r="D378" s="3" t="s">
        <v>255</v>
      </c>
      <c r="E378" s="3" t="s">
        <v>394</v>
      </c>
      <c r="F378" s="3">
        <v>14</v>
      </c>
      <c r="G378" s="3" t="s">
        <v>8284</v>
      </c>
    </row>
    <row r="379" spans="1:7" x14ac:dyDescent="0.2">
      <c r="A379" s="3" t="s">
        <v>8661</v>
      </c>
      <c r="B379" s="3" t="s">
        <v>1960</v>
      </c>
      <c r="C379" s="3" t="s">
        <v>8290</v>
      </c>
      <c r="D379" s="3" t="s">
        <v>753</v>
      </c>
      <c r="E379" s="3" t="s">
        <v>753</v>
      </c>
      <c r="F379" s="3">
        <v>0</v>
      </c>
      <c r="G379" s="3" t="s">
        <v>8278</v>
      </c>
    </row>
    <row r="380" spans="1:7" x14ac:dyDescent="0.2">
      <c r="A380" s="3" t="s">
        <v>8662</v>
      </c>
      <c r="B380" s="3" t="s">
        <v>1962</v>
      </c>
      <c r="C380" s="3" t="s">
        <v>8282</v>
      </c>
      <c r="D380" s="3" t="s">
        <v>1320</v>
      </c>
      <c r="E380" s="3" t="s">
        <v>1320</v>
      </c>
      <c r="F380" s="3">
        <v>0</v>
      </c>
      <c r="G380" s="3" t="s">
        <v>8278</v>
      </c>
    </row>
    <row r="381" spans="1:7" x14ac:dyDescent="0.2">
      <c r="A381" s="3" t="s">
        <v>8663</v>
      </c>
      <c r="B381" s="3" t="s">
        <v>1968</v>
      </c>
      <c r="C381" s="3" t="s">
        <v>8288</v>
      </c>
      <c r="D381" s="3" t="s">
        <v>386</v>
      </c>
      <c r="E381" s="3" t="s">
        <v>386</v>
      </c>
      <c r="F381" s="3">
        <v>0</v>
      </c>
      <c r="G381" s="3" t="s">
        <v>8278</v>
      </c>
    </row>
    <row r="382" spans="1:7" x14ac:dyDescent="0.2">
      <c r="A382" s="3" t="s">
        <v>8664</v>
      </c>
      <c r="B382" s="3" t="s">
        <v>1970</v>
      </c>
      <c r="C382" s="3" t="s">
        <v>8280</v>
      </c>
      <c r="D382" s="3" t="s">
        <v>241</v>
      </c>
      <c r="E382" s="3" t="s">
        <v>241</v>
      </c>
      <c r="F382" s="3">
        <v>0</v>
      </c>
      <c r="G382" s="3" t="s">
        <v>8278</v>
      </c>
    </row>
    <row r="383" spans="1:7" x14ac:dyDescent="0.2">
      <c r="A383" s="3" t="s">
        <v>8665</v>
      </c>
      <c r="B383" s="3" t="s">
        <v>1975</v>
      </c>
      <c r="C383" s="3" t="s">
        <v>8290</v>
      </c>
      <c r="D383" s="3" t="s">
        <v>183</v>
      </c>
      <c r="E383" s="3" t="s">
        <v>183</v>
      </c>
      <c r="F383" s="3">
        <v>0</v>
      </c>
      <c r="G383" s="3" t="s">
        <v>8278</v>
      </c>
    </row>
    <row r="384" spans="1:7" x14ac:dyDescent="0.2">
      <c r="A384" s="3" t="s">
        <v>8666</v>
      </c>
      <c r="B384" s="3" t="s">
        <v>1977</v>
      </c>
      <c r="C384" s="3" t="s">
        <v>8290</v>
      </c>
      <c r="D384" s="3" t="s">
        <v>755</v>
      </c>
      <c r="E384" s="3" t="s">
        <v>755</v>
      </c>
      <c r="F384" s="3">
        <v>0</v>
      </c>
      <c r="G384" s="3" t="s">
        <v>8278</v>
      </c>
    </row>
    <row r="385" spans="1:7" x14ac:dyDescent="0.2">
      <c r="A385" s="3" t="s">
        <v>8667</v>
      </c>
      <c r="B385" s="3" t="s">
        <v>1981</v>
      </c>
      <c r="C385" s="3" t="s">
        <v>8288</v>
      </c>
      <c r="D385" s="3" t="s">
        <v>741</v>
      </c>
      <c r="E385" s="3" t="s">
        <v>741</v>
      </c>
      <c r="F385" s="3">
        <v>0</v>
      </c>
      <c r="G385" s="3" t="s">
        <v>8278</v>
      </c>
    </row>
    <row r="386" spans="1:7" x14ac:dyDescent="0.2">
      <c r="A386" s="3" t="s">
        <v>8668</v>
      </c>
      <c r="B386" s="3" t="s">
        <v>1985</v>
      </c>
      <c r="C386" s="3" t="s">
        <v>8277</v>
      </c>
      <c r="D386" s="3" t="s">
        <v>1624</v>
      </c>
      <c r="E386" s="3" t="s">
        <v>1218</v>
      </c>
      <c r="F386" s="3">
        <v>3</v>
      </c>
      <c r="G386" s="3" t="s">
        <v>8284</v>
      </c>
    </row>
    <row r="387" spans="1:7" x14ac:dyDescent="0.2">
      <c r="A387" s="3" t="s">
        <v>8669</v>
      </c>
      <c r="B387" s="3" t="s">
        <v>1987</v>
      </c>
      <c r="C387" s="3" t="s">
        <v>8282</v>
      </c>
      <c r="D387" s="3" t="s">
        <v>289</v>
      </c>
      <c r="E387" s="3" t="s">
        <v>289</v>
      </c>
      <c r="F387" s="3">
        <v>0</v>
      </c>
      <c r="G387" s="3" t="s">
        <v>8278</v>
      </c>
    </row>
    <row r="388" spans="1:7" x14ac:dyDescent="0.2">
      <c r="A388" s="3" t="s">
        <v>8670</v>
      </c>
      <c r="B388" s="3" t="s">
        <v>1988</v>
      </c>
      <c r="C388" s="3" t="s">
        <v>8280</v>
      </c>
      <c r="D388" s="3" t="s">
        <v>1234</v>
      </c>
      <c r="E388" s="3" t="s">
        <v>342</v>
      </c>
      <c r="F388" s="3">
        <v>12</v>
      </c>
      <c r="G388" s="3" t="s">
        <v>8284</v>
      </c>
    </row>
    <row r="389" spans="1:7" x14ac:dyDescent="0.2">
      <c r="A389" s="3" t="s">
        <v>8671</v>
      </c>
      <c r="B389" s="3" t="s">
        <v>1992</v>
      </c>
      <c r="C389" s="3" t="s">
        <v>8277</v>
      </c>
      <c r="D389" s="3" t="s">
        <v>787</v>
      </c>
      <c r="E389" s="3" t="s">
        <v>787</v>
      </c>
      <c r="F389" s="3">
        <v>0</v>
      </c>
      <c r="G389" s="3" t="s">
        <v>8278</v>
      </c>
    </row>
    <row r="390" spans="1:7" x14ac:dyDescent="0.2">
      <c r="A390" s="3" t="s">
        <v>8672</v>
      </c>
      <c r="B390" s="3" t="s">
        <v>1994</v>
      </c>
      <c r="C390" s="3" t="s">
        <v>8277</v>
      </c>
      <c r="D390" s="3" t="s">
        <v>1213</v>
      </c>
      <c r="E390" s="3" t="s">
        <v>1213</v>
      </c>
      <c r="F390" s="3">
        <v>0</v>
      </c>
      <c r="G390" s="3" t="s">
        <v>8278</v>
      </c>
    </row>
    <row r="391" spans="1:7" x14ac:dyDescent="0.2">
      <c r="A391" s="3" t="s">
        <v>8673</v>
      </c>
      <c r="B391" s="3" t="s">
        <v>2005</v>
      </c>
      <c r="C391" s="3" t="s">
        <v>8282</v>
      </c>
      <c r="D391" s="3" t="s">
        <v>2006</v>
      </c>
      <c r="E391" s="3" t="s">
        <v>2006</v>
      </c>
      <c r="F391" s="3">
        <v>0</v>
      </c>
      <c r="G391" s="3" t="s">
        <v>8278</v>
      </c>
    </row>
    <row r="392" spans="1:7" x14ac:dyDescent="0.2">
      <c r="A392" s="3" t="s">
        <v>8674</v>
      </c>
      <c r="B392" s="3" t="s">
        <v>2008</v>
      </c>
      <c r="C392" s="3" t="s">
        <v>8288</v>
      </c>
      <c r="D392" s="3" t="s">
        <v>740</v>
      </c>
      <c r="E392" s="3" t="s">
        <v>740</v>
      </c>
      <c r="F392" s="3">
        <v>0</v>
      </c>
      <c r="G392" s="3" t="s">
        <v>8278</v>
      </c>
    </row>
    <row r="393" spans="1:7" x14ac:dyDescent="0.2">
      <c r="A393" s="3" t="s">
        <v>8675</v>
      </c>
      <c r="B393" s="3" t="s">
        <v>2016</v>
      </c>
      <c r="C393" s="3" t="s">
        <v>8277</v>
      </c>
      <c r="D393" s="3" t="s">
        <v>796</v>
      </c>
      <c r="E393" s="3" t="s">
        <v>796</v>
      </c>
      <c r="F393" s="3">
        <v>0</v>
      </c>
      <c r="G393" s="3" t="s">
        <v>8278</v>
      </c>
    </row>
    <row r="394" spans="1:7" x14ac:dyDescent="0.2">
      <c r="A394" s="3" t="s">
        <v>8676</v>
      </c>
      <c r="B394" s="3" t="s">
        <v>2020</v>
      </c>
      <c r="C394" s="3" t="s">
        <v>8277</v>
      </c>
      <c r="D394" s="3" t="s">
        <v>642</v>
      </c>
      <c r="E394" s="3" t="s">
        <v>642</v>
      </c>
      <c r="F394" s="3">
        <v>0</v>
      </c>
      <c r="G394" s="3" t="s">
        <v>8278</v>
      </c>
    </row>
    <row r="395" spans="1:7" x14ac:dyDescent="0.2">
      <c r="A395" s="3" t="s">
        <v>8677</v>
      </c>
      <c r="B395" s="3" t="s">
        <v>2021</v>
      </c>
      <c r="C395" s="3" t="s">
        <v>8282</v>
      </c>
      <c r="D395" s="3" t="s">
        <v>356</v>
      </c>
      <c r="E395" s="3" t="s">
        <v>356</v>
      </c>
      <c r="F395" s="3">
        <v>0</v>
      </c>
      <c r="G395" s="3" t="s">
        <v>8278</v>
      </c>
    </row>
    <row r="396" spans="1:7" x14ac:dyDescent="0.2">
      <c r="A396" s="3" t="s">
        <v>8678</v>
      </c>
      <c r="B396" s="3" t="s">
        <v>2022</v>
      </c>
      <c r="C396" s="3" t="s">
        <v>8280</v>
      </c>
      <c r="D396" s="3" t="s">
        <v>296</v>
      </c>
      <c r="E396" s="3" t="s">
        <v>296</v>
      </c>
      <c r="F396" s="3">
        <v>0</v>
      </c>
      <c r="G396" s="3" t="s">
        <v>8278</v>
      </c>
    </row>
    <row r="397" spans="1:7" x14ac:dyDescent="0.2">
      <c r="A397" s="3" t="s">
        <v>8679</v>
      </c>
      <c r="B397" s="3" t="s">
        <v>2035</v>
      </c>
      <c r="C397" s="3" t="s">
        <v>8290</v>
      </c>
      <c r="D397" s="3" t="s">
        <v>484</v>
      </c>
      <c r="E397" s="3" t="s">
        <v>484</v>
      </c>
      <c r="F397" s="3">
        <v>0</v>
      </c>
      <c r="G397" s="3" t="s">
        <v>8278</v>
      </c>
    </row>
    <row r="398" spans="1:7" x14ac:dyDescent="0.2">
      <c r="A398" s="3" t="s">
        <v>8680</v>
      </c>
      <c r="B398" s="3" t="s">
        <v>2036</v>
      </c>
      <c r="C398" s="3" t="s">
        <v>8277</v>
      </c>
      <c r="D398" s="3" t="s">
        <v>1283</v>
      </c>
      <c r="E398" s="3" t="s">
        <v>1283</v>
      </c>
      <c r="F398" s="3">
        <v>0</v>
      </c>
      <c r="G398" s="3" t="s">
        <v>8278</v>
      </c>
    </row>
    <row r="399" spans="1:7" x14ac:dyDescent="0.2">
      <c r="A399" s="3" t="s">
        <v>8681</v>
      </c>
      <c r="B399" s="3" t="s">
        <v>2038</v>
      </c>
      <c r="C399" s="3" t="s">
        <v>8280</v>
      </c>
      <c r="D399" s="3" t="s">
        <v>375</v>
      </c>
      <c r="E399" s="3" t="s">
        <v>375</v>
      </c>
      <c r="F399" s="3">
        <v>0</v>
      </c>
      <c r="G399" s="3" t="s">
        <v>8278</v>
      </c>
    </row>
    <row r="400" spans="1:7" x14ac:dyDescent="0.2">
      <c r="A400" s="3" t="s">
        <v>8682</v>
      </c>
      <c r="B400" s="3" t="s">
        <v>2045</v>
      </c>
      <c r="C400" s="3" t="s">
        <v>8282</v>
      </c>
      <c r="D400" s="3" t="s">
        <v>198</v>
      </c>
      <c r="E400" s="3" t="s">
        <v>198</v>
      </c>
      <c r="F400" s="3">
        <v>0</v>
      </c>
      <c r="G400" s="3" t="s">
        <v>8278</v>
      </c>
    </row>
    <row r="401" spans="1:7" x14ac:dyDescent="0.2">
      <c r="A401" s="3" t="s">
        <v>8683</v>
      </c>
      <c r="B401" s="3" t="s">
        <v>2046</v>
      </c>
      <c r="C401" s="3" t="s">
        <v>8286</v>
      </c>
      <c r="D401" s="3" t="s">
        <v>849</v>
      </c>
      <c r="E401" s="3" t="s">
        <v>849</v>
      </c>
      <c r="F401" s="3">
        <v>0</v>
      </c>
      <c r="G401" s="3" t="s">
        <v>8278</v>
      </c>
    </row>
    <row r="402" spans="1:7" x14ac:dyDescent="0.2">
      <c r="A402" s="3" t="s">
        <v>8684</v>
      </c>
      <c r="B402" s="3" t="s">
        <v>2049</v>
      </c>
      <c r="C402" s="3" t="s">
        <v>8290</v>
      </c>
      <c r="D402" s="3" t="s">
        <v>1289</v>
      </c>
      <c r="E402" s="3" t="s">
        <v>1289</v>
      </c>
      <c r="F402" s="3">
        <v>0</v>
      </c>
      <c r="G402" s="3" t="s">
        <v>8278</v>
      </c>
    </row>
    <row r="403" spans="1:7" x14ac:dyDescent="0.2">
      <c r="A403" s="3" t="s">
        <v>8685</v>
      </c>
      <c r="B403" s="3" t="s">
        <v>2052</v>
      </c>
      <c r="C403" s="3" t="s">
        <v>8288</v>
      </c>
      <c r="D403" s="3" t="s">
        <v>289</v>
      </c>
      <c r="E403" s="3" t="s">
        <v>941</v>
      </c>
      <c r="F403" s="3">
        <v>13</v>
      </c>
      <c r="G403" s="3" t="s">
        <v>8284</v>
      </c>
    </row>
    <row r="404" spans="1:7" x14ac:dyDescent="0.2">
      <c r="A404" s="3" t="s">
        <v>8686</v>
      </c>
      <c r="B404" s="3" t="s">
        <v>2055</v>
      </c>
      <c r="C404" s="3" t="s">
        <v>8286</v>
      </c>
      <c r="D404" s="3" t="s">
        <v>1152</v>
      </c>
      <c r="E404" s="3" t="s">
        <v>192</v>
      </c>
      <c r="F404" s="3">
        <v>7</v>
      </c>
      <c r="G404" s="3" t="s">
        <v>8284</v>
      </c>
    </row>
    <row r="405" spans="1:7" x14ac:dyDescent="0.2">
      <c r="A405" s="3" t="s">
        <v>8687</v>
      </c>
      <c r="B405" s="3" t="s">
        <v>2060</v>
      </c>
      <c r="C405" s="3" t="s">
        <v>8290</v>
      </c>
      <c r="D405" s="3" t="s">
        <v>431</v>
      </c>
      <c r="E405" s="3" t="s">
        <v>431</v>
      </c>
      <c r="F405" s="3">
        <v>0</v>
      </c>
      <c r="G405" s="3" t="s">
        <v>8278</v>
      </c>
    </row>
    <row r="406" spans="1:7" x14ac:dyDescent="0.2">
      <c r="A406" s="3" t="s">
        <v>8688</v>
      </c>
      <c r="B406" s="3" t="s">
        <v>2061</v>
      </c>
      <c r="C406" s="3" t="s">
        <v>8288</v>
      </c>
      <c r="D406" s="3" t="s">
        <v>451</v>
      </c>
      <c r="E406" s="3" t="s">
        <v>451</v>
      </c>
      <c r="F406" s="3">
        <v>0</v>
      </c>
      <c r="G406" s="3" t="s">
        <v>8278</v>
      </c>
    </row>
    <row r="407" spans="1:7" x14ac:dyDescent="0.2">
      <c r="A407" s="3" t="s">
        <v>8689</v>
      </c>
      <c r="B407" s="3" t="s">
        <v>2062</v>
      </c>
      <c r="C407" s="3" t="s">
        <v>8290</v>
      </c>
      <c r="D407" s="3" t="s">
        <v>261</v>
      </c>
      <c r="E407" s="3" t="s">
        <v>261</v>
      </c>
      <c r="F407" s="3">
        <v>0</v>
      </c>
      <c r="G407" s="3" t="s">
        <v>8278</v>
      </c>
    </row>
    <row r="408" spans="1:7" x14ac:dyDescent="0.2">
      <c r="A408" s="3" t="s">
        <v>8690</v>
      </c>
      <c r="B408" s="3" t="s">
        <v>2063</v>
      </c>
      <c r="C408" s="3" t="s">
        <v>8277</v>
      </c>
      <c r="D408" s="3" t="s">
        <v>1063</v>
      </c>
      <c r="E408" s="3" t="s">
        <v>1063</v>
      </c>
      <c r="F408" s="3">
        <v>0</v>
      </c>
      <c r="G408" s="3" t="s">
        <v>8278</v>
      </c>
    </row>
    <row r="409" spans="1:7" x14ac:dyDescent="0.2">
      <c r="A409" s="3" t="s">
        <v>8691</v>
      </c>
      <c r="B409" s="3" t="s">
        <v>2064</v>
      </c>
      <c r="C409" s="3" t="s">
        <v>8282</v>
      </c>
      <c r="D409" s="3" t="s">
        <v>372</v>
      </c>
      <c r="E409" s="3" t="s">
        <v>372</v>
      </c>
      <c r="F409" s="3">
        <v>0</v>
      </c>
      <c r="G409" s="3" t="s">
        <v>8278</v>
      </c>
    </row>
    <row r="410" spans="1:7" x14ac:dyDescent="0.2">
      <c r="A410" s="3" t="s">
        <v>8692</v>
      </c>
      <c r="B410" s="3" t="s">
        <v>2065</v>
      </c>
      <c r="C410" s="3" t="s">
        <v>8277</v>
      </c>
      <c r="D410" s="3" t="s">
        <v>639</v>
      </c>
      <c r="E410" s="3" t="s">
        <v>639</v>
      </c>
      <c r="F410" s="3">
        <v>0</v>
      </c>
      <c r="G410" s="3" t="s">
        <v>8278</v>
      </c>
    </row>
    <row r="411" spans="1:7" x14ac:dyDescent="0.2">
      <c r="A411" s="3" t="s">
        <v>8693</v>
      </c>
      <c r="B411" s="3" t="s">
        <v>2066</v>
      </c>
      <c r="C411" s="3" t="s">
        <v>8286</v>
      </c>
      <c r="D411" s="3" t="s">
        <v>1167</v>
      </c>
      <c r="E411" s="3" t="s">
        <v>1167</v>
      </c>
      <c r="F411" s="3">
        <v>0</v>
      </c>
      <c r="G411" s="3" t="s">
        <v>8278</v>
      </c>
    </row>
    <row r="412" spans="1:7" x14ac:dyDescent="0.2">
      <c r="A412" s="3" t="s">
        <v>8694</v>
      </c>
      <c r="B412" s="3" t="s">
        <v>2070</v>
      </c>
      <c r="C412" s="3" t="s">
        <v>8277</v>
      </c>
      <c r="D412" s="3" t="s">
        <v>1042</v>
      </c>
      <c r="E412" s="3" t="s">
        <v>1042</v>
      </c>
      <c r="F412" s="3">
        <v>0</v>
      </c>
      <c r="G412" s="3" t="s">
        <v>8278</v>
      </c>
    </row>
    <row r="413" spans="1:7" x14ac:dyDescent="0.2">
      <c r="A413" s="3" t="s">
        <v>8695</v>
      </c>
      <c r="B413" s="3" t="s">
        <v>2072</v>
      </c>
      <c r="C413" s="3" t="s">
        <v>8277</v>
      </c>
      <c r="D413" s="3" t="s">
        <v>467</v>
      </c>
      <c r="E413" s="3" t="s">
        <v>467</v>
      </c>
      <c r="F413" s="3">
        <v>0</v>
      </c>
      <c r="G413" s="3" t="s">
        <v>8278</v>
      </c>
    </row>
    <row r="414" spans="1:7" x14ac:dyDescent="0.2">
      <c r="A414" s="3" t="s">
        <v>8696</v>
      </c>
      <c r="B414" s="3" t="s">
        <v>2076</v>
      </c>
      <c r="C414" s="3" t="s">
        <v>8280</v>
      </c>
      <c r="D414" s="3" t="s">
        <v>627</v>
      </c>
      <c r="E414" s="3" t="s">
        <v>627</v>
      </c>
      <c r="F414" s="3">
        <v>0</v>
      </c>
      <c r="G414" s="3" t="s">
        <v>8278</v>
      </c>
    </row>
    <row r="415" spans="1:7" x14ac:dyDescent="0.2">
      <c r="A415" s="3" t="s">
        <v>8697</v>
      </c>
      <c r="B415" s="3" t="s">
        <v>2081</v>
      </c>
      <c r="C415" s="3" t="s">
        <v>8288</v>
      </c>
      <c r="D415" s="3" t="s">
        <v>2012</v>
      </c>
      <c r="E415" s="3" t="s">
        <v>2012</v>
      </c>
      <c r="F415" s="3">
        <v>0</v>
      </c>
      <c r="G415" s="3" t="s">
        <v>8278</v>
      </c>
    </row>
    <row r="416" spans="1:7" x14ac:dyDescent="0.2">
      <c r="A416" s="3" t="s">
        <v>8698</v>
      </c>
      <c r="B416" s="3" t="s">
        <v>2083</v>
      </c>
      <c r="C416" s="3" t="s">
        <v>8288</v>
      </c>
      <c r="D416" s="3" t="s">
        <v>592</v>
      </c>
      <c r="E416" s="3" t="s">
        <v>1081</v>
      </c>
      <c r="F416" s="3">
        <v>12</v>
      </c>
      <c r="G416" s="3" t="s">
        <v>8284</v>
      </c>
    </row>
    <row r="417" spans="1:7" x14ac:dyDescent="0.2">
      <c r="A417" s="3" t="s">
        <v>8699</v>
      </c>
      <c r="B417" s="3" t="s">
        <v>2086</v>
      </c>
      <c r="C417" s="3" t="s">
        <v>8280</v>
      </c>
      <c r="D417" s="3" t="s">
        <v>332</v>
      </c>
      <c r="E417" s="3" t="s">
        <v>332</v>
      </c>
      <c r="F417" s="3">
        <v>0</v>
      </c>
      <c r="G417" s="3" t="s">
        <v>8278</v>
      </c>
    </row>
    <row r="418" spans="1:7" x14ac:dyDescent="0.2">
      <c r="A418" s="3" t="s">
        <v>8700</v>
      </c>
      <c r="B418" s="3" t="s">
        <v>2087</v>
      </c>
      <c r="C418" s="3" t="s">
        <v>8280</v>
      </c>
      <c r="D418" s="3" t="s">
        <v>466</v>
      </c>
      <c r="E418" s="3" t="s">
        <v>466</v>
      </c>
      <c r="F418" s="3">
        <v>0</v>
      </c>
      <c r="G418" s="3" t="s">
        <v>8278</v>
      </c>
    </row>
    <row r="419" spans="1:7" x14ac:dyDescent="0.2">
      <c r="A419" s="3" t="s">
        <v>8701</v>
      </c>
      <c r="B419" s="3" t="s">
        <v>2089</v>
      </c>
      <c r="C419" s="3" t="s">
        <v>8282</v>
      </c>
      <c r="D419" s="3" t="s">
        <v>628</v>
      </c>
      <c r="E419" s="3" t="s">
        <v>628</v>
      </c>
      <c r="F419" s="3">
        <v>0</v>
      </c>
      <c r="G419" s="3" t="s">
        <v>8278</v>
      </c>
    </row>
    <row r="420" spans="1:7" x14ac:dyDescent="0.2">
      <c r="A420" s="3" t="s">
        <v>8702</v>
      </c>
      <c r="B420" s="3" t="s">
        <v>2094</v>
      </c>
      <c r="C420" s="3" t="s">
        <v>8286</v>
      </c>
      <c r="D420" s="3" t="s">
        <v>774</v>
      </c>
      <c r="E420" s="3" t="s">
        <v>774</v>
      </c>
      <c r="F420" s="3">
        <v>0</v>
      </c>
      <c r="G420" s="3" t="s">
        <v>8278</v>
      </c>
    </row>
    <row r="421" spans="1:7" x14ac:dyDescent="0.2">
      <c r="A421" s="3" t="s">
        <v>8703</v>
      </c>
      <c r="B421" s="3" t="s">
        <v>2099</v>
      </c>
      <c r="C421" s="3" t="s">
        <v>8280</v>
      </c>
      <c r="D421" s="3" t="s">
        <v>1320</v>
      </c>
      <c r="E421" s="3" t="s">
        <v>1089</v>
      </c>
      <c r="F421" s="3">
        <v>6</v>
      </c>
      <c r="G421" s="3" t="s">
        <v>8284</v>
      </c>
    </row>
    <row r="422" spans="1:7" x14ac:dyDescent="0.2">
      <c r="A422" s="3" t="s">
        <v>8704</v>
      </c>
      <c r="B422" s="3" t="s">
        <v>2103</v>
      </c>
      <c r="C422" s="3" t="s">
        <v>8290</v>
      </c>
      <c r="D422" s="3" t="s">
        <v>1318</v>
      </c>
      <c r="E422" s="3" t="s">
        <v>1318</v>
      </c>
      <c r="F422" s="3">
        <v>0</v>
      </c>
      <c r="G422" s="3" t="s">
        <v>8278</v>
      </c>
    </row>
    <row r="423" spans="1:7" x14ac:dyDescent="0.2">
      <c r="A423" s="3" t="s">
        <v>8705</v>
      </c>
      <c r="B423" s="3" t="s">
        <v>2106</v>
      </c>
      <c r="C423" s="3" t="s">
        <v>8290</v>
      </c>
      <c r="D423" s="3" t="s">
        <v>424</v>
      </c>
      <c r="E423" s="3" t="s">
        <v>1118</v>
      </c>
      <c r="F423" s="3">
        <v>5</v>
      </c>
      <c r="G423" s="3" t="s">
        <v>8284</v>
      </c>
    </row>
    <row r="424" spans="1:7" x14ac:dyDescent="0.2">
      <c r="A424" s="3" t="s">
        <v>8706</v>
      </c>
      <c r="B424" s="3" t="s">
        <v>2111</v>
      </c>
      <c r="C424" s="3" t="s">
        <v>8280</v>
      </c>
      <c r="D424" s="3" t="s">
        <v>575</v>
      </c>
      <c r="E424" s="3" t="s">
        <v>575</v>
      </c>
      <c r="F424" s="3">
        <v>0</v>
      </c>
      <c r="G424" s="3" t="s">
        <v>8278</v>
      </c>
    </row>
    <row r="425" spans="1:7" x14ac:dyDescent="0.2">
      <c r="A425" s="3" t="s">
        <v>8707</v>
      </c>
      <c r="B425" s="3" t="s">
        <v>2122</v>
      </c>
      <c r="C425" s="3" t="s">
        <v>8282</v>
      </c>
      <c r="D425" s="3" t="s">
        <v>1191</v>
      </c>
      <c r="E425" s="3" t="s">
        <v>1191</v>
      </c>
      <c r="F425" s="3">
        <v>0</v>
      </c>
      <c r="G425" s="3" t="s">
        <v>8278</v>
      </c>
    </row>
    <row r="426" spans="1:7" x14ac:dyDescent="0.2">
      <c r="A426" s="3" t="s">
        <v>8708</v>
      </c>
      <c r="B426" s="3" t="s">
        <v>2123</v>
      </c>
      <c r="C426" s="3" t="s">
        <v>8277</v>
      </c>
      <c r="D426" s="3" t="s">
        <v>161</v>
      </c>
      <c r="E426" s="3" t="s">
        <v>161</v>
      </c>
      <c r="F426" s="3">
        <v>0</v>
      </c>
      <c r="G426" s="3" t="s">
        <v>8278</v>
      </c>
    </row>
    <row r="427" spans="1:7" x14ac:dyDescent="0.2">
      <c r="A427" s="3" t="s">
        <v>8709</v>
      </c>
      <c r="B427" s="3" t="s">
        <v>2127</v>
      </c>
      <c r="C427" s="3" t="s">
        <v>8277</v>
      </c>
      <c r="D427" s="3" t="s">
        <v>381</v>
      </c>
      <c r="E427" s="3" t="s">
        <v>381</v>
      </c>
      <c r="F427" s="3">
        <v>0</v>
      </c>
      <c r="G427" s="3" t="s">
        <v>8278</v>
      </c>
    </row>
    <row r="428" spans="1:7" x14ac:dyDescent="0.2">
      <c r="A428" s="3" t="s">
        <v>8710</v>
      </c>
      <c r="B428" s="3" t="s">
        <v>2128</v>
      </c>
      <c r="C428" s="3" t="s">
        <v>8288</v>
      </c>
      <c r="D428" s="3" t="s">
        <v>607</v>
      </c>
      <c r="E428" s="3" t="s">
        <v>607</v>
      </c>
      <c r="F428" s="3">
        <v>0</v>
      </c>
      <c r="G428" s="3" t="s">
        <v>8278</v>
      </c>
    </row>
    <row r="429" spans="1:7" x14ac:dyDescent="0.2">
      <c r="A429" s="3" t="s">
        <v>8711</v>
      </c>
      <c r="B429" s="3" t="s">
        <v>2131</v>
      </c>
      <c r="C429" s="3" t="s">
        <v>8282</v>
      </c>
      <c r="D429" s="3" t="s">
        <v>559</v>
      </c>
      <c r="E429" s="3" t="s">
        <v>559</v>
      </c>
      <c r="F429" s="3">
        <v>0</v>
      </c>
      <c r="G429" s="3" t="s">
        <v>8278</v>
      </c>
    </row>
    <row r="430" spans="1:7" x14ac:dyDescent="0.2">
      <c r="A430" s="3" t="s">
        <v>8712</v>
      </c>
      <c r="B430" s="3" t="s">
        <v>2132</v>
      </c>
      <c r="C430" s="3" t="s">
        <v>8288</v>
      </c>
      <c r="D430" s="3" t="s">
        <v>159</v>
      </c>
      <c r="E430" s="3" t="s">
        <v>513</v>
      </c>
      <c r="F430" s="3">
        <v>9</v>
      </c>
      <c r="G430" s="3" t="s">
        <v>8284</v>
      </c>
    </row>
    <row r="431" spans="1:7" x14ac:dyDescent="0.2">
      <c r="A431" s="3" t="s">
        <v>8713</v>
      </c>
      <c r="B431" s="3" t="s">
        <v>2137</v>
      </c>
      <c r="C431" s="3" t="s">
        <v>8290</v>
      </c>
      <c r="D431" s="3" t="s">
        <v>1522</v>
      </c>
      <c r="E431" s="3" t="s">
        <v>1522</v>
      </c>
      <c r="F431" s="3">
        <v>0</v>
      </c>
      <c r="G431" s="3" t="s">
        <v>8278</v>
      </c>
    </row>
    <row r="432" spans="1:7" x14ac:dyDescent="0.2">
      <c r="A432" s="3" t="s">
        <v>8714</v>
      </c>
      <c r="B432" s="3" t="s">
        <v>2141</v>
      </c>
      <c r="C432" s="3" t="s">
        <v>8277</v>
      </c>
      <c r="D432" s="3" t="s">
        <v>951</v>
      </c>
      <c r="E432" s="3" t="s">
        <v>951</v>
      </c>
      <c r="F432" s="3">
        <v>0</v>
      </c>
      <c r="G432" s="3" t="s">
        <v>8278</v>
      </c>
    </row>
    <row r="433" spans="1:7" x14ac:dyDescent="0.2">
      <c r="A433" s="3" t="s">
        <v>8715</v>
      </c>
      <c r="B433" s="3" t="s">
        <v>2145</v>
      </c>
      <c r="C433" s="3" t="s">
        <v>8280</v>
      </c>
      <c r="D433" s="3" t="s">
        <v>1151</v>
      </c>
      <c r="E433" s="3" t="s">
        <v>1151</v>
      </c>
      <c r="F433" s="3">
        <v>0</v>
      </c>
      <c r="G433" s="3" t="s">
        <v>8278</v>
      </c>
    </row>
    <row r="434" spans="1:7" x14ac:dyDescent="0.2">
      <c r="A434" s="3" t="s">
        <v>8716</v>
      </c>
      <c r="B434" s="3" t="s">
        <v>2147</v>
      </c>
      <c r="C434" s="3" t="s">
        <v>8290</v>
      </c>
      <c r="D434" s="3" t="s">
        <v>326</v>
      </c>
      <c r="E434" s="3" t="s">
        <v>326</v>
      </c>
      <c r="F434" s="3">
        <v>0</v>
      </c>
      <c r="G434" s="3" t="s">
        <v>8278</v>
      </c>
    </row>
    <row r="435" spans="1:7" x14ac:dyDescent="0.2">
      <c r="A435" s="3" t="s">
        <v>8717</v>
      </c>
      <c r="B435" s="3" t="s">
        <v>2149</v>
      </c>
      <c r="C435" s="3" t="s">
        <v>8277</v>
      </c>
      <c r="D435" s="3" t="s">
        <v>762</v>
      </c>
      <c r="E435" s="3" t="s">
        <v>762</v>
      </c>
      <c r="F435" s="3">
        <v>0</v>
      </c>
      <c r="G435" s="3" t="s">
        <v>8278</v>
      </c>
    </row>
    <row r="436" spans="1:7" x14ac:dyDescent="0.2">
      <c r="A436" s="3" t="s">
        <v>8718</v>
      </c>
      <c r="B436" s="3" t="s">
        <v>2151</v>
      </c>
      <c r="C436" s="3" t="s">
        <v>8288</v>
      </c>
      <c r="D436" s="3" t="s">
        <v>174</v>
      </c>
      <c r="E436" s="3" t="s">
        <v>174</v>
      </c>
      <c r="F436" s="3">
        <v>0</v>
      </c>
      <c r="G436" s="3" t="s">
        <v>8278</v>
      </c>
    </row>
    <row r="437" spans="1:7" x14ac:dyDescent="0.2">
      <c r="A437" s="3" t="s">
        <v>8719</v>
      </c>
      <c r="B437" s="3" t="s">
        <v>2153</v>
      </c>
      <c r="C437" s="3" t="s">
        <v>8290</v>
      </c>
      <c r="D437" s="3" t="s">
        <v>787</v>
      </c>
      <c r="E437" s="3" t="s">
        <v>294</v>
      </c>
      <c r="F437" s="3">
        <v>2</v>
      </c>
      <c r="G437" s="3" t="s">
        <v>8284</v>
      </c>
    </row>
    <row r="438" spans="1:7" x14ac:dyDescent="0.2">
      <c r="A438" s="3" t="s">
        <v>8720</v>
      </c>
      <c r="B438" s="3" t="s">
        <v>2160</v>
      </c>
      <c r="C438" s="3" t="s">
        <v>8282</v>
      </c>
      <c r="D438" s="3" t="s">
        <v>325</v>
      </c>
      <c r="E438" s="3" t="s">
        <v>325</v>
      </c>
      <c r="F438" s="3">
        <v>0</v>
      </c>
      <c r="G438" s="3" t="s">
        <v>8278</v>
      </c>
    </row>
    <row r="439" spans="1:7" x14ac:dyDescent="0.2">
      <c r="A439" s="3" t="s">
        <v>8721</v>
      </c>
      <c r="B439" s="3" t="s">
        <v>2164</v>
      </c>
      <c r="C439" s="3" t="s">
        <v>8277</v>
      </c>
      <c r="D439" s="3" t="s">
        <v>846</v>
      </c>
      <c r="E439" s="3" t="s">
        <v>846</v>
      </c>
      <c r="F439" s="3">
        <v>0</v>
      </c>
      <c r="G439" s="3" t="s">
        <v>8278</v>
      </c>
    </row>
    <row r="440" spans="1:7" x14ac:dyDescent="0.2">
      <c r="A440" s="3" t="s">
        <v>8722</v>
      </c>
      <c r="B440" s="3" t="s">
        <v>2166</v>
      </c>
      <c r="C440" s="3" t="s">
        <v>8280</v>
      </c>
      <c r="D440" s="3" t="s">
        <v>687</v>
      </c>
      <c r="E440" s="3" t="s">
        <v>687</v>
      </c>
      <c r="F440" s="3">
        <v>0</v>
      </c>
      <c r="G440" s="3" t="s">
        <v>8278</v>
      </c>
    </row>
    <row r="441" spans="1:7" x14ac:dyDescent="0.2">
      <c r="A441" s="3" t="s">
        <v>8723</v>
      </c>
      <c r="B441" s="3" t="s">
        <v>2167</v>
      </c>
      <c r="C441" s="3" t="s">
        <v>8282</v>
      </c>
      <c r="D441" s="3" t="s">
        <v>703</v>
      </c>
      <c r="E441" s="3" t="s">
        <v>703</v>
      </c>
      <c r="F441" s="3">
        <v>0</v>
      </c>
      <c r="G441" s="3" t="s">
        <v>8278</v>
      </c>
    </row>
    <row r="442" spans="1:7" x14ac:dyDescent="0.2">
      <c r="A442" s="3" t="s">
        <v>8724</v>
      </c>
      <c r="B442" s="3" t="s">
        <v>2169</v>
      </c>
      <c r="C442" s="3" t="s">
        <v>8282</v>
      </c>
      <c r="D442" s="3" t="s">
        <v>345</v>
      </c>
      <c r="E442" s="3" t="s">
        <v>345</v>
      </c>
      <c r="F442" s="3">
        <v>0</v>
      </c>
      <c r="G442" s="3" t="s">
        <v>8278</v>
      </c>
    </row>
    <row r="443" spans="1:7" x14ac:dyDescent="0.2">
      <c r="A443" s="3" t="s">
        <v>8725</v>
      </c>
      <c r="B443" s="3" t="s">
        <v>2170</v>
      </c>
      <c r="C443" s="3" t="s">
        <v>8286</v>
      </c>
      <c r="D443" s="3" t="s">
        <v>973</v>
      </c>
      <c r="E443" s="3" t="s">
        <v>973</v>
      </c>
      <c r="F443" s="3">
        <v>0</v>
      </c>
      <c r="G443" s="3" t="s">
        <v>8278</v>
      </c>
    </row>
    <row r="444" spans="1:7" x14ac:dyDescent="0.2">
      <c r="A444" s="3" t="s">
        <v>8726</v>
      </c>
      <c r="B444" s="3" t="s">
        <v>2172</v>
      </c>
      <c r="C444" s="3" t="s">
        <v>8277</v>
      </c>
      <c r="D444" s="3" t="s">
        <v>190</v>
      </c>
      <c r="E444" s="3" t="s">
        <v>190</v>
      </c>
      <c r="F444" s="3">
        <v>0</v>
      </c>
      <c r="G444" s="3" t="s">
        <v>8278</v>
      </c>
    </row>
    <row r="445" spans="1:7" x14ac:dyDescent="0.2">
      <c r="A445" s="3" t="s">
        <v>8727</v>
      </c>
      <c r="B445" s="3" t="s">
        <v>2173</v>
      </c>
      <c r="C445" s="3" t="s">
        <v>8277</v>
      </c>
      <c r="D445" s="3" t="s">
        <v>238</v>
      </c>
      <c r="E445" s="3" t="s">
        <v>238</v>
      </c>
      <c r="F445" s="3">
        <v>0</v>
      </c>
      <c r="G445" s="3" t="s">
        <v>8278</v>
      </c>
    </row>
    <row r="446" spans="1:7" x14ac:dyDescent="0.2">
      <c r="A446" s="3" t="s">
        <v>8728</v>
      </c>
      <c r="B446" s="3" t="s">
        <v>2182</v>
      </c>
      <c r="C446" s="3" t="s">
        <v>8286</v>
      </c>
      <c r="D446" s="3" t="s">
        <v>713</v>
      </c>
      <c r="E446" s="3" t="s">
        <v>640</v>
      </c>
      <c r="F446" s="3">
        <v>5</v>
      </c>
      <c r="G446" s="3" t="s">
        <v>8284</v>
      </c>
    </row>
    <row r="447" spans="1:7" x14ac:dyDescent="0.2">
      <c r="A447" s="3" t="s">
        <v>8729</v>
      </c>
      <c r="B447" s="3" t="s">
        <v>2183</v>
      </c>
      <c r="C447" s="3" t="s">
        <v>8282</v>
      </c>
      <c r="D447" s="3" t="s">
        <v>1238</v>
      </c>
      <c r="E447" s="3" t="s">
        <v>1238</v>
      </c>
      <c r="F447" s="3">
        <v>0</v>
      </c>
      <c r="G447" s="3" t="s">
        <v>8278</v>
      </c>
    </row>
    <row r="448" spans="1:7" x14ac:dyDescent="0.2">
      <c r="A448" s="3" t="s">
        <v>8730</v>
      </c>
      <c r="B448" s="3" t="s">
        <v>2187</v>
      </c>
      <c r="C448" s="3" t="s">
        <v>8282</v>
      </c>
      <c r="D448" s="3" t="s">
        <v>697</v>
      </c>
      <c r="E448" s="3" t="s">
        <v>413</v>
      </c>
      <c r="F448" s="3">
        <v>14</v>
      </c>
      <c r="G448" s="3" t="s">
        <v>8284</v>
      </c>
    </row>
    <row r="449" spans="1:7" x14ac:dyDescent="0.2">
      <c r="A449" s="3" t="s">
        <v>8731</v>
      </c>
      <c r="B449" s="3" t="s">
        <v>2195</v>
      </c>
      <c r="C449" s="3" t="s">
        <v>8277</v>
      </c>
      <c r="D449" s="3" t="s">
        <v>1178</v>
      </c>
      <c r="E449" s="3" t="s">
        <v>1178</v>
      </c>
      <c r="F449" s="3">
        <v>0</v>
      </c>
      <c r="G449" s="3" t="s">
        <v>8278</v>
      </c>
    </row>
    <row r="450" spans="1:7" x14ac:dyDescent="0.2">
      <c r="A450" s="3" t="s">
        <v>8732</v>
      </c>
      <c r="B450" s="3" t="s">
        <v>2197</v>
      </c>
      <c r="C450" s="3" t="s">
        <v>8280</v>
      </c>
      <c r="D450" s="3" t="s">
        <v>914</v>
      </c>
      <c r="E450" s="3" t="s">
        <v>914</v>
      </c>
      <c r="F450" s="3">
        <v>0</v>
      </c>
      <c r="G450" s="3" t="s">
        <v>8278</v>
      </c>
    </row>
    <row r="451" spans="1:7" x14ac:dyDescent="0.2">
      <c r="A451" s="3" t="s">
        <v>8733</v>
      </c>
      <c r="B451" s="3" t="s">
        <v>2198</v>
      </c>
      <c r="C451" s="3" t="s">
        <v>8280</v>
      </c>
      <c r="D451" s="3" t="s">
        <v>1186</v>
      </c>
      <c r="E451" s="3" t="s">
        <v>871</v>
      </c>
      <c r="F451" s="3">
        <v>7</v>
      </c>
      <c r="G451" s="3" t="s">
        <v>8284</v>
      </c>
    </row>
    <row r="452" spans="1:7" x14ac:dyDescent="0.2">
      <c r="A452" s="3" t="s">
        <v>8734</v>
      </c>
      <c r="B452" s="3" t="s">
        <v>2199</v>
      </c>
      <c r="C452" s="3" t="s">
        <v>8282</v>
      </c>
      <c r="D452" s="3" t="s">
        <v>643</v>
      </c>
      <c r="E452" s="3" t="s">
        <v>1320</v>
      </c>
      <c r="F452" s="3">
        <v>4</v>
      </c>
      <c r="G452" s="3" t="s">
        <v>8284</v>
      </c>
    </row>
    <row r="453" spans="1:7" x14ac:dyDescent="0.2">
      <c r="A453" s="3" t="s">
        <v>8735</v>
      </c>
      <c r="B453" s="3" t="s">
        <v>2201</v>
      </c>
      <c r="C453" s="3" t="s">
        <v>8290</v>
      </c>
      <c r="D453" s="3" t="s">
        <v>187</v>
      </c>
      <c r="E453" s="3" t="s">
        <v>187</v>
      </c>
      <c r="F453" s="3">
        <v>0</v>
      </c>
      <c r="G453" s="3" t="s">
        <v>8278</v>
      </c>
    </row>
    <row r="454" spans="1:7" x14ac:dyDescent="0.2">
      <c r="A454" s="3" t="s">
        <v>8736</v>
      </c>
      <c r="B454" s="3" t="s">
        <v>2204</v>
      </c>
      <c r="C454" s="3" t="s">
        <v>8286</v>
      </c>
      <c r="D454" s="3" t="s">
        <v>709</v>
      </c>
      <c r="E454" s="3" t="s">
        <v>709</v>
      </c>
      <c r="F454" s="3">
        <v>0</v>
      </c>
      <c r="G454" s="3" t="s">
        <v>8278</v>
      </c>
    </row>
    <row r="455" spans="1:7" x14ac:dyDescent="0.2">
      <c r="A455" s="3" t="s">
        <v>8737</v>
      </c>
      <c r="B455" s="3" t="s">
        <v>2206</v>
      </c>
      <c r="C455" s="3" t="s">
        <v>8282</v>
      </c>
      <c r="D455" s="3" t="s">
        <v>914</v>
      </c>
      <c r="E455" s="3" t="s">
        <v>914</v>
      </c>
      <c r="F455" s="3">
        <v>0</v>
      </c>
      <c r="G455" s="3" t="s">
        <v>8278</v>
      </c>
    </row>
    <row r="456" spans="1:7" x14ac:dyDescent="0.2">
      <c r="A456" s="3" t="s">
        <v>8738</v>
      </c>
      <c r="B456" s="3" t="s">
        <v>2208</v>
      </c>
      <c r="C456" s="3" t="s">
        <v>8277</v>
      </c>
      <c r="D456" s="3" t="s">
        <v>784</v>
      </c>
      <c r="E456" s="3" t="s">
        <v>784</v>
      </c>
      <c r="F456" s="3">
        <v>0</v>
      </c>
      <c r="G456" s="3" t="s">
        <v>8278</v>
      </c>
    </row>
    <row r="457" spans="1:7" x14ac:dyDescent="0.2">
      <c r="A457" s="3" t="s">
        <v>8739</v>
      </c>
      <c r="B457" s="3" t="s">
        <v>2210</v>
      </c>
      <c r="C457" s="3" t="s">
        <v>8290</v>
      </c>
      <c r="D457" s="3" t="s">
        <v>255</v>
      </c>
      <c r="E457" s="3" t="s">
        <v>255</v>
      </c>
      <c r="F457" s="3">
        <v>0</v>
      </c>
      <c r="G457" s="3" t="s">
        <v>8278</v>
      </c>
    </row>
    <row r="458" spans="1:7" x14ac:dyDescent="0.2">
      <c r="A458" s="3" t="s">
        <v>8740</v>
      </c>
      <c r="B458" s="3" t="s">
        <v>2213</v>
      </c>
      <c r="C458" s="3" t="s">
        <v>8288</v>
      </c>
      <c r="D458" s="3" t="s">
        <v>430</v>
      </c>
      <c r="E458" s="3" t="s">
        <v>430</v>
      </c>
      <c r="F458" s="3">
        <v>0</v>
      </c>
      <c r="G458" s="3" t="s">
        <v>8278</v>
      </c>
    </row>
    <row r="459" spans="1:7" x14ac:dyDescent="0.2">
      <c r="A459" s="3" t="s">
        <v>8741</v>
      </c>
      <c r="B459" s="3" t="s">
        <v>2215</v>
      </c>
      <c r="C459" s="3" t="s">
        <v>8277</v>
      </c>
      <c r="D459" s="3" t="s">
        <v>488</v>
      </c>
      <c r="E459" s="3" t="s">
        <v>1813</v>
      </c>
      <c r="F459" s="3">
        <v>14</v>
      </c>
      <c r="G459" s="3" t="s">
        <v>8284</v>
      </c>
    </row>
    <row r="460" spans="1:7" x14ac:dyDescent="0.2">
      <c r="A460" s="3" t="s">
        <v>8742</v>
      </c>
      <c r="B460" s="3" t="s">
        <v>2217</v>
      </c>
      <c r="C460" s="3" t="s">
        <v>8277</v>
      </c>
      <c r="D460" s="3" t="s">
        <v>555</v>
      </c>
      <c r="E460" s="3" t="s">
        <v>555</v>
      </c>
      <c r="F460" s="3">
        <v>0</v>
      </c>
      <c r="G460" s="3" t="s">
        <v>8278</v>
      </c>
    </row>
    <row r="461" spans="1:7" x14ac:dyDescent="0.2">
      <c r="A461" s="3" t="s">
        <v>8743</v>
      </c>
      <c r="B461" s="3" t="s">
        <v>2219</v>
      </c>
      <c r="C461" s="3" t="s">
        <v>8290</v>
      </c>
      <c r="D461" s="3" t="s">
        <v>1346</v>
      </c>
      <c r="E461" s="3" t="s">
        <v>1346</v>
      </c>
      <c r="F461" s="3">
        <v>0</v>
      </c>
      <c r="G461" s="3" t="s">
        <v>8278</v>
      </c>
    </row>
    <row r="462" spans="1:7" x14ac:dyDescent="0.2">
      <c r="A462" s="3" t="s">
        <v>8744</v>
      </c>
      <c r="B462" s="3" t="s">
        <v>2221</v>
      </c>
      <c r="C462" s="3" t="s">
        <v>8280</v>
      </c>
      <c r="D462" s="3" t="s">
        <v>231</v>
      </c>
      <c r="E462" s="3" t="s">
        <v>231</v>
      </c>
      <c r="F462" s="3">
        <v>0</v>
      </c>
      <c r="G462" s="3" t="s">
        <v>8278</v>
      </c>
    </row>
    <row r="463" spans="1:7" x14ac:dyDescent="0.2">
      <c r="A463" s="3" t="s">
        <v>8745</v>
      </c>
      <c r="B463" s="3" t="s">
        <v>2222</v>
      </c>
      <c r="C463" s="3" t="s">
        <v>8280</v>
      </c>
      <c r="D463" s="3" t="s">
        <v>1100</v>
      </c>
      <c r="E463" s="3" t="s">
        <v>354</v>
      </c>
      <c r="F463" s="3">
        <v>11</v>
      </c>
      <c r="G463" s="3" t="s">
        <v>8284</v>
      </c>
    </row>
    <row r="464" spans="1:7" x14ac:dyDescent="0.2">
      <c r="A464" s="3" t="s">
        <v>8746</v>
      </c>
      <c r="B464" s="3" t="s">
        <v>2229</v>
      </c>
      <c r="C464" s="3" t="s">
        <v>8282</v>
      </c>
      <c r="D464" s="3" t="s">
        <v>984</v>
      </c>
      <c r="E464" s="3" t="s">
        <v>984</v>
      </c>
      <c r="F464" s="3">
        <v>0</v>
      </c>
      <c r="G464" s="3" t="s">
        <v>8278</v>
      </c>
    </row>
    <row r="465" spans="1:7" x14ac:dyDescent="0.2">
      <c r="A465" s="3" t="s">
        <v>8747</v>
      </c>
      <c r="B465" s="3" t="s">
        <v>2230</v>
      </c>
      <c r="C465" s="3" t="s">
        <v>8277</v>
      </c>
      <c r="D465" s="3" t="s">
        <v>719</v>
      </c>
      <c r="E465" s="3" t="s">
        <v>719</v>
      </c>
      <c r="F465" s="3">
        <v>0</v>
      </c>
      <c r="G465" s="3" t="s">
        <v>8278</v>
      </c>
    </row>
    <row r="466" spans="1:7" x14ac:dyDescent="0.2">
      <c r="A466" s="3" t="s">
        <v>8748</v>
      </c>
      <c r="B466" s="3" t="s">
        <v>2231</v>
      </c>
      <c r="C466" s="3" t="s">
        <v>8290</v>
      </c>
      <c r="D466" s="3" t="s">
        <v>304</v>
      </c>
      <c r="E466" s="3" t="s">
        <v>164</v>
      </c>
      <c r="F466" s="3">
        <v>2</v>
      </c>
      <c r="G466" s="3" t="s">
        <v>8284</v>
      </c>
    </row>
    <row r="467" spans="1:7" x14ac:dyDescent="0.2">
      <c r="A467" s="3" t="s">
        <v>8749</v>
      </c>
      <c r="B467" s="3" t="s">
        <v>2232</v>
      </c>
      <c r="C467" s="3" t="s">
        <v>8277</v>
      </c>
      <c r="D467" s="3" t="s">
        <v>329</v>
      </c>
      <c r="E467" s="3" t="s">
        <v>329</v>
      </c>
      <c r="F467" s="3">
        <v>0</v>
      </c>
      <c r="G467" s="3" t="s">
        <v>8278</v>
      </c>
    </row>
    <row r="468" spans="1:7" x14ac:dyDescent="0.2">
      <c r="A468" s="3" t="s">
        <v>8750</v>
      </c>
      <c r="B468" s="3" t="s">
        <v>2233</v>
      </c>
      <c r="C468" s="3" t="s">
        <v>8280</v>
      </c>
      <c r="D468" s="3" t="s">
        <v>1429</v>
      </c>
      <c r="E468" s="3" t="s">
        <v>1429</v>
      </c>
      <c r="F468" s="3">
        <v>0</v>
      </c>
      <c r="G468" s="3" t="s">
        <v>8278</v>
      </c>
    </row>
    <row r="469" spans="1:7" x14ac:dyDescent="0.2">
      <c r="A469" s="3" t="s">
        <v>8751</v>
      </c>
      <c r="B469" s="3" t="s">
        <v>2236</v>
      </c>
      <c r="C469" s="3" t="s">
        <v>8288</v>
      </c>
      <c r="D469" s="3" t="s">
        <v>755</v>
      </c>
      <c r="E469" s="3" t="s">
        <v>755</v>
      </c>
      <c r="F469" s="3">
        <v>0</v>
      </c>
      <c r="G469" s="3" t="s">
        <v>8278</v>
      </c>
    </row>
    <row r="470" spans="1:7" x14ac:dyDescent="0.2">
      <c r="A470" s="3" t="s">
        <v>8752</v>
      </c>
      <c r="B470" s="3" t="s">
        <v>2238</v>
      </c>
      <c r="C470" s="3" t="s">
        <v>8290</v>
      </c>
      <c r="D470" s="3" t="s">
        <v>161</v>
      </c>
      <c r="E470" s="3" t="s">
        <v>267</v>
      </c>
      <c r="F470" s="3">
        <v>3</v>
      </c>
      <c r="G470" s="3" t="s">
        <v>8284</v>
      </c>
    </row>
    <row r="471" spans="1:7" x14ac:dyDescent="0.2">
      <c r="A471" s="3" t="s">
        <v>8753</v>
      </c>
      <c r="B471" s="3" t="s">
        <v>2243</v>
      </c>
      <c r="C471" s="3" t="s">
        <v>8282</v>
      </c>
      <c r="D471" s="3" t="s">
        <v>808</v>
      </c>
      <c r="E471" s="3" t="s">
        <v>808</v>
      </c>
      <c r="F471" s="3">
        <v>0</v>
      </c>
      <c r="G471" s="3" t="s">
        <v>8278</v>
      </c>
    </row>
    <row r="472" spans="1:7" x14ac:dyDescent="0.2">
      <c r="A472" s="3" t="s">
        <v>8754</v>
      </c>
      <c r="B472" s="3" t="s">
        <v>2246</v>
      </c>
      <c r="C472" s="3" t="s">
        <v>8280</v>
      </c>
      <c r="D472" s="3" t="s">
        <v>1276</v>
      </c>
      <c r="E472" s="3" t="s">
        <v>1276</v>
      </c>
      <c r="F472" s="3">
        <v>0</v>
      </c>
      <c r="G472" s="3" t="s">
        <v>8278</v>
      </c>
    </row>
    <row r="473" spans="1:7" x14ac:dyDescent="0.2">
      <c r="A473" s="3" t="s">
        <v>8755</v>
      </c>
      <c r="B473" s="3" t="s">
        <v>2252</v>
      </c>
      <c r="C473" s="3" t="s">
        <v>8282</v>
      </c>
      <c r="D473" s="3" t="s">
        <v>765</v>
      </c>
      <c r="E473" s="3" t="s">
        <v>765</v>
      </c>
      <c r="F473" s="3">
        <v>0</v>
      </c>
      <c r="G473" s="3" t="s">
        <v>8278</v>
      </c>
    </row>
    <row r="474" spans="1:7" x14ac:dyDescent="0.2">
      <c r="A474" s="3" t="s">
        <v>8756</v>
      </c>
      <c r="B474" s="3" t="s">
        <v>2254</v>
      </c>
      <c r="C474" s="3" t="s">
        <v>8286</v>
      </c>
      <c r="D474" s="3" t="s">
        <v>1581</v>
      </c>
      <c r="E474" s="3" t="s">
        <v>1581</v>
      </c>
      <c r="F474" s="3">
        <v>0</v>
      </c>
      <c r="G474" s="3" t="s">
        <v>8278</v>
      </c>
    </row>
    <row r="475" spans="1:7" x14ac:dyDescent="0.2">
      <c r="A475" s="3" t="s">
        <v>8757</v>
      </c>
      <c r="B475" s="3" t="s">
        <v>2255</v>
      </c>
      <c r="C475" s="3" t="s">
        <v>8288</v>
      </c>
      <c r="D475" s="3" t="s">
        <v>687</v>
      </c>
      <c r="E475" s="3" t="s">
        <v>687</v>
      </c>
      <c r="F475" s="3">
        <v>0</v>
      </c>
      <c r="G475" s="3" t="s">
        <v>8278</v>
      </c>
    </row>
    <row r="476" spans="1:7" x14ac:dyDescent="0.2">
      <c r="A476" s="3" t="s">
        <v>8758</v>
      </c>
      <c r="B476" s="3" t="s">
        <v>2257</v>
      </c>
      <c r="C476" s="3" t="s">
        <v>8286</v>
      </c>
      <c r="D476" s="3" t="s">
        <v>871</v>
      </c>
      <c r="E476" s="3" t="s">
        <v>871</v>
      </c>
      <c r="F476" s="3">
        <v>0</v>
      </c>
      <c r="G476" s="3" t="s">
        <v>8278</v>
      </c>
    </row>
    <row r="477" spans="1:7" x14ac:dyDescent="0.2">
      <c r="A477" s="3" t="s">
        <v>8759</v>
      </c>
      <c r="B477" s="3" t="s">
        <v>2260</v>
      </c>
      <c r="C477" s="3" t="s">
        <v>8282</v>
      </c>
      <c r="D477" s="3" t="s">
        <v>515</v>
      </c>
      <c r="E477" s="3" t="s">
        <v>515</v>
      </c>
      <c r="F477" s="3">
        <v>0</v>
      </c>
      <c r="G477" s="3" t="s">
        <v>8278</v>
      </c>
    </row>
    <row r="478" spans="1:7" x14ac:dyDescent="0.2">
      <c r="A478" s="3" t="s">
        <v>8760</v>
      </c>
      <c r="B478" s="3" t="s">
        <v>2265</v>
      </c>
      <c r="C478" s="3" t="s">
        <v>8282</v>
      </c>
      <c r="D478" s="3" t="s">
        <v>914</v>
      </c>
      <c r="E478" s="3" t="s">
        <v>914</v>
      </c>
      <c r="F478" s="3">
        <v>0</v>
      </c>
      <c r="G478" s="3" t="s">
        <v>8278</v>
      </c>
    </row>
    <row r="479" spans="1:7" x14ac:dyDescent="0.2">
      <c r="A479" s="3" t="s">
        <v>8761</v>
      </c>
      <c r="B479" s="3" t="s">
        <v>2268</v>
      </c>
      <c r="C479" s="3" t="s">
        <v>8280</v>
      </c>
      <c r="D479" s="3" t="s">
        <v>1000</v>
      </c>
      <c r="E479" s="3" t="s">
        <v>1000</v>
      </c>
      <c r="F479" s="3">
        <v>0</v>
      </c>
      <c r="G479" s="3" t="s">
        <v>8278</v>
      </c>
    </row>
    <row r="480" spans="1:7" x14ac:dyDescent="0.2">
      <c r="A480" s="3" t="s">
        <v>8762</v>
      </c>
      <c r="B480" s="3" t="s">
        <v>2273</v>
      </c>
      <c r="C480" s="3" t="s">
        <v>8290</v>
      </c>
      <c r="D480" s="3" t="s">
        <v>256</v>
      </c>
      <c r="E480" s="3" t="s">
        <v>1128</v>
      </c>
      <c r="F480" s="3">
        <v>5</v>
      </c>
      <c r="G480" s="3" t="s">
        <v>8284</v>
      </c>
    </row>
    <row r="481" spans="1:7" x14ac:dyDescent="0.2">
      <c r="A481" s="3" t="s">
        <v>8763</v>
      </c>
      <c r="B481" s="3" t="s">
        <v>2275</v>
      </c>
      <c r="C481" s="3" t="s">
        <v>8277</v>
      </c>
      <c r="D481" s="3" t="s">
        <v>192</v>
      </c>
      <c r="E481" s="3" t="s">
        <v>192</v>
      </c>
      <c r="F481" s="3">
        <v>0</v>
      </c>
      <c r="G481" s="3" t="s">
        <v>8278</v>
      </c>
    </row>
    <row r="482" spans="1:7" x14ac:dyDescent="0.2">
      <c r="A482" s="3" t="s">
        <v>8764</v>
      </c>
      <c r="B482" s="3" t="s">
        <v>2276</v>
      </c>
      <c r="C482" s="3" t="s">
        <v>8286</v>
      </c>
      <c r="D482" s="3" t="s">
        <v>636</v>
      </c>
      <c r="E482" s="3" t="s">
        <v>636</v>
      </c>
      <c r="F482" s="3">
        <v>0</v>
      </c>
      <c r="G482" s="3" t="s">
        <v>8278</v>
      </c>
    </row>
    <row r="483" spans="1:7" x14ac:dyDescent="0.2">
      <c r="A483" s="3" t="s">
        <v>8765</v>
      </c>
      <c r="B483" s="3" t="s">
        <v>2280</v>
      </c>
      <c r="C483" s="3" t="s">
        <v>8290</v>
      </c>
      <c r="D483" s="3" t="s">
        <v>603</v>
      </c>
      <c r="E483" s="3" t="s">
        <v>603</v>
      </c>
      <c r="F483" s="3">
        <v>0</v>
      </c>
      <c r="G483" s="3" t="s">
        <v>8278</v>
      </c>
    </row>
    <row r="484" spans="1:7" x14ac:dyDescent="0.2">
      <c r="A484" s="3" t="s">
        <v>8766</v>
      </c>
      <c r="B484" s="3" t="s">
        <v>2284</v>
      </c>
      <c r="C484" s="3" t="s">
        <v>8290</v>
      </c>
      <c r="D484" s="3" t="s">
        <v>365</v>
      </c>
      <c r="E484" s="3" t="s">
        <v>365</v>
      </c>
      <c r="F484" s="3">
        <v>0</v>
      </c>
      <c r="G484" s="3" t="s">
        <v>8278</v>
      </c>
    </row>
    <row r="485" spans="1:7" x14ac:dyDescent="0.2">
      <c r="A485" s="3" t="s">
        <v>8767</v>
      </c>
      <c r="B485" s="3" t="s">
        <v>2285</v>
      </c>
      <c r="C485" s="3" t="s">
        <v>8286</v>
      </c>
      <c r="D485" s="3" t="s">
        <v>283</v>
      </c>
      <c r="E485" s="3" t="s">
        <v>283</v>
      </c>
      <c r="F485" s="3">
        <v>0</v>
      </c>
      <c r="G485" s="3" t="s">
        <v>8278</v>
      </c>
    </row>
    <row r="486" spans="1:7" x14ac:dyDescent="0.2">
      <c r="A486" s="3" t="s">
        <v>8768</v>
      </c>
      <c r="B486" s="3" t="s">
        <v>2286</v>
      </c>
      <c r="C486" s="3" t="s">
        <v>8282</v>
      </c>
      <c r="D486" s="3" t="s">
        <v>299</v>
      </c>
      <c r="E486" s="3" t="s">
        <v>299</v>
      </c>
      <c r="F486" s="3">
        <v>0</v>
      </c>
      <c r="G486" s="3" t="s">
        <v>8278</v>
      </c>
    </row>
    <row r="487" spans="1:7" x14ac:dyDescent="0.2">
      <c r="A487" s="3" t="s">
        <v>8769</v>
      </c>
      <c r="B487" s="3" t="s">
        <v>2289</v>
      </c>
      <c r="C487" s="3" t="s">
        <v>8277</v>
      </c>
      <c r="D487" s="3" t="s">
        <v>594</v>
      </c>
      <c r="E487" s="3" t="s">
        <v>204</v>
      </c>
      <c r="F487" s="3">
        <v>3</v>
      </c>
      <c r="G487" s="3" t="s">
        <v>8284</v>
      </c>
    </row>
    <row r="488" spans="1:7" x14ac:dyDescent="0.2">
      <c r="A488" s="3" t="s">
        <v>8770</v>
      </c>
      <c r="B488" s="3" t="s">
        <v>2290</v>
      </c>
      <c r="C488" s="3" t="s">
        <v>8288</v>
      </c>
      <c r="D488" s="3" t="s">
        <v>1204</v>
      </c>
      <c r="E488" s="3" t="s">
        <v>1204</v>
      </c>
      <c r="F488" s="3">
        <v>0</v>
      </c>
      <c r="G488" s="3" t="s">
        <v>8278</v>
      </c>
    </row>
    <row r="489" spans="1:7" x14ac:dyDescent="0.2">
      <c r="A489" s="3" t="s">
        <v>8771</v>
      </c>
      <c r="B489" s="3" t="s">
        <v>2293</v>
      </c>
      <c r="C489" s="3" t="s">
        <v>8288</v>
      </c>
      <c r="D489" s="3" t="s">
        <v>637</v>
      </c>
      <c r="E489" s="3" t="s">
        <v>991</v>
      </c>
      <c r="F489" s="3">
        <v>6</v>
      </c>
      <c r="G489" s="3" t="s">
        <v>8284</v>
      </c>
    </row>
    <row r="490" spans="1:7" x14ac:dyDescent="0.2">
      <c r="A490" s="3" t="s">
        <v>8772</v>
      </c>
      <c r="B490" s="3" t="s">
        <v>2294</v>
      </c>
      <c r="C490" s="3" t="s">
        <v>8280</v>
      </c>
      <c r="D490" s="3" t="s">
        <v>1170</v>
      </c>
      <c r="E490" s="3" t="s">
        <v>1540</v>
      </c>
      <c r="F490" s="3">
        <v>9</v>
      </c>
      <c r="G490" s="3" t="s">
        <v>8284</v>
      </c>
    </row>
    <row r="491" spans="1:7" x14ac:dyDescent="0.2">
      <c r="A491" s="3" t="s">
        <v>8773</v>
      </c>
      <c r="B491" s="3" t="s">
        <v>2295</v>
      </c>
      <c r="C491" s="3" t="s">
        <v>8282</v>
      </c>
      <c r="D491" s="3" t="s">
        <v>683</v>
      </c>
      <c r="E491" s="3" t="s">
        <v>988</v>
      </c>
      <c r="F491" s="3">
        <v>2</v>
      </c>
      <c r="G491" s="3" t="s">
        <v>8284</v>
      </c>
    </row>
    <row r="492" spans="1:7" x14ac:dyDescent="0.2">
      <c r="A492" s="3" t="s">
        <v>8774</v>
      </c>
      <c r="B492" s="3" t="s">
        <v>2301</v>
      </c>
      <c r="C492" s="3" t="s">
        <v>8286</v>
      </c>
      <c r="D492" s="3" t="s">
        <v>1167</v>
      </c>
      <c r="E492" s="3" t="s">
        <v>1167</v>
      </c>
      <c r="F492" s="3">
        <v>0</v>
      </c>
      <c r="G492" s="3" t="s">
        <v>8278</v>
      </c>
    </row>
    <row r="493" spans="1:7" x14ac:dyDescent="0.2">
      <c r="A493" s="3" t="s">
        <v>8775</v>
      </c>
      <c r="B493" s="3" t="s">
        <v>2302</v>
      </c>
      <c r="C493" s="3" t="s">
        <v>8277</v>
      </c>
      <c r="D493" s="3" t="s">
        <v>376</v>
      </c>
      <c r="E493" s="3" t="s">
        <v>376</v>
      </c>
      <c r="F493" s="3">
        <v>0</v>
      </c>
      <c r="G493" s="3" t="s">
        <v>8278</v>
      </c>
    </row>
    <row r="494" spans="1:7" x14ac:dyDescent="0.2">
      <c r="A494" s="3" t="s">
        <v>8776</v>
      </c>
      <c r="B494" s="3" t="s">
        <v>2310</v>
      </c>
      <c r="C494" s="3" t="s">
        <v>8280</v>
      </c>
      <c r="D494" s="3" t="s">
        <v>244</v>
      </c>
      <c r="E494" s="3" t="s">
        <v>244</v>
      </c>
      <c r="F494" s="3">
        <v>0</v>
      </c>
      <c r="G494" s="3" t="s">
        <v>8278</v>
      </c>
    </row>
    <row r="495" spans="1:7" x14ac:dyDescent="0.2">
      <c r="A495" s="3" t="s">
        <v>8777</v>
      </c>
      <c r="B495" s="3" t="s">
        <v>2312</v>
      </c>
      <c r="C495" s="3" t="s">
        <v>8277</v>
      </c>
      <c r="D495" s="3" t="s">
        <v>568</v>
      </c>
      <c r="E495" s="3" t="s">
        <v>568</v>
      </c>
      <c r="F495" s="3">
        <v>0</v>
      </c>
      <c r="G495" s="3" t="s">
        <v>8278</v>
      </c>
    </row>
    <row r="496" spans="1:7" x14ac:dyDescent="0.2">
      <c r="A496" s="3" t="s">
        <v>8778</v>
      </c>
      <c r="B496" s="3" t="s">
        <v>2313</v>
      </c>
      <c r="C496" s="3" t="s">
        <v>8282</v>
      </c>
      <c r="D496" s="3" t="s">
        <v>642</v>
      </c>
      <c r="E496" s="3" t="s">
        <v>642</v>
      </c>
      <c r="F496" s="3">
        <v>0</v>
      </c>
      <c r="G496" s="3" t="s">
        <v>8278</v>
      </c>
    </row>
    <row r="497" spans="1:7" x14ac:dyDescent="0.2">
      <c r="A497" s="3" t="s">
        <v>8779</v>
      </c>
      <c r="B497" s="3" t="s">
        <v>2320</v>
      </c>
      <c r="C497" s="3" t="s">
        <v>8280</v>
      </c>
      <c r="D497" s="3" t="s">
        <v>346</v>
      </c>
      <c r="E497" s="3" t="s">
        <v>346</v>
      </c>
      <c r="F497" s="3">
        <v>0</v>
      </c>
      <c r="G497" s="3" t="s">
        <v>8278</v>
      </c>
    </row>
    <row r="498" spans="1:7" x14ac:dyDescent="0.2">
      <c r="A498" s="3" t="s">
        <v>8780</v>
      </c>
      <c r="B498" s="3" t="s">
        <v>2322</v>
      </c>
      <c r="C498" s="3" t="s">
        <v>8290</v>
      </c>
      <c r="D498" s="3" t="s">
        <v>492</v>
      </c>
      <c r="E498" s="3" t="s">
        <v>492</v>
      </c>
      <c r="F498" s="3">
        <v>0</v>
      </c>
      <c r="G498" s="3" t="s">
        <v>8278</v>
      </c>
    </row>
    <row r="499" spans="1:7" x14ac:dyDescent="0.2">
      <c r="A499" s="3" t="s">
        <v>8781</v>
      </c>
      <c r="B499" s="3" t="s">
        <v>2325</v>
      </c>
      <c r="C499" s="3" t="s">
        <v>8277</v>
      </c>
      <c r="D499" s="3" t="s">
        <v>646</v>
      </c>
      <c r="E499" s="3" t="s">
        <v>646</v>
      </c>
      <c r="F499" s="3">
        <v>0</v>
      </c>
      <c r="G499" s="3" t="s">
        <v>8278</v>
      </c>
    </row>
    <row r="500" spans="1:7" x14ac:dyDescent="0.2">
      <c r="A500" s="3" t="s">
        <v>8782</v>
      </c>
      <c r="B500" s="3" t="s">
        <v>2329</v>
      </c>
      <c r="C500" s="3" t="s">
        <v>8282</v>
      </c>
      <c r="D500" s="3" t="s">
        <v>488</v>
      </c>
      <c r="E500" s="3" t="s">
        <v>488</v>
      </c>
      <c r="F500" s="3">
        <v>0</v>
      </c>
      <c r="G500" s="3" t="s">
        <v>8278</v>
      </c>
    </row>
    <row r="501" spans="1:7" x14ac:dyDescent="0.2">
      <c r="A501" s="3" t="s">
        <v>8783</v>
      </c>
      <c r="B501" s="3" t="s">
        <v>2332</v>
      </c>
      <c r="C501" s="3" t="s">
        <v>8288</v>
      </c>
      <c r="D501" s="3" t="s">
        <v>681</v>
      </c>
      <c r="E501" s="3" t="s">
        <v>681</v>
      </c>
      <c r="F501" s="3">
        <v>0</v>
      </c>
      <c r="G501" s="3" t="s">
        <v>8278</v>
      </c>
    </row>
    <row r="502" spans="1:7" x14ac:dyDescent="0.2">
      <c r="A502" s="3" t="s">
        <v>8784</v>
      </c>
      <c r="B502" s="3" t="s">
        <v>2333</v>
      </c>
      <c r="C502" s="3" t="s">
        <v>8282</v>
      </c>
      <c r="D502" s="3" t="s">
        <v>771</v>
      </c>
      <c r="E502" s="3" t="s">
        <v>771</v>
      </c>
      <c r="F502" s="3">
        <v>0</v>
      </c>
      <c r="G502" s="3" t="s">
        <v>8278</v>
      </c>
    </row>
    <row r="503" spans="1:7" x14ac:dyDescent="0.2">
      <c r="A503" s="3" t="s">
        <v>8785</v>
      </c>
      <c r="B503" s="3" t="s">
        <v>2336</v>
      </c>
      <c r="C503" s="3" t="s">
        <v>8286</v>
      </c>
      <c r="D503" s="3" t="s">
        <v>267</v>
      </c>
      <c r="E503" s="3" t="s">
        <v>267</v>
      </c>
      <c r="F503" s="3">
        <v>0</v>
      </c>
      <c r="G503" s="3" t="s">
        <v>8278</v>
      </c>
    </row>
    <row r="504" spans="1:7" x14ac:dyDescent="0.2">
      <c r="A504" s="3" t="s">
        <v>8786</v>
      </c>
      <c r="B504" s="3" t="s">
        <v>2337</v>
      </c>
      <c r="C504" s="3" t="s">
        <v>8277</v>
      </c>
      <c r="D504" s="3" t="s">
        <v>716</v>
      </c>
      <c r="E504" s="3" t="s">
        <v>354</v>
      </c>
      <c r="F504" s="3">
        <v>6</v>
      </c>
      <c r="G504" s="3" t="s">
        <v>8284</v>
      </c>
    </row>
    <row r="505" spans="1:7" x14ac:dyDescent="0.2">
      <c r="A505" s="3" t="s">
        <v>8787</v>
      </c>
      <c r="B505" s="3" t="s">
        <v>2340</v>
      </c>
      <c r="C505" s="3" t="s">
        <v>8286</v>
      </c>
      <c r="D505" s="3" t="s">
        <v>886</v>
      </c>
      <c r="E505" s="3" t="s">
        <v>903</v>
      </c>
      <c r="F505" s="3">
        <v>7</v>
      </c>
      <c r="G505" s="3" t="s">
        <v>8284</v>
      </c>
    </row>
    <row r="506" spans="1:7" x14ac:dyDescent="0.2">
      <c r="A506" s="3" t="s">
        <v>8788</v>
      </c>
      <c r="B506" s="3" t="s">
        <v>2341</v>
      </c>
      <c r="C506" s="3" t="s">
        <v>8288</v>
      </c>
      <c r="D506" s="3" t="s">
        <v>885</v>
      </c>
      <c r="E506" s="3" t="s">
        <v>529</v>
      </c>
      <c r="F506" s="3">
        <v>10</v>
      </c>
      <c r="G506" s="3" t="s">
        <v>8284</v>
      </c>
    </row>
    <row r="507" spans="1:7" x14ac:dyDescent="0.2">
      <c r="A507" s="3" t="s">
        <v>8789</v>
      </c>
      <c r="B507" s="3" t="s">
        <v>2343</v>
      </c>
      <c r="C507" s="3" t="s">
        <v>8286</v>
      </c>
      <c r="D507" s="3" t="s">
        <v>833</v>
      </c>
      <c r="E507" s="3" t="s">
        <v>833</v>
      </c>
      <c r="F507" s="3">
        <v>0</v>
      </c>
      <c r="G507" s="3" t="s">
        <v>8278</v>
      </c>
    </row>
    <row r="508" spans="1:7" x14ac:dyDescent="0.2">
      <c r="A508" s="3" t="s">
        <v>8790</v>
      </c>
      <c r="B508" s="3" t="s">
        <v>2346</v>
      </c>
      <c r="C508" s="3" t="s">
        <v>8288</v>
      </c>
      <c r="D508" s="3" t="s">
        <v>170</v>
      </c>
      <c r="E508" s="3" t="s">
        <v>723</v>
      </c>
      <c r="F508" s="3">
        <v>2</v>
      </c>
      <c r="G508" s="3" t="s">
        <v>8284</v>
      </c>
    </row>
    <row r="509" spans="1:7" x14ac:dyDescent="0.2">
      <c r="A509" s="3" t="s">
        <v>8791</v>
      </c>
      <c r="B509" s="3" t="s">
        <v>2352</v>
      </c>
      <c r="C509" s="3" t="s">
        <v>8282</v>
      </c>
      <c r="D509" s="3" t="s">
        <v>456</v>
      </c>
      <c r="E509" s="3" t="s">
        <v>253</v>
      </c>
      <c r="F509" s="3">
        <v>13</v>
      </c>
      <c r="G509" s="3" t="s">
        <v>8284</v>
      </c>
    </row>
    <row r="510" spans="1:7" x14ac:dyDescent="0.2">
      <c r="A510" s="3" t="s">
        <v>8792</v>
      </c>
      <c r="B510" s="3" t="s">
        <v>2359</v>
      </c>
      <c r="C510" s="3" t="s">
        <v>8282</v>
      </c>
      <c r="D510" s="3" t="s">
        <v>502</v>
      </c>
      <c r="E510" s="3" t="s">
        <v>502</v>
      </c>
      <c r="F510" s="3">
        <v>0</v>
      </c>
      <c r="G510" s="3" t="s">
        <v>8278</v>
      </c>
    </row>
    <row r="511" spans="1:7" x14ac:dyDescent="0.2">
      <c r="A511" s="3" t="s">
        <v>8793</v>
      </c>
      <c r="B511" s="3" t="s">
        <v>2361</v>
      </c>
      <c r="C511" s="3" t="s">
        <v>8288</v>
      </c>
      <c r="D511" s="3" t="s">
        <v>569</v>
      </c>
      <c r="E511" s="3" t="s">
        <v>2009</v>
      </c>
      <c r="F511" s="3">
        <v>3</v>
      </c>
      <c r="G511" s="3" t="s">
        <v>8284</v>
      </c>
    </row>
    <row r="512" spans="1:7" x14ac:dyDescent="0.2">
      <c r="A512" s="3" t="s">
        <v>8794</v>
      </c>
      <c r="B512" s="3" t="s">
        <v>2365</v>
      </c>
      <c r="C512" s="3" t="s">
        <v>8282</v>
      </c>
      <c r="D512" s="3" t="s">
        <v>710</v>
      </c>
      <c r="E512" s="3" t="s">
        <v>198</v>
      </c>
      <c r="F512" s="3">
        <v>11</v>
      </c>
      <c r="G512" s="3" t="s">
        <v>8284</v>
      </c>
    </row>
    <row r="513" spans="1:7" x14ac:dyDescent="0.2">
      <c r="A513" s="3" t="s">
        <v>8795</v>
      </c>
      <c r="B513" s="3" t="s">
        <v>2366</v>
      </c>
      <c r="C513" s="3" t="s">
        <v>8288</v>
      </c>
      <c r="D513" s="3" t="s">
        <v>993</v>
      </c>
      <c r="E513" s="3" t="s">
        <v>993</v>
      </c>
      <c r="F513" s="3">
        <v>0</v>
      </c>
      <c r="G513" s="3" t="s">
        <v>8278</v>
      </c>
    </row>
    <row r="514" spans="1:7" x14ac:dyDescent="0.2">
      <c r="A514" s="3" t="s">
        <v>8796</v>
      </c>
      <c r="B514" s="3" t="s">
        <v>2367</v>
      </c>
      <c r="C514" s="3" t="s">
        <v>8290</v>
      </c>
      <c r="D514" s="3" t="s">
        <v>1330</v>
      </c>
      <c r="E514" s="3" t="s">
        <v>1330</v>
      </c>
      <c r="F514" s="3">
        <v>0</v>
      </c>
      <c r="G514" s="3" t="s">
        <v>8278</v>
      </c>
    </row>
    <row r="515" spans="1:7" x14ac:dyDescent="0.2">
      <c r="A515" s="3" t="s">
        <v>8797</v>
      </c>
      <c r="B515" s="3" t="s">
        <v>2371</v>
      </c>
      <c r="C515" s="3" t="s">
        <v>8282</v>
      </c>
      <c r="D515" s="3" t="s">
        <v>1237</v>
      </c>
      <c r="E515" s="3" t="s">
        <v>1237</v>
      </c>
      <c r="F515" s="3">
        <v>0</v>
      </c>
      <c r="G515" s="3" t="s">
        <v>8278</v>
      </c>
    </row>
    <row r="516" spans="1:7" x14ac:dyDescent="0.2">
      <c r="A516" s="3" t="s">
        <v>8798</v>
      </c>
      <c r="B516" s="3" t="s">
        <v>2375</v>
      </c>
      <c r="C516" s="3" t="s">
        <v>8277</v>
      </c>
      <c r="D516" s="3" t="s">
        <v>1455</v>
      </c>
      <c r="E516" s="3" t="s">
        <v>1455</v>
      </c>
      <c r="F516" s="3">
        <v>0</v>
      </c>
      <c r="G516" s="3" t="s">
        <v>8278</v>
      </c>
    </row>
    <row r="517" spans="1:7" x14ac:dyDescent="0.2">
      <c r="A517" s="3" t="s">
        <v>8799</v>
      </c>
      <c r="B517" s="3" t="s">
        <v>2377</v>
      </c>
      <c r="C517" s="3" t="s">
        <v>8277</v>
      </c>
      <c r="D517" s="3" t="s">
        <v>776</v>
      </c>
      <c r="E517" s="3" t="s">
        <v>268</v>
      </c>
      <c r="F517" s="3">
        <v>8</v>
      </c>
      <c r="G517" s="3" t="s">
        <v>8284</v>
      </c>
    </row>
    <row r="518" spans="1:7" x14ac:dyDescent="0.2">
      <c r="A518" s="3" t="s">
        <v>8800</v>
      </c>
      <c r="B518" s="3" t="s">
        <v>2380</v>
      </c>
      <c r="C518" s="3" t="s">
        <v>8280</v>
      </c>
      <c r="D518" s="3" t="s">
        <v>621</v>
      </c>
      <c r="E518" s="3" t="s">
        <v>621</v>
      </c>
      <c r="F518" s="3">
        <v>0</v>
      </c>
      <c r="G518" s="3" t="s">
        <v>8278</v>
      </c>
    </row>
    <row r="519" spans="1:7" x14ac:dyDescent="0.2">
      <c r="A519" s="3" t="s">
        <v>8801</v>
      </c>
      <c r="B519" s="3" t="s">
        <v>2381</v>
      </c>
      <c r="C519" s="3" t="s">
        <v>8280</v>
      </c>
      <c r="D519" s="3" t="s">
        <v>991</v>
      </c>
      <c r="E519" s="3" t="s">
        <v>991</v>
      </c>
      <c r="F519" s="3">
        <v>0</v>
      </c>
      <c r="G519" s="3" t="s">
        <v>8278</v>
      </c>
    </row>
    <row r="520" spans="1:7" x14ac:dyDescent="0.2">
      <c r="A520" s="3" t="s">
        <v>8802</v>
      </c>
      <c r="B520" s="3" t="s">
        <v>2385</v>
      </c>
      <c r="C520" s="3" t="s">
        <v>8282</v>
      </c>
      <c r="D520" s="3" t="s">
        <v>488</v>
      </c>
      <c r="E520" s="3" t="s">
        <v>488</v>
      </c>
      <c r="F520" s="3">
        <v>0</v>
      </c>
      <c r="G520" s="3" t="s">
        <v>8278</v>
      </c>
    </row>
    <row r="521" spans="1:7" x14ac:dyDescent="0.2">
      <c r="A521" s="3" t="s">
        <v>8803</v>
      </c>
      <c r="B521" s="3" t="s">
        <v>2386</v>
      </c>
      <c r="C521" s="3" t="s">
        <v>8286</v>
      </c>
      <c r="D521" s="3" t="s">
        <v>1126</v>
      </c>
      <c r="E521" s="3" t="s">
        <v>1126</v>
      </c>
      <c r="F521" s="3">
        <v>0</v>
      </c>
      <c r="G521" s="3" t="s">
        <v>8278</v>
      </c>
    </row>
    <row r="522" spans="1:7" x14ac:dyDescent="0.2">
      <c r="A522" s="3" t="s">
        <v>8804</v>
      </c>
      <c r="B522" s="3" t="s">
        <v>2389</v>
      </c>
      <c r="C522" s="3" t="s">
        <v>8280</v>
      </c>
      <c r="D522" s="3" t="s">
        <v>289</v>
      </c>
      <c r="E522" s="3" t="s">
        <v>289</v>
      </c>
      <c r="F522" s="3">
        <v>0</v>
      </c>
      <c r="G522" s="3" t="s">
        <v>8278</v>
      </c>
    </row>
    <row r="523" spans="1:7" x14ac:dyDescent="0.2">
      <c r="A523" s="3" t="s">
        <v>8805</v>
      </c>
      <c r="B523" s="3" t="s">
        <v>2390</v>
      </c>
      <c r="C523" s="3" t="s">
        <v>8282</v>
      </c>
      <c r="D523" s="3" t="s">
        <v>165</v>
      </c>
      <c r="E523" s="3" t="s">
        <v>165</v>
      </c>
      <c r="F523" s="3">
        <v>0</v>
      </c>
      <c r="G523" s="3" t="s">
        <v>8278</v>
      </c>
    </row>
    <row r="524" spans="1:7" x14ac:dyDescent="0.2">
      <c r="A524" s="3" t="s">
        <v>8806</v>
      </c>
      <c r="B524" s="3" t="s">
        <v>2392</v>
      </c>
      <c r="C524" s="3" t="s">
        <v>8286</v>
      </c>
      <c r="D524" s="3" t="s">
        <v>751</v>
      </c>
      <c r="E524" s="3" t="s">
        <v>751</v>
      </c>
      <c r="F524" s="3">
        <v>0</v>
      </c>
      <c r="G524" s="3" t="s">
        <v>8278</v>
      </c>
    </row>
    <row r="525" spans="1:7" x14ac:dyDescent="0.2">
      <c r="A525" s="3" t="s">
        <v>8807</v>
      </c>
      <c r="B525" s="3" t="s">
        <v>2394</v>
      </c>
      <c r="C525" s="3" t="s">
        <v>8277</v>
      </c>
      <c r="D525" s="3" t="s">
        <v>399</v>
      </c>
      <c r="E525" s="3" t="s">
        <v>399</v>
      </c>
      <c r="F525" s="3">
        <v>0</v>
      </c>
      <c r="G525" s="3" t="s">
        <v>8278</v>
      </c>
    </row>
    <row r="526" spans="1:7" x14ac:dyDescent="0.2">
      <c r="A526" s="3" t="s">
        <v>8808</v>
      </c>
      <c r="B526" s="3" t="s">
        <v>2395</v>
      </c>
      <c r="C526" s="3" t="s">
        <v>8286</v>
      </c>
      <c r="D526" s="3" t="s">
        <v>900</v>
      </c>
      <c r="E526" s="3" t="s">
        <v>900</v>
      </c>
      <c r="F526" s="3">
        <v>0</v>
      </c>
      <c r="G526" s="3" t="s">
        <v>8278</v>
      </c>
    </row>
    <row r="527" spans="1:7" x14ac:dyDescent="0.2">
      <c r="A527" s="3" t="s">
        <v>8809</v>
      </c>
      <c r="B527" s="3" t="s">
        <v>2396</v>
      </c>
      <c r="C527" s="3" t="s">
        <v>8277</v>
      </c>
      <c r="D527" s="3" t="s">
        <v>376</v>
      </c>
      <c r="E527" s="3" t="s">
        <v>376</v>
      </c>
      <c r="F527" s="3">
        <v>0</v>
      </c>
      <c r="G527" s="3" t="s">
        <v>8278</v>
      </c>
    </row>
    <row r="528" spans="1:7" x14ac:dyDescent="0.2">
      <c r="A528" s="3" t="s">
        <v>8810</v>
      </c>
      <c r="B528" s="3" t="s">
        <v>2398</v>
      </c>
      <c r="C528" s="3" t="s">
        <v>8280</v>
      </c>
      <c r="D528" s="3" t="s">
        <v>1118</v>
      </c>
      <c r="E528" s="3" t="s">
        <v>1118</v>
      </c>
      <c r="F528" s="3">
        <v>0</v>
      </c>
      <c r="G528" s="3" t="s">
        <v>8278</v>
      </c>
    </row>
    <row r="529" spans="1:7" x14ac:dyDescent="0.2">
      <c r="A529" s="3" t="s">
        <v>8811</v>
      </c>
      <c r="B529" s="3" t="s">
        <v>2403</v>
      </c>
      <c r="C529" s="3" t="s">
        <v>8282</v>
      </c>
      <c r="D529" s="3" t="s">
        <v>512</v>
      </c>
      <c r="E529" s="3" t="s">
        <v>512</v>
      </c>
      <c r="F529" s="3">
        <v>0</v>
      </c>
      <c r="G529" s="3" t="s">
        <v>8278</v>
      </c>
    </row>
    <row r="530" spans="1:7" x14ac:dyDescent="0.2">
      <c r="A530" s="3" t="s">
        <v>8812</v>
      </c>
      <c r="B530" s="3" t="s">
        <v>2404</v>
      </c>
      <c r="C530" s="3" t="s">
        <v>8282</v>
      </c>
      <c r="D530" s="3" t="s">
        <v>529</v>
      </c>
      <c r="E530" s="3" t="s">
        <v>529</v>
      </c>
      <c r="F530" s="3">
        <v>0</v>
      </c>
      <c r="G530" s="3" t="s">
        <v>8278</v>
      </c>
    </row>
    <row r="531" spans="1:7" x14ac:dyDescent="0.2">
      <c r="A531" s="3" t="s">
        <v>8813</v>
      </c>
      <c r="B531" s="3" t="s">
        <v>2411</v>
      </c>
      <c r="C531" s="3" t="s">
        <v>8286</v>
      </c>
      <c r="D531" s="3" t="s">
        <v>1741</v>
      </c>
      <c r="E531" s="3" t="s">
        <v>1741</v>
      </c>
      <c r="F531" s="3">
        <v>0</v>
      </c>
      <c r="G531" s="3" t="s">
        <v>8278</v>
      </c>
    </row>
    <row r="532" spans="1:7" x14ac:dyDescent="0.2">
      <c r="A532" s="3" t="s">
        <v>8814</v>
      </c>
      <c r="B532" s="3" t="s">
        <v>2412</v>
      </c>
      <c r="C532" s="3" t="s">
        <v>8282</v>
      </c>
      <c r="D532" s="3" t="s">
        <v>1072</v>
      </c>
      <c r="E532" s="3" t="s">
        <v>1072</v>
      </c>
      <c r="F532" s="3">
        <v>0</v>
      </c>
      <c r="G532" s="3" t="s">
        <v>8278</v>
      </c>
    </row>
    <row r="533" spans="1:7" x14ac:dyDescent="0.2">
      <c r="A533" s="3" t="s">
        <v>8815</v>
      </c>
      <c r="B533" s="3" t="s">
        <v>2415</v>
      </c>
      <c r="C533" s="3" t="s">
        <v>8282</v>
      </c>
      <c r="D533" s="3" t="s">
        <v>1668</v>
      </c>
      <c r="E533" s="3" t="s">
        <v>1668</v>
      </c>
      <c r="F533" s="3">
        <v>0</v>
      </c>
      <c r="G533" s="3" t="s">
        <v>8278</v>
      </c>
    </row>
    <row r="534" spans="1:7" x14ac:dyDescent="0.2">
      <c r="A534" s="3" t="s">
        <v>8816</v>
      </c>
      <c r="B534" s="3" t="s">
        <v>2417</v>
      </c>
      <c r="C534" s="3" t="s">
        <v>8277</v>
      </c>
      <c r="D534" s="3" t="s">
        <v>480</v>
      </c>
      <c r="E534" s="3" t="s">
        <v>480</v>
      </c>
      <c r="F534" s="3">
        <v>0</v>
      </c>
      <c r="G534" s="3" t="s">
        <v>8278</v>
      </c>
    </row>
    <row r="535" spans="1:7" x14ac:dyDescent="0.2">
      <c r="A535" s="3" t="s">
        <v>8817</v>
      </c>
      <c r="B535" s="3" t="s">
        <v>2418</v>
      </c>
      <c r="C535" s="3" t="s">
        <v>8286</v>
      </c>
      <c r="D535" s="3" t="s">
        <v>885</v>
      </c>
      <c r="E535" s="3" t="s">
        <v>885</v>
      </c>
      <c r="F535" s="3">
        <v>0</v>
      </c>
      <c r="G535" s="3" t="s">
        <v>8278</v>
      </c>
    </row>
    <row r="536" spans="1:7" x14ac:dyDescent="0.2">
      <c r="A536" s="3" t="s">
        <v>8818</v>
      </c>
      <c r="B536" s="3" t="s">
        <v>2421</v>
      </c>
      <c r="C536" s="3" t="s">
        <v>8290</v>
      </c>
      <c r="D536" s="3" t="s">
        <v>1283</v>
      </c>
      <c r="E536" s="3" t="s">
        <v>1283</v>
      </c>
      <c r="F536" s="3">
        <v>0</v>
      </c>
      <c r="G536" s="3" t="s">
        <v>8278</v>
      </c>
    </row>
    <row r="537" spans="1:7" x14ac:dyDescent="0.2">
      <c r="A537" s="3" t="s">
        <v>8819</v>
      </c>
      <c r="B537" s="3" t="s">
        <v>2428</v>
      </c>
      <c r="C537" s="3" t="s">
        <v>8282</v>
      </c>
      <c r="D537" s="3" t="s">
        <v>515</v>
      </c>
      <c r="E537" s="3" t="s">
        <v>515</v>
      </c>
      <c r="F537" s="3">
        <v>0</v>
      </c>
      <c r="G537" s="3" t="s">
        <v>8278</v>
      </c>
    </row>
    <row r="538" spans="1:7" x14ac:dyDescent="0.2">
      <c r="A538" s="3" t="s">
        <v>8820</v>
      </c>
      <c r="B538" s="3" t="s">
        <v>2433</v>
      </c>
      <c r="C538" s="3" t="s">
        <v>8277</v>
      </c>
      <c r="D538" s="3" t="s">
        <v>1197</v>
      </c>
      <c r="E538" s="3" t="s">
        <v>1197</v>
      </c>
      <c r="F538" s="3">
        <v>0</v>
      </c>
      <c r="G538" s="3" t="s">
        <v>8278</v>
      </c>
    </row>
    <row r="539" spans="1:7" x14ac:dyDescent="0.2">
      <c r="A539" s="3" t="s">
        <v>8821</v>
      </c>
      <c r="B539" s="3" t="s">
        <v>2446</v>
      </c>
      <c r="C539" s="3" t="s">
        <v>8290</v>
      </c>
      <c r="D539" s="3" t="s">
        <v>345</v>
      </c>
      <c r="E539" s="3" t="s">
        <v>345</v>
      </c>
      <c r="F539" s="3">
        <v>0</v>
      </c>
      <c r="G539" s="3" t="s">
        <v>8278</v>
      </c>
    </row>
    <row r="540" spans="1:7" x14ac:dyDescent="0.2">
      <c r="A540" s="3" t="s">
        <v>8822</v>
      </c>
      <c r="B540" s="3" t="s">
        <v>2450</v>
      </c>
      <c r="C540" s="3" t="s">
        <v>8286</v>
      </c>
      <c r="D540" s="3" t="s">
        <v>1062</v>
      </c>
      <c r="E540" s="3" t="s">
        <v>1062</v>
      </c>
      <c r="F540" s="3">
        <v>0</v>
      </c>
      <c r="G540" s="3" t="s">
        <v>8278</v>
      </c>
    </row>
    <row r="541" spans="1:7" x14ac:dyDescent="0.2">
      <c r="A541" s="3" t="s">
        <v>8823</v>
      </c>
      <c r="B541" s="3" t="s">
        <v>2451</v>
      </c>
      <c r="C541" s="3" t="s">
        <v>8280</v>
      </c>
      <c r="D541" s="3" t="s">
        <v>874</v>
      </c>
      <c r="E541" s="3" t="s">
        <v>874</v>
      </c>
      <c r="F541" s="3">
        <v>0</v>
      </c>
      <c r="G541" s="3" t="s">
        <v>8278</v>
      </c>
    </row>
    <row r="542" spans="1:7" x14ac:dyDescent="0.2">
      <c r="A542" s="3" t="s">
        <v>8824</v>
      </c>
      <c r="B542" s="3" t="s">
        <v>2456</v>
      </c>
      <c r="C542" s="3" t="s">
        <v>8288</v>
      </c>
      <c r="D542" s="3" t="s">
        <v>457</v>
      </c>
      <c r="E542" s="3" t="s">
        <v>457</v>
      </c>
      <c r="F542" s="3">
        <v>0</v>
      </c>
      <c r="G542" s="3" t="s">
        <v>8278</v>
      </c>
    </row>
    <row r="543" spans="1:7" x14ac:dyDescent="0.2">
      <c r="A543" s="3" t="s">
        <v>8825</v>
      </c>
      <c r="B543" s="3" t="s">
        <v>2463</v>
      </c>
      <c r="C543" s="3" t="s">
        <v>8290</v>
      </c>
      <c r="D543" s="3" t="s">
        <v>1274</v>
      </c>
      <c r="E543" s="3" t="s">
        <v>1274</v>
      </c>
      <c r="F543" s="3">
        <v>0</v>
      </c>
      <c r="G543" s="3" t="s">
        <v>8278</v>
      </c>
    </row>
    <row r="544" spans="1:7" x14ac:dyDescent="0.2">
      <c r="A544" s="3" t="s">
        <v>8826</v>
      </c>
      <c r="B544" s="3" t="s">
        <v>2465</v>
      </c>
      <c r="C544" s="3" t="s">
        <v>8288</v>
      </c>
      <c r="D544" s="3" t="s">
        <v>740</v>
      </c>
      <c r="E544" s="3" t="s">
        <v>740</v>
      </c>
      <c r="F544" s="3">
        <v>0</v>
      </c>
      <c r="G544" s="3" t="s">
        <v>8278</v>
      </c>
    </row>
    <row r="545" spans="1:7" x14ac:dyDescent="0.2">
      <c r="A545" s="3" t="s">
        <v>8827</v>
      </c>
      <c r="B545" s="3" t="s">
        <v>2466</v>
      </c>
      <c r="C545" s="3" t="s">
        <v>8280</v>
      </c>
      <c r="D545" s="3" t="s">
        <v>356</v>
      </c>
      <c r="E545" s="3" t="s">
        <v>356</v>
      </c>
      <c r="F545" s="3">
        <v>0</v>
      </c>
      <c r="G545" s="3" t="s">
        <v>8278</v>
      </c>
    </row>
    <row r="546" spans="1:7" x14ac:dyDescent="0.2">
      <c r="A546" s="3" t="s">
        <v>8828</v>
      </c>
      <c r="B546" s="3" t="s">
        <v>2473</v>
      </c>
      <c r="C546" s="3" t="s">
        <v>8277</v>
      </c>
      <c r="D546" s="3" t="s">
        <v>364</v>
      </c>
      <c r="E546" s="3" t="s">
        <v>364</v>
      </c>
      <c r="F546" s="3">
        <v>0</v>
      </c>
      <c r="G546" s="3" t="s">
        <v>8278</v>
      </c>
    </row>
    <row r="547" spans="1:7" x14ac:dyDescent="0.2">
      <c r="A547" s="3" t="s">
        <v>8829</v>
      </c>
      <c r="B547" s="3" t="s">
        <v>2476</v>
      </c>
      <c r="C547" s="3" t="s">
        <v>8290</v>
      </c>
      <c r="D547" s="3" t="s">
        <v>844</v>
      </c>
      <c r="E547" s="3" t="s">
        <v>844</v>
      </c>
      <c r="F547" s="3">
        <v>0</v>
      </c>
      <c r="G547" s="3" t="s">
        <v>8278</v>
      </c>
    </row>
    <row r="548" spans="1:7" x14ac:dyDescent="0.2">
      <c r="A548" s="3" t="s">
        <v>8830</v>
      </c>
      <c r="B548" s="3" t="s">
        <v>2478</v>
      </c>
      <c r="C548" s="3" t="s">
        <v>8280</v>
      </c>
      <c r="D548" s="3" t="s">
        <v>304</v>
      </c>
      <c r="E548" s="3" t="s">
        <v>304</v>
      </c>
      <c r="F548" s="3">
        <v>0</v>
      </c>
      <c r="G548" s="3" t="s">
        <v>8278</v>
      </c>
    </row>
    <row r="549" spans="1:7" x14ac:dyDescent="0.2">
      <c r="A549" s="3" t="s">
        <v>8831</v>
      </c>
      <c r="B549" s="3" t="s">
        <v>2479</v>
      </c>
      <c r="C549" s="3" t="s">
        <v>8277</v>
      </c>
      <c r="D549" s="3" t="s">
        <v>296</v>
      </c>
      <c r="E549" s="3" t="s">
        <v>296</v>
      </c>
      <c r="F549" s="3">
        <v>0</v>
      </c>
      <c r="G549" s="3" t="s">
        <v>8278</v>
      </c>
    </row>
    <row r="550" spans="1:7" x14ac:dyDescent="0.2">
      <c r="A550" s="3" t="s">
        <v>8832</v>
      </c>
      <c r="B550" s="3" t="s">
        <v>2482</v>
      </c>
      <c r="C550" s="3" t="s">
        <v>8286</v>
      </c>
      <c r="D550" s="3" t="s">
        <v>1183</v>
      </c>
      <c r="E550" s="3" t="s">
        <v>1183</v>
      </c>
      <c r="F550" s="3">
        <v>0</v>
      </c>
      <c r="G550" s="3" t="s">
        <v>8278</v>
      </c>
    </row>
    <row r="551" spans="1:7" x14ac:dyDescent="0.2">
      <c r="A551" s="3" t="s">
        <v>8833</v>
      </c>
      <c r="B551" s="3" t="s">
        <v>2487</v>
      </c>
      <c r="C551" s="3" t="s">
        <v>8288</v>
      </c>
      <c r="D551" s="3" t="s">
        <v>1627</v>
      </c>
      <c r="E551" s="3" t="s">
        <v>1627</v>
      </c>
      <c r="F551" s="3">
        <v>0</v>
      </c>
      <c r="G551" s="3" t="s">
        <v>8278</v>
      </c>
    </row>
    <row r="552" spans="1:7" x14ac:dyDescent="0.2">
      <c r="A552" s="3" t="s">
        <v>8834</v>
      </c>
      <c r="B552" s="3" t="s">
        <v>2490</v>
      </c>
      <c r="C552" s="3" t="s">
        <v>8288</v>
      </c>
      <c r="D552" s="3" t="s">
        <v>311</v>
      </c>
      <c r="E552" s="3" t="s">
        <v>311</v>
      </c>
      <c r="F552" s="3">
        <v>0</v>
      </c>
      <c r="G552" s="3" t="s">
        <v>8278</v>
      </c>
    </row>
    <row r="553" spans="1:7" x14ac:dyDescent="0.2">
      <c r="A553" s="3" t="s">
        <v>8835</v>
      </c>
      <c r="B553" s="3" t="s">
        <v>2497</v>
      </c>
      <c r="C553" s="3" t="s">
        <v>8282</v>
      </c>
      <c r="D553" s="3" t="s">
        <v>890</v>
      </c>
      <c r="E553" s="3" t="s">
        <v>890</v>
      </c>
      <c r="F553" s="3">
        <v>0</v>
      </c>
      <c r="G553" s="3" t="s">
        <v>8278</v>
      </c>
    </row>
    <row r="554" spans="1:7" x14ac:dyDescent="0.2">
      <c r="A554" s="3" t="s">
        <v>8836</v>
      </c>
      <c r="B554" s="3" t="s">
        <v>2498</v>
      </c>
      <c r="C554" s="3" t="s">
        <v>8277</v>
      </c>
      <c r="D554" s="3" t="s">
        <v>1301</v>
      </c>
      <c r="E554" s="3" t="s">
        <v>1301</v>
      </c>
      <c r="F554" s="3">
        <v>0</v>
      </c>
      <c r="G554" s="3" t="s">
        <v>8278</v>
      </c>
    </row>
    <row r="555" spans="1:7" x14ac:dyDescent="0.2">
      <c r="A555" s="3" t="s">
        <v>8837</v>
      </c>
      <c r="B555" s="3" t="s">
        <v>2501</v>
      </c>
      <c r="C555" s="3" t="s">
        <v>8286</v>
      </c>
      <c r="D555" s="3" t="s">
        <v>261</v>
      </c>
      <c r="E555" s="3" t="s">
        <v>504</v>
      </c>
      <c r="F555" s="3">
        <v>13</v>
      </c>
      <c r="G555" s="3" t="s">
        <v>8284</v>
      </c>
    </row>
    <row r="556" spans="1:7" x14ac:dyDescent="0.2">
      <c r="A556" s="3" t="s">
        <v>8838</v>
      </c>
      <c r="B556" s="3" t="s">
        <v>2502</v>
      </c>
      <c r="C556" s="3" t="s">
        <v>8286</v>
      </c>
      <c r="D556" s="3" t="s">
        <v>341</v>
      </c>
      <c r="E556" s="3" t="s">
        <v>341</v>
      </c>
      <c r="F556" s="3">
        <v>0</v>
      </c>
      <c r="G556" s="3" t="s">
        <v>8278</v>
      </c>
    </row>
    <row r="557" spans="1:7" x14ac:dyDescent="0.2">
      <c r="A557" s="3" t="s">
        <v>8839</v>
      </c>
      <c r="B557" s="3" t="s">
        <v>2511</v>
      </c>
      <c r="C557" s="3" t="s">
        <v>8286</v>
      </c>
      <c r="D557" s="3" t="s">
        <v>2029</v>
      </c>
      <c r="E557" s="3" t="s">
        <v>2029</v>
      </c>
      <c r="F557" s="3">
        <v>0</v>
      </c>
      <c r="G557" s="3" t="s">
        <v>8278</v>
      </c>
    </row>
    <row r="558" spans="1:7" x14ac:dyDescent="0.2">
      <c r="A558" s="3" t="s">
        <v>8840</v>
      </c>
      <c r="B558" s="3" t="s">
        <v>2518</v>
      </c>
      <c r="C558" s="3" t="s">
        <v>8280</v>
      </c>
      <c r="D558" s="3" t="s">
        <v>1728</v>
      </c>
      <c r="E558" s="3" t="s">
        <v>1728</v>
      </c>
      <c r="F558" s="3">
        <v>0</v>
      </c>
      <c r="G558" s="3" t="s">
        <v>8278</v>
      </c>
    </row>
    <row r="559" spans="1:7" x14ac:dyDescent="0.2">
      <c r="A559" s="3" t="s">
        <v>8841</v>
      </c>
      <c r="B559" s="3" t="s">
        <v>2520</v>
      </c>
      <c r="C559" s="3" t="s">
        <v>8290</v>
      </c>
      <c r="D559" s="3" t="s">
        <v>1072</v>
      </c>
      <c r="E559" s="3" t="s">
        <v>556</v>
      </c>
      <c r="F559" s="3">
        <v>5</v>
      </c>
      <c r="G559" s="3" t="s">
        <v>8284</v>
      </c>
    </row>
    <row r="560" spans="1:7" x14ac:dyDescent="0.2">
      <c r="A560" s="3" t="s">
        <v>8842</v>
      </c>
      <c r="B560" s="3" t="s">
        <v>2522</v>
      </c>
      <c r="C560" s="3" t="s">
        <v>8280</v>
      </c>
      <c r="D560" s="3" t="s">
        <v>631</v>
      </c>
      <c r="E560" s="3" t="s">
        <v>631</v>
      </c>
      <c r="F560" s="3">
        <v>0</v>
      </c>
      <c r="G560" s="3" t="s">
        <v>8278</v>
      </c>
    </row>
    <row r="561" spans="1:7" x14ac:dyDescent="0.2">
      <c r="A561" s="3" t="s">
        <v>8843</v>
      </c>
      <c r="B561" s="3" t="s">
        <v>2525</v>
      </c>
      <c r="C561" s="3" t="s">
        <v>8288</v>
      </c>
      <c r="D561" s="3" t="s">
        <v>2009</v>
      </c>
      <c r="E561" s="3" t="s">
        <v>2009</v>
      </c>
      <c r="F561" s="3">
        <v>0</v>
      </c>
      <c r="G561" s="3" t="s">
        <v>8278</v>
      </c>
    </row>
    <row r="562" spans="1:7" x14ac:dyDescent="0.2">
      <c r="A562" s="3" t="s">
        <v>8844</v>
      </c>
      <c r="B562" s="3" t="s">
        <v>2527</v>
      </c>
      <c r="C562" s="3" t="s">
        <v>8288</v>
      </c>
      <c r="D562" s="3" t="s">
        <v>690</v>
      </c>
      <c r="E562" s="3" t="s">
        <v>690</v>
      </c>
      <c r="F562" s="3">
        <v>0</v>
      </c>
      <c r="G562" s="3" t="s">
        <v>8278</v>
      </c>
    </row>
    <row r="563" spans="1:7" x14ac:dyDescent="0.2">
      <c r="A563" s="3" t="s">
        <v>8845</v>
      </c>
      <c r="B563" s="3" t="s">
        <v>2531</v>
      </c>
      <c r="C563" s="3" t="s">
        <v>8288</v>
      </c>
      <c r="D563" s="3" t="s">
        <v>1236</v>
      </c>
      <c r="E563" s="3" t="s">
        <v>1236</v>
      </c>
      <c r="F563" s="3">
        <v>0</v>
      </c>
      <c r="G563" s="3" t="s">
        <v>8278</v>
      </c>
    </row>
    <row r="564" spans="1:7" x14ac:dyDescent="0.2">
      <c r="A564" s="3" t="s">
        <v>8846</v>
      </c>
      <c r="B564" s="3" t="s">
        <v>2536</v>
      </c>
      <c r="C564" s="3" t="s">
        <v>8277</v>
      </c>
      <c r="D564" s="3" t="s">
        <v>633</v>
      </c>
      <c r="E564" s="3" t="s">
        <v>399</v>
      </c>
      <c r="F564" s="3">
        <v>5</v>
      </c>
      <c r="G564" s="3" t="s">
        <v>8284</v>
      </c>
    </row>
    <row r="565" spans="1:7" x14ac:dyDescent="0.2">
      <c r="A565" s="3" t="s">
        <v>8847</v>
      </c>
      <c r="B565" s="3" t="s">
        <v>2537</v>
      </c>
      <c r="C565" s="3" t="s">
        <v>8290</v>
      </c>
      <c r="D565" s="3" t="s">
        <v>1133</v>
      </c>
      <c r="E565" s="3" t="s">
        <v>1133</v>
      </c>
      <c r="F565" s="3">
        <v>0</v>
      </c>
      <c r="G565" s="3" t="s">
        <v>8278</v>
      </c>
    </row>
    <row r="566" spans="1:7" x14ac:dyDescent="0.2">
      <c r="A566" s="3" t="s">
        <v>8848</v>
      </c>
      <c r="B566" s="3" t="s">
        <v>2546</v>
      </c>
      <c r="C566" s="3" t="s">
        <v>8288</v>
      </c>
      <c r="D566" s="3" t="s">
        <v>572</v>
      </c>
      <c r="E566" s="3" t="s">
        <v>572</v>
      </c>
      <c r="F566" s="3">
        <v>0</v>
      </c>
      <c r="G566" s="3" t="s">
        <v>8278</v>
      </c>
    </row>
    <row r="567" spans="1:7" x14ac:dyDescent="0.2">
      <c r="A567" s="3" t="s">
        <v>8849</v>
      </c>
      <c r="B567" s="3" t="s">
        <v>2548</v>
      </c>
      <c r="C567" s="3" t="s">
        <v>8290</v>
      </c>
      <c r="D567" s="3" t="s">
        <v>1062</v>
      </c>
      <c r="E567" s="3" t="s">
        <v>1062</v>
      </c>
      <c r="F567" s="3">
        <v>0</v>
      </c>
      <c r="G567" s="3" t="s">
        <v>8278</v>
      </c>
    </row>
    <row r="568" spans="1:7" x14ac:dyDescent="0.2">
      <c r="A568" s="3" t="s">
        <v>8850</v>
      </c>
      <c r="B568" s="3" t="s">
        <v>2549</v>
      </c>
      <c r="C568" s="3" t="s">
        <v>8290</v>
      </c>
      <c r="D568" s="3" t="s">
        <v>1685</v>
      </c>
      <c r="E568" s="3" t="s">
        <v>300</v>
      </c>
      <c r="F568" s="3">
        <v>10</v>
      </c>
      <c r="G568" s="3" t="s">
        <v>8284</v>
      </c>
    </row>
    <row r="569" spans="1:7" x14ac:dyDescent="0.2">
      <c r="A569" s="3" t="s">
        <v>8851</v>
      </c>
      <c r="B569" s="3" t="s">
        <v>2551</v>
      </c>
      <c r="C569" s="3" t="s">
        <v>8286</v>
      </c>
      <c r="D569" s="3" t="s">
        <v>520</v>
      </c>
      <c r="E569" s="3" t="s">
        <v>520</v>
      </c>
      <c r="F569" s="3">
        <v>0</v>
      </c>
      <c r="G569" s="3" t="s">
        <v>8278</v>
      </c>
    </row>
    <row r="570" spans="1:7" x14ac:dyDescent="0.2">
      <c r="A570" s="3" t="s">
        <v>8852</v>
      </c>
      <c r="B570" s="3" t="s">
        <v>2553</v>
      </c>
      <c r="C570" s="3" t="s">
        <v>8286</v>
      </c>
      <c r="D570" s="3" t="s">
        <v>552</v>
      </c>
      <c r="E570" s="3" t="s">
        <v>552</v>
      </c>
      <c r="F570" s="3">
        <v>0</v>
      </c>
      <c r="G570" s="3" t="s">
        <v>8278</v>
      </c>
    </row>
    <row r="571" spans="1:7" x14ac:dyDescent="0.2">
      <c r="A571" s="3" t="s">
        <v>8853</v>
      </c>
      <c r="B571" s="3" t="s">
        <v>2555</v>
      </c>
      <c r="C571" s="3" t="s">
        <v>8290</v>
      </c>
      <c r="D571" s="3" t="s">
        <v>453</v>
      </c>
      <c r="E571" s="3" t="s">
        <v>453</v>
      </c>
      <c r="F571" s="3">
        <v>0</v>
      </c>
      <c r="G571" s="3" t="s">
        <v>8278</v>
      </c>
    </row>
    <row r="572" spans="1:7" x14ac:dyDescent="0.2">
      <c r="A572" s="3" t="s">
        <v>8854</v>
      </c>
      <c r="B572" s="3" t="s">
        <v>2557</v>
      </c>
      <c r="C572" s="3" t="s">
        <v>8288</v>
      </c>
      <c r="D572" s="3" t="s">
        <v>746</v>
      </c>
      <c r="E572" s="3" t="s">
        <v>746</v>
      </c>
      <c r="F572" s="3">
        <v>0</v>
      </c>
      <c r="G572" s="3" t="s">
        <v>8278</v>
      </c>
    </row>
    <row r="573" spans="1:7" x14ac:dyDescent="0.2">
      <c r="A573" s="3" t="s">
        <v>8855</v>
      </c>
      <c r="B573" s="3" t="s">
        <v>2562</v>
      </c>
      <c r="C573" s="3" t="s">
        <v>8277</v>
      </c>
      <c r="D573" s="3" t="s">
        <v>1154</v>
      </c>
      <c r="E573" s="3" t="s">
        <v>1154</v>
      </c>
      <c r="F573" s="3">
        <v>0</v>
      </c>
      <c r="G573" s="3" t="s">
        <v>8278</v>
      </c>
    </row>
    <row r="574" spans="1:7" x14ac:dyDescent="0.2">
      <c r="A574" s="3" t="s">
        <v>8856</v>
      </c>
      <c r="B574" s="3" t="s">
        <v>2564</v>
      </c>
      <c r="C574" s="3" t="s">
        <v>8280</v>
      </c>
      <c r="D574" s="3" t="s">
        <v>214</v>
      </c>
      <c r="E574" s="3" t="s">
        <v>1668</v>
      </c>
      <c r="F574" s="3">
        <v>3</v>
      </c>
      <c r="G574" s="3" t="s">
        <v>8284</v>
      </c>
    </row>
    <row r="575" spans="1:7" x14ac:dyDescent="0.2">
      <c r="A575" s="3" t="s">
        <v>8857</v>
      </c>
      <c r="B575" s="3" t="s">
        <v>2565</v>
      </c>
      <c r="C575" s="3" t="s">
        <v>8286</v>
      </c>
      <c r="D575" s="3" t="s">
        <v>470</v>
      </c>
      <c r="E575" s="3" t="s">
        <v>470</v>
      </c>
      <c r="F575" s="3">
        <v>0</v>
      </c>
      <c r="G575" s="3" t="s">
        <v>8278</v>
      </c>
    </row>
    <row r="576" spans="1:7" x14ac:dyDescent="0.2">
      <c r="A576" s="3" t="s">
        <v>8858</v>
      </c>
      <c r="B576" s="3" t="s">
        <v>2566</v>
      </c>
      <c r="C576" s="3" t="s">
        <v>8288</v>
      </c>
      <c r="D576" s="3" t="s">
        <v>571</v>
      </c>
      <c r="E576" s="3" t="s">
        <v>571</v>
      </c>
      <c r="F576" s="3">
        <v>0</v>
      </c>
      <c r="G576" s="3" t="s">
        <v>8278</v>
      </c>
    </row>
    <row r="577" spans="1:7" x14ac:dyDescent="0.2">
      <c r="A577" s="3" t="s">
        <v>8859</v>
      </c>
      <c r="B577" s="3" t="s">
        <v>2570</v>
      </c>
      <c r="C577" s="3" t="s">
        <v>8286</v>
      </c>
      <c r="D577" s="3" t="s">
        <v>1417</v>
      </c>
      <c r="E577" s="3" t="s">
        <v>1417</v>
      </c>
      <c r="F577" s="3">
        <v>0</v>
      </c>
      <c r="G577" s="3" t="s">
        <v>8278</v>
      </c>
    </row>
    <row r="578" spans="1:7" x14ac:dyDescent="0.2">
      <c r="A578" s="3" t="s">
        <v>8860</v>
      </c>
      <c r="B578" s="3" t="s">
        <v>2576</v>
      </c>
      <c r="C578" s="3" t="s">
        <v>8280</v>
      </c>
      <c r="D578" s="3" t="s">
        <v>863</v>
      </c>
      <c r="E578" s="3" t="s">
        <v>863</v>
      </c>
      <c r="F578" s="3">
        <v>0</v>
      </c>
      <c r="G578" s="3" t="s">
        <v>8278</v>
      </c>
    </row>
    <row r="579" spans="1:7" x14ac:dyDescent="0.2">
      <c r="A579" s="3" t="s">
        <v>8861</v>
      </c>
      <c r="B579" s="3" t="s">
        <v>2578</v>
      </c>
      <c r="C579" s="3" t="s">
        <v>8282</v>
      </c>
      <c r="D579" s="3" t="s">
        <v>305</v>
      </c>
      <c r="E579" s="3" t="s">
        <v>305</v>
      </c>
      <c r="F579" s="3">
        <v>0</v>
      </c>
      <c r="G579" s="3" t="s">
        <v>8278</v>
      </c>
    </row>
    <row r="580" spans="1:7" x14ac:dyDescent="0.2">
      <c r="A580" s="3" t="s">
        <v>8862</v>
      </c>
      <c r="B580" s="3" t="s">
        <v>2580</v>
      </c>
      <c r="C580" s="3" t="s">
        <v>8277</v>
      </c>
      <c r="D580" s="3" t="s">
        <v>360</v>
      </c>
      <c r="E580" s="3" t="s">
        <v>360</v>
      </c>
      <c r="F580" s="3">
        <v>0</v>
      </c>
      <c r="G580" s="3" t="s">
        <v>8278</v>
      </c>
    </row>
    <row r="581" spans="1:7" x14ac:dyDescent="0.2">
      <c r="A581" s="3" t="s">
        <v>8863</v>
      </c>
      <c r="B581" s="3" t="s">
        <v>2581</v>
      </c>
      <c r="C581" s="3" t="s">
        <v>8277</v>
      </c>
      <c r="D581" s="3" t="s">
        <v>311</v>
      </c>
      <c r="E581" s="3" t="s">
        <v>311</v>
      </c>
      <c r="F581" s="3">
        <v>0</v>
      </c>
      <c r="G581" s="3" t="s">
        <v>8278</v>
      </c>
    </row>
    <row r="582" spans="1:7" x14ac:dyDescent="0.2">
      <c r="A582" s="3" t="s">
        <v>8864</v>
      </c>
      <c r="B582" s="3" t="s">
        <v>2584</v>
      </c>
      <c r="C582" s="3" t="s">
        <v>8282</v>
      </c>
      <c r="D582" s="3" t="s">
        <v>1315</v>
      </c>
      <c r="E582" s="3" t="s">
        <v>1315</v>
      </c>
      <c r="F582" s="3">
        <v>0</v>
      </c>
      <c r="G582" s="3" t="s">
        <v>8278</v>
      </c>
    </row>
    <row r="583" spans="1:7" x14ac:dyDescent="0.2">
      <c r="A583" s="3" t="s">
        <v>8865</v>
      </c>
      <c r="B583" s="3" t="s">
        <v>2586</v>
      </c>
      <c r="C583" s="3" t="s">
        <v>8277</v>
      </c>
      <c r="D583" s="3" t="s">
        <v>637</v>
      </c>
      <c r="E583" s="3" t="s">
        <v>637</v>
      </c>
      <c r="F583" s="3">
        <v>0</v>
      </c>
      <c r="G583" s="3" t="s">
        <v>8278</v>
      </c>
    </row>
    <row r="584" spans="1:7" x14ac:dyDescent="0.2">
      <c r="A584" s="3" t="s">
        <v>8866</v>
      </c>
      <c r="B584" s="3" t="s">
        <v>2588</v>
      </c>
      <c r="C584" s="3" t="s">
        <v>8286</v>
      </c>
      <c r="D584" s="3" t="s">
        <v>995</v>
      </c>
      <c r="E584" s="3" t="s">
        <v>995</v>
      </c>
      <c r="F584" s="3">
        <v>0</v>
      </c>
      <c r="G584" s="3" t="s">
        <v>8278</v>
      </c>
    </row>
    <row r="585" spans="1:7" x14ac:dyDescent="0.2">
      <c r="A585" s="3" t="s">
        <v>8867</v>
      </c>
      <c r="B585" s="3" t="s">
        <v>2591</v>
      </c>
      <c r="C585" s="3" t="s">
        <v>8288</v>
      </c>
      <c r="D585" s="3" t="s">
        <v>1299</v>
      </c>
      <c r="E585" s="3" t="s">
        <v>643</v>
      </c>
      <c r="F585" s="3">
        <v>2</v>
      </c>
      <c r="G585" s="3" t="s">
        <v>8284</v>
      </c>
    </row>
    <row r="586" spans="1:7" x14ac:dyDescent="0.2">
      <c r="A586" s="3" t="s">
        <v>8868</v>
      </c>
      <c r="B586" s="3" t="s">
        <v>2592</v>
      </c>
      <c r="C586" s="3" t="s">
        <v>8280</v>
      </c>
      <c r="D586" s="3" t="s">
        <v>877</v>
      </c>
      <c r="E586" s="3" t="s">
        <v>158</v>
      </c>
      <c r="F586" s="3">
        <v>3</v>
      </c>
      <c r="G586" s="3" t="s">
        <v>8284</v>
      </c>
    </row>
    <row r="587" spans="1:7" x14ac:dyDescent="0.2">
      <c r="A587" s="3" t="s">
        <v>8869</v>
      </c>
      <c r="B587" s="3" t="s">
        <v>2594</v>
      </c>
      <c r="C587" s="3" t="s">
        <v>8288</v>
      </c>
      <c r="D587" s="3" t="s">
        <v>858</v>
      </c>
      <c r="E587" s="3" t="s">
        <v>858</v>
      </c>
      <c r="F587" s="3">
        <v>0</v>
      </c>
      <c r="G587" s="3" t="s">
        <v>8278</v>
      </c>
    </row>
    <row r="588" spans="1:7" x14ac:dyDescent="0.2">
      <c r="A588" s="3" t="s">
        <v>8870</v>
      </c>
      <c r="B588" s="3" t="s">
        <v>2595</v>
      </c>
      <c r="C588" s="3" t="s">
        <v>8280</v>
      </c>
      <c r="D588" s="3" t="s">
        <v>417</v>
      </c>
      <c r="E588" s="3" t="s">
        <v>417</v>
      </c>
      <c r="F588" s="3">
        <v>0</v>
      </c>
      <c r="G588" s="3" t="s">
        <v>8278</v>
      </c>
    </row>
    <row r="589" spans="1:7" x14ac:dyDescent="0.2">
      <c r="A589" s="3" t="s">
        <v>8871</v>
      </c>
      <c r="B589" s="3" t="s">
        <v>2597</v>
      </c>
      <c r="C589" s="3" t="s">
        <v>8282</v>
      </c>
      <c r="D589" s="3" t="s">
        <v>794</v>
      </c>
      <c r="E589" s="3" t="s">
        <v>794</v>
      </c>
      <c r="F589" s="3">
        <v>0</v>
      </c>
      <c r="G589" s="3" t="s">
        <v>8278</v>
      </c>
    </row>
    <row r="590" spans="1:7" x14ac:dyDescent="0.2">
      <c r="A590" s="3" t="s">
        <v>8872</v>
      </c>
      <c r="B590" s="3" t="s">
        <v>2601</v>
      </c>
      <c r="C590" s="3" t="s">
        <v>8277</v>
      </c>
      <c r="D590" s="3" t="s">
        <v>724</v>
      </c>
      <c r="E590" s="3" t="s">
        <v>724</v>
      </c>
      <c r="F590" s="3">
        <v>0</v>
      </c>
      <c r="G590" s="3" t="s">
        <v>8278</v>
      </c>
    </row>
    <row r="591" spans="1:7" x14ac:dyDescent="0.2">
      <c r="A591" s="3" t="s">
        <v>8873</v>
      </c>
      <c r="B591" s="3" t="s">
        <v>2604</v>
      </c>
      <c r="C591" s="3" t="s">
        <v>8288</v>
      </c>
      <c r="D591" s="3" t="s">
        <v>826</v>
      </c>
      <c r="E591" s="3" t="s">
        <v>826</v>
      </c>
      <c r="F591" s="3">
        <v>0</v>
      </c>
      <c r="G591" s="3" t="s">
        <v>8278</v>
      </c>
    </row>
    <row r="592" spans="1:7" x14ac:dyDescent="0.2">
      <c r="A592" s="3" t="s">
        <v>8874</v>
      </c>
      <c r="B592" s="3" t="s">
        <v>2609</v>
      </c>
      <c r="C592" s="3" t="s">
        <v>8290</v>
      </c>
      <c r="D592" s="3" t="s">
        <v>463</v>
      </c>
      <c r="E592" s="3" t="s">
        <v>463</v>
      </c>
      <c r="F592" s="3">
        <v>0</v>
      </c>
      <c r="G592" s="3" t="s">
        <v>8278</v>
      </c>
    </row>
    <row r="593" spans="1:7" x14ac:dyDescent="0.2">
      <c r="A593" s="3" t="s">
        <v>8875</v>
      </c>
      <c r="B593" s="3" t="s">
        <v>2610</v>
      </c>
      <c r="C593" s="3" t="s">
        <v>8277</v>
      </c>
      <c r="D593" s="3" t="s">
        <v>856</v>
      </c>
      <c r="E593" s="3" t="s">
        <v>779</v>
      </c>
      <c r="F593" s="3">
        <v>4</v>
      </c>
      <c r="G593" s="3" t="s">
        <v>8284</v>
      </c>
    </row>
    <row r="594" spans="1:7" x14ac:dyDescent="0.2">
      <c r="A594" s="3" t="s">
        <v>8876</v>
      </c>
      <c r="B594" s="3" t="s">
        <v>2611</v>
      </c>
      <c r="C594" s="3" t="s">
        <v>8277</v>
      </c>
      <c r="D594" s="3" t="s">
        <v>1427</v>
      </c>
      <c r="E594" s="3" t="s">
        <v>1427</v>
      </c>
      <c r="F594" s="3">
        <v>0</v>
      </c>
      <c r="G594" s="3" t="s">
        <v>8278</v>
      </c>
    </row>
    <row r="595" spans="1:7" x14ac:dyDescent="0.2">
      <c r="A595" s="3" t="s">
        <v>8877</v>
      </c>
      <c r="B595" s="3" t="s">
        <v>2612</v>
      </c>
      <c r="C595" s="3" t="s">
        <v>8280</v>
      </c>
      <c r="D595" s="3" t="s">
        <v>922</v>
      </c>
      <c r="E595" s="3" t="s">
        <v>922</v>
      </c>
      <c r="F595" s="3">
        <v>0</v>
      </c>
      <c r="G595" s="3" t="s">
        <v>8278</v>
      </c>
    </row>
    <row r="596" spans="1:7" x14ac:dyDescent="0.2">
      <c r="A596" s="3" t="s">
        <v>8878</v>
      </c>
      <c r="B596" s="3" t="s">
        <v>2613</v>
      </c>
      <c r="C596" s="3" t="s">
        <v>8288</v>
      </c>
      <c r="D596" s="3" t="s">
        <v>916</v>
      </c>
      <c r="E596" s="3" t="s">
        <v>916</v>
      </c>
      <c r="F596" s="3">
        <v>0</v>
      </c>
      <c r="G596" s="3" t="s">
        <v>8278</v>
      </c>
    </row>
    <row r="597" spans="1:7" x14ac:dyDescent="0.2">
      <c r="A597" s="3" t="s">
        <v>8879</v>
      </c>
      <c r="B597" s="3" t="s">
        <v>2615</v>
      </c>
      <c r="C597" s="3" t="s">
        <v>8277</v>
      </c>
      <c r="D597" s="3" t="s">
        <v>522</v>
      </c>
      <c r="E597" s="3" t="s">
        <v>522</v>
      </c>
      <c r="F597" s="3">
        <v>0</v>
      </c>
      <c r="G597" s="3" t="s">
        <v>8278</v>
      </c>
    </row>
    <row r="598" spans="1:7" x14ac:dyDescent="0.2">
      <c r="A598" s="3" t="s">
        <v>8880</v>
      </c>
      <c r="B598" s="3" t="s">
        <v>2616</v>
      </c>
      <c r="C598" s="3" t="s">
        <v>8282</v>
      </c>
      <c r="D598" s="3" t="s">
        <v>553</v>
      </c>
      <c r="E598" s="3" t="s">
        <v>296</v>
      </c>
      <c r="F598" s="3">
        <v>12</v>
      </c>
      <c r="G598" s="3" t="s">
        <v>8284</v>
      </c>
    </row>
    <row r="599" spans="1:7" x14ac:dyDescent="0.2">
      <c r="A599" s="3" t="s">
        <v>8881</v>
      </c>
      <c r="B599" s="3" t="s">
        <v>2634</v>
      </c>
      <c r="C599" s="3" t="s">
        <v>8282</v>
      </c>
      <c r="D599" s="3" t="s">
        <v>1262</v>
      </c>
      <c r="E599" s="3" t="s">
        <v>1262</v>
      </c>
      <c r="F599" s="3">
        <v>0</v>
      </c>
      <c r="G599" s="3" t="s">
        <v>8278</v>
      </c>
    </row>
    <row r="600" spans="1:7" x14ac:dyDescent="0.2">
      <c r="A600" s="3" t="s">
        <v>8882</v>
      </c>
      <c r="B600" s="3" t="s">
        <v>2638</v>
      </c>
      <c r="C600" s="3" t="s">
        <v>8290</v>
      </c>
      <c r="D600" s="3" t="s">
        <v>1033</v>
      </c>
      <c r="E600" s="3" t="s">
        <v>563</v>
      </c>
      <c r="F600" s="3">
        <v>2</v>
      </c>
      <c r="G600" s="3" t="s">
        <v>8284</v>
      </c>
    </row>
    <row r="601" spans="1:7" x14ac:dyDescent="0.2">
      <c r="A601" s="3" t="s">
        <v>8883</v>
      </c>
      <c r="B601" s="3" t="s">
        <v>2639</v>
      </c>
      <c r="C601" s="3" t="s">
        <v>8282</v>
      </c>
      <c r="D601" s="3" t="s">
        <v>2048</v>
      </c>
      <c r="E601" s="3" t="s">
        <v>2048</v>
      </c>
      <c r="F601" s="3">
        <v>0</v>
      </c>
      <c r="G601" s="3" t="s">
        <v>8278</v>
      </c>
    </row>
    <row r="602" spans="1:7" x14ac:dyDescent="0.2">
      <c r="A602" s="3" t="s">
        <v>8884</v>
      </c>
      <c r="B602" s="3" t="s">
        <v>2640</v>
      </c>
      <c r="C602" s="3" t="s">
        <v>8288</v>
      </c>
      <c r="D602" s="3" t="s">
        <v>402</v>
      </c>
      <c r="E602" s="3" t="s">
        <v>402</v>
      </c>
      <c r="F602" s="3">
        <v>0</v>
      </c>
      <c r="G602" s="3" t="s">
        <v>8278</v>
      </c>
    </row>
    <row r="603" spans="1:7" x14ac:dyDescent="0.2">
      <c r="A603" s="3" t="s">
        <v>8885</v>
      </c>
      <c r="B603" s="3" t="s">
        <v>2641</v>
      </c>
      <c r="C603" s="3" t="s">
        <v>8288</v>
      </c>
      <c r="D603" s="3" t="s">
        <v>716</v>
      </c>
      <c r="E603" s="3" t="s">
        <v>716</v>
      </c>
      <c r="F603" s="3">
        <v>0</v>
      </c>
      <c r="G603" s="3" t="s">
        <v>8278</v>
      </c>
    </row>
    <row r="604" spans="1:7" x14ac:dyDescent="0.2">
      <c r="A604" s="3" t="s">
        <v>8886</v>
      </c>
      <c r="B604" s="3" t="s">
        <v>2642</v>
      </c>
      <c r="C604" s="3" t="s">
        <v>8288</v>
      </c>
      <c r="D604" s="3" t="s">
        <v>660</v>
      </c>
      <c r="E604" s="3" t="s">
        <v>660</v>
      </c>
      <c r="F604" s="3">
        <v>0</v>
      </c>
      <c r="G604" s="3" t="s">
        <v>8278</v>
      </c>
    </row>
    <row r="605" spans="1:7" x14ac:dyDescent="0.2">
      <c r="A605" s="3" t="s">
        <v>8887</v>
      </c>
      <c r="B605" s="3" t="s">
        <v>2645</v>
      </c>
      <c r="C605" s="3" t="s">
        <v>8286</v>
      </c>
      <c r="D605" s="3" t="s">
        <v>447</v>
      </c>
      <c r="E605" s="3" t="s">
        <v>1446</v>
      </c>
      <c r="F605" s="3">
        <v>7</v>
      </c>
      <c r="G605" s="3" t="s">
        <v>8284</v>
      </c>
    </row>
    <row r="606" spans="1:7" x14ac:dyDescent="0.2">
      <c r="A606" s="3" t="s">
        <v>8888</v>
      </c>
      <c r="B606" s="3" t="s">
        <v>2648</v>
      </c>
      <c r="C606" s="3" t="s">
        <v>8288</v>
      </c>
      <c r="D606" s="3" t="s">
        <v>1156</v>
      </c>
      <c r="E606" s="3" t="s">
        <v>1156</v>
      </c>
      <c r="F606" s="3">
        <v>0</v>
      </c>
      <c r="G606" s="3" t="s">
        <v>8278</v>
      </c>
    </row>
    <row r="607" spans="1:7" x14ac:dyDescent="0.2">
      <c r="A607" s="3" t="s">
        <v>8889</v>
      </c>
      <c r="B607" s="3" t="s">
        <v>2649</v>
      </c>
      <c r="C607" s="3" t="s">
        <v>8280</v>
      </c>
      <c r="D607" s="3" t="s">
        <v>1776</v>
      </c>
      <c r="E607" s="3" t="s">
        <v>1776</v>
      </c>
      <c r="F607" s="3">
        <v>0</v>
      </c>
      <c r="G607" s="3" t="s">
        <v>8278</v>
      </c>
    </row>
    <row r="608" spans="1:7" x14ac:dyDescent="0.2">
      <c r="A608" s="3" t="s">
        <v>8890</v>
      </c>
      <c r="B608" s="3" t="s">
        <v>2651</v>
      </c>
      <c r="C608" s="3" t="s">
        <v>8286</v>
      </c>
      <c r="D608" s="3" t="s">
        <v>620</v>
      </c>
      <c r="E608" s="3" t="s">
        <v>620</v>
      </c>
      <c r="F608" s="3">
        <v>0</v>
      </c>
      <c r="G608" s="3" t="s">
        <v>8278</v>
      </c>
    </row>
    <row r="609" spans="1:7" x14ac:dyDescent="0.2">
      <c r="A609" s="3" t="s">
        <v>8891</v>
      </c>
      <c r="B609" s="3" t="s">
        <v>2652</v>
      </c>
      <c r="C609" s="3" t="s">
        <v>8288</v>
      </c>
      <c r="D609" s="3" t="s">
        <v>947</v>
      </c>
      <c r="E609" s="3" t="s">
        <v>947</v>
      </c>
      <c r="F609" s="3">
        <v>0</v>
      </c>
      <c r="G609" s="3" t="s">
        <v>8278</v>
      </c>
    </row>
    <row r="610" spans="1:7" x14ac:dyDescent="0.2">
      <c r="A610" s="3" t="s">
        <v>8892</v>
      </c>
      <c r="B610" s="3" t="s">
        <v>2654</v>
      </c>
      <c r="C610" s="3" t="s">
        <v>8288</v>
      </c>
      <c r="D610" s="3" t="s">
        <v>457</v>
      </c>
      <c r="E610" s="3" t="s">
        <v>457</v>
      </c>
      <c r="F610" s="3">
        <v>0</v>
      </c>
      <c r="G610" s="3" t="s">
        <v>8278</v>
      </c>
    </row>
    <row r="611" spans="1:7" x14ac:dyDescent="0.2">
      <c r="A611" s="3" t="s">
        <v>8893</v>
      </c>
      <c r="B611" s="3" t="s">
        <v>2660</v>
      </c>
      <c r="C611" s="3" t="s">
        <v>8286</v>
      </c>
      <c r="D611" s="3" t="s">
        <v>550</v>
      </c>
      <c r="E611" s="3" t="s">
        <v>550</v>
      </c>
      <c r="F611" s="3">
        <v>0</v>
      </c>
      <c r="G611" s="3" t="s">
        <v>8278</v>
      </c>
    </row>
    <row r="612" spans="1:7" x14ac:dyDescent="0.2">
      <c r="A612" s="3" t="s">
        <v>8894</v>
      </c>
      <c r="B612" s="3" t="s">
        <v>2661</v>
      </c>
      <c r="C612" s="3" t="s">
        <v>8282</v>
      </c>
      <c r="D612" s="3" t="s">
        <v>398</v>
      </c>
      <c r="E612" s="3" t="s">
        <v>398</v>
      </c>
      <c r="F612" s="3">
        <v>0</v>
      </c>
      <c r="G612" s="3" t="s">
        <v>8278</v>
      </c>
    </row>
    <row r="613" spans="1:7" x14ac:dyDescent="0.2">
      <c r="A613" s="3" t="s">
        <v>8895</v>
      </c>
      <c r="B613" s="3" t="s">
        <v>2664</v>
      </c>
      <c r="C613" s="3" t="s">
        <v>8286</v>
      </c>
      <c r="D613" s="3" t="s">
        <v>1272</v>
      </c>
      <c r="E613" s="3" t="s">
        <v>1272</v>
      </c>
      <c r="F613" s="3">
        <v>0</v>
      </c>
      <c r="G613" s="3" t="s">
        <v>8278</v>
      </c>
    </row>
    <row r="614" spans="1:7" x14ac:dyDescent="0.2">
      <c r="A614" s="3" t="s">
        <v>8896</v>
      </c>
      <c r="B614" s="3" t="s">
        <v>2670</v>
      </c>
      <c r="C614" s="3" t="s">
        <v>8290</v>
      </c>
      <c r="D614" s="3" t="s">
        <v>1234</v>
      </c>
      <c r="E614" s="3" t="s">
        <v>1504</v>
      </c>
      <c r="F614" s="3">
        <v>2</v>
      </c>
      <c r="G614" s="3" t="s">
        <v>8284</v>
      </c>
    </row>
    <row r="615" spans="1:7" x14ac:dyDescent="0.2">
      <c r="A615" s="3" t="s">
        <v>8897</v>
      </c>
      <c r="B615" s="3" t="s">
        <v>2672</v>
      </c>
      <c r="C615" s="3" t="s">
        <v>8277</v>
      </c>
      <c r="D615" s="3" t="s">
        <v>716</v>
      </c>
      <c r="E615" s="3" t="s">
        <v>716</v>
      </c>
      <c r="F615" s="3">
        <v>0</v>
      </c>
      <c r="G615" s="3" t="s">
        <v>8278</v>
      </c>
    </row>
    <row r="616" spans="1:7" x14ac:dyDescent="0.2">
      <c r="A616" s="3" t="s">
        <v>8898</v>
      </c>
      <c r="B616" s="3" t="s">
        <v>2674</v>
      </c>
      <c r="C616" s="3" t="s">
        <v>8282</v>
      </c>
      <c r="D616" s="3" t="s">
        <v>559</v>
      </c>
      <c r="E616" s="3" t="s">
        <v>308</v>
      </c>
      <c r="F616" s="3">
        <v>3</v>
      </c>
      <c r="G616" s="3" t="s">
        <v>8284</v>
      </c>
    </row>
    <row r="617" spans="1:7" x14ac:dyDescent="0.2">
      <c r="A617" s="3" t="s">
        <v>8899</v>
      </c>
      <c r="B617" s="3" t="s">
        <v>2678</v>
      </c>
      <c r="C617" s="3" t="s">
        <v>8280</v>
      </c>
      <c r="D617" s="3" t="s">
        <v>609</v>
      </c>
      <c r="E617" s="3" t="s">
        <v>609</v>
      </c>
      <c r="F617" s="3">
        <v>0</v>
      </c>
      <c r="G617" s="3" t="s">
        <v>8278</v>
      </c>
    </row>
    <row r="618" spans="1:7" x14ac:dyDescent="0.2">
      <c r="A618" s="3" t="s">
        <v>8900</v>
      </c>
      <c r="B618" s="3" t="s">
        <v>2682</v>
      </c>
      <c r="C618" s="3" t="s">
        <v>8290</v>
      </c>
      <c r="D618" s="3" t="s">
        <v>1735</v>
      </c>
      <c r="E618" s="3" t="s">
        <v>1735</v>
      </c>
      <c r="F618" s="3">
        <v>0</v>
      </c>
      <c r="G618" s="3" t="s">
        <v>8278</v>
      </c>
    </row>
    <row r="619" spans="1:7" x14ac:dyDescent="0.2">
      <c r="A619" s="3" t="s">
        <v>8901</v>
      </c>
      <c r="B619" s="3" t="s">
        <v>2688</v>
      </c>
      <c r="C619" s="3" t="s">
        <v>8282</v>
      </c>
      <c r="D619" s="3" t="s">
        <v>373</v>
      </c>
      <c r="E619" s="3" t="s">
        <v>373</v>
      </c>
      <c r="F619" s="3">
        <v>0</v>
      </c>
      <c r="G619" s="3" t="s">
        <v>8278</v>
      </c>
    </row>
    <row r="620" spans="1:7" x14ac:dyDescent="0.2">
      <c r="A620" s="3" t="s">
        <v>8902</v>
      </c>
      <c r="B620" s="3" t="s">
        <v>2691</v>
      </c>
      <c r="C620" s="3" t="s">
        <v>8280</v>
      </c>
      <c r="D620" s="3" t="s">
        <v>1174</v>
      </c>
      <c r="E620" s="3" t="s">
        <v>1174</v>
      </c>
      <c r="F620" s="3">
        <v>0</v>
      </c>
      <c r="G620" s="3" t="s">
        <v>8278</v>
      </c>
    </row>
    <row r="621" spans="1:7" x14ac:dyDescent="0.2">
      <c r="A621" s="3" t="s">
        <v>8903</v>
      </c>
      <c r="B621" s="3" t="s">
        <v>2695</v>
      </c>
      <c r="C621" s="3" t="s">
        <v>8282</v>
      </c>
      <c r="D621" s="3" t="s">
        <v>1138</v>
      </c>
      <c r="E621" s="3" t="s">
        <v>1138</v>
      </c>
      <c r="F621" s="3">
        <v>0</v>
      </c>
      <c r="G621" s="3" t="s">
        <v>8278</v>
      </c>
    </row>
    <row r="622" spans="1:7" x14ac:dyDescent="0.2">
      <c r="A622" s="3" t="s">
        <v>8904</v>
      </c>
      <c r="B622" s="3" t="s">
        <v>2696</v>
      </c>
      <c r="C622" s="3" t="s">
        <v>8282</v>
      </c>
      <c r="D622" s="3" t="s">
        <v>335</v>
      </c>
      <c r="E622" s="3" t="s">
        <v>335</v>
      </c>
      <c r="F622" s="3">
        <v>0</v>
      </c>
      <c r="G622" s="3" t="s">
        <v>8278</v>
      </c>
    </row>
    <row r="623" spans="1:7" x14ac:dyDescent="0.2">
      <c r="A623" s="3" t="s">
        <v>8905</v>
      </c>
      <c r="B623" s="3" t="s">
        <v>2699</v>
      </c>
      <c r="C623" s="3" t="s">
        <v>8277</v>
      </c>
      <c r="D623" s="3" t="s">
        <v>139</v>
      </c>
      <c r="E623" s="3" t="s">
        <v>139</v>
      </c>
      <c r="F623" s="3">
        <v>0</v>
      </c>
      <c r="G623" s="3" t="s">
        <v>8278</v>
      </c>
    </row>
    <row r="624" spans="1:7" x14ac:dyDescent="0.2">
      <c r="A624" s="3" t="s">
        <v>8906</v>
      </c>
      <c r="B624" s="3" t="s">
        <v>2707</v>
      </c>
      <c r="C624" s="3" t="s">
        <v>8286</v>
      </c>
      <c r="D624" s="3" t="s">
        <v>371</v>
      </c>
      <c r="E624" s="3" t="s">
        <v>371</v>
      </c>
      <c r="F624" s="3">
        <v>0</v>
      </c>
      <c r="G624" s="3" t="s">
        <v>8278</v>
      </c>
    </row>
    <row r="625" spans="1:7" x14ac:dyDescent="0.2">
      <c r="A625" s="3" t="s">
        <v>8907</v>
      </c>
      <c r="B625" s="3" t="s">
        <v>2708</v>
      </c>
      <c r="C625" s="3" t="s">
        <v>8288</v>
      </c>
      <c r="D625" s="3" t="s">
        <v>1218</v>
      </c>
      <c r="E625" s="3" t="s">
        <v>1218</v>
      </c>
      <c r="F625" s="3">
        <v>0</v>
      </c>
      <c r="G625" s="3" t="s">
        <v>8278</v>
      </c>
    </row>
    <row r="626" spans="1:7" x14ac:dyDescent="0.2">
      <c r="A626" s="3" t="s">
        <v>8908</v>
      </c>
      <c r="B626" s="3" t="s">
        <v>2710</v>
      </c>
      <c r="C626" s="3" t="s">
        <v>8282</v>
      </c>
      <c r="D626" s="3" t="s">
        <v>1236</v>
      </c>
      <c r="E626" s="3" t="s">
        <v>1236</v>
      </c>
      <c r="F626" s="3">
        <v>0</v>
      </c>
      <c r="G626" s="3" t="s">
        <v>8278</v>
      </c>
    </row>
    <row r="627" spans="1:7" x14ac:dyDescent="0.2">
      <c r="A627" s="3" t="s">
        <v>8909</v>
      </c>
      <c r="B627" s="3" t="s">
        <v>2711</v>
      </c>
      <c r="C627" s="3" t="s">
        <v>8286</v>
      </c>
      <c r="D627" s="3" t="s">
        <v>1016</v>
      </c>
      <c r="E627" s="3" t="s">
        <v>1016</v>
      </c>
      <c r="F627" s="3">
        <v>0</v>
      </c>
      <c r="G627" s="3" t="s">
        <v>8278</v>
      </c>
    </row>
    <row r="628" spans="1:7" x14ac:dyDescent="0.2">
      <c r="A628" s="3" t="s">
        <v>8910</v>
      </c>
      <c r="B628" s="3" t="s">
        <v>2712</v>
      </c>
      <c r="C628" s="3" t="s">
        <v>8288</v>
      </c>
      <c r="D628" s="3" t="s">
        <v>726</v>
      </c>
      <c r="E628" s="3" t="s">
        <v>726</v>
      </c>
      <c r="F628" s="3">
        <v>0</v>
      </c>
      <c r="G628" s="3" t="s">
        <v>8278</v>
      </c>
    </row>
    <row r="629" spans="1:7" x14ac:dyDescent="0.2">
      <c r="A629" s="3" t="s">
        <v>8911</v>
      </c>
      <c r="B629" s="3" t="s">
        <v>2713</v>
      </c>
      <c r="C629" s="3" t="s">
        <v>8277</v>
      </c>
      <c r="D629" s="3" t="s">
        <v>1128</v>
      </c>
      <c r="E629" s="3" t="s">
        <v>1128</v>
      </c>
      <c r="F629" s="3">
        <v>0</v>
      </c>
      <c r="G629" s="3" t="s">
        <v>8278</v>
      </c>
    </row>
    <row r="630" spans="1:7" x14ac:dyDescent="0.2">
      <c r="A630" s="3" t="s">
        <v>8912</v>
      </c>
      <c r="B630" s="3" t="s">
        <v>2715</v>
      </c>
      <c r="C630" s="3" t="s">
        <v>8286</v>
      </c>
      <c r="D630" s="3" t="s">
        <v>1204</v>
      </c>
      <c r="E630" s="3" t="s">
        <v>1204</v>
      </c>
      <c r="F630" s="3">
        <v>0</v>
      </c>
      <c r="G630" s="3" t="s">
        <v>8278</v>
      </c>
    </row>
    <row r="631" spans="1:7" x14ac:dyDescent="0.2">
      <c r="A631" s="3" t="s">
        <v>8913</v>
      </c>
      <c r="B631" s="3" t="s">
        <v>2718</v>
      </c>
      <c r="C631" s="3" t="s">
        <v>8290</v>
      </c>
      <c r="D631" s="3" t="s">
        <v>171</v>
      </c>
      <c r="E631" s="3" t="s">
        <v>171</v>
      </c>
      <c r="F631" s="3">
        <v>0</v>
      </c>
      <c r="G631" s="3" t="s">
        <v>8278</v>
      </c>
    </row>
    <row r="632" spans="1:7" x14ac:dyDescent="0.2">
      <c r="A632" s="3" t="s">
        <v>8914</v>
      </c>
      <c r="B632" s="3" t="s">
        <v>2722</v>
      </c>
      <c r="C632" s="3" t="s">
        <v>8277</v>
      </c>
      <c r="D632" s="3" t="s">
        <v>694</v>
      </c>
      <c r="E632" s="3" t="s">
        <v>694</v>
      </c>
      <c r="F632" s="3">
        <v>0</v>
      </c>
      <c r="G632" s="3" t="s">
        <v>8278</v>
      </c>
    </row>
    <row r="633" spans="1:7" x14ac:dyDescent="0.2">
      <c r="A633" s="3" t="s">
        <v>8915</v>
      </c>
      <c r="B633" s="3" t="s">
        <v>2724</v>
      </c>
      <c r="C633" s="3" t="s">
        <v>8280</v>
      </c>
      <c r="D633" s="3" t="s">
        <v>468</v>
      </c>
      <c r="E633" s="3" t="s">
        <v>924</v>
      </c>
      <c r="F633" s="3">
        <v>14</v>
      </c>
      <c r="G633" s="3" t="s">
        <v>8284</v>
      </c>
    </row>
    <row r="634" spans="1:7" x14ac:dyDescent="0.2">
      <c r="A634" s="3" t="s">
        <v>8916</v>
      </c>
      <c r="B634" s="3" t="s">
        <v>2730</v>
      </c>
      <c r="C634" s="3" t="s">
        <v>8286</v>
      </c>
      <c r="D634" s="3" t="s">
        <v>891</v>
      </c>
      <c r="E634" s="3" t="s">
        <v>1128</v>
      </c>
      <c r="F634" s="3">
        <v>13</v>
      </c>
      <c r="G634" s="3" t="s">
        <v>8284</v>
      </c>
    </row>
    <row r="635" spans="1:7" x14ac:dyDescent="0.2">
      <c r="A635" s="3" t="s">
        <v>8917</v>
      </c>
      <c r="B635" s="3" t="s">
        <v>2737</v>
      </c>
      <c r="C635" s="3" t="s">
        <v>8288</v>
      </c>
      <c r="D635" s="3" t="s">
        <v>431</v>
      </c>
      <c r="E635" s="3" t="s">
        <v>431</v>
      </c>
      <c r="F635" s="3">
        <v>0</v>
      </c>
      <c r="G635" s="3" t="s">
        <v>8278</v>
      </c>
    </row>
    <row r="636" spans="1:7" x14ac:dyDescent="0.2">
      <c r="A636" s="3" t="s">
        <v>8918</v>
      </c>
      <c r="B636" s="3" t="s">
        <v>2738</v>
      </c>
      <c r="C636" s="3" t="s">
        <v>8280</v>
      </c>
      <c r="D636" s="3" t="s">
        <v>1152</v>
      </c>
      <c r="E636" s="3" t="s">
        <v>1152</v>
      </c>
      <c r="F636" s="3">
        <v>0</v>
      </c>
      <c r="G636" s="3" t="s">
        <v>8278</v>
      </c>
    </row>
    <row r="637" spans="1:7" x14ac:dyDescent="0.2">
      <c r="A637" s="3" t="s">
        <v>8919</v>
      </c>
      <c r="B637" s="3" t="s">
        <v>2743</v>
      </c>
      <c r="C637" s="3" t="s">
        <v>8288</v>
      </c>
      <c r="D637" s="3" t="s">
        <v>1108</v>
      </c>
      <c r="E637" s="3" t="s">
        <v>1108</v>
      </c>
      <c r="F637" s="3">
        <v>0</v>
      </c>
      <c r="G637" s="3" t="s">
        <v>8278</v>
      </c>
    </row>
    <row r="638" spans="1:7" x14ac:dyDescent="0.2">
      <c r="A638" s="3" t="s">
        <v>8920</v>
      </c>
      <c r="B638" s="3" t="s">
        <v>2745</v>
      </c>
      <c r="C638" s="3" t="s">
        <v>8288</v>
      </c>
      <c r="D638" s="3" t="s">
        <v>1044</v>
      </c>
      <c r="E638" s="3" t="s">
        <v>1044</v>
      </c>
      <c r="F638" s="3">
        <v>0</v>
      </c>
      <c r="G638" s="3" t="s">
        <v>8278</v>
      </c>
    </row>
    <row r="639" spans="1:7" x14ac:dyDescent="0.2">
      <c r="A639" s="3" t="s">
        <v>8921</v>
      </c>
      <c r="B639" s="3" t="s">
        <v>2752</v>
      </c>
      <c r="C639" s="3" t="s">
        <v>8277</v>
      </c>
      <c r="D639" s="3" t="s">
        <v>627</v>
      </c>
      <c r="E639" s="3" t="s">
        <v>627</v>
      </c>
      <c r="F639" s="3">
        <v>0</v>
      </c>
      <c r="G639" s="3" t="s">
        <v>8278</v>
      </c>
    </row>
    <row r="640" spans="1:7" x14ac:dyDescent="0.2">
      <c r="A640" s="3" t="s">
        <v>8922</v>
      </c>
      <c r="B640" s="3" t="s">
        <v>2756</v>
      </c>
      <c r="C640" s="3" t="s">
        <v>8288</v>
      </c>
      <c r="D640" s="3" t="s">
        <v>312</v>
      </c>
      <c r="E640" s="3" t="s">
        <v>312</v>
      </c>
      <c r="F640" s="3">
        <v>0</v>
      </c>
      <c r="G640" s="3" t="s">
        <v>8278</v>
      </c>
    </row>
    <row r="641" spans="1:7" x14ac:dyDescent="0.2">
      <c r="A641" s="3" t="s">
        <v>8923</v>
      </c>
      <c r="B641" s="3" t="s">
        <v>2758</v>
      </c>
      <c r="C641" s="3" t="s">
        <v>8282</v>
      </c>
      <c r="D641" s="3" t="s">
        <v>854</v>
      </c>
      <c r="E641" s="3" t="s">
        <v>854</v>
      </c>
      <c r="F641" s="3">
        <v>0</v>
      </c>
      <c r="G641" s="3" t="s">
        <v>8278</v>
      </c>
    </row>
    <row r="642" spans="1:7" x14ac:dyDescent="0.2">
      <c r="A642" s="3" t="s">
        <v>8924</v>
      </c>
      <c r="B642" s="3" t="s">
        <v>2762</v>
      </c>
      <c r="C642" s="3" t="s">
        <v>8286</v>
      </c>
      <c r="D642" s="3" t="s">
        <v>966</v>
      </c>
      <c r="E642" s="3" t="s">
        <v>966</v>
      </c>
      <c r="F642" s="3">
        <v>0</v>
      </c>
      <c r="G642" s="3" t="s">
        <v>8278</v>
      </c>
    </row>
    <row r="643" spans="1:7" x14ac:dyDescent="0.2">
      <c r="A643" s="3" t="s">
        <v>8925</v>
      </c>
      <c r="B643" s="3" t="s">
        <v>2767</v>
      </c>
      <c r="C643" s="3" t="s">
        <v>8282</v>
      </c>
      <c r="D643" s="3" t="s">
        <v>308</v>
      </c>
      <c r="E643" s="3" t="s">
        <v>308</v>
      </c>
      <c r="F643" s="3">
        <v>0</v>
      </c>
      <c r="G643" s="3" t="s">
        <v>8278</v>
      </c>
    </row>
    <row r="644" spans="1:7" x14ac:dyDescent="0.2">
      <c r="A644" s="3" t="s">
        <v>8926</v>
      </c>
      <c r="B644" s="3" t="s">
        <v>2768</v>
      </c>
      <c r="C644" s="3" t="s">
        <v>8280</v>
      </c>
      <c r="D644" s="3" t="s">
        <v>738</v>
      </c>
      <c r="E644" s="3" t="s">
        <v>738</v>
      </c>
      <c r="F644" s="3">
        <v>0</v>
      </c>
      <c r="G644" s="3" t="s">
        <v>8278</v>
      </c>
    </row>
    <row r="645" spans="1:7" x14ac:dyDescent="0.2">
      <c r="A645" s="3" t="s">
        <v>8927</v>
      </c>
      <c r="B645" s="3" t="s">
        <v>2769</v>
      </c>
      <c r="C645" s="3" t="s">
        <v>8286</v>
      </c>
      <c r="D645" s="3" t="s">
        <v>1237</v>
      </c>
      <c r="E645" s="3" t="s">
        <v>142</v>
      </c>
      <c r="F645" s="3">
        <v>10</v>
      </c>
      <c r="G645" s="3" t="s">
        <v>8284</v>
      </c>
    </row>
    <row r="646" spans="1:7" x14ac:dyDescent="0.2">
      <c r="A646" s="3" t="s">
        <v>8928</v>
      </c>
      <c r="B646" s="3" t="s">
        <v>2770</v>
      </c>
      <c r="C646" s="3" t="s">
        <v>8277</v>
      </c>
      <c r="D646" s="3" t="s">
        <v>199</v>
      </c>
      <c r="E646" s="3" t="s">
        <v>199</v>
      </c>
      <c r="F646" s="3">
        <v>0</v>
      </c>
      <c r="G646" s="3" t="s">
        <v>8278</v>
      </c>
    </row>
    <row r="647" spans="1:7" x14ac:dyDescent="0.2">
      <c r="A647" s="3" t="s">
        <v>8929</v>
      </c>
      <c r="B647" s="3" t="s">
        <v>2771</v>
      </c>
      <c r="C647" s="3" t="s">
        <v>8277</v>
      </c>
      <c r="D647" s="3" t="s">
        <v>643</v>
      </c>
      <c r="E647" s="3" t="s">
        <v>643</v>
      </c>
      <c r="F647" s="3">
        <v>0</v>
      </c>
      <c r="G647" s="3" t="s">
        <v>8278</v>
      </c>
    </row>
    <row r="648" spans="1:7" x14ac:dyDescent="0.2">
      <c r="A648" s="3" t="s">
        <v>8930</v>
      </c>
      <c r="B648" s="3" t="s">
        <v>2772</v>
      </c>
      <c r="C648" s="3" t="s">
        <v>8286</v>
      </c>
      <c r="D648" s="3" t="s">
        <v>1234</v>
      </c>
      <c r="E648" s="3" t="s">
        <v>228</v>
      </c>
      <c r="F648" s="3">
        <v>13</v>
      </c>
      <c r="G648" s="3" t="s">
        <v>8284</v>
      </c>
    </row>
    <row r="649" spans="1:7" x14ac:dyDescent="0.2">
      <c r="A649" s="3" t="s">
        <v>8931</v>
      </c>
      <c r="B649" s="3" t="s">
        <v>2773</v>
      </c>
      <c r="C649" s="3" t="s">
        <v>8280</v>
      </c>
      <c r="D649" s="3" t="s">
        <v>1194</v>
      </c>
      <c r="E649" s="3" t="s">
        <v>1194</v>
      </c>
      <c r="F649" s="3">
        <v>0</v>
      </c>
      <c r="G649" s="3" t="s">
        <v>8278</v>
      </c>
    </row>
    <row r="650" spans="1:7" x14ac:dyDescent="0.2">
      <c r="A650" s="3" t="s">
        <v>8932</v>
      </c>
      <c r="B650" s="3" t="s">
        <v>2776</v>
      </c>
      <c r="C650" s="3" t="s">
        <v>8286</v>
      </c>
      <c r="D650" s="3" t="s">
        <v>475</v>
      </c>
      <c r="E650" s="3" t="s">
        <v>475</v>
      </c>
      <c r="F650" s="3">
        <v>0</v>
      </c>
      <c r="G650" s="3" t="s">
        <v>8278</v>
      </c>
    </row>
    <row r="651" spans="1:7" x14ac:dyDescent="0.2">
      <c r="A651" s="3" t="s">
        <v>8933</v>
      </c>
      <c r="B651" s="3" t="s">
        <v>2777</v>
      </c>
      <c r="C651" s="3" t="s">
        <v>8280</v>
      </c>
      <c r="D651" s="3" t="s">
        <v>1186</v>
      </c>
      <c r="E651" s="3" t="s">
        <v>1186</v>
      </c>
      <c r="F651" s="3">
        <v>0</v>
      </c>
      <c r="G651" s="3" t="s">
        <v>8278</v>
      </c>
    </row>
    <row r="652" spans="1:7" x14ac:dyDescent="0.2">
      <c r="A652" s="3" t="s">
        <v>8934</v>
      </c>
      <c r="B652" s="3" t="s">
        <v>2778</v>
      </c>
      <c r="C652" s="3" t="s">
        <v>8290</v>
      </c>
      <c r="D652" s="3" t="s">
        <v>948</v>
      </c>
      <c r="E652" s="3" t="s">
        <v>1230</v>
      </c>
      <c r="F652" s="3">
        <v>12</v>
      </c>
      <c r="G652" s="3" t="s">
        <v>8284</v>
      </c>
    </row>
    <row r="653" spans="1:7" x14ac:dyDescent="0.2">
      <c r="A653" s="3" t="s">
        <v>8935</v>
      </c>
      <c r="B653" s="3" t="s">
        <v>2781</v>
      </c>
      <c r="C653" s="3" t="s">
        <v>8277</v>
      </c>
      <c r="D653" s="3" t="s">
        <v>646</v>
      </c>
      <c r="E653" s="3" t="s">
        <v>646</v>
      </c>
      <c r="F653" s="3">
        <v>0</v>
      </c>
      <c r="G653" s="3" t="s">
        <v>8278</v>
      </c>
    </row>
    <row r="654" spans="1:7" x14ac:dyDescent="0.2">
      <c r="A654" s="3" t="s">
        <v>8936</v>
      </c>
      <c r="B654" s="3" t="s">
        <v>2782</v>
      </c>
      <c r="C654" s="3" t="s">
        <v>8286</v>
      </c>
      <c r="D654" s="3" t="s">
        <v>794</v>
      </c>
      <c r="E654" s="3" t="s">
        <v>794</v>
      </c>
      <c r="F654" s="3">
        <v>0</v>
      </c>
      <c r="G654" s="3" t="s">
        <v>8278</v>
      </c>
    </row>
    <row r="655" spans="1:7" x14ac:dyDescent="0.2">
      <c r="A655" s="3" t="s">
        <v>8937</v>
      </c>
      <c r="B655" s="3" t="s">
        <v>2783</v>
      </c>
      <c r="C655" s="3" t="s">
        <v>8280</v>
      </c>
      <c r="D655" s="3" t="s">
        <v>472</v>
      </c>
      <c r="E655" s="3" t="s">
        <v>472</v>
      </c>
      <c r="F655" s="3">
        <v>0</v>
      </c>
      <c r="G655" s="3" t="s">
        <v>8278</v>
      </c>
    </row>
    <row r="656" spans="1:7" x14ac:dyDescent="0.2">
      <c r="A656" s="3" t="s">
        <v>8938</v>
      </c>
      <c r="B656" s="3" t="s">
        <v>2784</v>
      </c>
      <c r="C656" s="3" t="s">
        <v>8288</v>
      </c>
      <c r="D656" s="3" t="s">
        <v>1058</v>
      </c>
      <c r="E656" s="3" t="s">
        <v>1058</v>
      </c>
      <c r="F656" s="3">
        <v>0</v>
      </c>
      <c r="G656" s="3" t="s">
        <v>8278</v>
      </c>
    </row>
    <row r="657" spans="1:7" x14ac:dyDescent="0.2">
      <c r="A657" s="3" t="s">
        <v>8939</v>
      </c>
      <c r="B657" s="3" t="s">
        <v>2787</v>
      </c>
      <c r="C657" s="3" t="s">
        <v>8286</v>
      </c>
      <c r="D657" s="3" t="s">
        <v>846</v>
      </c>
      <c r="E657" s="3" t="s">
        <v>846</v>
      </c>
      <c r="F657" s="3">
        <v>0</v>
      </c>
      <c r="G657" s="3" t="s">
        <v>8278</v>
      </c>
    </row>
    <row r="658" spans="1:7" x14ac:dyDescent="0.2">
      <c r="A658" s="3" t="s">
        <v>8940</v>
      </c>
      <c r="B658" s="3" t="s">
        <v>2789</v>
      </c>
      <c r="C658" s="3" t="s">
        <v>8280</v>
      </c>
      <c r="D658" s="3" t="s">
        <v>606</v>
      </c>
      <c r="E658" s="3" t="s">
        <v>606</v>
      </c>
      <c r="F658" s="3">
        <v>0</v>
      </c>
      <c r="G658" s="3" t="s">
        <v>8278</v>
      </c>
    </row>
    <row r="659" spans="1:7" x14ac:dyDescent="0.2">
      <c r="A659" s="3" t="s">
        <v>8941</v>
      </c>
      <c r="B659" s="3" t="s">
        <v>2790</v>
      </c>
      <c r="C659" s="3" t="s">
        <v>8277</v>
      </c>
      <c r="D659" s="3" t="s">
        <v>546</v>
      </c>
      <c r="E659" s="3" t="s">
        <v>1315</v>
      </c>
      <c r="F659" s="3">
        <v>14</v>
      </c>
      <c r="G659" s="3" t="s">
        <v>8284</v>
      </c>
    </row>
    <row r="660" spans="1:7" x14ac:dyDescent="0.2">
      <c r="A660" s="3" t="s">
        <v>8942</v>
      </c>
      <c r="B660" s="3" t="s">
        <v>2792</v>
      </c>
      <c r="C660" s="3" t="s">
        <v>8277</v>
      </c>
      <c r="D660" s="3" t="s">
        <v>1081</v>
      </c>
      <c r="E660" s="3" t="s">
        <v>1081</v>
      </c>
      <c r="F660" s="3">
        <v>0</v>
      </c>
      <c r="G660" s="3" t="s">
        <v>8278</v>
      </c>
    </row>
    <row r="661" spans="1:7" x14ac:dyDescent="0.2">
      <c r="A661" s="3" t="s">
        <v>8943</v>
      </c>
      <c r="B661" s="3" t="s">
        <v>2797</v>
      </c>
      <c r="C661" s="3" t="s">
        <v>8280</v>
      </c>
      <c r="D661" s="3" t="s">
        <v>939</v>
      </c>
      <c r="E661" s="3" t="s">
        <v>939</v>
      </c>
      <c r="F661" s="3">
        <v>0</v>
      </c>
      <c r="G661" s="3" t="s">
        <v>8278</v>
      </c>
    </row>
    <row r="662" spans="1:7" x14ac:dyDescent="0.2">
      <c r="A662" s="3" t="s">
        <v>8944</v>
      </c>
      <c r="B662" s="3" t="s">
        <v>2798</v>
      </c>
      <c r="C662" s="3" t="s">
        <v>8286</v>
      </c>
      <c r="D662" s="3" t="s">
        <v>1678</v>
      </c>
      <c r="E662" s="3" t="s">
        <v>402</v>
      </c>
      <c r="F662" s="3">
        <v>6</v>
      </c>
      <c r="G662" s="3" t="s">
        <v>8284</v>
      </c>
    </row>
    <row r="663" spans="1:7" x14ac:dyDescent="0.2">
      <c r="A663" s="3" t="s">
        <v>8945</v>
      </c>
      <c r="B663" s="3" t="s">
        <v>2801</v>
      </c>
      <c r="C663" s="3" t="s">
        <v>8277</v>
      </c>
      <c r="D663" s="3" t="s">
        <v>187</v>
      </c>
      <c r="E663" s="3" t="s">
        <v>606</v>
      </c>
      <c r="F663" s="3">
        <v>8</v>
      </c>
      <c r="G663" s="3" t="s">
        <v>8284</v>
      </c>
    </row>
    <row r="664" spans="1:7" x14ac:dyDescent="0.2">
      <c r="A664" s="3" t="s">
        <v>8946</v>
      </c>
      <c r="B664" s="3" t="s">
        <v>2802</v>
      </c>
      <c r="C664" s="3" t="s">
        <v>8277</v>
      </c>
      <c r="D664" s="3" t="s">
        <v>971</v>
      </c>
      <c r="E664" s="3" t="s">
        <v>971</v>
      </c>
      <c r="F664" s="3">
        <v>0</v>
      </c>
      <c r="G664" s="3" t="s">
        <v>8278</v>
      </c>
    </row>
    <row r="665" spans="1:7" x14ac:dyDescent="0.2">
      <c r="A665" s="3" t="s">
        <v>8947</v>
      </c>
      <c r="B665" s="3" t="s">
        <v>2804</v>
      </c>
      <c r="C665" s="3" t="s">
        <v>8290</v>
      </c>
      <c r="D665" s="3" t="s">
        <v>1685</v>
      </c>
      <c r="E665" s="3" t="s">
        <v>1685</v>
      </c>
      <c r="F665" s="3">
        <v>0</v>
      </c>
      <c r="G665" s="3" t="s">
        <v>8278</v>
      </c>
    </row>
    <row r="666" spans="1:7" x14ac:dyDescent="0.2">
      <c r="A666" s="3" t="s">
        <v>8948</v>
      </c>
      <c r="B666" s="3" t="s">
        <v>2812</v>
      </c>
      <c r="C666" s="3" t="s">
        <v>8290</v>
      </c>
      <c r="D666" s="3" t="s">
        <v>419</v>
      </c>
      <c r="E666" s="3" t="s">
        <v>761</v>
      </c>
      <c r="F666" s="3">
        <v>3</v>
      </c>
      <c r="G666" s="3" t="s">
        <v>8284</v>
      </c>
    </row>
    <row r="667" spans="1:7" x14ac:dyDescent="0.2">
      <c r="A667" s="3" t="s">
        <v>8949</v>
      </c>
      <c r="B667" s="3" t="s">
        <v>2819</v>
      </c>
      <c r="C667" s="3" t="s">
        <v>8286</v>
      </c>
      <c r="D667" s="3" t="s">
        <v>386</v>
      </c>
      <c r="E667" s="3" t="s">
        <v>1439</v>
      </c>
      <c r="F667" s="3">
        <v>7</v>
      </c>
      <c r="G667" s="3" t="s">
        <v>8284</v>
      </c>
    </row>
    <row r="668" spans="1:7" x14ac:dyDescent="0.2">
      <c r="A668" s="3" t="s">
        <v>8950</v>
      </c>
      <c r="B668" s="3" t="s">
        <v>2821</v>
      </c>
      <c r="C668" s="3" t="s">
        <v>8286</v>
      </c>
      <c r="D668" s="3" t="s">
        <v>1172</v>
      </c>
      <c r="E668" s="3" t="s">
        <v>1172</v>
      </c>
      <c r="F668" s="3">
        <v>0</v>
      </c>
      <c r="G668" s="3" t="s">
        <v>8278</v>
      </c>
    </row>
    <row r="669" spans="1:7" x14ac:dyDescent="0.2">
      <c r="A669" s="3" t="s">
        <v>8951</v>
      </c>
      <c r="B669" s="3" t="s">
        <v>2830</v>
      </c>
      <c r="C669" s="3" t="s">
        <v>8288</v>
      </c>
      <c r="D669" s="3" t="s">
        <v>1200</v>
      </c>
      <c r="E669" s="3" t="s">
        <v>1200</v>
      </c>
      <c r="F669" s="3">
        <v>0</v>
      </c>
      <c r="G669" s="3" t="s">
        <v>8278</v>
      </c>
    </row>
    <row r="670" spans="1:7" x14ac:dyDescent="0.2">
      <c r="A670" s="3" t="s">
        <v>8952</v>
      </c>
      <c r="B670" s="3" t="s">
        <v>2832</v>
      </c>
      <c r="C670" s="3" t="s">
        <v>8282</v>
      </c>
      <c r="D670" s="3" t="s">
        <v>717</v>
      </c>
      <c r="E670" s="3" t="s">
        <v>717</v>
      </c>
      <c r="F670" s="3">
        <v>0</v>
      </c>
      <c r="G670" s="3" t="s">
        <v>8278</v>
      </c>
    </row>
    <row r="671" spans="1:7" x14ac:dyDescent="0.2">
      <c r="A671" s="3" t="s">
        <v>8953</v>
      </c>
      <c r="B671" s="3" t="s">
        <v>2833</v>
      </c>
      <c r="C671" s="3" t="s">
        <v>8282</v>
      </c>
      <c r="D671" s="3" t="s">
        <v>1439</v>
      </c>
      <c r="E671" s="3" t="s">
        <v>1439</v>
      </c>
      <c r="F671" s="3">
        <v>0</v>
      </c>
      <c r="G671" s="3" t="s">
        <v>8278</v>
      </c>
    </row>
    <row r="672" spans="1:7" x14ac:dyDescent="0.2">
      <c r="A672" s="3" t="s">
        <v>8954</v>
      </c>
      <c r="B672" s="3" t="s">
        <v>2834</v>
      </c>
      <c r="C672" s="3" t="s">
        <v>8286</v>
      </c>
      <c r="D672" s="3" t="s">
        <v>755</v>
      </c>
      <c r="E672" s="3" t="s">
        <v>755</v>
      </c>
      <c r="F672" s="3">
        <v>0</v>
      </c>
      <c r="G672" s="3" t="s">
        <v>8278</v>
      </c>
    </row>
    <row r="673" spans="1:7" x14ac:dyDescent="0.2">
      <c r="A673" s="3" t="s">
        <v>8955</v>
      </c>
      <c r="B673" s="3" t="s">
        <v>2835</v>
      </c>
      <c r="C673" s="3" t="s">
        <v>8288</v>
      </c>
      <c r="D673" s="3" t="s">
        <v>325</v>
      </c>
      <c r="E673" s="3" t="s">
        <v>325</v>
      </c>
      <c r="F673" s="3">
        <v>0</v>
      </c>
      <c r="G673" s="3" t="s">
        <v>8278</v>
      </c>
    </row>
    <row r="674" spans="1:7" x14ac:dyDescent="0.2">
      <c r="A674" s="3" t="s">
        <v>8956</v>
      </c>
      <c r="B674" s="3" t="s">
        <v>2837</v>
      </c>
      <c r="C674" s="3" t="s">
        <v>8288</v>
      </c>
      <c r="D674" s="3" t="s">
        <v>2092</v>
      </c>
      <c r="E674" s="3" t="s">
        <v>2092</v>
      </c>
      <c r="F674" s="3">
        <v>0</v>
      </c>
      <c r="G674" s="3" t="s">
        <v>8278</v>
      </c>
    </row>
    <row r="675" spans="1:7" x14ac:dyDescent="0.2">
      <c r="A675" s="3" t="s">
        <v>8957</v>
      </c>
      <c r="B675" s="3" t="s">
        <v>2845</v>
      </c>
      <c r="C675" s="3" t="s">
        <v>8286</v>
      </c>
      <c r="D675" s="3" t="s">
        <v>1051</v>
      </c>
      <c r="E675" s="3" t="s">
        <v>1051</v>
      </c>
      <c r="F675" s="3">
        <v>0</v>
      </c>
      <c r="G675" s="3" t="s">
        <v>8278</v>
      </c>
    </row>
    <row r="676" spans="1:7" x14ac:dyDescent="0.2">
      <c r="A676" s="3" t="s">
        <v>8958</v>
      </c>
      <c r="B676" s="3" t="s">
        <v>2846</v>
      </c>
      <c r="C676" s="3" t="s">
        <v>8288</v>
      </c>
      <c r="D676" s="3" t="s">
        <v>192</v>
      </c>
      <c r="E676" s="3" t="s">
        <v>192</v>
      </c>
      <c r="F676" s="3">
        <v>0</v>
      </c>
      <c r="G676" s="3" t="s">
        <v>8278</v>
      </c>
    </row>
    <row r="677" spans="1:7" x14ac:dyDescent="0.2">
      <c r="A677" s="3" t="s">
        <v>8959</v>
      </c>
      <c r="B677" s="3" t="s">
        <v>2847</v>
      </c>
      <c r="C677" s="3" t="s">
        <v>8282</v>
      </c>
      <c r="D677" s="3" t="s">
        <v>586</v>
      </c>
      <c r="E677" s="3" t="s">
        <v>587</v>
      </c>
      <c r="F677" s="3">
        <v>13</v>
      </c>
      <c r="G677" s="3" t="s">
        <v>8284</v>
      </c>
    </row>
    <row r="678" spans="1:7" x14ac:dyDescent="0.2">
      <c r="A678" s="3" t="s">
        <v>8960</v>
      </c>
      <c r="B678" s="3" t="s">
        <v>2853</v>
      </c>
      <c r="C678" s="3" t="s">
        <v>8277</v>
      </c>
      <c r="D678" s="3" t="s">
        <v>470</v>
      </c>
      <c r="E678" s="3" t="s">
        <v>470</v>
      </c>
      <c r="F678" s="3">
        <v>0</v>
      </c>
      <c r="G678" s="3" t="s">
        <v>8278</v>
      </c>
    </row>
    <row r="679" spans="1:7" x14ac:dyDescent="0.2">
      <c r="A679" s="3" t="s">
        <v>8961</v>
      </c>
      <c r="B679" s="3" t="s">
        <v>2855</v>
      </c>
      <c r="C679" s="3" t="s">
        <v>8290</v>
      </c>
      <c r="D679" s="3" t="s">
        <v>658</v>
      </c>
      <c r="E679" s="3" t="s">
        <v>658</v>
      </c>
      <c r="F679" s="3">
        <v>0</v>
      </c>
      <c r="G679" s="3" t="s">
        <v>8278</v>
      </c>
    </row>
    <row r="680" spans="1:7" x14ac:dyDescent="0.2">
      <c r="A680" s="3" t="s">
        <v>8962</v>
      </c>
      <c r="B680" s="3" t="s">
        <v>2860</v>
      </c>
      <c r="C680" s="3" t="s">
        <v>8280</v>
      </c>
      <c r="D680" s="3" t="s">
        <v>916</v>
      </c>
      <c r="E680" s="3" t="s">
        <v>916</v>
      </c>
      <c r="F680" s="3">
        <v>0</v>
      </c>
      <c r="G680" s="3" t="s">
        <v>8278</v>
      </c>
    </row>
    <row r="681" spans="1:7" x14ac:dyDescent="0.2">
      <c r="A681" s="3" t="s">
        <v>8963</v>
      </c>
      <c r="B681" s="3" t="s">
        <v>2861</v>
      </c>
      <c r="C681" s="3" t="s">
        <v>8290</v>
      </c>
      <c r="D681" s="3" t="s">
        <v>867</v>
      </c>
      <c r="E681" s="3" t="s">
        <v>867</v>
      </c>
      <c r="F681" s="3">
        <v>0</v>
      </c>
      <c r="G681" s="3" t="s">
        <v>8278</v>
      </c>
    </row>
    <row r="682" spans="1:7" x14ac:dyDescent="0.2">
      <c r="A682" s="3" t="s">
        <v>8964</v>
      </c>
      <c r="B682" s="3" t="s">
        <v>2862</v>
      </c>
      <c r="C682" s="3" t="s">
        <v>8277</v>
      </c>
      <c r="D682" s="3" t="s">
        <v>247</v>
      </c>
      <c r="E682" s="3" t="s">
        <v>247</v>
      </c>
      <c r="F682" s="3">
        <v>0</v>
      </c>
      <c r="G682" s="3" t="s">
        <v>8278</v>
      </c>
    </row>
    <row r="683" spans="1:7" x14ac:dyDescent="0.2">
      <c r="A683" s="3" t="s">
        <v>8965</v>
      </c>
      <c r="B683" s="3" t="s">
        <v>2864</v>
      </c>
      <c r="C683" s="3" t="s">
        <v>8282</v>
      </c>
      <c r="D683" s="3" t="s">
        <v>552</v>
      </c>
      <c r="E683" s="3" t="s">
        <v>552</v>
      </c>
      <c r="F683" s="3">
        <v>0</v>
      </c>
      <c r="G683" s="3" t="s">
        <v>8278</v>
      </c>
    </row>
    <row r="684" spans="1:7" x14ac:dyDescent="0.2">
      <c r="A684" s="3" t="s">
        <v>8966</v>
      </c>
      <c r="B684" s="3" t="s">
        <v>2869</v>
      </c>
      <c r="C684" s="3" t="s">
        <v>8288</v>
      </c>
      <c r="D684" s="3" t="s">
        <v>929</v>
      </c>
      <c r="E684" s="3" t="s">
        <v>929</v>
      </c>
      <c r="F684" s="3">
        <v>0</v>
      </c>
      <c r="G684" s="3" t="s">
        <v>8278</v>
      </c>
    </row>
    <row r="685" spans="1:7" x14ac:dyDescent="0.2">
      <c r="A685" s="3" t="s">
        <v>8967</v>
      </c>
      <c r="B685" s="3" t="s">
        <v>2873</v>
      </c>
      <c r="C685" s="3" t="s">
        <v>8286</v>
      </c>
      <c r="D685" s="3" t="s">
        <v>2092</v>
      </c>
      <c r="E685" s="3" t="s">
        <v>345</v>
      </c>
      <c r="F685" s="3">
        <v>12</v>
      </c>
      <c r="G685" s="3" t="s">
        <v>8284</v>
      </c>
    </row>
    <row r="686" spans="1:7" x14ac:dyDescent="0.2">
      <c r="A686" s="3" t="s">
        <v>8968</v>
      </c>
      <c r="B686" s="3" t="s">
        <v>2876</v>
      </c>
      <c r="C686" s="3" t="s">
        <v>8280</v>
      </c>
      <c r="D686" s="3" t="s">
        <v>719</v>
      </c>
      <c r="E686" s="3" t="s">
        <v>719</v>
      </c>
      <c r="F686" s="3">
        <v>0</v>
      </c>
      <c r="G686" s="3" t="s">
        <v>8278</v>
      </c>
    </row>
    <row r="687" spans="1:7" x14ac:dyDescent="0.2">
      <c r="A687" s="3" t="s">
        <v>8969</v>
      </c>
      <c r="B687" s="3" t="s">
        <v>2891</v>
      </c>
      <c r="C687" s="3" t="s">
        <v>8277</v>
      </c>
      <c r="D687" s="3" t="s">
        <v>776</v>
      </c>
      <c r="E687" s="3" t="s">
        <v>776</v>
      </c>
      <c r="F687" s="3">
        <v>0</v>
      </c>
      <c r="G687" s="3" t="s">
        <v>8278</v>
      </c>
    </row>
    <row r="688" spans="1:7" x14ac:dyDescent="0.2">
      <c r="A688" s="3" t="s">
        <v>8970</v>
      </c>
      <c r="B688" s="3" t="s">
        <v>2893</v>
      </c>
      <c r="C688" s="3" t="s">
        <v>8290</v>
      </c>
      <c r="D688" s="3" t="s">
        <v>942</v>
      </c>
      <c r="E688" s="3" t="s">
        <v>2029</v>
      </c>
      <c r="F688" s="3">
        <v>12</v>
      </c>
      <c r="G688" s="3" t="s">
        <v>8284</v>
      </c>
    </row>
    <row r="689" spans="1:7" x14ac:dyDescent="0.2">
      <c r="A689" s="3" t="s">
        <v>8971</v>
      </c>
      <c r="B689" s="3" t="s">
        <v>2894</v>
      </c>
      <c r="C689" s="3" t="s">
        <v>8277</v>
      </c>
      <c r="D689" s="3" t="s">
        <v>1244</v>
      </c>
      <c r="E689" s="3" t="s">
        <v>1244</v>
      </c>
      <c r="F689" s="3">
        <v>0</v>
      </c>
      <c r="G689" s="3" t="s">
        <v>8278</v>
      </c>
    </row>
    <row r="690" spans="1:7" x14ac:dyDescent="0.2">
      <c r="A690" s="3" t="s">
        <v>8972</v>
      </c>
      <c r="B690" s="3" t="s">
        <v>2895</v>
      </c>
      <c r="C690" s="3" t="s">
        <v>8280</v>
      </c>
      <c r="D690" s="3" t="s">
        <v>625</v>
      </c>
      <c r="E690" s="3" t="s">
        <v>625</v>
      </c>
      <c r="F690" s="3">
        <v>0</v>
      </c>
      <c r="G690" s="3" t="s">
        <v>8278</v>
      </c>
    </row>
    <row r="691" spans="1:7" x14ac:dyDescent="0.2">
      <c r="A691" s="3" t="s">
        <v>8973</v>
      </c>
      <c r="B691" s="3" t="s">
        <v>2898</v>
      </c>
      <c r="C691" s="3" t="s">
        <v>8290</v>
      </c>
      <c r="D691" s="3" t="s">
        <v>449</v>
      </c>
      <c r="E691" s="3" t="s">
        <v>524</v>
      </c>
      <c r="F691" s="3">
        <v>2</v>
      </c>
      <c r="G691" s="3" t="s">
        <v>8284</v>
      </c>
    </row>
    <row r="692" spans="1:7" x14ac:dyDescent="0.2">
      <c r="A692" s="3" t="s">
        <v>8974</v>
      </c>
      <c r="B692" s="3" t="s">
        <v>2902</v>
      </c>
      <c r="C692" s="3" t="s">
        <v>8290</v>
      </c>
      <c r="D692" s="3" t="s">
        <v>169</v>
      </c>
      <c r="E692" s="3" t="s">
        <v>169</v>
      </c>
      <c r="F692" s="3">
        <v>0</v>
      </c>
      <c r="G692" s="3" t="s">
        <v>8278</v>
      </c>
    </row>
    <row r="693" spans="1:7" x14ac:dyDescent="0.2">
      <c r="A693" s="3" t="s">
        <v>8975</v>
      </c>
      <c r="B693" s="3" t="s">
        <v>2904</v>
      </c>
      <c r="C693" s="3" t="s">
        <v>8288</v>
      </c>
      <c r="D693" s="3" t="s">
        <v>179</v>
      </c>
      <c r="E693" s="3" t="s">
        <v>179</v>
      </c>
      <c r="F693" s="3">
        <v>0</v>
      </c>
      <c r="G693" s="3" t="s">
        <v>8278</v>
      </c>
    </row>
    <row r="694" spans="1:7" x14ac:dyDescent="0.2">
      <c r="A694" s="3" t="s">
        <v>8976</v>
      </c>
      <c r="B694" s="3" t="s">
        <v>2905</v>
      </c>
      <c r="C694" s="3" t="s">
        <v>8280</v>
      </c>
      <c r="D694" s="3" t="s">
        <v>372</v>
      </c>
      <c r="E694" s="3" t="s">
        <v>372</v>
      </c>
      <c r="F694" s="3">
        <v>0</v>
      </c>
      <c r="G694" s="3" t="s">
        <v>8278</v>
      </c>
    </row>
    <row r="695" spans="1:7" x14ac:dyDescent="0.2">
      <c r="A695" s="3" t="s">
        <v>8977</v>
      </c>
      <c r="B695" s="3" t="s">
        <v>2906</v>
      </c>
      <c r="C695" s="3" t="s">
        <v>8288</v>
      </c>
      <c r="D695" s="3" t="s">
        <v>1321</v>
      </c>
      <c r="E695" s="3" t="s">
        <v>151</v>
      </c>
      <c r="F695" s="3">
        <v>11</v>
      </c>
      <c r="G695" s="3" t="s">
        <v>8284</v>
      </c>
    </row>
    <row r="696" spans="1:7" x14ac:dyDescent="0.2">
      <c r="A696" s="3" t="s">
        <v>8978</v>
      </c>
      <c r="B696" s="3" t="s">
        <v>2907</v>
      </c>
      <c r="C696" s="3" t="s">
        <v>8288</v>
      </c>
      <c r="D696" s="3" t="s">
        <v>1223</v>
      </c>
      <c r="E696" s="3" t="s">
        <v>1223</v>
      </c>
      <c r="F696" s="3">
        <v>0</v>
      </c>
      <c r="G696" s="3" t="s">
        <v>8278</v>
      </c>
    </row>
    <row r="697" spans="1:7" x14ac:dyDescent="0.2">
      <c r="A697" s="3" t="s">
        <v>8979</v>
      </c>
      <c r="B697" s="3" t="s">
        <v>2910</v>
      </c>
      <c r="C697" s="3" t="s">
        <v>8277</v>
      </c>
      <c r="D697" s="3" t="s">
        <v>213</v>
      </c>
      <c r="E697" s="3" t="s">
        <v>214</v>
      </c>
      <c r="F697" s="3">
        <v>6</v>
      </c>
      <c r="G697" s="3" t="s">
        <v>8284</v>
      </c>
    </row>
    <row r="698" spans="1:7" x14ac:dyDescent="0.2">
      <c r="A698" s="3" t="s">
        <v>8980</v>
      </c>
      <c r="B698" s="3" t="s">
        <v>2916</v>
      </c>
      <c r="C698" s="3" t="s">
        <v>8286</v>
      </c>
      <c r="D698" s="3" t="s">
        <v>410</v>
      </c>
      <c r="E698" s="3" t="s">
        <v>410</v>
      </c>
      <c r="F698" s="3">
        <v>0</v>
      </c>
      <c r="G698" s="3" t="s">
        <v>8278</v>
      </c>
    </row>
    <row r="699" spans="1:7" x14ac:dyDescent="0.2">
      <c r="A699" s="3" t="s">
        <v>8981</v>
      </c>
      <c r="B699" s="3" t="s">
        <v>2917</v>
      </c>
      <c r="C699" s="3" t="s">
        <v>8286</v>
      </c>
      <c r="D699" s="3" t="s">
        <v>308</v>
      </c>
      <c r="E699" s="3" t="s">
        <v>308</v>
      </c>
      <c r="F699" s="3">
        <v>0</v>
      </c>
      <c r="G699" s="3" t="s">
        <v>8278</v>
      </c>
    </row>
    <row r="700" spans="1:7" x14ac:dyDescent="0.2">
      <c r="A700" s="3" t="s">
        <v>8982</v>
      </c>
      <c r="B700" s="3" t="s">
        <v>2925</v>
      </c>
      <c r="C700" s="3" t="s">
        <v>8290</v>
      </c>
      <c r="D700" s="3" t="s">
        <v>894</v>
      </c>
      <c r="E700" s="3" t="s">
        <v>757</v>
      </c>
      <c r="F700" s="3">
        <v>10</v>
      </c>
      <c r="G700" s="3" t="s">
        <v>8284</v>
      </c>
    </row>
    <row r="701" spans="1:7" x14ac:dyDescent="0.2">
      <c r="A701" s="3" t="s">
        <v>8983</v>
      </c>
      <c r="B701" s="3" t="s">
        <v>2926</v>
      </c>
      <c r="C701" s="3" t="s">
        <v>8277</v>
      </c>
      <c r="D701" s="3" t="s">
        <v>413</v>
      </c>
      <c r="E701" s="3" t="s">
        <v>413</v>
      </c>
      <c r="F701" s="3">
        <v>0</v>
      </c>
      <c r="G701" s="3" t="s">
        <v>8278</v>
      </c>
    </row>
    <row r="702" spans="1:7" x14ac:dyDescent="0.2">
      <c r="A702" s="3" t="s">
        <v>8984</v>
      </c>
      <c r="B702" s="3" t="s">
        <v>2927</v>
      </c>
      <c r="C702" s="3" t="s">
        <v>8288</v>
      </c>
      <c r="D702" s="3" t="s">
        <v>926</v>
      </c>
      <c r="E702" s="3" t="s">
        <v>926</v>
      </c>
      <c r="F702" s="3">
        <v>0</v>
      </c>
      <c r="G702" s="3" t="s">
        <v>8278</v>
      </c>
    </row>
    <row r="703" spans="1:7" x14ac:dyDescent="0.2">
      <c r="A703" s="3" t="s">
        <v>8985</v>
      </c>
      <c r="B703" s="3" t="s">
        <v>2932</v>
      </c>
      <c r="C703" s="3" t="s">
        <v>8286</v>
      </c>
      <c r="D703" s="3" t="s">
        <v>935</v>
      </c>
      <c r="E703" s="3" t="s">
        <v>935</v>
      </c>
      <c r="F703" s="3">
        <v>0</v>
      </c>
      <c r="G703" s="3" t="s">
        <v>8278</v>
      </c>
    </row>
    <row r="704" spans="1:7" x14ac:dyDescent="0.2">
      <c r="A704" s="3" t="s">
        <v>8986</v>
      </c>
      <c r="B704" s="3" t="s">
        <v>2937</v>
      </c>
      <c r="C704" s="3" t="s">
        <v>8290</v>
      </c>
      <c r="D704" s="3" t="s">
        <v>464</v>
      </c>
      <c r="E704" s="3" t="s">
        <v>464</v>
      </c>
      <c r="F704" s="3">
        <v>0</v>
      </c>
      <c r="G704" s="3" t="s">
        <v>8278</v>
      </c>
    </row>
    <row r="705" spans="1:7" x14ac:dyDescent="0.2">
      <c r="A705" s="3" t="s">
        <v>8987</v>
      </c>
      <c r="B705" s="3" t="s">
        <v>2940</v>
      </c>
      <c r="C705" s="3" t="s">
        <v>8290</v>
      </c>
      <c r="D705" s="3" t="s">
        <v>821</v>
      </c>
      <c r="E705" s="3" t="s">
        <v>821</v>
      </c>
      <c r="F705" s="3">
        <v>0</v>
      </c>
      <c r="G705" s="3" t="s">
        <v>8278</v>
      </c>
    </row>
    <row r="706" spans="1:7" x14ac:dyDescent="0.2">
      <c r="A706" s="3" t="s">
        <v>8988</v>
      </c>
      <c r="B706" s="3" t="s">
        <v>2944</v>
      </c>
      <c r="C706" s="3" t="s">
        <v>8288</v>
      </c>
      <c r="D706" s="3" t="s">
        <v>621</v>
      </c>
      <c r="E706" s="3" t="s">
        <v>621</v>
      </c>
      <c r="F706" s="3">
        <v>0</v>
      </c>
      <c r="G706" s="3" t="s">
        <v>8278</v>
      </c>
    </row>
    <row r="707" spans="1:7" x14ac:dyDescent="0.2">
      <c r="A707" s="3" t="s">
        <v>8989</v>
      </c>
      <c r="B707" s="3" t="s">
        <v>2946</v>
      </c>
      <c r="C707" s="3" t="s">
        <v>8286</v>
      </c>
      <c r="D707" s="3" t="s">
        <v>1383</v>
      </c>
      <c r="E707" s="3" t="s">
        <v>1383</v>
      </c>
      <c r="F707" s="3">
        <v>0</v>
      </c>
      <c r="G707" s="3" t="s">
        <v>8278</v>
      </c>
    </row>
    <row r="708" spans="1:7" x14ac:dyDescent="0.2">
      <c r="A708" s="3" t="s">
        <v>8990</v>
      </c>
      <c r="B708" s="3" t="s">
        <v>2955</v>
      </c>
      <c r="C708" s="3" t="s">
        <v>8286</v>
      </c>
      <c r="D708" s="3" t="s">
        <v>542</v>
      </c>
      <c r="E708" s="3" t="s">
        <v>542</v>
      </c>
      <c r="F708" s="3">
        <v>0</v>
      </c>
      <c r="G708" s="3" t="s">
        <v>8278</v>
      </c>
    </row>
    <row r="709" spans="1:7" x14ac:dyDescent="0.2">
      <c r="A709" s="3" t="s">
        <v>8991</v>
      </c>
      <c r="B709" s="3" t="s">
        <v>2956</v>
      </c>
      <c r="C709" s="3" t="s">
        <v>8286</v>
      </c>
      <c r="D709" s="3" t="s">
        <v>587</v>
      </c>
      <c r="E709" s="3" t="s">
        <v>587</v>
      </c>
      <c r="F709" s="3">
        <v>0</v>
      </c>
      <c r="G709" s="3" t="s">
        <v>8278</v>
      </c>
    </row>
    <row r="710" spans="1:7" x14ac:dyDescent="0.2">
      <c r="A710" s="3" t="s">
        <v>8992</v>
      </c>
      <c r="B710" s="3" t="s">
        <v>2958</v>
      </c>
      <c r="C710" s="3" t="s">
        <v>8288</v>
      </c>
      <c r="D710" s="3" t="s">
        <v>1237</v>
      </c>
      <c r="E710" s="3" t="s">
        <v>1237</v>
      </c>
      <c r="F710" s="3">
        <v>0</v>
      </c>
      <c r="G710" s="3" t="s">
        <v>8278</v>
      </c>
    </row>
    <row r="711" spans="1:7" x14ac:dyDescent="0.2">
      <c r="A711" s="3" t="s">
        <v>8993</v>
      </c>
      <c r="B711" s="3" t="s">
        <v>2959</v>
      </c>
      <c r="C711" s="3" t="s">
        <v>8277</v>
      </c>
      <c r="D711" s="3" t="s">
        <v>186</v>
      </c>
      <c r="E711" s="3" t="s">
        <v>412</v>
      </c>
      <c r="F711" s="3">
        <v>5</v>
      </c>
      <c r="G711" s="3" t="s">
        <v>8284</v>
      </c>
    </row>
    <row r="712" spans="1:7" x14ac:dyDescent="0.2">
      <c r="A712" s="3" t="s">
        <v>8994</v>
      </c>
      <c r="B712" s="3" t="s">
        <v>2960</v>
      </c>
      <c r="C712" s="3" t="s">
        <v>8277</v>
      </c>
      <c r="D712" s="3" t="s">
        <v>321</v>
      </c>
      <c r="E712" s="3" t="s">
        <v>321</v>
      </c>
      <c r="F712" s="3">
        <v>0</v>
      </c>
      <c r="G712" s="3" t="s">
        <v>8278</v>
      </c>
    </row>
    <row r="713" spans="1:7" x14ac:dyDescent="0.2">
      <c r="A713" s="3" t="s">
        <v>8995</v>
      </c>
      <c r="B713" s="3" t="s">
        <v>2961</v>
      </c>
      <c r="C713" s="3" t="s">
        <v>8286</v>
      </c>
      <c r="D713" s="3" t="s">
        <v>687</v>
      </c>
      <c r="E713" s="3" t="s">
        <v>687</v>
      </c>
      <c r="F713" s="3">
        <v>0</v>
      </c>
      <c r="G713" s="3" t="s">
        <v>8278</v>
      </c>
    </row>
    <row r="714" spans="1:7" x14ac:dyDescent="0.2">
      <c r="A714" s="3" t="s">
        <v>8996</v>
      </c>
      <c r="B714" s="3" t="s">
        <v>2962</v>
      </c>
      <c r="C714" s="3" t="s">
        <v>8282</v>
      </c>
      <c r="D714" s="3" t="s">
        <v>556</v>
      </c>
      <c r="E714" s="3" t="s">
        <v>556</v>
      </c>
      <c r="F714" s="3">
        <v>0</v>
      </c>
      <c r="G714" s="3" t="s">
        <v>8278</v>
      </c>
    </row>
    <row r="715" spans="1:7" x14ac:dyDescent="0.2">
      <c r="A715" s="3" t="s">
        <v>8997</v>
      </c>
      <c r="B715" s="3" t="s">
        <v>2969</v>
      </c>
      <c r="C715" s="3" t="s">
        <v>8282</v>
      </c>
      <c r="D715" s="3" t="s">
        <v>849</v>
      </c>
      <c r="E715" s="3" t="s">
        <v>849</v>
      </c>
      <c r="F715" s="3">
        <v>0</v>
      </c>
      <c r="G715" s="3" t="s">
        <v>8278</v>
      </c>
    </row>
    <row r="716" spans="1:7" x14ac:dyDescent="0.2">
      <c r="A716" s="3" t="s">
        <v>8998</v>
      </c>
      <c r="B716" s="3" t="s">
        <v>2976</v>
      </c>
      <c r="C716" s="3" t="s">
        <v>8288</v>
      </c>
      <c r="D716" s="3" t="s">
        <v>475</v>
      </c>
      <c r="E716" s="3" t="s">
        <v>475</v>
      </c>
      <c r="F716" s="3">
        <v>0</v>
      </c>
      <c r="G716" s="3" t="s">
        <v>8278</v>
      </c>
    </row>
    <row r="717" spans="1:7" x14ac:dyDescent="0.2">
      <c r="A717" s="3" t="s">
        <v>8999</v>
      </c>
      <c r="B717" s="3" t="s">
        <v>2977</v>
      </c>
      <c r="C717" s="3" t="s">
        <v>8290</v>
      </c>
      <c r="D717" s="3" t="s">
        <v>1016</v>
      </c>
      <c r="E717" s="3" t="s">
        <v>1016</v>
      </c>
      <c r="F717" s="3">
        <v>0</v>
      </c>
      <c r="G717" s="3" t="s">
        <v>8278</v>
      </c>
    </row>
    <row r="718" spans="1:7" x14ac:dyDescent="0.2">
      <c r="A718" s="3" t="s">
        <v>9000</v>
      </c>
      <c r="B718" s="3" t="s">
        <v>2978</v>
      </c>
      <c r="C718" s="3" t="s">
        <v>8280</v>
      </c>
      <c r="D718" s="3" t="s">
        <v>560</v>
      </c>
      <c r="E718" s="3" t="s">
        <v>560</v>
      </c>
      <c r="F718" s="3">
        <v>0</v>
      </c>
      <c r="G718" s="3" t="s">
        <v>8278</v>
      </c>
    </row>
    <row r="719" spans="1:7" x14ac:dyDescent="0.2">
      <c r="A719" s="3" t="s">
        <v>9001</v>
      </c>
      <c r="B719" s="3" t="s">
        <v>2979</v>
      </c>
      <c r="C719" s="3" t="s">
        <v>8277</v>
      </c>
      <c r="D719" s="3" t="s">
        <v>1063</v>
      </c>
      <c r="E719" s="3" t="s">
        <v>1063</v>
      </c>
      <c r="F719" s="3">
        <v>0</v>
      </c>
      <c r="G719" s="3" t="s">
        <v>8278</v>
      </c>
    </row>
    <row r="720" spans="1:7" x14ac:dyDescent="0.2">
      <c r="A720" s="3" t="s">
        <v>9002</v>
      </c>
      <c r="B720" s="3" t="s">
        <v>2981</v>
      </c>
      <c r="C720" s="3" t="s">
        <v>8288</v>
      </c>
      <c r="D720" s="3" t="s">
        <v>615</v>
      </c>
      <c r="E720" s="3" t="s">
        <v>615</v>
      </c>
      <c r="F720" s="3">
        <v>0</v>
      </c>
      <c r="G720" s="3" t="s">
        <v>8278</v>
      </c>
    </row>
    <row r="721" spans="1:7" x14ac:dyDescent="0.2">
      <c r="A721" s="3" t="s">
        <v>9003</v>
      </c>
      <c r="B721" s="3" t="s">
        <v>2983</v>
      </c>
      <c r="C721" s="3" t="s">
        <v>8280</v>
      </c>
      <c r="D721" s="3" t="s">
        <v>470</v>
      </c>
      <c r="E721" s="3" t="s">
        <v>470</v>
      </c>
      <c r="F721" s="3">
        <v>0</v>
      </c>
      <c r="G721" s="3" t="s">
        <v>8278</v>
      </c>
    </row>
    <row r="722" spans="1:7" x14ac:dyDescent="0.2">
      <c r="A722" s="3" t="s">
        <v>9004</v>
      </c>
      <c r="B722" s="3" t="s">
        <v>2985</v>
      </c>
      <c r="C722" s="3" t="s">
        <v>8290</v>
      </c>
      <c r="D722" s="3" t="s">
        <v>696</v>
      </c>
      <c r="E722" s="3" t="s">
        <v>696</v>
      </c>
      <c r="F722" s="3">
        <v>0</v>
      </c>
      <c r="G722" s="3" t="s">
        <v>8278</v>
      </c>
    </row>
    <row r="723" spans="1:7" x14ac:dyDescent="0.2">
      <c r="A723" s="3" t="s">
        <v>9005</v>
      </c>
      <c r="B723" s="3" t="s">
        <v>2987</v>
      </c>
      <c r="C723" s="3" t="s">
        <v>8280</v>
      </c>
      <c r="D723" s="3" t="s">
        <v>1213</v>
      </c>
      <c r="E723" s="3" t="s">
        <v>1213</v>
      </c>
      <c r="F723" s="3">
        <v>0</v>
      </c>
      <c r="G723" s="3" t="s">
        <v>8278</v>
      </c>
    </row>
    <row r="724" spans="1:7" x14ac:dyDescent="0.2">
      <c r="A724" s="3" t="s">
        <v>9006</v>
      </c>
      <c r="B724" s="3" t="s">
        <v>2992</v>
      </c>
      <c r="C724" s="3" t="s">
        <v>8290</v>
      </c>
      <c r="D724" s="3" t="s">
        <v>480</v>
      </c>
      <c r="E724" s="3" t="s">
        <v>480</v>
      </c>
      <c r="F724" s="3">
        <v>0</v>
      </c>
      <c r="G724" s="3" t="s">
        <v>8278</v>
      </c>
    </row>
    <row r="725" spans="1:7" x14ac:dyDescent="0.2">
      <c r="A725" s="3" t="s">
        <v>9007</v>
      </c>
      <c r="B725" s="3" t="s">
        <v>2995</v>
      </c>
      <c r="C725" s="3" t="s">
        <v>8277</v>
      </c>
      <c r="D725" s="3" t="s">
        <v>559</v>
      </c>
      <c r="E725" s="3" t="s">
        <v>559</v>
      </c>
      <c r="F725" s="3">
        <v>0</v>
      </c>
      <c r="G725" s="3" t="s">
        <v>8278</v>
      </c>
    </row>
    <row r="726" spans="1:7" x14ac:dyDescent="0.2">
      <c r="A726" s="3" t="s">
        <v>9008</v>
      </c>
      <c r="B726" s="3" t="s">
        <v>2997</v>
      </c>
      <c r="C726" s="3" t="s">
        <v>8282</v>
      </c>
      <c r="D726" s="3" t="s">
        <v>1081</v>
      </c>
      <c r="E726" s="3" t="s">
        <v>1081</v>
      </c>
      <c r="F726" s="3">
        <v>0</v>
      </c>
      <c r="G726" s="3" t="s">
        <v>8278</v>
      </c>
    </row>
    <row r="727" spans="1:7" x14ac:dyDescent="0.2">
      <c r="A727" s="3" t="s">
        <v>9009</v>
      </c>
      <c r="B727" s="3" t="s">
        <v>2998</v>
      </c>
      <c r="C727" s="3" t="s">
        <v>8280</v>
      </c>
      <c r="D727" s="3" t="s">
        <v>615</v>
      </c>
      <c r="E727" s="3" t="s">
        <v>615</v>
      </c>
      <c r="F727" s="3">
        <v>0</v>
      </c>
      <c r="G727" s="3" t="s">
        <v>8278</v>
      </c>
    </row>
    <row r="728" spans="1:7" x14ac:dyDescent="0.2">
      <c r="A728" s="3" t="s">
        <v>9010</v>
      </c>
      <c r="B728" s="3" t="s">
        <v>2999</v>
      </c>
      <c r="C728" s="3" t="s">
        <v>8288</v>
      </c>
      <c r="D728" s="3" t="s">
        <v>1314</v>
      </c>
      <c r="E728" s="3" t="s">
        <v>1314</v>
      </c>
      <c r="F728" s="3">
        <v>0</v>
      </c>
      <c r="G728" s="3" t="s">
        <v>8278</v>
      </c>
    </row>
    <row r="729" spans="1:7" x14ac:dyDescent="0.2">
      <c r="A729" s="3" t="s">
        <v>9011</v>
      </c>
      <c r="B729" s="3" t="s">
        <v>3003</v>
      </c>
      <c r="C729" s="3" t="s">
        <v>8282</v>
      </c>
      <c r="D729" s="3" t="s">
        <v>736</v>
      </c>
      <c r="E729" s="3" t="s">
        <v>736</v>
      </c>
      <c r="F729" s="3">
        <v>0</v>
      </c>
      <c r="G729" s="3" t="s">
        <v>8278</v>
      </c>
    </row>
    <row r="730" spans="1:7" x14ac:dyDescent="0.2">
      <c r="A730" s="3" t="s">
        <v>9012</v>
      </c>
      <c r="B730" s="3" t="s">
        <v>3006</v>
      </c>
      <c r="C730" s="3" t="s">
        <v>8286</v>
      </c>
      <c r="D730" s="3" t="s">
        <v>577</v>
      </c>
      <c r="E730" s="3" t="s">
        <v>577</v>
      </c>
      <c r="F730" s="3">
        <v>0</v>
      </c>
      <c r="G730" s="3" t="s">
        <v>8278</v>
      </c>
    </row>
    <row r="731" spans="1:7" x14ac:dyDescent="0.2">
      <c r="A731" s="3" t="s">
        <v>9013</v>
      </c>
      <c r="B731" s="3" t="s">
        <v>3014</v>
      </c>
      <c r="C731" s="3" t="s">
        <v>8290</v>
      </c>
      <c r="D731" s="3" t="s">
        <v>1439</v>
      </c>
      <c r="E731" s="3" t="s">
        <v>799</v>
      </c>
      <c r="F731" s="3">
        <v>9</v>
      </c>
      <c r="G731" s="3" t="s">
        <v>8284</v>
      </c>
    </row>
    <row r="732" spans="1:7" x14ac:dyDescent="0.2">
      <c r="A732" s="3" t="s">
        <v>9014</v>
      </c>
      <c r="B732" s="3" t="s">
        <v>3020</v>
      </c>
      <c r="C732" s="3" t="s">
        <v>8282</v>
      </c>
      <c r="D732" s="3" t="s">
        <v>606</v>
      </c>
      <c r="E732" s="3" t="s">
        <v>606</v>
      </c>
      <c r="F732" s="3">
        <v>0</v>
      </c>
      <c r="G732" s="3" t="s">
        <v>8278</v>
      </c>
    </row>
    <row r="733" spans="1:7" x14ac:dyDescent="0.2">
      <c r="A733" s="3" t="s">
        <v>9015</v>
      </c>
      <c r="B733" s="3" t="s">
        <v>3027</v>
      </c>
      <c r="C733" s="3" t="s">
        <v>8280</v>
      </c>
      <c r="D733" s="3" t="s">
        <v>148</v>
      </c>
      <c r="E733" s="3" t="s">
        <v>148</v>
      </c>
      <c r="F733" s="3">
        <v>0</v>
      </c>
      <c r="G733" s="3" t="s">
        <v>8278</v>
      </c>
    </row>
    <row r="734" spans="1:7" x14ac:dyDescent="0.2">
      <c r="A734" s="3" t="s">
        <v>9016</v>
      </c>
      <c r="B734" s="3" t="s">
        <v>3032</v>
      </c>
      <c r="C734" s="3" t="s">
        <v>8286</v>
      </c>
      <c r="D734" s="3" t="s">
        <v>587</v>
      </c>
      <c r="E734" s="3" t="s">
        <v>587</v>
      </c>
      <c r="F734" s="3">
        <v>0</v>
      </c>
      <c r="G734" s="3" t="s">
        <v>8278</v>
      </c>
    </row>
    <row r="735" spans="1:7" x14ac:dyDescent="0.2">
      <c r="A735" s="3" t="s">
        <v>9017</v>
      </c>
      <c r="B735" s="3" t="s">
        <v>3035</v>
      </c>
      <c r="C735" s="3" t="s">
        <v>8290</v>
      </c>
      <c r="D735" s="3" t="s">
        <v>729</v>
      </c>
      <c r="E735" s="3" t="s">
        <v>179</v>
      </c>
      <c r="F735" s="3">
        <v>8</v>
      </c>
      <c r="G735" s="3" t="s">
        <v>8284</v>
      </c>
    </row>
    <row r="736" spans="1:7" x14ac:dyDescent="0.2">
      <c r="A736" s="3" t="s">
        <v>9018</v>
      </c>
      <c r="B736" s="3" t="s">
        <v>3038</v>
      </c>
      <c r="C736" s="3" t="s">
        <v>8286</v>
      </c>
      <c r="D736" s="3" t="s">
        <v>224</v>
      </c>
      <c r="E736" s="3" t="s">
        <v>224</v>
      </c>
      <c r="F736" s="3">
        <v>0</v>
      </c>
      <c r="G736" s="3" t="s">
        <v>8278</v>
      </c>
    </row>
    <row r="737" spans="1:7" x14ac:dyDescent="0.2">
      <c r="A737" s="3" t="s">
        <v>9019</v>
      </c>
      <c r="B737" s="3" t="s">
        <v>3043</v>
      </c>
      <c r="C737" s="3" t="s">
        <v>8286</v>
      </c>
      <c r="D737" s="3" t="s">
        <v>791</v>
      </c>
      <c r="E737" s="3" t="s">
        <v>791</v>
      </c>
      <c r="F737" s="3">
        <v>0</v>
      </c>
      <c r="G737" s="3" t="s">
        <v>8278</v>
      </c>
    </row>
    <row r="738" spans="1:7" x14ac:dyDescent="0.2">
      <c r="A738" s="3" t="s">
        <v>9020</v>
      </c>
      <c r="B738" s="3" t="s">
        <v>3044</v>
      </c>
      <c r="C738" s="3" t="s">
        <v>8288</v>
      </c>
      <c r="D738" s="3" t="s">
        <v>354</v>
      </c>
      <c r="E738" s="3" t="s">
        <v>354</v>
      </c>
      <c r="F738" s="3">
        <v>0</v>
      </c>
      <c r="G738" s="3" t="s">
        <v>8278</v>
      </c>
    </row>
    <row r="739" spans="1:7" x14ac:dyDescent="0.2">
      <c r="A739" s="3" t="s">
        <v>9021</v>
      </c>
      <c r="B739" s="3" t="s">
        <v>3045</v>
      </c>
      <c r="C739" s="3" t="s">
        <v>8288</v>
      </c>
      <c r="D739" s="3" t="s">
        <v>1374</v>
      </c>
      <c r="E739" s="3" t="s">
        <v>1374</v>
      </c>
      <c r="F739" s="3">
        <v>0</v>
      </c>
      <c r="G739" s="3" t="s">
        <v>8278</v>
      </c>
    </row>
    <row r="740" spans="1:7" x14ac:dyDescent="0.2">
      <c r="A740" s="3" t="s">
        <v>9022</v>
      </c>
      <c r="B740" s="3" t="s">
        <v>3048</v>
      </c>
      <c r="C740" s="3" t="s">
        <v>8280</v>
      </c>
      <c r="D740" s="3" t="s">
        <v>1012</v>
      </c>
      <c r="E740" s="3" t="s">
        <v>1012</v>
      </c>
      <c r="F740" s="3">
        <v>0</v>
      </c>
      <c r="G740" s="3" t="s">
        <v>8278</v>
      </c>
    </row>
    <row r="741" spans="1:7" x14ac:dyDescent="0.2">
      <c r="A741" s="3" t="s">
        <v>9023</v>
      </c>
      <c r="B741" s="3" t="s">
        <v>3049</v>
      </c>
      <c r="C741" s="3" t="s">
        <v>8280</v>
      </c>
      <c r="D741" s="3" t="s">
        <v>360</v>
      </c>
      <c r="E741" s="3" t="s">
        <v>360</v>
      </c>
      <c r="F741" s="3">
        <v>0</v>
      </c>
      <c r="G741" s="3" t="s">
        <v>8278</v>
      </c>
    </row>
    <row r="742" spans="1:7" x14ac:dyDescent="0.2">
      <c r="A742" s="3" t="s">
        <v>9024</v>
      </c>
      <c r="B742" s="3" t="s">
        <v>3052</v>
      </c>
      <c r="C742" s="3" t="s">
        <v>8280</v>
      </c>
      <c r="D742" s="3" t="s">
        <v>187</v>
      </c>
      <c r="E742" s="3" t="s">
        <v>187</v>
      </c>
      <c r="F742" s="3">
        <v>0</v>
      </c>
      <c r="G742" s="3" t="s">
        <v>8278</v>
      </c>
    </row>
    <row r="743" spans="1:7" x14ac:dyDescent="0.2">
      <c r="A743" s="3" t="s">
        <v>9025</v>
      </c>
      <c r="B743" s="3" t="s">
        <v>3056</v>
      </c>
      <c r="C743" s="3" t="s">
        <v>8277</v>
      </c>
      <c r="D743" s="3" t="s">
        <v>517</v>
      </c>
      <c r="E743" s="3" t="s">
        <v>517</v>
      </c>
      <c r="F743" s="3">
        <v>0</v>
      </c>
      <c r="G743" s="3" t="s">
        <v>8278</v>
      </c>
    </row>
    <row r="744" spans="1:7" x14ac:dyDescent="0.2">
      <c r="A744" s="3" t="s">
        <v>9026</v>
      </c>
      <c r="B744" s="3" t="s">
        <v>3060</v>
      </c>
      <c r="C744" s="3" t="s">
        <v>8282</v>
      </c>
      <c r="D744" s="3" t="s">
        <v>1230</v>
      </c>
      <c r="E744" s="3" t="s">
        <v>1230</v>
      </c>
      <c r="F744" s="3">
        <v>0</v>
      </c>
      <c r="G744" s="3" t="s">
        <v>8278</v>
      </c>
    </row>
    <row r="745" spans="1:7" x14ac:dyDescent="0.2">
      <c r="A745" s="3" t="s">
        <v>9027</v>
      </c>
      <c r="B745" s="3" t="s">
        <v>3063</v>
      </c>
      <c r="C745" s="3" t="s">
        <v>8288</v>
      </c>
      <c r="D745" s="3" t="s">
        <v>1427</v>
      </c>
      <c r="E745" s="3" t="s">
        <v>1427</v>
      </c>
      <c r="F745" s="3">
        <v>0</v>
      </c>
      <c r="G745" s="3" t="s">
        <v>8278</v>
      </c>
    </row>
    <row r="746" spans="1:7" x14ac:dyDescent="0.2">
      <c r="A746" s="3" t="s">
        <v>9028</v>
      </c>
      <c r="B746" s="3" t="s">
        <v>3067</v>
      </c>
      <c r="C746" s="3" t="s">
        <v>8286</v>
      </c>
      <c r="D746" s="3" t="s">
        <v>434</v>
      </c>
      <c r="E746" s="3" t="s">
        <v>434</v>
      </c>
      <c r="F746" s="3">
        <v>0</v>
      </c>
      <c r="G746" s="3" t="s">
        <v>8278</v>
      </c>
    </row>
    <row r="747" spans="1:7" x14ac:dyDescent="0.2">
      <c r="A747" s="3" t="s">
        <v>9029</v>
      </c>
      <c r="B747" s="3" t="s">
        <v>3068</v>
      </c>
      <c r="C747" s="3" t="s">
        <v>8286</v>
      </c>
      <c r="D747" s="3" t="s">
        <v>198</v>
      </c>
      <c r="E747" s="3" t="s">
        <v>198</v>
      </c>
      <c r="F747" s="3">
        <v>0</v>
      </c>
      <c r="G747" s="3" t="s">
        <v>8278</v>
      </c>
    </row>
    <row r="748" spans="1:7" x14ac:dyDescent="0.2">
      <c r="A748" s="3" t="s">
        <v>9030</v>
      </c>
      <c r="B748" s="3" t="s">
        <v>3074</v>
      </c>
      <c r="C748" s="3" t="s">
        <v>8288</v>
      </c>
      <c r="D748" s="3" t="s">
        <v>552</v>
      </c>
      <c r="E748" s="3" t="s">
        <v>552</v>
      </c>
      <c r="F748" s="3">
        <v>0</v>
      </c>
      <c r="G748" s="3" t="s">
        <v>8278</v>
      </c>
    </row>
    <row r="749" spans="1:7" x14ac:dyDescent="0.2">
      <c r="A749" s="3" t="s">
        <v>9031</v>
      </c>
      <c r="B749" s="3" t="s">
        <v>3075</v>
      </c>
      <c r="C749" s="3" t="s">
        <v>8286</v>
      </c>
      <c r="D749" s="3" t="s">
        <v>467</v>
      </c>
      <c r="E749" s="3" t="s">
        <v>467</v>
      </c>
      <c r="F749" s="3">
        <v>0</v>
      </c>
      <c r="G749" s="3" t="s">
        <v>8278</v>
      </c>
    </row>
    <row r="750" spans="1:7" x14ac:dyDescent="0.2">
      <c r="A750" s="3" t="s">
        <v>9032</v>
      </c>
      <c r="B750" s="3" t="s">
        <v>3076</v>
      </c>
      <c r="C750" s="3" t="s">
        <v>8290</v>
      </c>
      <c r="D750" s="3" t="s">
        <v>1281</v>
      </c>
      <c r="E750" s="3" t="s">
        <v>909</v>
      </c>
      <c r="F750" s="3">
        <v>8</v>
      </c>
      <c r="G750" s="3" t="s">
        <v>8284</v>
      </c>
    </row>
    <row r="751" spans="1:7" x14ac:dyDescent="0.2">
      <c r="A751" s="3" t="s">
        <v>9033</v>
      </c>
      <c r="B751" s="3" t="s">
        <v>3082</v>
      </c>
      <c r="C751" s="3" t="s">
        <v>8288</v>
      </c>
      <c r="D751" s="3" t="s">
        <v>689</v>
      </c>
      <c r="E751" s="3" t="s">
        <v>689</v>
      </c>
      <c r="F751" s="3">
        <v>0</v>
      </c>
      <c r="G751" s="3" t="s">
        <v>8278</v>
      </c>
    </row>
    <row r="752" spans="1:7" x14ac:dyDescent="0.2">
      <c r="A752" s="3" t="s">
        <v>9034</v>
      </c>
      <c r="B752" s="3" t="s">
        <v>3083</v>
      </c>
      <c r="C752" s="3" t="s">
        <v>8282</v>
      </c>
      <c r="D752" s="3" t="s">
        <v>386</v>
      </c>
      <c r="E752" s="3" t="s">
        <v>386</v>
      </c>
      <c r="F752" s="3">
        <v>0</v>
      </c>
      <c r="G752" s="3" t="s">
        <v>8278</v>
      </c>
    </row>
    <row r="753" spans="1:7" x14ac:dyDescent="0.2">
      <c r="A753" s="3" t="s">
        <v>9035</v>
      </c>
      <c r="B753" s="3" t="s">
        <v>3085</v>
      </c>
      <c r="C753" s="3" t="s">
        <v>8280</v>
      </c>
      <c r="D753" s="3" t="s">
        <v>342</v>
      </c>
      <c r="E753" s="3" t="s">
        <v>342</v>
      </c>
      <c r="F753" s="3">
        <v>0</v>
      </c>
      <c r="G753" s="3" t="s">
        <v>8278</v>
      </c>
    </row>
    <row r="754" spans="1:7" x14ac:dyDescent="0.2">
      <c r="A754" s="3" t="s">
        <v>9036</v>
      </c>
      <c r="B754" s="3" t="s">
        <v>3086</v>
      </c>
      <c r="C754" s="3" t="s">
        <v>8280</v>
      </c>
      <c r="D754" s="3" t="s">
        <v>668</v>
      </c>
      <c r="E754" s="3" t="s">
        <v>668</v>
      </c>
      <c r="F754" s="3">
        <v>0</v>
      </c>
      <c r="G754" s="3" t="s">
        <v>8278</v>
      </c>
    </row>
    <row r="755" spans="1:7" x14ac:dyDescent="0.2">
      <c r="A755" s="3" t="s">
        <v>9037</v>
      </c>
      <c r="B755" s="3" t="s">
        <v>3090</v>
      </c>
      <c r="C755" s="3" t="s">
        <v>8290</v>
      </c>
      <c r="D755" s="3" t="s">
        <v>373</v>
      </c>
      <c r="E755" s="3" t="s">
        <v>883</v>
      </c>
      <c r="F755" s="3">
        <v>8</v>
      </c>
      <c r="G755" s="3" t="s">
        <v>8284</v>
      </c>
    </row>
    <row r="756" spans="1:7" x14ac:dyDescent="0.2">
      <c r="A756" s="3" t="s">
        <v>9038</v>
      </c>
      <c r="B756" s="3" t="s">
        <v>3098</v>
      </c>
      <c r="C756" s="3" t="s">
        <v>8288</v>
      </c>
      <c r="D756" s="3" t="s">
        <v>663</v>
      </c>
      <c r="E756" s="3" t="s">
        <v>663</v>
      </c>
      <c r="F756" s="3">
        <v>0</v>
      </c>
      <c r="G756" s="3" t="s">
        <v>8278</v>
      </c>
    </row>
    <row r="757" spans="1:7" x14ac:dyDescent="0.2">
      <c r="A757" s="3" t="s">
        <v>9039</v>
      </c>
      <c r="B757" s="3" t="s">
        <v>3109</v>
      </c>
      <c r="C757" s="3" t="s">
        <v>8286</v>
      </c>
      <c r="D757" s="3" t="s">
        <v>628</v>
      </c>
      <c r="E757" s="3" t="s">
        <v>628</v>
      </c>
      <c r="F757" s="3">
        <v>0</v>
      </c>
      <c r="G757" s="3" t="s">
        <v>8278</v>
      </c>
    </row>
    <row r="758" spans="1:7" x14ac:dyDescent="0.2">
      <c r="A758" s="3" t="s">
        <v>9040</v>
      </c>
      <c r="B758" s="3" t="s">
        <v>3113</v>
      </c>
      <c r="C758" s="3" t="s">
        <v>8290</v>
      </c>
      <c r="D758" s="3" t="s">
        <v>270</v>
      </c>
      <c r="E758" s="3" t="s">
        <v>270</v>
      </c>
      <c r="F758" s="3">
        <v>0</v>
      </c>
      <c r="G758" s="3" t="s">
        <v>8278</v>
      </c>
    </row>
    <row r="759" spans="1:7" x14ac:dyDescent="0.2">
      <c r="A759" s="3" t="s">
        <v>9041</v>
      </c>
      <c r="B759" s="3" t="s">
        <v>3115</v>
      </c>
      <c r="C759" s="3" t="s">
        <v>8290</v>
      </c>
      <c r="D759" s="3" t="s">
        <v>646</v>
      </c>
      <c r="E759" s="3" t="s">
        <v>646</v>
      </c>
      <c r="F759" s="3">
        <v>0</v>
      </c>
      <c r="G759" s="3" t="s">
        <v>8278</v>
      </c>
    </row>
    <row r="760" spans="1:7" x14ac:dyDescent="0.2">
      <c r="A760" s="3" t="s">
        <v>9042</v>
      </c>
      <c r="B760" s="3" t="s">
        <v>3117</v>
      </c>
      <c r="C760" s="3" t="s">
        <v>8282</v>
      </c>
      <c r="D760" s="3" t="s">
        <v>755</v>
      </c>
      <c r="E760" s="3" t="s">
        <v>660</v>
      </c>
      <c r="F760" s="3">
        <v>6</v>
      </c>
      <c r="G760" s="3" t="s">
        <v>8284</v>
      </c>
    </row>
    <row r="761" spans="1:7" x14ac:dyDescent="0.2">
      <c r="A761" s="3" t="s">
        <v>9043</v>
      </c>
      <c r="B761" s="3" t="s">
        <v>3119</v>
      </c>
      <c r="C761" s="3" t="s">
        <v>8286</v>
      </c>
      <c r="D761" s="3" t="s">
        <v>529</v>
      </c>
      <c r="E761" s="3" t="s">
        <v>529</v>
      </c>
      <c r="F761" s="3">
        <v>0</v>
      </c>
      <c r="G761" s="3" t="s">
        <v>8278</v>
      </c>
    </row>
    <row r="762" spans="1:7" x14ac:dyDescent="0.2">
      <c r="A762" s="3" t="s">
        <v>9044</v>
      </c>
      <c r="B762" s="3" t="s">
        <v>3120</v>
      </c>
      <c r="C762" s="3" t="s">
        <v>8290</v>
      </c>
      <c r="D762" s="3" t="s">
        <v>757</v>
      </c>
      <c r="E762" s="3" t="s">
        <v>757</v>
      </c>
      <c r="F762" s="3">
        <v>0</v>
      </c>
      <c r="G762" s="3" t="s">
        <v>8278</v>
      </c>
    </row>
    <row r="763" spans="1:7" x14ac:dyDescent="0.2">
      <c r="A763" s="3" t="s">
        <v>9045</v>
      </c>
      <c r="B763" s="3" t="s">
        <v>3122</v>
      </c>
      <c r="C763" s="3" t="s">
        <v>8286</v>
      </c>
      <c r="D763" s="3" t="s">
        <v>398</v>
      </c>
      <c r="E763" s="3" t="s">
        <v>398</v>
      </c>
      <c r="F763" s="3">
        <v>0</v>
      </c>
      <c r="G763" s="3" t="s">
        <v>8278</v>
      </c>
    </row>
    <row r="764" spans="1:7" x14ac:dyDescent="0.2">
      <c r="A764" s="3" t="s">
        <v>9046</v>
      </c>
      <c r="B764" s="3" t="s">
        <v>3132</v>
      </c>
      <c r="C764" s="3" t="s">
        <v>8288</v>
      </c>
      <c r="D764" s="3" t="s">
        <v>720</v>
      </c>
      <c r="E764" s="3" t="s">
        <v>720</v>
      </c>
      <c r="F764" s="3">
        <v>0</v>
      </c>
      <c r="G764" s="3" t="s">
        <v>8278</v>
      </c>
    </row>
    <row r="765" spans="1:7" x14ac:dyDescent="0.2">
      <c r="A765" s="3" t="s">
        <v>9047</v>
      </c>
      <c r="B765" s="3" t="s">
        <v>3134</v>
      </c>
      <c r="C765" s="3" t="s">
        <v>8282</v>
      </c>
      <c r="D765" s="3" t="s">
        <v>434</v>
      </c>
      <c r="E765" s="3" t="s">
        <v>434</v>
      </c>
      <c r="F765" s="3">
        <v>0</v>
      </c>
      <c r="G765" s="3" t="s">
        <v>8278</v>
      </c>
    </row>
    <row r="766" spans="1:7" x14ac:dyDescent="0.2">
      <c r="A766" s="3" t="s">
        <v>9048</v>
      </c>
      <c r="B766" s="3" t="s">
        <v>3136</v>
      </c>
      <c r="C766" s="3" t="s">
        <v>8277</v>
      </c>
      <c r="D766" s="3" t="s">
        <v>378</v>
      </c>
      <c r="E766" s="3" t="s">
        <v>378</v>
      </c>
      <c r="F766" s="3">
        <v>0</v>
      </c>
      <c r="G766" s="3" t="s">
        <v>8278</v>
      </c>
    </row>
    <row r="767" spans="1:7" x14ac:dyDescent="0.2">
      <c r="A767" s="3" t="s">
        <v>9049</v>
      </c>
      <c r="B767" s="3" t="s">
        <v>3137</v>
      </c>
      <c r="C767" s="3" t="s">
        <v>8290</v>
      </c>
      <c r="D767" s="3" t="s">
        <v>805</v>
      </c>
      <c r="E767" s="3" t="s">
        <v>805</v>
      </c>
      <c r="F767" s="3">
        <v>0</v>
      </c>
      <c r="G767" s="3" t="s">
        <v>8278</v>
      </c>
    </row>
    <row r="768" spans="1:7" x14ac:dyDescent="0.2">
      <c r="A768" s="3" t="s">
        <v>9050</v>
      </c>
      <c r="B768" s="3" t="s">
        <v>3138</v>
      </c>
      <c r="C768" s="3" t="s">
        <v>8288</v>
      </c>
      <c r="D768" s="3" t="s">
        <v>613</v>
      </c>
      <c r="E768" s="3" t="s">
        <v>613</v>
      </c>
      <c r="F768" s="3">
        <v>0</v>
      </c>
      <c r="G768" s="3" t="s">
        <v>8278</v>
      </c>
    </row>
    <row r="769" spans="1:7" x14ac:dyDescent="0.2">
      <c r="A769" s="3" t="s">
        <v>9051</v>
      </c>
      <c r="B769" s="3" t="s">
        <v>3139</v>
      </c>
      <c r="C769" s="3" t="s">
        <v>8282</v>
      </c>
      <c r="D769" s="3" t="s">
        <v>535</v>
      </c>
      <c r="E769" s="3" t="s">
        <v>535</v>
      </c>
      <c r="F769" s="3">
        <v>0</v>
      </c>
      <c r="G769" s="3" t="s">
        <v>8278</v>
      </c>
    </row>
    <row r="770" spans="1:7" x14ac:dyDescent="0.2">
      <c r="A770" s="3" t="s">
        <v>9052</v>
      </c>
      <c r="B770" s="3" t="s">
        <v>3141</v>
      </c>
      <c r="C770" s="3" t="s">
        <v>8277</v>
      </c>
      <c r="D770" s="3" t="s">
        <v>542</v>
      </c>
      <c r="E770" s="3" t="s">
        <v>542</v>
      </c>
      <c r="F770" s="3">
        <v>0</v>
      </c>
      <c r="G770" s="3" t="s">
        <v>8278</v>
      </c>
    </row>
    <row r="771" spans="1:7" x14ac:dyDescent="0.2">
      <c r="A771" s="3" t="s">
        <v>9053</v>
      </c>
      <c r="B771" s="3" t="s">
        <v>3142</v>
      </c>
      <c r="C771" s="3" t="s">
        <v>8290</v>
      </c>
      <c r="D771" s="3" t="s">
        <v>1299</v>
      </c>
      <c r="E771" s="3" t="s">
        <v>1299</v>
      </c>
      <c r="F771" s="3">
        <v>0</v>
      </c>
      <c r="G771" s="3" t="s">
        <v>8278</v>
      </c>
    </row>
    <row r="772" spans="1:7" x14ac:dyDescent="0.2">
      <c r="A772" s="3" t="s">
        <v>9054</v>
      </c>
      <c r="B772" s="3" t="s">
        <v>3143</v>
      </c>
      <c r="C772" s="3" t="s">
        <v>8288</v>
      </c>
      <c r="D772" s="3" t="s">
        <v>1192</v>
      </c>
      <c r="E772" s="3" t="s">
        <v>1480</v>
      </c>
      <c r="F772" s="3">
        <v>7</v>
      </c>
      <c r="G772" s="3" t="s">
        <v>8284</v>
      </c>
    </row>
    <row r="773" spans="1:7" x14ac:dyDescent="0.2">
      <c r="A773" s="3" t="s">
        <v>9055</v>
      </c>
      <c r="B773" s="3" t="s">
        <v>3145</v>
      </c>
      <c r="C773" s="3" t="s">
        <v>8288</v>
      </c>
      <c r="D773" s="3" t="s">
        <v>431</v>
      </c>
      <c r="E773" s="3" t="s">
        <v>842</v>
      </c>
      <c r="F773" s="3">
        <v>13</v>
      </c>
      <c r="G773" s="3" t="s">
        <v>8284</v>
      </c>
    </row>
    <row r="774" spans="1:7" x14ac:dyDescent="0.2">
      <c r="A774" s="3" t="s">
        <v>9056</v>
      </c>
      <c r="B774" s="3" t="s">
        <v>3147</v>
      </c>
      <c r="C774" s="3" t="s">
        <v>8286</v>
      </c>
      <c r="D774" s="3" t="s">
        <v>484</v>
      </c>
      <c r="E774" s="3" t="s">
        <v>484</v>
      </c>
      <c r="F774" s="3">
        <v>0</v>
      </c>
      <c r="G774" s="3" t="s">
        <v>8278</v>
      </c>
    </row>
    <row r="775" spans="1:7" x14ac:dyDescent="0.2">
      <c r="A775" s="3" t="s">
        <v>9057</v>
      </c>
      <c r="B775" s="3" t="s">
        <v>3148</v>
      </c>
      <c r="C775" s="3" t="s">
        <v>8288</v>
      </c>
      <c r="D775" s="3" t="s">
        <v>779</v>
      </c>
      <c r="E775" s="3" t="s">
        <v>779</v>
      </c>
      <c r="F775" s="3">
        <v>0</v>
      </c>
      <c r="G775" s="3" t="s">
        <v>8278</v>
      </c>
    </row>
    <row r="776" spans="1:7" x14ac:dyDescent="0.2">
      <c r="A776" s="3" t="s">
        <v>9058</v>
      </c>
      <c r="B776" s="3" t="s">
        <v>3149</v>
      </c>
      <c r="C776" s="3" t="s">
        <v>8280</v>
      </c>
      <c r="D776" s="3" t="s">
        <v>431</v>
      </c>
      <c r="E776" s="3" t="s">
        <v>431</v>
      </c>
      <c r="F776" s="3">
        <v>0</v>
      </c>
      <c r="G776" s="3" t="s">
        <v>8278</v>
      </c>
    </row>
    <row r="777" spans="1:7" x14ac:dyDescent="0.2">
      <c r="A777" s="3" t="s">
        <v>9059</v>
      </c>
      <c r="B777" s="3" t="s">
        <v>3151</v>
      </c>
      <c r="C777" s="3" t="s">
        <v>8290</v>
      </c>
      <c r="D777" s="3" t="s">
        <v>466</v>
      </c>
      <c r="E777" s="3" t="s">
        <v>466</v>
      </c>
      <c r="F777" s="3">
        <v>0</v>
      </c>
      <c r="G777" s="3" t="s">
        <v>8278</v>
      </c>
    </row>
    <row r="778" spans="1:7" x14ac:dyDescent="0.2">
      <c r="A778" s="3" t="s">
        <v>9060</v>
      </c>
      <c r="B778" s="3" t="s">
        <v>3155</v>
      </c>
      <c r="C778" s="3" t="s">
        <v>8282</v>
      </c>
      <c r="D778" s="3" t="s">
        <v>630</v>
      </c>
      <c r="E778" s="3" t="s">
        <v>630</v>
      </c>
      <c r="F778" s="3">
        <v>0</v>
      </c>
      <c r="G778" s="3" t="s">
        <v>8278</v>
      </c>
    </row>
    <row r="779" spans="1:7" x14ac:dyDescent="0.2">
      <c r="A779" s="3" t="s">
        <v>9061</v>
      </c>
      <c r="B779" s="3" t="s">
        <v>3156</v>
      </c>
      <c r="C779" s="3" t="s">
        <v>8286</v>
      </c>
      <c r="D779" s="3" t="s">
        <v>933</v>
      </c>
      <c r="E779" s="3" t="s">
        <v>933</v>
      </c>
      <c r="F779" s="3">
        <v>0</v>
      </c>
      <c r="G779" s="3" t="s">
        <v>8278</v>
      </c>
    </row>
    <row r="780" spans="1:7" x14ac:dyDescent="0.2">
      <c r="A780" s="3" t="s">
        <v>9062</v>
      </c>
      <c r="B780" s="3" t="s">
        <v>3157</v>
      </c>
      <c r="C780" s="3" t="s">
        <v>8277</v>
      </c>
      <c r="D780" s="3" t="s">
        <v>814</v>
      </c>
      <c r="E780" s="3" t="s">
        <v>814</v>
      </c>
      <c r="F780" s="3">
        <v>0</v>
      </c>
      <c r="G780" s="3" t="s">
        <v>8278</v>
      </c>
    </row>
    <row r="781" spans="1:7" x14ac:dyDescent="0.2">
      <c r="A781" s="3" t="s">
        <v>9063</v>
      </c>
      <c r="B781" s="3" t="s">
        <v>3158</v>
      </c>
      <c r="C781" s="3" t="s">
        <v>8277</v>
      </c>
      <c r="D781" s="3" t="s">
        <v>222</v>
      </c>
      <c r="E781" s="3" t="s">
        <v>222</v>
      </c>
      <c r="F781" s="3">
        <v>0</v>
      </c>
      <c r="G781" s="3" t="s">
        <v>8278</v>
      </c>
    </row>
    <row r="782" spans="1:7" x14ac:dyDescent="0.2">
      <c r="A782" s="3" t="s">
        <v>9064</v>
      </c>
      <c r="B782" s="3" t="s">
        <v>3162</v>
      </c>
      <c r="C782" s="3" t="s">
        <v>8286</v>
      </c>
      <c r="D782" s="3" t="s">
        <v>317</v>
      </c>
      <c r="E782" s="3" t="s">
        <v>317</v>
      </c>
      <c r="F782" s="3">
        <v>0</v>
      </c>
      <c r="G782" s="3" t="s">
        <v>8278</v>
      </c>
    </row>
    <row r="783" spans="1:7" x14ac:dyDescent="0.2">
      <c r="A783" s="3" t="s">
        <v>9065</v>
      </c>
      <c r="B783" s="3" t="s">
        <v>3163</v>
      </c>
      <c r="C783" s="3" t="s">
        <v>8282</v>
      </c>
      <c r="D783" s="3" t="s">
        <v>309</v>
      </c>
      <c r="E783" s="3" t="s">
        <v>309</v>
      </c>
      <c r="F783" s="3">
        <v>0</v>
      </c>
      <c r="G783" s="3" t="s">
        <v>8278</v>
      </c>
    </row>
    <row r="784" spans="1:7" x14ac:dyDescent="0.2">
      <c r="A784" s="3" t="s">
        <v>9066</v>
      </c>
      <c r="B784" s="3" t="s">
        <v>3167</v>
      </c>
      <c r="C784" s="3" t="s">
        <v>8280</v>
      </c>
      <c r="D784" s="3" t="s">
        <v>531</v>
      </c>
      <c r="E784" s="3" t="s">
        <v>531</v>
      </c>
      <c r="F784" s="3">
        <v>0</v>
      </c>
      <c r="G784" s="3" t="s">
        <v>8278</v>
      </c>
    </row>
    <row r="785" spans="1:7" x14ac:dyDescent="0.2">
      <c r="A785" s="3" t="s">
        <v>9067</v>
      </c>
      <c r="B785" s="3" t="s">
        <v>3169</v>
      </c>
      <c r="C785" s="3" t="s">
        <v>8280</v>
      </c>
      <c r="D785" s="3" t="s">
        <v>1466</v>
      </c>
      <c r="E785" s="3" t="s">
        <v>1466</v>
      </c>
      <c r="F785" s="3">
        <v>0</v>
      </c>
      <c r="G785" s="3" t="s">
        <v>8278</v>
      </c>
    </row>
    <row r="786" spans="1:7" x14ac:dyDescent="0.2">
      <c r="A786" s="3" t="s">
        <v>9068</v>
      </c>
      <c r="B786" s="3" t="s">
        <v>3171</v>
      </c>
      <c r="C786" s="3" t="s">
        <v>8277</v>
      </c>
      <c r="D786" s="3" t="s">
        <v>428</v>
      </c>
      <c r="E786" s="3" t="s">
        <v>428</v>
      </c>
      <c r="F786" s="3">
        <v>0</v>
      </c>
      <c r="G786" s="3" t="s">
        <v>8278</v>
      </c>
    </row>
    <row r="787" spans="1:7" x14ac:dyDescent="0.2">
      <c r="A787" s="3" t="s">
        <v>9069</v>
      </c>
      <c r="B787" s="3" t="s">
        <v>3173</v>
      </c>
      <c r="C787" s="3" t="s">
        <v>8277</v>
      </c>
      <c r="D787" s="3" t="s">
        <v>1115</v>
      </c>
      <c r="E787" s="3" t="s">
        <v>1115</v>
      </c>
      <c r="F787" s="3">
        <v>0</v>
      </c>
      <c r="G787" s="3" t="s">
        <v>8278</v>
      </c>
    </row>
    <row r="788" spans="1:7" x14ac:dyDescent="0.2">
      <c r="A788" s="3" t="s">
        <v>9070</v>
      </c>
      <c r="B788" s="3" t="s">
        <v>3175</v>
      </c>
      <c r="C788" s="3" t="s">
        <v>8280</v>
      </c>
      <c r="D788" s="3" t="s">
        <v>1152</v>
      </c>
      <c r="E788" s="3" t="s">
        <v>1152</v>
      </c>
      <c r="F788" s="3">
        <v>0</v>
      </c>
      <c r="G788" s="3" t="s">
        <v>8278</v>
      </c>
    </row>
    <row r="789" spans="1:7" x14ac:dyDescent="0.2">
      <c r="A789" s="3" t="s">
        <v>9071</v>
      </c>
      <c r="B789" s="3" t="s">
        <v>3177</v>
      </c>
      <c r="C789" s="3" t="s">
        <v>8290</v>
      </c>
      <c r="D789" s="3" t="s">
        <v>506</v>
      </c>
      <c r="E789" s="3" t="s">
        <v>506</v>
      </c>
      <c r="F789" s="3">
        <v>0</v>
      </c>
      <c r="G789" s="3" t="s">
        <v>8278</v>
      </c>
    </row>
    <row r="790" spans="1:7" x14ac:dyDescent="0.2">
      <c r="A790" s="3" t="s">
        <v>9072</v>
      </c>
      <c r="B790" s="3" t="s">
        <v>3184</v>
      </c>
      <c r="C790" s="3" t="s">
        <v>8288</v>
      </c>
      <c r="D790" s="3" t="s">
        <v>1192</v>
      </c>
      <c r="E790" s="3" t="s">
        <v>1192</v>
      </c>
      <c r="F790" s="3">
        <v>0</v>
      </c>
      <c r="G790" s="3" t="s">
        <v>8278</v>
      </c>
    </row>
    <row r="791" spans="1:7" x14ac:dyDescent="0.2">
      <c r="A791" s="3" t="s">
        <v>9073</v>
      </c>
      <c r="B791" s="3" t="s">
        <v>3187</v>
      </c>
      <c r="C791" s="3" t="s">
        <v>8282</v>
      </c>
      <c r="D791" s="3" t="s">
        <v>1141</v>
      </c>
      <c r="E791" s="3" t="s">
        <v>1141</v>
      </c>
      <c r="F791" s="3">
        <v>0</v>
      </c>
      <c r="G791" s="3" t="s">
        <v>8278</v>
      </c>
    </row>
    <row r="792" spans="1:7" x14ac:dyDescent="0.2">
      <c r="A792" s="3" t="s">
        <v>9074</v>
      </c>
      <c r="B792" s="3" t="s">
        <v>3188</v>
      </c>
      <c r="C792" s="3" t="s">
        <v>8286</v>
      </c>
      <c r="D792" s="3" t="s">
        <v>161</v>
      </c>
      <c r="E792" s="3" t="s">
        <v>161</v>
      </c>
      <c r="F792" s="3">
        <v>0</v>
      </c>
      <c r="G792" s="3" t="s">
        <v>8278</v>
      </c>
    </row>
    <row r="793" spans="1:7" x14ac:dyDescent="0.2">
      <c r="A793" s="3" t="s">
        <v>9075</v>
      </c>
      <c r="B793" s="3" t="s">
        <v>3190</v>
      </c>
      <c r="C793" s="3" t="s">
        <v>8290</v>
      </c>
      <c r="D793" s="3" t="s">
        <v>898</v>
      </c>
      <c r="E793" s="3" t="s">
        <v>898</v>
      </c>
      <c r="F793" s="3">
        <v>0</v>
      </c>
      <c r="G793" s="3" t="s">
        <v>8278</v>
      </c>
    </row>
    <row r="794" spans="1:7" x14ac:dyDescent="0.2">
      <c r="A794" s="3" t="s">
        <v>9076</v>
      </c>
      <c r="B794" s="3" t="s">
        <v>3194</v>
      </c>
      <c r="C794" s="3" t="s">
        <v>8277</v>
      </c>
      <c r="D794" s="3" t="s">
        <v>1437</v>
      </c>
      <c r="E794" s="3" t="s">
        <v>1437</v>
      </c>
      <c r="F794" s="3">
        <v>0</v>
      </c>
      <c r="G794" s="3" t="s">
        <v>8278</v>
      </c>
    </row>
    <row r="795" spans="1:7" x14ac:dyDescent="0.2">
      <c r="A795" s="3" t="s">
        <v>9077</v>
      </c>
      <c r="B795" s="3" t="s">
        <v>3195</v>
      </c>
      <c r="C795" s="3" t="s">
        <v>8280</v>
      </c>
      <c r="D795" s="3" t="s">
        <v>744</v>
      </c>
      <c r="E795" s="3" t="s">
        <v>744</v>
      </c>
      <c r="F795" s="3">
        <v>0</v>
      </c>
      <c r="G795" s="3" t="s">
        <v>8278</v>
      </c>
    </row>
    <row r="796" spans="1:7" x14ac:dyDescent="0.2">
      <c r="A796" s="3" t="s">
        <v>9078</v>
      </c>
      <c r="B796" s="3" t="s">
        <v>3199</v>
      </c>
      <c r="C796" s="3" t="s">
        <v>8282</v>
      </c>
      <c r="D796" s="3" t="s">
        <v>724</v>
      </c>
      <c r="E796" s="3" t="s">
        <v>724</v>
      </c>
      <c r="F796" s="3">
        <v>0</v>
      </c>
      <c r="G796" s="3" t="s">
        <v>8278</v>
      </c>
    </row>
    <row r="797" spans="1:7" x14ac:dyDescent="0.2">
      <c r="A797" s="3" t="s">
        <v>9079</v>
      </c>
      <c r="B797" s="3" t="s">
        <v>3201</v>
      </c>
      <c r="C797" s="3" t="s">
        <v>8286</v>
      </c>
      <c r="D797" s="3" t="s">
        <v>790</v>
      </c>
      <c r="E797" s="3" t="s">
        <v>790</v>
      </c>
      <c r="F797" s="3">
        <v>0</v>
      </c>
      <c r="G797" s="3" t="s">
        <v>8278</v>
      </c>
    </row>
    <row r="798" spans="1:7" x14ac:dyDescent="0.2">
      <c r="A798" s="3" t="s">
        <v>9080</v>
      </c>
      <c r="B798" s="3" t="s">
        <v>3204</v>
      </c>
      <c r="C798" s="3" t="s">
        <v>8280</v>
      </c>
      <c r="D798" s="3" t="s">
        <v>311</v>
      </c>
      <c r="E798" s="3" t="s">
        <v>190</v>
      </c>
      <c r="F798" s="3">
        <v>2</v>
      </c>
      <c r="G798" s="3" t="s">
        <v>8284</v>
      </c>
    </row>
    <row r="799" spans="1:7" x14ac:dyDescent="0.2">
      <c r="A799" s="3" t="s">
        <v>9081</v>
      </c>
      <c r="B799" s="3" t="s">
        <v>3208</v>
      </c>
      <c r="C799" s="3" t="s">
        <v>8286</v>
      </c>
      <c r="D799" s="3" t="s">
        <v>579</v>
      </c>
      <c r="E799" s="3" t="s">
        <v>579</v>
      </c>
      <c r="F799" s="3">
        <v>0</v>
      </c>
      <c r="G799" s="3" t="s">
        <v>8278</v>
      </c>
    </row>
    <row r="800" spans="1:7" x14ac:dyDescent="0.2">
      <c r="A800" s="3" t="s">
        <v>9082</v>
      </c>
      <c r="B800" s="3" t="s">
        <v>3211</v>
      </c>
      <c r="C800" s="3" t="s">
        <v>8288</v>
      </c>
      <c r="D800" s="3" t="s">
        <v>793</v>
      </c>
      <c r="E800" s="3" t="s">
        <v>824</v>
      </c>
      <c r="F800" s="3">
        <v>12</v>
      </c>
      <c r="G800" s="3" t="s">
        <v>8284</v>
      </c>
    </row>
    <row r="801" spans="1:7" x14ac:dyDescent="0.2">
      <c r="A801" s="3" t="s">
        <v>9083</v>
      </c>
      <c r="B801" s="3" t="s">
        <v>3215</v>
      </c>
      <c r="C801" s="3" t="s">
        <v>8282</v>
      </c>
      <c r="D801" s="3" t="s">
        <v>1244</v>
      </c>
      <c r="E801" s="3" t="s">
        <v>376</v>
      </c>
      <c r="F801" s="3">
        <v>3</v>
      </c>
      <c r="G801" s="3" t="s">
        <v>8284</v>
      </c>
    </row>
    <row r="802" spans="1:7" x14ac:dyDescent="0.2">
      <c r="A802" s="3" t="s">
        <v>9084</v>
      </c>
      <c r="B802" s="3" t="s">
        <v>3216</v>
      </c>
      <c r="C802" s="3" t="s">
        <v>8286</v>
      </c>
      <c r="D802" s="3" t="s">
        <v>651</v>
      </c>
      <c r="E802" s="3" t="s">
        <v>651</v>
      </c>
      <c r="F802" s="3">
        <v>0</v>
      </c>
      <c r="G802" s="3" t="s">
        <v>8278</v>
      </c>
    </row>
    <row r="803" spans="1:7" x14ac:dyDescent="0.2">
      <c r="A803" s="3" t="s">
        <v>9085</v>
      </c>
      <c r="B803" s="3" t="s">
        <v>3217</v>
      </c>
      <c r="C803" s="3" t="s">
        <v>8288</v>
      </c>
      <c r="D803" s="3" t="s">
        <v>289</v>
      </c>
      <c r="E803" s="3" t="s">
        <v>289</v>
      </c>
      <c r="F803" s="3">
        <v>0</v>
      </c>
      <c r="G803" s="3" t="s">
        <v>8278</v>
      </c>
    </row>
    <row r="804" spans="1:7" x14ac:dyDescent="0.2">
      <c r="A804" s="3" t="s">
        <v>9086</v>
      </c>
      <c r="B804" s="3" t="s">
        <v>3219</v>
      </c>
      <c r="C804" s="3" t="s">
        <v>8277</v>
      </c>
      <c r="D804" s="3" t="s">
        <v>301</v>
      </c>
      <c r="E804" s="3" t="s">
        <v>301</v>
      </c>
      <c r="F804" s="3">
        <v>0</v>
      </c>
      <c r="G804" s="3" t="s">
        <v>8278</v>
      </c>
    </row>
    <row r="805" spans="1:7" x14ac:dyDescent="0.2">
      <c r="A805" s="3" t="s">
        <v>9087</v>
      </c>
      <c r="B805" s="3" t="s">
        <v>3220</v>
      </c>
      <c r="C805" s="3" t="s">
        <v>8290</v>
      </c>
      <c r="D805" s="3" t="s">
        <v>431</v>
      </c>
      <c r="E805" s="3" t="s">
        <v>431</v>
      </c>
      <c r="F805" s="3">
        <v>0</v>
      </c>
      <c r="G805" s="3" t="s">
        <v>8278</v>
      </c>
    </row>
    <row r="806" spans="1:7" x14ac:dyDescent="0.2">
      <c r="A806" s="3" t="s">
        <v>9088</v>
      </c>
      <c r="B806" s="3" t="s">
        <v>3223</v>
      </c>
      <c r="C806" s="3" t="s">
        <v>8277</v>
      </c>
      <c r="D806" s="3" t="s">
        <v>513</v>
      </c>
      <c r="E806" s="3" t="s">
        <v>513</v>
      </c>
      <c r="F806" s="3">
        <v>0</v>
      </c>
      <c r="G806" s="3" t="s">
        <v>8278</v>
      </c>
    </row>
    <row r="807" spans="1:7" x14ac:dyDescent="0.2">
      <c r="A807" s="3" t="s">
        <v>9089</v>
      </c>
      <c r="B807" s="3" t="s">
        <v>3226</v>
      </c>
      <c r="C807" s="3" t="s">
        <v>8288</v>
      </c>
      <c r="D807" s="3" t="s">
        <v>524</v>
      </c>
      <c r="E807" s="3" t="s">
        <v>642</v>
      </c>
      <c r="F807" s="3">
        <v>5</v>
      </c>
      <c r="G807" s="3" t="s">
        <v>8284</v>
      </c>
    </row>
    <row r="808" spans="1:7" x14ac:dyDescent="0.2">
      <c r="A808" s="3" t="s">
        <v>9090</v>
      </c>
      <c r="B808" s="3" t="s">
        <v>3228</v>
      </c>
      <c r="C808" s="3" t="s">
        <v>8290</v>
      </c>
      <c r="D808" s="3" t="s">
        <v>450</v>
      </c>
      <c r="E808" s="3" t="s">
        <v>450</v>
      </c>
      <c r="F808" s="3">
        <v>0</v>
      </c>
      <c r="G808" s="3" t="s">
        <v>8278</v>
      </c>
    </row>
    <row r="809" spans="1:7" x14ac:dyDescent="0.2">
      <c r="A809" s="3" t="s">
        <v>9091</v>
      </c>
      <c r="B809" s="3" t="s">
        <v>3230</v>
      </c>
      <c r="C809" s="3" t="s">
        <v>8282</v>
      </c>
      <c r="D809" s="3" t="s">
        <v>765</v>
      </c>
      <c r="E809" s="3" t="s">
        <v>1526</v>
      </c>
      <c r="F809" s="3">
        <v>9</v>
      </c>
      <c r="G809" s="3" t="s">
        <v>8284</v>
      </c>
    </row>
    <row r="810" spans="1:7" x14ac:dyDescent="0.2">
      <c r="A810" s="3" t="s">
        <v>9092</v>
      </c>
      <c r="B810" s="3" t="s">
        <v>3233</v>
      </c>
      <c r="C810" s="3" t="s">
        <v>8286</v>
      </c>
      <c r="D810" s="3" t="s">
        <v>1118</v>
      </c>
      <c r="E810" s="3" t="s">
        <v>1118</v>
      </c>
      <c r="F810" s="3">
        <v>0</v>
      </c>
      <c r="G810" s="3" t="s">
        <v>8278</v>
      </c>
    </row>
    <row r="811" spans="1:7" x14ac:dyDescent="0.2">
      <c r="A811" s="3" t="s">
        <v>9093</v>
      </c>
      <c r="B811" s="3" t="s">
        <v>3234</v>
      </c>
      <c r="C811" s="3" t="s">
        <v>8280</v>
      </c>
      <c r="D811" s="3" t="s">
        <v>947</v>
      </c>
      <c r="E811" s="3" t="s">
        <v>947</v>
      </c>
      <c r="F811" s="3">
        <v>0</v>
      </c>
      <c r="G811" s="3" t="s">
        <v>8278</v>
      </c>
    </row>
    <row r="812" spans="1:7" x14ac:dyDescent="0.2">
      <c r="A812" s="3" t="s">
        <v>9094</v>
      </c>
      <c r="B812" s="3" t="s">
        <v>3237</v>
      </c>
      <c r="C812" s="3" t="s">
        <v>8290</v>
      </c>
      <c r="D812" s="3" t="s">
        <v>584</v>
      </c>
      <c r="E812" s="3" t="s">
        <v>584</v>
      </c>
      <c r="F812" s="3">
        <v>0</v>
      </c>
      <c r="G812" s="3" t="s">
        <v>8278</v>
      </c>
    </row>
    <row r="813" spans="1:7" x14ac:dyDescent="0.2">
      <c r="A813" s="3" t="s">
        <v>9095</v>
      </c>
      <c r="B813" s="3" t="s">
        <v>3240</v>
      </c>
      <c r="C813" s="3" t="s">
        <v>8280</v>
      </c>
      <c r="D813" s="3" t="s">
        <v>509</v>
      </c>
      <c r="E813" s="3" t="s">
        <v>509</v>
      </c>
      <c r="F813" s="3">
        <v>0</v>
      </c>
      <c r="G813" s="3" t="s">
        <v>8278</v>
      </c>
    </row>
    <row r="814" spans="1:7" x14ac:dyDescent="0.2">
      <c r="A814" s="3" t="s">
        <v>9096</v>
      </c>
      <c r="B814" s="3" t="s">
        <v>3246</v>
      </c>
      <c r="C814" s="3" t="s">
        <v>8288</v>
      </c>
      <c r="D814" s="3" t="s">
        <v>1062</v>
      </c>
      <c r="E814" s="3" t="s">
        <v>1062</v>
      </c>
      <c r="F814" s="3">
        <v>0</v>
      </c>
      <c r="G814" s="3" t="s">
        <v>8278</v>
      </c>
    </row>
    <row r="815" spans="1:7" x14ac:dyDescent="0.2">
      <c r="A815" s="3" t="s">
        <v>9097</v>
      </c>
      <c r="B815" s="3" t="s">
        <v>3252</v>
      </c>
      <c r="C815" s="3" t="s">
        <v>8277</v>
      </c>
      <c r="D815" s="3" t="s">
        <v>986</v>
      </c>
      <c r="E815" s="3" t="s">
        <v>986</v>
      </c>
      <c r="F815" s="3">
        <v>0</v>
      </c>
      <c r="G815" s="3" t="s">
        <v>8278</v>
      </c>
    </row>
    <row r="816" spans="1:7" x14ac:dyDescent="0.2">
      <c r="A816" s="3" t="s">
        <v>9098</v>
      </c>
      <c r="B816" s="3" t="s">
        <v>3254</v>
      </c>
      <c r="C816" s="3" t="s">
        <v>8286</v>
      </c>
      <c r="D816" s="3" t="s">
        <v>935</v>
      </c>
      <c r="E816" s="3" t="s">
        <v>1627</v>
      </c>
      <c r="F816" s="3">
        <v>6</v>
      </c>
      <c r="G816" s="3" t="s">
        <v>8284</v>
      </c>
    </row>
    <row r="817" spans="1:7" x14ac:dyDescent="0.2">
      <c r="A817" s="3" t="s">
        <v>9099</v>
      </c>
      <c r="B817" s="3" t="s">
        <v>3256</v>
      </c>
      <c r="C817" s="3" t="s">
        <v>8280</v>
      </c>
      <c r="D817" s="3" t="s">
        <v>183</v>
      </c>
      <c r="E817" s="3" t="s">
        <v>183</v>
      </c>
      <c r="F817" s="3">
        <v>0</v>
      </c>
      <c r="G817" s="3" t="s">
        <v>8278</v>
      </c>
    </row>
    <row r="818" spans="1:7" x14ac:dyDescent="0.2">
      <c r="A818" s="3" t="s">
        <v>9100</v>
      </c>
      <c r="B818" s="3" t="s">
        <v>3260</v>
      </c>
      <c r="C818" s="3" t="s">
        <v>8290</v>
      </c>
      <c r="D818" s="3" t="s">
        <v>304</v>
      </c>
      <c r="E818" s="3" t="s">
        <v>304</v>
      </c>
      <c r="F818" s="3">
        <v>0</v>
      </c>
      <c r="G818" s="3" t="s">
        <v>8278</v>
      </c>
    </row>
    <row r="819" spans="1:7" x14ac:dyDescent="0.2">
      <c r="A819" s="3" t="s">
        <v>9101</v>
      </c>
      <c r="B819" s="3" t="s">
        <v>3265</v>
      </c>
      <c r="C819" s="3" t="s">
        <v>8290</v>
      </c>
      <c r="D819" s="3" t="s">
        <v>885</v>
      </c>
      <c r="E819" s="3" t="s">
        <v>284</v>
      </c>
      <c r="F819" s="3">
        <v>9</v>
      </c>
      <c r="G819" s="3" t="s">
        <v>8284</v>
      </c>
    </row>
    <row r="820" spans="1:7" x14ac:dyDescent="0.2">
      <c r="A820" s="3" t="s">
        <v>9102</v>
      </c>
      <c r="B820" s="3" t="s">
        <v>3269</v>
      </c>
      <c r="C820" s="3" t="s">
        <v>8290</v>
      </c>
      <c r="D820" s="3" t="s">
        <v>342</v>
      </c>
      <c r="E820" s="3" t="s">
        <v>342</v>
      </c>
      <c r="F820" s="3">
        <v>0</v>
      </c>
      <c r="G820" s="3" t="s">
        <v>8278</v>
      </c>
    </row>
    <row r="821" spans="1:7" x14ac:dyDescent="0.2">
      <c r="A821" s="3" t="s">
        <v>9103</v>
      </c>
      <c r="B821" s="3" t="s">
        <v>3274</v>
      </c>
      <c r="C821" s="3" t="s">
        <v>8282</v>
      </c>
      <c r="D821" s="3" t="s">
        <v>1301</v>
      </c>
      <c r="E821" s="3" t="s">
        <v>653</v>
      </c>
      <c r="F821" s="3">
        <v>14</v>
      </c>
      <c r="G821" s="3" t="s">
        <v>8284</v>
      </c>
    </row>
    <row r="822" spans="1:7" x14ac:dyDescent="0.2">
      <c r="A822" s="3" t="s">
        <v>9104</v>
      </c>
      <c r="B822" s="3" t="s">
        <v>3278</v>
      </c>
      <c r="C822" s="3" t="s">
        <v>8290</v>
      </c>
      <c r="D822" s="3" t="s">
        <v>1667</v>
      </c>
      <c r="E822" s="3" t="s">
        <v>1667</v>
      </c>
      <c r="F822" s="3">
        <v>0</v>
      </c>
      <c r="G822" s="3" t="s">
        <v>8278</v>
      </c>
    </row>
    <row r="823" spans="1:7" x14ac:dyDescent="0.2">
      <c r="A823" s="3" t="s">
        <v>9105</v>
      </c>
      <c r="B823" s="3" t="s">
        <v>3279</v>
      </c>
      <c r="C823" s="3" t="s">
        <v>8286</v>
      </c>
      <c r="D823" s="3" t="s">
        <v>2029</v>
      </c>
      <c r="E823" s="3" t="s">
        <v>2029</v>
      </c>
      <c r="F823" s="3">
        <v>0</v>
      </c>
      <c r="G823" s="3" t="s">
        <v>8278</v>
      </c>
    </row>
    <row r="824" spans="1:7" x14ac:dyDescent="0.2">
      <c r="A824" s="3" t="s">
        <v>9106</v>
      </c>
      <c r="B824" s="3" t="s">
        <v>3282</v>
      </c>
      <c r="C824" s="3" t="s">
        <v>8286</v>
      </c>
      <c r="D824" s="3" t="s">
        <v>808</v>
      </c>
      <c r="E824" s="3" t="s">
        <v>808</v>
      </c>
      <c r="F824" s="3">
        <v>0</v>
      </c>
      <c r="G824" s="3" t="s">
        <v>8278</v>
      </c>
    </row>
    <row r="825" spans="1:7" x14ac:dyDescent="0.2">
      <c r="A825" s="3" t="s">
        <v>9107</v>
      </c>
      <c r="B825" s="3" t="s">
        <v>3285</v>
      </c>
      <c r="C825" s="3" t="s">
        <v>8286</v>
      </c>
      <c r="D825" s="3" t="s">
        <v>504</v>
      </c>
      <c r="E825" s="3" t="s">
        <v>504</v>
      </c>
      <c r="F825" s="3">
        <v>0</v>
      </c>
      <c r="G825" s="3" t="s">
        <v>8278</v>
      </c>
    </row>
    <row r="826" spans="1:7" x14ac:dyDescent="0.2">
      <c r="A826" s="3" t="s">
        <v>9108</v>
      </c>
      <c r="B826" s="3" t="s">
        <v>3289</v>
      </c>
      <c r="C826" s="3" t="s">
        <v>8282</v>
      </c>
      <c r="D826" s="3" t="s">
        <v>634</v>
      </c>
      <c r="E826" s="3" t="s">
        <v>634</v>
      </c>
      <c r="F826" s="3">
        <v>0</v>
      </c>
      <c r="G826" s="3" t="s">
        <v>8278</v>
      </c>
    </row>
    <row r="827" spans="1:7" x14ac:dyDescent="0.2">
      <c r="A827" s="3" t="s">
        <v>9109</v>
      </c>
      <c r="B827" s="3" t="s">
        <v>3293</v>
      </c>
      <c r="C827" s="3" t="s">
        <v>8286</v>
      </c>
      <c r="D827" s="3" t="s">
        <v>601</v>
      </c>
      <c r="E827" s="3" t="s">
        <v>556</v>
      </c>
      <c r="F827" s="3">
        <v>2</v>
      </c>
      <c r="G827" s="3" t="s">
        <v>8284</v>
      </c>
    </row>
    <row r="828" spans="1:7" x14ac:dyDescent="0.2">
      <c r="A828" s="3" t="s">
        <v>9110</v>
      </c>
      <c r="B828" s="3" t="s">
        <v>3296</v>
      </c>
      <c r="C828" s="3" t="s">
        <v>8280</v>
      </c>
      <c r="D828" s="3" t="s">
        <v>179</v>
      </c>
      <c r="E828" s="3" t="s">
        <v>179</v>
      </c>
      <c r="F828" s="3">
        <v>0</v>
      </c>
      <c r="G828" s="3" t="s">
        <v>8278</v>
      </c>
    </row>
    <row r="829" spans="1:7" x14ac:dyDescent="0.2">
      <c r="A829" s="3" t="s">
        <v>9111</v>
      </c>
      <c r="B829" s="3" t="s">
        <v>3297</v>
      </c>
      <c r="C829" s="3" t="s">
        <v>8290</v>
      </c>
      <c r="D829" s="3" t="s">
        <v>639</v>
      </c>
      <c r="E829" s="3" t="s">
        <v>1118</v>
      </c>
      <c r="F829" s="3">
        <v>9</v>
      </c>
      <c r="G829" s="3" t="s">
        <v>8284</v>
      </c>
    </row>
    <row r="830" spans="1:7" x14ac:dyDescent="0.2">
      <c r="A830" s="3" t="s">
        <v>9112</v>
      </c>
      <c r="B830" s="3" t="s">
        <v>3298</v>
      </c>
      <c r="C830" s="3" t="s">
        <v>8286</v>
      </c>
      <c r="D830" s="3" t="s">
        <v>658</v>
      </c>
      <c r="E830" s="3" t="s">
        <v>658</v>
      </c>
      <c r="F830" s="3">
        <v>0</v>
      </c>
      <c r="G830" s="3" t="s">
        <v>8278</v>
      </c>
    </row>
    <row r="831" spans="1:7" x14ac:dyDescent="0.2">
      <c r="A831" s="3" t="s">
        <v>9113</v>
      </c>
      <c r="B831" s="3" t="s">
        <v>3299</v>
      </c>
      <c r="C831" s="3" t="s">
        <v>8290</v>
      </c>
      <c r="D831" s="3" t="s">
        <v>323</v>
      </c>
      <c r="E831" s="3" t="s">
        <v>323</v>
      </c>
      <c r="F831" s="3">
        <v>0</v>
      </c>
      <c r="G831" s="3" t="s">
        <v>8278</v>
      </c>
    </row>
    <row r="832" spans="1:7" x14ac:dyDescent="0.2">
      <c r="A832" s="3" t="s">
        <v>9114</v>
      </c>
      <c r="B832" s="3" t="s">
        <v>3308</v>
      </c>
      <c r="C832" s="3" t="s">
        <v>8282</v>
      </c>
      <c r="D832" s="3" t="s">
        <v>517</v>
      </c>
      <c r="E832" s="3" t="s">
        <v>518</v>
      </c>
      <c r="F832" s="3">
        <v>6</v>
      </c>
      <c r="G832" s="3" t="s">
        <v>8284</v>
      </c>
    </row>
    <row r="833" spans="1:7" x14ac:dyDescent="0.2">
      <c r="A833" s="3" t="s">
        <v>9115</v>
      </c>
      <c r="B833" s="3" t="s">
        <v>3309</v>
      </c>
      <c r="C833" s="3" t="s">
        <v>8280</v>
      </c>
      <c r="D833" s="3" t="s">
        <v>394</v>
      </c>
      <c r="E833" s="3" t="s">
        <v>394</v>
      </c>
      <c r="F833" s="3">
        <v>0</v>
      </c>
      <c r="G833" s="3" t="s">
        <v>8278</v>
      </c>
    </row>
    <row r="834" spans="1:7" x14ac:dyDescent="0.2">
      <c r="A834" s="3" t="s">
        <v>9116</v>
      </c>
      <c r="B834" s="3" t="s">
        <v>3312</v>
      </c>
      <c r="C834" s="3" t="s">
        <v>8288</v>
      </c>
      <c r="D834" s="3" t="s">
        <v>631</v>
      </c>
      <c r="E834" s="3" t="s">
        <v>631</v>
      </c>
      <c r="F834" s="3">
        <v>0</v>
      </c>
      <c r="G834" s="3" t="s">
        <v>8278</v>
      </c>
    </row>
    <row r="835" spans="1:7" x14ac:dyDescent="0.2">
      <c r="A835" s="3" t="s">
        <v>9117</v>
      </c>
      <c r="B835" s="3" t="s">
        <v>3315</v>
      </c>
      <c r="C835" s="3" t="s">
        <v>8280</v>
      </c>
      <c r="D835" s="3" t="s">
        <v>1361</v>
      </c>
      <c r="E835" s="3" t="s">
        <v>1361</v>
      </c>
      <c r="F835" s="3">
        <v>0</v>
      </c>
      <c r="G835" s="3" t="s">
        <v>8278</v>
      </c>
    </row>
  </sheetData>
  <pageMargins left="0.7" right="0.7" top="0.75" bottom="0.75"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02"/>
  <sheetViews>
    <sheetView showGridLines="0" zoomScaleNormal="100" workbookViewId="0">
      <pane ySplit="1" topLeftCell="A2" activePane="bottomLeft" state="frozen"/>
      <selection pane="bottomLeft" activeCell="F2" sqref="F2"/>
    </sheetView>
  </sheetViews>
  <sheetFormatPr defaultColWidth="8.7109375" defaultRowHeight="12.75" x14ac:dyDescent="0.2"/>
  <cols>
    <col min="1" max="2" width="19" style="51" customWidth="1"/>
    <col min="3" max="3" width="27" style="51" customWidth="1"/>
    <col min="4" max="4" width="17" style="51" customWidth="1"/>
    <col min="5" max="5" width="16" style="51" customWidth="1"/>
    <col min="6" max="6" width="23" style="51" customWidth="1"/>
    <col min="7" max="16384" width="8.7109375" style="51"/>
  </cols>
  <sheetData>
    <row r="1" spans="1:6" x14ac:dyDescent="0.2">
      <c r="A1" s="63" t="s">
        <v>9118</v>
      </c>
      <c r="B1" s="63" t="s">
        <v>87</v>
      </c>
      <c r="C1" s="63" t="s">
        <v>9119</v>
      </c>
      <c r="D1" s="63" t="s">
        <v>9120</v>
      </c>
      <c r="E1" s="63" t="s">
        <v>9121</v>
      </c>
      <c r="F1" s="63" t="s">
        <v>9122</v>
      </c>
    </row>
    <row r="2" spans="1:6" x14ac:dyDescent="0.2">
      <c r="A2" s="53" t="s">
        <v>9123</v>
      </c>
      <c r="B2" s="53" t="s">
        <v>172</v>
      </c>
      <c r="C2" s="53" t="s">
        <v>9124</v>
      </c>
      <c r="D2" s="53" t="s">
        <v>174</v>
      </c>
      <c r="E2" s="53">
        <v>10</v>
      </c>
      <c r="F2" s="53" t="s">
        <v>9125</v>
      </c>
    </row>
    <row r="3" spans="1:6" x14ac:dyDescent="0.2">
      <c r="A3" s="53" t="s">
        <v>9126</v>
      </c>
      <c r="B3" s="53" t="s">
        <v>262</v>
      </c>
      <c r="C3" s="53" t="s">
        <v>9127</v>
      </c>
      <c r="D3" s="53" t="s">
        <v>263</v>
      </c>
      <c r="E3" s="53">
        <v>2</v>
      </c>
      <c r="F3" s="53" t="s">
        <v>9128</v>
      </c>
    </row>
    <row r="4" spans="1:6" x14ac:dyDescent="0.2">
      <c r="A4" s="53" t="s">
        <v>9129</v>
      </c>
      <c r="B4" s="53" t="s">
        <v>330</v>
      </c>
      <c r="C4" s="53" t="s">
        <v>9127</v>
      </c>
      <c r="D4" s="53" t="s">
        <v>331</v>
      </c>
      <c r="E4" s="53">
        <v>2</v>
      </c>
      <c r="F4" s="53" t="s">
        <v>9128</v>
      </c>
    </row>
    <row r="5" spans="1:6" x14ac:dyDescent="0.2">
      <c r="A5" s="53" t="s">
        <v>9130</v>
      </c>
      <c r="B5" s="53" t="s">
        <v>333</v>
      </c>
      <c r="C5" s="53" t="s">
        <v>9124</v>
      </c>
      <c r="D5" s="53" t="s">
        <v>308</v>
      </c>
      <c r="E5" s="53">
        <v>4</v>
      </c>
      <c r="F5" s="53" t="s">
        <v>9125</v>
      </c>
    </row>
    <row r="6" spans="1:6" x14ac:dyDescent="0.2">
      <c r="A6" s="53" t="s">
        <v>9131</v>
      </c>
      <c r="B6" s="53" t="s">
        <v>404</v>
      </c>
      <c r="C6" s="53" t="s">
        <v>9132</v>
      </c>
      <c r="D6" s="53" t="s">
        <v>405</v>
      </c>
      <c r="E6" s="53">
        <v>2</v>
      </c>
      <c r="F6" s="53" t="s">
        <v>9128</v>
      </c>
    </row>
    <row r="7" spans="1:6" x14ac:dyDescent="0.2">
      <c r="A7" s="53" t="s">
        <v>9133</v>
      </c>
      <c r="B7" s="53" t="s">
        <v>416</v>
      </c>
      <c r="C7" s="53" t="s">
        <v>9124</v>
      </c>
      <c r="D7" s="53" t="s">
        <v>417</v>
      </c>
      <c r="E7" s="53">
        <v>10</v>
      </c>
      <c r="F7" s="53" t="s">
        <v>9125</v>
      </c>
    </row>
    <row r="8" spans="1:6" x14ac:dyDescent="0.2">
      <c r="A8" s="53" t="s">
        <v>9134</v>
      </c>
      <c r="B8" s="53" t="s">
        <v>432</v>
      </c>
      <c r="C8" s="53" t="s">
        <v>9127</v>
      </c>
      <c r="D8" s="53" t="s">
        <v>433</v>
      </c>
      <c r="E8" s="53">
        <v>2</v>
      </c>
      <c r="F8" s="53" t="s">
        <v>9128</v>
      </c>
    </row>
    <row r="9" spans="1:6" x14ac:dyDescent="0.2">
      <c r="A9" s="53" t="s">
        <v>9135</v>
      </c>
      <c r="B9" s="53" t="s">
        <v>438</v>
      </c>
      <c r="C9" s="53" t="s">
        <v>9124</v>
      </c>
      <c r="D9" s="53" t="s">
        <v>304</v>
      </c>
      <c r="E9" s="53">
        <v>6</v>
      </c>
      <c r="F9" s="53" t="s">
        <v>9125</v>
      </c>
    </row>
    <row r="10" spans="1:6" x14ac:dyDescent="0.2">
      <c r="A10" s="53" t="s">
        <v>9136</v>
      </c>
      <c r="B10" s="53" t="s">
        <v>440</v>
      </c>
      <c r="C10" s="53" t="s">
        <v>9124</v>
      </c>
      <c r="D10" s="53" t="s">
        <v>441</v>
      </c>
      <c r="E10" s="53">
        <v>11</v>
      </c>
      <c r="F10" s="53" t="s">
        <v>9125</v>
      </c>
    </row>
    <row r="11" spans="1:6" x14ac:dyDescent="0.2">
      <c r="A11" s="53" t="s">
        <v>9137</v>
      </c>
      <c r="B11" s="53" t="s">
        <v>465</v>
      </c>
      <c r="C11" s="53" t="s">
        <v>9124</v>
      </c>
      <c r="D11" s="53" t="s">
        <v>466</v>
      </c>
      <c r="E11" s="53">
        <v>12</v>
      </c>
      <c r="F11" s="53" t="s">
        <v>9125</v>
      </c>
    </row>
    <row r="12" spans="1:6" x14ac:dyDescent="0.2">
      <c r="A12" s="53" t="s">
        <v>9138</v>
      </c>
      <c r="B12" s="53" t="s">
        <v>483</v>
      </c>
      <c r="C12" s="53" t="s">
        <v>9139</v>
      </c>
      <c r="D12" s="53" t="s">
        <v>484</v>
      </c>
      <c r="E12" s="53">
        <v>2</v>
      </c>
      <c r="F12" s="53" t="s">
        <v>9128</v>
      </c>
    </row>
    <row r="13" spans="1:6" x14ac:dyDescent="0.2">
      <c r="A13" s="53" t="s">
        <v>9140</v>
      </c>
      <c r="B13" s="53" t="s">
        <v>496</v>
      </c>
      <c r="C13" s="53" t="s">
        <v>9124</v>
      </c>
      <c r="D13" s="53" t="s">
        <v>214</v>
      </c>
      <c r="E13" s="53">
        <v>4</v>
      </c>
      <c r="F13" s="53" t="s">
        <v>9125</v>
      </c>
    </row>
    <row r="14" spans="1:6" x14ac:dyDescent="0.2">
      <c r="A14" s="53" t="s">
        <v>9141</v>
      </c>
      <c r="B14" s="53" t="s">
        <v>554</v>
      </c>
      <c r="C14" s="53" t="s">
        <v>9124</v>
      </c>
      <c r="D14" s="53" t="s">
        <v>555</v>
      </c>
      <c r="E14" s="53">
        <v>3</v>
      </c>
      <c r="F14" s="53" t="s">
        <v>9125</v>
      </c>
    </row>
    <row r="15" spans="1:6" x14ac:dyDescent="0.2">
      <c r="A15" s="53" t="s">
        <v>9142</v>
      </c>
      <c r="B15" s="53" t="s">
        <v>573</v>
      </c>
      <c r="C15" s="53" t="s">
        <v>9132</v>
      </c>
      <c r="D15" s="53" t="s">
        <v>161</v>
      </c>
      <c r="E15" s="53">
        <v>2</v>
      </c>
      <c r="F15" s="53" t="s">
        <v>9128</v>
      </c>
    </row>
    <row r="16" spans="1:6" x14ac:dyDescent="0.2">
      <c r="A16" s="53" t="s">
        <v>9143</v>
      </c>
      <c r="B16" s="53" t="s">
        <v>595</v>
      </c>
      <c r="C16" s="53" t="s">
        <v>9139</v>
      </c>
      <c r="D16" s="53" t="s">
        <v>520</v>
      </c>
      <c r="E16" s="53">
        <v>2</v>
      </c>
      <c r="F16" s="53" t="s">
        <v>9128</v>
      </c>
    </row>
    <row r="17" spans="1:6" x14ac:dyDescent="0.2">
      <c r="A17" s="53" t="s">
        <v>9144</v>
      </c>
      <c r="B17" s="53" t="s">
        <v>610</v>
      </c>
      <c r="C17" s="53" t="s">
        <v>9124</v>
      </c>
      <c r="D17" s="53" t="s">
        <v>174</v>
      </c>
      <c r="E17" s="53">
        <v>8</v>
      </c>
      <c r="F17" s="53" t="s">
        <v>9125</v>
      </c>
    </row>
    <row r="18" spans="1:6" x14ac:dyDescent="0.2">
      <c r="A18" s="53" t="s">
        <v>9145</v>
      </c>
      <c r="B18" s="53" t="s">
        <v>619</v>
      </c>
      <c r="C18" s="53" t="s">
        <v>9139</v>
      </c>
      <c r="D18" s="53" t="s">
        <v>620</v>
      </c>
      <c r="E18" s="53">
        <v>2</v>
      </c>
      <c r="F18" s="53" t="s">
        <v>9128</v>
      </c>
    </row>
    <row r="19" spans="1:6" x14ac:dyDescent="0.2">
      <c r="A19" s="53" t="s">
        <v>9146</v>
      </c>
      <c r="B19" s="53" t="s">
        <v>641</v>
      </c>
      <c r="C19" s="53" t="s">
        <v>9132</v>
      </c>
      <c r="D19" s="53" t="s">
        <v>642</v>
      </c>
      <c r="E19" s="53">
        <v>2</v>
      </c>
      <c r="F19" s="53" t="s">
        <v>9128</v>
      </c>
    </row>
    <row r="20" spans="1:6" x14ac:dyDescent="0.2">
      <c r="A20" s="53" t="s">
        <v>9147</v>
      </c>
      <c r="B20" s="53" t="s">
        <v>657</v>
      </c>
      <c r="C20" s="53" t="s">
        <v>9124</v>
      </c>
      <c r="D20" s="53" t="s">
        <v>341</v>
      </c>
      <c r="E20" s="53">
        <v>13</v>
      </c>
      <c r="F20" s="53" t="s">
        <v>9125</v>
      </c>
    </row>
    <row r="21" spans="1:6" x14ac:dyDescent="0.2">
      <c r="A21" s="53" t="s">
        <v>9148</v>
      </c>
      <c r="B21" s="53" t="s">
        <v>662</v>
      </c>
      <c r="C21" s="53" t="s">
        <v>9139</v>
      </c>
      <c r="D21" s="53" t="s">
        <v>475</v>
      </c>
      <c r="E21" s="53">
        <v>2</v>
      </c>
      <c r="F21" s="53" t="s">
        <v>9128</v>
      </c>
    </row>
    <row r="22" spans="1:6" x14ac:dyDescent="0.2">
      <c r="A22" s="53" t="s">
        <v>9149</v>
      </c>
      <c r="B22" s="53" t="s">
        <v>715</v>
      </c>
      <c r="C22" s="53" t="s">
        <v>9132</v>
      </c>
      <c r="D22" s="53" t="s">
        <v>716</v>
      </c>
      <c r="E22" s="53">
        <v>2</v>
      </c>
      <c r="F22" s="53" t="s">
        <v>9128</v>
      </c>
    </row>
    <row r="23" spans="1:6" x14ac:dyDescent="0.2">
      <c r="A23" s="53" t="s">
        <v>9150</v>
      </c>
      <c r="B23" s="53" t="s">
        <v>752</v>
      </c>
      <c r="C23" s="53" t="s">
        <v>9124</v>
      </c>
      <c r="D23" s="53" t="s">
        <v>308</v>
      </c>
      <c r="E23" s="53">
        <v>5</v>
      </c>
      <c r="F23" s="53" t="s">
        <v>9125</v>
      </c>
    </row>
    <row r="24" spans="1:6" x14ac:dyDescent="0.2">
      <c r="A24" s="53" t="s">
        <v>9151</v>
      </c>
      <c r="B24" s="53" t="s">
        <v>809</v>
      </c>
      <c r="C24" s="53" t="s">
        <v>9124</v>
      </c>
      <c r="D24" s="53" t="s">
        <v>532</v>
      </c>
      <c r="E24" s="53">
        <v>3</v>
      </c>
      <c r="F24" s="53" t="s">
        <v>9125</v>
      </c>
    </row>
    <row r="25" spans="1:6" x14ac:dyDescent="0.2">
      <c r="A25" s="53" t="s">
        <v>9152</v>
      </c>
      <c r="B25" s="53" t="s">
        <v>823</v>
      </c>
      <c r="C25" s="53" t="s">
        <v>9124</v>
      </c>
      <c r="D25" s="53" t="s">
        <v>723</v>
      </c>
      <c r="E25" s="53">
        <v>8</v>
      </c>
      <c r="F25" s="53" t="s">
        <v>9125</v>
      </c>
    </row>
    <row r="26" spans="1:6" x14ac:dyDescent="0.2">
      <c r="A26" s="53" t="s">
        <v>9153</v>
      </c>
      <c r="B26" s="53" t="s">
        <v>840</v>
      </c>
      <c r="C26" s="53" t="s">
        <v>9124</v>
      </c>
      <c r="D26" s="53" t="s">
        <v>668</v>
      </c>
      <c r="E26" s="53">
        <v>3</v>
      </c>
      <c r="F26" s="53" t="s">
        <v>9125</v>
      </c>
    </row>
    <row r="27" spans="1:6" x14ac:dyDescent="0.2">
      <c r="A27" s="53" t="s">
        <v>9154</v>
      </c>
      <c r="B27" s="53" t="s">
        <v>847</v>
      </c>
      <c r="C27" s="53" t="s">
        <v>9124</v>
      </c>
      <c r="D27" s="53" t="s">
        <v>848</v>
      </c>
      <c r="E27" s="53">
        <v>3</v>
      </c>
      <c r="F27" s="53" t="s">
        <v>9125</v>
      </c>
    </row>
    <row r="28" spans="1:6" x14ac:dyDescent="0.2">
      <c r="A28" s="53" t="s">
        <v>9155</v>
      </c>
      <c r="B28" s="53" t="s">
        <v>872</v>
      </c>
      <c r="C28" s="53" t="s">
        <v>9127</v>
      </c>
      <c r="D28" s="53" t="s">
        <v>696</v>
      </c>
      <c r="E28" s="53">
        <v>2</v>
      </c>
      <c r="F28" s="53" t="s">
        <v>9128</v>
      </c>
    </row>
    <row r="29" spans="1:6" x14ac:dyDescent="0.2">
      <c r="A29" s="53" t="s">
        <v>9156</v>
      </c>
      <c r="B29" s="53" t="s">
        <v>893</v>
      </c>
      <c r="C29" s="53" t="s">
        <v>9124</v>
      </c>
      <c r="D29" s="53" t="s">
        <v>894</v>
      </c>
      <c r="E29" s="53">
        <v>4</v>
      </c>
      <c r="F29" s="53" t="s">
        <v>9125</v>
      </c>
    </row>
    <row r="30" spans="1:6" x14ac:dyDescent="0.2">
      <c r="A30" s="53" t="s">
        <v>9157</v>
      </c>
      <c r="B30" s="53" t="s">
        <v>897</v>
      </c>
      <c r="C30" s="53" t="s">
        <v>9124</v>
      </c>
      <c r="D30" s="53" t="s">
        <v>317</v>
      </c>
      <c r="E30" s="53">
        <v>4</v>
      </c>
      <c r="F30" s="53" t="s">
        <v>9125</v>
      </c>
    </row>
    <row r="31" spans="1:6" x14ac:dyDescent="0.2">
      <c r="A31" s="53" t="s">
        <v>9158</v>
      </c>
      <c r="B31" s="53" t="s">
        <v>925</v>
      </c>
      <c r="C31" s="53" t="s">
        <v>9127</v>
      </c>
      <c r="D31" s="53" t="s">
        <v>926</v>
      </c>
      <c r="E31" s="53">
        <v>2</v>
      </c>
      <c r="F31" s="53" t="s">
        <v>9128</v>
      </c>
    </row>
    <row r="32" spans="1:6" x14ac:dyDescent="0.2">
      <c r="A32" s="53" t="s">
        <v>9159</v>
      </c>
      <c r="B32" s="53" t="s">
        <v>927</v>
      </c>
      <c r="C32" s="53" t="s">
        <v>9124</v>
      </c>
      <c r="D32" s="53" t="s">
        <v>563</v>
      </c>
      <c r="E32" s="53">
        <v>5</v>
      </c>
      <c r="F32" s="53" t="s">
        <v>9125</v>
      </c>
    </row>
    <row r="33" spans="1:6" x14ac:dyDescent="0.2">
      <c r="A33" s="53" t="s">
        <v>9160</v>
      </c>
      <c r="B33" s="53" t="s">
        <v>969</v>
      </c>
      <c r="C33" s="53" t="s">
        <v>9124</v>
      </c>
      <c r="D33" s="53" t="s">
        <v>970</v>
      </c>
      <c r="E33" s="53">
        <v>6</v>
      </c>
      <c r="F33" s="53" t="s">
        <v>9125</v>
      </c>
    </row>
    <row r="34" spans="1:6" x14ac:dyDescent="0.2">
      <c r="A34" s="53" t="s">
        <v>9161</v>
      </c>
      <c r="B34" s="53" t="s">
        <v>987</v>
      </c>
      <c r="C34" s="53" t="s">
        <v>9127</v>
      </c>
      <c r="D34" s="53" t="s">
        <v>941</v>
      </c>
      <c r="E34" s="53">
        <v>2</v>
      </c>
      <c r="F34" s="53" t="s">
        <v>9128</v>
      </c>
    </row>
    <row r="35" spans="1:6" x14ac:dyDescent="0.2">
      <c r="A35" s="53" t="s">
        <v>9162</v>
      </c>
      <c r="B35" s="53" t="s">
        <v>1002</v>
      </c>
      <c r="C35" s="53" t="s">
        <v>9124</v>
      </c>
      <c r="D35" s="53" t="s">
        <v>206</v>
      </c>
      <c r="E35" s="53">
        <v>5</v>
      </c>
      <c r="F35" s="53" t="s">
        <v>9125</v>
      </c>
    </row>
    <row r="36" spans="1:6" x14ac:dyDescent="0.2">
      <c r="A36" s="53" t="s">
        <v>9163</v>
      </c>
      <c r="B36" s="53" t="s">
        <v>1009</v>
      </c>
      <c r="C36" s="53" t="s">
        <v>9124</v>
      </c>
      <c r="D36" s="53" t="s">
        <v>631</v>
      </c>
      <c r="E36" s="53">
        <v>9</v>
      </c>
      <c r="F36" s="53" t="s">
        <v>9125</v>
      </c>
    </row>
    <row r="37" spans="1:6" x14ac:dyDescent="0.2">
      <c r="A37" s="53" t="s">
        <v>9164</v>
      </c>
      <c r="B37" s="53" t="s">
        <v>1011</v>
      </c>
      <c r="C37" s="53" t="s">
        <v>9127</v>
      </c>
      <c r="D37" s="53" t="s">
        <v>177</v>
      </c>
      <c r="E37" s="53">
        <v>2</v>
      </c>
      <c r="F37" s="53" t="s">
        <v>9128</v>
      </c>
    </row>
    <row r="38" spans="1:6" x14ac:dyDescent="0.2">
      <c r="A38" s="53" t="s">
        <v>9165</v>
      </c>
      <c r="B38" s="53" t="s">
        <v>1015</v>
      </c>
      <c r="C38" s="53" t="s">
        <v>9166</v>
      </c>
      <c r="D38" s="53" t="s">
        <v>637</v>
      </c>
      <c r="E38" s="53">
        <v>2</v>
      </c>
      <c r="F38" s="53" t="s">
        <v>9128</v>
      </c>
    </row>
    <row r="39" spans="1:6" x14ac:dyDescent="0.2">
      <c r="A39" s="53" t="s">
        <v>9167</v>
      </c>
      <c r="B39" s="53" t="s">
        <v>1027</v>
      </c>
      <c r="C39" s="53" t="s">
        <v>9132</v>
      </c>
      <c r="D39" s="53" t="s">
        <v>481</v>
      </c>
      <c r="E39" s="53">
        <v>2</v>
      </c>
      <c r="F39" s="53" t="s">
        <v>9128</v>
      </c>
    </row>
    <row r="40" spans="1:6" x14ac:dyDescent="0.2">
      <c r="A40" s="53" t="s">
        <v>9168</v>
      </c>
      <c r="B40" s="53" t="s">
        <v>1029</v>
      </c>
      <c r="C40" s="53" t="s">
        <v>9132</v>
      </c>
      <c r="D40" s="53" t="s">
        <v>1030</v>
      </c>
      <c r="E40" s="53">
        <v>2</v>
      </c>
      <c r="F40" s="53" t="s">
        <v>9128</v>
      </c>
    </row>
    <row r="41" spans="1:6" x14ac:dyDescent="0.2">
      <c r="A41" s="53" t="s">
        <v>9169</v>
      </c>
      <c r="B41" s="53" t="s">
        <v>1040</v>
      </c>
      <c r="C41" s="53" t="s">
        <v>9124</v>
      </c>
      <c r="D41" s="53" t="s">
        <v>1041</v>
      </c>
      <c r="E41" s="53">
        <v>10</v>
      </c>
      <c r="F41" s="53" t="s">
        <v>9125</v>
      </c>
    </row>
    <row r="42" spans="1:6" x14ac:dyDescent="0.2">
      <c r="A42" s="53" t="s">
        <v>9170</v>
      </c>
      <c r="B42" s="53" t="s">
        <v>1059</v>
      </c>
      <c r="C42" s="53" t="s">
        <v>9139</v>
      </c>
      <c r="D42" s="53" t="s">
        <v>909</v>
      </c>
      <c r="E42" s="53">
        <v>2</v>
      </c>
      <c r="F42" s="53" t="s">
        <v>9128</v>
      </c>
    </row>
    <row r="43" spans="1:6" x14ac:dyDescent="0.2">
      <c r="A43" s="53" t="s">
        <v>9171</v>
      </c>
      <c r="B43" s="53" t="s">
        <v>1098</v>
      </c>
      <c r="C43" s="53" t="s">
        <v>9132</v>
      </c>
      <c r="D43" s="53" t="s">
        <v>231</v>
      </c>
      <c r="E43" s="53">
        <v>2</v>
      </c>
      <c r="F43" s="53" t="s">
        <v>9128</v>
      </c>
    </row>
    <row r="44" spans="1:6" x14ac:dyDescent="0.2">
      <c r="A44" s="53" t="s">
        <v>9172</v>
      </c>
      <c r="B44" s="53" t="s">
        <v>1102</v>
      </c>
      <c r="C44" s="53" t="s">
        <v>9139</v>
      </c>
      <c r="D44" s="53" t="s">
        <v>421</v>
      </c>
      <c r="E44" s="53">
        <v>2</v>
      </c>
      <c r="F44" s="53" t="s">
        <v>9128</v>
      </c>
    </row>
    <row r="45" spans="1:6" x14ac:dyDescent="0.2">
      <c r="A45" s="53" t="s">
        <v>9173</v>
      </c>
      <c r="B45" s="53" t="s">
        <v>1110</v>
      </c>
      <c r="C45" s="53" t="s">
        <v>9139</v>
      </c>
      <c r="D45" s="53" t="s">
        <v>481</v>
      </c>
      <c r="E45" s="53">
        <v>2</v>
      </c>
      <c r="F45" s="53" t="s">
        <v>9128</v>
      </c>
    </row>
    <row r="46" spans="1:6" x14ac:dyDescent="0.2">
      <c r="A46" s="53" t="s">
        <v>9174</v>
      </c>
      <c r="B46" s="53" t="s">
        <v>1140</v>
      </c>
      <c r="C46" s="53" t="s">
        <v>9124</v>
      </c>
      <c r="D46" s="53" t="s">
        <v>675</v>
      </c>
      <c r="E46" s="53">
        <v>4</v>
      </c>
      <c r="F46" s="53" t="s">
        <v>9125</v>
      </c>
    </row>
    <row r="47" spans="1:6" x14ac:dyDescent="0.2">
      <c r="A47" s="53" t="s">
        <v>9175</v>
      </c>
      <c r="B47" s="53" t="s">
        <v>1160</v>
      </c>
      <c r="C47" s="53" t="s">
        <v>9124</v>
      </c>
      <c r="D47" s="53" t="s">
        <v>1161</v>
      </c>
      <c r="E47" s="53">
        <v>10</v>
      </c>
      <c r="F47" s="53" t="s">
        <v>9125</v>
      </c>
    </row>
    <row r="48" spans="1:6" x14ac:dyDescent="0.2">
      <c r="A48" s="53" t="s">
        <v>9176</v>
      </c>
      <c r="B48" s="53" t="s">
        <v>1165</v>
      </c>
      <c r="C48" s="53" t="s">
        <v>9166</v>
      </c>
      <c r="D48" s="53" t="s">
        <v>280</v>
      </c>
      <c r="E48" s="53">
        <v>2</v>
      </c>
      <c r="F48" s="53" t="s">
        <v>9128</v>
      </c>
    </row>
    <row r="49" spans="1:6" x14ac:dyDescent="0.2">
      <c r="A49" s="53" t="s">
        <v>9177</v>
      </c>
      <c r="B49" s="53" t="s">
        <v>1173</v>
      </c>
      <c r="C49" s="53" t="s">
        <v>9139</v>
      </c>
      <c r="D49" s="53" t="s">
        <v>1126</v>
      </c>
      <c r="E49" s="53">
        <v>2</v>
      </c>
      <c r="F49" s="53" t="s">
        <v>9128</v>
      </c>
    </row>
    <row r="50" spans="1:6" x14ac:dyDescent="0.2">
      <c r="A50" s="53" t="s">
        <v>9178</v>
      </c>
      <c r="B50" s="53" t="s">
        <v>1185</v>
      </c>
      <c r="C50" s="53" t="s">
        <v>9139</v>
      </c>
      <c r="D50" s="53" t="s">
        <v>1186</v>
      </c>
      <c r="E50" s="53">
        <v>2</v>
      </c>
      <c r="F50" s="53" t="s">
        <v>9128</v>
      </c>
    </row>
    <row r="51" spans="1:6" x14ac:dyDescent="0.2">
      <c r="A51" s="53" t="s">
        <v>9179</v>
      </c>
      <c r="B51" s="53" t="s">
        <v>1188</v>
      </c>
      <c r="C51" s="53" t="s">
        <v>9132</v>
      </c>
      <c r="D51" s="53" t="s">
        <v>192</v>
      </c>
      <c r="E51" s="53">
        <v>2</v>
      </c>
      <c r="F51" s="53" t="s">
        <v>9128</v>
      </c>
    </row>
    <row r="52" spans="1:6" x14ac:dyDescent="0.2">
      <c r="A52" s="53" t="s">
        <v>9180</v>
      </c>
      <c r="B52" s="53" t="s">
        <v>1189</v>
      </c>
      <c r="C52" s="53" t="s">
        <v>9124</v>
      </c>
      <c r="D52" s="53" t="s">
        <v>874</v>
      </c>
      <c r="E52" s="53">
        <v>14</v>
      </c>
      <c r="F52" s="53" t="s">
        <v>9125</v>
      </c>
    </row>
    <row r="53" spans="1:6" x14ac:dyDescent="0.2">
      <c r="A53" s="53" t="s">
        <v>9181</v>
      </c>
      <c r="B53" s="53" t="s">
        <v>1198</v>
      </c>
      <c r="C53" s="53" t="s">
        <v>9139</v>
      </c>
      <c r="D53" s="53" t="s">
        <v>863</v>
      </c>
      <c r="E53" s="53">
        <v>2</v>
      </c>
      <c r="F53" s="53" t="s">
        <v>9128</v>
      </c>
    </row>
    <row r="54" spans="1:6" x14ac:dyDescent="0.2">
      <c r="A54" s="53" t="s">
        <v>9182</v>
      </c>
      <c r="B54" s="53" t="s">
        <v>1208</v>
      </c>
      <c r="C54" s="53" t="s">
        <v>9132</v>
      </c>
      <c r="D54" s="53" t="s">
        <v>509</v>
      </c>
      <c r="E54" s="53">
        <v>2</v>
      </c>
      <c r="F54" s="53" t="s">
        <v>9128</v>
      </c>
    </row>
    <row r="55" spans="1:6" x14ac:dyDescent="0.2">
      <c r="A55" s="53" t="s">
        <v>9183</v>
      </c>
      <c r="B55" s="53" t="s">
        <v>1212</v>
      </c>
      <c r="C55" s="53" t="s">
        <v>9139</v>
      </c>
      <c r="D55" s="53" t="s">
        <v>1213</v>
      </c>
      <c r="E55" s="53">
        <v>2</v>
      </c>
      <c r="F55" s="53" t="s">
        <v>9128</v>
      </c>
    </row>
    <row r="56" spans="1:6" x14ac:dyDescent="0.2">
      <c r="A56" s="53" t="s">
        <v>9184</v>
      </c>
      <c r="B56" s="53" t="s">
        <v>1220</v>
      </c>
      <c r="C56" s="53" t="s">
        <v>9124</v>
      </c>
      <c r="D56" s="53" t="s">
        <v>1063</v>
      </c>
      <c r="E56" s="53">
        <v>9</v>
      </c>
      <c r="F56" s="53" t="s">
        <v>9125</v>
      </c>
    </row>
    <row r="57" spans="1:6" x14ac:dyDescent="0.2">
      <c r="A57" s="53" t="s">
        <v>9185</v>
      </c>
      <c r="B57" s="53" t="s">
        <v>1225</v>
      </c>
      <c r="C57" s="53" t="s">
        <v>9124</v>
      </c>
      <c r="D57" s="53" t="s">
        <v>270</v>
      </c>
      <c r="E57" s="53">
        <v>6</v>
      </c>
      <c r="F57" s="53" t="s">
        <v>9125</v>
      </c>
    </row>
    <row r="58" spans="1:6" x14ac:dyDescent="0.2">
      <c r="A58" s="53" t="s">
        <v>9186</v>
      </c>
      <c r="B58" s="53" t="s">
        <v>1241</v>
      </c>
      <c r="C58" s="53" t="s">
        <v>9124</v>
      </c>
      <c r="D58" s="53" t="s">
        <v>1242</v>
      </c>
      <c r="E58" s="53">
        <v>4</v>
      </c>
      <c r="F58" s="53" t="s">
        <v>9125</v>
      </c>
    </row>
    <row r="59" spans="1:6" x14ac:dyDescent="0.2">
      <c r="A59" s="53" t="s">
        <v>9187</v>
      </c>
      <c r="B59" s="53" t="s">
        <v>1257</v>
      </c>
      <c r="C59" s="53" t="s">
        <v>9166</v>
      </c>
      <c r="D59" s="53" t="s">
        <v>741</v>
      </c>
      <c r="E59" s="53">
        <v>2</v>
      </c>
      <c r="F59" s="53" t="s">
        <v>9128</v>
      </c>
    </row>
    <row r="60" spans="1:6" x14ac:dyDescent="0.2">
      <c r="A60" s="53" t="s">
        <v>9188</v>
      </c>
      <c r="B60" s="53" t="s">
        <v>1266</v>
      </c>
      <c r="C60" s="53" t="s">
        <v>9139</v>
      </c>
      <c r="D60" s="53" t="s">
        <v>365</v>
      </c>
      <c r="E60" s="53">
        <v>2</v>
      </c>
      <c r="F60" s="53" t="s">
        <v>9128</v>
      </c>
    </row>
    <row r="61" spans="1:6" x14ac:dyDescent="0.2">
      <c r="A61" s="53" t="s">
        <v>9189</v>
      </c>
      <c r="B61" s="53" t="s">
        <v>1269</v>
      </c>
      <c r="C61" s="53" t="s">
        <v>9139</v>
      </c>
      <c r="D61" s="53" t="s">
        <v>143</v>
      </c>
      <c r="E61" s="53">
        <v>2</v>
      </c>
      <c r="F61" s="53" t="s">
        <v>9128</v>
      </c>
    </row>
    <row r="62" spans="1:6" x14ac:dyDescent="0.2">
      <c r="A62" s="53" t="s">
        <v>9190</v>
      </c>
      <c r="B62" s="53" t="s">
        <v>1305</v>
      </c>
      <c r="C62" s="53" t="s">
        <v>9124</v>
      </c>
      <c r="D62" s="53" t="s">
        <v>1124</v>
      </c>
      <c r="E62" s="53">
        <v>14</v>
      </c>
      <c r="F62" s="53" t="s">
        <v>9125</v>
      </c>
    </row>
    <row r="63" spans="1:6" x14ac:dyDescent="0.2">
      <c r="A63" s="53" t="s">
        <v>9191</v>
      </c>
      <c r="B63" s="53" t="s">
        <v>1319</v>
      </c>
      <c r="C63" s="53" t="s">
        <v>9124</v>
      </c>
      <c r="D63" s="53" t="s">
        <v>1320</v>
      </c>
      <c r="E63" s="53">
        <v>8</v>
      </c>
      <c r="F63" s="53" t="s">
        <v>9125</v>
      </c>
    </row>
    <row r="64" spans="1:6" x14ac:dyDescent="0.2">
      <c r="A64" s="53" t="s">
        <v>9192</v>
      </c>
      <c r="B64" s="53" t="s">
        <v>1371</v>
      </c>
      <c r="C64" s="53" t="s">
        <v>9124</v>
      </c>
      <c r="D64" s="53" t="s">
        <v>155</v>
      </c>
      <c r="E64" s="53">
        <v>14</v>
      </c>
      <c r="F64" s="53" t="s">
        <v>9125</v>
      </c>
    </row>
    <row r="65" spans="1:6" x14ac:dyDescent="0.2">
      <c r="A65" s="53" t="s">
        <v>9193</v>
      </c>
      <c r="B65" s="53" t="s">
        <v>1377</v>
      </c>
      <c r="C65" s="53" t="s">
        <v>9132</v>
      </c>
      <c r="D65" s="53" t="s">
        <v>782</v>
      </c>
      <c r="E65" s="53">
        <v>2</v>
      </c>
      <c r="F65" s="53" t="s">
        <v>9128</v>
      </c>
    </row>
    <row r="66" spans="1:6" x14ac:dyDescent="0.2">
      <c r="A66" s="53" t="s">
        <v>9194</v>
      </c>
      <c r="B66" s="53" t="s">
        <v>1378</v>
      </c>
      <c r="C66" s="53" t="s">
        <v>9139</v>
      </c>
      <c r="D66" s="53" t="s">
        <v>205</v>
      </c>
      <c r="E66" s="53">
        <v>2</v>
      </c>
      <c r="F66" s="53" t="s">
        <v>9128</v>
      </c>
    </row>
    <row r="67" spans="1:6" x14ac:dyDescent="0.2">
      <c r="A67" s="53" t="s">
        <v>9195</v>
      </c>
      <c r="B67" s="53" t="s">
        <v>1388</v>
      </c>
      <c r="C67" s="53" t="s">
        <v>9166</v>
      </c>
      <c r="D67" s="53" t="s">
        <v>400</v>
      </c>
      <c r="E67" s="53">
        <v>2</v>
      </c>
      <c r="F67" s="53" t="s">
        <v>9128</v>
      </c>
    </row>
    <row r="68" spans="1:6" x14ac:dyDescent="0.2">
      <c r="A68" s="53" t="s">
        <v>9196</v>
      </c>
      <c r="B68" s="53" t="s">
        <v>1408</v>
      </c>
      <c r="C68" s="53" t="s">
        <v>9127</v>
      </c>
      <c r="D68" s="53" t="s">
        <v>658</v>
      </c>
      <c r="E68" s="53">
        <v>2</v>
      </c>
      <c r="F68" s="53" t="s">
        <v>9128</v>
      </c>
    </row>
    <row r="69" spans="1:6" x14ac:dyDescent="0.2">
      <c r="A69" s="53" t="s">
        <v>9197</v>
      </c>
      <c r="B69" s="53" t="s">
        <v>1420</v>
      </c>
      <c r="C69" s="53" t="s">
        <v>9127</v>
      </c>
      <c r="D69" s="53" t="s">
        <v>371</v>
      </c>
      <c r="E69" s="53">
        <v>2</v>
      </c>
      <c r="F69" s="53" t="s">
        <v>9128</v>
      </c>
    </row>
    <row r="70" spans="1:6" x14ac:dyDescent="0.2">
      <c r="A70" s="53" t="s">
        <v>9198</v>
      </c>
      <c r="B70" s="53" t="s">
        <v>1430</v>
      </c>
      <c r="C70" s="53" t="s">
        <v>9166</v>
      </c>
      <c r="D70" s="53" t="s">
        <v>361</v>
      </c>
      <c r="E70" s="53">
        <v>2</v>
      </c>
      <c r="F70" s="53" t="s">
        <v>9128</v>
      </c>
    </row>
    <row r="71" spans="1:6" x14ac:dyDescent="0.2">
      <c r="A71" s="53" t="s">
        <v>9199</v>
      </c>
      <c r="B71" s="53" t="s">
        <v>1444</v>
      </c>
      <c r="C71" s="53" t="s">
        <v>9124</v>
      </c>
      <c r="D71" s="53" t="s">
        <v>717</v>
      </c>
      <c r="E71" s="53">
        <v>5</v>
      </c>
      <c r="F71" s="53" t="s">
        <v>9125</v>
      </c>
    </row>
    <row r="72" spans="1:6" x14ac:dyDescent="0.2">
      <c r="A72" s="53" t="s">
        <v>9200</v>
      </c>
      <c r="B72" s="53" t="s">
        <v>1448</v>
      </c>
      <c r="C72" s="53" t="s">
        <v>9132</v>
      </c>
      <c r="D72" s="53" t="s">
        <v>922</v>
      </c>
      <c r="E72" s="53">
        <v>2</v>
      </c>
      <c r="F72" s="53" t="s">
        <v>9128</v>
      </c>
    </row>
    <row r="73" spans="1:6" x14ac:dyDescent="0.2">
      <c r="A73" s="53" t="s">
        <v>9201</v>
      </c>
      <c r="B73" s="53" t="s">
        <v>1483</v>
      </c>
      <c r="C73" s="53" t="s">
        <v>9124</v>
      </c>
      <c r="D73" s="53" t="s">
        <v>1484</v>
      </c>
      <c r="E73" s="53">
        <v>14</v>
      </c>
      <c r="F73" s="53" t="s">
        <v>9125</v>
      </c>
    </row>
    <row r="74" spans="1:6" x14ac:dyDescent="0.2">
      <c r="A74" s="53" t="s">
        <v>9202</v>
      </c>
      <c r="B74" s="53" t="s">
        <v>1492</v>
      </c>
      <c r="C74" s="53" t="s">
        <v>9139</v>
      </c>
      <c r="D74" s="53" t="s">
        <v>228</v>
      </c>
      <c r="E74" s="53">
        <v>2</v>
      </c>
      <c r="F74" s="53" t="s">
        <v>9128</v>
      </c>
    </row>
    <row r="75" spans="1:6" x14ac:dyDescent="0.2">
      <c r="A75" s="53" t="s">
        <v>9203</v>
      </c>
      <c r="B75" s="53" t="s">
        <v>1496</v>
      </c>
      <c r="C75" s="53" t="s">
        <v>9132</v>
      </c>
      <c r="D75" s="53" t="s">
        <v>1017</v>
      </c>
      <c r="E75" s="53">
        <v>2</v>
      </c>
      <c r="F75" s="53" t="s">
        <v>9128</v>
      </c>
    </row>
    <row r="76" spans="1:6" x14ac:dyDescent="0.2">
      <c r="A76" s="53" t="s">
        <v>9204</v>
      </c>
      <c r="B76" s="53" t="s">
        <v>1503</v>
      </c>
      <c r="C76" s="53" t="s">
        <v>9166</v>
      </c>
      <c r="D76" s="53" t="s">
        <v>501</v>
      </c>
      <c r="E76" s="53">
        <v>2</v>
      </c>
      <c r="F76" s="53" t="s">
        <v>9128</v>
      </c>
    </row>
    <row r="77" spans="1:6" x14ac:dyDescent="0.2">
      <c r="A77" s="53" t="s">
        <v>9205</v>
      </c>
      <c r="B77" s="53" t="s">
        <v>1528</v>
      </c>
      <c r="C77" s="53" t="s">
        <v>9124</v>
      </c>
      <c r="D77" s="53" t="s">
        <v>776</v>
      </c>
      <c r="E77" s="53">
        <v>11</v>
      </c>
      <c r="F77" s="53" t="s">
        <v>9125</v>
      </c>
    </row>
    <row r="78" spans="1:6" x14ac:dyDescent="0.2">
      <c r="A78" s="53" t="s">
        <v>9206</v>
      </c>
      <c r="B78" s="53" t="s">
        <v>1531</v>
      </c>
      <c r="C78" s="53" t="s">
        <v>9124</v>
      </c>
      <c r="D78" s="53" t="s">
        <v>558</v>
      </c>
      <c r="E78" s="53">
        <v>8</v>
      </c>
      <c r="F78" s="53" t="s">
        <v>9125</v>
      </c>
    </row>
    <row r="79" spans="1:6" x14ac:dyDescent="0.2">
      <c r="A79" s="53" t="s">
        <v>9207</v>
      </c>
      <c r="B79" s="53" t="s">
        <v>1532</v>
      </c>
      <c r="C79" s="53" t="s">
        <v>9166</v>
      </c>
      <c r="D79" s="53" t="s">
        <v>175</v>
      </c>
      <c r="E79" s="53">
        <v>2</v>
      </c>
      <c r="F79" s="53" t="s">
        <v>9128</v>
      </c>
    </row>
    <row r="80" spans="1:6" x14ac:dyDescent="0.2">
      <c r="A80" s="53" t="s">
        <v>9208</v>
      </c>
      <c r="B80" s="53" t="s">
        <v>1541</v>
      </c>
      <c r="C80" s="53" t="s">
        <v>9124</v>
      </c>
      <c r="D80" s="53" t="s">
        <v>331</v>
      </c>
      <c r="E80" s="53">
        <v>9</v>
      </c>
      <c r="F80" s="53" t="s">
        <v>9125</v>
      </c>
    </row>
    <row r="81" spans="1:6" x14ac:dyDescent="0.2">
      <c r="A81" s="53" t="s">
        <v>9209</v>
      </c>
      <c r="B81" s="53" t="s">
        <v>1542</v>
      </c>
      <c r="C81" s="53" t="s">
        <v>9127</v>
      </c>
      <c r="D81" s="53" t="s">
        <v>148</v>
      </c>
      <c r="E81" s="53">
        <v>2</v>
      </c>
      <c r="F81" s="53" t="s">
        <v>9128</v>
      </c>
    </row>
    <row r="82" spans="1:6" x14ac:dyDescent="0.2">
      <c r="A82" s="53" t="s">
        <v>9210</v>
      </c>
      <c r="B82" s="53" t="s">
        <v>1544</v>
      </c>
      <c r="C82" s="53" t="s">
        <v>9132</v>
      </c>
      <c r="D82" s="53" t="s">
        <v>1085</v>
      </c>
      <c r="E82" s="53">
        <v>2</v>
      </c>
      <c r="F82" s="53" t="s">
        <v>9128</v>
      </c>
    </row>
    <row r="83" spans="1:6" x14ac:dyDescent="0.2">
      <c r="A83" s="53" t="s">
        <v>9211</v>
      </c>
      <c r="B83" s="53" t="s">
        <v>1583</v>
      </c>
      <c r="C83" s="53" t="s">
        <v>9127</v>
      </c>
      <c r="D83" s="53" t="s">
        <v>848</v>
      </c>
      <c r="E83" s="53">
        <v>2</v>
      </c>
      <c r="F83" s="53" t="s">
        <v>9128</v>
      </c>
    </row>
    <row r="84" spans="1:6" x14ac:dyDescent="0.2">
      <c r="A84" s="53" t="s">
        <v>9212</v>
      </c>
      <c r="B84" s="53" t="s">
        <v>1588</v>
      </c>
      <c r="C84" s="53" t="s">
        <v>9124</v>
      </c>
      <c r="D84" s="53" t="s">
        <v>579</v>
      </c>
      <c r="E84" s="53">
        <v>3</v>
      </c>
      <c r="F84" s="53" t="s">
        <v>9125</v>
      </c>
    </row>
    <row r="85" spans="1:6" x14ac:dyDescent="0.2">
      <c r="A85" s="53" t="s">
        <v>9213</v>
      </c>
      <c r="B85" s="53" t="s">
        <v>1605</v>
      </c>
      <c r="C85" s="53" t="s">
        <v>9124</v>
      </c>
      <c r="D85" s="53" t="s">
        <v>900</v>
      </c>
      <c r="E85" s="53">
        <v>13</v>
      </c>
      <c r="F85" s="53" t="s">
        <v>9125</v>
      </c>
    </row>
    <row r="86" spans="1:6" x14ac:dyDescent="0.2">
      <c r="A86" s="53" t="s">
        <v>9214</v>
      </c>
      <c r="B86" s="53" t="s">
        <v>1606</v>
      </c>
      <c r="C86" s="53" t="s">
        <v>9139</v>
      </c>
      <c r="D86" s="53" t="s">
        <v>1234</v>
      </c>
      <c r="E86" s="53">
        <v>2</v>
      </c>
      <c r="F86" s="53" t="s">
        <v>9128</v>
      </c>
    </row>
    <row r="87" spans="1:6" x14ac:dyDescent="0.2">
      <c r="A87" s="53" t="s">
        <v>9215</v>
      </c>
      <c r="B87" s="53" t="s">
        <v>1608</v>
      </c>
      <c r="C87" s="53" t="s">
        <v>9166</v>
      </c>
      <c r="D87" s="53" t="s">
        <v>753</v>
      </c>
      <c r="E87" s="53">
        <v>2</v>
      </c>
      <c r="F87" s="53" t="s">
        <v>9128</v>
      </c>
    </row>
    <row r="88" spans="1:6" x14ac:dyDescent="0.2">
      <c r="A88" s="53" t="s">
        <v>9216</v>
      </c>
      <c r="B88" s="53" t="s">
        <v>1612</v>
      </c>
      <c r="C88" s="53" t="s">
        <v>9124</v>
      </c>
      <c r="D88" s="53" t="s">
        <v>631</v>
      </c>
      <c r="E88" s="53">
        <v>11</v>
      </c>
      <c r="F88" s="53" t="s">
        <v>9125</v>
      </c>
    </row>
    <row r="89" spans="1:6" x14ac:dyDescent="0.2">
      <c r="A89" s="53" t="s">
        <v>9217</v>
      </c>
      <c r="B89" s="53" t="s">
        <v>1635</v>
      </c>
      <c r="C89" s="53" t="s">
        <v>9124</v>
      </c>
      <c r="D89" s="53" t="s">
        <v>1154</v>
      </c>
      <c r="E89" s="53">
        <v>5</v>
      </c>
      <c r="F89" s="53" t="s">
        <v>9125</v>
      </c>
    </row>
    <row r="90" spans="1:6" x14ac:dyDescent="0.2">
      <c r="A90" s="53" t="s">
        <v>9218</v>
      </c>
      <c r="B90" s="53" t="s">
        <v>1636</v>
      </c>
      <c r="C90" s="53" t="s">
        <v>9124</v>
      </c>
      <c r="D90" s="53" t="s">
        <v>481</v>
      </c>
      <c r="E90" s="53">
        <v>8</v>
      </c>
      <c r="F90" s="53" t="s">
        <v>9125</v>
      </c>
    </row>
    <row r="91" spans="1:6" x14ac:dyDescent="0.2">
      <c r="A91" s="53" t="s">
        <v>9219</v>
      </c>
      <c r="B91" s="53" t="s">
        <v>1637</v>
      </c>
      <c r="C91" s="53" t="s">
        <v>9124</v>
      </c>
      <c r="D91" s="53" t="s">
        <v>971</v>
      </c>
      <c r="E91" s="53">
        <v>8</v>
      </c>
      <c r="F91" s="53" t="s">
        <v>9125</v>
      </c>
    </row>
    <row r="92" spans="1:6" x14ac:dyDescent="0.2">
      <c r="A92" s="53" t="s">
        <v>9220</v>
      </c>
      <c r="B92" s="53" t="s">
        <v>1651</v>
      </c>
      <c r="C92" s="53" t="s">
        <v>9132</v>
      </c>
      <c r="D92" s="53" t="s">
        <v>1089</v>
      </c>
      <c r="E92" s="53">
        <v>2</v>
      </c>
      <c r="F92" s="53" t="s">
        <v>9128</v>
      </c>
    </row>
    <row r="93" spans="1:6" x14ac:dyDescent="0.2">
      <c r="A93" s="53" t="s">
        <v>9221</v>
      </c>
      <c r="B93" s="53" t="s">
        <v>1656</v>
      </c>
      <c r="C93" s="53" t="s">
        <v>9139</v>
      </c>
      <c r="D93" s="53" t="s">
        <v>779</v>
      </c>
      <c r="E93" s="53">
        <v>2</v>
      </c>
      <c r="F93" s="53" t="s">
        <v>9128</v>
      </c>
    </row>
    <row r="94" spans="1:6" x14ac:dyDescent="0.2">
      <c r="A94" s="53" t="s">
        <v>9222</v>
      </c>
      <c r="B94" s="53" t="s">
        <v>1673</v>
      </c>
      <c r="C94" s="53" t="s">
        <v>9127</v>
      </c>
      <c r="D94" s="53" t="s">
        <v>1581</v>
      </c>
      <c r="E94" s="53">
        <v>2</v>
      </c>
      <c r="F94" s="53" t="s">
        <v>9128</v>
      </c>
    </row>
    <row r="95" spans="1:6" x14ac:dyDescent="0.2">
      <c r="A95" s="53" t="s">
        <v>9223</v>
      </c>
      <c r="B95" s="53" t="s">
        <v>1676</v>
      </c>
      <c r="C95" s="53" t="s">
        <v>9139</v>
      </c>
      <c r="D95" s="53" t="s">
        <v>451</v>
      </c>
      <c r="E95" s="53">
        <v>2</v>
      </c>
      <c r="F95" s="53" t="s">
        <v>9128</v>
      </c>
    </row>
    <row r="96" spans="1:6" x14ac:dyDescent="0.2">
      <c r="A96" s="53" t="s">
        <v>9224</v>
      </c>
      <c r="B96" s="53" t="s">
        <v>1680</v>
      </c>
      <c r="C96" s="53" t="s">
        <v>9166</v>
      </c>
      <c r="D96" s="53" t="s">
        <v>1019</v>
      </c>
      <c r="E96" s="53">
        <v>2</v>
      </c>
      <c r="F96" s="53" t="s">
        <v>9128</v>
      </c>
    </row>
    <row r="97" spans="1:6" x14ac:dyDescent="0.2">
      <c r="A97" s="53" t="s">
        <v>9225</v>
      </c>
      <c r="B97" s="53" t="s">
        <v>1681</v>
      </c>
      <c r="C97" s="53" t="s">
        <v>9139</v>
      </c>
      <c r="D97" s="53" t="s">
        <v>222</v>
      </c>
      <c r="E97" s="53">
        <v>2</v>
      </c>
      <c r="F97" s="53" t="s">
        <v>9128</v>
      </c>
    </row>
    <row r="98" spans="1:6" x14ac:dyDescent="0.2">
      <c r="A98" s="53" t="s">
        <v>9226</v>
      </c>
      <c r="B98" s="53" t="s">
        <v>1690</v>
      </c>
      <c r="C98" s="53" t="s">
        <v>9124</v>
      </c>
      <c r="D98" s="53" t="s">
        <v>661</v>
      </c>
      <c r="E98" s="53">
        <v>3</v>
      </c>
      <c r="F98" s="53" t="s">
        <v>9125</v>
      </c>
    </row>
    <row r="99" spans="1:6" x14ac:dyDescent="0.2">
      <c r="A99" s="53" t="s">
        <v>9227</v>
      </c>
      <c r="B99" s="53" t="s">
        <v>1699</v>
      </c>
      <c r="C99" s="53" t="s">
        <v>9132</v>
      </c>
      <c r="D99" s="53" t="s">
        <v>1361</v>
      </c>
      <c r="E99" s="53">
        <v>2</v>
      </c>
      <c r="F99" s="53" t="s">
        <v>9128</v>
      </c>
    </row>
    <row r="100" spans="1:6" x14ac:dyDescent="0.2">
      <c r="A100" s="53" t="s">
        <v>9228</v>
      </c>
      <c r="B100" s="53" t="s">
        <v>1707</v>
      </c>
      <c r="C100" s="53" t="s">
        <v>9139</v>
      </c>
      <c r="D100" s="53" t="s">
        <v>139</v>
      </c>
      <c r="E100" s="53">
        <v>2</v>
      </c>
      <c r="F100" s="53" t="s">
        <v>9128</v>
      </c>
    </row>
    <row r="101" spans="1:6" x14ac:dyDescent="0.2">
      <c r="A101" s="53" t="s">
        <v>9229</v>
      </c>
      <c r="B101" s="53" t="s">
        <v>1711</v>
      </c>
      <c r="C101" s="53" t="s">
        <v>9124</v>
      </c>
      <c r="D101" s="53" t="s">
        <v>165</v>
      </c>
      <c r="E101" s="53">
        <v>9</v>
      </c>
      <c r="F101" s="53" t="s">
        <v>9125</v>
      </c>
    </row>
    <row r="102" spans="1:6" x14ac:dyDescent="0.2">
      <c r="A102" s="53" t="s">
        <v>9230</v>
      </c>
      <c r="B102" s="53" t="s">
        <v>1714</v>
      </c>
      <c r="C102" s="53" t="s">
        <v>9132</v>
      </c>
      <c r="D102" s="53" t="s">
        <v>535</v>
      </c>
      <c r="E102" s="53">
        <v>2</v>
      </c>
      <c r="F102" s="53" t="s">
        <v>9128</v>
      </c>
    </row>
    <row r="103" spans="1:6" x14ac:dyDescent="0.2">
      <c r="A103" s="53" t="s">
        <v>9231</v>
      </c>
      <c r="B103" s="53" t="s">
        <v>1720</v>
      </c>
      <c r="C103" s="53" t="s">
        <v>9166</v>
      </c>
      <c r="D103" s="53" t="s">
        <v>594</v>
      </c>
      <c r="E103" s="53">
        <v>2</v>
      </c>
      <c r="F103" s="53" t="s">
        <v>9128</v>
      </c>
    </row>
    <row r="104" spans="1:6" x14ac:dyDescent="0.2">
      <c r="A104" s="53" t="s">
        <v>9232</v>
      </c>
      <c r="B104" s="53" t="s">
        <v>1723</v>
      </c>
      <c r="C104" s="53" t="s">
        <v>9166</v>
      </c>
      <c r="D104" s="53" t="s">
        <v>560</v>
      </c>
      <c r="E104" s="53">
        <v>2</v>
      </c>
      <c r="F104" s="53" t="s">
        <v>9128</v>
      </c>
    </row>
    <row r="105" spans="1:6" x14ac:dyDescent="0.2">
      <c r="A105" s="53" t="s">
        <v>9233</v>
      </c>
      <c r="B105" s="53" t="s">
        <v>1731</v>
      </c>
      <c r="C105" s="53" t="s">
        <v>9132</v>
      </c>
      <c r="D105" s="53" t="s">
        <v>304</v>
      </c>
      <c r="E105" s="53">
        <v>2</v>
      </c>
      <c r="F105" s="53" t="s">
        <v>9128</v>
      </c>
    </row>
    <row r="106" spans="1:6" x14ac:dyDescent="0.2">
      <c r="A106" s="53" t="s">
        <v>9234</v>
      </c>
      <c r="B106" s="53" t="s">
        <v>1744</v>
      </c>
      <c r="C106" s="53" t="s">
        <v>9124</v>
      </c>
      <c r="D106" s="53" t="s">
        <v>568</v>
      </c>
      <c r="E106" s="53">
        <v>11</v>
      </c>
      <c r="F106" s="53" t="s">
        <v>9125</v>
      </c>
    </row>
    <row r="107" spans="1:6" x14ac:dyDescent="0.2">
      <c r="A107" s="53" t="s">
        <v>9235</v>
      </c>
      <c r="B107" s="53" t="s">
        <v>1751</v>
      </c>
      <c r="C107" s="53" t="s">
        <v>9127</v>
      </c>
      <c r="D107" s="53" t="s">
        <v>853</v>
      </c>
      <c r="E107" s="53">
        <v>2</v>
      </c>
      <c r="F107" s="53" t="s">
        <v>9128</v>
      </c>
    </row>
    <row r="108" spans="1:6" x14ac:dyDescent="0.2">
      <c r="A108" s="53" t="s">
        <v>9236</v>
      </c>
      <c r="B108" s="53" t="s">
        <v>1754</v>
      </c>
      <c r="C108" s="53" t="s">
        <v>9166</v>
      </c>
      <c r="D108" s="53" t="s">
        <v>653</v>
      </c>
      <c r="E108" s="53">
        <v>2</v>
      </c>
      <c r="F108" s="53" t="s">
        <v>9128</v>
      </c>
    </row>
    <row r="109" spans="1:6" x14ac:dyDescent="0.2">
      <c r="A109" s="53" t="s">
        <v>9237</v>
      </c>
      <c r="B109" s="53" t="s">
        <v>1755</v>
      </c>
      <c r="C109" s="53" t="s">
        <v>9124</v>
      </c>
      <c r="D109" s="53" t="s">
        <v>817</v>
      </c>
      <c r="E109" s="53">
        <v>4</v>
      </c>
      <c r="F109" s="53" t="s">
        <v>9125</v>
      </c>
    </row>
    <row r="110" spans="1:6" x14ac:dyDescent="0.2">
      <c r="A110" s="53" t="s">
        <v>9238</v>
      </c>
      <c r="B110" s="53" t="s">
        <v>1764</v>
      </c>
      <c r="C110" s="53" t="s">
        <v>9132</v>
      </c>
      <c r="D110" s="53" t="s">
        <v>1393</v>
      </c>
      <c r="E110" s="53">
        <v>2</v>
      </c>
      <c r="F110" s="53" t="s">
        <v>9128</v>
      </c>
    </row>
    <row r="111" spans="1:6" x14ac:dyDescent="0.2">
      <c r="A111" s="53" t="s">
        <v>9239</v>
      </c>
      <c r="B111" s="53" t="s">
        <v>1786</v>
      </c>
      <c r="C111" s="53" t="s">
        <v>9124</v>
      </c>
      <c r="D111" s="53" t="s">
        <v>342</v>
      </c>
      <c r="E111" s="53">
        <v>11</v>
      </c>
      <c r="F111" s="53" t="s">
        <v>9125</v>
      </c>
    </row>
    <row r="112" spans="1:6" x14ac:dyDescent="0.2">
      <c r="A112" s="53" t="s">
        <v>9240</v>
      </c>
      <c r="B112" s="53" t="s">
        <v>1792</v>
      </c>
      <c r="C112" s="53" t="s">
        <v>9124</v>
      </c>
      <c r="D112" s="53" t="s">
        <v>378</v>
      </c>
      <c r="E112" s="53">
        <v>2</v>
      </c>
      <c r="F112" s="53" t="s">
        <v>9125</v>
      </c>
    </row>
    <row r="113" spans="1:6" x14ac:dyDescent="0.2">
      <c r="A113" s="53" t="s">
        <v>9241</v>
      </c>
      <c r="B113" s="53" t="s">
        <v>1798</v>
      </c>
      <c r="C113" s="53" t="s">
        <v>9124</v>
      </c>
      <c r="D113" s="53" t="s">
        <v>587</v>
      </c>
      <c r="E113" s="53">
        <v>11</v>
      </c>
      <c r="F113" s="53" t="s">
        <v>9125</v>
      </c>
    </row>
    <row r="114" spans="1:6" x14ac:dyDescent="0.2">
      <c r="A114" s="53" t="s">
        <v>9242</v>
      </c>
      <c r="B114" s="53" t="s">
        <v>1801</v>
      </c>
      <c r="C114" s="53" t="s">
        <v>9124</v>
      </c>
      <c r="D114" s="53" t="s">
        <v>1183</v>
      </c>
      <c r="E114" s="53">
        <v>7</v>
      </c>
      <c r="F114" s="53" t="s">
        <v>9125</v>
      </c>
    </row>
    <row r="115" spans="1:6" x14ac:dyDescent="0.2">
      <c r="A115" s="53" t="s">
        <v>9243</v>
      </c>
      <c r="B115" s="53" t="s">
        <v>1806</v>
      </c>
      <c r="C115" s="53" t="s">
        <v>9124</v>
      </c>
      <c r="D115" s="53" t="s">
        <v>255</v>
      </c>
      <c r="E115" s="53">
        <v>5</v>
      </c>
      <c r="F115" s="53" t="s">
        <v>9125</v>
      </c>
    </row>
    <row r="116" spans="1:6" x14ac:dyDescent="0.2">
      <c r="A116" s="53" t="s">
        <v>9244</v>
      </c>
      <c r="B116" s="53" t="s">
        <v>1827</v>
      </c>
      <c r="C116" s="53" t="s">
        <v>9124</v>
      </c>
      <c r="D116" s="53" t="s">
        <v>615</v>
      </c>
      <c r="E116" s="53">
        <v>12</v>
      </c>
      <c r="F116" s="53" t="s">
        <v>9125</v>
      </c>
    </row>
    <row r="117" spans="1:6" x14ac:dyDescent="0.2">
      <c r="A117" s="53" t="s">
        <v>9245</v>
      </c>
      <c r="B117" s="53" t="s">
        <v>1833</v>
      </c>
      <c r="C117" s="53" t="s">
        <v>9124</v>
      </c>
      <c r="D117" s="53" t="s">
        <v>316</v>
      </c>
      <c r="E117" s="53">
        <v>12</v>
      </c>
      <c r="F117" s="53" t="s">
        <v>9125</v>
      </c>
    </row>
    <row r="118" spans="1:6" x14ac:dyDescent="0.2">
      <c r="A118" s="53" t="s">
        <v>9246</v>
      </c>
      <c r="B118" s="53" t="s">
        <v>1837</v>
      </c>
      <c r="C118" s="53" t="s">
        <v>9124</v>
      </c>
      <c r="D118" s="53" t="s">
        <v>1838</v>
      </c>
      <c r="E118" s="53">
        <v>4</v>
      </c>
      <c r="F118" s="53" t="s">
        <v>9125</v>
      </c>
    </row>
    <row r="119" spans="1:6" x14ac:dyDescent="0.2">
      <c r="A119" s="53" t="s">
        <v>9247</v>
      </c>
      <c r="B119" s="53" t="s">
        <v>1846</v>
      </c>
      <c r="C119" s="53" t="s">
        <v>9124</v>
      </c>
      <c r="D119" s="53" t="s">
        <v>675</v>
      </c>
      <c r="E119" s="53">
        <v>2</v>
      </c>
      <c r="F119" s="53" t="s">
        <v>9125</v>
      </c>
    </row>
    <row r="120" spans="1:6" x14ac:dyDescent="0.2">
      <c r="A120" s="53" t="s">
        <v>9248</v>
      </c>
      <c r="B120" s="53" t="s">
        <v>1852</v>
      </c>
      <c r="C120" s="53" t="s">
        <v>9124</v>
      </c>
      <c r="D120" s="53" t="s">
        <v>186</v>
      </c>
      <c r="E120" s="53">
        <v>8</v>
      </c>
      <c r="F120" s="53" t="s">
        <v>9125</v>
      </c>
    </row>
    <row r="121" spans="1:6" x14ac:dyDescent="0.2">
      <c r="A121" s="53" t="s">
        <v>9249</v>
      </c>
      <c r="B121" s="53" t="s">
        <v>1864</v>
      </c>
      <c r="C121" s="53" t="s">
        <v>9124</v>
      </c>
      <c r="D121" s="53" t="s">
        <v>353</v>
      </c>
      <c r="E121" s="53">
        <v>3</v>
      </c>
      <c r="F121" s="53" t="s">
        <v>9125</v>
      </c>
    </row>
    <row r="122" spans="1:6" x14ac:dyDescent="0.2">
      <c r="A122" s="53" t="s">
        <v>9250</v>
      </c>
      <c r="B122" s="53" t="s">
        <v>1890</v>
      </c>
      <c r="C122" s="53" t="s">
        <v>9132</v>
      </c>
      <c r="D122" s="53" t="s">
        <v>179</v>
      </c>
      <c r="E122" s="53">
        <v>2</v>
      </c>
      <c r="F122" s="53" t="s">
        <v>9128</v>
      </c>
    </row>
    <row r="123" spans="1:6" x14ac:dyDescent="0.2">
      <c r="A123" s="53" t="s">
        <v>9251</v>
      </c>
      <c r="B123" s="53" t="s">
        <v>1903</v>
      </c>
      <c r="C123" s="53" t="s">
        <v>9124</v>
      </c>
      <c r="D123" s="53" t="s">
        <v>464</v>
      </c>
      <c r="E123" s="53">
        <v>3</v>
      </c>
      <c r="F123" s="53" t="s">
        <v>9125</v>
      </c>
    </row>
    <row r="124" spans="1:6" x14ac:dyDescent="0.2">
      <c r="A124" s="53" t="s">
        <v>9252</v>
      </c>
      <c r="B124" s="53" t="s">
        <v>1911</v>
      </c>
      <c r="C124" s="53" t="s">
        <v>9124</v>
      </c>
      <c r="D124" s="53" t="s">
        <v>898</v>
      </c>
      <c r="E124" s="53">
        <v>5</v>
      </c>
      <c r="F124" s="53" t="s">
        <v>9125</v>
      </c>
    </row>
    <row r="125" spans="1:6" x14ac:dyDescent="0.2">
      <c r="A125" s="53" t="s">
        <v>9253</v>
      </c>
      <c r="B125" s="53" t="s">
        <v>1912</v>
      </c>
      <c r="C125" s="53" t="s">
        <v>9127</v>
      </c>
      <c r="D125" s="53" t="s">
        <v>276</v>
      </c>
      <c r="E125" s="53">
        <v>2</v>
      </c>
      <c r="F125" s="53" t="s">
        <v>9128</v>
      </c>
    </row>
    <row r="126" spans="1:6" x14ac:dyDescent="0.2">
      <c r="A126" s="53" t="s">
        <v>9254</v>
      </c>
      <c r="B126" s="53" t="s">
        <v>1913</v>
      </c>
      <c r="C126" s="53" t="s">
        <v>9139</v>
      </c>
      <c r="D126" s="53" t="s">
        <v>1044</v>
      </c>
      <c r="E126" s="53">
        <v>2</v>
      </c>
      <c r="F126" s="53" t="s">
        <v>9128</v>
      </c>
    </row>
    <row r="127" spans="1:6" x14ac:dyDescent="0.2">
      <c r="A127" s="53" t="s">
        <v>9255</v>
      </c>
      <c r="B127" s="53" t="s">
        <v>1947</v>
      </c>
      <c r="C127" s="53" t="s">
        <v>9124</v>
      </c>
      <c r="D127" s="53" t="s">
        <v>194</v>
      </c>
      <c r="E127" s="53">
        <v>2</v>
      </c>
      <c r="F127" s="53" t="s">
        <v>9125</v>
      </c>
    </row>
    <row r="128" spans="1:6" x14ac:dyDescent="0.2">
      <c r="A128" s="53" t="s">
        <v>9256</v>
      </c>
      <c r="B128" s="53" t="s">
        <v>1951</v>
      </c>
      <c r="C128" s="53" t="s">
        <v>9124</v>
      </c>
      <c r="D128" s="53" t="s">
        <v>1314</v>
      </c>
      <c r="E128" s="53">
        <v>9</v>
      </c>
      <c r="F128" s="53" t="s">
        <v>9125</v>
      </c>
    </row>
    <row r="129" spans="1:6" x14ac:dyDescent="0.2">
      <c r="A129" s="53" t="s">
        <v>9257</v>
      </c>
      <c r="B129" s="53" t="s">
        <v>1954</v>
      </c>
      <c r="C129" s="53" t="s">
        <v>9124</v>
      </c>
      <c r="D129" s="53" t="s">
        <v>621</v>
      </c>
      <c r="E129" s="53">
        <v>6</v>
      </c>
      <c r="F129" s="53" t="s">
        <v>9125</v>
      </c>
    </row>
    <row r="130" spans="1:6" x14ac:dyDescent="0.2">
      <c r="A130" s="53" t="s">
        <v>9258</v>
      </c>
      <c r="B130" s="53" t="s">
        <v>1955</v>
      </c>
      <c r="C130" s="53" t="s">
        <v>9124</v>
      </c>
      <c r="D130" s="53" t="s">
        <v>1361</v>
      </c>
      <c r="E130" s="53">
        <v>5</v>
      </c>
      <c r="F130" s="53" t="s">
        <v>9125</v>
      </c>
    </row>
    <row r="131" spans="1:6" x14ac:dyDescent="0.2">
      <c r="A131" s="53" t="s">
        <v>9259</v>
      </c>
      <c r="B131" s="53" t="s">
        <v>1958</v>
      </c>
      <c r="C131" s="53" t="s">
        <v>9124</v>
      </c>
      <c r="D131" s="53" t="s">
        <v>929</v>
      </c>
      <c r="E131" s="53">
        <v>7</v>
      </c>
      <c r="F131" s="53" t="s">
        <v>9125</v>
      </c>
    </row>
    <row r="132" spans="1:6" x14ac:dyDescent="0.2">
      <c r="A132" s="53" t="s">
        <v>9260</v>
      </c>
      <c r="B132" s="53" t="s">
        <v>1959</v>
      </c>
      <c r="C132" s="53" t="s">
        <v>9124</v>
      </c>
      <c r="D132" s="53" t="s">
        <v>255</v>
      </c>
      <c r="E132" s="53">
        <v>14</v>
      </c>
      <c r="F132" s="53" t="s">
        <v>9125</v>
      </c>
    </row>
    <row r="133" spans="1:6" x14ac:dyDescent="0.2">
      <c r="A133" s="53" t="s">
        <v>9261</v>
      </c>
      <c r="B133" s="53" t="s">
        <v>1977</v>
      </c>
      <c r="C133" s="53" t="s">
        <v>9166</v>
      </c>
      <c r="D133" s="53" t="s">
        <v>755</v>
      </c>
      <c r="E133" s="53">
        <v>2</v>
      </c>
      <c r="F133" s="53" t="s">
        <v>9128</v>
      </c>
    </row>
    <row r="134" spans="1:6" x14ac:dyDescent="0.2">
      <c r="A134" s="53" t="s">
        <v>9262</v>
      </c>
      <c r="B134" s="53" t="s">
        <v>1985</v>
      </c>
      <c r="C134" s="53" t="s">
        <v>9124</v>
      </c>
      <c r="D134" s="53" t="s">
        <v>1624</v>
      </c>
      <c r="E134" s="53">
        <v>3</v>
      </c>
      <c r="F134" s="53" t="s">
        <v>9125</v>
      </c>
    </row>
    <row r="135" spans="1:6" x14ac:dyDescent="0.2">
      <c r="A135" s="53" t="s">
        <v>9263</v>
      </c>
      <c r="B135" s="53" t="s">
        <v>1986</v>
      </c>
      <c r="C135" s="53" t="s">
        <v>9166</v>
      </c>
      <c r="D135" s="53" t="s">
        <v>1056</v>
      </c>
      <c r="E135" s="53">
        <v>2</v>
      </c>
      <c r="F135" s="53" t="s">
        <v>9128</v>
      </c>
    </row>
    <row r="136" spans="1:6" x14ac:dyDescent="0.2">
      <c r="A136" s="53" t="s">
        <v>9264</v>
      </c>
      <c r="B136" s="53" t="s">
        <v>1988</v>
      </c>
      <c r="C136" s="53" t="s">
        <v>9124</v>
      </c>
      <c r="D136" s="53" t="s">
        <v>1234</v>
      </c>
      <c r="E136" s="53">
        <v>12</v>
      </c>
      <c r="F136" s="53" t="s">
        <v>9125</v>
      </c>
    </row>
    <row r="137" spans="1:6" x14ac:dyDescent="0.2">
      <c r="A137" s="53" t="s">
        <v>9265</v>
      </c>
      <c r="B137" s="53" t="s">
        <v>1993</v>
      </c>
      <c r="C137" s="53" t="s">
        <v>9127</v>
      </c>
      <c r="D137" s="53" t="s">
        <v>410</v>
      </c>
      <c r="E137" s="53">
        <v>2</v>
      </c>
      <c r="F137" s="53" t="s">
        <v>9128</v>
      </c>
    </row>
    <row r="138" spans="1:6" x14ac:dyDescent="0.2">
      <c r="A138" s="53" t="s">
        <v>9266</v>
      </c>
      <c r="B138" s="53" t="s">
        <v>1994</v>
      </c>
      <c r="C138" s="53" t="s">
        <v>9132</v>
      </c>
      <c r="D138" s="53" t="s">
        <v>1213</v>
      </c>
      <c r="E138" s="53">
        <v>2</v>
      </c>
      <c r="F138" s="53" t="s">
        <v>9128</v>
      </c>
    </row>
    <row r="139" spans="1:6" x14ac:dyDescent="0.2">
      <c r="A139" s="53" t="s">
        <v>9267</v>
      </c>
      <c r="B139" s="53" t="s">
        <v>2000</v>
      </c>
      <c r="C139" s="53" t="s">
        <v>9127</v>
      </c>
      <c r="D139" s="53" t="s">
        <v>268</v>
      </c>
      <c r="E139" s="53">
        <v>2</v>
      </c>
      <c r="F139" s="53" t="s">
        <v>9128</v>
      </c>
    </row>
    <row r="140" spans="1:6" x14ac:dyDescent="0.2">
      <c r="A140" s="53" t="s">
        <v>9268</v>
      </c>
      <c r="B140" s="53" t="s">
        <v>2017</v>
      </c>
      <c r="C140" s="53" t="s">
        <v>9139</v>
      </c>
      <c r="D140" s="53" t="s">
        <v>424</v>
      </c>
      <c r="E140" s="53">
        <v>2</v>
      </c>
      <c r="F140" s="53" t="s">
        <v>9128</v>
      </c>
    </row>
    <row r="141" spans="1:6" x14ac:dyDescent="0.2">
      <c r="A141" s="53" t="s">
        <v>9269</v>
      </c>
      <c r="B141" s="53" t="s">
        <v>2019</v>
      </c>
      <c r="C141" s="53" t="s">
        <v>9132</v>
      </c>
      <c r="D141" s="53" t="s">
        <v>1038</v>
      </c>
      <c r="E141" s="53">
        <v>2</v>
      </c>
      <c r="F141" s="53" t="s">
        <v>9128</v>
      </c>
    </row>
    <row r="142" spans="1:6" x14ac:dyDescent="0.2">
      <c r="A142" s="53" t="s">
        <v>9270</v>
      </c>
      <c r="B142" s="53" t="s">
        <v>2020</v>
      </c>
      <c r="C142" s="53" t="s">
        <v>9139</v>
      </c>
      <c r="D142" s="53" t="s">
        <v>642</v>
      </c>
      <c r="E142" s="53">
        <v>2</v>
      </c>
      <c r="F142" s="53" t="s">
        <v>9128</v>
      </c>
    </row>
    <row r="143" spans="1:6" x14ac:dyDescent="0.2">
      <c r="A143" s="53" t="s">
        <v>9271</v>
      </c>
      <c r="B143" s="53" t="s">
        <v>2052</v>
      </c>
      <c r="C143" s="53" t="s">
        <v>9124</v>
      </c>
      <c r="D143" s="53" t="s">
        <v>289</v>
      </c>
      <c r="E143" s="53">
        <v>13</v>
      </c>
      <c r="F143" s="53" t="s">
        <v>9125</v>
      </c>
    </row>
    <row r="144" spans="1:6" x14ac:dyDescent="0.2">
      <c r="A144" s="53" t="s">
        <v>9272</v>
      </c>
      <c r="B144" s="53" t="s">
        <v>2055</v>
      </c>
      <c r="C144" s="53" t="s">
        <v>9124</v>
      </c>
      <c r="D144" s="53" t="s">
        <v>1152</v>
      </c>
      <c r="E144" s="53">
        <v>7</v>
      </c>
      <c r="F144" s="53" t="s">
        <v>9125</v>
      </c>
    </row>
    <row r="145" spans="1:6" x14ac:dyDescent="0.2">
      <c r="A145" s="53" t="s">
        <v>9273</v>
      </c>
      <c r="B145" s="53" t="s">
        <v>2061</v>
      </c>
      <c r="C145" s="53" t="s">
        <v>9139</v>
      </c>
      <c r="D145" s="53" t="s">
        <v>451</v>
      </c>
      <c r="E145" s="53">
        <v>2</v>
      </c>
      <c r="F145" s="53" t="s">
        <v>9128</v>
      </c>
    </row>
    <row r="146" spans="1:6" x14ac:dyDescent="0.2">
      <c r="A146" s="53" t="s">
        <v>9274</v>
      </c>
      <c r="B146" s="53" t="s">
        <v>2083</v>
      </c>
      <c r="C146" s="53" t="s">
        <v>9124</v>
      </c>
      <c r="D146" s="53" t="s">
        <v>592</v>
      </c>
      <c r="E146" s="53">
        <v>12</v>
      </c>
      <c r="F146" s="53" t="s">
        <v>9125</v>
      </c>
    </row>
    <row r="147" spans="1:6" x14ac:dyDescent="0.2">
      <c r="A147" s="53" t="s">
        <v>9275</v>
      </c>
      <c r="B147" s="53" t="s">
        <v>2099</v>
      </c>
      <c r="C147" s="53" t="s">
        <v>9124</v>
      </c>
      <c r="D147" s="53" t="s">
        <v>1320</v>
      </c>
      <c r="E147" s="53">
        <v>6</v>
      </c>
      <c r="F147" s="53" t="s">
        <v>9125</v>
      </c>
    </row>
    <row r="148" spans="1:6" x14ac:dyDescent="0.2">
      <c r="A148" s="53" t="s">
        <v>9276</v>
      </c>
      <c r="B148" s="53" t="s">
        <v>2103</v>
      </c>
      <c r="C148" s="53" t="s">
        <v>9139</v>
      </c>
      <c r="D148" s="53" t="s">
        <v>1318</v>
      </c>
      <c r="E148" s="53">
        <v>2</v>
      </c>
      <c r="F148" s="53" t="s">
        <v>9128</v>
      </c>
    </row>
    <row r="149" spans="1:6" x14ac:dyDescent="0.2">
      <c r="A149" s="53" t="s">
        <v>9277</v>
      </c>
      <c r="B149" s="53" t="s">
        <v>2106</v>
      </c>
      <c r="C149" s="53" t="s">
        <v>9124</v>
      </c>
      <c r="D149" s="53" t="s">
        <v>424</v>
      </c>
      <c r="E149" s="53">
        <v>5</v>
      </c>
      <c r="F149" s="53" t="s">
        <v>9125</v>
      </c>
    </row>
    <row r="150" spans="1:6" x14ac:dyDescent="0.2">
      <c r="A150" s="53" t="s">
        <v>9278</v>
      </c>
      <c r="B150" s="53" t="s">
        <v>2116</v>
      </c>
      <c r="C150" s="53" t="s">
        <v>9132</v>
      </c>
      <c r="D150" s="53" t="s">
        <v>1035</v>
      </c>
      <c r="E150" s="53">
        <v>2</v>
      </c>
      <c r="F150" s="53" t="s">
        <v>9128</v>
      </c>
    </row>
    <row r="151" spans="1:6" x14ac:dyDescent="0.2">
      <c r="A151" s="53" t="s">
        <v>9279</v>
      </c>
      <c r="B151" s="53" t="s">
        <v>2132</v>
      </c>
      <c r="C151" s="53" t="s">
        <v>9124</v>
      </c>
      <c r="D151" s="53" t="s">
        <v>159</v>
      </c>
      <c r="E151" s="53">
        <v>9</v>
      </c>
      <c r="F151" s="53" t="s">
        <v>9125</v>
      </c>
    </row>
    <row r="152" spans="1:6" x14ac:dyDescent="0.2">
      <c r="A152" s="53" t="s">
        <v>9280</v>
      </c>
      <c r="B152" s="53" t="s">
        <v>2153</v>
      </c>
      <c r="C152" s="53" t="s">
        <v>9124</v>
      </c>
      <c r="D152" s="53" t="s">
        <v>787</v>
      </c>
      <c r="E152" s="53">
        <v>2</v>
      </c>
      <c r="F152" s="53" t="s">
        <v>9125</v>
      </c>
    </row>
    <row r="153" spans="1:6" x14ac:dyDescent="0.2">
      <c r="A153" s="53" t="s">
        <v>9281</v>
      </c>
      <c r="B153" s="53" t="s">
        <v>2162</v>
      </c>
      <c r="C153" s="53" t="s">
        <v>9132</v>
      </c>
      <c r="D153" s="53" t="s">
        <v>279</v>
      </c>
      <c r="E153" s="53">
        <v>2</v>
      </c>
      <c r="F153" s="53" t="s">
        <v>9128</v>
      </c>
    </row>
    <row r="154" spans="1:6" x14ac:dyDescent="0.2">
      <c r="A154" s="53" t="s">
        <v>9282</v>
      </c>
      <c r="B154" s="53" t="s">
        <v>2182</v>
      </c>
      <c r="C154" s="53" t="s">
        <v>9124</v>
      </c>
      <c r="D154" s="53" t="s">
        <v>713</v>
      </c>
      <c r="E154" s="53">
        <v>5</v>
      </c>
      <c r="F154" s="53" t="s">
        <v>9125</v>
      </c>
    </row>
    <row r="155" spans="1:6" x14ac:dyDescent="0.2">
      <c r="A155" s="53" t="s">
        <v>9283</v>
      </c>
      <c r="B155" s="53" t="s">
        <v>2187</v>
      </c>
      <c r="C155" s="53" t="s">
        <v>9124</v>
      </c>
      <c r="D155" s="53" t="s">
        <v>697</v>
      </c>
      <c r="E155" s="53">
        <v>14</v>
      </c>
      <c r="F155" s="53" t="s">
        <v>9125</v>
      </c>
    </row>
    <row r="156" spans="1:6" x14ac:dyDescent="0.2">
      <c r="A156" s="53" t="s">
        <v>9284</v>
      </c>
      <c r="B156" s="53" t="s">
        <v>2195</v>
      </c>
      <c r="C156" s="53" t="s">
        <v>9139</v>
      </c>
      <c r="D156" s="53" t="s">
        <v>1178</v>
      </c>
      <c r="E156" s="53">
        <v>2</v>
      </c>
      <c r="F156" s="53" t="s">
        <v>9128</v>
      </c>
    </row>
    <row r="157" spans="1:6" x14ac:dyDescent="0.2">
      <c r="A157" s="53" t="s">
        <v>9285</v>
      </c>
      <c r="B157" s="53" t="s">
        <v>2197</v>
      </c>
      <c r="C157" s="53" t="s">
        <v>9166</v>
      </c>
      <c r="D157" s="53" t="s">
        <v>914</v>
      </c>
      <c r="E157" s="53">
        <v>2</v>
      </c>
      <c r="F157" s="53" t="s">
        <v>9128</v>
      </c>
    </row>
    <row r="158" spans="1:6" x14ac:dyDescent="0.2">
      <c r="A158" s="53" t="s">
        <v>9286</v>
      </c>
      <c r="B158" s="53" t="s">
        <v>2198</v>
      </c>
      <c r="C158" s="53" t="s">
        <v>9124</v>
      </c>
      <c r="D158" s="53" t="s">
        <v>1186</v>
      </c>
      <c r="E158" s="53">
        <v>7</v>
      </c>
      <c r="F158" s="53" t="s">
        <v>9125</v>
      </c>
    </row>
    <row r="159" spans="1:6" x14ac:dyDescent="0.2">
      <c r="A159" s="53" t="s">
        <v>9287</v>
      </c>
      <c r="B159" s="53" t="s">
        <v>2199</v>
      </c>
      <c r="C159" s="53" t="s">
        <v>9124</v>
      </c>
      <c r="D159" s="53" t="s">
        <v>643</v>
      </c>
      <c r="E159" s="53">
        <v>4</v>
      </c>
      <c r="F159" s="53" t="s">
        <v>9125</v>
      </c>
    </row>
    <row r="160" spans="1:6" x14ac:dyDescent="0.2">
      <c r="A160" s="53" t="s">
        <v>9288</v>
      </c>
      <c r="B160" s="53" t="s">
        <v>2201</v>
      </c>
      <c r="C160" s="53" t="s">
        <v>9132</v>
      </c>
      <c r="D160" s="53" t="s">
        <v>187</v>
      </c>
      <c r="E160" s="53">
        <v>2</v>
      </c>
      <c r="F160" s="53" t="s">
        <v>9128</v>
      </c>
    </row>
    <row r="161" spans="1:6" x14ac:dyDescent="0.2">
      <c r="A161" s="53" t="s">
        <v>9289</v>
      </c>
      <c r="B161" s="53" t="s">
        <v>2213</v>
      </c>
      <c r="C161" s="53" t="s">
        <v>9127</v>
      </c>
      <c r="D161" s="53" t="s">
        <v>430</v>
      </c>
      <c r="E161" s="53">
        <v>2</v>
      </c>
      <c r="F161" s="53" t="s">
        <v>9128</v>
      </c>
    </row>
    <row r="162" spans="1:6" x14ac:dyDescent="0.2">
      <c r="A162" s="53" t="s">
        <v>9290</v>
      </c>
      <c r="B162" s="53" t="s">
        <v>2215</v>
      </c>
      <c r="C162" s="53" t="s">
        <v>9124</v>
      </c>
      <c r="D162" s="53" t="s">
        <v>488</v>
      </c>
      <c r="E162" s="53">
        <v>14</v>
      </c>
      <c r="F162" s="53" t="s">
        <v>9125</v>
      </c>
    </row>
    <row r="163" spans="1:6" x14ac:dyDescent="0.2">
      <c r="A163" s="53" t="s">
        <v>9291</v>
      </c>
      <c r="B163" s="53" t="s">
        <v>2222</v>
      </c>
      <c r="C163" s="53" t="s">
        <v>9124</v>
      </c>
      <c r="D163" s="53" t="s">
        <v>1100</v>
      </c>
      <c r="E163" s="53">
        <v>11</v>
      </c>
      <c r="F163" s="53" t="s">
        <v>9125</v>
      </c>
    </row>
    <row r="164" spans="1:6" x14ac:dyDescent="0.2">
      <c r="A164" s="53" t="s">
        <v>9292</v>
      </c>
      <c r="B164" s="53" t="s">
        <v>2228</v>
      </c>
      <c r="C164" s="53" t="s">
        <v>9139</v>
      </c>
      <c r="D164" s="53" t="s">
        <v>485</v>
      </c>
      <c r="E164" s="53">
        <v>2</v>
      </c>
      <c r="F164" s="53" t="s">
        <v>9128</v>
      </c>
    </row>
    <row r="165" spans="1:6" x14ac:dyDescent="0.2">
      <c r="A165" s="53" t="s">
        <v>9293</v>
      </c>
      <c r="B165" s="53" t="s">
        <v>2231</v>
      </c>
      <c r="C165" s="53" t="s">
        <v>9124</v>
      </c>
      <c r="D165" s="53" t="s">
        <v>304</v>
      </c>
      <c r="E165" s="53">
        <v>2</v>
      </c>
      <c r="F165" s="53" t="s">
        <v>9125</v>
      </c>
    </row>
    <row r="166" spans="1:6" x14ac:dyDescent="0.2">
      <c r="A166" s="53" t="s">
        <v>9294</v>
      </c>
      <c r="B166" s="53" t="s">
        <v>2235</v>
      </c>
      <c r="C166" s="53" t="s">
        <v>9166</v>
      </c>
      <c r="D166" s="53" t="s">
        <v>520</v>
      </c>
      <c r="E166" s="53">
        <v>2</v>
      </c>
      <c r="F166" s="53" t="s">
        <v>9128</v>
      </c>
    </row>
    <row r="167" spans="1:6" x14ac:dyDescent="0.2">
      <c r="A167" s="53" t="s">
        <v>9295</v>
      </c>
      <c r="B167" s="53" t="s">
        <v>2238</v>
      </c>
      <c r="C167" s="53" t="s">
        <v>9124</v>
      </c>
      <c r="D167" s="53" t="s">
        <v>161</v>
      </c>
      <c r="E167" s="53">
        <v>3</v>
      </c>
      <c r="F167" s="53" t="s">
        <v>9125</v>
      </c>
    </row>
    <row r="168" spans="1:6" x14ac:dyDescent="0.2">
      <c r="A168" s="53" t="s">
        <v>9296</v>
      </c>
      <c r="B168" s="53" t="s">
        <v>2241</v>
      </c>
      <c r="C168" s="53" t="s">
        <v>9132</v>
      </c>
      <c r="D168" s="53" t="s">
        <v>600</v>
      </c>
      <c r="E168" s="53">
        <v>2</v>
      </c>
      <c r="F168" s="53" t="s">
        <v>9128</v>
      </c>
    </row>
    <row r="169" spans="1:6" x14ac:dyDescent="0.2">
      <c r="A169" s="53" t="s">
        <v>9297</v>
      </c>
      <c r="B169" s="53" t="s">
        <v>2256</v>
      </c>
      <c r="C169" s="53" t="s">
        <v>9132</v>
      </c>
      <c r="D169" s="53" t="s">
        <v>485</v>
      </c>
      <c r="E169" s="53">
        <v>2</v>
      </c>
      <c r="F169" s="53" t="s">
        <v>9128</v>
      </c>
    </row>
    <row r="170" spans="1:6" x14ac:dyDescent="0.2">
      <c r="A170" s="53" t="s">
        <v>9298</v>
      </c>
      <c r="B170" s="53" t="s">
        <v>2273</v>
      </c>
      <c r="C170" s="53" t="s">
        <v>9124</v>
      </c>
      <c r="D170" s="53" t="s">
        <v>256</v>
      </c>
      <c r="E170" s="53">
        <v>5</v>
      </c>
      <c r="F170" s="53" t="s">
        <v>9125</v>
      </c>
    </row>
    <row r="171" spans="1:6" x14ac:dyDescent="0.2">
      <c r="A171" s="53" t="s">
        <v>9299</v>
      </c>
      <c r="B171" s="53" t="s">
        <v>2281</v>
      </c>
      <c r="C171" s="53" t="s">
        <v>9132</v>
      </c>
      <c r="D171" s="53" t="s">
        <v>388</v>
      </c>
      <c r="E171" s="53">
        <v>2</v>
      </c>
      <c r="F171" s="53" t="s">
        <v>9128</v>
      </c>
    </row>
    <row r="172" spans="1:6" x14ac:dyDescent="0.2">
      <c r="A172" s="53" t="s">
        <v>9300</v>
      </c>
      <c r="B172" s="53" t="s">
        <v>2289</v>
      </c>
      <c r="C172" s="53" t="s">
        <v>9124</v>
      </c>
      <c r="D172" s="53" t="s">
        <v>594</v>
      </c>
      <c r="E172" s="53">
        <v>3</v>
      </c>
      <c r="F172" s="53" t="s">
        <v>9125</v>
      </c>
    </row>
    <row r="173" spans="1:6" x14ac:dyDescent="0.2">
      <c r="A173" s="53" t="s">
        <v>9301</v>
      </c>
      <c r="B173" s="53" t="s">
        <v>2293</v>
      </c>
      <c r="C173" s="53" t="s">
        <v>9124</v>
      </c>
      <c r="D173" s="53" t="s">
        <v>637</v>
      </c>
      <c r="E173" s="53">
        <v>6</v>
      </c>
      <c r="F173" s="53" t="s">
        <v>9125</v>
      </c>
    </row>
    <row r="174" spans="1:6" x14ac:dyDescent="0.2">
      <c r="A174" s="53" t="s">
        <v>9302</v>
      </c>
      <c r="B174" s="53" t="s">
        <v>2294</v>
      </c>
      <c r="C174" s="53" t="s">
        <v>9124</v>
      </c>
      <c r="D174" s="53" t="s">
        <v>1170</v>
      </c>
      <c r="E174" s="53">
        <v>9</v>
      </c>
      <c r="F174" s="53" t="s">
        <v>9125</v>
      </c>
    </row>
    <row r="175" spans="1:6" x14ac:dyDescent="0.2">
      <c r="A175" s="53" t="s">
        <v>9303</v>
      </c>
      <c r="B175" s="53" t="s">
        <v>2295</v>
      </c>
      <c r="C175" s="53" t="s">
        <v>9124</v>
      </c>
      <c r="D175" s="53" t="s">
        <v>683</v>
      </c>
      <c r="E175" s="53">
        <v>2</v>
      </c>
      <c r="F175" s="53" t="s">
        <v>9125</v>
      </c>
    </row>
    <row r="176" spans="1:6" x14ac:dyDescent="0.2">
      <c r="A176" s="53" t="s">
        <v>9304</v>
      </c>
      <c r="B176" s="53" t="s">
        <v>2315</v>
      </c>
      <c r="C176" s="53" t="s">
        <v>9139</v>
      </c>
      <c r="D176" s="53" t="s">
        <v>981</v>
      </c>
      <c r="E176" s="53">
        <v>2</v>
      </c>
      <c r="F176" s="53" t="s">
        <v>9128</v>
      </c>
    </row>
    <row r="177" spans="1:6" x14ac:dyDescent="0.2">
      <c r="A177" s="53" t="s">
        <v>9305</v>
      </c>
      <c r="B177" s="53" t="s">
        <v>2322</v>
      </c>
      <c r="C177" s="53" t="s">
        <v>9132</v>
      </c>
      <c r="D177" s="53" t="s">
        <v>492</v>
      </c>
      <c r="E177" s="53">
        <v>2</v>
      </c>
      <c r="F177" s="53" t="s">
        <v>9128</v>
      </c>
    </row>
    <row r="178" spans="1:6" x14ac:dyDescent="0.2">
      <c r="A178" s="53" t="s">
        <v>9306</v>
      </c>
      <c r="B178" s="53" t="s">
        <v>2337</v>
      </c>
      <c r="C178" s="53" t="s">
        <v>9124</v>
      </c>
      <c r="D178" s="53" t="s">
        <v>716</v>
      </c>
      <c r="E178" s="53">
        <v>6</v>
      </c>
      <c r="F178" s="53" t="s">
        <v>9125</v>
      </c>
    </row>
    <row r="179" spans="1:6" x14ac:dyDescent="0.2">
      <c r="A179" s="53" t="s">
        <v>9307</v>
      </c>
      <c r="B179" s="53" t="s">
        <v>2340</v>
      </c>
      <c r="C179" s="53" t="s">
        <v>9124</v>
      </c>
      <c r="D179" s="53" t="s">
        <v>886</v>
      </c>
      <c r="E179" s="53">
        <v>7</v>
      </c>
      <c r="F179" s="53" t="s">
        <v>9125</v>
      </c>
    </row>
    <row r="180" spans="1:6" x14ac:dyDescent="0.2">
      <c r="A180" s="53" t="s">
        <v>9308</v>
      </c>
      <c r="B180" s="53" t="s">
        <v>2341</v>
      </c>
      <c r="C180" s="53" t="s">
        <v>9124</v>
      </c>
      <c r="D180" s="53" t="s">
        <v>885</v>
      </c>
      <c r="E180" s="53">
        <v>10</v>
      </c>
      <c r="F180" s="53" t="s">
        <v>9125</v>
      </c>
    </row>
    <row r="181" spans="1:6" x14ac:dyDescent="0.2">
      <c r="A181" s="53" t="s">
        <v>9309</v>
      </c>
      <c r="B181" s="53" t="s">
        <v>2342</v>
      </c>
      <c r="C181" s="53" t="s">
        <v>9132</v>
      </c>
      <c r="D181" s="53" t="s">
        <v>824</v>
      </c>
      <c r="E181" s="53">
        <v>2</v>
      </c>
      <c r="F181" s="53" t="s">
        <v>9128</v>
      </c>
    </row>
    <row r="182" spans="1:6" x14ac:dyDescent="0.2">
      <c r="A182" s="53" t="s">
        <v>9310</v>
      </c>
      <c r="B182" s="53" t="s">
        <v>2346</v>
      </c>
      <c r="C182" s="53" t="s">
        <v>9124</v>
      </c>
      <c r="D182" s="53" t="s">
        <v>170</v>
      </c>
      <c r="E182" s="53">
        <v>2</v>
      </c>
      <c r="F182" s="53" t="s">
        <v>9125</v>
      </c>
    </row>
    <row r="183" spans="1:6" x14ac:dyDescent="0.2">
      <c r="A183" s="53" t="s">
        <v>9311</v>
      </c>
      <c r="B183" s="53" t="s">
        <v>2352</v>
      </c>
      <c r="C183" s="53" t="s">
        <v>9124</v>
      </c>
      <c r="D183" s="53" t="s">
        <v>456</v>
      </c>
      <c r="E183" s="53">
        <v>13</v>
      </c>
      <c r="F183" s="53" t="s">
        <v>9125</v>
      </c>
    </row>
    <row r="184" spans="1:6" x14ac:dyDescent="0.2">
      <c r="A184" s="53" t="s">
        <v>9312</v>
      </c>
      <c r="B184" s="53" t="s">
        <v>2355</v>
      </c>
      <c r="C184" s="53" t="s">
        <v>9127</v>
      </c>
      <c r="D184" s="53" t="s">
        <v>1024</v>
      </c>
      <c r="E184" s="53">
        <v>2</v>
      </c>
      <c r="F184" s="53" t="s">
        <v>9128</v>
      </c>
    </row>
    <row r="185" spans="1:6" x14ac:dyDescent="0.2">
      <c r="A185" s="53" t="s">
        <v>9313</v>
      </c>
      <c r="B185" s="53" t="s">
        <v>2358</v>
      </c>
      <c r="C185" s="53" t="s">
        <v>9132</v>
      </c>
      <c r="D185" s="53" t="s">
        <v>422</v>
      </c>
      <c r="E185" s="53">
        <v>2</v>
      </c>
      <c r="F185" s="53" t="s">
        <v>9128</v>
      </c>
    </row>
    <row r="186" spans="1:6" x14ac:dyDescent="0.2">
      <c r="A186" s="53" t="s">
        <v>9314</v>
      </c>
      <c r="B186" s="53" t="s">
        <v>2361</v>
      </c>
      <c r="C186" s="53" t="s">
        <v>9124</v>
      </c>
      <c r="D186" s="53" t="s">
        <v>569</v>
      </c>
      <c r="E186" s="53">
        <v>3</v>
      </c>
      <c r="F186" s="53" t="s">
        <v>9125</v>
      </c>
    </row>
    <row r="187" spans="1:6" x14ac:dyDescent="0.2">
      <c r="A187" s="53" t="s">
        <v>9315</v>
      </c>
      <c r="B187" s="53" t="s">
        <v>2365</v>
      </c>
      <c r="C187" s="53" t="s">
        <v>9124</v>
      </c>
      <c r="D187" s="53" t="s">
        <v>710</v>
      </c>
      <c r="E187" s="53">
        <v>11</v>
      </c>
      <c r="F187" s="53" t="s">
        <v>9125</v>
      </c>
    </row>
    <row r="188" spans="1:6" x14ac:dyDescent="0.2">
      <c r="A188" s="53" t="s">
        <v>9316</v>
      </c>
      <c r="B188" s="53" t="s">
        <v>2377</v>
      </c>
      <c r="C188" s="53" t="s">
        <v>9124</v>
      </c>
      <c r="D188" s="53" t="s">
        <v>776</v>
      </c>
      <c r="E188" s="53">
        <v>8</v>
      </c>
      <c r="F188" s="53" t="s">
        <v>9125</v>
      </c>
    </row>
    <row r="189" spans="1:6" x14ac:dyDescent="0.2">
      <c r="A189" s="53" t="s">
        <v>9317</v>
      </c>
      <c r="B189" s="53" t="s">
        <v>2378</v>
      </c>
      <c r="C189" s="53" t="s">
        <v>9127</v>
      </c>
      <c r="D189" s="53" t="s">
        <v>284</v>
      </c>
      <c r="E189" s="53">
        <v>2</v>
      </c>
      <c r="F189" s="53" t="s">
        <v>9128</v>
      </c>
    </row>
    <row r="190" spans="1:6" x14ac:dyDescent="0.2">
      <c r="A190" s="53" t="s">
        <v>9318</v>
      </c>
      <c r="B190" s="53" t="s">
        <v>2381</v>
      </c>
      <c r="C190" s="53" t="s">
        <v>9139</v>
      </c>
      <c r="D190" s="53" t="s">
        <v>991</v>
      </c>
      <c r="E190" s="53">
        <v>2</v>
      </c>
      <c r="F190" s="53" t="s">
        <v>9128</v>
      </c>
    </row>
    <row r="191" spans="1:6" x14ac:dyDescent="0.2">
      <c r="A191" s="53" t="s">
        <v>9319</v>
      </c>
      <c r="B191" s="53" t="s">
        <v>2383</v>
      </c>
      <c r="C191" s="53" t="s">
        <v>9139</v>
      </c>
      <c r="D191" s="53" t="s">
        <v>468</v>
      </c>
      <c r="E191" s="53">
        <v>2</v>
      </c>
      <c r="F191" s="53" t="s">
        <v>9128</v>
      </c>
    </row>
    <row r="192" spans="1:6" x14ac:dyDescent="0.2">
      <c r="A192" s="53" t="s">
        <v>9320</v>
      </c>
      <c r="B192" s="53" t="s">
        <v>2386</v>
      </c>
      <c r="C192" s="53" t="s">
        <v>9139</v>
      </c>
      <c r="D192" s="53" t="s">
        <v>1126</v>
      </c>
      <c r="E192" s="53">
        <v>2</v>
      </c>
      <c r="F192" s="53" t="s">
        <v>9128</v>
      </c>
    </row>
    <row r="193" spans="1:6" x14ac:dyDescent="0.2">
      <c r="A193" s="53" t="s">
        <v>9321</v>
      </c>
      <c r="B193" s="53" t="s">
        <v>2395</v>
      </c>
      <c r="C193" s="53" t="s">
        <v>9139</v>
      </c>
      <c r="D193" s="53" t="s">
        <v>900</v>
      </c>
      <c r="E193" s="53">
        <v>2</v>
      </c>
      <c r="F193" s="53" t="s">
        <v>9128</v>
      </c>
    </row>
    <row r="194" spans="1:6" x14ac:dyDescent="0.2">
      <c r="A194" s="53" t="s">
        <v>9322</v>
      </c>
      <c r="B194" s="53" t="s">
        <v>2401</v>
      </c>
      <c r="C194" s="53" t="s">
        <v>9132</v>
      </c>
      <c r="D194" s="53" t="s">
        <v>1429</v>
      </c>
      <c r="E194" s="53">
        <v>2</v>
      </c>
      <c r="F194" s="53" t="s">
        <v>9128</v>
      </c>
    </row>
    <row r="195" spans="1:6" x14ac:dyDescent="0.2">
      <c r="A195" s="53" t="s">
        <v>9323</v>
      </c>
      <c r="B195" s="53" t="s">
        <v>2414</v>
      </c>
      <c r="C195" s="53" t="s">
        <v>9166</v>
      </c>
      <c r="D195" s="53" t="s">
        <v>1504</v>
      </c>
      <c r="E195" s="53">
        <v>2</v>
      </c>
      <c r="F195" s="53" t="s">
        <v>9128</v>
      </c>
    </row>
    <row r="196" spans="1:6" x14ac:dyDescent="0.2">
      <c r="A196" s="53" t="s">
        <v>9324</v>
      </c>
      <c r="B196" s="53" t="s">
        <v>2423</v>
      </c>
      <c r="C196" s="53" t="s">
        <v>9139</v>
      </c>
      <c r="D196" s="53" t="s">
        <v>1361</v>
      </c>
      <c r="E196" s="53">
        <v>2</v>
      </c>
      <c r="F196" s="53" t="s">
        <v>9128</v>
      </c>
    </row>
    <row r="197" spans="1:6" x14ac:dyDescent="0.2">
      <c r="A197" s="53" t="s">
        <v>9325</v>
      </c>
      <c r="B197" s="53" t="s">
        <v>2432</v>
      </c>
      <c r="C197" s="53" t="s">
        <v>9132</v>
      </c>
      <c r="D197" s="53" t="s">
        <v>1668</v>
      </c>
      <c r="E197" s="53">
        <v>2</v>
      </c>
      <c r="F197" s="53" t="s">
        <v>9128</v>
      </c>
    </row>
    <row r="198" spans="1:6" x14ac:dyDescent="0.2">
      <c r="A198" s="53" t="s">
        <v>9326</v>
      </c>
      <c r="B198" s="53" t="s">
        <v>2442</v>
      </c>
      <c r="C198" s="53" t="s">
        <v>9127</v>
      </c>
      <c r="D198" s="53" t="s">
        <v>1400</v>
      </c>
      <c r="E198" s="53">
        <v>2</v>
      </c>
      <c r="F198" s="53" t="s">
        <v>9128</v>
      </c>
    </row>
    <row r="199" spans="1:6" x14ac:dyDescent="0.2">
      <c r="A199" s="53" t="s">
        <v>9327</v>
      </c>
      <c r="B199" s="53" t="s">
        <v>2453</v>
      </c>
      <c r="C199" s="53" t="s">
        <v>9166</v>
      </c>
      <c r="D199" s="53" t="s">
        <v>350</v>
      </c>
      <c r="E199" s="53">
        <v>2</v>
      </c>
      <c r="F199" s="53" t="s">
        <v>9128</v>
      </c>
    </row>
    <row r="200" spans="1:6" x14ac:dyDescent="0.2">
      <c r="A200" s="53" t="s">
        <v>9328</v>
      </c>
      <c r="B200" s="53" t="s">
        <v>2460</v>
      </c>
      <c r="C200" s="53" t="s">
        <v>9132</v>
      </c>
      <c r="D200" s="53" t="s">
        <v>1154</v>
      </c>
      <c r="E200" s="53">
        <v>2</v>
      </c>
      <c r="F200" s="53" t="s">
        <v>9128</v>
      </c>
    </row>
    <row r="201" spans="1:6" x14ac:dyDescent="0.2">
      <c r="A201" s="53" t="s">
        <v>9329</v>
      </c>
      <c r="B201" s="53" t="s">
        <v>2501</v>
      </c>
      <c r="C201" s="53" t="s">
        <v>9124</v>
      </c>
      <c r="D201" s="53" t="s">
        <v>261</v>
      </c>
      <c r="E201" s="53">
        <v>13</v>
      </c>
      <c r="F201" s="53" t="s">
        <v>9125</v>
      </c>
    </row>
    <row r="202" spans="1:6" x14ac:dyDescent="0.2">
      <c r="A202" s="53" t="s">
        <v>9330</v>
      </c>
      <c r="B202" s="53" t="s">
        <v>2503</v>
      </c>
      <c r="C202" s="53" t="s">
        <v>9139</v>
      </c>
      <c r="D202" s="53" t="s">
        <v>779</v>
      </c>
      <c r="E202" s="53">
        <v>2</v>
      </c>
      <c r="F202" s="53" t="s">
        <v>9128</v>
      </c>
    </row>
    <row r="203" spans="1:6" x14ac:dyDescent="0.2">
      <c r="A203" s="53" t="s">
        <v>9331</v>
      </c>
      <c r="B203" s="53" t="s">
        <v>2508</v>
      </c>
      <c r="C203" s="53" t="s">
        <v>9139</v>
      </c>
      <c r="D203" s="53" t="s">
        <v>2509</v>
      </c>
      <c r="E203" s="53">
        <v>2</v>
      </c>
      <c r="F203" s="53" t="s">
        <v>9128</v>
      </c>
    </row>
    <row r="204" spans="1:6" x14ac:dyDescent="0.2">
      <c r="A204" s="53" t="s">
        <v>9332</v>
      </c>
      <c r="B204" s="53" t="s">
        <v>2520</v>
      </c>
      <c r="C204" s="53" t="s">
        <v>9124</v>
      </c>
      <c r="D204" s="53" t="s">
        <v>1072</v>
      </c>
      <c r="E204" s="53">
        <v>5</v>
      </c>
      <c r="F204" s="53" t="s">
        <v>9125</v>
      </c>
    </row>
    <row r="205" spans="1:6" x14ac:dyDescent="0.2">
      <c r="A205" s="53" t="s">
        <v>9333</v>
      </c>
      <c r="B205" s="53" t="s">
        <v>2536</v>
      </c>
      <c r="C205" s="53" t="s">
        <v>9124</v>
      </c>
      <c r="D205" s="53" t="s">
        <v>633</v>
      </c>
      <c r="E205" s="53">
        <v>5</v>
      </c>
      <c r="F205" s="53" t="s">
        <v>9125</v>
      </c>
    </row>
    <row r="206" spans="1:6" x14ac:dyDescent="0.2">
      <c r="A206" s="53" t="s">
        <v>9334</v>
      </c>
      <c r="B206" s="53" t="s">
        <v>2547</v>
      </c>
      <c r="C206" s="53" t="s">
        <v>9127</v>
      </c>
      <c r="D206" s="53" t="s">
        <v>520</v>
      </c>
      <c r="E206" s="53">
        <v>2</v>
      </c>
      <c r="F206" s="53" t="s">
        <v>9128</v>
      </c>
    </row>
    <row r="207" spans="1:6" x14ac:dyDescent="0.2">
      <c r="A207" s="53" t="s">
        <v>9335</v>
      </c>
      <c r="B207" s="53" t="s">
        <v>2549</v>
      </c>
      <c r="C207" s="53" t="s">
        <v>9124</v>
      </c>
      <c r="D207" s="53" t="s">
        <v>1685</v>
      </c>
      <c r="E207" s="53">
        <v>10</v>
      </c>
      <c r="F207" s="53" t="s">
        <v>9125</v>
      </c>
    </row>
    <row r="208" spans="1:6" x14ac:dyDescent="0.2">
      <c r="A208" s="53" t="s">
        <v>9336</v>
      </c>
      <c r="B208" s="53" t="s">
        <v>2559</v>
      </c>
      <c r="C208" s="53" t="s">
        <v>9127</v>
      </c>
      <c r="D208" s="53" t="s">
        <v>1361</v>
      </c>
      <c r="E208" s="53">
        <v>2</v>
      </c>
      <c r="F208" s="53" t="s">
        <v>9128</v>
      </c>
    </row>
    <row r="209" spans="1:6" x14ac:dyDescent="0.2">
      <c r="A209" s="53" t="s">
        <v>9337</v>
      </c>
      <c r="B209" s="53" t="s">
        <v>2564</v>
      </c>
      <c r="C209" s="53" t="s">
        <v>9124</v>
      </c>
      <c r="D209" s="53" t="s">
        <v>214</v>
      </c>
      <c r="E209" s="53">
        <v>3</v>
      </c>
      <c r="F209" s="53" t="s">
        <v>9125</v>
      </c>
    </row>
    <row r="210" spans="1:6" x14ac:dyDescent="0.2">
      <c r="A210" s="53" t="s">
        <v>9338</v>
      </c>
      <c r="B210" s="53" t="s">
        <v>2565</v>
      </c>
      <c r="C210" s="53" t="s">
        <v>9132</v>
      </c>
      <c r="D210" s="53" t="s">
        <v>470</v>
      </c>
      <c r="E210" s="53">
        <v>2</v>
      </c>
      <c r="F210" s="53" t="s">
        <v>9128</v>
      </c>
    </row>
    <row r="211" spans="1:6" x14ac:dyDescent="0.2">
      <c r="A211" s="53" t="s">
        <v>9339</v>
      </c>
      <c r="B211" s="53" t="s">
        <v>2568</v>
      </c>
      <c r="C211" s="53" t="s">
        <v>9132</v>
      </c>
      <c r="D211" s="53" t="s">
        <v>246</v>
      </c>
      <c r="E211" s="53">
        <v>2</v>
      </c>
      <c r="F211" s="53" t="s">
        <v>9128</v>
      </c>
    </row>
    <row r="212" spans="1:6" x14ac:dyDescent="0.2">
      <c r="A212" s="53" t="s">
        <v>9340</v>
      </c>
      <c r="B212" s="53" t="s">
        <v>2571</v>
      </c>
      <c r="C212" s="53" t="s">
        <v>9139</v>
      </c>
      <c r="D212" s="53" t="s">
        <v>1741</v>
      </c>
      <c r="E212" s="53">
        <v>2</v>
      </c>
      <c r="F212" s="53" t="s">
        <v>9128</v>
      </c>
    </row>
    <row r="213" spans="1:6" x14ac:dyDescent="0.2">
      <c r="A213" s="53" t="s">
        <v>9341</v>
      </c>
      <c r="B213" s="53" t="s">
        <v>2591</v>
      </c>
      <c r="C213" s="53" t="s">
        <v>9124</v>
      </c>
      <c r="D213" s="53" t="s">
        <v>1299</v>
      </c>
      <c r="E213" s="53">
        <v>2</v>
      </c>
      <c r="F213" s="53" t="s">
        <v>9125</v>
      </c>
    </row>
    <row r="214" spans="1:6" x14ac:dyDescent="0.2">
      <c r="A214" s="53" t="s">
        <v>9342</v>
      </c>
      <c r="B214" s="53" t="s">
        <v>2592</v>
      </c>
      <c r="C214" s="53" t="s">
        <v>9124</v>
      </c>
      <c r="D214" s="53" t="s">
        <v>877</v>
      </c>
      <c r="E214" s="53">
        <v>3</v>
      </c>
      <c r="F214" s="53" t="s">
        <v>9125</v>
      </c>
    </row>
    <row r="215" spans="1:6" x14ac:dyDescent="0.2">
      <c r="A215" s="53" t="s">
        <v>9343</v>
      </c>
      <c r="B215" s="53" t="s">
        <v>2601</v>
      </c>
      <c r="C215" s="53" t="s">
        <v>9166</v>
      </c>
      <c r="D215" s="53" t="s">
        <v>724</v>
      </c>
      <c r="E215" s="53">
        <v>2</v>
      </c>
      <c r="F215" s="53" t="s">
        <v>9128</v>
      </c>
    </row>
    <row r="216" spans="1:6" x14ac:dyDescent="0.2">
      <c r="A216" s="53" t="s">
        <v>9344</v>
      </c>
      <c r="B216" s="53" t="s">
        <v>2608</v>
      </c>
      <c r="C216" s="53" t="s">
        <v>9127</v>
      </c>
      <c r="D216" s="53" t="s">
        <v>384</v>
      </c>
      <c r="E216" s="53">
        <v>2</v>
      </c>
      <c r="F216" s="53" t="s">
        <v>9128</v>
      </c>
    </row>
    <row r="217" spans="1:6" x14ac:dyDescent="0.2">
      <c r="A217" s="53" t="s">
        <v>9345</v>
      </c>
      <c r="B217" s="53" t="s">
        <v>2610</v>
      </c>
      <c r="C217" s="53" t="s">
        <v>9124</v>
      </c>
      <c r="D217" s="53" t="s">
        <v>856</v>
      </c>
      <c r="E217" s="53">
        <v>4</v>
      </c>
      <c r="F217" s="53" t="s">
        <v>9125</v>
      </c>
    </row>
    <row r="218" spans="1:6" x14ac:dyDescent="0.2">
      <c r="A218" s="53" t="s">
        <v>9346</v>
      </c>
      <c r="B218" s="53" t="s">
        <v>2616</v>
      </c>
      <c r="C218" s="53" t="s">
        <v>9124</v>
      </c>
      <c r="D218" s="53" t="s">
        <v>553</v>
      </c>
      <c r="E218" s="53">
        <v>12</v>
      </c>
      <c r="F218" s="53" t="s">
        <v>9125</v>
      </c>
    </row>
    <row r="219" spans="1:6" x14ac:dyDescent="0.2">
      <c r="A219" s="53" t="s">
        <v>9347</v>
      </c>
      <c r="B219" s="53" t="s">
        <v>2626</v>
      </c>
      <c r="C219" s="53" t="s">
        <v>9127</v>
      </c>
      <c r="D219" s="53" t="s">
        <v>630</v>
      </c>
      <c r="E219" s="53">
        <v>2</v>
      </c>
      <c r="F219" s="53" t="s">
        <v>9128</v>
      </c>
    </row>
    <row r="220" spans="1:6" x14ac:dyDescent="0.2">
      <c r="A220" s="53" t="s">
        <v>9348</v>
      </c>
      <c r="B220" s="53" t="s">
        <v>2637</v>
      </c>
      <c r="C220" s="53" t="s">
        <v>9132</v>
      </c>
      <c r="D220" s="53" t="s">
        <v>450</v>
      </c>
      <c r="E220" s="53">
        <v>2</v>
      </c>
      <c r="F220" s="53" t="s">
        <v>9128</v>
      </c>
    </row>
    <row r="221" spans="1:6" x14ac:dyDescent="0.2">
      <c r="A221" s="53" t="s">
        <v>9349</v>
      </c>
      <c r="B221" s="53" t="s">
        <v>2638</v>
      </c>
      <c r="C221" s="53" t="s">
        <v>9124</v>
      </c>
      <c r="D221" s="53" t="s">
        <v>1033</v>
      </c>
      <c r="E221" s="53">
        <v>2</v>
      </c>
      <c r="F221" s="53" t="s">
        <v>9125</v>
      </c>
    </row>
    <row r="222" spans="1:6" x14ac:dyDescent="0.2">
      <c r="A222" s="53" t="s">
        <v>9350</v>
      </c>
      <c r="B222" s="53" t="s">
        <v>2645</v>
      </c>
      <c r="C222" s="53" t="s">
        <v>9124</v>
      </c>
      <c r="D222" s="53" t="s">
        <v>447</v>
      </c>
      <c r="E222" s="53">
        <v>7</v>
      </c>
      <c r="F222" s="53" t="s">
        <v>9125</v>
      </c>
    </row>
    <row r="223" spans="1:6" x14ac:dyDescent="0.2">
      <c r="A223" s="53" t="s">
        <v>9351</v>
      </c>
      <c r="B223" s="53" t="s">
        <v>2646</v>
      </c>
      <c r="C223" s="53" t="s">
        <v>9132</v>
      </c>
      <c r="D223" s="53" t="s">
        <v>1221</v>
      </c>
      <c r="E223" s="53">
        <v>2</v>
      </c>
      <c r="F223" s="53" t="s">
        <v>9128</v>
      </c>
    </row>
    <row r="224" spans="1:6" x14ac:dyDescent="0.2">
      <c r="A224" s="53" t="s">
        <v>9352</v>
      </c>
      <c r="B224" s="53" t="s">
        <v>2647</v>
      </c>
      <c r="C224" s="53" t="s">
        <v>9166</v>
      </c>
      <c r="D224" s="53" t="s">
        <v>800</v>
      </c>
      <c r="E224" s="53">
        <v>2</v>
      </c>
      <c r="F224" s="53" t="s">
        <v>9128</v>
      </c>
    </row>
    <row r="225" spans="1:6" x14ac:dyDescent="0.2">
      <c r="A225" s="53" t="s">
        <v>9353</v>
      </c>
      <c r="B225" s="53" t="s">
        <v>2663</v>
      </c>
      <c r="C225" s="53" t="s">
        <v>9139</v>
      </c>
      <c r="D225" s="53" t="s">
        <v>843</v>
      </c>
      <c r="E225" s="53">
        <v>2</v>
      </c>
      <c r="F225" s="53" t="s">
        <v>9128</v>
      </c>
    </row>
    <row r="226" spans="1:6" x14ac:dyDescent="0.2">
      <c r="A226" s="53" t="s">
        <v>9354</v>
      </c>
      <c r="B226" s="53" t="s">
        <v>2664</v>
      </c>
      <c r="C226" s="53" t="s">
        <v>9132</v>
      </c>
      <c r="D226" s="53" t="s">
        <v>1272</v>
      </c>
      <c r="E226" s="53">
        <v>2</v>
      </c>
      <c r="F226" s="53" t="s">
        <v>9128</v>
      </c>
    </row>
    <row r="227" spans="1:6" x14ac:dyDescent="0.2">
      <c r="A227" s="53" t="s">
        <v>9355</v>
      </c>
      <c r="B227" s="53" t="s">
        <v>2670</v>
      </c>
      <c r="C227" s="53" t="s">
        <v>9124</v>
      </c>
      <c r="D227" s="53" t="s">
        <v>1234</v>
      </c>
      <c r="E227" s="53">
        <v>2</v>
      </c>
      <c r="F227" s="53" t="s">
        <v>9125</v>
      </c>
    </row>
    <row r="228" spans="1:6" x14ac:dyDescent="0.2">
      <c r="A228" s="53" t="s">
        <v>9356</v>
      </c>
      <c r="B228" s="53" t="s">
        <v>2674</v>
      </c>
      <c r="C228" s="53" t="s">
        <v>9124</v>
      </c>
      <c r="D228" s="53" t="s">
        <v>559</v>
      </c>
      <c r="E228" s="53">
        <v>3</v>
      </c>
      <c r="F228" s="53" t="s">
        <v>9125</v>
      </c>
    </row>
    <row r="229" spans="1:6" x14ac:dyDescent="0.2">
      <c r="A229" s="53" t="s">
        <v>9357</v>
      </c>
      <c r="B229" s="53" t="s">
        <v>2687</v>
      </c>
      <c r="C229" s="53" t="s">
        <v>9132</v>
      </c>
      <c r="D229" s="53" t="s">
        <v>879</v>
      </c>
      <c r="E229" s="53">
        <v>2</v>
      </c>
      <c r="F229" s="53" t="s">
        <v>9128</v>
      </c>
    </row>
    <row r="230" spans="1:6" x14ac:dyDescent="0.2">
      <c r="A230" s="53" t="s">
        <v>9358</v>
      </c>
      <c r="B230" s="53" t="s">
        <v>2701</v>
      </c>
      <c r="C230" s="53" t="s">
        <v>9139</v>
      </c>
      <c r="D230" s="53" t="s">
        <v>320</v>
      </c>
      <c r="E230" s="53">
        <v>2</v>
      </c>
      <c r="F230" s="53" t="s">
        <v>9128</v>
      </c>
    </row>
    <row r="231" spans="1:6" x14ac:dyDescent="0.2">
      <c r="A231" s="53" t="s">
        <v>9359</v>
      </c>
      <c r="B231" s="53" t="s">
        <v>2721</v>
      </c>
      <c r="C231" s="53" t="s">
        <v>9139</v>
      </c>
      <c r="D231" s="53" t="s">
        <v>621</v>
      </c>
      <c r="E231" s="53">
        <v>2</v>
      </c>
      <c r="F231" s="53" t="s">
        <v>9128</v>
      </c>
    </row>
    <row r="232" spans="1:6" x14ac:dyDescent="0.2">
      <c r="A232" s="53" t="s">
        <v>9360</v>
      </c>
      <c r="B232" s="53" t="s">
        <v>2724</v>
      </c>
      <c r="C232" s="53" t="s">
        <v>9124</v>
      </c>
      <c r="D232" s="53" t="s">
        <v>468</v>
      </c>
      <c r="E232" s="53">
        <v>14</v>
      </c>
      <c r="F232" s="53" t="s">
        <v>9125</v>
      </c>
    </row>
    <row r="233" spans="1:6" x14ac:dyDescent="0.2">
      <c r="A233" s="53" t="s">
        <v>9361</v>
      </c>
      <c r="B233" s="53" t="s">
        <v>2730</v>
      </c>
      <c r="C233" s="53" t="s">
        <v>9124</v>
      </c>
      <c r="D233" s="53" t="s">
        <v>891</v>
      </c>
      <c r="E233" s="53">
        <v>13</v>
      </c>
      <c r="F233" s="53" t="s">
        <v>9125</v>
      </c>
    </row>
    <row r="234" spans="1:6" x14ac:dyDescent="0.2">
      <c r="A234" s="53" t="s">
        <v>9362</v>
      </c>
      <c r="B234" s="53" t="s">
        <v>2742</v>
      </c>
      <c r="C234" s="53" t="s">
        <v>9139</v>
      </c>
      <c r="D234" s="53" t="s">
        <v>942</v>
      </c>
      <c r="E234" s="53">
        <v>2</v>
      </c>
      <c r="F234" s="53" t="s">
        <v>9128</v>
      </c>
    </row>
    <row r="235" spans="1:6" x14ac:dyDescent="0.2">
      <c r="A235" s="53" t="s">
        <v>9363</v>
      </c>
      <c r="B235" s="53" t="s">
        <v>2745</v>
      </c>
      <c r="C235" s="53" t="s">
        <v>9166</v>
      </c>
      <c r="D235" s="53" t="s">
        <v>1044</v>
      </c>
      <c r="E235" s="53">
        <v>2</v>
      </c>
      <c r="F235" s="53" t="s">
        <v>9128</v>
      </c>
    </row>
    <row r="236" spans="1:6" x14ac:dyDescent="0.2">
      <c r="A236" s="53" t="s">
        <v>9364</v>
      </c>
      <c r="B236" s="53" t="s">
        <v>2751</v>
      </c>
      <c r="C236" s="53" t="s">
        <v>9132</v>
      </c>
      <c r="D236" s="53" t="s">
        <v>652</v>
      </c>
      <c r="E236" s="53">
        <v>2</v>
      </c>
      <c r="F236" s="53" t="s">
        <v>9128</v>
      </c>
    </row>
    <row r="237" spans="1:6" x14ac:dyDescent="0.2">
      <c r="A237" s="53" t="s">
        <v>9365</v>
      </c>
      <c r="B237" s="53" t="s">
        <v>2769</v>
      </c>
      <c r="C237" s="53" t="s">
        <v>9124</v>
      </c>
      <c r="D237" s="53" t="s">
        <v>1237</v>
      </c>
      <c r="E237" s="53">
        <v>10</v>
      </c>
      <c r="F237" s="53" t="s">
        <v>9125</v>
      </c>
    </row>
    <row r="238" spans="1:6" x14ac:dyDescent="0.2">
      <c r="A238" s="53" t="s">
        <v>9366</v>
      </c>
      <c r="B238" s="53" t="s">
        <v>2772</v>
      </c>
      <c r="C238" s="53" t="s">
        <v>9124</v>
      </c>
      <c r="D238" s="53" t="s">
        <v>1234</v>
      </c>
      <c r="E238" s="53">
        <v>13</v>
      </c>
      <c r="F238" s="53" t="s">
        <v>9125</v>
      </c>
    </row>
    <row r="239" spans="1:6" x14ac:dyDescent="0.2">
      <c r="A239" s="53" t="s">
        <v>9367</v>
      </c>
      <c r="B239" s="53" t="s">
        <v>2778</v>
      </c>
      <c r="C239" s="53" t="s">
        <v>9124</v>
      </c>
      <c r="D239" s="53" t="s">
        <v>948</v>
      </c>
      <c r="E239" s="53">
        <v>12</v>
      </c>
      <c r="F239" s="53" t="s">
        <v>9125</v>
      </c>
    </row>
    <row r="240" spans="1:6" x14ac:dyDescent="0.2">
      <c r="A240" s="53" t="s">
        <v>9368</v>
      </c>
      <c r="B240" s="53" t="s">
        <v>2790</v>
      </c>
      <c r="C240" s="53" t="s">
        <v>9124</v>
      </c>
      <c r="D240" s="53" t="s">
        <v>546</v>
      </c>
      <c r="E240" s="53">
        <v>14</v>
      </c>
      <c r="F240" s="53" t="s">
        <v>9125</v>
      </c>
    </row>
    <row r="241" spans="1:6" x14ac:dyDescent="0.2">
      <c r="A241" s="53" t="s">
        <v>9369</v>
      </c>
      <c r="B241" s="53" t="s">
        <v>2792</v>
      </c>
      <c r="C241" s="53" t="s">
        <v>9166</v>
      </c>
      <c r="D241" s="53" t="s">
        <v>1081</v>
      </c>
      <c r="E241" s="53">
        <v>2</v>
      </c>
      <c r="F241" s="53" t="s">
        <v>9128</v>
      </c>
    </row>
    <row r="242" spans="1:6" x14ac:dyDescent="0.2">
      <c r="A242" s="53" t="s">
        <v>9370</v>
      </c>
      <c r="B242" s="53" t="s">
        <v>2798</v>
      </c>
      <c r="C242" s="53" t="s">
        <v>9124</v>
      </c>
      <c r="D242" s="53" t="s">
        <v>1678</v>
      </c>
      <c r="E242" s="53">
        <v>6</v>
      </c>
      <c r="F242" s="53" t="s">
        <v>9125</v>
      </c>
    </row>
    <row r="243" spans="1:6" x14ac:dyDescent="0.2">
      <c r="A243" s="53" t="s">
        <v>9371</v>
      </c>
      <c r="B243" s="53" t="s">
        <v>2801</v>
      </c>
      <c r="C243" s="53" t="s">
        <v>9124</v>
      </c>
      <c r="D243" s="53" t="s">
        <v>187</v>
      </c>
      <c r="E243" s="53">
        <v>8</v>
      </c>
      <c r="F243" s="53" t="s">
        <v>9125</v>
      </c>
    </row>
    <row r="244" spans="1:6" x14ac:dyDescent="0.2">
      <c r="A244" s="53" t="s">
        <v>9372</v>
      </c>
      <c r="B244" s="53" t="s">
        <v>2812</v>
      </c>
      <c r="C244" s="53" t="s">
        <v>9124</v>
      </c>
      <c r="D244" s="53" t="s">
        <v>419</v>
      </c>
      <c r="E244" s="53">
        <v>3</v>
      </c>
      <c r="F244" s="53" t="s">
        <v>9125</v>
      </c>
    </row>
    <row r="245" spans="1:6" x14ac:dyDescent="0.2">
      <c r="A245" s="53" t="s">
        <v>9373</v>
      </c>
      <c r="B245" s="53" t="s">
        <v>2819</v>
      </c>
      <c r="C245" s="53" t="s">
        <v>9124</v>
      </c>
      <c r="D245" s="53" t="s">
        <v>386</v>
      </c>
      <c r="E245" s="53">
        <v>7</v>
      </c>
      <c r="F245" s="53" t="s">
        <v>9125</v>
      </c>
    </row>
    <row r="246" spans="1:6" x14ac:dyDescent="0.2">
      <c r="A246" s="53" t="s">
        <v>9374</v>
      </c>
      <c r="B246" s="53" t="s">
        <v>2827</v>
      </c>
      <c r="C246" s="53" t="s">
        <v>9132</v>
      </c>
      <c r="D246" s="53" t="s">
        <v>291</v>
      </c>
      <c r="E246" s="53">
        <v>2</v>
      </c>
      <c r="F246" s="53" t="s">
        <v>9128</v>
      </c>
    </row>
    <row r="247" spans="1:6" x14ac:dyDescent="0.2">
      <c r="A247" s="53" t="s">
        <v>9375</v>
      </c>
      <c r="B247" s="53" t="s">
        <v>2833</v>
      </c>
      <c r="C247" s="53" t="s">
        <v>9127</v>
      </c>
      <c r="D247" s="53" t="s">
        <v>1439</v>
      </c>
      <c r="E247" s="53">
        <v>2</v>
      </c>
      <c r="F247" s="53" t="s">
        <v>9128</v>
      </c>
    </row>
    <row r="248" spans="1:6" x14ac:dyDescent="0.2">
      <c r="A248" s="53" t="s">
        <v>9376</v>
      </c>
      <c r="B248" s="53" t="s">
        <v>2847</v>
      </c>
      <c r="C248" s="53" t="s">
        <v>9124</v>
      </c>
      <c r="D248" s="53" t="s">
        <v>586</v>
      </c>
      <c r="E248" s="53">
        <v>13</v>
      </c>
      <c r="F248" s="53" t="s">
        <v>9125</v>
      </c>
    </row>
    <row r="249" spans="1:6" x14ac:dyDescent="0.2">
      <c r="A249" s="53" t="s">
        <v>9377</v>
      </c>
      <c r="B249" s="53" t="s">
        <v>2873</v>
      </c>
      <c r="C249" s="53" t="s">
        <v>9124</v>
      </c>
      <c r="D249" s="53" t="s">
        <v>2092</v>
      </c>
      <c r="E249" s="53">
        <v>12</v>
      </c>
      <c r="F249" s="53" t="s">
        <v>9125</v>
      </c>
    </row>
    <row r="250" spans="1:6" x14ac:dyDescent="0.2">
      <c r="A250" s="53" t="s">
        <v>9378</v>
      </c>
      <c r="B250" s="53" t="s">
        <v>2875</v>
      </c>
      <c r="C250" s="53" t="s">
        <v>9132</v>
      </c>
      <c r="D250" s="53" t="s">
        <v>466</v>
      </c>
      <c r="E250" s="53">
        <v>2</v>
      </c>
      <c r="F250" s="53" t="s">
        <v>9128</v>
      </c>
    </row>
    <row r="251" spans="1:6" x14ac:dyDescent="0.2">
      <c r="A251" s="53" t="s">
        <v>9379</v>
      </c>
      <c r="B251" s="53" t="s">
        <v>2881</v>
      </c>
      <c r="C251" s="53" t="s">
        <v>9139</v>
      </c>
      <c r="D251" s="53" t="s">
        <v>341</v>
      </c>
      <c r="E251" s="53">
        <v>2</v>
      </c>
      <c r="F251" s="53" t="s">
        <v>9128</v>
      </c>
    </row>
    <row r="252" spans="1:6" x14ac:dyDescent="0.2">
      <c r="A252" s="53" t="s">
        <v>9380</v>
      </c>
      <c r="B252" s="53" t="s">
        <v>2893</v>
      </c>
      <c r="C252" s="53" t="s">
        <v>9124</v>
      </c>
      <c r="D252" s="53" t="s">
        <v>942</v>
      </c>
      <c r="E252" s="53">
        <v>12</v>
      </c>
      <c r="F252" s="53" t="s">
        <v>9125</v>
      </c>
    </row>
    <row r="253" spans="1:6" x14ac:dyDescent="0.2">
      <c r="A253" s="53" t="s">
        <v>9381</v>
      </c>
      <c r="B253" s="53" t="s">
        <v>2898</v>
      </c>
      <c r="C253" s="53" t="s">
        <v>9124</v>
      </c>
      <c r="D253" s="53" t="s">
        <v>449</v>
      </c>
      <c r="E253" s="53">
        <v>2</v>
      </c>
      <c r="F253" s="53" t="s">
        <v>9125</v>
      </c>
    </row>
    <row r="254" spans="1:6" x14ac:dyDescent="0.2">
      <c r="A254" s="53" t="s">
        <v>9382</v>
      </c>
      <c r="B254" s="53" t="s">
        <v>2900</v>
      </c>
      <c r="C254" s="53" t="s">
        <v>9132</v>
      </c>
      <c r="D254" s="53" t="s">
        <v>1685</v>
      </c>
      <c r="E254" s="53">
        <v>2</v>
      </c>
      <c r="F254" s="53" t="s">
        <v>9128</v>
      </c>
    </row>
    <row r="255" spans="1:6" x14ac:dyDescent="0.2">
      <c r="A255" s="53" t="s">
        <v>9383</v>
      </c>
      <c r="B255" s="53" t="s">
        <v>2904</v>
      </c>
      <c r="C255" s="53" t="s">
        <v>9166</v>
      </c>
      <c r="D255" s="53" t="s">
        <v>179</v>
      </c>
      <c r="E255" s="53">
        <v>2</v>
      </c>
      <c r="F255" s="53" t="s">
        <v>9128</v>
      </c>
    </row>
    <row r="256" spans="1:6" x14ac:dyDescent="0.2">
      <c r="A256" s="53" t="s">
        <v>9384</v>
      </c>
      <c r="B256" s="53" t="s">
        <v>2906</v>
      </c>
      <c r="C256" s="53" t="s">
        <v>9124</v>
      </c>
      <c r="D256" s="53" t="s">
        <v>1321</v>
      </c>
      <c r="E256" s="53">
        <v>11</v>
      </c>
      <c r="F256" s="53" t="s">
        <v>9125</v>
      </c>
    </row>
    <row r="257" spans="1:6" x14ac:dyDescent="0.2">
      <c r="A257" s="53" t="s">
        <v>9385</v>
      </c>
      <c r="B257" s="53" t="s">
        <v>2910</v>
      </c>
      <c r="C257" s="53" t="s">
        <v>9124</v>
      </c>
      <c r="D257" s="53" t="s">
        <v>213</v>
      </c>
      <c r="E257" s="53">
        <v>6</v>
      </c>
      <c r="F257" s="53" t="s">
        <v>9125</v>
      </c>
    </row>
    <row r="258" spans="1:6" x14ac:dyDescent="0.2">
      <c r="A258" s="53" t="s">
        <v>9386</v>
      </c>
      <c r="B258" s="53" t="s">
        <v>2923</v>
      </c>
      <c r="C258" s="53" t="s">
        <v>9132</v>
      </c>
      <c r="D258" s="53" t="s">
        <v>793</v>
      </c>
      <c r="E258" s="53">
        <v>2</v>
      </c>
      <c r="F258" s="53" t="s">
        <v>9128</v>
      </c>
    </row>
    <row r="259" spans="1:6" x14ac:dyDescent="0.2">
      <c r="A259" s="53" t="s">
        <v>9387</v>
      </c>
      <c r="B259" s="53" t="s">
        <v>2925</v>
      </c>
      <c r="C259" s="53" t="s">
        <v>9124</v>
      </c>
      <c r="D259" s="53" t="s">
        <v>894</v>
      </c>
      <c r="E259" s="53">
        <v>10</v>
      </c>
      <c r="F259" s="53" t="s">
        <v>9125</v>
      </c>
    </row>
    <row r="260" spans="1:6" x14ac:dyDescent="0.2">
      <c r="A260" s="53" t="s">
        <v>9388</v>
      </c>
      <c r="B260" s="53" t="s">
        <v>2929</v>
      </c>
      <c r="C260" s="53" t="s">
        <v>9127</v>
      </c>
      <c r="D260" s="53" t="s">
        <v>433</v>
      </c>
      <c r="E260" s="53">
        <v>2</v>
      </c>
      <c r="F260" s="53" t="s">
        <v>9128</v>
      </c>
    </row>
    <row r="261" spans="1:6" x14ac:dyDescent="0.2">
      <c r="A261" s="53" t="s">
        <v>9389</v>
      </c>
      <c r="B261" s="53" t="s">
        <v>2951</v>
      </c>
      <c r="C261" s="53" t="s">
        <v>9132</v>
      </c>
      <c r="D261" s="53" t="s">
        <v>568</v>
      </c>
      <c r="E261" s="53">
        <v>2</v>
      </c>
      <c r="F261" s="53" t="s">
        <v>9128</v>
      </c>
    </row>
    <row r="262" spans="1:6" x14ac:dyDescent="0.2">
      <c r="A262" s="53" t="s">
        <v>9390</v>
      </c>
      <c r="B262" s="53" t="s">
        <v>2959</v>
      </c>
      <c r="C262" s="53" t="s">
        <v>9124</v>
      </c>
      <c r="D262" s="53" t="s">
        <v>186</v>
      </c>
      <c r="E262" s="53">
        <v>5</v>
      </c>
      <c r="F262" s="53" t="s">
        <v>9125</v>
      </c>
    </row>
    <row r="263" spans="1:6" x14ac:dyDescent="0.2">
      <c r="A263" s="53" t="s">
        <v>9391</v>
      </c>
      <c r="B263" s="53" t="s">
        <v>2962</v>
      </c>
      <c r="C263" s="53" t="s">
        <v>9166</v>
      </c>
      <c r="D263" s="53" t="s">
        <v>556</v>
      </c>
      <c r="E263" s="53">
        <v>2</v>
      </c>
      <c r="F263" s="53" t="s">
        <v>9128</v>
      </c>
    </row>
    <row r="264" spans="1:6" x14ac:dyDescent="0.2">
      <c r="A264" s="53" t="s">
        <v>9392</v>
      </c>
      <c r="B264" s="53" t="s">
        <v>2968</v>
      </c>
      <c r="C264" s="53" t="s">
        <v>9132</v>
      </c>
      <c r="D264" s="53" t="s">
        <v>441</v>
      </c>
      <c r="E264" s="53">
        <v>2</v>
      </c>
      <c r="F264" s="53" t="s">
        <v>9128</v>
      </c>
    </row>
    <row r="265" spans="1:6" x14ac:dyDescent="0.2">
      <c r="A265" s="53" t="s">
        <v>9393</v>
      </c>
      <c r="B265" s="53" t="s">
        <v>2973</v>
      </c>
      <c r="C265" s="53" t="s">
        <v>9139</v>
      </c>
      <c r="D265" s="53" t="s">
        <v>1484</v>
      </c>
      <c r="E265" s="53">
        <v>2</v>
      </c>
      <c r="F265" s="53" t="s">
        <v>9128</v>
      </c>
    </row>
    <row r="266" spans="1:6" x14ac:dyDescent="0.2">
      <c r="A266" s="53" t="s">
        <v>9394</v>
      </c>
      <c r="B266" s="53" t="s">
        <v>3010</v>
      </c>
      <c r="C266" s="53" t="s">
        <v>9132</v>
      </c>
      <c r="D266" s="53" t="s">
        <v>386</v>
      </c>
      <c r="E266" s="53">
        <v>2</v>
      </c>
      <c r="F266" s="53" t="s">
        <v>9128</v>
      </c>
    </row>
    <row r="267" spans="1:6" x14ac:dyDescent="0.2">
      <c r="A267" s="53" t="s">
        <v>9395</v>
      </c>
      <c r="B267" s="53" t="s">
        <v>3014</v>
      </c>
      <c r="C267" s="53" t="s">
        <v>9124</v>
      </c>
      <c r="D267" s="53" t="s">
        <v>1439</v>
      </c>
      <c r="E267" s="53">
        <v>9</v>
      </c>
      <c r="F267" s="53" t="s">
        <v>9125</v>
      </c>
    </row>
    <row r="268" spans="1:6" x14ac:dyDescent="0.2">
      <c r="A268" s="53" t="s">
        <v>9396</v>
      </c>
      <c r="B268" s="53" t="s">
        <v>3017</v>
      </c>
      <c r="C268" s="53" t="s">
        <v>9166</v>
      </c>
      <c r="D268" s="53" t="s">
        <v>480</v>
      </c>
      <c r="E268" s="53">
        <v>2</v>
      </c>
      <c r="F268" s="53" t="s">
        <v>9128</v>
      </c>
    </row>
    <row r="269" spans="1:6" x14ac:dyDescent="0.2">
      <c r="A269" s="53" t="s">
        <v>9397</v>
      </c>
      <c r="B269" s="53" t="s">
        <v>3025</v>
      </c>
      <c r="C269" s="53" t="s">
        <v>9166</v>
      </c>
      <c r="D269" s="53" t="s">
        <v>1156</v>
      </c>
      <c r="E269" s="53">
        <v>2</v>
      </c>
      <c r="F269" s="53" t="s">
        <v>9128</v>
      </c>
    </row>
    <row r="270" spans="1:6" x14ac:dyDescent="0.2">
      <c r="A270" s="53" t="s">
        <v>9398</v>
      </c>
      <c r="B270" s="53" t="s">
        <v>3026</v>
      </c>
      <c r="C270" s="53" t="s">
        <v>9139</v>
      </c>
      <c r="D270" s="53" t="s">
        <v>1038</v>
      </c>
      <c r="E270" s="53">
        <v>2</v>
      </c>
      <c r="F270" s="53" t="s">
        <v>9128</v>
      </c>
    </row>
    <row r="271" spans="1:6" x14ac:dyDescent="0.2">
      <c r="A271" s="53" t="s">
        <v>9399</v>
      </c>
      <c r="B271" s="53" t="s">
        <v>3035</v>
      </c>
      <c r="C271" s="53" t="s">
        <v>9124</v>
      </c>
      <c r="D271" s="53" t="s">
        <v>729</v>
      </c>
      <c r="E271" s="53">
        <v>8</v>
      </c>
      <c r="F271" s="53" t="s">
        <v>9125</v>
      </c>
    </row>
    <row r="272" spans="1:6" x14ac:dyDescent="0.2">
      <c r="A272" s="53" t="s">
        <v>9400</v>
      </c>
      <c r="B272" s="53" t="s">
        <v>3038</v>
      </c>
      <c r="C272" s="53" t="s">
        <v>9127</v>
      </c>
      <c r="D272" s="53" t="s">
        <v>224</v>
      </c>
      <c r="E272" s="53">
        <v>2</v>
      </c>
      <c r="F272" s="53" t="s">
        <v>9128</v>
      </c>
    </row>
    <row r="273" spans="1:6" x14ac:dyDescent="0.2">
      <c r="A273" s="53" t="s">
        <v>9401</v>
      </c>
      <c r="B273" s="53" t="s">
        <v>3051</v>
      </c>
      <c r="C273" s="53" t="s">
        <v>9127</v>
      </c>
      <c r="D273" s="53" t="s">
        <v>743</v>
      </c>
      <c r="E273" s="53">
        <v>2</v>
      </c>
      <c r="F273" s="53" t="s">
        <v>9128</v>
      </c>
    </row>
    <row r="274" spans="1:6" x14ac:dyDescent="0.2">
      <c r="A274" s="53" t="s">
        <v>9402</v>
      </c>
      <c r="B274" s="53" t="s">
        <v>3070</v>
      </c>
      <c r="C274" s="53" t="s">
        <v>9166</v>
      </c>
      <c r="D274" s="53" t="s">
        <v>567</v>
      </c>
      <c r="E274" s="53">
        <v>2</v>
      </c>
      <c r="F274" s="53" t="s">
        <v>9128</v>
      </c>
    </row>
    <row r="275" spans="1:6" x14ac:dyDescent="0.2">
      <c r="A275" s="53" t="s">
        <v>9403</v>
      </c>
      <c r="B275" s="53" t="s">
        <v>3073</v>
      </c>
      <c r="C275" s="53" t="s">
        <v>9139</v>
      </c>
      <c r="D275" s="53" t="s">
        <v>1393</v>
      </c>
      <c r="E275" s="53">
        <v>2</v>
      </c>
      <c r="F275" s="53" t="s">
        <v>9128</v>
      </c>
    </row>
    <row r="276" spans="1:6" x14ac:dyDescent="0.2">
      <c r="A276" s="53" t="s">
        <v>9404</v>
      </c>
      <c r="B276" s="53" t="s">
        <v>3076</v>
      </c>
      <c r="C276" s="53" t="s">
        <v>9124</v>
      </c>
      <c r="D276" s="53" t="s">
        <v>1281</v>
      </c>
      <c r="E276" s="53">
        <v>8</v>
      </c>
      <c r="F276" s="53" t="s">
        <v>9125</v>
      </c>
    </row>
    <row r="277" spans="1:6" x14ac:dyDescent="0.2">
      <c r="A277" s="53" t="s">
        <v>9405</v>
      </c>
      <c r="B277" s="53" t="s">
        <v>3090</v>
      </c>
      <c r="C277" s="53" t="s">
        <v>9124</v>
      </c>
      <c r="D277" s="53" t="s">
        <v>373</v>
      </c>
      <c r="E277" s="53">
        <v>8</v>
      </c>
      <c r="F277" s="53" t="s">
        <v>9125</v>
      </c>
    </row>
    <row r="278" spans="1:6" x14ac:dyDescent="0.2">
      <c r="A278" s="53" t="s">
        <v>9406</v>
      </c>
      <c r="B278" s="53" t="s">
        <v>3095</v>
      </c>
      <c r="C278" s="53" t="s">
        <v>9127</v>
      </c>
      <c r="D278" s="53" t="s">
        <v>486</v>
      </c>
      <c r="E278" s="53">
        <v>2</v>
      </c>
      <c r="F278" s="53" t="s">
        <v>9128</v>
      </c>
    </row>
    <row r="279" spans="1:6" x14ac:dyDescent="0.2">
      <c r="A279" s="53" t="s">
        <v>9407</v>
      </c>
      <c r="B279" s="53" t="s">
        <v>3117</v>
      </c>
      <c r="C279" s="53" t="s">
        <v>9124</v>
      </c>
      <c r="D279" s="53" t="s">
        <v>755</v>
      </c>
      <c r="E279" s="53">
        <v>6</v>
      </c>
      <c r="F279" s="53" t="s">
        <v>9125</v>
      </c>
    </row>
    <row r="280" spans="1:6" x14ac:dyDescent="0.2">
      <c r="A280" s="53" t="s">
        <v>9408</v>
      </c>
      <c r="B280" s="53" t="s">
        <v>3124</v>
      </c>
      <c r="C280" s="53" t="s">
        <v>9139</v>
      </c>
      <c r="D280" s="53" t="s">
        <v>979</v>
      </c>
      <c r="E280" s="53">
        <v>2</v>
      </c>
      <c r="F280" s="53" t="s">
        <v>9128</v>
      </c>
    </row>
    <row r="281" spans="1:6" x14ac:dyDescent="0.2">
      <c r="A281" s="53" t="s">
        <v>9409</v>
      </c>
      <c r="B281" s="53" t="s">
        <v>3134</v>
      </c>
      <c r="C281" s="53" t="s">
        <v>9127</v>
      </c>
      <c r="D281" s="53" t="s">
        <v>434</v>
      </c>
      <c r="E281" s="53">
        <v>2</v>
      </c>
      <c r="F281" s="53" t="s">
        <v>9128</v>
      </c>
    </row>
    <row r="282" spans="1:6" x14ac:dyDescent="0.2">
      <c r="A282" s="53" t="s">
        <v>9410</v>
      </c>
      <c r="B282" s="53" t="s">
        <v>3136</v>
      </c>
      <c r="C282" s="53" t="s">
        <v>9139</v>
      </c>
      <c r="D282" s="53" t="s">
        <v>378</v>
      </c>
      <c r="E282" s="53">
        <v>2</v>
      </c>
      <c r="F282" s="53" t="s">
        <v>9128</v>
      </c>
    </row>
    <row r="283" spans="1:6" x14ac:dyDescent="0.2">
      <c r="A283" s="53" t="s">
        <v>9411</v>
      </c>
      <c r="B283" s="53" t="s">
        <v>3143</v>
      </c>
      <c r="C283" s="53" t="s">
        <v>9124</v>
      </c>
      <c r="D283" s="53" t="s">
        <v>1192</v>
      </c>
      <c r="E283" s="53">
        <v>7</v>
      </c>
      <c r="F283" s="53" t="s">
        <v>9125</v>
      </c>
    </row>
    <row r="284" spans="1:6" x14ac:dyDescent="0.2">
      <c r="A284" s="53" t="s">
        <v>9412</v>
      </c>
      <c r="B284" s="53" t="s">
        <v>3145</v>
      </c>
      <c r="C284" s="53" t="s">
        <v>9124</v>
      </c>
      <c r="D284" s="53" t="s">
        <v>431</v>
      </c>
      <c r="E284" s="53">
        <v>13</v>
      </c>
      <c r="F284" s="53" t="s">
        <v>9125</v>
      </c>
    </row>
    <row r="285" spans="1:6" x14ac:dyDescent="0.2">
      <c r="A285" s="53" t="s">
        <v>9413</v>
      </c>
      <c r="B285" s="53" t="s">
        <v>3146</v>
      </c>
      <c r="C285" s="53" t="s">
        <v>9139</v>
      </c>
      <c r="D285" s="53" t="s">
        <v>291</v>
      </c>
      <c r="E285" s="53">
        <v>2</v>
      </c>
      <c r="F285" s="53" t="s">
        <v>9128</v>
      </c>
    </row>
    <row r="286" spans="1:6" x14ac:dyDescent="0.2">
      <c r="A286" s="53" t="s">
        <v>9414</v>
      </c>
      <c r="B286" s="53" t="s">
        <v>3181</v>
      </c>
      <c r="C286" s="53" t="s">
        <v>9127</v>
      </c>
      <c r="D286" s="53" t="s">
        <v>697</v>
      </c>
      <c r="E286" s="53">
        <v>2</v>
      </c>
      <c r="F286" s="53" t="s">
        <v>9128</v>
      </c>
    </row>
    <row r="287" spans="1:6" x14ac:dyDescent="0.2">
      <c r="A287" s="53" t="s">
        <v>9415</v>
      </c>
      <c r="B287" s="53" t="s">
        <v>3193</v>
      </c>
      <c r="C287" s="53" t="s">
        <v>9127</v>
      </c>
      <c r="D287" s="53" t="s">
        <v>313</v>
      </c>
      <c r="E287" s="53">
        <v>2</v>
      </c>
      <c r="F287" s="53" t="s">
        <v>9128</v>
      </c>
    </row>
    <row r="288" spans="1:6" x14ac:dyDescent="0.2">
      <c r="A288" s="53" t="s">
        <v>9416</v>
      </c>
      <c r="B288" s="53" t="s">
        <v>3196</v>
      </c>
      <c r="C288" s="53" t="s">
        <v>9166</v>
      </c>
      <c r="D288" s="53" t="s">
        <v>858</v>
      </c>
      <c r="E288" s="53">
        <v>2</v>
      </c>
      <c r="F288" s="53" t="s">
        <v>9128</v>
      </c>
    </row>
    <row r="289" spans="1:6" x14ac:dyDescent="0.2">
      <c r="A289" s="53" t="s">
        <v>9417</v>
      </c>
      <c r="B289" s="53" t="s">
        <v>3197</v>
      </c>
      <c r="C289" s="53" t="s">
        <v>9127</v>
      </c>
      <c r="D289" s="53" t="s">
        <v>697</v>
      </c>
      <c r="E289" s="53">
        <v>2</v>
      </c>
      <c r="F289" s="53" t="s">
        <v>9128</v>
      </c>
    </row>
    <row r="290" spans="1:6" x14ac:dyDescent="0.2">
      <c r="A290" s="53" t="s">
        <v>9418</v>
      </c>
      <c r="B290" s="53" t="s">
        <v>3204</v>
      </c>
      <c r="C290" s="53" t="s">
        <v>9124</v>
      </c>
      <c r="D290" s="53" t="s">
        <v>311</v>
      </c>
      <c r="E290" s="53">
        <v>2</v>
      </c>
      <c r="F290" s="53" t="s">
        <v>9125</v>
      </c>
    </row>
    <row r="291" spans="1:6" x14ac:dyDescent="0.2">
      <c r="A291" s="53" t="s">
        <v>9419</v>
      </c>
      <c r="B291" s="53" t="s">
        <v>3211</v>
      </c>
      <c r="C291" s="53" t="s">
        <v>9124</v>
      </c>
      <c r="D291" s="53" t="s">
        <v>793</v>
      </c>
      <c r="E291" s="53">
        <v>12</v>
      </c>
      <c r="F291" s="53" t="s">
        <v>9125</v>
      </c>
    </row>
    <row r="292" spans="1:6" x14ac:dyDescent="0.2">
      <c r="A292" s="53" t="s">
        <v>9420</v>
      </c>
      <c r="B292" s="53" t="s">
        <v>3215</v>
      </c>
      <c r="C292" s="53" t="s">
        <v>9124</v>
      </c>
      <c r="D292" s="53" t="s">
        <v>1244</v>
      </c>
      <c r="E292" s="53">
        <v>3</v>
      </c>
      <c r="F292" s="53" t="s">
        <v>9125</v>
      </c>
    </row>
    <row r="293" spans="1:6" x14ac:dyDescent="0.2">
      <c r="A293" s="53" t="s">
        <v>9421</v>
      </c>
      <c r="B293" s="53" t="s">
        <v>3226</v>
      </c>
      <c r="C293" s="53" t="s">
        <v>9124</v>
      </c>
      <c r="D293" s="53" t="s">
        <v>524</v>
      </c>
      <c r="E293" s="53">
        <v>5</v>
      </c>
      <c r="F293" s="53" t="s">
        <v>9125</v>
      </c>
    </row>
    <row r="294" spans="1:6" x14ac:dyDescent="0.2">
      <c r="A294" s="53" t="s">
        <v>9422</v>
      </c>
      <c r="B294" s="53" t="s">
        <v>3230</v>
      </c>
      <c r="C294" s="53" t="s">
        <v>9124</v>
      </c>
      <c r="D294" s="53" t="s">
        <v>765</v>
      </c>
      <c r="E294" s="53">
        <v>9</v>
      </c>
      <c r="F294" s="53" t="s">
        <v>9125</v>
      </c>
    </row>
    <row r="295" spans="1:6" x14ac:dyDescent="0.2">
      <c r="A295" s="53" t="s">
        <v>9423</v>
      </c>
      <c r="B295" s="53" t="s">
        <v>3254</v>
      </c>
      <c r="C295" s="53" t="s">
        <v>9124</v>
      </c>
      <c r="D295" s="53" t="s">
        <v>935</v>
      </c>
      <c r="E295" s="53">
        <v>6</v>
      </c>
      <c r="F295" s="53" t="s">
        <v>9125</v>
      </c>
    </row>
    <row r="296" spans="1:6" x14ac:dyDescent="0.2">
      <c r="A296" s="53" t="s">
        <v>9424</v>
      </c>
      <c r="B296" s="53" t="s">
        <v>3263</v>
      </c>
      <c r="C296" s="53" t="s">
        <v>9132</v>
      </c>
      <c r="D296" s="53" t="s">
        <v>329</v>
      </c>
      <c r="E296" s="53">
        <v>2</v>
      </c>
      <c r="F296" s="53" t="s">
        <v>9128</v>
      </c>
    </row>
    <row r="297" spans="1:6" x14ac:dyDescent="0.2">
      <c r="A297" s="53" t="s">
        <v>9425</v>
      </c>
      <c r="B297" s="53" t="s">
        <v>3264</v>
      </c>
      <c r="C297" s="53" t="s">
        <v>9139</v>
      </c>
      <c r="D297" s="53" t="s">
        <v>1321</v>
      </c>
      <c r="E297" s="53">
        <v>2</v>
      </c>
      <c r="F297" s="53" t="s">
        <v>9128</v>
      </c>
    </row>
    <row r="298" spans="1:6" x14ac:dyDescent="0.2">
      <c r="A298" s="53" t="s">
        <v>9426</v>
      </c>
      <c r="B298" s="53" t="s">
        <v>3265</v>
      </c>
      <c r="C298" s="53" t="s">
        <v>9124</v>
      </c>
      <c r="D298" s="53" t="s">
        <v>885</v>
      </c>
      <c r="E298" s="53">
        <v>9</v>
      </c>
      <c r="F298" s="53" t="s">
        <v>9125</v>
      </c>
    </row>
    <row r="299" spans="1:6" x14ac:dyDescent="0.2">
      <c r="A299" s="53" t="s">
        <v>9427</v>
      </c>
      <c r="B299" s="53" t="s">
        <v>3274</v>
      </c>
      <c r="C299" s="53" t="s">
        <v>9124</v>
      </c>
      <c r="D299" s="53" t="s">
        <v>1301</v>
      </c>
      <c r="E299" s="53">
        <v>14</v>
      </c>
      <c r="F299" s="53" t="s">
        <v>9125</v>
      </c>
    </row>
    <row r="300" spans="1:6" x14ac:dyDescent="0.2">
      <c r="A300" s="53" t="s">
        <v>9428</v>
      </c>
      <c r="B300" s="53" t="s">
        <v>3293</v>
      </c>
      <c r="C300" s="53" t="s">
        <v>9124</v>
      </c>
      <c r="D300" s="53" t="s">
        <v>601</v>
      </c>
      <c r="E300" s="53">
        <v>2</v>
      </c>
      <c r="F300" s="53" t="s">
        <v>9125</v>
      </c>
    </row>
    <row r="301" spans="1:6" x14ac:dyDescent="0.2">
      <c r="A301" s="53" t="s">
        <v>9429</v>
      </c>
      <c r="B301" s="53" t="s">
        <v>3297</v>
      </c>
      <c r="C301" s="53" t="s">
        <v>9124</v>
      </c>
      <c r="D301" s="53" t="s">
        <v>639</v>
      </c>
      <c r="E301" s="53">
        <v>9</v>
      </c>
      <c r="F301" s="53" t="s">
        <v>9125</v>
      </c>
    </row>
    <row r="302" spans="1:6" x14ac:dyDescent="0.2">
      <c r="A302" s="53" t="s">
        <v>9430</v>
      </c>
      <c r="B302" s="53" t="s">
        <v>3308</v>
      </c>
      <c r="C302" s="53" t="s">
        <v>9124</v>
      </c>
      <c r="D302" s="53" t="s">
        <v>517</v>
      </c>
      <c r="E302" s="53">
        <v>6</v>
      </c>
      <c r="F302" s="53" t="s">
        <v>9125</v>
      </c>
    </row>
  </sheetData>
  <pageMargins left="0.7" right="0.7" top="0.75" bottom="0.75" header="0.511811023622047" footer="0.511811023622047"/>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3"/>
  <sheetViews>
    <sheetView showGridLines="0" zoomScaleNormal="100" workbookViewId="0">
      <pane ySplit="1" topLeftCell="A2" activePane="bottomLeft" state="frozen"/>
      <selection pane="bottomLeft"/>
    </sheetView>
  </sheetViews>
  <sheetFormatPr defaultColWidth="8.7109375" defaultRowHeight="12.75" x14ac:dyDescent="0.2"/>
  <cols>
    <col min="1" max="1" width="31" customWidth="1"/>
    <col min="2" max="5" width="18" customWidth="1"/>
  </cols>
  <sheetData>
    <row r="1" spans="1:5" x14ac:dyDescent="0.2">
      <c r="A1" s="7" t="s">
        <v>91</v>
      </c>
      <c r="B1" s="7" t="s">
        <v>92</v>
      </c>
      <c r="C1" s="7" t="s">
        <v>93</v>
      </c>
      <c r="D1" s="7" t="s">
        <v>9431</v>
      </c>
      <c r="E1" s="7" t="s">
        <v>9432</v>
      </c>
    </row>
    <row r="2" spans="1:5" x14ac:dyDescent="0.2">
      <c r="A2" s="3" t="s">
        <v>200</v>
      </c>
      <c r="B2" s="3" t="s">
        <v>128</v>
      </c>
      <c r="C2" s="3" t="s">
        <v>129</v>
      </c>
      <c r="D2" s="3">
        <v>3.2</v>
      </c>
      <c r="E2" s="3">
        <v>1</v>
      </c>
    </row>
    <row r="3" spans="1:5" x14ac:dyDescent="0.2">
      <c r="A3" s="3" t="s">
        <v>160</v>
      </c>
      <c r="B3" s="3" t="s">
        <v>128</v>
      </c>
      <c r="C3" s="3" t="s">
        <v>138</v>
      </c>
      <c r="D3" s="3">
        <v>4.8</v>
      </c>
      <c r="E3" s="3">
        <v>1.5</v>
      </c>
    </row>
    <row r="4" spans="1:5" x14ac:dyDescent="0.2">
      <c r="A4" s="3" t="s">
        <v>136</v>
      </c>
      <c r="B4" s="3" t="s">
        <v>137</v>
      </c>
      <c r="C4" s="3" t="s">
        <v>138</v>
      </c>
      <c r="D4" s="3">
        <v>15</v>
      </c>
      <c r="E4" s="3">
        <v>3.3</v>
      </c>
    </row>
    <row r="5" spans="1:5" x14ac:dyDescent="0.2">
      <c r="A5" s="3" t="s">
        <v>181</v>
      </c>
      <c r="B5" s="3" t="s">
        <v>182</v>
      </c>
      <c r="C5" s="3" t="s">
        <v>138</v>
      </c>
      <c r="D5" s="3">
        <v>8</v>
      </c>
      <c r="E5" s="3">
        <v>2</v>
      </c>
    </row>
    <row r="6" spans="1:5" x14ac:dyDescent="0.2">
      <c r="A6" s="3" t="s">
        <v>144</v>
      </c>
      <c r="B6" s="3" t="s">
        <v>145</v>
      </c>
      <c r="C6" s="3" t="s">
        <v>146</v>
      </c>
      <c r="D6" s="3">
        <v>11</v>
      </c>
      <c r="E6" s="3">
        <v>3.2</v>
      </c>
    </row>
    <row r="7" spans="1:5" x14ac:dyDescent="0.2">
      <c r="A7" s="3" t="s">
        <v>272</v>
      </c>
      <c r="B7" s="3" t="s">
        <v>145</v>
      </c>
      <c r="C7" s="3" t="s">
        <v>273</v>
      </c>
      <c r="D7" s="3">
        <v>12</v>
      </c>
      <c r="E7" s="3">
        <v>3.5</v>
      </c>
    </row>
    <row r="8" spans="1:5" x14ac:dyDescent="0.2">
      <c r="A8" s="3" t="s">
        <v>127</v>
      </c>
      <c r="B8" s="3" t="s">
        <v>128</v>
      </c>
      <c r="C8" s="3" t="s">
        <v>129</v>
      </c>
      <c r="D8" s="3">
        <v>7.5</v>
      </c>
      <c r="E8" s="3">
        <v>2.1</v>
      </c>
    </row>
    <row r="9" spans="1:5" x14ac:dyDescent="0.2">
      <c r="A9" s="3" t="s">
        <v>209</v>
      </c>
      <c r="B9" s="3" t="s">
        <v>145</v>
      </c>
      <c r="C9" s="3" t="s">
        <v>210</v>
      </c>
      <c r="D9" s="3">
        <v>22</v>
      </c>
      <c r="E9" s="3">
        <v>5.2</v>
      </c>
    </row>
    <row r="10" spans="1:5" x14ac:dyDescent="0.2">
      <c r="A10" s="3" t="s">
        <v>237</v>
      </c>
      <c r="B10" s="3" t="s">
        <v>182</v>
      </c>
      <c r="C10" s="3" t="s">
        <v>138</v>
      </c>
      <c r="D10" s="3">
        <v>5.5</v>
      </c>
      <c r="E10" s="3">
        <v>1.4</v>
      </c>
    </row>
    <row r="11" spans="1:5" x14ac:dyDescent="0.2">
      <c r="A11" s="3" t="s">
        <v>242</v>
      </c>
      <c r="B11" s="3" t="s">
        <v>243</v>
      </c>
      <c r="C11" s="3" t="s">
        <v>129</v>
      </c>
      <c r="D11" s="3">
        <v>9</v>
      </c>
      <c r="E11" s="3">
        <v>2</v>
      </c>
    </row>
    <row r="12" spans="1:5" x14ac:dyDescent="0.2">
      <c r="A12" s="3" t="s">
        <v>223</v>
      </c>
      <c r="B12" s="3" t="s">
        <v>182</v>
      </c>
      <c r="C12" s="3" t="s">
        <v>154</v>
      </c>
      <c r="D12" s="3">
        <v>13</v>
      </c>
      <c r="E12" s="3">
        <v>2.7</v>
      </c>
    </row>
    <row r="13" spans="1:5" x14ac:dyDescent="0.2">
      <c r="A13" s="3" t="s">
        <v>153</v>
      </c>
      <c r="B13" s="3" t="s">
        <v>128</v>
      </c>
      <c r="C13" s="3" t="s">
        <v>154</v>
      </c>
      <c r="D13" s="3">
        <v>10</v>
      </c>
      <c r="E13" s="3">
        <v>2.8</v>
      </c>
    </row>
  </sheetData>
  <pageMargins left="0.7" right="0.7" top="0.75" bottom="0.75" header="0.511811023622047" footer="0.511811023622047"/>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G117"/>
  <sheetViews>
    <sheetView showGridLines="0" zoomScaleNormal="100" workbookViewId="0">
      <pane ySplit="10" topLeftCell="A11" activePane="bottomLeft" state="frozen"/>
      <selection pane="bottomLeft" activeCell="G11" sqref="G11"/>
    </sheetView>
  </sheetViews>
  <sheetFormatPr defaultColWidth="8.7109375" defaultRowHeight="12.75" x14ac:dyDescent="0.2"/>
  <cols>
    <col min="1" max="1" width="106.28515625" bestFit="1" customWidth="1"/>
    <col min="2" max="2" width="22.5703125" customWidth="1"/>
    <col min="3" max="3" width="28" customWidth="1"/>
    <col min="4" max="4" width="27" customWidth="1"/>
    <col min="5" max="6" width="25" customWidth="1"/>
    <col min="7" max="7" width="34" customWidth="1"/>
  </cols>
  <sheetData>
    <row r="2" spans="1:7" ht="19.5" x14ac:dyDescent="0.3">
      <c r="A2" s="1" t="s">
        <v>9433</v>
      </c>
    </row>
    <row r="4" spans="1:7" x14ac:dyDescent="0.2">
      <c r="A4" s="2" t="s">
        <v>9434</v>
      </c>
      <c r="B4" s="3" t="s">
        <v>9435</v>
      </c>
    </row>
    <row r="5" spans="1:7" x14ac:dyDescent="0.2">
      <c r="A5" s="2" t="s">
        <v>9436</v>
      </c>
      <c r="B5" s="3" t="s">
        <v>1974</v>
      </c>
    </row>
    <row r="6" spans="1:7" x14ac:dyDescent="0.2">
      <c r="A6" s="2" t="s">
        <v>9437</v>
      </c>
      <c r="B6" s="3" t="s">
        <v>765</v>
      </c>
    </row>
    <row r="7" spans="1:7" x14ac:dyDescent="0.2">
      <c r="A7" s="2" t="s">
        <v>9438</v>
      </c>
      <c r="B7" s="3">
        <f>SUM(B11:B115)</f>
        <v>2400</v>
      </c>
    </row>
    <row r="8" spans="1:7" x14ac:dyDescent="0.2">
      <c r="A8" s="2" t="s">
        <v>9439</v>
      </c>
      <c r="B8" s="36">
        <f>SUM(D11:D115)</f>
        <v>29351.1</v>
      </c>
    </row>
    <row r="10" spans="1:7" x14ac:dyDescent="0.2">
      <c r="A10" s="7" t="s">
        <v>9440</v>
      </c>
      <c r="B10" s="7" t="s">
        <v>9438</v>
      </c>
      <c r="C10" s="7" t="s">
        <v>9441</v>
      </c>
      <c r="D10" s="7" t="s">
        <v>9442</v>
      </c>
      <c r="E10" s="7" t="s">
        <v>9443</v>
      </c>
      <c r="F10" s="7" t="s">
        <v>9444</v>
      </c>
      <c r="G10" s="7" t="s">
        <v>9445</v>
      </c>
    </row>
    <row r="11" spans="1:7" ht="15" x14ac:dyDescent="0.25">
      <c r="A11" s="3" t="s">
        <v>1974</v>
      </c>
      <c r="B11" s="3">
        <f>COUNTIFS(tblWorkPackages[Request week (Monday)],A11)</f>
        <v>16</v>
      </c>
      <c r="C11" s="9">
        <f>SUMIFS(tblWorkPackages[Estimated labor hours],tblWorkPackages[Request week (Monday)],A11)</f>
        <v>167.5</v>
      </c>
      <c r="D11" s="9">
        <f>SUMIFS(tblWorkPackages[Actual labor hours],tblWorkPackages[Request week (Monday)],A11)</f>
        <v>179.7</v>
      </c>
      <c r="E11" s="9">
        <f>SUMIFS(tblLaborEntries[Hours booked],tblLaborEntries[Work week (Monday)],A11)</f>
        <v>99.2</v>
      </c>
      <c r="F11" s="3">
        <f>COUNTIFS(tblWorkPackages[Request week (Monday)],A11,tblWorkPackages[Priority],"Urgent")</f>
        <v>0</v>
      </c>
      <c r="G11" s="10">
        <f>SUMIFS(tblWorkPackages[Planning forecast hours],tblWorkPackages[Request week (Monday)],A11)</f>
        <v>167.5</v>
      </c>
    </row>
    <row r="12" spans="1:7" ht="15" x14ac:dyDescent="0.25">
      <c r="A12" s="3" t="s">
        <v>1236</v>
      </c>
      <c r="B12" s="3">
        <f>COUNTIFS(tblWorkPackages[Request week (Monday)],A12)</f>
        <v>21</v>
      </c>
      <c r="C12" s="9">
        <f>SUMIFS(tblWorkPackages[Estimated labor hours],tblWorkPackages[Request week (Monday)],A12)</f>
        <v>249.9</v>
      </c>
      <c r="D12" s="9">
        <f>SUMIFS(tblWorkPackages[Actual labor hours],tblWorkPackages[Request week (Monday)],A12)</f>
        <v>260</v>
      </c>
      <c r="E12" s="9">
        <f>SUMIFS(tblLaborEntries[Hours booked],tblLaborEntries[Work week (Monday)],A12)</f>
        <v>120.5</v>
      </c>
      <c r="F12" s="3">
        <f>COUNTIFS(tblWorkPackages[Request week (Monday)],A12,tblWorkPackages[Priority],"Urgent")</f>
        <v>2</v>
      </c>
      <c r="G12" s="10">
        <f>SUMIFS(tblWorkPackages[Planning forecast hours],tblWorkPackages[Request week (Monday)],A12)</f>
        <v>249.9</v>
      </c>
    </row>
    <row r="13" spans="1:7" ht="15" x14ac:dyDescent="0.25">
      <c r="A13" s="3" t="s">
        <v>546</v>
      </c>
      <c r="B13" s="3">
        <f>COUNTIFS(tblWorkPackages[Request week (Monday)],A13)</f>
        <v>20</v>
      </c>
      <c r="C13" s="9">
        <f>SUMIFS(tblWorkPackages[Estimated labor hours],tblWorkPackages[Request week (Monday)],A13)</f>
        <v>222.7</v>
      </c>
      <c r="D13" s="9">
        <f>SUMIFS(tblWorkPackages[Actual labor hours],tblWorkPackages[Request week (Monday)],A13)</f>
        <v>224.7</v>
      </c>
      <c r="E13" s="9">
        <f>SUMIFS(tblLaborEntries[Hours booked],tblLaborEntries[Work week (Monday)],A13)</f>
        <v>121.4</v>
      </c>
      <c r="F13" s="3">
        <f>COUNTIFS(tblWorkPackages[Request week (Monday)],A13,tblWorkPackages[Priority],"Urgent")</f>
        <v>3</v>
      </c>
      <c r="G13" s="10">
        <f>SUMIFS(tblWorkPackages[Planning forecast hours],tblWorkPackages[Request week (Monday)],A13)</f>
        <v>222.7</v>
      </c>
    </row>
    <row r="14" spans="1:7" ht="15" x14ac:dyDescent="0.25">
      <c r="A14" s="3" t="s">
        <v>2092</v>
      </c>
      <c r="B14" s="3">
        <f>COUNTIFS(tblWorkPackages[Request week (Monday)],A14)</f>
        <v>21</v>
      </c>
      <c r="C14" s="9">
        <f>SUMIFS(tblWorkPackages[Estimated labor hours],tblWorkPackages[Request week (Monday)],A14)</f>
        <v>227.3</v>
      </c>
      <c r="D14" s="9">
        <f>SUMIFS(tblWorkPackages[Actual labor hours],tblWorkPackages[Request week (Monday)],A14)</f>
        <v>245.1</v>
      </c>
      <c r="E14" s="9">
        <f>SUMIFS(tblLaborEntries[Hours booked],tblLaborEntries[Work week (Monday)],A14)</f>
        <v>257.3</v>
      </c>
      <c r="F14" s="3">
        <f>COUNTIFS(tblWorkPackages[Request week (Monday)],A14,tblWorkPackages[Priority],"Urgent")</f>
        <v>2</v>
      </c>
      <c r="G14" s="10">
        <f>SUMIFS(tblWorkPackages[Planning forecast hours],tblWorkPackages[Request week (Monday)],A14)</f>
        <v>227.3</v>
      </c>
    </row>
    <row r="15" spans="1:7" ht="15" x14ac:dyDescent="0.25">
      <c r="A15" s="3" t="s">
        <v>1315</v>
      </c>
      <c r="B15" s="3">
        <f>COUNTIFS(tblWorkPackages[Request week (Monday)],A15)</f>
        <v>22</v>
      </c>
      <c r="C15" s="9">
        <f>SUMIFS(tblWorkPackages[Estimated labor hours],tblWorkPackages[Request week (Monday)],A15)</f>
        <v>233.8</v>
      </c>
      <c r="D15" s="9">
        <f>SUMIFS(tblWorkPackages[Actual labor hours],tblWorkPackages[Request week (Monday)],A15)</f>
        <v>234.2</v>
      </c>
      <c r="E15" s="9">
        <f>SUMIFS(tblLaborEntries[Hours booked],tblLaborEntries[Work week (Monday)],A15)</f>
        <v>86.7</v>
      </c>
      <c r="F15" s="3">
        <f>COUNTIFS(tblWorkPackages[Request week (Monday)],A15,tblWorkPackages[Priority],"Urgent")</f>
        <v>3</v>
      </c>
      <c r="G15" s="10">
        <f>SUMIFS(tblWorkPackages[Planning forecast hours],tblWorkPackages[Request week (Monday)],A15)</f>
        <v>233.8</v>
      </c>
    </row>
    <row r="16" spans="1:7" ht="15" x14ac:dyDescent="0.25">
      <c r="A16" s="3" t="s">
        <v>1180</v>
      </c>
      <c r="B16" s="3">
        <f>COUNTIFS(tblWorkPackages[Request week (Monday)],A16)</f>
        <v>21</v>
      </c>
      <c r="C16" s="9">
        <f>SUMIFS(tblWorkPackages[Estimated labor hours],tblWorkPackages[Request week (Monday)],A16)</f>
        <v>237.4</v>
      </c>
      <c r="D16" s="9">
        <f>SUMIFS(tblWorkPackages[Actual labor hours],tblWorkPackages[Request week (Monday)],A16)</f>
        <v>256.6</v>
      </c>
      <c r="E16" s="9">
        <f>SUMIFS(tblLaborEntries[Hours booked],tblLaborEntries[Work week (Monday)],A16)</f>
        <v>322.4</v>
      </c>
      <c r="F16" s="3">
        <f>COUNTIFS(tblWorkPackages[Request week (Monday)],A16,tblWorkPackages[Priority],"Urgent")</f>
        <v>3</v>
      </c>
      <c r="G16" s="10">
        <f>SUMIFS(tblWorkPackages[Planning forecast hours],tblWorkPackages[Request week (Monday)],A16)</f>
        <v>237.4</v>
      </c>
    </row>
    <row r="17" spans="1:7" ht="15" x14ac:dyDescent="0.25">
      <c r="A17" s="3" t="s">
        <v>1457</v>
      </c>
      <c r="B17" s="3">
        <f>COUNTIFS(tblWorkPackages[Request week (Monday)],A17)</f>
        <v>26</v>
      </c>
      <c r="C17" s="9">
        <f>SUMIFS(tblWorkPackages[Estimated labor hours],tblWorkPackages[Request week (Monday)],A17)</f>
        <v>342.8</v>
      </c>
      <c r="D17" s="9">
        <f>SUMIFS(tblWorkPackages[Actual labor hours],tblWorkPackages[Request week (Monday)],A17)</f>
        <v>349.7</v>
      </c>
      <c r="E17" s="9">
        <f>SUMIFS(tblLaborEntries[Hours booked],tblLaborEntries[Work week (Monday)],A17)</f>
        <v>228</v>
      </c>
      <c r="F17" s="3">
        <f>COUNTIFS(tblWorkPackages[Request week (Monday)],A17,tblWorkPackages[Priority],"Urgent")</f>
        <v>3</v>
      </c>
      <c r="G17" s="10">
        <f>SUMIFS(tblWorkPackages[Planning forecast hours],tblWorkPackages[Request week (Monday)],A17)</f>
        <v>342.8</v>
      </c>
    </row>
    <row r="18" spans="1:7" ht="15" x14ac:dyDescent="0.25">
      <c r="A18" s="3" t="s">
        <v>489</v>
      </c>
      <c r="B18" s="3">
        <f>COUNTIFS(tblWorkPackages[Request week (Monday)],A18)</f>
        <v>13</v>
      </c>
      <c r="C18" s="9">
        <f>SUMIFS(tblWorkPackages[Estimated labor hours],tblWorkPackages[Request week (Monday)],A18)</f>
        <v>135.4</v>
      </c>
      <c r="D18" s="9">
        <f>SUMIFS(tblWorkPackages[Actual labor hours],tblWorkPackages[Request week (Monday)],A18)</f>
        <v>152.3</v>
      </c>
      <c r="E18" s="9">
        <f>SUMIFS(tblLaborEntries[Hours booked],tblLaborEntries[Work week (Monday)],A18)</f>
        <v>183.6</v>
      </c>
      <c r="F18" s="3">
        <f>COUNTIFS(tblWorkPackages[Request week (Monday)],A18,tblWorkPackages[Priority],"Urgent")</f>
        <v>2</v>
      </c>
      <c r="G18" s="10">
        <f>SUMIFS(tblWorkPackages[Planning forecast hours],tblWorkPackages[Request week (Monday)],A18)</f>
        <v>135.4</v>
      </c>
    </row>
    <row r="19" spans="1:7" ht="15" x14ac:dyDescent="0.25">
      <c r="A19" s="3" t="s">
        <v>148</v>
      </c>
      <c r="B19" s="3">
        <f>COUNTIFS(tblWorkPackages[Request week (Monday)],A19)</f>
        <v>26</v>
      </c>
      <c r="C19" s="9">
        <f>SUMIFS(tblWorkPackages[Estimated labor hours],tblWorkPackages[Request week (Monday)],A19)</f>
        <v>410.7</v>
      </c>
      <c r="D19" s="9">
        <f>SUMIFS(tblWorkPackages[Actual labor hours],tblWorkPackages[Request week (Monday)],A19)</f>
        <v>433.1</v>
      </c>
      <c r="E19" s="9">
        <f>SUMIFS(tblLaborEntries[Hours booked],tblLaborEntries[Work week (Monday)],A19)</f>
        <v>398.9</v>
      </c>
      <c r="F19" s="3">
        <f>COUNTIFS(tblWorkPackages[Request week (Monday)],A19,tblWorkPackages[Priority],"Urgent")</f>
        <v>1</v>
      </c>
      <c r="G19" s="10">
        <f>SUMIFS(tblWorkPackages[Planning forecast hours],tblWorkPackages[Request week (Monday)],A19)</f>
        <v>410.7</v>
      </c>
    </row>
    <row r="20" spans="1:7" ht="15" x14ac:dyDescent="0.25">
      <c r="A20" s="3" t="s">
        <v>1260</v>
      </c>
      <c r="B20" s="3">
        <f>COUNTIFS(tblWorkPackages[Request week (Monday)],A20)</f>
        <v>30</v>
      </c>
      <c r="C20" s="9">
        <f>SUMIFS(tblWorkPackages[Estimated labor hours],tblWorkPackages[Request week (Monday)],A20)</f>
        <v>399.2</v>
      </c>
      <c r="D20" s="9">
        <f>SUMIFS(tblWorkPackages[Actual labor hours],tblWorkPackages[Request week (Monday)],A20)</f>
        <v>411.4</v>
      </c>
      <c r="E20" s="9">
        <f>SUMIFS(tblLaborEntries[Hours booked],tblLaborEntries[Work week (Monday)],A20)</f>
        <v>348.9</v>
      </c>
      <c r="F20" s="3">
        <f>COUNTIFS(tblWorkPackages[Request week (Monday)],A20,tblWorkPackages[Priority],"Urgent")</f>
        <v>3</v>
      </c>
      <c r="G20" s="10">
        <f>SUMIFS(tblWorkPackages[Planning forecast hours],tblWorkPackages[Request week (Monday)],A20)</f>
        <v>399.2</v>
      </c>
    </row>
    <row r="21" spans="1:7" ht="15" x14ac:dyDescent="0.25">
      <c r="A21" s="3" t="s">
        <v>701</v>
      </c>
      <c r="B21" s="3">
        <f>COUNTIFS(tblWorkPackages[Request week (Monday)],A21)</f>
        <v>21</v>
      </c>
      <c r="C21" s="9">
        <f>SUMIFS(tblWorkPackages[Estimated labor hours],tblWorkPackages[Request week (Monday)],A21)</f>
        <v>275.1</v>
      </c>
      <c r="D21" s="9">
        <f>SUMIFS(tblWorkPackages[Actual labor hours],tblWorkPackages[Request week (Monday)],A21)</f>
        <v>302.2</v>
      </c>
      <c r="E21" s="9">
        <f>SUMIFS(tblLaborEntries[Hours booked],tblLaborEntries[Work week (Monday)],A21)</f>
        <v>362.2</v>
      </c>
      <c r="F21" s="3">
        <f>COUNTIFS(tblWorkPackages[Request week (Monday)],A21,tblWorkPackages[Priority],"Urgent")</f>
        <v>1</v>
      </c>
      <c r="G21" s="10">
        <f>SUMIFS(tblWorkPackages[Planning forecast hours],tblWorkPackages[Request week (Monday)],A21)</f>
        <v>275.1</v>
      </c>
    </row>
    <row r="22" spans="1:7" ht="15" x14ac:dyDescent="0.25">
      <c r="A22" s="3" t="s">
        <v>655</v>
      </c>
      <c r="B22" s="3">
        <f>COUNTIFS(tblWorkPackages[Request week (Monday)],A22)</f>
        <v>20</v>
      </c>
      <c r="C22" s="9">
        <f>SUMIFS(tblWorkPackages[Estimated labor hours],tblWorkPackages[Request week (Monday)],A22)</f>
        <v>200.3</v>
      </c>
      <c r="D22" s="9">
        <f>SUMIFS(tblWorkPackages[Actual labor hours],tblWorkPackages[Request week (Monday)],A22)</f>
        <v>197.1</v>
      </c>
      <c r="E22" s="9">
        <f>SUMIFS(tblLaborEntries[Hours booked],tblLaborEntries[Work week (Monday)],A22)</f>
        <v>185.4</v>
      </c>
      <c r="F22" s="3">
        <f>COUNTIFS(tblWorkPackages[Request week (Monday)],A22,tblWorkPackages[Priority],"Urgent")</f>
        <v>2</v>
      </c>
      <c r="G22" s="10">
        <f>SUMIFS(tblWorkPackages[Planning forecast hours],tblWorkPackages[Request week (Monday)],A22)</f>
        <v>200.3</v>
      </c>
    </row>
    <row r="23" spans="1:7" ht="15" x14ac:dyDescent="0.25">
      <c r="A23" s="3" t="s">
        <v>630</v>
      </c>
      <c r="B23" s="3">
        <f>COUNTIFS(tblWorkPackages[Request week (Monday)],A23)</f>
        <v>28</v>
      </c>
      <c r="C23" s="9">
        <f>SUMIFS(tblWorkPackages[Estimated labor hours],tblWorkPackages[Request week (Monday)],A23)</f>
        <v>375.2</v>
      </c>
      <c r="D23" s="9">
        <f>SUMIFS(tblWorkPackages[Actual labor hours],tblWorkPackages[Request week (Monday)],A23)</f>
        <v>399.8</v>
      </c>
      <c r="E23" s="9">
        <f>SUMIFS(tblLaborEntries[Hours booked],tblLaborEntries[Work week (Monday)],A23)</f>
        <v>433.6</v>
      </c>
      <c r="F23" s="3">
        <f>COUNTIFS(tblWorkPackages[Request week (Monday)],A23,tblWorkPackages[Priority],"Urgent")</f>
        <v>2</v>
      </c>
      <c r="G23" s="10">
        <f>SUMIFS(tblWorkPackages[Planning forecast hours],tblWorkPackages[Request week (Monday)],A23)</f>
        <v>375.2</v>
      </c>
    </row>
    <row r="24" spans="1:7" ht="15" x14ac:dyDescent="0.25">
      <c r="A24" s="3" t="s">
        <v>436</v>
      </c>
      <c r="B24" s="3">
        <f>COUNTIFS(tblWorkPackages[Request week (Monday)],A24)</f>
        <v>27</v>
      </c>
      <c r="C24" s="9">
        <f>SUMIFS(tblWorkPackages[Estimated labor hours],tblWorkPackages[Request week (Monday)],A24)</f>
        <v>316.1</v>
      </c>
      <c r="D24" s="9">
        <f>SUMIFS(tblWorkPackages[Actual labor hours],tblWorkPackages[Request week (Monday)],A24)</f>
        <v>324.8</v>
      </c>
      <c r="E24" s="9">
        <f>SUMIFS(tblLaborEntries[Hours booked],tblLaborEntries[Work week (Monday)],A24)</f>
        <v>286.7</v>
      </c>
      <c r="F24" s="3">
        <f>COUNTIFS(tblWorkPackages[Request week (Monday)],A24,tblWorkPackages[Priority],"Urgent")</f>
        <v>1</v>
      </c>
      <c r="G24" s="10">
        <f>SUMIFS(tblWorkPackages[Planning forecast hours],tblWorkPackages[Request week (Monday)],A24)</f>
        <v>316.1</v>
      </c>
    </row>
    <row r="25" spans="1:7" ht="15" x14ac:dyDescent="0.25">
      <c r="A25" s="3" t="s">
        <v>315</v>
      </c>
      <c r="B25" s="3">
        <f>COUNTIFS(tblWorkPackages[Request week (Monday)],A25)</f>
        <v>20</v>
      </c>
      <c r="C25" s="9">
        <f>SUMIFS(tblWorkPackages[Estimated labor hours],tblWorkPackages[Request week (Monday)],A25)</f>
        <v>251.8</v>
      </c>
      <c r="D25" s="9">
        <f>SUMIFS(tblWorkPackages[Actual labor hours],tblWorkPackages[Request week (Monday)],A25)</f>
        <v>249.8</v>
      </c>
      <c r="E25" s="9">
        <f>SUMIFS(tblLaborEntries[Hours booked],tblLaborEntries[Work week (Monday)],A25)</f>
        <v>301.6</v>
      </c>
      <c r="F25" s="3">
        <f>COUNTIFS(tblWorkPackages[Request week (Monday)],A25,tblWorkPackages[Priority],"Urgent")</f>
        <v>3</v>
      </c>
      <c r="G25" s="10">
        <f>SUMIFS(tblWorkPackages[Planning forecast hours],tblWorkPackages[Request week (Monday)],A25)</f>
        <v>251.8</v>
      </c>
    </row>
    <row r="26" spans="1:7" ht="15" x14ac:dyDescent="0.25">
      <c r="A26" s="3" t="s">
        <v>300</v>
      </c>
      <c r="B26" s="3">
        <f>COUNTIFS(tblWorkPackages[Request week (Monday)],A26)</f>
        <v>35</v>
      </c>
      <c r="C26" s="9">
        <f>SUMIFS(tblWorkPackages[Estimated labor hours],tblWorkPackages[Request week (Monday)],A26)</f>
        <v>452.8</v>
      </c>
      <c r="D26" s="9">
        <f>SUMIFS(tblWorkPackages[Actual labor hours],tblWorkPackages[Request week (Monday)],A26)</f>
        <v>463.9</v>
      </c>
      <c r="E26" s="9">
        <f>SUMIFS(tblLaborEntries[Hours booked],tblLaborEntries[Work week (Monday)],A26)</f>
        <v>323</v>
      </c>
      <c r="F26" s="3">
        <f>COUNTIFS(tblWorkPackages[Request week (Monday)],A26,tblWorkPackages[Priority],"Urgent")</f>
        <v>4</v>
      </c>
      <c r="G26" s="10">
        <f>SUMIFS(tblWorkPackages[Planning forecast hours],tblWorkPackages[Request week (Monday)],A26)</f>
        <v>452.8</v>
      </c>
    </row>
    <row r="27" spans="1:7" ht="15" x14ac:dyDescent="0.25">
      <c r="A27" s="3" t="s">
        <v>694</v>
      </c>
      <c r="B27" s="3">
        <f>COUNTIFS(tblWorkPackages[Request week (Monday)],A27)</f>
        <v>10</v>
      </c>
      <c r="C27" s="9">
        <f>SUMIFS(tblWorkPackages[Estimated labor hours],tblWorkPackages[Request week (Monday)],A27)</f>
        <v>137.8</v>
      </c>
      <c r="D27" s="9">
        <f>SUMIFS(tblWorkPackages[Actual labor hours],tblWorkPackages[Request week (Monday)],A27)</f>
        <v>156.4</v>
      </c>
      <c r="E27" s="9">
        <f>SUMIFS(tblLaborEntries[Hours booked],tblLaborEntries[Work week (Monday)],A27)</f>
        <v>351.7</v>
      </c>
      <c r="F27" s="3">
        <f>COUNTIFS(tblWorkPackages[Request week (Monday)],A27,tblWorkPackages[Priority],"Urgent")</f>
        <v>0</v>
      </c>
      <c r="G27" s="10">
        <f>SUMIFS(tblWorkPackages[Planning forecast hours],tblWorkPackages[Request week (Monday)],A27)</f>
        <v>137.8</v>
      </c>
    </row>
    <row r="28" spans="1:7" ht="15" x14ac:dyDescent="0.25">
      <c r="A28" s="3" t="s">
        <v>337</v>
      </c>
      <c r="B28" s="3">
        <f>COUNTIFS(tblWorkPackages[Request week (Monday)],A28)</f>
        <v>20</v>
      </c>
      <c r="C28" s="9">
        <f>SUMIFS(tblWorkPackages[Estimated labor hours],tblWorkPackages[Request week (Monday)],A28)</f>
        <v>232.7</v>
      </c>
      <c r="D28" s="9">
        <f>SUMIFS(tblWorkPackages[Actual labor hours],tblWorkPackages[Request week (Monday)],A28)</f>
        <v>251.3</v>
      </c>
      <c r="E28" s="9">
        <f>SUMIFS(tblLaborEntries[Hours booked],tblLaborEntries[Work week (Monday)],A28)</f>
        <v>209.8</v>
      </c>
      <c r="F28" s="3">
        <f>COUNTIFS(tblWorkPackages[Request week (Monday)],A28,tblWorkPackages[Priority],"Urgent")</f>
        <v>1</v>
      </c>
      <c r="G28" s="10">
        <f>SUMIFS(tblWorkPackages[Planning forecast hours],tblWorkPackages[Request week (Monday)],A28)</f>
        <v>232.7</v>
      </c>
    </row>
    <row r="29" spans="1:7" ht="15" x14ac:dyDescent="0.25">
      <c r="A29" s="3" t="s">
        <v>970</v>
      </c>
      <c r="B29" s="3">
        <f>COUNTIFS(tblWorkPackages[Request week (Monday)],A29)</f>
        <v>22</v>
      </c>
      <c r="C29" s="9">
        <f>SUMIFS(tblWorkPackages[Estimated labor hours],tblWorkPackages[Request week (Monday)],A29)</f>
        <v>336.1</v>
      </c>
      <c r="D29" s="9">
        <f>SUMIFS(tblWorkPackages[Actual labor hours],tblWorkPackages[Request week (Monday)],A29)</f>
        <v>354.9</v>
      </c>
      <c r="E29" s="9">
        <f>SUMIFS(tblLaborEntries[Hours booked],tblLaborEntries[Work week (Monday)],A29)</f>
        <v>343.4</v>
      </c>
      <c r="F29" s="3">
        <f>COUNTIFS(tblWorkPackages[Request week (Monday)],A29,tblWorkPackages[Priority],"Urgent")</f>
        <v>4</v>
      </c>
      <c r="G29" s="10">
        <f>SUMIFS(tblWorkPackages[Planning forecast hours],tblWorkPackages[Request week (Monday)],A29)</f>
        <v>336.1</v>
      </c>
    </row>
    <row r="30" spans="1:7" ht="15" x14ac:dyDescent="0.25">
      <c r="A30" s="3" t="s">
        <v>822</v>
      </c>
      <c r="B30" s="3">
        <f>COUNTIFS(tblWorkPackages[Request week (Monday)],A30)</f>
        <v>24</v>
      </c>
      <c r="C30" s="9">
        <f>SUMIFS(tblWorkPackages[Estimated labor hours],tblWorkPackages[Request week (Monday)],A30)</f>
        <v>334.1</v>
      </c>
      <c r="D30" s="9">
        <f>SUMIFS(tblWorkPackages[Actual labor hours],tblWorkPackages[Request week (Monday)],A30)</f>
        <v>355.7</v>
      </c>
      <c r="E30" s="9">
        <f>SUMIFS(tblLaborEntries[Hours booked],tblLaborEntries[Work week (Monday)],A30)</f>
        <v>144</v>
      </c>
      <c r="F30" s="3">
        <f>COUNTIFS(tblWorkPackages[Request week (Monday)],A30,tblWorkPackages[Priority],"Urgent")</f>
        <v>2</v>
      </c>
      <c r="G30" s="10">
        <f>SUMIFS(tblWorkPackages[Planning forecast hours],tblWorkPackages[Request week (Monday)],A30)</f>
        <v>334.1</v>
      </c>
    </row>
    <row r="31" spans="1:7" ht="15" x14ac:dyDescent="0.25">
      <c r="A31" s="3" t="s">
        <v>726</v>
      </c>
      <c r="B31" s="3">
        <f>COUNTIFS(tblWorkPackages[Request week (Monday)],A31)</f>
        <v>18</v>
      </c>
      <c r="C31" s="9">
        <f>SUMIFS(tblWorkPackages[Estimated labor hours],tblWorkPackages[Request week (Monday)],A31)</f>
        <v>232.4</v>
      </c>
      <c r="D31" s="9">
        <f>SUMIFS(tblWorkPackages[Actual labor hours],tblWorkPackages[Request week (Monday)],A31)</f>
        <v>257.9</v>
      </c>
      <c r="E31" s="9">
        <f>SUMIFS(tblLaborEntries[Hours booked],tblLaborEntries[Work week (Monday)],A31)</f>
        <v>368.4</v>
      </c>
      <c r="F31" s="3">
        <f>COUNTIFS(tblWorkPackages[Request week (Monday)],A31,tblWorkPackages[Priority],"Urgent")</f>
        <v>2</v>
      </c>
      <c r="G31" s="10">
        <f>SUMIFS(tblWorkPackages[Planning forecast hours],tblWorkPackages[Request week (Monday)],A31)</f>
        <v>232.4</v>
      </c>
    </row>
    <row r="32" spans="1:7" ht="15" x14ac:dyDescent="0.25">
      <c r="A32" s="3" t="s">
        <v>1311</v>
      </c>
      <c r="B32" s="3">
        <f>COUNTIFS(tblWorkPackages[Request week (Monday)],A32)</f>
        <v>11</v>
      </c>
      <c r="C32" s="9">
        <f>SUMIFS(tblWorkPackages[Estimated labor hours],tblWorkPackages[Request week (Monday)],A32)</f>
        <v>133.9</v>
      </c>
      <c r="D32" s="9">
        <f>SUMIFS(tblWorkPackages[Actual labor hours],tblWorkPackages[Request week (Monday)],A32)</f>
        <v>132.6</v>
      </c>
      <c r="E32" s="9">
        <f>SUMIFS(tblLaborEntries[Hours booked],tblLaborEntries[Work week (Monday)],A32)</f>
        <v>254.6</v>
      </c>
      <c r="F32" s="3">
        <f>COUNTIFS(tblWorkPackages[Request week (Monday)],A32,tblWorkPackages[Priority],"Urgent")</f>
        <v>1</v>
      </c>
      <c r="G32" s="10">
        <f>SUMIFS(tblWorkPackages[Planning forecast hours],tblWorkPackages[Request week (Monday)],A32)</f>
        <v>133.9</v>
      </c>
    </row>
    <row r="33" spans="1:7" ht="15" x14ac:dyDescent="0.25">
      <c r="A33" s="3" t="s">
        <v>406</v>
      </c>
      <c r="B33" s="3">
        <f>COUNTIFS(tblWorkPackages[Request week (Monday)],A33)</f>
        <v>12</v>
      </c>
      <c r="C33" s="9">
        <f>SUMIFS(tblWorkPackages[Estimated labor hours],tblWorkPackages[Request week (Monday)],A33)</f>
        <v>125</v>
      </c>
      <c r="D33" s="9">
        <f>SUMIFS(tblWorkPackages[Actual labor hours],tblWorkPackages[Request week (Monday)],A33)</f>
        <v>142.9</v>
      </c>
      <c r="E33" s="9">
        <f>SUMIFS(tblLaborEntries[Hours booked],tblLaborEntries[Work week (Monday)],A33)</f>
        <v>211.6</v>
      </c>
      <c r="F33" s="3">
        <f>COUNTIFS(tblWorkPackages[Request week (Monday)],A33,tblWorkPackages[Priority],"Urgent")</f>
        <v>2</v>
      </c>
      <c r="G33" s="10">
        <f>SUMIFS(tblWorkPackages[Planning forecast hours],tblWorkPackages[Request week (Monday)],A33)</f>
        <v>125</v>
      </c>
    </row>
    <row r="34" spans="1:7" ht="15" x14ac:dyDescent="0.25">
      <c r="A34" s="3" t="s">
        <v>564</v>
      </c>
      <c r="B34" s="3">
        <f>COUNTIFS(tblWorkPackages[Request week (Monday)],A34)</f>
        <v>28</v>
      </c>
      <c r="C34" s="9">
        <f>SUMIFS(tblWorkPackages[Estimated labor hours],tblWorkPackages[Request week (Monday)],A34)</f>
        <v>333.3</v>
      </c>
      <c r="D34" s="9">
        <f>SUMIFS(tblWorkPackages[Actual labor hours],tblWorkPackages[Request week (Monday)],A34)</f>
        <v>342.7</v>
      </c>
      <c r="E34" s="9">
        <f>SUMIFS(tblLaborEntries[Hours booked],tblLaborEntries[Work week (Monday)],A34)</f>
        <v>272</v>
      </c>
      <c r="F34" s="3">
        <f>COUNTIFS(tblWorkPackages[Request week (Monday)],A34,tblWorkPackages[Priority],"Urgent")</f>
        <v>3</v>
      </c>
      <c r="G34" s="10">
        <f>SUMIFS(tblWorkPackages[Planning forecast hours],tblWorkPackages[Request week (Monday)],A34)</f>
        <v>333.3</v>
      </c>
    </row>
    <row r="35" spans="1:7" ht="15" x14ac:dyDescent="0.25">
      <c r="A35" s="3" t="s">
        <v>761</v>
      </c>
      <c r="B35" s="3">
        <f>COUNTIFS(tblWorkPackages[Request week (Monday)],A35)</f>
        <v>17</v>
      </c>
      <c r="C35" s="9">
        <f>SUMIFS(tblWorkPackages[Estimated labor hours],tblWorkPackages[Request week (Monday)],A35)</f>
        <v>240.3</v>
      </c>
      <c r="D35" s="9">
        <f>SUMIFS(tblWorkPackages[Actual labor hours],tblWorkPackages[Request week (Monday)],A35)</f>
        <v>257.7</v>
      </c>
      <c r="E35" s="9">
        <f>SUMIFS(tblLaborEntries[Hours booked],tblLaborEntries[Work week (Monday)],A35)</f>
        <v>310</v>
      </c>
      <c r="F35" s="3">
        <f>COUNTIFS(tblWorkPackages[Request week (Monday)],A35,tblWorkPackages[Priority],"Urgent")</f>
        <v>0</v>
      </c>
      <c r="G35" s="10">
        <f>SUMIFS(tblWorkPackages[Planning forecast hours],tblWorkPackages[Request week (Monday)],A35)</f>
        <v>240.3</v>
      </c>
    </row>
    <row r="36" spans="1:7" ht="15" x14ac:dyDescent="0.25">
      <c r="A36" s="3" t="s">
        <v>704</v>
      </c>
      <c r="B36" s="3">
        <f>COUNTIFS(tblWorkPackages[Request week (Monday)],A36)</f>
        <v>20</v>
      </c>
      <c r="C36" s="9">
        <f>SUMIFS(tblWorkPackages[Estimated labor hours],tblWorkPackages[Request week (Monday)],A36)</f>
        <v>225.2</v>
      </c>
      <c r="D36" s="9">
        <f>SUMIFS(tblWorkPackages[Actual labor hours],tblWorkPackages[Request week (Monday)],A36)</f>
        <v>232.3</v>
      </c>
      <c r="E36" s="9">
        <f>SUMIFS(tblLaborEntries[Hours booked],tblLaborEntries[Work week (Monday)],A36)</f>
        <v>237.1</v>
      </c>
      <c r="F36" s="3">
        <f>COUNTIFS(tblWorkPackages[Request week (Monday)],A36,tblWorkPackages[Priority],"Urgent")</f>
        <v>5</v>
      </c>
      <c r="G36" s="10">
        <f>SUMIFS(tblWorkPackages[Planning forecast hours],tblWorkPackages[Request week (Monday)],A36)</f>
        <v>225.2</v>
      </c>
    </row>
    <row r="37" spans="1:7" ht="15" x14ac:dyDescent="0.25">
      <c r="A37" s="3" t="s">
        <v>165</v>
      </c>
      <c r="B37" s="3">
        <f>COUNTIFS(tblWorkPackages[Request week (Monday)],A37)</f>
        <v>19</v>
      </c>
      <c r="C37" s="9">
        <f>SUMIFS(tblWorkPackages[Estimated labor hours],tblWorkPackages[Request week (Monday)],A37)</f>
        <v>181.3</v>
      </c>
      <c r="D37" s="9">
        <f>SUMIFS(tblWorkPackages[Actual labor hours],tblWorkPackages[Request week (Monday)],A37)</f>
        <v>192.8</v>
      </c>
      <c r="E37" s="9">
        <f>SUMIFS(tblLaborEntries[Hours booked],tblLaborEntries[Work week (Monday)],A37)</f>
        <v>120.5</v>
      </c>
      <c r="F37" s="3">
        <f>COUNTIFS(tblWorkPackages[Request week (Monday)],A37,tblWorkPackages[Priority],"Urgent")</f>
        <v>4</v>
      </c>
      <c r="G37" s="10">
        <f>SUMIFS(tblWorkPackages[Planning forecast hours],tblWorkPackages[Request week (Monday)],A37)</f>
        <v>181.3</v>
      </c>
    </row>
    <row r="38" spans="1:7" ht="15" x14ac:dyDescent="0.25">
      <c r="A38" s="3" t="s">
        <v>449</v>
      </c>
      <c r="B38" s="3">
        <f>COUNTIFS(tblWorkPackages[Request week (Monday)],A38)</f>
        <v>29</v>
      </c>
      <c r="C38" s="9">
        <f>SUMIFS(tblWorkPackages[Estimated labor hours],tblWorkPackages[Request week (Monday)],A38)</f>
        <v>274</v>
      </c>
      <c r="D38" s="9">
        <f>SUMIFS(tblWorkPackages[Actual labor hours],tblWorkPackages[Request week (Monday)],A38)</f>
        <v>301.2</v>
      </c>
      <c r="E38" s="9">
        <f>SUMIFS(tblLaborEntries[Hours booked],tblLaborEntries[Work week (Monday)],A38)</f>
        <v>280.8</v>
      </c>
      <c r="F38" s="3">
        <f>COUNTIFS(tblWorkPackages[Request week (Monday)],A38,tblWorkPackages[Priority],"Urgent")</f>
        <v>4</v>
      </c>
      <c r="G38" s="10">
        <f>SUMIFS(tblWorkPackages[Planning forecast hours],tblWorkPackages[Request week (Monday)],A38)</f>
        <v>274</v>
      </c>
    </row>
    <row r="39" spans="1:7" ht="15" x14ac:dyDescent="0.25">
      <c r="A39" s="3" t="s">
        <v>642</v>
      </c>
      <c r="B39" s="3">
        <f>COUNTIFS(tblWorkPackages[Request week (Monday)],A39)</f>
        <v>24</v>
      </c>
      <c r="C39" s="9">
        <f>SUMIFS(tblWorkPackages[Estimated labor hours],tblWorkPackages[Request week (Monday)],A39)</f>
        <v>333.3</v>
      </c>
      <c r="D39" s="9">
        <f>SUMIFS(tblWorkPackages[Actual labor hours],tblWorkPackages[Request week (Monday)],A39)</f>
        <v>347.1</v>
      </c>
      <c r="E39" s="9">
        <f>SUMIFS(tblLaborEntries[Hours booked],tblLaborEntries[Work week (Monday)],A39)</f>
        <v>345.1</v>
      </c>
      <c r="F39" s="3">
        <f>COUNTIFS(tblWorkPackages[Request week (Monday)],A39,tblWorkPackages[Priority],"Urgent")</f>
        <v>2</v>
      </c>
      <c r="G39" s="10">
        <f>SUMIFS(tblWorkPackages[Planning forecast hours],tblWorkPackages[Request week (Monday)],A39)</f>
        <v>333.3</v>
      </c>
    </row>
    <row r="40" spans="1:7" ht="15" x14ac:dyDescent="0.25">
      <c r="A40" s="3" t="s">
        <v>643</v>
      </c>
      <c r="B40" s="3">
        <f>COUNTIFS(tblWorkPackages[Request week (Monday)],A40)</f>
        <v>30</v>
      </c>
      <c r="C40" s="9">
        <f>SUMIFS(tblWorkPackages[Estimated labor hours],tblWorkPackages[Request week (Monday)],A40)</f>
        <v>392.2</v>
      </c>
      <c r="D40" s="9">
        <f>SUMIFS(tblWorkPackages[Actual labor hours],tblWorkPackages[Request week (Monday)],A40)</f>
        <v>411</v>
      </c>
      <c r="E40" s="9">
        <f>SUMIFS(tblLaborEntries[Hours booked],tblLaborEntries[Work week (Monday)],A40)</f>
        <v>268.5</v>
      </c>
      <c r="F40" s="3">
        <f>COUNTIFS(tblWorkPackages[Request week (Monday)],A40,tblWorkPackages[Priority],"Urgent")</f>
        <v>1</v>
      </c>
      <c r="G40" s="10">
        <f>SUMIFS(tblWorkPackages[Planning forecast hours],tblWorkPackages[Request week (Monday)],A40)</f>
        <v>392.2</v>
      </c>
    </row>
    <row r="41" spans="1:7" ht="15" x14ac:dyDescent="0.25">
      <c r="A41" s="3" t="s">
        <v>361</v>
      </c>
      <c r="B41" s="3">
        <f>COUNTIFS(tblWorkPackages[Request week (Monday)],A41)</f>
        <v>19</v>
      </c>
      <c r="C41" s="9">
        <f>SUMIFS(tblWorkPackages[Estimated labor hours],tblWorkPackages[Request week (Monday)],A41)</f>
        <v>194.6</v>
      </c>
      <c r="D41" s="9">
        <f>SUMIFS(tblWorkPackages[Actual labor hours],tblWorkPackages[Request week (Monday)],A41)</f>
        <v>212.6</v>
      </c>
      <c r="E41" s="9">
        <f>SUMIFS(tblLaborEntries[Hours booked],tblLaborEntries[Work week (Monday)],A41)</f>
        <v>363.4</v>
      </c>
      <c r="F41" s="3">
        <f>COUNTIFS(tblWorkPackages[Request week (Monday)],A41,tblWorkPackages[Priority],"Urgent")</f>
        <v>4</v>
      </c>
      <c r="G41" s="10">
        <f>SUMIFS(tblWorkPackages[Planning forecast hours],tblWorkPackages[Request week (Monday)],A41)</f>
        <v>194.6</v>
      </c>
    </row>
    <row r="42" spans="1:7" ht="15" x14ac:dyDescent="0.25">
      <c r="A42" s="3" t="s">
        <v>1138</v>
      </c>
      <c r="B42" s="3">
        <f>COUNTIFS(tblWorkPackages[Request week (Monday)],A42)</f>
        <v>18</v>
      </c>
      <c r="C42" s="9">
        <f>SUMIFS(tblWorkPackages[Estimated labor hours],tblWorkPackages[Request week (Monday)],A42)</f>
        <v>197.7</v>
      </c>
      <c r="D42" s="9">
        <f>SUMIFS(tblWorkPackages[Actual labor hours],tblWorkPackages[Request week (Monday)],A42)</f>
        <v>211.2</v>
      </c>
      <c r="E42" s="9">
        <f>SUMIFS(tblLaborEntries[Hours booked],tblLaborEntries[Work week (Monday)],A42)</f>
        <v>193.5</v>
      </c>
      <c r="F42" s="3">
        <f>COUNTIFS(tblWorkPackages[Request week (Monday)],A42,tblWorkPackages[Priority],"Urgent")</f>
        <v>2</v>
      </c>
      <c r="G42" s="10">
        <f>SUMIFS(tblWorkPackages[Planning forecast hours],tblWorkPackages[Request week (Monday)],A42)</f>
        <v>197.7</v>
      </c>
    </row>
    <row r="43" spans="1:7" ht="15" x14ac:dyDescent="0.25">
      <c r="A43" s="3" t="s">
        <v>1321</v>
      </c>
      <c r="B43" s="3">
        <f>COUNTIFS(tblWorkPackages[Request week (Monday)],A43)</f>
        <v>21</v>
      </c>
      <c r="C43" s="9">
        <f>SUMIFS(tblWorkPackages[Estimated labor hours],tblWorkPackages[Request week (Monday)],A43)</f>
        <v>218.7</v>
      </c>
      <c r="D43" s="9">
        <f>SUMIFS(tblWorkPackages[Actual labor hours],tblWorkPackages[Request week (Monday)],A43)</f>
        <v>238.9</v>
      </c>
      <c r="E43" s="9">
        <f>SUMIFS(tblLaborEntries[Hours booked],tblLaborEntries[Work week (Monday)],A43)</f>
        <v>205.1</v>
      </c>
      <c r="F43" s="3">
        <f>COUNTIFS(tblWorkPackages[Request week (Monday)],A43,tblWorkPackages[Priority],"Urgent")</f>
        <v>4</v>
      </c>
      <c r="G43" s="10">
        <f>SUMIFS(tblWorkPackages[Planning forecast hours],tblWorkPackages[Request week (Monday)],A43)</f>
        <v>218.7</v>
      </c>
    </row>
    <row r="44" spans="1:7" ht="15" x14ac:dyDescent="0.25">
      <c r="A44" s="3" t="s">
        <v>296</v>
      </c>
      <c r="B44" s="3">
        <f>COUNTIFS(tblWorkPackages[Request week (Monday)],A44)</f>
        <v>22</v>
      </c>
      <c r="C44" s="9">
        <f>SUMIFS(tblWorkPackages[Estimated labor hours],tblWorkPackages[Request week (Monday)],A44)</f>
        <v>217</v>
      </c>
      <c r="D44" s="9">
        <f>SUMIFS(tblWorkPackages[Actual labor hours],tblWorkPackages[Request week (Monday)],A44)</f>
        <v>238.4</v>
      </c>
      <c r="E44" s="9">
        <f>SUMIFS(tblLaborEntries[Hours booked],tblLaborEntries[Work week (Monday)],A44)</f>
        <v>264.9</v>
      </c>
      <c r="F44" s="3">
        <f>COUNTIFS(tblWorkPackages[Request week (Monday)],A44,tblWorkPackages[Priority],"Urgent")</f>
        <v>3</v>
      </c>
      <c r="G44" s="10">
        <f>SUMIFS(tblWorkPackages[Planning forecast hours],tblWorkPackages[Request week (Monday)],A44)</f>
        <v>217</v>
      </c>
    </row>
    <row r="45" spans="1:7" ht="15" x14ac:dyDescent="0.25">
      <c r="A45" s="3" t="s">
        <v>293</v>
      </c>
      <c r="B45" s="3">
        <f>COUNTIFS(tblWorkPackages[Request week (Monday)],A45)</f>
        <v>25</v>
      </c>
      <c r="C45" s="9">
        <f>SUMIFS(tblWorkPackages[Estimated labor hours],tblWorkPackages[Request week (Monday)],A45)</f>
        <v>261.8</v>
      </c>
      <c r="D45" s="9">
        <f>SUMIFS(tblWorkPackages[Actual labor hours],tblWorkPackages[Request week (Monday)],A45)</f>
        <v>257</v>
      </c>
      <c r="E45" s="9">
        <f>SUMIFS(tblLaborEntries[Hours booked],tblLaborEntries[Work week (Monday)],A45)</f>
        <v>349.2</v>
      </c>
      <c r="F45" s="3">
        <f>COUNTIFS(tblWorkPackages[Request week (Monday)],A45,tblWorkPackages[Priority],"Urgent")</f>
        <v>2</v>
      </c>
      <c r="G45" s="10">
        <f>SUMIFS(tblWorkPackages[Planning forecast hours],tblWorkPackages[Request week (Monday)],A45)</f>
        <v>261.8</v>
      </c>
    </row>
    <row r="46" spans="1:7" ht="15" x14ac:dyDescent="0.25">
      <c r="A46" s="3" t="s">
        <v>388</v>
      </c>
      <c r="B46" s="3">
        <f>COUNTIFS(tblWorkPackages[Request week (Monday)],A46)</f>
        <v>28</v>
      </c>
      <c r="C46" s="9">
        <f>SUMIFS(tblWorkPackages[Estimated labor hours],tblWorkPackages[Request week (Monday)],A46)</f>
        <v>251.5</v>
      </c>
      <c r="D46" s="9">
        <f>SUMIFS(tblWorkPackages[Actual labor hours],tblWorkPackages[Request week (Monday)],A46)</f>
        <v>267.9</v>
      </c>
      <c r="E46" s="9">
        <f>SUMIFS(tblLaborEntries[Hours booked],tblLaborEntries[Work week (Monday)],A46)</f>
        <v>342.8</v>
      </c>
      <c r="F46" s="3">
        <f>COUNTIFS(tblWorkPackages[Request week (Monday)],A46,tblWorkPackages[Priority],"Urgent")</f>
        <v>3</v>
      </c>
      <c r="G46" s="10">
        <f>SUMIFS(tblWorkPackages[Planning forecast hours],tblWorkPackages[Request week (Monday)],A46)</f>
        <v>251.5</v>
      </c>
    </row>
    <row r="47" spans="1:7" ht="15" x14ac:dyDescent="0.25">
      <c r="A47" s="3" t="s">
        <v>875</v>
      </c>
      <c r="B47" s="3">
        <f>COUNTIFS(tblWorkPackages[Request week (Monday)],A47)</f>
        <v>20</v>
      </c>
      <c r="C47" s="9">
        <f>SUMIFS(tblWorkPackages[Estimated labor hours],tblWorkPackages[Request week (Monday)],A47)</f>
        <v>206.5</v>
      </c>
      <c r="D47" s="9">
        <f>SUMIFS(tblWorkPackages[Actual labor hours],tblWorkPackages[Request week (Monday)],A47)</f>
        <v>229.1</v>
      </c>
      <c r="E47" s="9">
        <f>SUMIFS(tblLaborEntries[Hours booked],tblLaborEntries[Work week (Monday)],A47)</f>
        <v>183.2</v>
      </c>
      <c r="F47" s="3">
        <f>COUNTIFS(tblWorkPackages[Request week (Monday)],A47,tblWorkPackages[Priority],"Urgent")</f>
        <v>2</v>
      </c>
      <c r="G47" s="10">
        <f>SUMIFS(tblWorkPackages[Planning forecast hours],tblWorkPackages[Request week (Monday)],A47)</f>
        <v>206.5</v>
      </c>
    </row>
    <row r="48" spans="1:7" ht="15" x14ac:dyDescent="0.25">
      <c r="A48" s="3" t="s">
        <v>1546</v>
      </c>
      <c r="B48" s="3">
        <f>COUNTIFS(tblWorkPackages[Request week (Monday)],A48)</f>
        <v>19</v>
      </c>
      <c r="C48" s="9">
        <f>SUMIFS(tblWorkPackages[Estimated labor hours],tblWorkPackages[Request week (Monday)],A48)</f>
        <v>174.5</v>
      </c>
      <c r="D48" s="9">
        <f>SUMIFS(tblWorkPackages[Actual labor hours],tblWorkPackages[Request week (Monday)],A48)</f>
        <v>195.2</v>
      </c>
      <c r="E48" s="9">
        <f>SUMIFS(tblLaborEntries[Hours booked],tblLaborEntries[Work week (Monday)],A48)</f>
        <v>136.6</v>
      </c>
      <c r="F48" s="3">
        <f>COUNTIFS(tblWorkPackages[Request week (Monday)],A48,tblWorkPackages[Priority],"Urgent")</f>
        <v>6</v>
      </c>
      <c r="G48" s="10">
        <f>SUMIFS(tblWorkPackages[Planning forecast hours],tblWorkPackages[Request week (Monday)],A48)</f>
        <v>174.5</v>
      </c>
    </row>
    <row r="49" spans="1:7" ht="15" x14ac:dyDescent="0.25">
      <c r="A49" s="3" t="s">
        <v>770</v>
      </c>
      <c r="B49" s="3">
        <f>COUNTIFS(tblWorkPackages[Request week (Monday)],A49)</f>
        <v>16</v>
      </c>
      <c r="C49" s="9">
        <f>SUMIFS(tblWorkPackages[Estimated labor hours],tblWorkPackages[Request week (Monday)],A49)</f>
        <v>144.5</v>
      </c>
      <c r="D49" s="9">
        <f>SUMIFS(tblWorkPackages[Actual labor hours],tblWorkPackages[Request week (Monday)],A49)</f>
        <v>150.5</v>
      </c>
      <c r="E49" s="9">
        <f>SUMIFS(tblLaborEntries[Hours booked],tblLaborEntries[Work week (Monday)],A49)</f>
        <v>214.6</v>
      </c>
      <c r="F49" s="3">
        <f>COUNTIFS(tblWorkPackages[Request week (Monday)],A49,tblWorkPackages[Priority],"Urgent")</f>
        <v>0</v>
      </c>
      <c r="G49" s="10">
        <f>SUMIFS(tblWorkPackages[Planning forecast hours],tblWorkPackages[Request week (Monday)],A49)</f>
        <v>144.5</v>
      </c>
    </row>
    <row r="50" spans="1:7" ht="15" x14ac:dyDescent="0.25">
      <c r="A50" s="3" t="s">
        <v>951</v>
      </c>
      <c r="B50" s="3">
        <f>COUNTIFS(tblWorkPackages[Request week (Monday)],A50)</f>
        <v>20</v>
      </c>
      <c r="C50" s="9">
        <f>SUMIFS(tblWorkPackages[Estimated labor hours],tblWorkPackages[Request week (Monday)],A50)</f>
        <v>191.8</v>
      </c>
      <c r="D50" s="9">
        <f>SUMIFS(tblWorkPackages[Actual labor hours],tblWorkPackages[Request week (Monday)],A50)</f>
        <v>190.5</v>
      </c>
      <c r="E50" s="9">
        <f>SUMIFS(tblLaborEntries[Hours booked],tblLaborEntries[Work week (Monday)],A50)</f>
        <v>208.8</v>
      </c>
      <c r="F50" s="3">
        <f>COUNTIFS(tblWorkPackages[Request week (Monday)],A50,tblWorkPackages[Priority],"Urgent")</f>
        <v>3</v>
      </c>
      <c r="G50" s="10">
        <f>SUMIFS(tblWorkPackages[Planning forecast hours],tblWorkPackages[Request week (Monday)],A50)</f>
        <v>191.8</v>
      </c>
    </row>
    <row r="51" spans="1:7" ht="15" x14ac:dyDescent="0.25">
      <c r="A51" s="3" t="s">
        <v>1374</v>
      </c>
      <c r="B51" s="3">
        <f>COUNTIFS(tblWorkPackages[Request week (Monday)],A51)</f>
        <v>23</v>
      </c>
      <c r="C51" s="9">
        <f>SUMIFS(tblWorkPackages[Estimated labor hours],tblWorkPackages[Request week (Monday)],A51)</f>
        <v>183</v>
      </c>
      <c r="D51" s="9">
        <f>SUMIFS(tblWorkPackages[Actual labor hours],tblWorkPackages[Request week (Monday)],A51)</f>
        <v>199.1</v>
      </c>
      <c r="E51" s="9">
        <f>SUMIFS(tblLaborEntries[Hours booked],tblLaborEntries[Work week (Monday)],A51)</f>
        <v>263.7</v>
      </c>
      <c r="F51" s="3">
        <f>COUNTIFS(tblWorkPackages[Request week (Monday)],A51,tblWorkPackages[Priority],"Urgent")</f>
        <v>1</v>
      </c>
      <c r="G51" s="10">
        <f>SUMIFS(tblWorkPackages[Planning forecast hours],tblWorkPackages[Request week (Monday)],A51)</f>
        <v>183</v>
      </c>
    </row>
    <row r="52" spans="1:7" ht="15" x14ac:dyDescent="0.25">
      <c r="A52" s="3" t="s">
        <v>1730</v>
      </c>
      <c r="B52" s="3">
        <f>COUNTIFS(tblWorkPackages[Request week (Monday)],A52)</f>
        <v>24</v>
      </c>
      <c r="C52" s="9">
        <f>SUMIFS(tblWorkPackages[Estimated labor hours],tblWorkPackages[Request week (Monday)],A52)</f>
        <v>269.1</v>
      </c>
      <c r="D52" s="9">
        <f>SUMIFS(tblWorkPackages[Actual labor hours],tblWorkPackages[Request week (Monday)],A52)</f>
        <v>298.5</v>
      </c>
      <c r="E52" s="9">
        <f>SUMIFS(tblLaborEntries[Hours booked],tblLaborEntries[Work week (Monday)],A52)</f>
        <v>275.4</v>
      </c>
      <c r="F52" s="3">
        <f>COUNTIFS(tblWorkPackages[Request week (Monday)],A52,tblWorkPackages[Priority],"Urgent")</f>
        <v>3</v>
      </c>
      <c r="G52" s="10">
        <f>SUMIFS(tblWorkPackages[Planning forecast hours],tblWorkPackages[Request week (Monday)],A52)</f>
        <v>269.1</v>
      </c>
    </row>
    <row r="53" spans="1:7" ht="15" x14ac:dyDescent="0.25">
      <c r="A53" s="3" t="s">
        <v>372</v>
      </c>
      <c r="B53" s="3">
        <f>COUNTIFS(tblWorkPackages[Request week (Monday)],A53)</f>
        <v>29</v>
      </c>
      <c r="C53" s="9">
        <f>SUMIFS(tblWorkPackages[Estimated labor hours],tblWorkPackages[Request week (Monday)],A53)</f>
        <v>319.2</v>
      </c>
      <c r="D53" s="9">
        <f>SUMIFS(tblWorkPackages[Actual labor hours],tblWorkPackages[Request week (Monday)],A53)</f>
        <v>339.1</v>
      </c>
      <c r="E53" s="9">
        <f>SUMIFS(tblLaborEntries[Hours booked],tblLaborEntries[Work week (Monday)],A53)</f>
        <v>311.8</v>
      </c>
      <c r="F53" s="3">
        <f>COUNTIFS(tblWorkPackages[Request week (Monday)],A53,tblWorkPackages[Priority],"Urgent")</f>
        <v>2</v>
      </c>
      <c r="G53" s="10">
        <f>SUMIFS(tblWorkPackages[Planning forecast hours],tblWorkPackages[Request week (Monday)],A53)</f>
        <v>319.2</v>
      </c>
    </row>
    <row r="54" spans="1:7" ht="15" x14ac:dyDescent="0.25">
      <c r="A54" s="3" t="s">
        <v>594</v>
      </c>
      <c r="B54" s="3">
        <f>COUNTIFS(tblWorkPackages[Request week (Monday)],A54)</f>
        <v>19</v>
      </c>
      <c r="C54" s="9">
        <f>SUMIFS(tblWorkPackages[Estimated labor hours],tblWorkPackages[Request week (Monday)],A54)</f>
        <v>187</v>
      </c>
      <c r="D54" s="9">
        <f>SUMIFS(tblWorkPackages[Actual labor hours],tblWorkPackages[Request week (Monday)],A54)</f>
        <v>219.2</v>
      </c>
      <c r="E54" s="9">
        <f>SUMIFS(tblLaborEntries[Hours booked],tblLaborEntries[Work week (Monday)],A54)</f>
        <v>169.2</v>
      </c>
      <c r="F54" s="3">
        <f>COUNTIFS(tblWorkPackages[Request week (Monday)],A54,tblWorkPackages[Priority],"Urgent")</f>
        <v>1</v>
      </c>
      <c r="G54" s="10">
        <f>SUMIFS(tblWorkPackages[Planning forecast hours],tblWorkPackages[Request week (Monday)],A54)</f>
        <v>187</v>
      </c>
    </row>
    <row r="55" spans="1:7" ht="15" x14ac:dyDescent="0.25">
      <c r="A55" s="3" t="s">
        <v>1741</v>
      </c>
      <c r="B55" s="3">
        <f>COUNTIFS(tblWorkPackages[Request week (Monday)],A55)</f>
        <v>15</v>
      </c>
      <c r="C55" s="9">
        <f>SUMIFS(tblWorkPackages[Estimated labor hours],tblWorkPackages[Request week (Monday)],A55)</f>
        <v>109.8</v>
      </c>
      <c r="D55" s="9">
        <f>SUMIFS(tblWorkPackages[Actual labor hours],tblWorkPackages[Request week (Monday)],A55)</f>
        <v>122.1</v>
      </c>
      <c r="E55" s="9">
        <f>SUMIFS(tblLaborEntries[Hours booked],tblLaborEntries[Work week (Monday)],A55)</f>
        <v>211.1</v>
      </c>
      <c r="F55" s="3">
        <f>COUNTIFS(tblWorkPackages[Request week (Monday)],A55,tblWorkPackages[Priority],"Urgent")</f>
        <v>4</v>
      </c>
      <c r="G55" s="10">
        <f>SUMIFS(tblWorkPackages[Planning forecast hours],tblWorkPackages[Request week (Monday)],A55)</f>
        <v>109.8</v>
      </c>
    </row>
    <row r="56" spans="1:7" ht="15" x14ac:dyDescent="0.25">
      <c r="A56" s="3" t="s">
        <v>206</v>
      </c>
      <c r="B56" s="3">
        <f>COUNTIFS(tblWorkPackages[Request week (Monday)],A56)</f>
        <v>25</v>
      </c>
      <c r="C56" s="9">
        <f>SUMIFS(tblWorkPackages[Estimated labor hours],tblWorkPackages[Request week (Monday)],A56)</f>
        <v>180.9</v>
      </c>
      <c r="D56" s="9">
        <f>SUMIFS(tblWorkPackages[Actual labor hours],tblWorkPackages[Request week (Monday)],A56)</f>
        <v>197.3</v>
      </c>
      <c r="E56" s="9">
        <f>SUMIFS(tblLaborEntries[Hours booked],tblLaborEntries[Work week (Monday)],A56)</f>
        <v>202.6</v>
      </c>
      <c r="F56" s="3">
        <f>COUNTIFS(tblWorkPackages[Request week (Monday)],A56,tblWorkPackages[Priority],"Urgent")</f>
        <v>1</v>
      </c>
      <c r="G56" s="10">
        <f>SUMIFS(tblWorkPackages[Planning forecast hours],tblWorkPackages[Request week (Monday)],A56)</f>
        <v>180.9</v>
      </c>
    </row>
    <row r="57" spans="1:7" ht="15" x14ac:dyDescent="0.25">
      <c r="A57" s="3" t="s">
        <v>244</v>
      </c>
      <c r="B57" s="3">
        <f>COUNTIFS(tblWorkPackages[Request week (Monday)],A57)</f>
        <v>26</v>
      </c>
      <c r="C57" s="9">
        <f>SUMIFS(tblWorkPackages[Estimated labor hours],tblWorkPackages[Request week (Monday)],A57)</f>
        <v>228.7</v>
      </c>
      <c r="D57" s="9">
        <f>SUMIFS(tblWorkPackages[Actual labor hours],tblWorkPackages[Request week (Monday)],A57)</f>
        <v>235.3</v>
      </c>
      <c r="E57" s="9">
        <f>SUMIFS(tblLaborEntries[Hours booked],tblLaborEntries[Work week (Monday)],A57)</f>
        <v>145.5</v>
      </c>
      <c r="F57" s="3">
        <f>COUNTIFS(tblWorkPackages[Request week (Monday)],A57,tblWorkPackages[Priority],"Urgent")</f>
        <v>3</v>
      </c>
      <c r="G57" s="10">
        <f>SUMIFS(tblWorkPackages[Planning forecast hours],tblWorkPackages[Request week (Monday)],A57)</f>
        <v>228.7</v>
      </c>
    </row>
    <row r="58" spans="1:7" ht="15" x14ac:dyDescent="0.25">
      <c r="A58" s="3" t="s">
        <v>515</v>
      </c>
      <c r="B58" s="3">
        <f>COUNTIFS(tblWorkPackages[Request week (Monday)],A58)</f>
        <v>22</v>
      </c>
      <c r="C58" s="9">
        <f>SUMIFS(tblWorkPackages[Estimated labor hours],tblWorkPackages[Request week (Monday)],A58)</f>
        <v>222.7</v>
      </c>
      <c r="D58" s="9">
        <f>SUMIFS(tblWorkPackages[Actual labor hours],tblWorkPackages[Request week (Monday)],A58)</f>
        <v>256.2</v>
      </c>
      <c r="E58" s="9">
        <f>SUMIFS(tblLaborEntries[Hours booked],tblLaborEntries[Work week (Monday)],A58)</f>
        <v>190.7</v>
      </c>
      <c r="F58" s="3">
        <f>COUNTIFS(tblWorkPackages[Request week (Monday)],A58,tblWorkPackages[Priority],"Urgent")</f>
        <v>1</v>
      </c>
      <c r="G58" s="10">
        <f>SUMIFS(tblWorkPackages[Planning forecast hours],tblWorkPackages[Request week (Monday)],A58)</f>
        <v>222.7</v>
      </c>
    </row>
    <row r="59" spans="1:7" ht="15" x14ac:dyDescent="0.25">
      <c r="A59" s="3" t="s">
        <v>161</v>
      </c>
      <c r="B59" s="3">
        <f>COUNTIFS(tblWorkPackages[Request week (Monday)],A59)</f>
        <v>27</v>
      </c>
      <c r="C59" s="9">
        <f>SUMIFS(tblWorkPackages[Estimated labor hours],tblWorkPackages[Request week (Monday)],A59)</f>
        <v>286.4</v>
      </c>
      <c r="D59" s="9">
        <f>SUMIFS(tblWorkPackages[Actual labor hours],tblWorkPackages[Request week (Monday)],A59)</f>
        <v>288</v>
      </c>
      <c r="E59" s="9">
        <f>SUMIFS(tblLaborEntries[Hours booked],tblLaborEntries[Work week (Monday)],A59)</f>
        <v>272.5</v>
      </c>
      <c r="F59" s="3">
        <f>COUNTIFS(tblWorkPackages[Request week (Monday)],A59,tblWorkPackages[Priority],"Urgent")</f>
        <v>4</v>
      </c>
      <c r="G59" s="10">
        <f>SUMIFS(tblWorkPackages[Planning forecast hours],tblWorkPackages[Request week (Monday)],A59)</f>
        <v>286.4</v>
      </c>
    </row>
    <row r="60" spans="1:7" ht="15" x14ac:dyDescent="0.25">
      <c r="A60" s="3" t="s">
        <v>556</v>
      </c>
      <c r="B60" s="3">
        <f>COUNTIFS(tblWorkPackages[Request week (Monday)],A60)</f>
        <v>23</v>
      </c>
      <c r="C60" s="9">
        <f>SUMIFS(tblWorkPackages[Estimated labor hours],tblWorkPackages[Request week (Monday)],A60)</f>
        <v>250.3</v>
      </c>
      <c r="D60" s="9">
        <f>SUMIFS(tblWorkPackages[Actual labor hours],tblWorkPackages[Request week (Monday)],A60)</f>
        <v>255.8</v>
      </c>
      <c r="E60" s="9">
        <f>SUMIFS(tblLaborEntries[Hours booked],tblLaborEntries[Work week (Monday)],A60)</f>
        <v>263.7</v>
      </c>
      <c r="F60" s="3">
        <f>COUNTIFS(tblWorkPackages[Request week (Monday)],A60,tblWorkPackages[Priority],"Urgent")</f>
        <v>5</v>
      </c>
      <c r="G60" s="10">
        <f>SUMIFS(tblWorkPackages[Planning forecast hours],tblWorkPackages[Request week (Monday)],A60)</f>
        <v>250.3</v>
      </c>
    </row>
    <row r="61" spans="1:7" ht="15" x14ac:dyDescent="0.25">
      <c r="A61" s="3" t="s">
        <v>1073</v>
      </c>
      <c r="B61" s="3">
        <f>COUNTIFS(tblWorkPackages[Request week (Monday)],A61)</f>
        <v>20</v>
      </c>
      <c r="C61" s="9">
        <f>SUMIFS(tblWorkPackages[Estimated labor hours],tblWorkPackages[Request week (Monday)],A61)</f>
        <v>177.4</v>
      </c>
      <c r="D61" s="9">
        <f>SUMIFS(tblWorkPackages[Actual labor hours],tblWorkPackages[Request week (Monday)],A61)</f>
        <v>191</v>
      </c>
      <c r="E61" s="9">
        <f>SUMIFS(tblLaborEntries[Hours booked],tblLaborEntries[Work week (Monday)],A61)</f>
        <v>236.1</v>
      </c>
      <c r="F61" s="3">
        <f>COUNTIFS(tblWorkPackages[Request week (Monday)],A61,tblWorkPackages[Priority],"Urgent")</f>
        <v>3</v>
      </c>
      <c r="G61" s="10">
        <f>SUMIFS(tblWorkPackages[Planning forecast hours],tblWorkPackages[Request week (Monday)],A61)</f>
        <v>177.4</v>
      </c>
    </row>
    <row r="62" spans="1:7" ht="15" x14ac:dyDescent="0.25">
      <c r="A62" s="3" t="s">
        <v>513</v>
      </c>
      <c r="B62" s="3">
        <f>COUNTIFS(tblWorkPackages[Request week (Monday)],A62)</f>
        <v>21</v>
      </c>
      <c r="C62" s="9">
        <f>SUMIFS(tblWorkPackages[Estimated labor hours],tblWorkPackages[Request week (Monday)],A62)</f>
        <v>228.4</v>
      </c>
      <c r="D62" s="9">
        <f>SUMIFS(tblWorkPackages[Actual labor hours],tblWorkPackages[Request week (Monday)],A62)</f>
        <v>237.9</v>
      </c>
      <c r="E62" s="9">
        <f>SUMIFS(tblLaborEntries[Hours booked],tblLaborEntries[Work week (Monday)],A62)</f>
        <v>245.4</v>
      </c>
      <c r="F62" s="3">
        <f>COUNTIFS(tblWorkPackages[Request week (Monday)],A62,tblWorkPackages[Priority],"Urgent")</f>
        <v>3</v>
      </c>
      <c r="G62" s="10">
        <f>SUMIFS(tblWorkPackages[Planning forecast hours],tblWorkPackages[Request week (Monday)],A62)</f>
        <v>228.4</v>
      </c>
    </row>
    <row r="63" spans="1:7" ht="15" x14ac:dyDescent="0.25">
      <c r="A63" s="3" t="s">
        <v>1417</v>
      </c>
      <c r="B63" s="3">
        <f>COUNTIFS(tblWorkPackages[Request week (Monday)],A63)</f>
        <v>19</v>
      </c>
      <c r="C63" s="9">
        <f>SUMIFS(tblWorkPackages[Estimated labor hours],tblWorkPackages[Request week (Monday)],A63)</f>
        <v>235.5</v>
      </c>
      <c r="D63" s="9">
        <f>SUMIFS(tblWorkPackages[Actual labor hours],tblWorkPackages[Request week (Monday)],A63)</f>
        <v>257.9</v>
      </c>
      <c r="E63" s="9">
        <f>SUMIFS(tblLaborEntries[Hours booked],tblLaborEntries[Work week (Monday)],A63)</f>
        <v>240.2</v>
      </c>
      <c r="F63" s="3">
        <f>COUNTIFS(tblWorkPackages[Request week (Monday)],A63,tblWorkPackages[Priority],"Urgent")</f>
        <v>1</v>
      </c>
      <c r="G63" s="10">
        <f>SUMIFS(tblWorkPackages[Planning forecast hours],tblWorkPackages[Request week (Monday)],A63)</f>
        <v>244.669077424495</v>
      </c>
    </row>
    <row r="64" spans="1:7" ht="15" x14ac:dyDescent="0.25">
      <c r="A64" s="3" t="s">
        <v>679</v>
      </c>
      <c r="B64" s="3">
        <f>COUNTIFS(tblWorkPackages[Request week (Monday)],A64)</f>
        <v>24</v>
      </c>
      <c r="C64" s="9">
        <f>SUMIFS(tblWorkPackages[Estimated labor hours],tblWorkPackages[Request week (Monday)],A64)</f>
        <v>282</v>
      </c>
      <c r="D64" s="9">
        <f>SUMIFS(tblWorkPackages[Actual labor hours],tblWorkPackages[Request week (Monday)],A64)</f>
        <v>281.3</v>
      </c>
      <c r="E64" s="9">
        <f>SUMIFS(tblLaborEntries[Hours booked],tblLaborEntries[Work week (Monday)],A64)</f>
        <v>203.6</v>
      </c>
      <c r="F64" s="3">
        <f>COUNTIFS(tblWorkPackages[Request week (Monday)],A64,tblWorkPackages[Priority],"Urgent")</f>
        <v>1</v>
      </c>
      <c r="G64" s="10">
        <f>SUMIFS(tblWorkPackages[Planning forecast hours],tblWorkPackages[Request week (Monday)],A64)</f>
        <v>298.281390601728</v>
      </c>
    </row>
    <row r="65" spans="1:7" ht="15" x14ac:dyDescent="0.25">
      <c r="A65" s="3" t="s">
        <v>732</v>
      </c>
      <c r="B65" s="3">
        <f>COUNTIFS(tblWorkPackages[Request week (Monday)],A65)</f>
        <v>28</v>
      </c>
      <c r="C65" s="9">
        <f>SUMIFS(tblWorkPackages[Estimated labor hours],tblWorkPackages[Request week (Monday)],A65)</f>
        <v>287.3</v>
      </c>
      <c r="D65" s="9">
        <f>SUMIFS(tblWorkPackages[Actual labor hours],tblWorkPackages[Request week (Monday)],A65)</f>
        <v>318.2</v>
      </c>
      <c r="E65" s="9">
        <f>SUMIFS(tblLaborEntries[Hours booked],tblLaborEntries[Work week (Monday)],A65)</f>
        <v>373.4</v>
      </c>
      <c r="F65" s="3">
        <f>COUNTIFS(tblWorkPackages[Request week (Monday)],A65,tblWorkPackages[Priority],"Urgent")</f>
        <v>2</v>
      </c>
      <c r="G65" s="10">
        <f>SUMIFS(tblWorkPackages[Planning forecast hours],tblWorkPackages[Request week (Monday)],A65)</f>
        <v>304.47998153415</v>
      </c>
    </row>
    <row r="66" spans="1:7" ht="15" x14ac:dyDescent="0.25">
      <c r="A66" s="3" t="s">
        <v>253</v>
      </c>
      <c r="B66" s="3">
        <f>COUNTIFS(tblWorkPackages[Request week (Monday)],A66)</f>
        <v>24</v>
      </c>
      <c r="C66" s="9">
        <f>SUMIFS(tblWorkPackages[Estimated labor hours],tblWorkPackages[Request week (Monday)],A66)</f>
        <v>326.3</v>
      </c>
      <c r="D66" s="9">
        <f>SUMIFS(tblWorkPackages[Actual labor hours],tblWorkPackages[Request week (Monday)],A66)</f>
        <v>339.1</v>
      </c>
      <c r="E66" s="9">
        <f>SUMIFS(tblLaborEntries[Hours booked],tblLaborEntries[Work week (Monday)],A66)</f>
        <v>279.8</v>
      </c>
      <c r="F66" s="3">
        <f>COUNTIFS(tblWorkPackages[Request week (Monday)],A66,tblWorkPackages[Priority],"Urgent")</f>
        <v>3</v>
      </c>
      <c r="G66" s="10">
        <f>SUMIFS(tblWorkPackages[Planning forecast hours],tblWorkPackages[Request week (Monday)],A66)</f>
        <v>345.05095121678</v>
      </c>
    </row>
    <row r="67" spans="1:7" ht="15" x14ac:dyDescent="0.25">
      <c r="A67" s="3" t="s">
        <v>281</v>
      </c>
      <c r="B67" s="3">
        <f>COUNTIFS(tblWorkPackages[Request week (Monday)],A67)</f>
        <v>21</v>
      </c>
      <c r="C67" s="9">
        <f>SUMIFS(tblWorkPackages[Estimated labor hours],tblWorkPackages[Request week (Monday)],A67)</f>
        <v>286.5</v>
      </c>
      <c r="D67" s="9">
        <f>SUMIFS(tblWorkPackages[Actual labor hours],tblWorkPackages[Request week (Monday)],A67)</f>
        <v>291.9</v>
      </c>
      <c r="E67" s="9">
        <f>SUMIFS(tblLaborEntries[Hours booked],tblLaborEntries[Work week (Monday)],A67)</f>
        <v>309.2</v>
      </c>
      <c r="F67" s="3">
        <f>COUNTIFS(tblWorkPackages[Request week (Monday)],A67,tblWorkPackages[Priority],"Urgent")</f>
        <v>2</v>
      </c>
      <c r="G67" s="10">
        <f>SUMIFS(tblWorkPackages[Planning forecast hours],tblWorkPackages[Request week (Monday)],A67)</f>
        <v>301.539149165138</v>
      </c>
    </row>
    <row r="68" spans="1:7" ht="15" x14ac:dyDescent="0.25">
      <c r="A68" s="3" t="s">
        <v>1166</v>
      </c>
      <c r="B68" s="3">
        <f>COUNTIFS(tblWorkPackages[Request week (Monday)],A68)</f>
        <v>15</v>
      </c>
      <c r="C68" s="9">
        <f>SUMIFS(tblWorkPackages[Estimated labor hours],tblWorkPackages[Request week (Monday)],A68)</f>
        <v>217.7</v>
      </c>
      <c r="D68" s="9">
        <f>SUMIFS(tblWorkPackages[Actual labor hours],tblWorkPackages[Request week (Monday)],A68)</f>
        <v>235</v>
      </c>
      <c r="E68" s="9">
        <f>SUMIFS(tblLaborEntries[Hours booked],tblLaborEntries[Work week (Monday)],A68)</f>
        <v>305.7</v>
      </c>
      <c r="F68" s="3">
        <f>COUNTIFS(tblWorkPackages[Request week (Monday)],A68,tblWorkPackages[Priority],"Urgent")</f>
        <v>2</v>
      </c>
      <c r="G68" s="10">
        <f>SUMIFS(tblWorkPackages[Planning forecast hours],tblWorkPackages[Request week (Monday)],A68)</f>
        <v>227.528275423612</v>
      </c>
    </row>
    <row r="69" spans="1:7" ht="15" x14ac:dyDescent="0.25">
      <c r="A69" s="3" t="s">
        <v>935</v>
      </c>
      <c r="B69" s="3">
        <f>COUNTIFS(tblWorkPackages[Request week (Monday)],A69)</f>
        <v>21</v>
      </c>
      <c r="C69" s="9">
        <f>SUMIFS(tblWorkPackages[Estimated labor hours],tblWorkPackages[Request week (Monday)],A69)</f>
        <v>264.2</v>
      </c>
      <c r="D69" s="9">
        <f>SUMIFS(tblWorkPackages[Actual labor hours],tblWorkPackages[Request week (Monday)],A69)</f>
        <v>309.8</v>
      </c>
      <c r="E69" s="9">
        <f>SUMIFS(tblLaborEntries[Hours booked],tblLaborEntries[Work week (Monday)],A69)</f>
        <v>270.9</v>
      </c>
      <c r="F69" s="3">
        <f>COUNTIFS(tblWorkPackages[Request week (Monday)],A69,tblWorkPackages[Priority],"Urgent")</f>
        <v>4</v>
      </c>
      <c r="G69" s="10">
        <f>SUMIFS(tblWorkPackages[Planning forecast hours],tblWorkPackages[Request week (Monday)],A69)</f>
        <v>277.383618661034</v>
      </c>
    </row>
    <row r="70" spans="1:7" ht="15" x14ac:dyDescent="0.25">
      <c r="A70" s="3" t="s">
        <v>1100</v>
      </c>
      <c r="B70" s="3">
        <f>COUNTIFS(tblWorkPackages[Request week (Monday)],A70)</f>
        <v>28</v>
      </c>
      <c r="C70" s="9">
        <f>SUMIFS(tblWorkPackages[Estimated labor hours],tblWorkPackages[Request week (Monday)],A70)</f>
        <v>318.4</v>
      </c>
      <c r="D70" s="9">
        <f>SUMIFS(tblWorkPackages[Actual labor hours],tblWorkPackages[Request week (Monday)],A70)</f>
        <v>359.6</v>
      </c>
      <c r="E70" s="9">
        <f>SUMIFS(tblLaborEntries[Hours booked],tblLaborEntries[Work week (Monday)],A70)</f>
        <v>290.4</v>
      </c>
      <c r="F70" s="3">
        <f>COUNTIFS(tblWorkPackages[Request week (Monday)],A70,tblWorkPackages[Priority],"Urgent")</f>
        <v>4</v>
      </c>
      <c r="G70" s="10">
        <f>SUMIFS(tblWorkPackages[Planning forecast hours],tblWorkPackages[Request week (Monday)],A70)</f>
        <v>336.510691002277</v>
      </c>
    </row>
    <row r="71" spans="1:7" ht="15" x14ac:dyDescent="0.25">
      <c r="A71" s="3" t="s">
        <v>412</v>
      </c>
      <c r="B71" s="3">
        <f>COUNTIFS(tblWorkPackages[Request week (Monday)],A71)</f>
        <v>28</v>
      </c>
      <c r="C71" s="9">
        <f>SUMIFS(tblWorkPackages[Estimated labor hours],tblWorkPackages[Request week (Monday)],A71)</f>
        <v>361.5</v>
      </c>
      <c r="D71" s="9">
        <f>SUMIFS(tblWorkPackages[Actual labor hours],tblWorkPackages[Request week (Monday)],A71)</f>
        <v>378.3</v>
      </c>
      <c r="E71" s="9">
        <f>SUMIFS(tblLaborEntries[Hours booked],tblLaborEntries[Work week (Monday)],A71)</f>
        <v>339.6</v>
      </c>
      <c r="F71" s="3">
        <f>COUNTIFS(tblWorkPackages[Request week (Monday)],A71,tblWorkPackages[Priority],"Urgent")</f>
        <v>5</v>
      </c>
      <c r="G71" s="10">
        <f>SUMIFS(tblWorkPackages[Planning forecast hours],tblWorkPackages[Request week (Monday)],A71)</f>
        <v>381.156305187302</v>
      </c>
    </row>
    <row r="72" spans="1:7" ht="15" x14ac:dyDescent="0.25">
      <c r="A72" s="3" t="s">
        <v>859</v>
      </c>
      <c r="B72" s="3">
        <f>COUNTIFS(tblWorkPackages[Request week (Monday)],A72)</f>
        <v>31</v>
      </c>
      <c r="C72" s="9">
        <f>SUMIFS(tblWorkPackages[Estimated labor hours],tblWorkPackages[Request week (Monday)],A72)</f>
        <v>425.5</v>
      </c>
      <c r="D72" s="9">
        <f>SUMIFS(tblWorkPackages[Actual labor hours],tblWorkPackages[Request week (Monday)],A72)</f>
        <v>468.9</v>
      </c>
      <c r="E72" s="9">
        <f>SUMIFS(tblLaborEntries[Hours booked],tblLaborEntries[Work week (Monday)],A72)</f>
        <v>467</v>
      </c>
      <c r="F72" s="3">
        <f>COUNTIFS(tblWorkPackages[Request week (Monday)],A72,tblWorkPackages[Priority],"Urgent")</f>
        <v>3</v>
      </c>
      <c r="G72" s="10">
        <f>SUMIFS(tblWorkPackages[Planning forecast hours],tblWorkPackages[Request week (Monday)],A72)</f>
        <v>445.479942039756</v>
      </c>
    </row>
    <row r="73" spans="1:7" ht="15" x14ac:dyDescent="0.25">
      <c r="A73" s="3" t="s">
        <v>1318</v>
      </c>
      <c r="B73" s="3">
        <f>COUNTIFS(tblWorkPackages[Request week (Monday)],A73)</f>
        <v>35</v>
      </c>
      <c r="C73" s="9">
        <f>SUMIFS(tblWorkPackages[Estimated labor hours],tblWorkPackages[Request week (Monday)],A73)</f>
        <v>533.4</v>
      </c>
      <c r="D73" s="9">
        <f>SUMIFS(tblWorkPackages[Actual labor hours],tblWorkPackages[Request week (Monday)],A73)</f>
        <v>632.9</v>
      </c>
      <c r="E73" s="9">
        <f>SUMIFS(tblLaborEntries[Hours booked],tblLaborEntries[Work week (Monday)],A73)</f>
        <v>487</v>
      </c>
      <c r="F73" s="3">
        <f>COUNTIFS(tblWorkPackages[Request week (Monday)],A73,tblWorkPackages[Priority],"Urgent")</f>
        <v>1</v>
      </c>
      <c r="G73" s="10">
        <f>SUMIFS(tblWorkPackages[Planning forecast hours],tblWorkPackages[Request week (Monday)],A73)</f>
        <v>559.170923711134</v>
      </c>
    </row>
    <row r="74" spans="1:7" ht="15" x14ac:dyDescent="0.25">
      <c r="A74" s="3" t="s">
        <v>966</v>
      </c>
      <c r="B74" s="3">
        <f>COUNTIFS(tblWorkPackages[Request week (Monday)],A74)</f>
        <v>23</v>
      </c>
      <c r="C74" s="9">
        <f>SUMIFS(tblWorkPackages[Estimated labor hours],tblWorkPackages[Request week (Monday)],A74)</f>
        <v>244.8</v>
      </c>
      <c r="D74" s="9">
        <f>SUMIFS(tblWorkPackages[Actual labor hours],tblWorkPackages[Request week (Monday)],A74)</f>
        <v>251.3</v>
      </c>
      <c r="E74" s="9">
        <f>SUMIFS(tblLaborEntries[Hours booked],tblLaborEntries[Work week (Monday)],A74)</f>
        <v>333.8</v>
      </c>
      <c r="F74" s="3">
        <f>COUNTIFS(tblWorkPackages[Request week (Monday)],A74,tblWorkPackages[Priority],"Urgent")</f>
        <v>4</v>
      </c>
      <c r="G74" s="10">
        <f>SUMIFS(tblWorkPackages[Planning forecast hours],tblWorkPackages[Request week (Monday)],A74)</f>
        <v>259.280207669186</v>
      </c>
    </row>
    <row r="75" spans="1:7" ht="15" x14ac:dyDescent="0.25">
      <c r="A75" s="3" t="s">
        <v>1191</v>
      </c>
      <c r="B75" s="3">
        <f>COUNTIFS(tblWorkPackages[Request week (Monday)],A75)</f>
        <v>26</v>
      </c>
      <c r="C75" s="9">
        <f>SUMIFS(tblWorkPackages[Estimated labor hours],tblWorkPackages[Request week (Monday)],A75)</f>
        <v>388.8</v>
      </c>
      <c r="D75" s="9">
        <f>SUMIFS(tblWorkPackages[Actual labor hours],tblWorkPackages[Request week (Monday)],A75)</f>
        <v>433.1</v>
      </c>
      <c r="E75" s="9">
        <f>SUMIFS(tblLaborEntries[Hours booked],tblLaborEntries[Work week (Monday)],A75)</f>
        <v>372.2</v>
      </c>
      <c r="F75" s="3">
        <f>COUNTIFS(tblWorkPackages[Request week (Monday)],A75,tblWorkPackages[Priority],"Urgent")</f>
        <v>3</v>
      </c>
      <c r="G75" s="10">
        <f>SUMIFS(tblWorkPackages[Planning forecast hours],tblWorkPackages[Request week (Monday)],A75)</f>
        <v>406.67199090587</v>
      </c>
    </row>
    <row r="76" spans="1:7" ht="15" x14ac:dyDescent="0.25">
      <c r="A76" s="3" t="s">
        <v>1192</v>
      </c>
      <c r="B76" s="3">
        <f>COUNTIFS(tblWorkPackages[Request week (Monday)],A76)</f>
        <v>27</v>
      </c>
      <c r="C76" s="9">
        <f>SUMIFS(tblWorkPackages[Estimated labor hours],tblWorkPackages[Request week (Monday)],A76)</f>
        <v>398.2</v>
      </c>
      <c r="D76" s="9">
        <f>SUMIFS(tblWorkPackages[Actual labor hours],tblWorkPackages[Request week (Monday)],A76)</f>
        <v>407.3</v>
      </c>
      <c r="E76" s="9">
        <f>SUMIFS(tblLaborEntries[Hours booked],tblLaborEntries[Work week (Monday)],A76)</f>
        <v>413.6</v>
      </c>
      <c r="F76" s="3">
        <f>COUNTIFS(tblWorkPackages[Request week (Monday)],A76,tblWorkPackages[Priority],"Urgent")</f>
        <v>3</v>
      </c>
      <c r="G76" s="10">
        <f>SUMIFS(tblWorkPackages[Planning forecast hours],tblWorkPackages[Request week (Monday)],A76)</f>
        <v>415.90842023803</v>
      </c>
    </row>
    <row r="77" spans="1:7" ht="15" x14ac:dyDescent="0.25">
      <c r="A77" s="3" t="s">
        <v>1480</v>
      </c>
      <c r="B77" s="3">
        <f>COUNTIFS(tblWorkPackages[Request week (Monday)],A77)</f>
        <v>19</v>
      </c>
      <c r="C77" s="9">
        <f>SUMIFS(tblWorkPackages[Estimated labor hours],tblWorkPackages[Request week (Monday)],A77)</f>
        <v>250</v>
      </c>
      <c r="D77" s="9">
        <f>SUMIFS(tblWorkPackages[Actual labor hours],tblWorkPackages[Request week (Monday)],A77)</f>
        <v>267.2</v>
      </c>
      <c r="E77" s="9">
        <f>SUMIFS(tblLaborEntries[Hours booked],tblLaborEntries[Work week (Monday)],A77)</f>
        <v>366.7</v>
      </c>
      <c r="F77" s="3">
        <f>COUNTIFS(tblWorkPackages[Request week (Monday)],A77,tblWorkPackages[Priority],"Urgent")</f>
        <v>0</v>
      </c>
      <c r="G77" s="10">
        <f>SUMIFS(tblWorkPackages[Planning forecast hours],tblWorkPackages[Request week (Monday)],A77)</f>
        <v>263.278960358597</v>
      </c>
    </row>
    <row r="78" spans="1:7" ht="15" x14ac:dyDescent="0.25">
      <c r="A78" s="3" t="s">
        <v>271</v>
      </c>
      <c r="B78" s="3">
        <f>COUNTIFS(tblWorkPackages[Request week (Monday)],A78)</f>
        <v>17</v>
      </c>
      <c r="C78" s="9">
        <f>SUMIFS(tblWorkPackages[Estimated labor hours],tblWorkPackages[Request week (Monday)],A78)</f>
        <v>174.5</v>
      </c>
      <c r="D78" s="9">
        <f>SUMIFS(tblWorkPackages[Actual labor hours],tblWorkPackages[Request week (Monday)],A78)</f>
        <v>205.9</v>
      </c>
      <c r="E78" s="9">
        <f>SUMIFS(tblLaborEntries[Hours booked],tblLaborEntries[Work week (Monday)],A78)</f>
        <v>300.6</v>
      </c>
      <c r="F78" s="3">
        <f>COUNTIFS(tblWorkPackages[Request week (Monday)],A78,tblWorkPackages[Priority],"Urgent")</f>
        <v>4</v>
      </c>
      <c r="G78" s="10">
        <f>SUMIFS(tblWorkPackages[Planning forecast hours],tblWorkPackages[Request week (Monday)],A78)</f>
        <v>184.007681760521</v>
      </c>
    </row>
    <row r="79" spans="1:7" ht="15" x14ac:dyDescent="0.25">
      <c r="A79" s="3" t="s">
        <v>1283</v>
      </c>
      <c r="B79" s="3">
        <f>COUNTIFS(tblWorkPackages[Request week (Monday)],A79)</f>
        <v>24</v>
      </c>
      <c r="C79" s="9">
        <f>SUMIFS(tblWorkPackages[Estimated labor hours],tblWorkPackages[Request week (Monday)],A79)</f>
        <v>362.3</v>
      </c>
      <c r="D79" s="9">
        <f>SUMIFS(tblWorkPackages[Actual labor hours],tblWorkPackages[Request week (Monday)],A79)</f>
        <v>365.6</v>
      </c>
      <c r="E79" s="9">
        <f>SUMIFS(tblLaborEntries[Hours booked],tblLaborEntries[Work week (Monday)],A79)</f>
        <v>344.4</v>
      </c>
      <c r="F79" s="3">
        <f>COUNTIFS(tblWorkPackages[Request week (Monday)],A79,tblWorkPackages[Priority],"Urgent")</f>
        <v>1</v>
      </c>
      <c r="G79" s="10">
        <f>SUMIFS(tblWorkPackages[Planning forecast hours],tblWorkPackages[Request week (Monday)],A79)</f>
        <v>378.466551334697</v>
      </c>
    </row>
    <row r="80" spans="1:7" ht="15" x14ac:dyDescent="0.25">
      <c r="A80" s="3" t="s">
        <v>468</v>
      </c>
      <c r="B80" s="3">
        <f>COUNTIFS(tblWorkPackages[Request week (Monday)],A80)</f>
        <v>28</v>
      </c>
      <c r="C80" s="9">
        <f>SUMIFS(tblWorkPackages[Estimated labor hours],tblWorkPackages[Request week (Monday)],A80)</f>
        <v>382.6</v>
      </c>
      <c r="D80" s="9">
        <f>SUMIFS(tblWorkPackages[Actual labor hours],tblWorkPackages[Request week (Monday)],A80)</f>
        <v>408.6</v>
      </c>
      <c r="E80" s="9">
        <f>SUMIFS(tblLaborEntries[Hours booked],tblLaborEntries[Work week (Monday)],A80)</f>
        <v>380.9</v>
      </c>
      <c r="F80" s="3">
        <f>COUNTIFS(tblWorkPackages[Request week (Monday)],A80,tblWorkPackages[Priority],"Urgent")</f>
        <v>2</v>
      </c>
      <c r="G80" s="10">
        <f>SUMIFS(tblWorkPackages[Planning forecast hours],tblWorkPackages[Request week (Monday)],A80)</f>
        <v>403.490157408359</v>
      </c>
    </row>
    <row r="81" spans="1:7" ht="15" x14ac:dyDescent="0.25">
      <c r="A81" s="3" t="s">
        <v>236</v>
      </c>
      <c r="B81" s="3">
        <f>COUNTIFS(tblWorkPackages[Request week (Monday)],A81)</f>
        <v>23</v>
      </c>
      <c r="C81" s="9">
        <f>SUMIFS(tblWorkPackages[Estimated labor hours],tblWorkPackages[Request week (Monday)],A81)</f>
        <v>311.8</v>
      </c>
      <c r="D81" s="9">
        <f>SUMIFS(tblWorkPackages[Actual labor hours],tblWorkPackages[Request week (Monday)],A81)</f>
        <v>321.3</v>
      </c>
      <c r="E81" s="9">
        <f>SUMIFS(tblLaborEntries[Hours booked],tblLaborEntries[Work week (Monday)],A81)</f>
        <v>292.9</v>
      </c>
      <c r="F81" s="3">
        <f>COUNTIFS(tblWorkPackages[Request week (Monday)],A81,tblWorkPackages[Priority],"Urgent")</f>
        <v>3</v>
      </c>
      <c r="G81" s="10">
        <f>SUMIFS(tblWorkPackages[Planning forecast hours],tblWorkPackages[Request week (Monday)],A81)</f>
        <v>326.520114269759</v>
      </c>
    </row>
    <row r="82" spans="1:7" ht="15" x14ac:dyDescent="0.25">
      <c r="A82" s="3" t="s">
        <v>924</v>
      </c>
      <c r="B82" s="3">
        <f>COUNTIFS(tblWorkPackages[Request week (Monday)],A82)</f>
        <v>36</v>
      </c>
      <c r="C82" s="9">
        <f>SUMIFS(tblWorkPackages[Estimated labor hours],tblWorkPackages[Request week (Monday)],A82)</f>
        <v>404.5</v>
      </c>
      <c r="D82" s="9">
        <f>SUMIFS(tblWorkPackages[Actual labor hours],tblWorkPackages[Request week (Monday)],A82)</f>
        <v>417.3</v>
      </c>
      <c r="E82" s="9">
        <f>SUMIFS(tblLaborEntries[Hours booked],tblLaborEntries[Work week (Monday)],A82)</f>
        <v>360.4</v>
      </c>
      <c r="F82" s="3">
        <f>COUNTIFS(tblWorkPackages[Request week (Monday)],A82,tblWorkPackages[Priority],"Urgent")</f>
        <v>5</v>
      </c>
      <c r="G82" s="10">
        <f>SUMIFS(tblWorkPackages[Planning forecast hours],tblWorkPackages[Request week (Monday)],A82)</f>
        <v>428.26141016925</v>
      </c>
    </row>
    <row r="83" spans="1:7" ht="15" x14ac:dyDescent="0.25">
      <c r="A83" s="3" t="s">
        <v>365</v>
      </c>
      <c r="B83" s="3">
        <f>COUNTIFS(tblWorkPackages[Request week (Monday)],A83)</f>
        <v>29</v>
      </c>
      <c r="C83" s="9">
        <f>SUMIFS(tblWorkPackages[Estimated labor hours],tblWorkPackages[Request week (Monday)],A83)</f>
        <v>402.9</v>
      </c>
      <c r="D83" s="9">
        <f>SUMIFS(tblWorkPackages[Actual labor hours],tblWorkPackages[Request week (Monday)],A83)</f>
        <v>425.9</v>
      </c>
      <c r="E83" s="9">
        <f>SUMIFS(tblLaborEntries[Hours booked],tblLaborEntries[Work week (Monday)],A83)</f>
        <v>436.9</v>
      </c>
      <c r="F83" s="3">
        <f>COUNTIFS(tblWorkPackages[Request week (Monday)],A83,tblWorkPackages[Priority],"Urgent")</f>
        <v>3</v>
      </c>
      <c r="G83" s="10">
        <f>SUMIFS(tblWorkPackages[Planning forecast hours],tblWorkPackages[Request week (Monday)],A83)</f>
        <v>423.226438372921</v>
      </c>
    </row>
    <row r="84" spans="1:7" ht="15" x14ac:dyDescent="0.25">
      <c r="A84" s="3" t="s">
        <v>597</v>
      </c>
      <c r="B84" s="3">
        <f>COUNTIFS(tblWorkPackages[Request week (Monday)],A84)</f>
        <v>16</v>
      </c>
      <c r="C84" s="9">
        <f>SUMIFS(tblWorkPackages[Estimated labor hours],tblWorkPackages[Request week (Monday)],A84)</f>
        <v>179.5</v>
      </c>
      <c r="D84" s="9">
        <f>SUMIFS(tblWorkPackages[Actual labor hours],tblWorkPackages[Request week (Monday)],A84)</f>
        <v>221.9</v>
      </c>
      <c r="E84" s="9">
        <f>SUMIFS(tblLaborEntries[Hours booked],tblLaborEntries[Work week (Monday)],A84)</f>
        <v>385</v>
      </c>
      <c r="F84" s="3">
        <f>COUNTIFS(tblWorkPackages[Request week (Monday)],A84,tblWorkPackages[Priority],"Urgent")</f>
        <v>2</v>
      </c>
      <c r="G84" s="10">
        <f>SUMIFS(tblWorkPackages[Planning forecast hours],tblWorkPackages[Request week (Monday)],A84)</f>
        <v>190.021047382635</v>
      </c>
    </row>
    <row r="85" spans="1:7" ht="15" x14ac:dyDescent="0.25">
      <c r="A85" s="3" t="s">
        <v>2009</v>
      </c>
      <c r="B85" s="3">
        <f>COUNTIFS(tblWorkPackages[Request week (Monday)],A85)</f>
        <v>30</v>
      </c>
      <c r="C85" s="9">
        <f>SUMIFS(tblWorkPackages[Estimated labor hours],tblWorkPackages[Request week (Monday)],A85)</f>
        <v>362.4</v>
      </c>
      <c r="D85" s="9">
        <f>SUMIFS(tblWorkPackages[Actual labor hours],tblWorkPackages[Request week (Monday)],A85)</f>
        <v>376.9</v>
      </c>
      <c r="E85" s="9">
        <f>SUMIFS(tblLaborEntries[Hours booked],tblLaborEntries[Work week (Monday)],A85)</f>
        <v>367.5</v>
      </c>
      <c r="F85" s="3">
        <f>COUNTIFS(tblWorkPackages[Request week (Monday)],A85,tblWorkPackages[Priority],"Urgent")</f>
        <v>0</v>
      </c>
      <c r="G85" s="10">
        <f>SUMIFS(tblWorkPackages[Planning forecast hours],tblWorkPackages[Request week (Monday)],A85)</f>
        <v>381.539742299099</v>
      </c>
    </row>
    <row r="86" spans="1:7" ht="15" x14ac:dyDescent="0.25">
      <c r="A86" s="3" t="s">
        <v>1036</v>
      </c>
      <c r="B86" s="3">
        <f>COUNTIFS(tblWorkPackages[Request week (Monday)],A86)</f>
        <v>28</v>
      </c>
      <c r="C86" s="9">
        <f>SUMIFS(tblWorkPackages[Estimated labor hours],tblWorkPackages[Request week (Monday)],A86)</f>
        <v>329.8</v>
      </c>
      <c r="D86" s="9">
        <f>SUMIFS(tblWorkPackages[Actual labor hours],tblWorkPackages[Request week (Monday)],A86)</f>
        <v>356.4</v>
      </c>
      <c r="E86" s="9">
        <f>SUMIFS(tblLaborEntries[Hours booked],tblLaborEntries[Work week (Monday)],A86)</f>
        <v>281.4</v>
      </c>
      <c r="F86" s="3">
        <f>COUNTIFS(tblWorkPackages[Request week (Monday)],A86,tblWorkPackages[Priority],"Urgent")</f>
        <v>3</v>
      </c>
      <c r="G86" s="10">
        <f>SUMIFS(tblWorkPackages[Planning forecast hours],tblWorkPackages[Request week (Monday)],A86)</f>
        <v>348.949972165392</v>
      </c>
    </row>
    <row r="87" spans="1:7" ht="15" x14ac:dyDescent="0.25">
      <c r="A87" s="3" t="s">
        <v>1118</v>
      </c>
      <c r="B87" s="3">
        <f>COUNTIFS(tblWorkPackages[Request week (Monday)],A87)</f>
        <v>20</v>
      </c>
      <c r="C87" s="9">
        <f>SUMIFS(tblWorkPackages[Estimated labor hours],tblWorkPackages[Request week (Monday)],A87)</f>
        <v>210</v>
      </c>
      <c r="D87" s="9">
        <f>SUMIFS(tblWorkPackages[Actual labor hours],tblWorkPackages[Request week (Monday)],A87)</f>
        <v>214.8</v>
      </c>
      <c r="E87" s="9">
        <f>SUMIFS(tblLaborEntries[Hours booked],tblLaborEntries[Work week (Monday)],A87)</f>
        <v>286.7</v>
      </c>
      <c r="F87" s="3">
        <f>COUNTIFS(tblWorkPackages[Request week (Monday)],A87,tblWorkPackages[Priority],"Urgent")</f>
        <v>1</v>
      </c>
      <c r="G87" s="10">
        <f>SUMIFS(tblWorkPackages[Planning forecast hours],tblWorkPackages[Request week (Monday)],A87)</f>
        <v>223.140442163657</v>
      </c>
    </row>
    <row r="88" spans="1:7" ht="15" x14ac:dyDescent="0.25">
      <c r="A88" s="3" t="s">
        <v>1256</v>
      </c>
      <c r="B88" s="3">
        <f>COUNTIFS(tblWorkPackages[Request week (Monday)],A88)</f>
        <v>32</v>
      </c>
      <c r="C88" s="9">
        <f>SUMIFS(tblWorkPackages[Estimated labor hours],tblWorkPackages[Request week (Monday)],A88)</f>
        <v>381.3</v>
      </c>
      <c r="D88" s="9">
        <f>SUMIFS(tblWorkPackages[Actual labor hours],tblWorkPackages[Request week (Monday)],A88)</f>
        <v>419.3</v>
      </c>
      <c r="E88" s="9">
        <f>SUMIFS(tblLaborEntries[Hours booked],tblLaborEntries[Work week (Monday)],A88)</f>
        <v>278.7</v>
      </c>
      <c r="F88" s="3">
        <f>COUNTIFS(tblWorkPackages[Request week (Monday)],A88,tblWorkPackages[Priority],"Urgent")</f>
        <v>3</v>
      </c>
      <c r="G88" s="10">
        <f>SUMIFS(tblWorkPackages[Planning forecast hours],tblWorkPackages[Request week (Monday)],A88)</f>
        <v>401.336001507366</v>
      </c>
    </row>
    <row r="89" spans="1:7" ht="15" x14ac:dyDescent="0.25">
      <c r="A89" s="3" t="s">
        <v>199</v>
      </c>
      <c r="B89" s="3">
        <f>COUNTIFS(tblWorkPackages[Request week (Monday)],A89)</f>
        <v>19</v>
      </c>
      <c r="C89" s="9">
        <f>SUMIFS(tblWorkPackages[Estimated labor hours],tblWorkPackages[Request week (Monday)],A89)</f>
        <v>178.4</v>
      </c>
      <c r="D89" s="9">
        <f>SUMIFS(tblWorkPackages[Actual labor hours],tblWorkPackages[Request week (Monday)],A89)</f>
        <v>199.2</v>
      </c>
      <c r="E89" s="9">
        <f>SUMIFS(tblLaborEntries[Hours booked],tblLaborEntries[Work week (Monday)],A89)</f>
        <v>389.5</v>
      </c>
      <c r="F89" s="3">
        <f>COUNTIFS(tblWorkPackages[Request week (Monday)],A89,tblWorkPackages[Priority],"Urgent")</f>
        <v>2</v>
      </c>
      <c r="G89" s="10">
        <f>SUMIFS(tblWorkPackages[Planning forecast hours],tblWorkPackages[Request week (Monday)],A89)</f>
        <v>192.461645206812</v>
      </c>
    </row>
    <row r="90" spans="1:7" ht="15" x14ac:dyDescent="0.25">
      <c r="A90" s="3" t="s">
        <v>323</v>
      </c>
      <c r="B90" s="3">
        <f>COUNTIFS(tblWorkPackages[Request week (Monday)],A90)</f>
        <v>16</v>
      </c>
      <c r="C90" s="9">
        <f>SUMIFS(tblWorkPackages[Estimated labor hours],tblWorkPackages[Request week (Monday)],A90)</f>
        <v>185.6</v>
      </c>
      <c r="D90" s="9">
        <f>SUMIFS(tblWorkPackages[Actual labor hours],tblWorkPackages[Request week (Monday)],A90)</f>
        <v>226.4</v>
      </c>
      <c r="E90" s="9">
        <f>SUMIFS(tblLaborEntries[Hours booked],tblLaborEntries[Work week (Monday)],A90)</f>
        <v>229.7</v>
      </c>
      <c r="F90" s="3">
        <f>COUNTIFS(tblWorkPackages[Request week (Monday)],A90,tblWorkPackages[Priority],"Urgent")</f>
        <v>0</v>
      </c>
      <c r="G90" s="10">
        <f>SUMIFS(tblWorkPackages[Planning forecast hours],tblWorkPackages[Request week (Monday)],A90)</f>
        <v>197.871061528086</v>
      </c>
    </row>
    <row r="91" spans="1:7" ht="15" x14ac:dyDescent="0.25">
      <c r="A91" s="3" t="s">
        <v>431</v>
      </c>
      <c r="B91" s="3">
        <f>COUNTIFS(tblWorkPackages[Request week (Monday)],A91)</f>
        <v>29</v>
      </c>
      <c r="C91" s="9">
        <f>SUMIFS(tblWorkPackages[Estimated labor hours],tblWorkPackages[Request week (Monday)],A91)</f>
        <v>301.4</v>
      </c>
      <c r="D91" s="9">
        <f>SUMIFS(tblWorkPackages[Actual labor hours],tblWorkPackages[Request week (Monday)],A91)</f>
        <v>347.7</v>
      </c>
      <c r="E91" s="9">
        <f>SUMIFS(tblLaborEntries[Hours booked],tblLaborEntries[Work week (Monday)],A91)</f>
        <v>295.2</v>
      </c>
      <c r="F91" s="3">
        <f>COUNTIFS(tblWorkPackages[Request week (Monday)],A91,tblWorkPackages[Priority],"Urgent")</f>
        <v>2</v>
      </c>
      <c r="G91" s="10">
        <f>SUMIFS(tblWorkPackages[Planning forecast hours],tblWorkPackages[Request week (Monday)],A91)</f>
        <v>322.137129233335</v>
      </c>
    </row>
    <row r="92" spans="1:7" ht="15" x14ac:dyDescent="0.25">
      <c r="A92" s="3" t="s">
        <v>1234</v>
      </c>
      <c r="B92" s="3">
        <f>COUNTIFS(tblWorkPackages[Request week (Monday)],A92)</f>
        <v>25</v>
      </c>
      <c r="C92" s="9">
        <f>SUMIFS(tblWorkPackages[Estimated labor hours],tblWorkPackages[Request week (Monday)],A92)</f>
        <v>280.9</v>
      </c>
      <c r="D92" s="9">
        <f>SUMIFS(tblWorkPackages[Actual labor hours],tblWorkPackages[Request week (Monday)],A92)</f>
        <v>320.9</v>
      </c>
      <c r="E92" s="9">
        <f>SUMIFS(tblLaborEntries[Hours booked],tblLaborEntries[Work week (Monday)],A92)</f>
        <v>361</v>
      </c>
      <c r="F92" s="3">
        <f>COUNTIFS(tblWorkPackages[Request week (Monday)],A92,tblWorkPackages[Priority],"Urgent")</f>
        <v>6</v>
      </c>
      <c r="G92" s="10">
        <f>SUMIFS(tblWorkPackages[Planning forecast hours],tblWorkPackages[Request week (Monday)],A92)</f>
        <v>298.636596031605</v>
      </c>
    </row>
    <row r="93" spans="1:7" ht="15" x14ac:dyDescent="0.25">
      <c r="A93" s="3" t="s">
        <v>1510</v>
      </c>
      <c r="B93" s="3">
        <f>COUNTIFS(tblWorkPackages[Request week (Monday)],A93)</f>
        <v>16</v>
      </c>
      <c r="C93" s="9">
        <f>SUMIFS(tblWorkPackages[Estimated labor hours],tblWorkPackages[Request week (Monday)],A93)</f>
        <v>162.2</v>
      </c>
      <c r="D93" s="9">
        <f>SUMIFS(tblWorkPackages[Actual labor hours],tblWorkPackages[Request week (Monday)],A93)</f>
        <v>180.5</v>
      </c>
      <c r="E93" s="9">
        <f>SUMIFS(tblLaborEntries[Hours booked],tblLaborEntries[Work week (Monday)],A93)</f>
        <v>162.8</v>
      </c>
      <c r="F93" s="3">
        <f>COUNTIFS(tblWorkPackages[Request week (Monday)],A93,tblWorkPackages[Priority],"Urgent")</f>
        <v>0</v>
      </c>
      <c r="G93" s="10">
        <f>SUMIFS(tblWorkPackages[Planning forecast hours],tblWorkPackages[Request week (Monday)],A93)</f>
        <v>173.811339150016</v>
      </c>
    </row>
    <row r="94" spans="1:7" ht="15" x14ac:dyDescent="0.25">
      <c r="A94" s="3" t="s">
        <v>658</v>
      </c>
      <c r="B94" s="3">
        <f>COUNTIFS(tblWorkPackages[Request week (Monday)],A94)</f>
        <v>28</v>
      </c>
      <c r="C94" s="9">
        <f>SUMIFS(tblWorkPackages[Estimated labor hours],tblWorkPackages[Request week (Monday)],A94)</f>
        <v>342.7</v>
      </c>
      <c r="D94" s="9">
        <f>SUMIFS(tblWorkPackages[Actual labor hours],tblWorkPackages[Request week (Monday)],A94)</f>
        <v>385.1</v>
      </c>
      <c r="E94" s="9">
        <f>SUMIFS(tblLaborEntries[Hours booked],tblLaborEntries[Work week (Monday)],A94)</f>
        <v>296.8</v>
      </c>
      <c r="F94" s="3">
        <f>COUNTIFS(tblWorkPackages[Request week (Monday)],A94,tblWorkPackages[Priority],"Urgent")</f>
        <v>3</v>
      </c>
      <c r="G94" s="10">
        <f>SUMIFS(tblWorkPackages[Planning forecast hours],tblWorkPackages[Request week (Monday)],A94)</f>
        <v>365.827299143589</v>
      </c>
    </row>
    <row r="95" spans="1:7" ht="15" x14ac:dyDescent="0.25">
      <c r="A95" s="3" t="s">
        <v>1151</v>
      </c>
      <c r="B95" s="3">
        <f>COUNTIFS(tblWorkPackages[Request week (Monday)],A95)</f>
        <v>31</v>
      </c>
      <c r="C95" s="9">
        <f>SUMIFS(tblWorkPackages[Estimated labor hours],tblWorkPackages[Request week (Monday)],A95)</f>
        <v>267.2</v>
      </c>
      <c r="D95" s="9">
        <f>SUMIFS(tblWorkPackages[Actual labor hours],tblWorkPackages[Request week (Monday)],A95)</f>
        <v>293.5</v>
      </c>
      <c r="E95" s="9">
        <f>SUMIFS(tblLaborEntries[Hours booked],tblLaborEntries[Work week (Monday)],A95)</f>
        <v>341.9</v>
      </c>
      <c r="F95" s="3">
        <f>COUNTIFS(tblWorkPackages[Request week (Monday)],A95,tblWorkPackages[Priority],"Urgent")</f>
        <v>2</v>
      </c>
      <c r="G95" s="10">
        <f>SUMIFS(tblWorkPackages[Planning forecast hours],tblWorkPackages[Request week (Monday)],A95)</f>
        <v>289.668693184983</v>
      </c>
    </row>
    <row r="96" spans="1:7" ht="15" x14ac:dyDescent="0.25">
      <c r="A96" s="3" t="s">
        <v>312</v>
      </c>
      <c r="B96" s="3">
        <f>COUNTIFS(tblWorkPackages[Request week (Monday)],A96)</f>
        <v>33</v>
      </c>
      <c r="C96" s="9">
        <f>SUMIFS(tblWorkPackages[Estimated labor hours],tblWorkPackages[Request week (Monday)],A96)</f>
        <v>298.9</v>
      </c>
      <c r="D96" s="9">
        <f>SUMIFS(tblWorkPackages[Actual labor hours],tblWorkPackages[Request week (Monday)],A96)</f>
        <v>306.6</v>
      </c>
      <c r="E96" s="9">
        <f>SUMIFS(tblLaborEntries[Hours booked],tblLaborEntries[Work week (Monday)],A96)</f>
        <v>308.3</v>
      </c>
      <c r="F96" s="3">
        <f>COUNTIFS(tblWorkPackages[Request week (Monday)],A96,tblWorkPackages[Priority],"Urgent")</f>
        <v>4</v>
      </c>
      <c r="G96" s="10">
        <f>SUMIFS(tblWorkPackages[Planning forecast hours],tblWorkPackages[Request week (Monday)],A96)</f>
        <v>321.968171605973</v>
      </c>
    </row>
    <row r="97" spans="1:7" ht="15" x14ac:dyDescent="0.25">
      <c r="A97" s="3" t="s">
        <v>492</v>
      </c>
      <c r="B97" s="3">
        <f>COUNTIFS(tblWorkPackages[Request week (Monday)],A97)</f>
        <v>18</v>
      </c>
      <c r="C97" s="9">
        <f>SUMIFS(tblWorkPackages[Estimated labor hours],tblWorkPackages[Request week (Monday)],A97)</f>
        <v>194.4</v>
      </c>
      <c r="D97" s="9">
        <f>SUMIFS(tblWorkPackages[Actual labor hours],tblWorkPackages[Request week (Monday)],A97)</f>
        <v>195.4</v>
      </c>
      <c r="E97" s="9">
        <f>SUMIFS(tblLaborEntries[Hours booked],tblLaborEntries[Work week (Monday)],A97)</f>
        <v>306.4</v>
      </c>
      <c r="F97" s="3">
        <f>COUNTIFS(tblWorkPackages[Request week (Monday)],A97,tblWorkPackages[Priority],"Urgent")</f>
        <v>2</v>
      </c>
      <c r="G97" s="10">
        <f>SUMIFS(tblWorkPackages[Planning forecast hours],tblWorkPackages[Request week (Monday)],A97)</f>
        <v>210.584909098219</v>
      </c>
    </row>
    <row r="98" spans="1:7" ht="15" x14ac:dyDescent="0.25">
      <c r="A98" s="3" t="s">
        <v>885</v>
      </c>
      <c r="B98" s="3">
        <f>COUNTIFS(tblWorkPackages[Request week (Monday)],A98)</f>
        <v>29</v>
      </c>
      <c r="C98" s="9">
        <f>SUMIFS(tblWorkPackages[Estimated labor hours],tblWorkPackages[Request week (Monday)],A98)</f>
        <v>256.9</v>
      </c>
      <c r="D98" s="9">
        <f>SUMIFS(tblWorkPackages[Actual labor hours],tblWorkPackages[Request week (Monday)],A98)</f>
        <v>266</v>
      </c>
      <c r="E98" s="9">
        <f>SUMIFS(tblLaborEntries[Hours booked],tblLaborEntries[Work week (Monday)],A98)</f>
        <v>286.8</v>
      </c>
      <c r="F98" s="3">
        <f>COUNTIFS(tblWorkPackages[Request week (Monday)],A98,tblWorkPackages[Priority],"Urgent")</f>
        <v>5</v>
      </c>
      <c r="G98" s="10">
        <f>SUMIFS(tblWorkPackages[Planning forecast hours],tblWorkPackages[Request week (Monday)],A98)</f>
        <v>277.235921026518</v>
      </c>
    </row>
    <row r="99" spans="1:7" ht="15" x14ac:dyDescent="0.25">
      <c r="A99" s="3" t="s">
        <v>139</v>
      </c>
      <c r="B99" s="3">
        <f>COUNTIFS(tblWorkPackages[Request week (Monday)],A99)</f>
        <v>25</v>
      </c>
      <c r="C99" s="9">
        <f>SUMIFS(tblWorkPackages[Estimated labor hours],tblWorkPackages[Request week (Monday)],A99)</f>
        <v>281.3</v>
      </c>
      <c r="D99" s="9">
        <f>SUMIFS(tblWorkPackages[Actual labor hours],tblWorkPackages[Request week (Monday)],A99)</f>
        <v>286.8</v>
      </c>
      <c r="E99" s="9">
        <f>SUMIFS(tblLaborEntries[Hours booked],tblLaborEntries[Work week (Monday)],A99)</f>
        <v>259.4</v>
      </c>
      <c r="F99" s="3">
        <f>COUNTIFS(tblWorkPackages[Request week (Monday)],A99,tblWorkPackages[Priority],"Urgent")</f>
        <v>2</v>
      </c>
      <c r="G99" s="10">
        <f>SUMIFS(tblWorkPackages[Planning forecast hours],tblWorkPackages[Request week (Monday)],A99)</f>
        <v>301.316200311496</v>
      </c>
    </row>
    <row r="100" spans="1:7" ht="15" x14ac:dyDescent="0.25">
      <c r="A100" s="3" t="s">
        <v>285</v>
      </c>
      <c r="B100" s="3">
        <f>COUNTIFS(tblWorkPackages[Request week (Monday)],A100)</f>
        <v>24</v>
      </c>
      <c r="C100" s="9">
        <f>SUMIFS(tblWorkPackages[Estimated labor hours],tblWorkPackages[Request week (Monday)],A100)</f>
        <v>218.3</v>
      </c>
      <c r="D100" s="9">
        <f>SUMIFS(tblWorkPackages[Actual labor hours],tblWorkPackages[Request week (Monday)],A100)</f>
        <v>230.4</v>
      </c>
      <c r="E100" s="9">
        <f>SUMIFS(tblLaborEntries[Hours booked],tblLaborEntries[Work week (Monday)],A100)</f>
        <v>193.9</v>
      </c>
      <c r="F100" s="3">
        <f>COUNTIFS(tblWorkPackages[Request week (Monday)],A100,tblWorkPackages[Priority],"Urgent")</f>
        <v>0</v>
      </c>
      <c r="G100" s="10">
        <f>SUMIFS(tblWorkPackages[Planning forecast hours],tblWorkPackages[Request week (Monday)],A100)</f>
        <v>234.018133366704</v>
      </c>
    </row>
    <row r="101" spans="1:7" ht="15" x14ac:dyDescent="0.25">
      <c r="A101" s="3" t="s">
        <v>791</v>
      </c>
      <c r="B101" s="3">
        <f>COUNTIFS(tblWorkPackages[Request week (Monday)],A101)</f>
        <v>23</v>
      </c>
      <c r="C101" s="9">
        <f>SUMIFS(tblWorkPackages[Estimated labor hours],tblWorkPackages[Request week (Monday)],A101)</f>
        <v>243</v>
      </c>
      <c r="D101" s="9">
        <f>SUMIFS(tblWorkPackages[Actual labor hours],tblWorkPackages[Request week (Monday)],A101)</f>
        <v>241.5</v>
      </c>
      <c r="E101" s="9">
        <f>SUMIFS(tblLaborEntries[Hours booked],tblLaborEntries[Work week (Monday)],A101)</f>
        <v>336.2</v>
      </c>
      <c r="F101" s="3">
        <f>COUNTIFS(tblWorkPackages[Request week (Monday)],A101,tblWorkPackages[Priority],"Urgent")</f>
        <v>5</v>
      </c>
      <c r="G101" s="10">
        <f>SUMIFS(tblWorkPackages[Planning forecast hours],tblWorkPackages[Request week (Monday)],A101)</f>
        <v>259.004558794416</v>
      </c>
    </row>
    <row r="102" spans="1:7" ht="15" x14ac:dyDescent="0.25">
      <c r="A102" s="3" t="s">
        <v>464</v>
      </c>
      <c r="B102" s="3">
        <f>COUNTIFS(tblWorkPackages[Request week (Monday)],A102)</f>
        <v>15</v>
      </c>
      <c r="C102" s="9">
        <f>SUMIFS(tblWorkPackages[Estimated labor hours],tblWorkPackages[Request week (Monday)],A102)</f>
        <v>150.8</v>
      </c>
      <c r="D102" s="9">
        <f>SUMIFS(tblWorkPackages[Actual labor hours],tblWorkPackages[Request week (Monday)],A102)</f>
        <v>162.9</v>
      </c>
      <c r="E102" s="9">
        <f>SUMIFS(tblLaborEntries[Hours booked],tblLaborEntries[Work week (Monday)],A102)</f>
        <v>226.1</v>
      </c>
      <c r="F102" s="3">
        <f>COUNTIFS(tblWorkPackages[Request week (Monday)],A102,tblWorkPackages[Priority],"Urgent")</f>
        <v>0</v>
      </c>
      <c r="G102" s="10">
        <f>SUMIFS(tblWorkPackages[Planning forecast hours],tblWorkPackages[Request week (Monday)],A102)</f>
        <v>161.649613791424</v>
      </c>
    </row>
    <row r="103" spans="1:7" ht="15" x14ac:dyDescent="0.25">
      <c r="A103" s="3" t="s">
        <v>1272</v>
      </c>
      <c r="B103" s="3">
        <f>COUNTIFS(tblWorkPackages[Request week (Monday)],A103)</f>
        <v>19</v>
      </c>
      <c r="C103" s="9">
        <f>SUMIFS(tblWorkPackages[Estimated labor hours],tblWorkPackages[Request week (Monday)],A103)</f>
        <v>229.1</v>
      </c>
      <c r="D103" s="9">
        <f>SUMIFS(tblWorkPackages[Actual labor hours],tblWorkPackages[Request week (Monday)],A103)</f>
        <v>263.5</v>
      </c>
      <c r="E103" s="9">
        <f>SUMIFS(tblLaborEntries[Hours booked],tblLaborEntries[Work week (Monday)],A103)</f>
        <v>224.1</v>
      </c>
      <c r="F103" s="3">
        <f>COUNTIFS(tblWorkPackages[Request week (Monday)],A103,tblWorkPackages[Priority],"Urgent")</f>
        <v>2</v>
      </c>
      <c r="G103" s="10">
        <f>SUMIFS(tblWorkPackages[Planning forecast hours],tblWorkPackages[Request week (Monday)],A103)</f>
        <v>246.41763464382</v>
      </c>
    </row>
    <row r="104" spans="1:7" ht="15" x14ac:dyDescent="0.25">
      <c r="A104" s="3" t="s">
        <v>378</v>
      </c>
      <c r="B104" s="3">
        <f>COUNTIFS(tblWorkPackages[Request week (Monday)],A104)</f>
        <v>26</v>
      </c>
      <c r="C104" s="9">
        <f>SUMIFS(tblWorkPackages[Estimated labor hours],tblWorkPackages[Request week (Monday)],A104)</f>
        <v>307.7</v>
      </c>
      <c r="D104" s="9">
        <f>SUMIFS(tblWorkPackages[Actual labor hours],tblWorkPackages[Request week (Monday)],A104)</f>
        <v>344.9</v>
      </c>
      <c r="E104" s="9">
        <f>SUMIFS(tblLaborEntries[Hours booked],tblLaborEntries[Work week (Monday)],A104)</f>
        <v>278.3</v>
      </c>
      <c r="F104" s="3">
        <f>COUNTIFS(tblWorkPackages[Request week (Monday)],A104,tblWorkPackages[Priority],"Urgent")</f>
        <v>2</v>
      </c>
      <c r="G104" s="10">
        <f>SUMIFS(tblWorkPackages[Planning forecast hours],tblWorkPackages[Request week (Monday)],A104)</f>
        <v>332.359248625661</v>
      </c>
    </row>
    <row r="105" spans="1:7" ht="15" x14ac:dyDescent="0.25">
      <c r="A105" s="3" t="s">
        <v>543</v>
      </c>
      <c r="B105" s="3">
        <f>COUNTIFS(tblWorkPackages[Request week (Monday)],A105)</f>
        <v>25</v>
      </c>
      <c r="C105" s="9">
        <f>SUMIFS(tblWorkPackages[Estimated labor hours],tblWorkPackages[Request week (Monday)],A105)</f>
        <v>238.8</v>
      </c>
      <c r="D105" s="9">
        <f>SUMIFS(tblWorkPackages[Actual labor hours],tblWorkPackages[Request week (Monday)],A105)</f>
        <v>242.9</v>
      </c>
      <c r="E105" s="9">
        <f>SUMIFS(tblLaborEntries[Hours booked],tblLaborEntries[Work week (Monday)],A105)</f>
        <v>256.5</v>
      </c>
      <c r="F105" s="3">
        <f>COUNTIFS(tblWorkPackages[Request week (Monday)],A105,tblWorkPackages[Priority],"Urgent")</f>
        <v>3</v>
      </c>
      <c r="G105" s="10">
        <f>SUMIFS(tblWorkPackages[Planning forecast hours],tblWorkPackages[Request week (Monday)],A105)</f>
        <v>258.635373375217</v>
      </c>
    </row>
    <row r="106" spans="1:7" ht="15" x14ac:dyDescent="0.25">
      <c r="A106" s="3" t="s">
        <v>1133</v>
      </c>
      <c r="B106" s="3">
        <f>COUNTIFS(tblWorkPackages[Request week (Monday)],A106)</f>
        <v>24</v>
      </c>
      <c r="C106" s="9">
        <f>SUMIFS(tblWorkPackages[Estimated labor hours],tblWorkPackages[Request week (Monday)],A106)</f>
        <v>258.4</v>
      </c>
      <c r="D106" s="9">
        <f>SUMIFS(tblWorkPackages[Actual labor hours],tblWorkPackages[Request week (Monday)],A106)</f>
        <v>260.9</v>
      </c>
      <c r="E106" s="9">
        <f>SUMIFS(tblLaborEntries[Hours booked],tblLaborEntries[Work week (Monday)],A106)</f>
        <v>264.1</v>
      </c>
      <c r="F106" s="3">
        <f>COUNTIFS(tblWorkPackages[Request week (Monday)],A106,tblWorkPackages[Priority],"Urgent")</f>
        <v>1</v>
      </c>
      <c r="G106" s="10">
        <f>SUMIFS(tblWorkPackages[Planning forecast hours],tblWorkPackages[Request week (Monday)],A106)</f>
        <v>276.665106915827</v>
      </c>
    </row>
    <row r="107" spans="1:7" ht="15" x14ac:dyDescent="0.25">
      <c r="A107" s="3" t="s">
        <v>307</v>
      </c>
      <c r="B107" s="3">
        <f>COUNTIFS(tblWorkPackages[Request week (Monday)],A107)</f>
        <v>23</v>
      </c>
      <c r="C107" s="9">
        <f>SUMIFS(tblWorkPackages[Estimated labor hours],tblWorkPackages[Request week (Monday)],A107)</f>
        <v>197.4</v>
      </c>
      <c r="D107" s="9">
        <f>SUMIFS(tblWorkPackages[Actual labor hours],tblWorkPackages[Request week (Monday)],A107)</f>
        <v>225.7</v>
      </c>
      <c r="E107" s="9">
        <f>SUMIFS(tblLaborEntries[Hours booked],tblLaborEntries[Work week (Monday)],A107)</f>
        <v>231.3</v>
      </c>
      <c r="F107" s="3">
        <f>COUNTIFS(tblWorkPackages[Request week (Monday)],A107,tblWorkPackages[Priority],"Urgent")</f>
        <v>1</v>
      </c>
      <c r="G107" s="10">
        <f>SUMIFS(tblWorkPackages[Planning forecast hours],tblWorkPackages[Request week (Monday)],A107)</f>
        <v>214.135131831248</v>
      </c>
    </row>
    <row r="108" spans="1:7" ht="15" x14ac:dyDescent="0.25">
      <c r="A108" s="3" t="s">
        <v>937</v>
      </c>
      <c r="B108" s="3">
        <f>COUNTIFS(tblWorkPackages[Request week (Monday)],A108)</f>
        <v>28</v>
      </c>
      <c r="C108" s="9">
        <f>SUMIFS(tblWorkPackages[Estimated labor hours],tblWorkPackages[Request week (Monday)],A108)</f>
        <v>286.6</v>
      </c>
      <c r="D108" s="9">
        <f>SUMIFS(tblWorkPackages[Actual labor hours],tblWorkPackages[Request week (Monday)],A108)</f>
        <v>288.2</v>
      </c>
      <c r="E108" s="9">
        <f>SUMIFS(tblLaborEntries[Hours booked],tblLaborEntries[Work week (Monday)],A108)</f>
        <v>234.6</v>
      </c>
      <c r="F108" s="3">
        <f>COUNTIFS(tblWorkPackages[Request week (Monday)],A108,tblWorkPackages[Priority],"Urgent")</f>
        <v>2</v>
      </c>
      <c r="G108" s="10">
        <f>SUMIFS(tblWorkPackages[Planning forecast hours],tblWorkPackages[Request week (Monday)],A108)</f>
        <v>311.915414484844</v>
      </c>
    </row>
    <row r="109" spans="1:7" ht="15" x14ac:dyDescent="0.25">
      <c r="A109" s="3" t="s">
        <v>538</v>
      </c>
      <c r="B109" s="3">
        <f>COUNTIFS(tblWorkPackages[Request week (Monday)],A109)</f>
        <v>18</v>
      </c>
      <c r="C109" s="9">
        <f>SUMIFS(tblWorkPackages[Estimated labor hours],tblWorkPackages[Request week (Monday)],A109)</f>
        <v>199.7</v>
      </c>
      <c r="D109" s="9">
        <f>SUMIFS(tblWorkPackages[Actual labor hours],tblWorkPackages[Request week (Monday)],A109)</f>
        <v>212.6</v>
      </c>
      <c r="E109" s="9">
        <f>SUMIFS(tblLaborEntries[Hours booked],tblLaborEntries[Work week (Monday)],A109)</f>
        <v>202</v>
      </c>
      <c r="F109" s="3">
        <f>COUNTIFS(tblWorkPackages[Request week (Monday)],A109,tblWorkPackages[Priority],"Urgent")</f>
        <v>6</v>
      </c>
      <c r="G109" s="10">
        <f>SUMIFS(tblWorkPackages[Planning forecast hours],tblWorkPackages[Request week (Monday)],A109)</f>
        <v>214.605917249336</v>
      </c>
    </row>
    <row r="110" spans="1:7" ht="15" x14ac:dyDescent="0.25">
      <c r="A110" s="3" t="s">
        <v>973</v>
      </c>
      <c r="B110" s="3">
        <f>COUNTIFS(tblWorkPackages[Request week (Monday)],A110)</f>
        <v>18</v>
      </c>
      <c r="C110" s="9">
        <f>SUMIFS(tblWorkPackages[Estimated labor hours],tblWorkPackages[Request week (Monday)],A110)</f>
        <v>207.2</v>
      </c>
      <c r="D110" s="9">
        <f>SUMIFS(tblWorkPackages[Actual labor hours],tblWorkPackages[Request week (Monday)],A110)</f>
        <v>232.3</v>
      </c>
      <c r="E110" s="9">
        <f>SUMIFS(tblLaborEntries[Hours booked],tblLaborEntries[Work week (Monday)],A110)</f>
        <v>243.5</v>
      </c>
      <c r="F110" s="3">
        <f>COUNTIFS(tblWorkPackages[Request week (Monday)],A110,tblWorkPackages[Priority],"Urgent")</f>
        <v>2</v>
      </c>
      <c r="G110" s="10">
        <f>SUMIFS(tblWorkPackages[Planning forecast hours],tblWorkPackages[Request week (Monday)],A110)</f>
        <v>223.813681101622</v>
      </c>
    </row>
    <row r="111" spans="1:7" ht="15" x14ac:dyDescent="0.25">
      <c r="A111" s="3" t="s">
        <v>1581</v>
      </c>
      <c r="B111" s="3">
        <f>COUNTIFS(tblWorkPackages[Request week (Monday)],A111)</f>
        <v>19</v>
      </c>
      <c r="C111" s="9">
        <f>SUMIFS(tblWorkPackages[Estimated labor hours],tblWorkPackages[Request week (Monday)],A111)</f>
        <v>207.7</v>
      </c>
      <c r="D111" s="9">
        <f>SUMIFS(tblWorkPackages[Actual labor hours],tblWorkPackages[Request week (Monday)],A111)</f>
        <v>209</v>
      </c>
      <c r="E111" s="9">
        <f>SUMIFS(tblLaborEntries[Hours booked],tblLaborEntries[Work week (Monday)],A111)</f>
        <v>174.6</v>
      </c>
      <c r="F111" s="3">
        <f>COUNTIFS(tblWorkPackages[Request week (Monday)],A111,tblWorkPackages[Priority],"Urgent")</f>
        <v>2</v>
      </c>
      <c r="G111" s="10">
        <f>SUMIFS(tblWorkPackages[Planning forecast hours],tblWorkPackages[Request week (Monday)],A111)</f>
        <v>221.911166363284</v>
      </c>
    </row>
    <row r="112" spans="1:7" ht="15" x14ac:dyDescent="0.25">
      <c r="A112" s="3" t="s">
        <v>909</v>
      </c>
      <c r="B112" s="3">
        <f>COUNTIFS(tblWorkPackages[Request week (Monday)],A112)</f>
        <v>20</v>
      </c>
      <c r="C112" s="9">
        <f>SUMIFS(tblWorkPackages[Estimated labor hours],tblWorkPackages[Request week (Monday)],A112)</f>
        <v>188.9</v>
      </c>
      <c r="D112" s="9">
        <f>SUMIFS(tblWorkPackages[Actual labor hours],tblWorkPackages[Request week (Monday)],A112)</f>
        <v>202.1</v>
      </c>
      <c r="E112" s="9">
        <f>SUMIFS(tblLaborEntries[Hours booked],tblLaborEntries[Work week (Monday)],A112)</f>
        <v>264.9</v>
      </c>
      <c r="F112" s="3">
        <f>COUNTIFS(tblWorkPackages[Request week (Monday)],A112,tblWorkPackages[Priority],"Urgent")</f>
        <v>2</v>
      </c>
      <c r="G112" s="10">
        <f>SUMIFS(tblWorkPackages[Planning forecast hours],tblWorkPackages[Request week (Monday)],A112)</f>
        <v>201.522536343297</v>
      </c>
    </row>
    <row r="113" spans="1:7" ht="15" x14ac:dyDescent="0.25">
      <c r="A113" s="3" t="s">
        <v>848</v>
      </c>
      <c r="B113" s="3">
        <f>COUNTIFS(tblWorkPackages[Request week (Monday)],A113)</f>
        <v>25</v>
      </c>
      <c r="C113" s="9">
        <f>SUMIFS(tblWorkPackages[Estimated labor hours],tblWorkPackages[Request week (Monday)],A113)</f>
        <v>226.9</v>
      </c>
      <c r="D113" s="9">
        <f>SUMIFS(tblWorkPackages[Actual labor hours],tblWorkPackages[Request week (Monday)],A113)</f>
        <v>257.2</v>
      </c>
      <c r="E113" s="9">
        <f>SUMIFS(tblLaborEntries[Hours booked],tblLaborEntries[Work week (Monday)],A113)</f>
        <v>238.3</v>
      </c>
      <c r="F113" s="3">
        <f>COUNTIFS(tblWorkPackages[Request week (Monday)],A113,tblWorkPackages[Priority],"Urgent")</f>
        <v>0</v>
      </c>
      <c r="G113" s="10">
        <f>SUMIFS(tblWorkPackages[Planning forecast hours],tblWorkPackages[Request week (Monday)],A113)</f>
        <v>244.801564639177</v>
      </c>
    </row>
    <row r="114" spans="1:7" ht="15" x14ac:dyDescent="0.25">
      <c r="A114" s="3" t="s">
        <v>914</v>
      </c>
      <c r="B114" s="3">
        <f>COUNTIFS(tblWorkPackages[Request week (Monday)],A114)</f>
        <v>28</v>
      </c>
      <c r="C114" s="9">
        <f>SUMIFS(tblWorkPackages[Estimated labor hours],tblWorkPackages[Request week (Monday)],A114)</f>
        <v>331.6</v>
      </c>
      <c r="D114" s="9">
        <f>SUMIFS(tblWorkPackages[Actual labor hours],tblWorkPackages[Request week (Monday)],A114)</f>
        <v>365.8</v>
      </c>
      <c r="E114" s="9">
        <f>SUMIFS(tblLaborEntries[Hours booked],tblLaborEntries[Work week (Monday)],A114)</f>
        <v>310.1</v>
      </c>
      <c r="F114" s="3">
        <f>COUNTIFS(tblWorkPackages[Request week (Monday)],A114,tblWorkPackages[Priority],"Urgent")</f>
        <v>3</v>
      </c>
      <c r="G114" s="10">
        <f>SUMIFS(tblWorkPackages[Planning forecast hours],tblWorkPackages[Request week (Monday)],A114)</f>
        <v>355.611088468778</v>
      </c>
    </row>
    <row r="115" spans="1:7" ht="15" x14ac:dyDescent="0.25">
      <c r="A115" s="3" t="s">
        <v>765</v>
      </c>
      <c r="B115" s="3">
        <f>COUNTIFS(tblWorkPackages[Request week (Monday)],A115)</f>
        <v>11</v>
      </c>
      <c r="C115" s="9">
        <f>SUMIFS(tblWorkPackages[Estimated labor hours],tblWorkPackages[Request week (Monday)],A115)</f>
        <v>174</v>
      </c>
      <c r="D115" s="9">
        <f>SUMIFS(tblWorkPackages[Actual labor hours],tblWorkPackages[Request week (Monday)],A115)</f>
        <v>185.7</v>
      </c>
      <c r="E115" s="9">
        <f>SUMIFS(tblLaborEntries[Hours booked],tblLaborEntries[Work week (Monday)],A115)</f>
        <v>317</v>
      </c>
      <c r="F115" s="3">
        <f>COUNTIFS(tblWorkPackages[Request week (Monday)],A115,tblWorkPackages[Priority],"Urgent")</f>
        <v>1</v>
      </c>
      <c r="G115" s="10">
        <f>SUMIFS(tblWorkPackages[Planning forecast hours],tblWorkPackages[Request week (Monday)],A115)</f>
        <v>184.355333178797</v>
      </c>
    </row>
    <row r="117" spans="1:7" x14ac:dyDescent="0.2">
      <c r="A117" s="11" t="s">
        <v>9446</v>
      </c>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G131"/>
  <sheetViews>
    <sheetView showGridLines="0" zoomScaleNormal="100" workbookViewId="0">
      <pane ySplit="11" topLeftCell="A12" activePane="bottomLeft" state="frozen"/>
      <selection pane="bottomLeft" activeCell="G27" sqref="G27"/>
    </sheetView>
  </sheetViews>
  <sheetFormatPr defaultColWidth="8.7109375" defaultRowHeight="12.75" x14ac:dyDescent="0.2"/>
  <cols>
    <col min="1" max="1" width="32" customWidth="1"/>
    <col min="2" max="2" width="14" customWidth="1"/>
    <col min="3" max="4" width="20" customWidth="1"/>
    <col min="5" max="5" width="27" customWidth="1"/>
    <col min="6" max="6" width="29" customWidth="1"/>
    <col min="7" max="7" width="24" customWidth="1"/>
  </cols>
  <sheetData>
    <row r="2" spans="1:7" ht="19.5" x14ac:dyDescent="0.3">
      <c r="A2" s="1" t="s">
        <v>9447</v>
      </c>
    </row>
    <row r="4" spans="1:7" x14ac:dyDescent="0.2">
      <c r="A4" s="2" t="s">
        <v>9448</v>
      </c>
      <c r="B4" s="3">
        <f>COUNTA(tblWorkPackages[Work package ID])</f>
        <v>2400</v>
      </c>
    </row>
    <row r="5" spans="1:7" x14ac:dyDescent="0.2">
      <c r="A5" s="2" t="s">
        <v>9449</v>
      </c>
      <c r="B5" s="9">
        <f>SUM(tblWorkPackages[Estimated labor hours])</f>
        <v>27448.8</v>
      </c>
    </row>
    <row r="6" spans="1:7" x14ac:dyDescent="0.2">
      <c r="A6" s="2" t="s">
        <v>9450</v>
      </c>
      <c r="B6" s="9">
        <f>SUM(tblWorkPackages[Actual labor hours])</f>
        <v>29351.1</v>
      </c>
    </row>
    <row r="7" spans="1:7" x14ac:dyDescent="0.2">
      <c r="A7" s="2" t="s">
        <v>9451</v>
      </c>
      <c r="B7" s="9">
        <f>B6-B5</f>
        <v>1902.3</v>
      </c>
    </row>
    <row r="8" spans="1:7" x14ac:dyDescent="0.2">
      <c r="A8" s="2" t="s">
        <v>9452</v>
      </c>
      <c r="B8" s="12">
        <f>AVERAGE(tblWorkPackages[Absolute estimate error])</f>
        <v>1.836875</v>
      </c>
    </row>
    <row r="11" spans="1:7" x14ac:dyDescent="0.2">
      <c r="A11" s="7" t="s">
        <v>91</v>
      </c>
      <c r="B11" s="7" t="s">
        <v>9453</v>
      </c>
      <c r="C11" s="7" t="s">
        <v>9449</v>
      </c>
      <c r="D11" s="7" t="s">
        <v>9450</v>
      </c>
      <c r="E11" s="7" t="s">
        <v>9454</v>
      </c>
      <c r="F11" s="7" t="s">
        <v>9455</v>
      </c>
      <c r="G11" s="7" t="s">
        <v>9456</v>
      </c>
    </row>
    <row r="12" spans="1:7" x14ac:dyDescent="0.2">
      <c r="A12" s="3" t="s">
        <v>209</v>
      </c>
      <c r="B12" s="3">
        <f>COUNTIFS(tblWorkPackages[Task type],$A12)</f>
        <v>169</v>
      </c>
      <c r="C12" s="9">
        <f>SUMIFS(tblWorkPackages[Estimated labor hours],tblWorkPackages[Task type],$A12)</f>
        <v>4254.9</v>
      </c>
      <c r="D12" s="9">
        <f>SUMIFS(tblWorkPackages[Actual labor hours],tblWorkPackages[Task type],$A12)</f>
        <v>4557.1</v>
      </c>
      <c r="E12" s="9">
        <f t="shared" ref="E12:E23" si="0">D12-C12</f>
        <v>302.200000000001</v>
      </c>
      <c r="F12" s="12">
        <f>IF(B12=0,"",SUMIFS(tblWorkPackages[Absolute estimate error],tblWorkPackages[Task type],$A12)/B12)</f>
        <v>3.91360946745562</v>
      </c>
      <c r="G12" s="3">
        <f>SUMIFS(tblWorkPackages[Above estimate (0/1)],tblWorkPackages[Task type],$A12)</f>
        <v>101</v>
      </c>
    </row>
    <row r="13" spans="1:7" x14ac:dyDescent="0.2">
      <c r="A13" s="3" t="s">
        <v>144</v>
      </c>
      <c r="B13" s="3">
        <f>COUNTIFS(tblWorkPackages[Task type],$A13)</f>
        <v>205</v>
      </c>
      <c r="C13" s="9">
        <f>SUMIFS(tblWorkPackages[Estimated labor hours],tblWorkPackages[Task type],$A13)</f>
        <v>2568.2</v>
      </c>
      <c r="D13" s="9">
        <f>SUMIFS(tblWorkPackages[Actual labor hours],tblWorkPackages[Task type],$A13)</f>
        <v>2832</v>
      </c>
      <c r="E13" s="9">
        <f t="shared" si="0"/>
        <v>263.8</v>
      </c>
      <c r="F13" s="12">
        <f>IF(B13=0,"",SUMIFS(tblWorkPackages[Absolute estimate error],tblWorkPackages[Task type],$A13)/B13)</f>
        <v>2.26146341463415</v>
      </c>
      <c r="G13" s="3">
        <f>SUMIFS(tblWorkPackages[Above estimate (0/1)],tblWorkPackages[Task type],$A13)</f>
        <v>135</v>
      </c>
    </row>
    <row r="14" spans="1:7" x14ac:dyDescent="0.2">
      <c r="A14" s="3" t="s">
        <v>223</v>
      </c>
      <c r="B14" s="3">
        <f>COUNTIFS(tblWorkPackages[Task type],$A14)</f>
        <v>203</v>
      </c>
      <c r="C14" s="9">
        <f>SUMIFS(tblWorkPackages[Estimated labor hours],tblWorkPackages[Task type],$A14)</f>
        <v>3038.6</v>
      </c>
      <c r="D14" s="9">
        <f>SUMIFS(tblWorkPackages[Actual labor hours],tblWorkPackages[Task type],$A14)</f>
        <v>3237</v>
      </c>
      <c r="E14" s="9">
        <f t="shared" si="0"/>
        <v>198.4</v>
      </c>
      <c r="F14" s="12">
        <f>IF(B14=0,"",SUMIFS(tblWorkPackages[Absolute estimate error],tblWorkPackages[Task type],$A14)/B14)</f>
        <v>2.23546798029557</v>
      </c>
      <c r="G14" s="3">
        <f>SUMIFS(tblWorkPackages[Above estimate (0/1)],tblWorkPackages[Task type],$A14)</f>
        <v>124</v>
      </c>
    </row>
    <row r="15" spans="1:7" x14ac:dyDescent="0.2">
      <c r="A15" s="3" t="s">
        <v>136</v>
      </c>
      <c r="B15" s="3">
        <f>COUNTIFS(tblWorkPackages[Task type],$A15)</f>
        <v>220</v>
      </c>
      <c r="C15" s="9">
        <f>SUMIFS(tblWorkPackages[Estimated labor hours],tblWorkPackages[Task type],$A15)</f>
        <v>3840.6</v>
      </c>
      <c r="D15" s="9">
        <f>SUMIFS(tblWorkPackages[Actual labor hours],tblWorkPackages[Task type],$A15)</f>
        <v>4037.8</v>
      </c>
      <c r="E15" s="9">
        <f t="shared" si="0"/>
        <v>197.2</v>
      </c>
      <c r="F15" s="12">
        <f>IF(B15=0,"",SUMIFS(tblWorkPackages[Absolute estimate error],tblWorkPackages[Task type],$A15)/B15)</f>
        <v>2.78181818181818</v>
      </c>
      <c r="G15" s="3">
        <f>SUMIFS(tblWorkPackages[Above estimate (0/1)],tblWorkPackages[Task type],$A15)</f>
        <v>126</v>
      </c>
    </row>
    <row r="16" spans="1:7" x14ac:dyDescent="0.2">
      <c r="A16" s="3" t="s">
        <v>272</v>
      </c>
      <c r="B16" s="3">
        <f>COUNTIFS(tblWorkPackages[Task type],$A16)</f>
        <v>179</v>
      </c>
      <c r="C16" s="9">
        <f>SUMIFS(tblWorkPackages[Estimated labor hours],tblWorkPackages[Task type],$A16)</f>
        <v>2375.4</v>
      </c>
      <c r="D16" s="9">
        <f>SUMIFS(tblWorkPackages[Actual labor hours],tblWorkPackages[Task type],$A16)</f>
        <v>2555.1</v>
      </c>
      <c r="E16" s="9">
        <f t="shared" si="0"/>
        <v>179.7</v>
      </c>
      <c r="F16" s="12">
        <f>IF(B16=0,"",SUMIFS(tblWorkPackages[Absolute estimate error],tblWorkPackages[Task type],$A16)/B16)</f>
        <v>2.13128491620112</v>
      </c>
      <c r="G16" s="3">
        <f>SUMIFS(tblWorkPackages[Above estimate (0/1)],tblWorkPackages[Task type],$A16)</f>
        <v>109</v>
      </c>
    </row>
    <row r="17" spans="1:7" x14ac:dyDescent="0.2">
      <c r="A17" s="3" t="s">
        <v>242</v>
      </c>
      <c r="B17" s="3">
        <f>COUNTIFS(tblWorkPackages[Task type],$A17)</f>
        <v>216</v>
      </c>
      <c r="C17" s="9">
        <f>SUMIFS(tblWorkPackages[Estimated labor hours],tblWorkPackages[Task type],$A17)</f>
        <v>2290.9</v>
      </c>
      <c r="D17" s="9">
        <f>SUMIFS(tblWorkPackages[Actual labor hours],tblWorkPackages[Task type],$A17)</f>
        <v>2456.4</v>
      </c>
      <c r="E17" s="9">
        <f t="shared" si="0"/>
        <v>165.5</v>
      </c>
      <c r="F17" s="12">
        <f>IF(B17=0,"",SUMIFS(tblWorkPackages[Absolute estimate error],tblWorkPackages[Task type],$A17)/B17)</f>
        <v>1.7125</v>
      </c>
      <c r="G17" s="3">
        <f>SUMIFS(tblWorkPackages[Above estimate (0/1)],tblWorkPackages[Task type],$A17)</f>
        <v>130</v>
      </c>
    </row>
    <row r="18" spans="1:7" x14ac:dyDescent="0.2">
      <c r="A18" s="3" t="s">
        <v>153</v>
      </c>
      <c r="B18" s="3">
        <f>COUNTIFS(tblWorkPackages[Task type],$A18)</f>
        <v>196</v>
      </c>
      <c r="C18" s="9">
        <f>SUMIFS(tblWorkPackages[Estimated labor hours],tblWorkPackages[Task type],$A18)</f>
        <v>2290.7</v>
      </c>
      <c r="D18" s="9">
        <f>SUMIFS(tblWorkPackages[Actual labor hours],tblWorkPackages[Task type],$A18)</f>
        <v>2421.7</v>
      </c>
      <c r="E18" s="9">
        <f t="shared" si="0"/>
        <v>131</v>
      </c>
      <c r="F18" s="12">
        <f>IF(B18=0,"",SUMIFS(tblWorkPackages[Absolute estimate error],tblWorkPackages[Task type],$A18)/B18)</f>
        <v>1.86938775510204</v>
      </c>
      <c r="G18" s="3">
        <f>SUMIFS(tblWorkPackages[Above estimate (0/1)],tblWorkPackages[Task type],$A18)</f>
        <v>114</v>
      </c>
    </row>
    <row r="19" spans="1:7" x14ac:dyDescent="0.2">
      <c r="A19" s="3" t="s">
        <v>181</v>
      </c>
      <c r="B19" s="3">
        <f>COUNTIFS(tblWorkPackages[Task type],$A19)</f>
        <v>201</v>
      </c>
      <c r="C19" s="9">
        <f>SUMIFS(tblWorkPackages[Estimated labor hours],tblWorkPackages[Task type],$A19)</f>
        <v>1871.3</v>
      </c>
      <c r="D19" s="9">
        <f>SUMIFS(tblWorkPackages[Actual labor hours],tblWorkPackages[Task type],$A19)</f>
        <v>1998.8</v>
      </c>
      <c r="E19" s="9">
        <f t="shared" si="0"/>
        <v>127.5</v>
      </c>
      <c r="F19" s="12">
        <f>IF(B19=0,"",SUMIFS(tblWorkPackages[Absolute estimate error],tblWorkPackages[Task type],$A19)/B19)</f>
        <v>1.54179104477612</v>
      </c>
      <c r="G19" s="3">
        <f>SUMIFS(tblWorkPackages[Above estimate (0/1)],tblWorkPackages[Task type],$A19)</f>
        <v>107</v>
      </c>
    </row>
    <row r="20" spans="1:7" x14ac:dyDescent="0.2">
      <c r="A20" s="3" t="s">
        <v>127</v>
      </c>
      <c r="B20" s="3">
        <f>COUNTIFS(tblWorkPackages[Task type],$A20)</f>
        <v>196</v>
      </c>
      <c r="C20" s="9">
        <f>SUMIFS(tblWorkPackages[Estimated labor hours],tblWorkPackages[Task type],$A20)</f>
        <v>1677</v>
      </c>
      <c r="D20" s="9">
        <f>SUMIFS(tblWorkPackages[Actual labor hours],tblWorkPackages[Task type],$A20)</f>
        <v>1783.7</v>
      </c>
      <c r="E20" s="9">
        <f t="shared" si="0"/>
        <v>106.7</v>
      </c>
      <c r="F20" s="12">
        <f>IF(B20=0,"",SUMIFS(tblWorkPackages[Absolute estimate error],tblWorkPackages[Task type],$A20)/B20)</f>
        <v>1.35459183673469</v>
      </c>
      <c r="G20" s="3">
        <f>SUMIFS(tblWorkPackages[Above estimate (0/1)],tblWorkPackages[Task type],$A20)</f>
        <v>116</v>
      </c>
    </row>
    <row r="21" spans="1:7" x14ac:dyDescent="0.2">
      <c r="A21" s="3" t="s">
        <v>237</v>
      </c>
      <c r="B21" s="3">
        <f>COUNTIFS(tblWorkPackages[Task type],$A21)</f>
        <v>214</v>
      </c>
      <c r="C21" s="9">
        <f>SUMIFS(tblWorkPackages[Estimated labor hours],tblWorkPackages[Task type],$A21)</f>
        <v>1383.9</v>
      </c>
      <c r="D21" s="9">
        <f>SUMIFS(tblWorkPackages[Actual labor hours],tblWorkPackages[Task type],$A21)</f>
        <v>1470.8</v>
      </c>
      <c r="E21" s="9">
        <f t="shared" si="0"/>
        <v>86.8999999999999</v>
      </c>
      <c r="F21" s="12">
        <f>IF(B21=0,"",SUMIFS(tblWorkPackages[Absolute estimate error],tblWorkPackages[Task type],$A21)/B21)</f>
        <v>1.04626168224299</v>
      </c>
      <c r="G21" s="3">
        <f>SUMIFS(tblWorkPackages[Above estimate (0/1)],tblWorkPackages[Task type],$A21)</f>
        <v>121</v>
      </c>
    </row>
    <row r="22" spans="1:7" x14ac:dyDescent="0.2">
      <c r="A22" s="3" t="s">
        <v>160</v>
      </c>
      <c r="B22" s="3">
        <f>COUNTIFS(tblWorkPackages[Task type],$A22)</f>
        <v>187</v>
      </c>
      <c r="C22" s="9">
        <f>SUMIFS(tblWorkPackages[Estimated labor hours],tblWorkPackages[Task type],$A22)</f>
        <v>1060.2</v>
      </c>
      <c r="D22" s="9">
        <f>SUMIFS(tblWorkPackages[Actual labor hours],tblWorkPackages[Task type],$A22)</f>
        <v>1134.8</v>
      </c>
      <c r="E22" s="9">
        <f t="shared" si="0"/>
        <v>74.5999999999999</v>
      </c>
      <c r="F22" s="12">
        <f>IF(B22=0,"",SUMIFS(tblWorkPackages[Absolute estimate error],tblWorkPackages[Task type],$A22)/B22)</f>
        <v>0.874866310160428</v>
      </c>
      <c r="G22" s="3">
        <f>SUMIFS(tblWorkPackages[Above estimate (0/1)],tblWorkPackages[Task type],$A22)</f>
        <v>112</v>
      </c>
    </row>
    <row r="23" spans="1:7" x14ac:dyDescent="0.2">
      <c r="A23" s="3" t="s">
        <v>200</v>
      </c>
      <c r="B23" s="3">
        <f>COUNTIFS(tblWorkPackages[Task type],$A23)</f>
        <v>214</v>
      </c>
      <c r="C23" s="9">
        <f>SUMIFS(tblWorkPackages[Estimated labor hours],tblWorkPackages[Task type],$A23)</f>
        <v>797.1</v>
      </c>
      <c r="D23" s="9">
        <f>SUMIFS(tblWorkPackages[Actual labor hours],tblWorkPackages[Task type],$A23)</f>
        <v>865.9</v>
      </c>
      <c r="E23" s="9">
        <f t="shared" si="0"/>
        <v>68.8</v>
      </c>
      <c r="F23" s="12">
        <f>IF(B23=0,"",SUMIFS(tblWorkPackages[Absolute estimate error],tblWorkPackages[Task type],$A23)/B23)</f>
        <v>0.640186915887851</v>
      </c>
      <c r="G23" s="3">
        <f>SUMIFS(tblWorkPackages[Above estimate (0/1)],tblWorkPackages[Task type],$A23)</f>
        <v>134</v>
      </c>
    </row>
    <row r="24" spans="1:7" x14ac:dyDescent="0.2">
      <c r="A24" s="11" t="s">
        <v>9457</v>
      </c>
    </row>
    <row r="26" spans="1:7" x14ac:dyDescent="0.2">
      <c r="A26" s="7" t="s">
        <v>9440</v>
      </c>
      <c r="B26" s="7" t="s">
        <v>9453</v>
      </c>
      <c r="C26" s="7" t="s">
        <v>9449</v>
      </c>
      <c r="D26" s="7" t="s">
        <v>9450</v>
      </c>
      <c r="E26" s="7" t="s">
        <v>9454</v>
      </c>
      <c r="F26" s="7" t="s">
        <v>9455</v>
      </c>
      <c r="G26" s="7" t="s">
        <v>9456</v>
      </c>
    </row>
    <row r="27" spans="1:7" x14ac:dyDescent="0.2">
      <c r="A27" s="3" t="s">
        <v>1974</v>
      </c>
      <c r="B27" s="3">
        <f>COUNTIFS(tblWorkPackages[Request week (Monday)],$A27)</f>
        <v>16</v>
      </c>
      <c r="C27" s="9">
        <f>SUMIFS(tblWorkPackages[Estimated labor hours],tblWorkPackages[Request week (Monday)],$A27)</f>
        <v>167.5</v>
      </c>
      <c r="D27" s="9">
        <f>SUMIFS(tblWorkPackages[Actual labor hours],tblWorkPackages[Request week (Monday)],$A27)</f>
        <v>179.7</v>
      </c>
      <c r="E27" s="9">
        <f t="shared" ref="E27:E58" si="1">D27-C27</f>
        <v>12.2</v>
      </c>
      <c r="F27" s="12">
        <f>IF(B27=0,"",SUMIFS(tblWorkPackages[Absolute estimate error],tblWorkPackages[Request week (Monday)],$A27)/B27)</f>
        <v>1.2375</v>
      </c>
      <c r="G27" s="3">
        <f>SUMIFS(tblWorkPackages[Above estimate (0/1)],tblWorkPackages[Request week (Monday)],$A27)</f>
        <v>10</v>
      </c>
    </row>
    <row r="28" spans="1:7" x14ac:dyDescent="0.2">
      <c r="A28" s="3" t="s">
        <v>1236</v>
      </c>
      <c r="B28" s="3">
        <f>COUNTIFS(tblWorkPackages[Request week (Monday)],$A28)</f>
        <v>21</v>
      </c>
      <c r="C28" s="9">
        <f>SUMIFS(tblWorkPackages[Estimated labor hours],tblWorkPackages[Request week (Monday)],$A28)</f>
        <v>249.9</v>
      </c>
      <c r="D28" s="9">
        <f>SUMIFS(tblWorkPackages[Actual labor hours],tblWorkPackages[Request week (Monday)],$A28)</f>
        <v>260</v>
      </c>
      <c r="E28" s="9">
        <f t="shared" si="1"/>
        <v>10.1</v>
      </c>
      <c r="F28" s="12">
        <f>IF(B28=0,"",SUMIFS(tblWorkPackages[Absolute estimate error],tblWorkPackages[Request week (Monday)],$A28)/B28)</f>
        <v>1.7</v>
      </c>
      <c r="G28" s="3">
        <f>SUMIFS(tblWorkPackages[Above estimate (0/1)],tblWorkPackages[Request week (Monday)],$A28)</f>
        <v>11</v>
      </c>
    </row>
    <row r="29" spans="1:7" x14ac:dyDescent="0.2">
      <c r="A29" s="3" t="s">
        <v>546</v>
      </c>
      <c r="B29" s="3">
        <f>COUNTIFS(tblWorkPackages[Request week (Monday)],$A29)</f>
        <v>20</v>
      </c>
      <c r="C29" s="9">
        <f>SUMIFS(tblWorkPackages[Estimated labor hours],tblWorkPackages[Request week (Monday)],$A29)</f>
        <v>222.7</v>
      </c>
      <c r="D29" s="9">
        <f>SUMIFS(tblWorkPackages[Actual labor hours],tblWorkPackages[Request week (Monday)],$A29)</f>
        <v>224.7</v>
      </c>
      <c r="E29" s="9">
        <f t="shared" si="1"/>
        <v>1.99999999999997</v>
      </c>
      <c r="F29" s="12">
        <f>IF(B29=0,"",SUMIFS(tblWorkPackages[Absolute estimate error],tblWorkPackages[Request week (Monday)],$A29)/B29)</f>
        <v>1.41</v>
      </c>
      <c r="G29" s="3">
        <f>SUMIFS(tblWorkPackages[Above estimate (0/1)],tblWorkPackages[Request week (Monday)],$A29)</f>
        <v>10</v>
      </c>
    </row>
    <row r="30" spans="1:7" x14ac:dyDescent="0.2">
      <c r="A30" s="3" t="s">
        <v>2092</v>
      </c>
      <c r="B30" s="3">
        <f>COUNTIFS(tblWorkPackages[Request week (Monday)],$A30)</f>
        <v>21</v>
      </c>
      <c r="C30" s="9">
        <f>SUMIFS(tblWorkPackages[Estimated labor hours],tblWorkPackages[Request week (Monday)],$A30)</f>
        <v>227.3</v>
      </c>
      <c r="D30" s="9">
        <f>SUMIFS(tblWorkPackages[Actual labor hours],tblWorkPackages[Request week (Monday)],$A30)</f>
        <v>245.1</v>
      </c>
      <c r="E30" s="9">
        <f t="shared" si="1"/>
        <v>17.8</v>
      </c>
      <c r="F30" s="12">
        <f>IF(B30=0,"",SUMIFS(tblWorkPackages[Absolute estimate error],tblWorkPackages[Request week (Monday)],$A30)/B30)</f>
        <v>2.02857142857143</v>
      </c>
      <c r="G30" s="3">
        <f>SUMIFS(tblWorkPackages[Above estimate (0/1)],tblWorkPackages[Request week (Monday)],$A30)</f>
        <v>13</v>
      </c>
    </row>
    <row r="31" spans="1:7" x14ac:dyDescent="0.2">
      <c r="A31" s="3" t="s">
        <v>1315</v>
      </c>
      <c r="B31" s="3">
        <f>COUNTIFS(tblWorkPackages[Request week (Monday)],$A31)</f>
        <v>22</v>
      </c>
      <c r="C31" s="9">
        <f>SUMIFS(tblWorkPackages[Estimated labor hours],tblWorkPackages[Request week (Monday)],$A31)</f>
        <v>233.8</v>
      </c>
      <c r="D31" s="9">
        <f>SUMIFS(tblWorkPackages[Actual labor hours],tblWorkPackages[Request week (Monday)],$A31)</f>
        <v>234.2</v>
      </c>
      <c r="E31" s="9">
        <f t="shared" si="1"/>
        <v>0.400000000000006</v>
      </c>
      <c r="F31" s="12">
        <f>IF(B31=0,"",SUMIFS(tblWorkPackages[Absolute estimate error],tblWorkPackages[Request week (Monday)],$A31)/B31)</f>
        <v>1.67272727272727</v>
      </c>
      <c r="G31" s="3">
        <f>SUMIFS(tblWorkPackages[Above estimate (0/1)],tblWorkPackages[Request week (Monday)],$A31)</f>
        <v>10</v>
      </c>
    </row>
    <row r="32" spans="1:7" x14ac:dyDescent="0.2">
      <c r="A32" s="3" t="s">
        <v>1180</v>
      </c>
      <c r="B32" s="3">
        <f>COUNTIFS(tblWorkPackages[Request week (Monday)],$A32)</f>
        <v>21</v>
      </c>
      <c r="C32" s="9">
        <f>SUMIFS(tblWorkPackages[Estimated labor hours],tblWorkPackages[Request week (Monday)],$A32)</f>
        <v>237.4</v>
      </c>
      <c r="D32" s="9">
        <f>SUMIFS(tblWorkPackages[Actual labor hours],tblWorkPackages[Request week (Monday)],$A32)</f>
        <v>256.6</v>
      </c>
      <c r="E32" s="9">
        <f t="shared" si="1"/>
        <v>19.2</v>
      </c>
      <c r="F32" s="12">
        <f>IF(B32=0,"",SUMIFS(tblWorkPackages[Absolute estimate error],tblWorkPackages[Request week (Monday)],$A32)/B32)</f>
        <v>1.64761904761905</v>
      </c>
      <c r="G32" s="3">
        <f>SUMIFS(tblWorkPackages[Above estimate (0/1)],tblWorkPackages[Request week (Monday)],$A32)</f>
        <v>13</v>
      </c>
    </row>
    <row r="33" spans="1:7" x14ac:dyDescent="0.2">
      <c r="A33" s="3" t="s">
        <v>1457</v>
      </c>
      <c r="B33" s="3">
        <f>COUNTIFS(tblWorkPackages[Request week (Monday)],$A33)</f>
        <v>26</v>
      </c>
      <c r="C33" s="9">
        <f>SUMIFS(tblWorkPackages[Estimated labor hours],tblWorkPackages[Request week (Monday)],$A33)</f>
        <v>342.8</v>
      </c>
      <c r="D33" s="9">
        <f>SUMIFS(tblWorkPackages[Actual labor hours],tblWorkPackages[Request week (Monday)],$A33)</f>
        <v>349.7</v>
      </c>
      <c r="E33" s="9">
        <f t="shared" si="1"/>
        <v>6.89999999999998</v>
      </c>
      <c r="F33" s="12">
        <f>IF(B33=0,"",SUMIFS(tblWorkPackages[Absolute estimate error],tblWorkPackages[Request week (Monday)],$A33)/B33)</f>
        <v>1.65769230769231</v>
      </c>
      <c r="G33" s="3">
        <f>SUMIFS(tblWorkPackages[Above estimate (0/1)],tblWorkPackages[Request week (Monday)],$A33)</f>
        <v>17</v>
      </c>
    </row>
    <row r="34" spans="1:7" x14ac:dyDescent="0.2">
      <c r="A34" s="3" t="s">
        <v>489</v>
      </c>
      <c r="B34" s="3">
        <f>COUNTIFS(tblWorkPackages[Request week (Monday)],$A34)</f>
        <v>13</v>
      </c>
      <c r="C34" s="9">
        <f>SUMIFS(tblWorkPackages[Estimated labor hours],tblWorkPackages[Request week (Monday)],$A34)</f>
        <v>135.4</v>
      </c>
      <c r="D34" s="9">
        <f>SUMIFS(tblWorkPackages[Actual labor hours],tblWorkPackages[Request week (Monday)],$A34)</f>
        <v>152.3</v>
      </c>
      <c r="E34" s="9">
        <f t="shared" si="1"/>
        <v>16.9</v>
      </c>
      <c r="F34" s="12">
        <f>IF(B34=0,"",SUMIFS(tblWorkPackages[Absolute estimate error],tblWorkPackages[Request week (Monday)],$A34)/B34)</f>
        <v>1.71538461538462</v>
      </c>
      <c r="G34" s="3">
        <f>SUMIFS(tblWorkPackages[Above estimate (0/1)],tblWorkPackages[Request week (Monday)],$A34)</f>
        <v>10</v>
      </c>
    </row>
    <row r="35" spans="1:7" x14ac:dyDescent="0.2">
      <c r="A35" s="3" t="s">
        <v>148</v>
      </c>
      <c r="B35" s="3">
        <f>COUNTIFS(tblWorkPackages[Request week (Monday)],$A35)</f>
        <v>26</v>
      </c>
      <c r="C35" s="9">
        <f>SUMIFS(tblWorkPackages[Estimated labor hours],tblWorkPackages[Request week (Monday)],$A35)</f>
        <v>410.7</v>
      </c>
      <c r="D35" s="9">
        <f>SUMIFS(tblWorkPackages[Actual labor hours],tblWorkPackages[Request week (Monday)],$A35)</f>
        <v>433.1</v>
      </c>
      <c r="E35" s="9">
        <f t="shared" si="1"/>
        <v>22.4</v>
      </c>
      <c r="F35" s="12">
        <f>IF(B35=0,"",SUMIFS(tblWorkPackages[Absolute estimate error],tblWorkPackages[Request week (Monday)],$A35)/B35)</f>
        <v>2.35384615384615</v>
      </c>
      <c r="G35" s="3">
        <f>SUMIFS(tblWorkPackages[Above estimate (0/1)],tblWorkPackages[Request week (Monday)],$A35)</f>
        <v>16</v>
      </c>
    </row>
    <row r="36" spans="1:7" x14ac:dyDescent="0.2">
      <c r="A36" s="3" t="s">
        <v>1260</v>
      </c>
      <c r="B36" s="3">
        <f>COUNTIFS(tblWorkPackages[Request week (Monday)],$A36)</f>
        <v>30</v>
      </c>
      <c r="C36" s="9">
        <f>SUMIFS(tblWorkPackages[Estimated labor hours],tblWorkPackages[Request week (Monday)],$A36)</f>
        <v>399.2</v>
      </c>
      <c r="D36" s="9">
        <f>SUMIFS(tblWorkPackages[Actual labor hours],tblWorkPackages[Request week (Monday)],$A36)</f>
        <v>411.4</v>
      </c>
      <c r="E36" s="9">
        <f t="shared" si="1"/>
        <v>12.2</v>
      </c>
      <c r="F36" s="12">
        <f>IF(B36=0,"",SUMIFS(tblWorkPackages[Absolute estimate error],tblWorkPackages[Request week (Monday)],$A36)/B36)</f>
        <v>1.54</v>
      </c>
      <c r="G36" s="3">
        <f>SUMIFS(tblWorkPackages[Above estimate (0/1)],tblWorkPackages[Request week (Monday)],$A36)</f>
        <v>17</v>
      </c>
    </row>
    <row r="37" spans="1:7" x14ac:dyDescent="0.2">
      <c r="A37" s="3" t="s">
        <v>701</v>
      </c>
      <c r="B37" s="3">
        <f>COUNTIFS(tblWorkPackages[Request week (Monday)],$A37)</f>
        <v>21</v>
      </c>
      <c r="C37" s="9">
        <f>SUMIFS(tblWorkPackages[Estimated labor hours],tblWorkPackages[Request week (Monday)],$A37)</f>
        <v>275.1</v>
      </c>
      <c r="D37" s="9">
        <f>SUMIFS(tblWorkPackages[Actual labor hours],tblWorkPackages[Request week (Monday)],$A37)</f>
        <v>302.2</v>
      </c>
      <c r="E37" s="9">
        <f t="shared" si="1"/>
        <v>27.1</v>
      </c>
      <c r="F37" s="12">
        <f>IF(B37=0,"",SUMIFS(tblWorkPackages[Absolute estimate error],tblWorkPackages[Request week (Monday)],$A37)/B37)</f>
        <v>2.29047619047619</v>
      </c>
      <c r="G37" s="3">
        <f>SUMIFS(tblWorkPackages[Above estimate (0/1)],tblWorkPackages[Request week (Monday)],$A37)</f>
        <v>14</v>
      </c>
    </row>
    <row r="38" spans="1:7" x14ac:dyDescent="0.2">
      <c r="A38" s="3" t="s">
        <v>655</v>
      </c>
      <c r="B38" s="3">
        <f>COUNTIFS(tblWorkPackages[Request week (Monday)],$A38)</f>
        <v>20</v>
      </c>
      <c r="C38" s="9">
        <f>SUMIFS(tblWorkPackages[Estimated labor hours],tblWorkPackages[Request week (Monday)],$A38)</f>
        <v>200.3</v>
      </c>
      <c r="D38" s="9">
        <f>SUMIFS(tblWorkPackages[Actual labor hours],tblWorkPackages[Request week (Monday)],$A38)</f>
        <v>197.1</v>
      </c>
      <c r="E38" s="9">
        <f t="shared" si="1"/>
        <v>-3.20000000000002</v>
      </c>
      <c r="F38" s="12">
        <f>IF(B38=0,"",SUMIFS(tblWorkPackages[Absolute estimate error],tblWorkPackages[Request week (Monday)],$A38)/B38)</f>
        <v>1.12</v>
      </c>
      <c r="G38" s="3">
        <f>SUMIFS(tblWorkPackages[Above estimate (0/1)],tblWorkPackages[Request week (Monday)],$A38)</f>
        <v>10</v>
      </c>
    </row>
    <row r="39" spans="1:7" x14ac:dyDescent="0.2">
      <c r="A39" s="3" t="s">
        <v>630</v>
      </c>
      <c r="B39" s="3">
        <f>COUNTIFS(tblWorkPackages[Request week (Monday)],$A39)</f>
        <v>28</v>
      </c>
      <c r="C39" s="9">
        <f>SUMIFS(tblWorkPackages[Estimated labor hours],tblWorkPackages[Request week (Monday)],$A39)</f>
        <v>375.2</v>
      </c>
      <c r="D39" s="9">
        <f>SUMIFS(tblWorkPackages[Actual labor hours],tblWorkPackages[Request week (Monday)],$A39)</f>
        <v>399.8</v>
      </c>
      <c r="E39" s="9">
        <f t="shared" si="1"/>
        <v>24.6</v>
      </c>
      <c r="F39" s="12">
        <f>IF(B39=0,"",SUMIFS(tblWorkPackages[Absolute estimate error],tblWorkPackages[Request week (Monday)],$A39)/B39)</f>
        <v>1.83571428571429</v>
      </c>
      <c r="G39" s="3">
        <f>SUMIFS(tblWorkPackages[Above estimate (0/1)],tblWorkPackages[Request week (Monday)],$A39)</f>
        <v>16</v>
      </c>
    </row>
    <row r="40" spans="1:7" x14ac:dyDescent="0.2">
      <c r="A40" s="3" t="s">
        <v>436</v>
      </c>
      <c r="B40" s="3">
        <f>COUNTIFS(tblWorkPackages[Request week (Monday)],$A40)</f>
        <v>27</v>
      </c>
      <c r="C40" s="9">
        <f>SUMIFS(tblWorkPackages[Estimated labor hours],tblWorkPackages[Request week (Monday)],$A40)</f>
        <v>316.1</v>
      </c>
      <c r="D40" s="9">
        <f>SUMIFS(tblWorkPackages[Actual labor hours],tblWorkPackages[Request week (Monday)],$A40)</f>
        <v>324.8</v>
      </c>
      <c r="E40" s="9">
        <f t="shared" si="1"/>
        <v>8.69999999999999</v>
      </c>
      <c r="F40" s="12">
        <f>IF(B40=0,"",SUMIFS(tblWorkPackages[Absolute estimate error],tblWorkPackages[Request week (Monday)],$A40)/B40)</f>
        <v>1.24074074074074</v>
      </c>
      <c r="G40" s="3">
        <f>SUMIFS(tblWorkPackages[Above estimate (0/1)],tblWorkPackages[Request week (Monday)],$A40)</f>
        <v>12</v>
      </c>
    </row>
    <row r="41" spans="1:7" x14ac:dyDescent="0.2">
      <c r="A41" s="3" t="s">
        <v>315</v>
      </c>
      <c r="B41" s="3">
        <f>COUNTIFS(tblWorkPackages[Request week (Monday)],$A41)</f>
        <v>20</v>
      </c>
      <c r="C41" s="9">
        <f>SUMIFS(tblWorkPackages[Estimated labor hours],tblWorkPackages[Request week (Monday)],$A41)</f>
        <v>251.8</v>
      </c>
      <c r="D41" s="9">
        <f>SUMIFS(tblWorkPackages[Actual labor hours],tblWorkPackages[Request week (Monday)],$A41)</f>
        <v>249.8</v>
      </c>
      <c r="E41" s="9">
        <f t="shared" si="1"/>
        <v>-2.00000000000003</v>
      </c>
      <c r="F41" s="12">
        <f>IF(B41=0,"",SUMIFS(tblWorkPackages[Absolute estimate error],tblWorkPackages[Request week (Monday)],$A41)/B41)</f>
        <v>1.85</v>
      </c>
      <c r="G41" s="3">
        <f>SUMIFS(tblWorkPackages[Above estimate (0/1)],tblWorkPackages[Request week (Monday)],$A41)</f>
        <v>11</v>
      </c>
    </row>
    <row r="42" spans="1:7" x14ac:dyDescent="0.2">
      <c r="A42" s="3" t="s">
        <v>300</v>
      </c>
      <c r="B42" s="3">
        <f>COUNTIFS(tblWorkPackages[Request week (Monday)],$A42)</f>
        <v>35</v>
      </c>
      <c r="C42" s="9">
        <f>SUMIFS(tblWorkPackages[Estimated labor hours],tblWorkPackages[Request week (Monday)],$A42)</f>
        <v>452.8</v>
      </c>
      <c r="D42" s="9">
        <f>SUMIFS(tblWorkPackages[Actual labor hours],tblWorkPackages[Request week (Monday)],$A42)</f>
        <v>463.9</v>
      </c>
      <c r="E42" s="9">
        <f t="shared" si="1"/>
        <v>11.1</v>
      </c>
      <c r="F42" s="12">
        <f>IF(B42=0,"",SUMIFS(tblWorkPackages[Absolute estimate error],tblWorkPackages[Request week (Monday)],$A42)/B42)</f>
        <v>2.26</v>
      </c>
      <c r="G42" s="3">
        <f>SUMIFS(tblWorkPackages[Above estimate (0/1)],tblWorkPackages[Request week (Monday)],$A42)</f>
        <v>20</v>
      </c>
    </row>
    <row r="43" spans="1:7" x14ac:dyDescent="0.2">
      <c r="A43" s="3" t="s">
        <v>694</v>
      </c>
      <c r="B43" s="3">
        <f>COUNTIFS(tblWorkPackages[Request week (Monday)],$A43)</f>
        <v>10</v>
      </c>
      <c r="C43" s="9">
        <f>SUMIFS(tblWorkPackages[Estimated labor hours],tblWorkPackages[Request week (Monday)],$A43)</f>
        <v>137.8</v>
      </c>
      <c r="D43" s="9">
        <f>SUMIFS(tblWorkPackages[Actual labor hours],tblWorkPackages[Request week (Monday)],$A43)</f>
        <v>156.4</v>
      </c>
      <c r="E43" s="9">
        <f t="shared" si="1"/>
        <v>18.6</v>
      </c>
      <c r="F43" s="12">
        <f>IF(B43=0,"",SUMIFS(tblWorkPackages[Absolute estimate error],tblWorkPackages[Request week (Monday)],$A43)/B43)</f>
        <v>2.34</v>
      </c>
      <c r="G43" s="3">
        <f>SUMIFS(tblWorkPackages[Above estimate (0/1)],tblWorkPackages[Request week (Monday)],$A43)</f>
        <v>7</v>
      </c>
    </row>
    <row r="44" spans="1:7" x14ac:dyDescent="0.2">
      <c r="A44" s="3" t="s">
        <v>337</v>
      </c>
      <c r="B44" s="3">
        <f>COUNTIFS(tblWorkPackages[Request week (Monday)],$A44)</f>
        <v>20</v>
      </c>
      <c r="C44" s="9">
        <f>SUMIFS(tblWorkPackages[Estimated labor hours],tblWorkPackages[Request week (Monday)],$A44)</f>
        <v>232.7</v>
      </c>
      <c r="D44" s="9">
        <f>SUMIFS(tblWorkPackages[Actual labor hours],tblWorkPackages[Request week (Monday)],$A44)</f>
        <v>251.3</v>
      </c>
      <c r="E44" s="9">
        <f t="shared" si="1"/>
        <v>18.6</v>
      </c>
      <c r="F44" s="12">
        <f>IF(B44=0,"",SUMIFS(tblWorkPackages[Absolute estimate error],tblWorkPackages[Request week (Monday)],$A44)/B44)</f>
        <v>1.68</v>
      </c>
      <c r="G44" s="3">
        <f>SUMIFS(tblWorkPackages[Above estimate (0/1)],tblWorkPackages[Request week (Monday)],$A44)</f>
        <v>14</v>
      </c>
    </row>
    <row r="45" spans="1:7" x14ac:dyDescent="0.2">
      <c r="A45" s="3" t="s">
        <v>970</v>
      </c>
      <c r="B45" s="3">
        <f>COUNTIFS(tblWorkPackages[Request week (Monday)],$A45)</f>
        <v>22</v>
      </c>
      <c r="C45" s="9">
        <f>SUMIFS(tblWorkPackages[Estimated labor hours],tblWorkPackages[Request week (Monday)],$A45)</f>
        <v>336.1</v>
      </c>
      <c r="D45" s="9">
        <f>SUMIFS(tblWorkPackages[Actual labor hours],tblWorkPackages[Request week (Monday)],$A45)</f>
        <v>354.9</v>
      </c>
      <c r="E45" s="9">
        <f t="shared" si="1"/>
        <v>18.8</v>
      </c>
      <c r="F45" s="12">
        <f>IF(B45=0,"",SUMIFS(tblWorkPackages[Absolute estimate error],tblWorkPackages[Request week (Monday)],$A45)/B45)</f>
        <v>2.26363636363636</v>
      </c>
      <c r="G45" s="3">
        <f>SUMIFS(tblWorkPackages[Above estimate (0/1)],tblWorkPackages[Request week (Monday)],$A45)</f>
        <v>12</v>
      </c>
    </row>
    <row r="46" spans="1:7" x14ac:dyDescent="0.2">
      <c r="A46" s="3" t="s">
        <v>822</v>
      </c>
      <c r="B46" s="3">
        <f>COUNTIFS(tblWorkPackages[Request week (Monday)],$A46)</f>
        <v>24</v>
      </c>
      <c r="C46" s="9">
        <f>SUMIFS(tblWorkPackages[Estimated labor hours],tblWorkPackages[Request week (Monday)],$A46)</f>
        <v>334.1</v>
      </c>
      <c r="D46" s="9">
        <f>SUMIFS(tblWorkPackages[Actual labor hours],tblWorkPackages[Request week (Monday)],$A46)</f>
        <v>355.7</v>
      </c>
      <c r="E46" s="9">
        <f t="shared" si="1"/>
        <v>21.6</v>
      </c>
      <c r="F46" s="12">
        <f>IF(B46=0,"",SUMIFS(tblWorkPackages[Absolute estimate error],tblWorkPackages[Request week (Monday)],$A46)/B46)</f>
        <v>1.35833333333333</v>
      </c>
      <c r="G46" s="3">
        <f>SUMIFS(tblWorkPackages[Above estimate (0/1)],tblWorkPackages[Request week (Monday)],$A46)</f>
        <v>16</v>
      </c>
    </row>
    <row r="47" spans="1:7" x14ac:dyDescent="0.2">
      <c r="A47" s="3" t="s">
        <v>726</v>
      </c>
      <c r="B47" s="3">
        <f>COUNTIFS(tblWorkPackages[Request week (Monday)],$A47)</f>
        <v>18</v>
      </c>
      <c r="C47" s="9">
        <f>SUMIFS(tblWorkPackages[Estimated labor hours],tblWorkPackages[Request week (Monday)],$A47)</f>
        <v>232.4</v>
      </c>
      <c r="D47" s="9">
        <f>SUMIFS(tblWorkPackages[Actual labor hours],tblWorkPackages[Request week (Monday)],$A47)</f>
        <v>257.9</v>
      </c>
      <c r="E47" s="9">
        <f t="shared" si="1"/>
        <v>25.5</v>
      </c>
      <c r="F47" s="12">
        <f>IF(B47=0,"",SUMIFS(tblWorkPackages[Absolute estimate error],tblWorkPackages[Request week (Monday)],$A47)/B47)</f>
        <v>2.11666666666667</v>
      </c>
      <c r="G47" s="3">
        <f>SUMIFS(tblWorkPackages[Above estimate (0/1)],tblWorkPackages[Request week (Monday)],$A47)</f>
        <v>13</v>
      </c>
    </row>
    <row r="48" spans="1:7" x14ac:dyDescent="0.2">
      <c r="A48" s="3" t="s">
        <v>1311</v>
      </c>
      <c r="B48" s="3">
        <f>COUNTIFS(tblWorkPackages[Request week (Monday)],$A48)</f>
        <v>11</v>
      </c>
      <c r="C48" s="9">
        <f>SUMIFS(tblWorkPackages[Estimated labor hours],tblWorkPackages[Request week (Monday)],$A48)</f>
        <v>133.9</v>
      </c>
      <c r="D48" s="9">
        <f>SUMIFS(tblWorkPackages[Actual labor hours],tblWorkPackages[Request week (Monday)],$A48)</f>
        <v>132.6</v>
      </c>
      <c r="E48" s="9">
        <f t="shared" si="1"/>
        <v>-1.30000000000001</v>
      </c>
      <c r="F48" s="12">
        <f>IF(B48=0,"",SUMIFS(tblWorkPackages[Absolute estimate error],tblWorkPackages[Request week (Monday)],$A48)/B48)</f>
        <v>2.1</v>
      </c>
      <c r="G48" s="3">
        <f>SUMIFS(tblWorkPackages[Above estimate (0/1)],tblWorkPackages[Request week (Monday)],$A48)</f>
        <v>6</v>
      </c>
    </row>
    <row r="49" spans="1:7" x14ac:dyDescent="0.2">
      <c r="A49" s="3" t="s">
        <v>406</v>
      </c>
      <c r="B49" s="3">
        <f>COUNTIFS(tblWorkPackages[Request week (Monday)],$A49)</f>
        <v>12</v>
      </c>
      <c r="C49" s="9">
        <f>SUMIFS(tblWorkPackages[Estimated labor hours],tblWorkPackages[Request week (Monday)],$A49)</f>
        <v>125</v>
      </c>
      <c r="D49" s="9">
        <f>SUMIFS(tblWorkPackages[Actual labor hours],tblWorkPackages[Request week (Monday)],$A49)</f>
        <v>142.9</v>
      </c>
      <c r="E49" s="9">
        <f t="shared" si="1"/>
        <v>17.9</v>
      </c>
      <c r="F49" s="12">
        <f>IF(B49=0,"",SUMIFS(tblWorkPackages[Absolute estimate error],tblWorkPackages[Request week (Monday)],$A49)/B49)</f>
        <v>1.85833333333333</v>
      </c>
      <c r="G49" s="3">
        <f>SUMIFS(tblWorkPackages[Above estimate (0/1)],tblWorkPackages[Request week (Monday)],$A49)</f>
        <v>7</v>
      </c>
    </row>
    <row r="50" spans="1:7" x14ac:dyDescent="0.2">
      <c r="A50" s="3" t="s">
        <v>564</v>
      </c>
      <c r="B50" s="3">
        <f>COUNTIFS(tblWorkPackages[Request week (Monday)],$A50)</f>
        <v>28</v>
      </c>
      <c r="C50" s="9">
        <f>SUMIFS(tblWorkPackages[Estimated labor hours],tblWorkPackages[Request week (Monday)],$A50)</f>
        <v>333.3</v>
      </c>
      <c r="D50" s="9">
        <f>SUMIFS(tblWorkPackages[Actual labor hours],tblWorkPackages[Request week (Monday)],$A50)</f>
        <v>342.7</v>
      </c>
      <c r="E50" s="9">
        <f t="shared" si="1"/>
        <v>9.39999999999998</v>
      </c>
      <c r="F50" s="12">
        <f>IF(B50=0,"",SUMIFS(tblWorkPackages[Absolute estimate error],tblWorkPackages[Request week (Monday)],$A50)/B50)</f>
        <v>1.7</v>
      </c>
      <c r="G50" s="3">
        <f>SUMIFS(tblWorkPackages[Above estimate (0/1)],tblWorkPackages[Request week (Monday)],$A50)</f>
        <v>17</v>
      </c>
    </row>
    <row r="51" spans="1:7" x14ac:dyDescent="0.2">
      <c r="A51" s="3" t="s">
        <v>761</v>
      </c>
      <c r="B51" s="3">
        <f>COUNTIFS(tblWorkPackages[Request week (Monday)],$A51)</f>
        <v>17</v>
      </c>
      <c r="C51" s="9">
        <f>SUMIFS(tblWorkPackages[Estimated labor hours],tblWorkPackages[Request week (Monday)],$A51)</f>
        <v>240.3</v>
      </c>
      <c r="D51" s="9">
        <f>SUMIFS(tblWorkPackages[Actual labor hours],tblWorkPackages[Request week (Monday)],$A51)</f>
        <v>257.7</v>
      </c>
      <c r="E51" s="9">
        <f t="shared" si="1"/>
        <v>17.4</v>
      </c>
      <c r="F51" s="12">
        <f>IF(B51=0,"",SUMIFS(tblWorkPackages[Absolute estimate error],tblWorkPackages[Request week (Monday)],$A51)/B51)</f>
        <v>2.15294117647059</v>
      </c>
      <c r="G51" s="3">
        <f>SUMIFS(tblWorkPackages[Above estimate (0/1)],tblWorkPackages[Request week (Monday)],$A51)</f>
        <v>11</v>
      </c>
    </row>
    <row r="52" spans="1:7" x14ac:dyDescent="0.2">
      <c r="A52" s="3" t="s">
        <v>704</v>
      </c>
      <c r="B52" s="3">
        <f>COUNTIFS(tblWorkPackages[Request week (Monday)],$A52)</f>
        <v>20</v>
      </c>
      <c r="C52" s="9">
        <f>SUMIFS(tblWorkPackages[Estimated labor hours],tblWorkPackages[Request week (Monday)],$A52)</f>
        <v>225.2</v>
      </c>
      <c r="D52" s="9">
        <f>SUMIFS(tblWorkPackages[Actual labor hours],tblWorkPackages[Request week (Monday)],$A52)</f>
        <v>232.3</v>
      </c>
      <c r="E52" s="9">
        <f t="shared" si="1"/>
        <v>7.09999999999999</v>
      </c>
      <c r="F52" s="12">
        <f>IF(B52=0,"",SUMIFS(tblWorkPackages[Absolute estimate error],tblWorkPackages[Request week (Monday)],$A52)/B52)</f>
        <v>1.775</v>
      </c>
      <c r="G52" s="3">
        <f>SUMIFS(tblWorkPackages[Above estimate (0/1)],tblWorkPackages[Request week (Monday)],$A52)</f>
        <v>9</v>
      </c>
    </row>
    <row r="53" spans="1:7" x14ac:dyDescent="0.2">
      <c r="A53" s="3" t="s">
        <v>165</v>
      </c>
      <c r="B53" s="3">
        <f>COUNTIFS(tblWorkPackages[Request week (Monday)],$A53)</f>
        <v>19</v>
      </c>
      <c r="C53" s="9">
        <f>SUMIFS(tblWorkPackages[Estimated labor hours],tblWorkPackages[Request week (Monday)],$A53)</f>
        <v>181.3</v>
      </c>
      <c r="D53" s="9">
        <f>SUMIFS(tblWorkPackages[Actual labor hours],tblWorkPackages[Request week (Monday)],$A53)</f>
        <v>192.8</v>
      </c>
      <c r="E53" s="9">
        <f t="shared" si="1"/>
        <v>11.5</v>
      </c>
      <c r="F53" s="12">
        <f>IF(B53=0,"",SUMIFS(tblWorkPackages[Absolute estimate error],tblWorkPackages[Request week (Monday)],$A53)/B53)</f>
        <v>1.06842105263158</v>
      </c>
      <c r="G53" s="3">
        <f>SUMIFS(tblWorkPackages[Above estimate (0/1)],tblWorkPackages[Request week (Monday)],$A53)</f>
        <v>10</v>
      </c>
    </row>
    <row r="54" spans="1:7" x14ac:dyDescent="0.2">
      <c r="A54" s="3" t="s">
        <v>449</v>
      </c>
      <c r="B54" s="3">
        <f>COUNTIFS(tblWorkPackages[Request week (Monday)],$A54)</f>
        <v>29</v>
      </c>
      <c r="C54" s="9">
        <f>SUMIFS(tblWorkPackages[Estimated labor hours],tblWorkPackages[Request week (Monday)],$A54)</f>
        <v>274</v>
      </c>
      <c r="D54" s="9">
        <f>SUMIFS(tblWorkPackages[Actual labor hours],tblWorkPackages[Request week (Monday)],$A54)</f>
        <v>301.2</v>
      </c>
      <c r="E54" s="9">
        <f t="shared" si="1"/>
        <v>27.2</v>
      </c>
      <c r="F54" s="12">
        <f>IF(B54=0,"",SUMIFS(tblWorkPackages[Absolute estimate error],tblWorkPackages[Request week (Monday)],$A54)/B54)</f>
        <v>1.68275862068966</v>
      </c>
      <c r="G54" s="3">
        <f>SUMIFS(tblWorkPackages[Above estimate (0/1)],tblWorkPackages[Request week (Monday)],$A54)</f>
        <v>18</v>
      </c>
    </row>
    <row r="55" spans="1:7" x14ac:dyDescent="0.2">
      <c r="A55" s="3" t="s">
        <v>642</v>
      </c>
      <c r="B55" s="3">
        <f>COUNTIFS(tblWorkPackages[Request week (Monday)],$A55)</f>
        <v>24</v>
      </c>
      <c r="C55" s="9">
        <f>SUMIFS(tblWorkPackages[Estimated labor hours],tblWorkPackages[Request week (Monday)],$A55)</f>
        <v>333.3</v>
      </c>
      <c r="D55" s="9">
        <f>SUMIFS(tblWorkPackages[Actual labor hours],tblWorkPackages[Request week (Monday)],$A55)</f>
        <v>347.1</v>
      </c>
      <c r="E55" s="9">
        <f t="shared" si="1"/>
        <v>13.8</v>
      </c>
      <c r="F55" s="12">
        <f>IF(B55=0,"",SUMIFS(tblWorkPackages[Absolute estimate error],tblWorkPackages[Request week (Monday)],$A55)/B55)</f>
        <v>2.55</v>
      </c>
      <c r="G55" s="3">
        <f>SUMIFS(tblWorkPackages[Above estimate (0/1)],tblWorkPackages[Request week (Monday)],$A55)</f>
        <v>14</v>
      </c>
    </row>
    <row r="56" spans="1:7" x14ac:dyDescent="0.2">
      <c r="A56" s="3" t="s">
        <v>643</v>
      </c>
      <c r="B56" s="3">
        <f>COUNTIFS(tblWorkPackages[Request week (Monday)],$A56)</f>
        <v>30</v>
      </c>
      <c r="C56" s="9">
        <f>SUMIFS(tblWorkPackages[Estimated labor hours],tblWorkPackages[Request week (Monday)],$A56)</f>
        <v>392.2</v>
      </c>
      <c r="D56" s="9">
        <f>SUMIFS(tblWorkPackages[Actual labor hours],tblWorkPackages[Request week (Monday)],$A56)</f>
        <v>411</v>
      </c>
      <c r="E56" s="9">
        <f t="shared" si="1"/>
        <v>18.8</v>
      </c>
      <c r="F56" s="12">
        <f>IF(B56=0,"",SUMIFS(tblWorkPackages[Absolute estimate error],tblWorkPackages[Request week (Monday)],$A56)/B56)</f>
        <v>2.44</v>
      </c>
      <c r="G56" s="3">
        <f>SUMIFS(tblWorkPackages[Above estimate (0/1)],tblWorkPackages[Request week (Monday)],$A56)</f>
        <v>14</v>
      </c>
    </row>
    <row r="57" spans="1:7" x14ac:dyDescent="0.2">
      <c r="A57" s="3" t="s">
        <v>361</v>
      </c>
      <c r="B57" s="3">
        <f>COUNTIFS(tblWorkPackages[Request week (Monday)],$A57)</f>
        <v>19</v>
      </c>
      <c r="C57" s="9">
        <f>SUMIFS(tblWorkPackages[Estimated labor hours],tblWorkPackages[Request week (Monday)],$A57)</f>
        <v>194.6</v>
      </c>
      <c r="D57" s="9">
        <f>SUMIFS(tblWorkPackages[Actual labor hours],tblWorkPackages[Request week (Monday)],$A57)</f>
        <v>212.6</v>
      </c>
      <c r="E57" s="9">
        <f t="shared" si="1"/>
        <v>18</v>
      </c>
      <c r="F57" s="12">
        <f>IF(B57=0,"",SUMIFS(tblWorkPackages[Absolute estimate error],tblWorkPackages[Request week (Monday)],$A57)/B57)</f>
        <v>1.65263157894737</v>
      </c>
      <c r="G57" s="3">
        <f>SUMIFS(tblWorkPackages[Above estimate (0/1)],tblWorkPackages[Request week (Monday)],$A57)</f>
        <v>10</v>
      </c>
    </row>
    <row r="58" spans="1:7" x14ac:dyDescent="0.2">
      <c r="A58" s="3" t="s">
        <v>1138</v>
      </c>
      <c r="B58" s="3">
        <f>COUNTIFS(tblWorkPackages[Request week (Monday)],$A58)</f>
        <v>18</v>
      </c>
      <c r="C58" s="9">
        <f>SUMIFS(tblWorkPackages[Estimated labor hours],tblWorkPackages[Request week (Monday)],$A58)</f>
        <v>197.7</v>
      </c>
      <c r="D58" s="9">
        <f>SUMIFS(tblWorkPackages[Actual labor hours],tblWorkPackages[Request week (Monday)],$A58)</f>
        <v>211.2</v>
      </c>
      <c r="E58" s="9">
        <f t="shared" si="1"/>
        <v>13.5</v>
      </c>
      <c r="F58" s="12">
        <f>IF(B58=0,"",SUMIFS(tblWorkPackages[Absolute estimate error],tblWorkPackages[Request week (Monday)],$A58)/B58)</f>
        <v>1.58333333333333</v>
      </c>
      <c r="G58" s="3">
        <f>SUMIFS(tblWorkPackages[Above estimate (0/1)],tblWorkPackages[Request week (Monday)],$A58)</f>
        <v>9</v>
      </c>
    </row>
    <row r="59" spans="1:7" x14ac:dyDescent="0.2">
      <c r="A59" s="3" t="s">
        <v>1321</v>
      </c>
      <c r="B59" s="3">
        <f>COUNTIFS(tblWorkPackages[Request week (Monday)],$A59)</f>
        <v>21</v>
      </c>
      <c r="C59" s="9">
        <f>SUMIFS(tblWorkPackages[Estimated labor hours],tblWorkPackages[Request week (Monday)],$A59)</f>
        <v>218.7</v>
      </c>
      <c r="D59" s="9">
        <f>SUMIFS(tblWorkPackages[Actual labor hours],tblWorkPackages[Request week (Monday)],$A59)</f>
        <v>238.9</v>
      </c>
      <c r="E59" s="9">
        <f t="shared" ref="E59:E90" si="2">D59-C59</f>
        <v>20.2</v>
      </c>
      <c r="F59" s="12">
        <f>IF(B59=0,"",SUMIFS(tblWorkPackages[Absolute estimate error],tblWorkPackages[Request week (Monday)],$A59)/B59)</f>
        <v>1.64761904761905</v>
      </c>
      <c r="G59" s="3">
        <f>SUMIFS(tblWorkPackages[Above estimate (0/1)],tblWorkPackages[Request week (Monday)],$A59)</f>
        <v>14</v>
      </c>
    </row>
    <row r="60" spans="1:7" x14ac:dyDescent="0.2">
      <c r="A60" s="3" t="s">
        <v>296</v>
      </c>
      <c r="B60" s="3">
        <f>COUNTIFS(tblWorkPackages[Request week (Monday)],$A60)</f>
        <v>22</v>
      </c>
      <c r="C60" s="9">
        <f>SUMIFS(tblWorkPackages[Estimated labor hours],tblWorkPackages[Request week (Monday)],$A60)</f>
        <v>217</v>
      </c>
      <c r="D60" s="9">
        <f>SUMIFS(tblWorkPackages[Actual labor hours],tblWorkPackages[Request week (Monday)],$A60)</f>
        <v>238.4</v>
      </c>
      <c r="E60" s="9">
        <f t="shared" si="2"/>
        <v>21.4</v>
      </c>
      <c r="F60" s="12">
        <f>IF(B60=0,"",SUMIFS(tblWorkPackages[Absolute estimate error],tblWorkPackages[Request week (Monday)],$A60)/B60)</f>
        <v>1.70909090909091</v>
      </c>
      <c r="G60" s="3">
        <f>SUMIFS(tblWorkPackages[Above estimate (0/1)],tblWorkPackages[Request week (Monday)],$A60)</f>
        <v>14</v>
      </c>
    </row>
    <row r="61" spans="1:7" x14ac:dyDescent="0.2">
      <c r="A61" s="3" t="s">
        <v>293</v>
      </c>
      <c r="B61" s="3">
        <f>COUNTIFS(tblWorkPackages[Request week (Monday)],$A61)</f>
        <v>25</v>
      </c>
      <c r="C61" s="9">
        <f>SUMIFS(tblWorkPackages[Estimated labor hours],tblWorkPackages[Request week (Monday)],$A61)</f>
        <v>261.8</v>
      </c>
      <c r="D61" s="9">
        <f>SUMIFS(tblWorkPackages[Actual labor hours],tblWorkPackages[Request week (Monday)],$A61)</f>
        <v>257</v>
      </c>
      <c r="E61" s="9">
        <f t="shared" si="2"/>
        <v>-4.80000000000001</v>
      </c>
      <c r="F61" s="12">
        <f>IF(B61=0,"",SUMIFS(tblWorkPackages[Absolute estimate error],tblWorkPackages[Request week (Monday)],$A61)/B61)</f>
        <v>1.264</v>
      </c>
      <c r="G61" s="3">
        <f>SUMIFS(tblWorkPackages[Above estimate (0/1)],tblWorkPackages[Request week (Monday)],$A61)</f>
        <v>12</v>
      </c>
    </row>
    <row r="62" spans="1:7" x14ac:dyDescent="0.2">
      <c r="A62" s="3" t="s">
        <v>388</v>
      </c>
      <c r="B62" s="3">
        <f>COUNTIFS(tblWorkPackages[Request week (Monday)],$A62)</f>
        <v>28</v>
      </c>
      <c r="C62" s="9">
        <f>SUMIFS(tblWorkPackages[Estimated labor hours],tblWorkPackages[Request week (Monday)],$A62)</f>
        <v>251.5</v>
      </c>
      <c r="D62" s="9">
        <f>SUMIFS(tblWorkPackages[Actual labor hours],tblWorkPackages[Request week (Monday)],$A62)</f>
        <v>267.9</v>
      </c>
      <c r="E62" s="9">
        <f t="shared" si="2"/>
        <v>16.4</v>
      </c>
      <c r="F62" s="12">
        <f>IF(B62=0,"",SUMIFS(tblWorkPackages[Absolute estimate error],tblWorkPackages[Request week (Monday)],$A62)/B62)</f>
        <v>1.54285714285714</v>
      </c>
      <c r="G62" s="3">
        <f>SUMIFS(tblWorkPackages[Above estimate (0/1)],tblWorkPackages[Request week (Monday)],$A62)</f>
        <v>15</v>
      </c>
    </row>
    <row r="63" spans="1:7" x14ac:dyDescent="0.2">
      <c r="A63" s="3" t="s">
        <v>875</v>
      </c>
      <c r="B63" s="3">
        <f>COUNTIFS(tblWorkPackages[Request week (Monday)],$A63)</f>
        <v>20</v>
      </c>
      <c r="C63" s="9">
        <f>SUMIFS(tblWorkPackages[Estimated labor hours],tblWorkPackages[Request week (Monday)],$A63)</f>
        <v>206.5</v>
      </c>
      <c r="D63" s="9">
        <f>SUMIFS(tblWorkPackages[Actual labor hours],tblWorkPackages[Request week (Monday)],$A63)</f>
        <v>229.1</v>
      </c>
      <c r="E63" s="9">
        <f t="shared" si="2"/>
        <v>22.6</v>
      </c>
      <c r="F63" s="12">
        <f>IF(B63=0,"",SUMIFS(tblWorkPackages[Absolute estimate error],tblWorkPackages[Request week (Monday)],$A63)/B63)</f>
        <v>1.54</v>
      </c>
      <c r="G63" s="3">
        <f>SUMIFS(tblWorkPackages[Above estimate (0/1)],tblWorkPackages[Request week (Monday)],$A63)</f>
        <v>15</v>
      </c>
    </row>
    <row r="64" spans="1:7" x14ac:dyDescent="0.2">
      <c r="A64" s="3" t="s">
        <v>1546</v>
      </c>
      <c r="B64" s="3">
        <f>COUNTIFS(tblWorkPackages[Request week (Monday)],$A64)</f>
        <v>19</v>
      </c>
      <c r="C64" s="9">
        <f>SUMIFS(tblWorkPackages[Estimated labor hours],tblWorkPackages[Request week (Monday)],$A64)</f>
        <v>174.5</v>
      </c>
      <c r="D64" s="9">
        <f>SUMIFS(tblWorkPackages[Actual labor hours],tblWorkPackages[Request week (Monday)],$A64)</f>
        <v>195.2</v>
      </c>
      <c r="E64" s="9">
        <f t="shared" si="2"/>
        <v>20.7</v>
      </c>
      <c r="F64" s="12">
        <f>IF(B64=0,"",SUMIFS(tblWorkPackages[Absolute estimate error],tblWorkPackages[Request week (Monday)],$A64)/B64)</f>
        <v>1.93157894736842</v>
      </c>
      <c r="G64" s="3">
        <f>SUMIFS(tblWorkPackages[Above estimate (0/1)],tblWorkPackages[Request week (Monday)],$A64)</f>
        <v>13</v>
      </c>
    </row>
    <row r="65" spans="1:7" x14ac:dyDescent="0.2">
      <c r="A65" s="3" t="s">
        <v>770</v>
      </c>
      <c r="B65" s="3">
        <f>COUNTIFS(tblWorkPackages[Request week (Monday)],$A65)</f>
        <v>16</v>
      </c>
      <c r="C65" s="9">
        <f>SUMIFS(tblWorkPackages[Estimated labor hours],tblWorkPackages[Request week (Monday)],$A65)</f>
        <v>144.5</v>
      </c>
      <c r="D65" s="9">
        <f>SUMIFS(tblWorkPackages[Actual labor hours],tblWorkPackages[Request week (Monday)],$A65)</f>
        <v>150.5</v>
      </c>
      <c r="E65" s="9">
        <f t="shared" si="2"/>
        <v>6</v>
      </c>
      <c r="F65" s="12">
        <f>IF(B65=0,"",SUMIFS(tblWorkPackages[Absolute estimate error],tblWorkPackages[Request week (Monday)],$A65)/B65)</f>
        <v>1.3</v>
      </c>
      <c r="G65" s="3">
        <f>SUMIFS(tblWorkPackages[Above estimate (0/1)],tblWorkPackages[Request week (Monday)],$A65)</f>
        <v>12</v>
      </c>
    </row>
    <row r="66" spans="1:7" x14ac:dyDescent="0.2">
      <c r="A66" s="3" t="s">
        <v>951</v>
      </c>
      <c r="B66" s="3">
        <f>COUNTIFS(tblWorkPackages[Request week (Monday)],$A66)</f>
        <v>20</v>
      </c>
      <c r="C66" s="9">
        <f>SUMIFS(tblWorkPackages[Estimated labor hours],tblWorkPackages[Request week (Monday)],$A66)</f>
        <v>191.8</v>
      </c>
      <c r="D66" s="9">
        <f>SUMIFS(tblWorkPackages[Actual labor hours],tblWorkPackages[Request week (Monday)],$A66)</f>
        <v>190.5</v>
      </c>
      <c r="E66" s="9">
        <f t="shared" si="2"/>
        <v>-1.30000000000001</v>
      </c>
      <c r="F66" s="12">
        <f>IF(B66=0,"",SUMIFS(tblWorkPackages[Absolute estimate error],tblWorkPackages[Request week (Monday)],$A66)/B66)</f>
        <v>1.305</v>
      </c>
      <c r="G66" s="3">
        <f>SUMIFS(tblWorkPackages[Above estimate (0/1)],tblWorkPackages[Request week (Monday)],$A66)</f>
        <v>7</v>
      </c>
    </row>
    <row r="67" spans="1:7" x14ac:dyDescent="0.2">
      <c r="A67" s="3" t="s">
        <v>1374</v>
      </c>
      <c r="B67" s="3">
        <f>COUNTIFS(tblWorkPackages[Request week (Monday)],$A67)</f>
        <v>23</v>
      </c>
      <c r="C67" s="9">
        <f>SUMIFS(tblWorkPackages[Estimated labor hours],tblWorkPackages[Request week (Monday)],$A67)</f>
        <v>183</v>
      </c>
      <c r="D67" s="9">
        <f>SUMIFS(tblWorkPackages[Actual labor hours],tblWorkPackages[Request week (Monday)],$A67)</f>
        <v>199.1</v>
      </c>
      <c r="E67" s="9">
        <f t="shared" si="2"/>
        <v>16.1</v>
      </c>
      <c r="F67" s="12">
        <f>IF(B67=0,"",SUMIFS(tblWorkPackages[Absolute estimate error],tblWorkPackages[Request week (Monday)],$A67)/B67)</f>
        <v>1.59565217391304</v>
      </c>
      <c r="G67" s="3">
        <f>SUMIFS(tblWorkPackages[Above estimate (0/1)],tblWorkPackages[Request week (Monday)],$A67)</f>
        <v>16</v>
      </c>
    </row>
    <row r="68" spans="1:7" x14ac:dyDescent="0.2">
      <c r="A68" s="3" t="s">
        <v>1730</v>
      </c>
      <c r="B68" s="3">
        <f>COUNTIFS(tblWorkPackages[Request week (Monday)],$A68)</f>
        <v>24</v>
      </c>
      <c r="C68" s="9">
        <f>SUMIFS(tblWorkPackages[Estimated labor hours],tblWorkPackages[Request week (Monday)],$A68)</f>
        <v>269.1</v>
      </c>
      <c r="D68" s="9">
        <f>SUMIFS(tblWorkPackages[Actual labor hours],tblWorkPackages[Request week (Monday)],$A68)</f>
        <v>298.5</v>
      </c>
      <c r="E68" s="9">
        <f t="shared" si="2"/>
        <v>29.4</v>
      </c>
      <c r="F68" s="12">
        <f>IF(B68=0,"",SUMIFS(tblWorkPackages[Absolute estimate error],tblWorkPackages[Request week (Monday)],$A68)/B68)</f>
        <v>2.01666666666667</v>
      </c>
      <c r="G68" s="3">
        <f>SUMIFS(tblWorkPackages[Above estimate (0/1)],tblWorkPackages[Request week (Monday)],$A68)</f>
        <v>13</v>
      </c>
    </row>
    <row r="69" spans="1:7" x14ac:dyDescent="0.2">
      <c r="A69" s="3" t="s">
        <v>372</v>
      </c>
      <c r="B69" s="3">
        <f>COUNTIFS(tblWorkPackages[Request week (Monday)],$A69)</f>
        <v>29</v>
      </c>
      <c r="C69" s="9">
        <f>SUMIFS(tblWorkPackages[Estimated labor hours],tblWorkPackages[Request week (Monday)],$A69)</f>
        <v>319.2</v>
      </c>
      <c r="D69" s="9">
        <f>SUMIFS(tblWorkPackages[Actual labor hours],tblWorkPackages[Request week (Monday)],$A69)</f>
        <v>339.1</v>
      </c>
      <c r="E69" s="9">
        <f t="shared" si="2"/>
        <v>19.9</v>
      </c>
      <c r="F69" s="12">
        <f>IF(B69=0,"",SUMIFS(tblWorkPackages[Absolute estimate error],tblWorkPackages[Request week (Monday)],$A69)/B69)</f>
        <v>1.45862068965517</v>
      </c>
      <c r="G69" s="3">
        <f>SUMIFS(tblWorkPackages[Above estimate (0/1)],tblWorkPackages[Request week (Monday)],$A69)</f>
        <v>15</v>
      </c>
    </row>
    <row r="70" spans="1:7" x14ac:dyDescent="0.2">
      <c r="A70" s="3" t="s">
        <v>594</v>
      </c>
      <c r="B70" s="3">
        <f>COUNTIFS(tblWorkPackages[Request week (Monday)],$A70)</f>
        <v>19</v>
      </c>
      <c r="C70" s="9">
        <f>SUMIFS(tblWorkPackages[Estimated labor hours],tblWorkPackages[Request week (Monday)],$A70)</f>
        <v>187</v>
      </c>
      <c r="D70" s="9">
        <f>SUMIFS(tblWorkPackages[Actual labor hours],tblWorkPackages[Request week (Monday)],$A70)</f>
        <v>219.2</v>
      </c>
      <c r="E70" s="9">
        <f t="shared" si="2"/>
        <v>32.2</v>
      </c>
      <c r="F70" s="12">
        <f>IF(B70=0,"",SUMIFS(tblWorkPackages[Absolute estimate error],tblWorkPackages[Request week (Monday)],$A70)/B70)</f>
        <v>2.07368421052632</v>
      </c>
      <c r="G70" s="3">
        <f>SUMIFS(tblWorkPackages[Above estimate (0/1)],tblWorkPackages[Request week (Monday)],$A70)</f>
        <v>15</v>
      </c>
    </row>
    <row r="71" spans="1:7" x14ac:dyDescent="0.2">
      <c r="A71" s="3" t="s">
        <v>1741</v>
      </c>
      <c r="B71" s="3">
        <f>COUNTIFS(tblWorkPackages[Request week (Monday)],$A71)</f>
        <v>15</v>
      </c>
      <c r="C71" s="9">
        <f>SUMIFS(tblWorkPackages[Estimated labor hours],tblWorkPackages[Request week (Monday)],$A71)</f>
        <v>109.8</v>
      </c>
      <c r="D71" s="9">
        <f>SUMIFS(tblWorkPackages[Actual labor hours],tblWorkPackages[Request week (Monday)],$A71)</f>
        <v>122.1</v>
      </c>
      <c r="E71" s="9">
        <f t="shared" si="2"/>
        <v>12.3</v>
      </c>
      <c r="F71" s="12">
        <f>IF(B71=0,"",SUMIFS(tblWorkPackages[Absolute estimate error],tblWorkPackages[Request week (Monday)],$A71)/B71)</f>
        <v>1.22</v>
      </c>
      <c r="G71" s="3">
        <f>SUMIFS(tblWorkPackages[Above estimate (0/1)],tblWorkPackages[Request week (Monday)],$A71)</f>
        <v>10</v>
      </c>
    </row>
    <row r="72" spans="1:7" x14ac:dyDescent="0.2">
      <c r="A72" s="3" t="s">
        <v>206</v>
      </c>
      <c r="B72" s="3">
        <f>COUNTIFS(tblWorkPackages[Request week (Monday)],$A72)</f>
        <v>25</v>
      </c>
      <c r="C72" s="9">
        <f>SUMIFS(tblWorkPackages[Estimated labor hours],tblWorkPackages[Request week (Monday)],$A72)</f>
        <v>180.9</v>
      </c>
      <c r="D72" s="9">
        <f>SUMIFS(tblWorkPackages[Actual labor hours],tblWorkPackages[Request week (Monday)],$A72)</f>
        <v>197.3</v>
      </c>
      <c r="E72" s="9">
        <f t="shared" si="2"/>
        <v>16.4</v>
      </c>
      <c r="F72" s="12">
        <f>IF(B72=0,"",SUMIFS(tblWorkPackages[Absolute estimate error],tblWorkPackages[Request week (Monday)],$A72)/B72)</f>
        <v>1.376</v>
      </c>
      <c r="G72" s="3">
        <f>SUMIFS(tblWorkPackages[Above estimate (0/1)],tblWorkPackages[Request week (Monday)],$A72)</f>
        <v>12</v>
      </c>
    </row>
    <row r="73" spans="1:7" x14ac:dyDescent="0.2">
      <c r="A73" s="3" t="s">
        <v>244</v>
      </c>
      <c r="B73" s="3">
        <f>COUNTIFS(tblWorkPackages[Request week (Monday)],$A73)</f>
        <v>26</v>
      </c>
      <c r="C73" s="9">
        <f>SUMIFS(tblWorkPackages[Estimated labor hours],tblWorkPackages[Request week (Monday)],$A73)</f>
        <v>228.7</v>
      </c>
      <c r="D73" s="9">
        <f>SUMIFS(tblWorkPackages[Actual labor hours],tblWorkPackages[Request week (Monday)],$A73)</f>
        <v>235.3</v>
      </c>
      <c r="E73" s="9">
        <f t="shared" si="2"/>
        <v>6.59999999999999</v>
      </c>
      <c r="F73" s="12">
        <f>IF(B73=0,"",SUMIFS(tblWorkPackages[Absolute estimate error],tblWorkPackages[Request week (Monday)],$A73)/B73)</f>
        <v>1.08461538461538</v>
      </c>
      <c r="G73" s="3">
        <f>SUMIFS(tblWorkPackages[Above estimate (0/1)],tblWorkPackages[Request week (Monday)],$A73)</f>
        <v>15</v>
      </c>
    </row>
    <row r="74" spans="1:7" x14ac:dyDescent="0.2">
      <c r="A74" s="3" t="s">
        <v>515</v>
      </c>
      <c r="B74" s="3">
        <f>COUNTIFS(tblWorkPackages[Request week (Monday)],$A74)</f>
        <v>22</v>
      </c>
      <c r="C74" s="9">
        <f>SUMIFS(tblWorkPackages[Estimated labor hours],tblWorkPackages[Request week (Monday)],$A74)</f>
        <v>222.7</v>
      </c>
      <c r="D74" s="9">
        <f>SUMIFS(tblWorkPackages[Actual labor hours],tblWorkPackages[Request week (Monday)],$A74)</f>
        <v>256.2</v>
      </c>
      <c r="E74" s="9">
        <f t="shared" si="2"/>
        <v>33.5</v>
      </c>
      <c r="F74" s="12">
        <f>IF(B74=0,"",SUMIFS(tblWorkPackages[Absolute estimate error],tblWorkPackages[Request week (Monday)],$A74)/B74)</f>
        <v>1.75</v>
      </c>
      <c r="G74" s="3">
        <f>SUMIFS(tblWorkPackages[Above estimate (0/1)],tblWorkPackages[Request week (Monday)],$A74)</f>
        <v>19</v>
      </c>
    </row>
    <row r="75" spans="1:7" x14ac:dyDescent="0.2">
      <c r="A75" s="3" t="s">
        <v>161</v>
      </c>
      <c r="B75" s="3">
        <f>COUNTIFS(tblWorkPackages[Request week (Monday)],$A75)</f>
        <v>27</v>
      </c>
      <c r="C75" s="9">
        <f>SUMIFS(tblWorkPackages[Estimated labor hours],tblWorkPackages[Request week (Monday)],$A75)</f>
        <v>286.4</v>
      </c>
      <c r="D75" s="9">
        <f>SUMIFS(tblWorkPackages[Actual labor hours],tblWorkPackages[Request week (Monday)],$A75)</f>
        <v>288</v>
      </c>
      <c r="E75" s="9">
        <f t="shared" si="2"/>
        <v>1.60000000000002</v>
      </c>
      <c r="F75" s="12">
        <f>IF(B75=0,"",SUMIFS(tblWorkPackages[Absolute estimate error],tblWorkPackages[Request week (Monday)],$A75)/B75)</f>
        <v>1.5037037037037</v>
      </c>
      <c r="G75" s="3">
        <f>SUMIFS(tblWorkPackages[Above estimate (0/1)],tblWorkPackages[Request week (Monday)],$A75)</f>
        <v>14</v>
      </c>
    </row>
    <row r="76" spans="1:7" x14ac:dyDescent="0.2">
      <c r="A76" s="3" t="s">
        <v>556</v>
      </c>
      <c r="B76" s="3">
        <f>COUNTIFS(tblWorkPackages[Request week (Monday)],$A76)</f>
        <v>23</v>
      </c>
      <c r="C76" s="9">
        <f>SUMIFS(tblWorkPackages[Estimated labor hours],tblWorkPackages[Request week (Monday)],$A76)</f>
        <v>250.3</v>
      </c>
      <c r="D76" s="9">
        <f>SUMIFS(tblWorkPackages[Actual labor hours],tblWorkPackages[Request week (Monday)],$A76)</f>
        <v>255.8</v>
      </c>
      <c r="E76" s="9">
        <f t="shared" si="2"/>
        <v>5.5</v>
      </c>
      <c r="F76" s="12">
        <f>IF(B76=0,"",SUMIFS(tblWorkPackages[Absolute estimate error],tblWorkPackages[Request week (Monday)],$A76)/B76)</f>
        <v>1.69130434782609</v>
      </c>
      <c r="G76" s="3">
        <f>SUMIFS(tblWorkPackages[Above estimate (0/1)],tblWorkPackages[Request week (Monday)],$A76)</f>
        <v>10</v>
      </c>
    </row>
    <row r="77" spans="1:7" x14ac:dyDescent="0.2">
      <c r="A77" s="3" t="s">
        <v>1073</v>
      </c>
      <c r="B77" s="3">
        <f>COUNTIFS(tblWorkPackages[Request week (Monday)],$A77)</f>
        <v>20</v>
      </c>
      <c r="C77" s="9">
        <f>SUMIFS(tblWorkPackages[Estimated labor hours],tblWorkPackages[Request week (Monday)],$A77)</f>
        <v>177.4</v>
      </c>
      <c r="D77" s="9">
        <f>SUMIFS(tblWorkPackages[Actual labor hours],tblWorkPackages[Request week (Monday)],$A77)</f>
        <v>191</v>
      </c>
      <c r="E77" s="9">
        <f t="shared" si="2"/>
        <v>13.6</v>
      </c>
      <c r="F77" s="12">
        <f>IF(B77=0,"",SUMIFS(tblWorkPackages[Absolute estimate error],tblWorkPackages[Request week (Monday)],$A77)/B77)</f>
        <v>1.19</v>
      </c>
      <c r="G77" s="3">
        <f>SUMIFS(tblWorkPackages[Above estimate (0/1)],tblWorkPackages[Request week (Monday)],$A77)</f>
        <v>11</v>
      </c>
    </row>
    <row r="78" spans="1:7" x14ac:dyDescent="0.2">
      <c r="A78" s="3" t="s">
        <v>513</v>
      </c>
      <c r="B78" s="3">
        <f>COUNTIFS(tblWorkPackages[Request week (Monday)],$A78)</f>
        <v>21</v>
      </c>
      <c r="C78" s="9">
        <f>SUMIFS(tblWorkPackages[Estimated labor hours],tblWorkPackages[Request week (Monday)],$A78)</f>
        <v>228.4</v>
      </c>
      <c r="D78" s="9">
        <f>SUMIFS(tblWorkPackages[Actual labor hours],tblWorkPackages[Request week (Monday)],$A78)</f>
        <v>237.9</v>
      </c>
      <c r="E78" s="9">
        <f t="shared" si="2"/>
        <v>9.5</v>
      </c>
      <c r="F78" s="12">
        <f>IF(B78=0,"",SUMIFS(tblWorkPackages[Absolute estimate error],tblWorkPackages[Request week (Monday)],$A78)/B78)</f>
        <v>2.09047619047619</v>
      </c>
      <c r="G78" s="3">
        <f>SUMIFS(tblWorkPackages[Above estimate (0/1)],tblWorkPackages[Request week (Monday)],$A78)</f>
        <v>11</v>
      </c>
    </row>
    <row r="79" spans="1:7" x14ac:dyDescent="0.2">
      <c r="A79" s="3" t="s">
        <v>1417</v>
      </c>
      <c r="B79" s="3">
        <f>COUNTIFS(tblWorkPackages[Request week (Monday)],$A79)</f>
        <v>19</v>
      </c>
      <c r="C79" s="9">
        <f>SUMIFS(tblWorkPackages[Estimated labor hours],tblWorkPackages[Request week (Monday)],$A79)</f>
        <v>235.5</v>
      </c>
      <c r="D79" s="9">
        <f>SUMIFS(tblWorkPackages[Actual labor hours],tblWorkPackages[Request week (Monday)],$A79)</f>
        <v>257.9</v>
      </c>
      <c r="E79" s="9">
        <f t="shared" si="2"/>
        <v>22.4</v>
      </c>
      <c r="F79" s="12">
        <f>IF(B79=0,"",SUMIFS(tblWorkPackages[Absolute estimate error],tblWorkPackages[Request week (Monday)],$A79)/B79)</f>
        <v>2.03157894736842</v>
      </c>
      <c r="G79" s="3">
        <f>SUMIFS(tblWorkPackages[Above estimate (0/1)],tblWorkPackages[Request week (Monday)],$A79)</f>
        <v>13</v>
      </c>
    </row>
    <row r="80" spans="1:7" x14ac:dyDescent="0.2">
      <c r="A80" s="3" t="s">
        <v>679</v>
      </c>
      <c r="B80" s="3">
        <f>COUNTIFS(tblWorkPackages[Request week (Monday)],$A80)</f>
        <v>24</v>
      </c>
      <c r="C80" s="9">
        <f>SUMIFS(tblWorkPackages[Estimated labor hours],tblWorkPackages[Request week (Monday)],$A80)</f>
        <v>282</v>
      </c>
      <c r="D80" s="9">
        <f>SUMIFS(tblWorkPackages[Actual labor hours],tblWorkPackages[Request week (Monday)],$A80)</f>
        <v>281.3</v>
      </c>
      <c r="E80" s="9">
        <f t="shared" si="2"/>
        <v>-0.699999999999989</v>
      </c>
      <c r="F80" s="12">
        <f>IF(B80=0,"",SUMIFS(tblWorkPackages[Absolute estimate error],tblWorkPackages[Request week (Monday)],$A80)/B80)</f>
        <v>1.52083333333333</v>
      </c>
      <c r="G80" s="3">
        <f>SUMIFS(tblWorkPackages[Above estimate (0/1)],tblWorkPackages[Request week (Monday)],$A80)</f>
        <v>14</v>
      </c>
    </row>
    <row r="81" spans="1:7" x14ac:dyDescent="0.2">
      <c r="A81" s="3" t="s">
        <v>732</v>
      </c>
      <c r="B81" s="3">
        <f>COUNTIFS(tblWorkPackages[Request week (Monday)],$A81)</f>
        <v>28</v>
      </c>
      <c r="C81" s="9">
        <f>SUMIFS(tblWorkPackages[Estimated labor hours],tblWorkPackages[Request week (Monday)],$A81)</f>
        <v>287.3</v>
      </c>
      <c r="D81" s="9">
        <f>SUMIFS(tblWorkPackages[Actual labor hours],tblWorkPackages[Request week (Monday)],$A81)</f>
        <v>318.2</v>
      </c>
      <c r="E81" s="9">
        <f t="shared" si="2"/>
        <v>30.9</v>
      </c>
      <c r="F81" s="12">
        <f>IF(B81=0,"",SUMIFS(tblWorkPackages[Absolute estimate error],tblWorkPackages[Request week (Monday)],$A81)/B81)</f>
        <v>2.14642857142857</v>
      </c>
      <c r="G81" s="3">
        <f>SUMIFS(tblWorkPackages[Above estimate (0/1)],tblWorkPackages[Request week (Monday)],$A81)</f>
        <v>15</v>
      </c>
    </row>
    <row r="82" spans="1:7" x14ac:dyDescent="0.2">
      <c r="A82" s="3" t="s">
        <v>253</v>
      </c>
      <c r="B82" s="3">
        <f>COUNTIFS(tblWorkPackages[Request week (Monday)],$A82)</f>
        <v>24</v>
      </c>
      <c r="C82" s="9">
        <f>SUMIFS(tblWorkPackages[Estimated labor hours],tblWorkPackages[Request week (Monday)],$A82)</f>
        <v>326.3</v>
      </c>
      <c r="D82" s="9">
        <f>SUMIFS(tblWorkPackages[Actual labor hours],tblWorkPackages[Request week (Monday)],$A82)</f>
        <v>339.1</v>
      </c>
      <c r="E82" s="9">
        <f t="shared" si="2"/>
        <v>12.8</v>
      </c>
      <c r="F82" s="12">
        <f>IF(B82=0,"",SUMIFS(tblWorkPackages[Absolute estimate error],tblWorkPackages[Request week (Monday)],$A82)/B82)</f>
        <v>2.10833333333333</v>
      </c>
      <c r="G82" s="3">
        <f>SUMIFS(tblWorkPackages[Above estimate (0/1)],tblWorkPackages[Request week (Monday)],$A82)</f>
        <v>11</v>
      </c>
    </row>
    <row r="83" spans="1:7" x14ac:dyDescent="0.2">
      <c r="A83" s="3" t="s">
        <v>281</v>
      </c>
      <c r="B83" s="3">
        <f>COUNTIFS(tblWorkPackages[Request week (Monday)],$A83)</f>
        <v>21</v>
      </c>
      <c r="C83" s="9">
        <f>SUMIFS(tblWorkPackages[Estimated labor hours],tblWorkPackages[Request week (Monday)],$A83)</f>
        <v>286.5</v>
      </c>
      <c r="D83" s="9">
        <f>SUMIFS(tblWorkPackages[Actual labor hours],tblWorkPackages[Request week (Monday)],$A83)</f>
        <v>291.9</v>
      </c>
      <c r="E83" s="9">
        <f t="shared" si="2"/>
        <v>5.39999999999998</v>
      </c>
      <c r="F83" s="12">
        <f>IF(B83=0,"",SUMIFS(tblWorkPackages[Absolute estimate error],tblWorkPackages[Request week (Monday)],$A83)/B83)</f>
        <v>1.99047619047619</v>
      </c>
      <c r="G83" s="3">
        <f>SUMIFS(tblWorkPackages[Above estimate (0/1)],tblWorkPackages[Request week (Monday)],$A83)</f>
        <v>11</v>
      </c>
    </row>
    <row r="84" spans="1:7" x14ac:dyDescent="0.2">
      <c r="A84" s="3" t="s">
        <v>1166</v>
      </c>
      <c r="B84" s="3">
        <f>COUNTIFS(tblWorkPackages[Request week (Monday)],$A84)</f>
        <v>15</v>
      </c>
      <c r="C84" s="9">
        <f>SUMIFS(tblWorkPackages[Estimated labor hours],tblWorkPackages[Request week (Monday)],$A84)</f>
        <v>217.7</v>
      </c>
      <c r="D84" s="9">
        <f>SUMIFS(tblWorkPackages[Actual labor hours],tblWorkPackages[Request week (Monday)],$A84)</f>
        <v>235</v>
      </c>
      <c r="E84" s="9">
        <f t="shared" si="2"/>
        <v>17.3</v>
      </c>
      <c r="F84" s="12">
        <f>IF(B84=0,"",SUMIFS(tblWorkPackages[Absolute estimate error],tblWorkPackages[Request week (Monday)],$A84)/B84)</f>
        <v>1.80666666666667</v>
      </c>
      <c r="G84" s="3">
        <f>SUMIFS(tblWorkPackages[Above estimate (0/1)],tblWorkPackages[Request week (Monday)],$A84)</f>
        <v>11</v>
      </c>
    </row>
    <row r="85" spans="1:7" x14ac:dyDescent="0.2">
      <c r="A85" s="3" t="s">
        <v>935</v>
      </c>
      <c r="B85" s="3">
        <f>COUNTIFS(tblWorkPackages[Request week (Monday)],$A85)</f>
        <v>21</v>
      </c>
      <c r="C85" s="9">
        <f>SUMIFS(tblWorkPackages[Estimated labor hours],tblWorkPackages[Request week (Monday)],$A85)</f>
        <v>264.2</v>
      </c>
      <c r="D85" s="9">
        <f>SUMIFS(tblWorkPackages[Actual labor hours],tblWorkPackages[Request week (Monday)],$A85)</f>
        <v>309.8</v>
      </c>
      <c r="E85" s="9">
        <f t="shared" si="2"/>
        <v>45.6</v>
      </c>
      <c r="F85" s="12">
        <f>IF(B85=0,"",SUMIFS(tblWorkPackages[Absolute estimate error],tblWorkPackages[Request week (Monday)],$A85)/B85)</f>
        <v>2.53333333333333</v>
      </c>
      <c r="G85" s="3">
        <f>SUMIFS(tblWorkPackages[Above estimate (0/1)],tblWorkPackages[Request week (Monday)],$A85)</f>
        <v>17</v>
      </c>
    </row>
    <row r="86" spans="1:7" x14ac:dyDescent="0.2">
      <c r="A86" s="3" t="s">
        <v>1100</v>
      </c>
      <c r="B86" s="3">
        <f>COUNTIFS(tblWorkPackages[Request week (Monday)],$A86)</f>
        <v>28</v>
      </c>
      <c r="C86" s="9">
        <f>SUMIFS(tblWorkPackages[Estimated labor hours],tblWorkPackages[Request week (Monday)],$A86)</f>
        <v>318.4</v>
      </c>
      <c r="D86" s="9">
        <f>SUMIFS(tblWorkPackages[Actual labor hours],tblWorkPackages[Request week (Monday)],$A86)</f>
        <v>359.6</v>
      </c>
      <c r="E86" s="9">
        <f t="shared" si="2"/>
        <v>41.2</v>
      </c>
      <c r="F86" s="12">
        <f>IF(B86=0,"",SUMIFS(tblWorkPackages[Absolute estimate error],tblWorkPackages[Request week (Monday)],$A86)/B86)</f>
        <v>2.17142857142857</v>
      </c>
      <c r="G86" s="3">
        <f>SUMIFS(tblWorkPackages[Above estimate (0/1)],tblWorkPackages[Request week (Monday)],$A86)</f>
        <v>17</v>
      </c>
    </row>
    <row r="87" spans="1:7" x14ac:dyDescent="0.2">
      <c r="A87" s="3" t="s">
        <v>412</v>
      </c>
      <c r="B87" s="3">
        <f>COUNTIFS(tblWorkPackages[Request week (Monday)],$A87)</f>
        <v>28</v>
      </c>
      <c r="C87" s="9">
        <f>SUMIFS(tblWorkPackages[Estimated labor hours],tblWorkPackages[Request week (Monday)],$A87)</f>
        <v>361.5</v>
      </c>
      <c r="D87" s="9">
        <f>SUMIFS(tblWorkPackages[Actual labor hours],tblWorkPackages[Request week (Monday)],$A87)</f>
        <v>378.3</v>
      </c>
      <c r="E87" s="9">
        <f t="shared" si="2"/>
        <v>16.8</v>
      </c>
      <c r="F87" s="12">
        <f>IF(B87=0,"",SUMIFS(tblWorkPackages[Absolute estimate error],tblWorkPackages[Request week (Monday)],$A87)/B87)</f>
        <v>1.52857142857143</v>
      </c>
      <c r="G87" s="3">
        <f>SUMIFS(tblWorkPackages[Above estimate (0/1)],tblWorkPackages[Request week (Monday)],$A87)</f>
        <v>17</v>
      </c>
    </row>
    <row r="88" spans="1:7" x14ac:dyDescent="0.2">
      <c r="A88" s="3" t="s">
        <v>859</v>
      </c>
      <c r="B88" s="3">
        <f>COUNTIFS(tblWorkPackages[Request week (Monday)],$A88)</f>
        <v>31</v>
      </c>
      <c r="C88" s="9">
        <f>SUMIFS(tblWorkPackages[Estimated labor hours],tblWorkPackages[Request week (Monday)],$A88)</f>
        <v>425.5</v>
      </c>
      <c r="D88" s="9">
        <f>SUMIFS(tblWorkPackages[Actual labor hours],tblWorkPackages[Request week (Monday)],$A88)</f>
        <v>468.9</v>
      </c>
      <c r="E88" s="9">
        <f t="shared" si="2"/>
        <v>43.4</v>
      </c>
      <c r="F88" s="12">
        <f>IF(B88=0,"",SUMIFS(tblWorkPackages[Absolute estimate error],tblWorkPackages[Request week (Monday)],$A88)/B88)</f>
        <v>2.15483870967742</v>
      </c>
      <c r="G88" s="3">
        <f>SUMIFS(tblWorkPackages[Above estimate (0/1)],tblWorkPackages[Request week (Monday)],$A88)</f>
        <v>21</v>
      </c>
    </row>
    <row r="89" spans="1:7" x14ac:dyDescent="0.2">
      <c r="A89" s="3" t="s">
        <v>1318</v>
      </c>
      <c r="B89" s="3">
        <f>COUNTIFS(tblWorkPackages[Request week (Monday)],$A89)</f>
        <v>35</v>
      </c>
      <c r="C89" s="9">
        <f>SUMIFS(tblWorkPackages[Estimated labor hours],tblWorkPackages[Request week (Monday)],$A89)</f>
        <v>533.4</v>
      </c>
      <c r="D89" s="9">
        <f>SUMIFS(tblWorkPackages[Actual labor hours],tblWorkPackages[Request week (Monday)],$A89)</f>
        <v>632.9</v>
      </c>
      <c r="E89" s="9">
        <f t="shared" si="2"/>
        <v>99.5</v>
      </c>
      <c r="F89" s="12">
        <f>IF(B89=0,"",SUMIFS(tblWorkPackages[Absolute estimate error],tblWorkPackages[Request week (Monday)],$A89)/B89)</f>
        <v>4.20285714285714</v>
      </c>
      <c r="G89" s="3">
        <f>SUMIFS(tblWorkPackages[Above estimate (0/1)],tblWorkPackages[Request week (Monday)],$A89)</f>
        <v>24</v>
      </c>
    </row>
    <row r="90" spans="1:7" x14ac:dyDescent="0.2">
      <c r="A90" s="3" t="s">
        <v>966</v>
      </c>
      <c r="B90" s="3">
        <f>COUNTIFS(tblWorkPackages[Request week (Monday)],$A90)</f>
        <v>23</v>
      </c>
      <c r="C90" s="9">
        <f>SUMIFS(tblWorkPackages[Estimated labor hours],tblWorkPackages[Request week (Monday)],$A90)</f>
        <v>244.8</v>
      </c>
      <c r="D90" s="9">
        <f>SUMIFS(tblWorkPackages[Actual labor hours],tblWorkPackages[Request week (Monday)],$A90)</f>
        <v>251.3</v>
      </c>
      <c r="E90" s="9">
        <f t="shared" si="2"/>
        <v>6.5</v>
      </c>
      <c r="F90" s="12">
        <f>IF(B90=0,"",SUMIFS(tblWorkPackages[Absolute estimate error],tblWorkPackages[Request week (Monday)],$A90)/B90)</f>
        <v>1.2304347826087</v>
      </c>
      <c r="G90" s="3">
        <f>SUMIFS(tblWorkPackages[Above estimate (0/1)],tblWorkPackages[Request week (Monday)],$A90)</f>
        <v>12</v>
      </c>
    </row>
    <row r="91" spans="1:7" x14ac:dyDescent="0.2">
      <c r="A91" s="3" t="s">
        <v>1191</v>
      </c>
      <c r="B91" s="3">
        <f>COUNTIFS(tblWorkPackages[Request week (Monday)],$A91)</f>
        <v>26</v>
      </c>
      <c r="C91" s="9">
        <f>SUMIFS(tblWorkPackages[Estimated labor hours],tblWorkPackages[Request week (Monday)],$A91)</f>
        <v>388.8</v>
      </c>
      <c r="D91" s="9">
        <f>SUMIFS(tblWorkPackages[Actual labor hours],tblWorkPackages[Request week (Monday)],$A91)</f>
        <v>433.1</v>
      </c>
      <c r="E91" s="9">
        <f t="shared" ref="E91:E122" si="3">D91-C91</f>
        <v>44.3</v>
      </c>
      <c r="F91" s="12">
        <f>IF(B91=0,"",SUMIFS(tblWorkPackages[Absolute estimate error],tblWorkPackages[Request week (Monday)],$A91)/B91)</f>
        <v>2.99615384615385</v>
      </c>
      <c r="G91" s="3">
        <f>SUMIFS(tblWorkPackages[Above estimate (0/1)],tblWorkPackages[Request week (Monday)],$A91)</f>
        <v>18</v>
      </c>
    </row>
    <row r="92" spans="1:7" x14ac:dyDescent="0.2">
      <c r="A92" s="3" t="s">
        <v>1192</v>
      </c>
      <c r="B92" s="3">
        <f>COUNTIFS(tblWorkPackages[Request week (Monday)],$A92)</f>
        <v>27</v>
      </c>
      <c r="C92" s="9">
        <f>SUMIFS(tblWorkPackages[Estimated labor hours],tblWorkPackages[Request week (Monday)],$A92)</f>
        <v>398.2</v>
      </c>
      <c r="D92" s="9">
        <f>SUMIFS(tblWorkPackages[Actual labor hours],tblWorkPackages[Request week (Monday)],$A92)</f>
        <v>407.3</v>
      </c>
      <c r="E92" s="9">
        <f t="shared" si="3"/>
        <v>9.10000000000002</v>
      </c>
      <c r="F92" s="12">
        <f>IF(B92=0,"",SUMIFS(tblWorkPackages[Absolute estimate error],tblWorkPackages[Request week (Monday)],$A92)/B92)</f>
        <v>1.83333333333333</v>
      </c>
      <c r="G92" s="3">
        <f>SUMIFS(tblWorkPackages[Above estimate (0/1)],tblWorkPackages[Request week (Monday)],$A92)</f>
        <v>13</v>
      </c>
    </row>
    <row r="93" spans="1:7" x14ac:dyDescent="0.2">
      <c r="A93" s="3" t="s">
        <v>1480</v>
      </c>
      <c r="B93" s="3">
        <f>COUNTIFS(tblWorkPackages[Request week (Monday)],$A93)</f>
        <v>19</v>
      </c>
      <c r="C93" s="9">
        <f>SUMIFS(tblWorkPackages[Estimated labor hours],tblWorkPackages[Request week (Monday)],$A93)</f>
        <v>250</v>
      </c>
      <c r="D93" s="9">
        <f>SUMIFS(tblWorkPackages[Actual labor hours],tblWorkPackages[Request week (Monday)],$A93)</f>
        <v>267.2</v>
      </c>
      <c r="E93" s="9">
        <f t="shared" si="3"/>
        <v>17.2</v>
      </c>
      <c r="F93" s="12">
        <f>IF(B93=0,"",SUMIFS(tblWorkPackages[Absolute estimate error],tblWorkPackages[Request week (Monday)],$A93)/B93)</f>
        <v>2.13684210526316</v>
      </c>
      <c r="G93" s="3">
        <f>SUMIFS(tblWorkPackages[Above estimate (0/1)],tblWorkPackages[Request week (Monday)],$A93)</f>
        <v>12</v>
      </c>
    </row>
    <row r="94" spans="1:7" x14ac:dyDescent="0.2">
      <c r="A94" s="3" t="s">
        <v>271</v>
      </c>
      <c r="B94" s="3">
        <f>COUNTIFS(tblWorkPackages[Request week (Monday)],$A94)</f>
        <v>17</v>
      </c>
      <c r="C94" s="9">
        <f>SUMIFS(tblWorkPackages[Estimated labor hours],tblWorkPackages[Request week (Monday)],$A94)</f>
        <v>174.5</v>
      </c>
      <c r="D94" s="9">
        <f>SUMIFS(tblWorkPackages[Actual labor hours],tblWorkPackages[Request week (Monday)],$A94)</f>
        <v>205.9</v>
      </c>
      <c r="E94" s="9">
        <f t="shared" si="3"/>
        <v>31.4</v>
      </c>
      <c r="F94" s="12">
        <f>IF(B94=0,"",SUMIFS(tblWorkPackages[Absolute estimate error],tblWorkPackages[Request week (Monday)],$A94)/B94)</f>
        <v>2.25882352941177</v>
      </c>
      <c r="G94" s="3">
        <f>SUMIFS(tblWorkPackages[Above estimate (0/1)],tblWorkPackages[Request week (Monday)],$A94)</f>
        <v>11</v>
      </c>
    </row>
    <row r="95" spans="1:7" x14ac:dyDescent="0.2">
      <c r="A95" s="3" t="s">
        <v>1283</v>
      </c>
      <c r="B95" s="3">
        <f>COUNTIFS(tblWorkPackages[Request week (Monday)],$A95)</f>
        <v>24</v>
      </c>
      <c r="C95" s="9">
        <f>SUMIFS(tblWorkPackages[Estimated labor hours],tblWorkPackages[Request week (Monday)],$A95)</f>
        <v>362.3</v>
      </c>
      <c r="D95" s="9">
        <f>SUMIFS(tblWorkPackages[Actual labor hours],tblWorkPackages[Request week (Monday)],$A95)</f>
        <v>365.6</v>
      </c>
      <c r="E95" s="9">
        <f t="shared" si="3"/>
        <v>3.29999999999995</v>
      </c>
      <c r="F95" s="12">
        <f>IF(B95=0,"",SUMIFS(tblWorkPackages[Absolute estimate error],tblWorkPackages[Request week (Monday)],$A95)/B95)</f>
        <v>1.87916666666667</v>
      </c>
      <c r="G95" s="3">
        <f>SUMIFS(tblWorkPackages[Above estimate (0/1)],tblWorkPackages[Request week (Monday)],$A95)</f>
        <v>12</v>
      </c>
    </row>
    <row r="96" spans="1:7" x14ac:dyDescent="0.2">
      <c r="A96" s="3" t="s">
        <v>468</v>
      </c>
      <c r="B96" s="3">
        <f>COUNTIFS(tblWorkPackages[Request week (Monday)],$A96)</f>
        <v>28</v>
      </c>
      <c r="C96" s="9">
        <f>SUMIFS(tblWorkPackages[Estimated labor hours],tblWorkPackages[Request week (Monday)],$A96)</f>
        <v>382.6</v>
      </c>
      <c r="D96" s="9">
        <f>SUMIFS(tblWorkPackages[Actual labor hours],tblWorkPackages[Request week (Monday)],$A96)</f>
        <v>408.6</v>
      </c>
      <c r="E96" s="9">
        <f t="shared" si="3"/>
        <v>26</v>
      </c>
      <c r="F96" s="12">
        <f>IF(B96=0,"",SUMIFS(tblWorkPackages[Absolute estimate error],tblWorkPackages[Request week (Monday)],$A96)/B96)</f>
        <v>2.6</v>
      </c>
      <c r="G96" s="3">
        <f>SUMIFS(tblWorkPackages[Above estimate (0/1)],tblWorkPackages[Request week (Monday)],$A96)</f>
        <v>15</v>
      </c>
    </row>
    <row r="97" spans="1:7" x14ac:dyDescent="0.2">
      <c r="A97" s="3" t="s">
        <v>236</v>
      </c>
      <c r="B97" s="3">
        <f>COUNTIFS(tblWorkPackages[Request week (Monday)],$A97)</f>
        <v>23</v>
      </c>
      <c r="C97" s="9">
        <f>SUMIFS(tblWorkPackages[Estimated labor hours],tblWorkPackages[Request week (Monday)],$A97)</f>
        <v>311.8</v>
      </c>
      <c r="D97" s="9">
        <f>SUMIFS(tblWorkPackages[Actual labor hours],tblWorkPackages[Request week (Monday)],$A97)</f>
        <v>321.3</v>
      </c>
      <c r="E97" s="9">
        <f t="shared" si="3"/>
        <v>9.5</v>
      </c>
      <c r="F97" s="12">
        <f>IF(B97=0,"",SUMIFS(tblWorkPackages[Absolute estimate error],tblWorkPackages[Request week (Monday)],$A97)/B97)</f>
        <v>2.23913043478261</v>
      </c>
      <c r="G97" s="3">
        <f>SUMIFS(tblWorkPackages[Above estimate (0/1)],tblWorkPackages[Request week (Monday)],$A97)</f>
        <v>12</v>
      </c>
    </row>
    <row r="98" spans="1:7" x14ac:dyDescent="0.2">
      <c r="A98" s="3" t="s">
        <v>924</v>
      </c>
      <c r="B98" s="3">
        <f>COUNTIFS(tblWorkPackages[Request week (Monday)],$A98)</f>
        <v>36</v>
      </c>
      <c r="C98" s="9">
        <f>SUMIFS(tblWorkPackages[Estimated labor hours],tblWorkPackages[Request week (Monday)],$A98)</f>
        <v>404.5</v>
      </c>
      <c r="D98" s="9">
        <f>SUMIFS(tblWorkPackages[Actual labor hours],tblWorkPackages[Request week (Monday)],$A98)</f>
        <v>417.3</v>
      </c>
      <c r="E98" s="9">
        <f t="shared" si="3"/>
        <v>12.8</v>
      </c>
      <c r="F98" s="12">
        <f>IF(B98=0,"",SUMIFS(tblWorkPackages[Absolute estimate error],tblWorkPackages[Request week (Monday)],$A98)/B98)</f>
        <v>1.8</v>
      </c>
      <c r="G98" s="3">
        <f>SUMIFS(tblWorkPackages[Above estimate (0/1)],tblWorkPackages[Request week (Monday)],$A98)</f>
        <v>19</v>
      </c>
    </row>
    <row r="99" spans="1:7" x14ac:dyDescent="0.2">
      <c r="A99" s="3" t="s">
        <v>365</v>
      </c>
      <c r="B99" s="3">
        <f>COUNTIFS(tblWorkPackages[Request week (Monday)],$A99)</f>
        <v>29</v>
      </c>
      <c r="C99" s="9">
        <f>SUMIFS(tblWorkPackages[Estimated labor hours],tblWorkPackages[Request week (Monday)],$A99)</f>
        <v>402.9</v>
      </c>
      <c r="D99" s="9">
        <f>SUMIFS(tblWorkPackages[Actual labor hours],tblWorkPackages[Request week (Monday)],$A99)</f>
        <v>425.9</v>
      </c>
      <c r="E99" s="9">
        <f t="shared" si="3"/>
        <v>23</v>
      </c>
      <c r="F99" s="12">
        <f>IF(B99=0,"",SUMIFS(tblWorkPackages[Absolute estimate error],tblWorkPackages[Request week (Monday)],$A99)/B99)</f>
        <v>2.04137931034483</v>
      </c>
      <c r="G99" s="3">
        <f>SUMIFS(tblWorkPackages[Above estimate (0/1)],tblWorkPackages[Request week (Monday)],$A99)</f>
        <v>17</v>
      </c>
    </row>
    <row r="100" spans="1:7" x14ac:dyDescent="0.2">
      <c r="A100" s="3" t="s">
        <v>597</v>
      </c>
      <c r="B100" s="3">
        <f>COUNTIFS(tblWorkPackages[Request week (Monday)],$A100)</f>
        <v>16</v>
      </c>
      <c r="C100" s="9">
        <f>SUMIFS(tblWorkPackages[Estimated labor hours],tblWorkPackages[Request week (Monday)],$A100)</f>
        <v>179.5</v>
      </c>
      <c r="D100" s="9">
        <f>SUMIFS(tblWorkPackages[Actual labor hours],tblWorkPackages[Request week (Monday)],$A100)</f>
        <v>221.9</v>
      </c>
      <c r="E100" s="9">
        <f t="shared" si="3"/>
        <v>42.4</v>
      </c>
      <c r="F100" s="12">
        <f>IF(B100=0,"",SUMIFS(tblWorkPackages[Absolute estimate error],tblWorkPackages[Request week (Monday)],$A100)/B100)</f>
        <v>2.9125</v>
      </c>
      <c r="G100" s="3">
        <f>SUMIFS(tblWorkPackages[Above estimate (0/1)],tblWorkPackages[Request week (Monday)],$A100)</f>
        <v>13</v>
      </c>
    </row>
    <row r="101" spans="1:7" x14ac:dyDescent="0.2">
      <c r="A101" s="3" t="s">
        <v>2009</v>
      </c>
      <c r="B101" s="3">
        <f>COUNTIFS(tblWorkPackages[Request week (Monday)],$A101)</f>
        <v>30</v>
      </c>
      <c r="C101" s="9">
        <f>SUMIFS(tblWorkPackages[Estimated labor hours],tblWorkPackages[Request week (Monday)],$A101)</f>
        <v>362.4</v>
      </c>
      <c r="D101" s="9">
        <f>SUMIFS(tblWorkPackages[Actual labor hours],tblWorkPackages[Request week (Monday)],$A101)</f>
        <v>376.9</v>
      </c>
      <c r="E101" s="9">
        <f t="shared" si="3"/>
        <v>14.5</v>
      </c>
      <c r="F101" s="12">
        <f>IF(B101=0,"",SUMIFS(tblWorkPackages[Absolute estimate error],tblWorkPackages[Request week (Monday)],$A101)/B101)</f>
        <v>1.47</v>
      </c>
      <c r="G101" s="3">
        <f>SUMIFS(tblWorkPackages[Above estimate (0/1)],tblWorkPackages[Request week (Monday)],$A101)</f>
        <v>21</v>
      </c>
    </row>
    <row r="102" spans="1:7" x14ac:dyDescent="0.2">
      <c r="A102" s="3" t="s">
        <v>1036</v>
      </c>
      <c r="B102" s="3">
        <f>COUNTIFS(tblWorkPackages[Request week (Monday)],$A102)</f>
        <v>28</v>
      </c>
      <c r="C102" s="9">
        <f>SUMIFS(tblWorkPackages[Estimated labor hours],tblWorkPackages[Request week (Monday)],$A102)</f>
        <v>329.8</v>
      </c>
      <c r="D102" s="9">
        <f>SUMIFS(tblWorkPackages[Actual labor hours],tblWorkPackages[Request week (Monday)],$A102)</f>
        <v>356.4</v>
      </c>
      <c r="E102" s="9">
        <f t="shared" si="3"/>
        <v>26.6</v>
      </c>
      <c r="F102" s="12">
        <f>IF(B102=0,"",SUMIFS(tblWorkPackages[Absolute estimate error],tblWorkPackages[Request week (Monday)],$A102)/B102)</f>
        <v>2</v>
      </c>
      <c r="G102" s="3">
        <f>SUMIFS(tblWorkPackages[Above estimate (0/1)],tblWorkPackages[Request week (Monday)],$A102)</f>
        <v>17</v>
      </c>
    </row>
    <row r="103" spans="1:7" x14ac:dyDescent="0.2">
      <c r="A103" s="3" t="s">
        <v>1118</v>
      </c>
      <c r="B103" s="3">
        <f>COUNTIFS(tblWorkPackages[Request week (Monday)],$A103)</f>
        <v>20</v>
      </c>
      <c r="C103" s="9">
        <f>SUMIFS(tblWorkPackages[Estimated labor hours],tblWorkPackages[Request week (Monday)],$A103)</f>
        <v>210</v>
      </c>
      <c r="D103" s="9">
        <f>SUMIFS(tblWorkPackages[Actual labor hours],tblWorkPackages[Request week (Monday)],$A103)</f>
        <v>214.8</v>
      </c>
      <c r="E103" s="9">
        <f t="shared" si="3"/>
        <v>4.80000000000001</v>
      </c>
      <c r="F103" s="12">
        <f>IF(B103=0,"",SUMIFS(tblWorkPackages[Absolute estimate error],tblWorkPackages[Request week (Monday)],$A103)/B103)</f>
        <v>1.35</v>
      </c>
      <c r="G103" s="3">
        <f>SUMIFS(tblWorkPackages[Above estimate (0/1)],tblWorkPackages[Request week (Monday)],$A103)</f>
        <v>9</v>
      </c>
    </row>
    <row r="104" spans="1:7" x14ac:dyDescent="0.2">
      <c r="A104" s="3" t="s">
        <v>1256</v>
      </c>
      <c r="B104" s="3">
        <f>COUNTIFS(tblWorkPackages[Request week (Monday)],$A104)</f>
        <v>32</v>
      </c>
      <c r="C104" s="9">
        <f>SUMIFS(tblWorkPackages[Estimated labor hours],tblWorkPackages[Request week (Monday)],$A104)</f>
        <v>381.3</v>
      </c>
      <c r="D104" s="9">
        <f>SUMIFS(tblWorkPackages[Actual labor hours],tblWorkPackages[Request week (Monday)],$A104)</f>
        <v>419.3</v>
      </c>
      <c r="E104" s="9">
        <f t="shared" si="3"/>
        <v>38</v>
      </c>
      <c r="F104" s="12">
        <f>IF(B104=0,"",SUMIFS(tblWorkPackages[Absolute estimate error],tblWorkPackages[Request week (Monday)],$A104)/B104)</f>
        <v>1.88125</v>
      </c>
      <c r="G104" s="3">
        <f>SUMIFS(tblWorkPackages[Above estimate (0/1)],tblWorkPackages[Request week (Monday)],$A104)</f>
        <v>22</v>
      </c>
    </row>
    <row r="105" spans="1:7" x14ac:dyDescent="0.2">
      <c r="A105" s="3" t="s">
        <v>199</v>
      </c>
      <c r="B105" s="3">
        <f>COUNTIFS(tblWorkPackages[Request week (Monday)],$A105)</f>
        <v>19</v>
      </c>
      <c r="C105" s="9">
        <f>SUMIFS(tblWorkPackages[Estimated labor hours],tblWorkPackages[Request week (Monday)],$A105)</f>
        <v>178.4</v>
      </c>
      <c r="D105" s="9">
        <f>SUMIFS(tblWorkPackages[Actual labor hours],tblWorkPackages[Request week (Monday)],$A105)</f>
        <v>199.2</v>
      </c>
      <c r="E105" s="9">
        <f t="shared" si="3"/>
        <v>20.8</v>
      </c>
      <c r="F105" s="12">
        <f>IF(B105=0,"",SUMIFS(tblWorkPackages[Absolute estimate error],tblWorkPackages[Request week (Monday)],$A105)/B105)</f>
        <v>1.35789473684211</v>
      </c>
      <c r="G105" s="3">
        <f>SUMIFS(tblWorkPackages[Above estimate (0/1)],tblWorkPackages[Request week (Monday)],$A105)</f>
        <v>15</v>
      </c>
    </row>
    <row r="106" spans="1:7" x14ac:dyDescent="0.2">
      <c r="A106" s="3" t="s">
        <v>323</v>
      </c>
      <c r="B106" s="3">
        <f>COUNTIFS(tblWorkPackages[Request week (Monday)],$A106)</f>
        <v>16</v>
      </c>
      <c r="C106" s="9">
        <f>SUMIFS(tblWorkPackages[Estimated labor hours],tblWorkPackages[Request week (Monday)],$A106)</f>
        <v>185.6</v>
      </c>
      <c r="D106" s="9">
        <f>SUMIFS(tblWorkPackages[Actual labor hours],tblWorkPackages[Request week (Monday)],$A106)</f>
        <v>226.4</v>
      </c>
      <c r="E106" s="9">
        <f t="shared" si="3"/>
        <v>40.8</v>
      </c>
      <c r="F106" s="12">
        <f>IF(B106=0,"",SUMIFS(tblWorkPackages[Absolute estimate error],tblWorkPackages[Request week (Monday)],$A106)/B106)</f>
        <v>2.925</v>
      </c>
      <c r="G106" s="3">
        <f>SUMIFS(tblWorkPackages[Above estimate (0/1)],tblWorkPackages[Request week (Monday)],$A106)</f>
        <v>13</v>
      </c>
    </row>
    <row r="107" spans="1:7" x14ac:dyDescent="0.2">
      <c r="A107" s="3" t="s">
        <v>431</v>
      </c>
      <c r="B107" s="3">
        <f>COUNTIFS(tblWorkPackages[Request week (Monday)],$A107)</f>
        <v>29</v>
      </c>
      <c r="C107" s="9">
        <f>SUMIFS(tblWorkPackages[Estimated labor hours],tblWorkPackages[Request week (Monday)],$A107)</f>
        <v>301.4</v>
      </c>
      <c r="D107" s="9">
        <f>SUMIFS(tblWorkPackages[Actual labor hours],tblWorkPackages[Request week (Monday)],$A107)</f>
        <v>347.7</v>
      </c>
      <c r="E107" s="9">
        <f t="shared" si="3"/>
        <v>46.3</v>
      </c>
      <c r="F107" s="12">
        <f>IF(B107=0,"",SUMIFS(tblWorkPackages[Absolute estimate error],tblWorkPackages[Request week (Monday)],$A107)/B107)</f>
        <v>1.85172413793103</v>
      </c>
      <c r="G107" s="3">
        <f>SUMIFS(tblWorkPackages[Above estimate (0/1)],tblWorkPackages[Request week (Monday)],$A107)</f>
        <v>23</v>
      </c>
    </row>
    <row r="108" spans="1:7" x14ac:dyDescent="0.2">
      <c r="A108" s="3" t="s">
        <v>1234</v>
      </c>
      <c r="B108" s="3">
        <f>COUNTIFS(tblWorkPackages[Request week (Monday)],$A108)</f>
        <v>25</v>
      </c>
      <c r="C108" s="9">
        <f>SUMIFS(tblWorkPackages[Estimated labor hours],tblWorkPackages[Request week (Monday)],$A108)</f>
        <v>280.9</v>
      </c>
      <c r="D108" s="9">
        <f>SUMIFS(tblWorkPackages[Actual labor hours],tblWorkPackages[Request week (Monday)],$A108)</f>
        <v>320.9</v>
      </c>
      <c r="E108" s="9">
        <f t="shared" si="3"/>
        <v>40</v>
      </c>
      <c r="F108" s="12">
        <f>IF(B108=0,"",SUMIFS(tblWorkPackages[Absolute estimate error],tblWorkPackages[Request week (Monday)],$A108)/B108)</f>
        <v>2.648</v>
      </c>
      <c r="G108" s="3">
        <f>SUMIFS(tblWorkPackages[Above estimate (0/1)],tblWorkPackages[Request week (Monday)],$A108)</f>
        <v>14</v>
      </c>
    </row>
    <row r="109" spans="1:7" x14ac:dyDescent="0.2">
      <c r="A109" s="3" t="s">
        <v>1510</v>
      </c>
      <c r="B109" s="3">
        <f>COUNTIFS(tblWorkPackages[Request week (Monday)],$A109)</f>
        <v>16</v>
      </c>
      <c r="C109" s="9">
        <f>SUMIFS(tblWorkPackages[Estimated labor hours],tblWorkPackages[Request week (Monday)],$A109)</f>
        <v>162.2</v>
      </c>
      <c r="D109" s="9">
        <f>SUMIFS(tblWorkPackages[Actual labor hours],tblWorkPackages[Request week (Monday)],$A109)</f>
        <v>180.5</v>
      </c>
      <c r="E109" s="9">
        <f t="shared" si="3"/>
        <v>18.3</v>
      </c>
      <c r="F109" s="12">
        <f>IF(B109=0,"",SUMIFS(tblWorkPackages[Absolute estimate error],tblWorkPackages[Request week (Monday)],$A109)/B109)</f>
        <v>1.88125</v>
      </c>
      <c r="G109" s="3">
        <f>SUMIFS(tblWorkPackages[Above estimate (0/1)],tblWorkPackages[Request week (Monday)],$A109)</f>
        <v>11</v>
      </c>
    </row>
    <row r="110" spans="1:7" x14ac:dyDescent="0.2">
      <c r="A110" s="3" t="s">
        <v>658</v>
      </c>
      <c r="B110" s="3">
        <f>COUNTIFS(tblWorkPackages[Request week (Monday)],$A110)</f>
        <v>28</v>
      </c>
      <c r="C110" s="9">
        <f>SUMIFS(tblWorkPackages[Estimated labor hours],tblWorkPackages[Request week (Monday)],$A110)</f>
        <v>342.7</v>
      </c>
      <c r="D110" s="9">
        <f>SUMIFS(tblWorkPackages[Actual labor hours],tblWorkPackages[Request week (Monday)],$A110)</f>
        <v>385.1</v>
      </c>
      <c r="E110" s="9">
        <f t="shared" si="3"/>
        <v>42.4</v>
      </c>
      <c r="F110" s="12">
        <f>IF(B110=0,"",SUMIFS(tblWorkPackages[Absolute estimate error],tblWorkPackages[Request week (Monday)],$A110)/B110)</f>
        <v>2.09285714285714</v>
      </c>
      <c r="G110" s="3">
        <f>SUMIFS(tblWorkPackages[Above estimate (0/1)],tblWorkPackages[Request week (Monday)],$A110)</f>
        <v>19</v>
      </c>
    </row>
    <row r="111" spans="1:7" x14ac:dyDescent="0.2">
      <c r="A111" s="3" t="s">
        <v>1151</v>
      </c>
      <c r="B111" s="3">
        <f>COUNTIFS(tblWorkPackages[Request week (Monday)],$A111)</f>
        <v>31</v>
      </c>
      <c r="C111" s="9">
        <f>SUMIFS(tblWorkPackages[Estimated labor hours],tblWorkPackages[Request week (Monday)],$A111)</f>
        <v>267.2</v>
      </c>
      <c r="D111" s="9">
        <f>SUMIFS(tblWorkPackages[Actual labor hours],tblWorkPackages[Request week (Monday)],$A111)</f>
        <v>293.5</v>
      </c>
      <c r="E111" s="9">
        <f t="shared" si="3"/>
        <v>26.3</v>
      </c>
      <c r="F111" s="12">
        <f>IF(B111=0,"",SUMIFS(tblWorkPackages[Absolute estimate error],tblWorkPackages[Request week (Monday)],$A111)/B111)</f>
        <v>1.39032258064516</v>
      </c>
      <c r="G111" s="3">
        <f>SUMIFS(tblWorkPackages[Above estimate (0/1)],tblWorkPackages[Request week (Monday)],$A111)</f>
        <v>20</v>
      </c>
    </row>
    <row r="112" spans="1:7" x14ac:dyDescent="0.2">
      <c r="A112" s="3" t="s">
        <v>312</v>
      </c>
      <c r="B112" s="3">
        <f>COUNTIFS(tblWorkPackages[Request week (Monday)],$A112)</f>
        <v>33</v>
      </c>
      <c r="C112" s="9">
        <f>SUMIFS(tblWorkPackages[Estimated labor hours],tblWorkPackages[Request week (Monday)],$A112)</f>
        <v>298.9</v>
      </c>
      <c r="D112" s="9">
        <f>SUMIFS(tblWorkPackages[Actual labor hours],tblWorkPackages[Request week (Monday)],$A112)</f>
        <v>306.6</v>
      </c>
      <c r="E112" s="9">
        <f t="shared" si="3"/>
        <v>7.70000000000005</v>
      </c>
      <c r="F112" s="12">
        <f>IF(B112=0,"",SUMIFS(tblWorkPackages[Absolute estimate error],tblWorkPackages[Request week (Monday)],$A112)/B112)</f>
        <v>1.44545454545455</v>
      </c>
      <c r="G112" s="3">
        <f>SUMIFS(tblWorkPackages[Above estimate (0/1)],tblWorkPackages[Request week (Monday)],$A112)</f>
        <v>15</v>
      </c>
    </row>
    <row r="113" spans="1:7" x14ac:dyDescent="0.2">
      <c r="A113" s="3" t="s">
        <v>492</v>
      </c>
      <c r="B113" s="3">
        <f>COUNTIFS(tblWorkPackages[Request week (Monday)],$A113)</f>
        <v>18</v>
      </c>
      <c r="C113" s="9">
        <f>SUMIFS(tblWorkPackages[Estimated labor hours],tblWorkPackages[Request week (Monday)],$A113)</f>
        <v>194.4</v>
      </c>
      <c r="D113" s="9">
        <f>SUMIFS(tblWorkPackages[Actual labor hours],tblWorkPackages[Request week (Monday)],$A113)</f>
        <v>195.4</v>
      </c>
      <c r="E113" s="9">
        <f t="shared" si="3"/>
        <v>1</v>
      </c>
      <c r="F113" s="12">
        <f>IF(B113=0,"",SUMIFS(tblWorkPackages[Absolute estimate error],tblWorkPackages[Request week (Monday)],$A113)/B113)</f>
        <v>1.46666666666667</v>
      </c>
      <c r="G113" s="3">
        <f>SUMIFS(tblWorkPackages[Above estimate (0/1)],tblWorkPackages[Request week (Monday)],$A113)</f>
        <v>8</v>
      </c>
    </row>
    <row r="114" spans="1:7" x14ac:dyDescent="0.2">
      <c r="A114" s="3" t="s">
        <v>885</v>
      </c>
      <c r="B114" s="3">
        <f>COUNTIFS(tblWorkPackages[Request week (Monday)],$A114)</f>
        <v>29</v>
      </c>
      <c r="C114" s="9">
        <f>SUMIFS(tblWorkPackages[Estimated labor hours],tblWorkPackages[Request week (Monday)],$A114)</f>
        <v>256.9</v>
      </c>
      <c r="D114" s="9">
        <f>SUMIFS(tblWorkPackages[Actual labor hours],tblWorkPackages[Request week (Monday)],$A114)</f>
        <v>266</v>
      </c>
      <c r="E114" s="9">
        <f t="shared" si="3"/>
        <v>9.10000000000002</v>
      </c>
      <c r="F114" s="12">
        <f>IF(B114=0,"",SUMIFS(tblWorkPackages[Absolute estimate error],tblWorkPackages[Request week (Monday)],$A114)/B114)</f>
        <v>1.30689655172414</v>
      </c>
      <c r="G114" s="3">
        <f>SUMIFS(tblWorkPackages[Above estimate (0/1)],tblWorkPackages[Request week (Monday)],$A114)</f>
        <v>13</v>
      </c>
    </row>
    <row r="115" spans="1:7" x14ac:dyDescent="0.2">
      <c r="A115" s="3" t="s">
        <v>139</v>
      </c>
      <c r="B115" s="3">
        <f>COUNTIFS(tblWorkPackages[Request week (Monday)],$A115)</f>
        <v>25</v>
      </c>
      <c r="C115" s="9">
        <f>SUMIFS(tblWorkPackages[Estimated labor hours],tblWorkPackages[Request week (Monday)],$A115)</f>
        <v>281.3</v>
      </c>
      <c r="D115" s="9">
        <f>SUMIFS(tblWorkPackages[Actual labor hours],tblWorkPackages[Request week (Monday)],$A115)</f>
        <v>286.8</v>
      </c>
      <c r="E115" s="9">
        <f t="shared" si="3"/>
        <v>5.5</v>
      </c>
      <c r="F115" s="12">
        <f>IF(B115=0,"",SUMIFS(tblWorkPackages[Absolute estimate error],tblWorkPackages[Request week (Monday)],$A115)/B115)</f>
        <v>1.668</v>
      </c>
      <c r="G115" s="3">
        <f>SUMIFS(tblWorkPackages[Above estimate (0/1)],tblWorkPackages[Request week (Monday)],$A115)</f>
        <v>11</v>
      </c>
    </row>
    <row r="116" spans="1:7" x14ac:dyDescent="0.2">
      <c r="A116" s="3" t="s">
        <v>285</v>
      </c>
      <c r="B116" s="3">
        <f>COUNTIFS(tblWorkPackages[Request week (Monday)],$A116)</f>
        <v>24</v>
      </c>
      <c r="C116" s="9">
        <f>SUMIFS(tblWorkPackages[Estimated labor hours],tblWorkPackages[Request week (Monday)],$A116)</f>
        <v>218.3</v>
      </c>
      <c r="D116" s="9">
        <f>SUMIFS(tblWorkPackages[Actual labor hours],tblWorkPackages[Request week (Monday)],$A116)</f>
        <v>230.4</v>
      </c>
      <c r="E116" s="9">
        <f t="shared" si="3"/>
        <v>12.1</v>
      </c>
      <c r="F116" s="12">
        <f>IF(B116=0,"",SUMIFS(tblWorkPackages[Absolute estimate error],tblWorkPackages[Request week (Monday)],$A116)/B116)</f>
        <v>1.1125</v>
      </c>
      <c r="G116" s="3">
        <f>SUMIFS(tblWorkPackages[Above estimate (0/1)],tblWorkPackages[Request week (Monday)],$A116)</f>
        <v>14</v>
      </c>
    </row>
    <row r="117" spans="1:7" x14ac:dyDescent="0.2">
      <c r="A117" s="3" t="s">
        <v>791</v>
      </c>
      <c r="B117" s="3">
        <f>COUNTIFS(tblWorkPackages[Request week (Monday)],$A117)</f>
        <v>23</v>
      </c>
      <c r="C117" s="9">
        <f>SUMIFS(tblWorkPackages[Estimated labor hours],tblWorkPackages[Request week (Monday)],$A117)</f>
        <v>243</v>
      </c>
      <c r="D117" s="9">
        <f>SUMIFS(tblWorkPackages[Actual labor hours],tblWorkPackages[Request week (Monday)],$A117)</f>
        <v>241.5</v>
      </c>
      <c r="E117" s="9">
        <f t="shared" si="3"/>
        <v>-1.5</v>
      </c>
      <c r="F117" s="12">
        <f>IF(B117=0,"",SUMIFS(tblWorkPackages[Absolute estimate error],tblWorkPackages[Request week (Monday)],$A117)/B117)</f>
        <v>1.80434782608696</v>
      </c>
      <c r="G117" s="3">
        <f>SUMIFS(tblWorkPackages[Above estimate (0/1)],tblWorkPackages[Request week (Monday)],$A117)</f>
        <v>12</v>
      </c>
    </row>
    <row r="118" spans="1:7" x14ac:dyDescent="0.2">
      <c r="A118" s="3" t="s">
        <v>464</v>
      </c>
      <c r="B118" s="3">
        <f>COUNTIFS(tblWorkPackages[Request week (Monday)],$A118)</f>
        <v>15</v>
      </c>
      <c r="C118" s="9">
        <f>SUMIFS(tblWorkPackages[Estimated labor hours],tblWorkPackages[Request week (Monday)],$A118)</f>
        <v>150.8</v>
      </c>
      <c r="D118" s="9">
        <f>SUMIFS(tblWorkPackages[Actual labor hours],tblWorkPackages[Request week (Monday)],$A118)</f>
        <v>162.9</v>
      </c>
      <c r="E118" s="9">
        <f t="shared" si="3"/>
        <v>12.1</v>
      </c>
      <c r="F118" s="12">
        <f>IF(B118=0,"",SUMIFS(tblWorkPackages[Absolute estimate error],tblWorkPackages[Request week (Monday)],$A118)/B118)</f>
        <v>1.71333333333333</v>
      </c>
      <c r="G118" s="3">
        <f>SUMIFS(tblWorkPackages[Above estimate (0/1)],tblWorkPackages[Request week (Monday)],$A118)</f>
        <v>8</v>
      </c>
    </row>
    <row r="119" spans="1:7" x14ac:dyDescent="0.2">
      <c r="A119" s="3" t="s">
        <v>1272</v>
      </c>
      <c r="B119" s="3">
        <f>COUNTIFS(tblWorkPackages[Request week (Monday)],$A119)</f>
        <v>19</v>
      </c>
      <c r="C119" s="9">
        <f>SUMIFS(tblWorkPackages[Estimated labor hours],tblWorkPackages[Request week (Monday)],$A119)</f>
        <v>229.1</v>
      </c>
      <c r="D119" s="9">
        <f>SUMIFS(tblWorkPackages[Actual labor hours],tblWorkPackages[Request week (Monday)],$A119)</f>
        <v>263.5</v>
      </c>
      <c r="E119" s="9">
        <f t="shared" si="3"/>
        <v>34.4</v>
      </c>
      <c r="F119" s="12">
        <f>IF(B119=0,"",SUMIFS(tblWorkPackages[Absolute estimate error],tblWorkPackages[Request week (Monday)],$A119)/B119)</f>
        <v>1.93684210526316</v>
      </c>
      <c r="G119" s="3">
        <f>SUMIFS(tblWorkPackages[Above estimate (0/1)],tblWorkPackages[Request week (Monday)],$A119)</f>
        <v>17</v>
      </c>
    </row>
    <row r="120" spans="1:7" x14ac:dyDescent="0.2">
      <c r="A120" s="3" t="s">
        <v>378</v>
      </c>
      <c r="B120" s="3">
        <f>COUNTIFS(tblWorkPackages[Request week (Monday)],$A120)</f>
        <v>26</v>
      </c>
      <c r="C120" s="9">
        <f>SUMIFS(tblWorkPackages[Estimated labor hours],tblWorkPackages[Request week (Monday)],$A120)</f>
        <v>307.7</v>
      </c>
      <c r="D120" s="9">
        <f>SUMIFS(tblWorkPackages[Actual labor hours],tblWorkPackages[Request week (Monday)],$A120)</f>
        <v>344.9</v>
      </c>
      <c r="E120" s="9">
        <f t="shared" si="3"/>
        <v>37.2</v>
      </c>
      <c r="F120" s="12">
        <f>IF(B120=0,"",SUMIFS(tblWorkPackages[Absolute estimate error],tblWorkPackages[Request week (Monday)],$A120)/B120)</f>
        <v>2.4</v>
      </c>
      <c r="G120" s="3">
        <f>SUMIFS(tblWorkPackages[Above estimate (0/1)],tblWorkPackages[Request week (Monday)],$A120)</f>
        <v>16</v>
      </c>
    </row>
    <row r="121" spans="1:7" x14ac:dyDescent="0.2">
      <c r="A121" s="3" t="s">
        <v>543</v>
      </c>
      <c r="B121" s="3">
        <f>COUNTIFS(tblWorkPackages[Request week (Monday)],$A121)</f>
        <v>25</v>
      </c>
      <c r="C121" s="9">
        <f>SUMIFS(tblWorkPackages[Estimated labor hours],tblWorkPackages[Request week (Monday)],$A121)</f>
        <v>238.8</v>
      </c>
      <c r="D121" s="9">
        <f>SUMIFS(tblWorkPackages[Actual labor hours],tblWorkPackages[Request week (Monday)],$A121)</f>
        <v>242.9</v>
      </c>
      <c r="E121" s="9">
        <f t="shared" si="3"/>
        <v>4.09999999999999</v>
      </c>
      <c r="F121" s="12">
        <f>IF(B121=0,"",SUMIFS(tblWorkPackages[Absolute estimate error],tblWorkPackages[Request week (Monday)],$A121)/B121)</f>
        <v>1.308</v>
      </c>
      <c r="G121" s="3">
        <f>SUMIFS(tblWorkPackages[Above estimate (0/1)],tblWorkPackages[Request week (Monday)],$A121)</f>
        <v>15</v>
      </c>
    </row>
    <row r="122" spans="1:7" x14ac:dyDescent="0.2">
      <c r="A122" s="3" t="s">
        <v>1133</v>
      </c>
      <c r="B122" s="3">
        <f>COUNTIFS(tblWorkPackages[Request week (Monday)],$A122)</f>
        <v>24</v>
      </c>
      <c r="C122" s="9">
        <f>SUMIFS(tblWorkPackages[Estimated labor hours],tblWorkPackages[Request week (Monday)],$A122)</f>
        <v>258.4</v>
      </c>
      <c r="D122" s="9">
        <f>SUMIFS(tblWorkPackages[Actual labor hours],tblWorkPackages[Request week (Monday)],$A122)</f>
        <v>260.9</v>
      </c>
      <c r="E122" s="9">
        <f t="shared" si="3"/>
        <v>2.5</v>
      </c>
      <c r="F122" s="12">
        <f>IF(B122=0,"",SUMIFS(tblWorkPackages[Absolute estimate error],tblWorkPackages[Request week (Monday)],$A122)/B122)</f>
        <v>1.67083333333333</v>
      </c>
      <c r="G122" s="3">
        <f>SUMIFS(tblWorkPackages[Above estimate (0/1)],tblWorkPackages[Request week (Monday)],$A122)</f>
        <v>12</v>
      </c>
    </row>
    <row r="123" spans="1:7" x14ac:dyDescent="0.2">
      <c r="A123" s="3" t="s">
        <v>307</v>
      </c>
      <c r="B123" s="3">
        <f>COUNTIFS(tblWorkPackages[Request week (Monday)],$A123)</f>
        <v>23</v>
      </c>
      <c r="C123" s="9">
        <f>SUMIFS(tblWorkPackages[Estimated labor hours],tblWorkPackages[Request week (Monday)],$A123)</f>
        <v>197.4</v>
      </c>
      <c r="D123" s="9">
        <f>SUMIFS(tblWorkPackages[Actual labor hours],tblWorkPackages[Request week (Monday)],$A123)</f>
        <v>225.7</v>
      </c>
      <c r="E123" s="9">
        <f t="shared" ref="E123:E131" si="4">D123-C123</f>
        <v>28.3</v>
      </c>
      <c r="F123" s="12">
        <f>IF(B123=0,"",SUMIFS(tblWorkPackages[Absolute estimate error],tblWorkPackages[Request week (Monday)],$A123)/B123)</f>
        <v>1.73478260869565</v>
      </c>
      <c r="G123" s="3">
        <f>SUMIFS(tblWorkPackages[Above estimate (0/1)],tblWorkPackages[Request week (Monday)],$A123)</f>
        <v>16</v>
      </c>
    </row>
    <row r="124" spans="1:7" x14ac:dyDescent="0.2">
      <c r="A124" s="3" t="s">
        <v>937</v>
      </c>
      <c r="B124" s="3">
        <f>COUNTIFS(tblWorkPackages[Request week (Monday)],$A124)</f>
        <v>28</v>
      </c>
      <c r="C124" s="9">
        <f>SUMIFS(tblWorkPackages[Estimated labor hours],tblWorkPackages[Request week (Monday)],$A124)</f>
        <v>286.6</v>
      </c>
      <c r="D124" s="9">
        <f>SUMIFS(tblWorkPackages[Actual labor hours],tblWorkPackages[Request week (Monday)],$A124)</f>
        <v>288.2</v>
      </c>
      <c r="E124" s="9">
        <f t="shared" si="4"/>
        <v>1.59999999999997</v>
      </c>
      <c r="F124" s="12">
        <f>IF(B124=0,"",SUMIFS(tblWorkPackages[Absolute estimate error],tblWorkPackages[Request week (Monday)],$A124)/B124)</f>
        <v>1.35714285714286</v>
      </c>
      <c r="G124" s="3">
        <f>SUMIFS(tblWorkPackages[Above estimate (0/1)],tblWorkPackages[Request week (Monday)],$A124)</f>
        <v>14</v>
      </c>
    </row>
    <row r="125" spans="1:7" x14ac:dyDescent="0.2">
      <c r="A125" s="3" t="s">
        <v>538</v>
      </c>
      <c r="B125" s="3">
        <f>COUNTIFS(tblWorkPackages[Request week (Monday)],$A125)</f>
        <v>18</v>
      </c>
      <c r="C125" s="9">
        <f>SUMIFS(tblWorkPackages[Estimated labor hours],tblWorkPackages[Request week (Monday)],$A125)</f>
        <v>199.7</v>
      </c>
      <c r="D125" s="9">
        <f>SUMIFS(tblWorkPackages[Actual labor hours],tblWorkPackages[Request week (Monday)],$A125)</f>
        <v>212.6</v>
      </c>
      <c r="E125" s="9">
        <f t="shared" si="4"/>
        <v>12.9</v>
      </c>
      <c r="F125" s="12">
        <f>IF(B125=0,"",SUMIFS(tblWorkPackages[Absolute estimate error],tblWorkPackages[Request week (Monday)],$A125)/B125)</f>
        <v>1.59444444444444</v>
      </c>
      <c r="G125" s="3">
        <f>SUMIFS(tblWorkPackages[Above estimate (0/1)],tblWorkPackages[Request week (Monday)],$A125)</f>
        <v>14</v>
      </c>
    </row>
    <row r="126" spans="1:7" x14ac:dyDescent="0.2">
      <c r="A126" s="3" t="s">
        <v>973</v>
      </c>
      <c r="B126" s="3">
        <f>COUNTIFS(tblWorkPackages[Request week (Monday)],$A126)</f>
        <v>18</v>
      </c>
      <c r="C126" s="9">
        <f>SUMIFS(tblWorkPackages[Estimated labor hours],tblWorkPackages[Request week (Monday)],$A126)</f>
        <v>207.2</v>
      </c>
      <c r="D126" s="9">
        <f>SUMIFS(tblWorkPackages[Actual labor hours],tblWorkPackages[Request week (Monday)],$A126)</f>
        <v>232.3</v>
      </c>
      <c r="E126" s="9">
        <f t="shared" si="4"/>
        <v>25.1</v>
      </c>
      <c r="F126" s="12">
        <f>IF(B126=0,"",SUMIFS(tblWorkPackages[Absolute estimate error],tblWorkPackages[Request week (Monday)],$A126)/B126)</f>
        <v>2.06111111111111</v>
      </c>
      <c r="G126" s="3">
        <f>SUMIFS(tblWorkPackages[Above estimate (0/1)],tblWorkPackages[Request week (Monday)],$A126)</f>
        <v>11</v>
      </c>
    </row>
    <row r="127" spans="1:7" x14ac:dyDescent="0.2">
      <c r="A127" s="3" t="s">
        <v>1581</v>
      </c>
      <c r="B127" s="3">
        <f>COUNTIFS(tblWorkPackages[Request week (Monday)],$A127)</f>
        <v>19</v>
      </c>
      <c r="C127" s="9">
        <f>SUMIFS(tblWorkPackages[Estimated labor hours],tblWorkPackages[Request week (Monday)],$A127)</f>
        <v>207.7</v>
      </c>
      <c r="D127" s="9">
        <f>SUMIFS(tblWorkPackages[Actual labor hours],tblWorkPackages[Request week (Monday)],$A127)</f>
        <v>209</v>
      </c>
      <c r="E127" s="9">
        <f t="shared" si="4"/>
        <v>1.30000000000001</v>
      </c>
      <c r="F127" s="12">
        <f>IF(B127=0,"",SUMIFS(tblWorkPackages[Absolute estimate error],tblWorkPackages[Request week (Monday)],$A127)/B127)</f>
        <v>1.16315789473684</v>
      </c>
      <c r="G127" s="3">
        <f>SUMIFS(tblWorkPackages[Above estimate (0/1)],tblWorkPackages[Request week (Monday)],$A127)</f>
        <v>11</v>
      </c>
    </row>
    <row r="128" spans="1:7" x14ac:dyDescent="0.2">
      <c r="A128" s="3" t="s">
        <v>909</v>
      </c>
      <c r="B128" s="3">
        <f>COUNTIFS(tblWorkPackages[Request week (Monday)],$A128)</f>
        <v>20</v>
      </c>
      <c r="C128" s="9">
        <f>SUMIFS(tblWorkPackages[Estimated labor hours],tblWorkPackages[Request week (Monday)],$A128)</f>
        <v>188.9</v>
      </c>
      <c r="D128" s="9">
        <f>SUMIFS(tblWorkPackages[Actual labor hours],tblWorkPackages[Request week (Monday)],$A128)</f>
        <v>202.1</v>
      </c>
      <c r="E128" s="9">
        <f t="shared" si="4"/>
        <v>13.2</v>
      </c>
      <c r="F128" s="12">
        <f>IF(B128=0,"",SUMIFS(tblWorkPackages[Absolute estimate error],tblWorkPackages[Request week (Monday)],$A128)/B128)</f>
        <v>1.99</v>
      </c>
      <c r="G128" s="3">
        <f>SUMIFS(tblWorkPackages[Above estimate (0/1)],tblWorkPackages[Request week (Monday)],$A128)</f>
        <v>12</v>
      </c>
    </row>
    <row r="129" spans="1:7" x14ac:dyDescent="0.2">
      <c r="A129" s="3" t="s">
        <v>848</v>
      </c>
      <c r="B129" s="3">
        <f>COUNTIFS(tblWorkPackages[Request week (Monday)],$A129)</f>
        <v>25</v>
      </c>
      <c r="C129" s="9">
        <f>SUMIFS(tblWorkPackages[Estimated labor hours],tblWorkPackages[Request week (Monday)],$A129)</f>
        <v>226.9</v>
      </c>
      <c r="D129" s="9">
        <f>SUMIFS(tblWorkPackages[Actual labor hours],tblWorkPackages[Request week (Monday)],$A129)</f>
        <v>257.2</v>
      </c>
      <c r="E129" s="9">
        <f t="shared" si="4"/>
        <v>30.3</v>
      </c>
      <c r="F129" s="12">
        <f>IF(B129=0,"",SUMIFS(tblWorkPackages[Absolute estimate error],tblWorkPackages[Request week (Monday)],$A129)/B129)</f>
        <v>1.804</v>
      </c>
      <c r="G129" s="3">
        <f>SUMIFS(tblWorkPackages[Above estimate (0/1)],tblWorkPackages[Request week (Monday)],$A129)</f>
        <v>15</v>
      </c>
    </row>
    <row r="130" spans="1:7" x14ac:dyDescent="0.2">
      <c r="A130" s="3" t="s">
        <v>914</v>
      </c>
      <c r="B130" s="3">
        <f>COUNTIFS(tblWorkPackages[Request week (Monday)],$A130)</f>
        <v>28</v>
      </c>
      <c r="C130" s="9">
        <f>SUMIFS(tblWorkPackages[Estimated labor hours],tblWorkPackages[Request week (Monday)],$A130)</f>
        <v>331.6</v>
      </c>
      <c r="D130" s="9">
        <f>SUMIFS(tblWorkPackages[Actual labor hours],tblWorkPackages[Request week (Monday)],$A130)</f>
        <v>365.8</v>
      </c>
      <c r="E130" s="9">
        <f t="shared" si="4"/>
        <v>34.2</v>
      </c>
      <c r="F130" s="12">
        <f>IF(B130=0,"",SUMIFS(tblWorkPackages[Absolute estimate error],tblWorkPackages[Request week (Monday)],$A130)/B130)</f>
        <v>1.97142857142857</v>
      </c>
      <c r="G130" s="3">
        <f>SUMIFS(tblWorkPackages[Above estimate (0/1)],tblWorkPackages[Request week (Monday)],$A130)</f>
        <v>20</v>
      </c>
    </row>
    <row r="131" spans="1:7" x14ac:dyDescent="0.2">
      <c r="A131" s="3" t="s">
        <v>765</v>
      </c>
      <c r="B131" s="3">
        <f>COUNTIFS(tblWorkPackages[Request week (Monday)],$A131)</f>
        <v>11</v>
      </c>
      <c r="C131" s="9">
        <f>SUMIFS(tblWorkPackages[Estimated labor hours],tblWorkPackages[Request week (Monday)],$A131)</f>
        <v>174</v>
      </c>
      <c r="D131" s="9">
        <f>SUMIFS(tblWorkPackages[Actual labor hours],tblWorkPackages[Request week (Monday)],$A131)</f>
        <v>185.7</v>
      </c>
      <c r="E131" s="9">
        <f t="shared" si="4"/>
        <v>11.7</v>
      </c>
      <c r="F131" s="12">
        <f>IF(B131=0,"",SUMIFS(tblWorkPackages[Absolute estimate error],tblWorkPackages[Request week (Monday)],$A131)/B131)</f>
        <v>2.59090909090909</v>
      </c>
      <c r="G131" s="3">
        <f>SUMIFS(tblWorkPackages[Above estimate (0/1)],tblWorkPackages[Request week (Monday)],$A131)</f>
        <v>6</v>
      </c>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I127"/>
  <sheetViews>
    <sheetView showGridLines="0" zoomScaleNormal="100" workbookViewId="0">
      <pane ySplit="12" topLeftCell="A13" activePane="bottomLeft" state="frozen"/>
      <selection pane="bottomLeft" activeCell="I13" sqref="I13"/>
    </sheetView>
  </sheetViews>
  <sheetFormatPr defaultColWidth="8.7109375" defaultRowHeight="12.75" x14ac:dyDescent="0.2"/>
  <cols>
    <col min="1" max="1" width="25" customWidth="1"/>
    <col min="2" max="2" width="28" customWidth="1"/>
    <col min="3" max="3" width="20" customWidth="1"/>
    <col min="4" max="5" width="27" customWidth="1"/>
    <col min="6" max="6" width="23" customWidth="1"/>
    <col min="7" max="7" width="22" customWidth="1"/>
    <col min="8" max="8" width="24" customWidth="1"/>
    <col min="9" max="9" width="33" customWidth="1"/>
  </cols>
  <sheetData>
    <row r="2" spans="1:9" ht="19.5" x14ac:dyDescent="0.3">
      <c r="A2" s="1" t="s">
        <v>9458</v>
      </c>
    </row>
    <row r="4" spans="1:9" x14ac:dyDescent="0.2">
      <c r="A4" s="7" t="s">
        <v>9459</v>
      </c>
      <c r="B4" s="7" t="s">
        <v>68</v>
      </c>
    </row>
    <row r="5" spans="1:9" x14ac:dyDescent="0.2">
      <c r="A5" s="2" t="s">
        <v>9460</v>
      </c>
      <c r="B5" s="13">
        <f>SUM(B122:B127)</f>
        <v>11</v>
      </c>
    </row>
    <row r="6" spans="1:9" x14ac:dyDescent="0.2">
      <c r="A6" s="2" t="s">
        <v>9461</v>
      </c>
      <c r="B6" s="14">
        <v>40</v>
      </c>
    </row>
    <row r="7" spans="1:9" ht="15" x14ac:dyDescent="0.25">
      <c r="A7" s="2" t="s">
        <v>9462</v>
      </c>
      <c r="B7" s="10">
        <f>SUM(C122:C127)</f>
        <v>358.611718648252</v>
      </c>
    </row>
    <row r="9" spans="1:9" x14ac:dyDescent="0.2">
      <c r="A9" s="11" t="s">
        <v>9463</v>
      </c>
    </row>
    <row r="12" spans="1:9" x14ac:dyDescent="0.2">
      <c r="A12" s="7" t="s">
        <v>9440</v>
      </c>
      <c r="B12" s="7" t="s">
        <v>9464</v>
      </c>
      <c r="C12" s="7" t="s">
        <v>3324</v>
      </c>
      <c r="D12" s="7" t="s">
        <v>9465</v>
      </c>
      <c r="E12" s="7" t="s">
        <v>9466</v>
      </c>
      <c r="F12" s="7" t="s">
        <v>75</v>
      </c>
      <c r="G12" s="7" t="s">
        <v>9467</v>
      </c>
      <c r="H12" s="7" t="s">
        <v>9468</v>
      </c>
      <c r="I12" s="7" t="s">
        <v>9469</v>
      </c>
    </row>
    <row r="13" spans="1:9" ht="15" x14ac:dyDescent="0.25">
      <c r="A13" t="str">
        <f>'Weekly history'!A11</f>
        <v>2024-01-01</v>
      </c>
      <c r="B13" s="10">
        <f>'Weekly history'!G11</f>
        <v>167.5</v>
      </c>
      <c r="C13" s="10">
        <f>'Weekly history'!E11</f>
        <v>99.2</v>
      </c>
      <c r="D13" s="10">
        <f>0</f>
        <v>0</v>
      </c>
      <c r="E13" s="10">
        <f>MAX(0,D13+B13-C13)</f>
        <v>68.3</v>
      </c>
      <c r="F13" s="10">
        <f t="shared" ref="F13:F44" si="0">$B$7</f>
        <v>358.611718648252</v>
      </c>
      <c r="G13" s="15">
        <f t="shared" ref="G13:G44" si="1">IF(F13=0,"",C13/F13)</f>
        <v>0.276622304407462</v>
      </c>
      <c r="H13" s="10">
        <f t="shared" ref="H13:H44" si="2">C13-F13</f>
        <v>-259.411718648252</v>
      </c>
      <c r="I13" s="10">
        <f t="shared" ref="I13:I44" si="3">MAX(0,C13-D13-B13)</f>
        <v>0</v>
      </c>
    </row>
    <row r="14" spans="1:9" ht="15" x14ac:dyDescent="0.25">
      <c r="A14" t="str">
        <f>'Weekly history'!A12</f>
        <v>2024-01-08</v>
      </c>
      <c r="B14" s="10">
        <f>'Weekly history'!G12</f>
        <v>249.9</v>
      </c>
      <c r="C14" s="10">
        <f>'Weekly history'!E12</f>
        <v>120.5</v>
      </c>
      <c r="D14" s="10">
        <f t="shared" ref="D14:D45" si="4">E13</f>
        <v>68.3</v>
      </c>
      <c r="E14" s="10">
        <f t="shared" ref="E13:E44" si="5">MAX(0,D14+B14-C14)</f>
        <v>197.7</v>
      </c>
      <c r="F14" s="10">
        <f t="shared" si="0"/>
        <v>358.611718648252</v>
      </c>
      <c r="G14" s="15">
        <f t="shared" si="1"/>
        <v>0.336018020978823</v>
      </c>
      <c r="H14" s="10">
        <f t="shared" si="2"/>
        <v>-238.111718648252</v>
      </c>
      <c r="I14" s="10">
        <f t="shared" si="3"/>
        <v>0</v>
      </c>
    </row>
    <row r="15" spans="1:9" ht="15" x14ac:dyDescent="0.25">
      <c r="A15" t="str">
        <f>'Weekly history'!A13</f>
        <v>2024-01-15</v>
      </c>
      <c r="B15" s="10">
        <f>'Weekly history'!G13</f>
        <v>222.7</v>
      </c>
      <c r="C15" s="10">
        <f>'Weekly history'!E13</f>
        <v>121.4</v>
      </c>
      <c r="D15" s="10">
        <f t="shared" si="4"/>
        <v>197.7</v>
      </c>
      <c r="E15" s="10">
        <f t="shared" si="5"/>
        <v>299</v>
      </c>
      <c r="F15" s="10">
        <f t="shared" si="0"/>
        <v>358.611718648252</v>
      </c>
      <c r="G15" s="15">
        <f t="shared" si="1"/>
        <v>0.33852769914381</v>
      </c>
      <c r="H15" s="10">
        <f t="shared" si="2"/>
        <v>-237.211718648252</v>
      </c>
      <c r="I15" s="10">
        <f t="shared" si="3"/>
        <v>0</v>
      </c>
    </row>
    <row r="16" spans="1:9" ht="15" x14ac:dyDescent="0.25">
      <c r="A16" t="str">
        <f>'Weekly history'!A14</f>
        <v>2024-01-22</v>
      </c>
      <c r="B16" s="10">
        <f>'Weekly history'!G14</f>
        <v>227.3</v>
      </c>
      <c r="C16" s="10">
        <f>'Weekly history'!E14</f>
        <v>257.3</v>
      </c>
      <c r="D16" s="10">
        <f t="shared" si="4"/>
        <v>299</v>
      </c>
      <c r="E16" s="10">
        <f t="shared" si="5"/>
        <v>269</v>
      </c>
      <c r="F16" s="10">
        <f t="shared" si="0"/>
        <v>358.611718648252</v>
      </c>
      <c r="G16" s="15">
        <f t="shared" si="1"/>
        <v>0.717489102056856</v>
      </c>
      <c r="H16" s="10">
        <f t="shared" si="2"/>
        <v>-101.311718648252</v>
      </c>
      <c r="I16" s="10">
        <f t="shared" si="3"/>
        <v>0</v>
      </c>
    </row>
    <row r="17" spans="1:9" ht="15" x14ac:dyDescent="0.25">
      <c r="A17" t="str">
        <f>'Weekly history'!A15</f>
        <v>2024-01-29</v>
      </c>
      <c r="B17" s="10">
        <f>'Weekly history'!G15</f>
        <v>233.8</v>
      </c>
      <c r="C17" s="10">
        <f>'Weekly history'!E15</f>
        <v>86.7</v>
      </c>
      <c r="D17" s="10">
        <f t="shared" si="4"/>
        <v>269</v>
      </c>
      <c r="E17" s="10">
        <f t="shared" si="5"/>
        <v>416.1</v>
      </c>
      <c r="F17" s="10">
        <f t="shared" si="0"/>
        <v>358.611718648252</v>
      </c>
      <c r="G17" s="15">
        <f t="shared" si="1"/>
        <v>0.241765663227087</v>
      </c>
      <c r="H17" s="10">
        <f t="shared" si="2"/>
        <v>-271.911718648252</v>
      </c>
      <c r="I17" s="10">
        <f t="shared" si="3"/>
        <v>0</v>
      </c>
    </row>
    <row r="18" spans="1:9" ht="15" x14ac:dyDescent="0.25">
      <c r="A18" t="str">
        <f>'Weekly history'!A16</f>
        <v>2024-02-05</v>
      </c>
      <c r="B18" s="10">
        <f>'Weekly history'!G16</f>
        <v>237.4</v>
      </c>
      <c r="C18" s="10">
        <f>'Weekly history'!E16</f>
        <v>322.4</v>
      </c>
      <c r="D18" s="10">
        <f t="shared" si="4"/>
        <v>416.1</v>
      </c>
      <c r="E18" s="10">
        <f t="shared" si="5"/>
        <v>331.1</v>
      </c>
      <c r="F18" s="10">
        <f t="shared" si="0"/>
        <v>358.611718648252</v>
      </c>
      <c r="G18" s="15">
        <f t="shared" si="1"/>
        <v>0.899022489324253</v>
      </c>
      <c r="H18" s="10">
        <f t="shared" si="2"/>
        <v>-36.2117186482519</v>
      </c>
      <c r="I18" s="10">
        <f t="shared" si="3"/>
        <v>0</v>
      </c>
    </row>
    <row r="19" spans="1:9" ht="15" x14ac:dyDescent="0.25">
      <c r="A19" t="str">
        <f>'Weekly history'!A17</f>
        <v>2024-02-12</v>
      </c>
      <c r="B19" s="10">
        <f>'Weekly history'!G17</f>
        <v>342.8</v>
      </c>
      <c r="C19" s="10">
        <f>'Weekly history'!E17</f>
        <v>228</v>
      </c>
      <c r="D19" s="10">
        <f t="shared" si="4"/>
        <v>331.1</v>
      </c>
      <c r="E19" s="10">
        <f t="shared" si="5"/>
        <v>445.9</v>
      </c>
      <c r="F19" s="10">
        <f t="shared" si="0"/>
        <v>358.611718648252</v>
      </c>
      <c r="G19" s="15">
        <f t="shared" si="1"/>
        <v>0.635785135130055</v>
      </c>
      <c r="H19" s="10">
        <f t="shared" si="2"/>
        <v>-130.611718648252</v>
      </c>
      <c r="I19" s="10">
        <f t="shared" si="3"/>
        <v>0</v>
      </c>
    </row>
    <row r="20" spans="1:9" ht="15" x14ac:dyDescent="0.25">
      <c r="A20" t="str">
        <f>'Weekly history'!A18</f>
        <v>2024-02-19</v>
      </c>
      <c r="B20" s="10">
        <f>'Weekly history'!G18</f>
        <v>135.4</v>
      </c>
      <c r="C20" s="10">
        <f>'Weekly history'!E18</f>
        <v>183.6</v>
      </c>
      <c r="D20" s="10">
        <f t="shared" si="4"/>
        <v>445.9</v>
      </c>
      <c r="E20" s="10">
        <f t="shared" si="5"/>
        <v>397.7</v>
      </c>
      <c r="F20" s="10">
        <f t="shared" si="0"/>
        <v>358.611718648252</v>
      </c>
      <c r="G20" s="15">
        <f t="shared" si="1"/>
        <v>0.51197434565736</v>
      </c>
      <c r="H20" s="10">
        <f t="shared" si="2"/>
        <v>-175.011718648252</v>
      </c>
      <c r="I20" s="10">
        <f t="shared" si="3"/>
        <v>0</v>
      </c>
    </row>
    <row r="21" spans="1:9" ht="15" x14ac:dyDescent="0.25">
      <c r="A21" t="str">
        <f>'Weekly history'!A19</f>
        <v>2024-02-26</v>
      </c>
      <c r="B21" s="10">
        <f>'Weekly history'!G19</f>
        <v>410.7</v>
      </c>
      <c r="C21" s="10">
        <f>'Weekly history'!E19</f>
        <v>398.9</v>
      </c>
      <c r="D21" s="10">
        <f t="shared" si="4"/>
        <v>397.7</v>
      </c>
      <c r="E21" s="10">
        <f t="shared" si="5"/>
        <v>409.5</v>
      </c>
      <c r="F21" s="10">
        <f t="shared" si="0"/>
        <v>358.611718648252</v>
      </c>
      <c r="G21" s="15">
        <f t="shared" si="1"/>
        <v>1.11234513334815</v>
      </c>
      <c r="H21" s="10">
        <f t="shared" si="2"/>
        <v>40.2882813517481</v>
      </c>
      <c r="I21" s="10">
        <f t="shared" si="3"/>
        <v>0</v>
      </c>
    </row>
    <row r="22" spans="1:9" ht="15" x14ac:dyDescent="0.25">
      <c r="A22" t="str">
        <f>'Weekly history'!A20</f>
        <v>2024-03-04</v>
      </c>
      <c r="B22" s="10">
        <f>'Weekly history'!G20</f>
        <v>399.2</v>
      </c>
      <c r="C22" s="10">
        <f>'Weekly history'!E20</f>
        <v>348.9</v>
      </c>
      <c r="D22" s="10">
        <f t="shared" si="4"/>
        <v>409.5</v>
      </c>
      <c r="E22" s="10">
        <f t="shared" si="5"/>
        <v>459.8</v>
      </c>
      <c r="F22" s="10">
        <f t="shared" si="0"/>
        <v>358.611718648252</v>
      </c>
      <c r="G22" s="15">
        <f t="shared" si="1"/>
        <v>0.97291856862665</v>
      </c>
      <c r="H22" s="10">
        <f t="shared" si="2"/>
        <v>-9.71171864825186</v>
      </c>
      <c r="I22" s="10">
        <f t="shared" si="3"/>
        <v>0</v>
      </c>
    </row>
    <row r="23" spans="1:9" ht="15" x14ac:dyDescent="0.25">
      <c r="A23" t="str">
        <f>'Weekly history'!A21</f>
        <v>2024-03-11</v>
      </c>
      <c r="B23" s="10">
        <f>'Weekly history'!G21</f>
        <v>275.1</v>
      </c>
      <c r="C23" s="10">
        <f>'Weekly history'!E21</f>
        <v>362.2</v>
      </c>
      <c r="D23" s="10">
        <f t="shared" si="4"/>
        <v>459.8</v>
      </c>
      <c r="E23" s="10">
        <f t="shared" si="5"/>
        <v>372.7</v>
      </c>
      <c r="F23" s="10">
        <f t="shared" si="0"/>
        <v>358.611718648252</v>
      </c>
      <c r="G23" s="15">
        <f t="shared" si="1"/>
        <v>1.01000603484257</v>
      </c>
      <c r="H23" s="10">
        <f t="shared" si="2"/>
        <v>3.58828135174815</v>
      </c>
      <c r="I23" s="10">
        <f t="shared" si="3"/>
        <v>0</v>
      </c>
    </row>
    <row r="24" spans="1:9" ht="15" x14ac:dyDescent="0.25">
      <c r="A24" t="str">
        <f>'Weekly history'!A22</f>
        <v>2024-03-18</v>
      </c>
      <c r="B24" s="10">
        <f>'Weekly history'!G22</f>
        <v>200.3</v>
      </c>
      <c r="C24" s="10">
        <f>'Weekly history'!E22</f>
        <v>185.4</v>
      </c>
      <c r="D24" s="10">
        <f t="shared" si="4"/>
        <v>372.7</v>
      </c>
      <c r="E24" s="10">
        <f t="shared" si="5"/>
        <v>387.6</v>
      </c>
      <c r="F24" s="10">
        <f t="shared" si="0"/>
        <v>358.611718648252</v>
      </c>
      <c r="G24" s="15">
        <f t="shared" si="1"/>
        <v>0.516993701987334</v>
      </c>
      <c r="H24" s="10">
        <f t="shared" si="2"/>
        <v>-173.211718648252</v>
      </c>
      <c r="I24" s="10">
        <f t="shared" si="3"/>
        <v>0</v>
      </c>
    </row>
    <row r="25" spans="1:9" ht="15" x14ac:dyDescent="0.25">
      <c r="A25" t="str">
        <f>'Weekly history'!A23</f>
        <v>2024-03-25</v>
      </c>
      <c r="B25" s="10">
        <f>'Weekly history'!G23</f>
        <v>375.2</v>
      </c>
      <c r="C25" s="10">
        <f>'Weekly history'!E23</f>
        <v>433.6</v>
      </c>
      <c r="D25" s="10">
        <f t="shared" si="4"/>
        <v>387.6</v>
      </c>
      <c r="E25" s="10">
        <f t="shared" si="5"/>
        <v>329.2</v>
      </c>
      <c r="F25" s="10">
        <f t="shared" si="0"/>
        <v>358.611718648252</v>
      </c>
      <c r="G25" s="15">
        <f t="shared" si="1"/>
        <v>1.20910716926488</v>
      </c>
      <c r="H25" s="10">
        <f t="shared" si="2"/>
        <v>74.9882813517482</v>
      </c>
      <c r="I25" s="10">
        <f t="shared" si="3"/>
        <v>0</v>
      </c>
    </row>
    <row r="26" spans="1:9" ht="15" x14ac:dyDescent="0.25">
      <c r="A26" t="str">
        <f>'Weekly history'!A24</f>
        <v>2024-04-01</v>
      </c>
      <c r="B26" s="10">
        <f>'Weekly history'!G24</f>
        <v>316.1</v>
      </c>
      <c r="C26" s="10">
        <f>'Weekly history'!E24</f>
        <v>286.7</v>
      </c>
      <c r="D26" s="10">
        <f t="shared" si="4"/>
        <v>329.2</v>
      </c>
      <c r="E26" s="10">
        <f t="shared" si="5"/>
        <v>358.6</v>
      </c>
      <c r="F26" s="10">
        <f t="shared" si="0"/>
        <v>358.611718648252</v>
      </c>
      <c r="G26" s="15">
        <f t="shared" si="1"/>
        <v>0.7994719221131</v>
      </c>
      <c r="H26" s="10">
        <f t="shared" si="2"/>
        <v>-71.9117186482519</v>
      </c>
      <c r="I26" s="10">
        <f t="shared" si="3"/>
        <v>0</v>
      </c>
    </row>
    <row r="27" spans="1:9" ht="15" x14ac:dyDescent="0.25">
      <c r="A27" t="str">
        <f>'Weekly history'!A25</f>
        <v>2024-04-08</v>
      </c>
      <c r="B27" s="10">
        <f>'Weekly history'!G25</f>
        <v>251.8</v>
      </c>
      <c r="C27" s="10">
        <f>'Weekly history'!E25</f>
        <v>301.6</v>
      </c>
      <c r="D27" s="10">
        <f t="shared" si="4"/>
        <v>358.6</v>
      </c>
      <c r="E27" s="10">
        <f t="shared" si="5"/>
        <v>308.8</v>
      </c>
      <c r="F27" s="10">
        <f t="shared" si="0"/>
        <v>358.611718648252</v>
      </c>
      <c r="G27" s="15">
        <f t="shared" si="1"/>
        <v>0.841021038400108</v>
      </c>
      <c r="H27" s="10">
        <f t="shared" si="2"/>
        <v>-57.0117186482518</v>
      </c>
      <c r="I27" s="10">
        <f t="shared" si="3"/>
        <v>0</v>
      </c>
    </row>
    <row r="28" spans="1:9" ht="15" x14ac:dyDescent="0.25">
      <c r="A28" t="str">
        <f>'Weekly history'!A26</f>
        <v>2024-04-15</v>
      </c>
      <c r="B28" s="10">
        <f>'Weekly history'!G26</f>
        <v>452.8</v>
      </c>
      <c r="C28" s="10">
        <f>'Weekly history'!E26</f>
        <v>323</v>
      </c>
      <c r="D28" s="10">
        <f t="shared" si="4"/>
        <v>308.8</v>
      </c>
      <c r="E28" s="10">
        <f t="shared" si="5"/>
        <v>438.6</v>
      </c>
      <c r="F28" s="10">
        <f t="shared" si="0"/>
        <v>358.611718648252</v>
      </c>
      <c r="G28" s="15">
        <f t="shared" si="1"/>
        <v>0.900695608100911</v>
      </c>
      <c r="H28" s="10">
        <f t="shared" si="2"/>
        <v>-35.6117186482518</v>
      </c>
      <c r="I28" s="10">
        <f t="shared" si="3"/>
        <v>0</v>
      </c>
    </row>
    <row r="29" spans="1:9" ht="15" x14ac:dyDescent="0.25">
      <c r="A29" t="str">
        <f>'Weekly history'!A27</f>
        <v>2024-04-22</v>
      </c>
      <c r="B29" s="10">
        <f>'Weekly history'!G27</f>
        <v>137.8</v>
      </c>
      <c r="C29" s="10">
        <f>'Weekly history'!E27</f>
        <v>351.7</v>
      </c>
      <c r="D29" s="10">
        <f t="shared" si="4"/>
        <v>438.6</v>
      </c>
      <c r="E29" s="10">
        <f t="shared" si="5"/>
        <v>224.7</v>
      </c>
      <c r="F29" s="10">
        <f t="shared" si="0"/>
        <v>358.611718648252</v>
      </c>
      <c r="G29" s="15">
        <f t="shared" si="1"/>
        <v>0.980726456251054</v>
      </c>
      <c r="H29" s="10">
        <f t="shared" si="2"/>
        <v>-6.91171864825185</v>
      </c>
      <c r="I29" s="10">
        <f t="shared" si="3"/>
        <v>0</v>
      </c>
    </row>
    <row r="30" spans="1:9" ht="15" x14ac:dyDescent="0.25">
      <c r="A30" t="str">
        <f>'Weekly history'!A28</f>
        <v>2024-04-29</v>
      </c>
      <c r="B30" s="10">
        <f>'Weekly history'!G28</f>
        <v>232.7</v>
      </c>
      <c r="C30" s="10">
        <f>'Weekly history'!E28</f>
        <v>209.8</v>
      </c>
      <c r="D30" s="10">
        <f t="shared" si="4"/>
        <v>224.7</v>
      </c>
      <c r="E30" s="10">
        <f t="shared" si="5"/>
        <v>247.6</v>
      </c>
      <c r="F30" s="10">
        <f t="shared" si="0"/>
        <v>358.611718648252</v>
      </c>
      <c r="G30" s="15">
        <f t="shared" si="1"/>
        <v>0.585033865571428</v>
      </c>
      <c r="H30" s="10">
        <f t="shared" si="2"/>
        <v>-148.811718648252</v>
      </c>
      <c r="I30" s="10">
        <f t="shared" si="3"/>
        <v>0</v>
      </c>
    </row>
    <row r="31" spans="1:9" ht="15" x14ac:dyDescent="0.25">
      <c r="A31" t="str">
        <f>'Weekly history'!A29</f>
        <v>2024-05-06</v>
      </c>
      <c r="B31" s="10">
        <f>'Weekly history'!G29</f>
        <v>336.1</v>
      </c>
      <c r="C31" s="10">
        <f>'Weekly history'!E29</f>
        <v>343.4</v>
      </c>
      <c r="D31" s="10">
        <f t="shared" si="4"/>
        <v>247.6</v>
      </c>
      <c r="E31" s="10">
        <f t="shared" si="5"/>
        <v>240.3</v>
      </c>
      <c r="F31" s="10">
        <f t="shared" si="0"/>
        <v>358.611718648252</v>
      </c>
      <c r="G31" s="15">
        <f t="shared" si="1"/>
        <v>0.957581646507284</v>
      </c>
      <c r="H31" s="10">
        <f t="shared" si="2"/>
        <v>-15.2117186482519</v>
      </c>
      <c r="I31" s="10">
        <f t="shared" si="3"/>
        <v>0</v>
      </c>
    </row>
    <row r="32" spans="1:9" ht="15" x14ac:dyDescent="0.25">
      <c r="A32" t="str">
        <f>'Weekly history'!A30</f>
        <v>2024-05-13</v>
      </c>
      <c r="B32" s="10">
        <f>'Weekly history'!G30</f>
        <v>334.1</v>
      </c>
      <c r="C32" s="10">
        <f>'Weekly history'!E30</f>
        <v>144</v>
      </c>
      <c r="D32" s="10">
        <f t="shared" si="4"/>
        <v>240.3</v>
      </c>
      <c r="E32" s="10">
        <f t="shared" si="5"/>
        <v>430.4</v>
      </c>
      <c r="F32" s="10">
        <f t="shared" si="0"/>
        <v>358.611718648252</v>
      </c>
      <c r="G32" s="15">
        <f t="shared" si="1"/>
        <v>0.401548506397929</v>
      </c>
      <c r="H32" s="10">
        <f t="shared" si="2"/>
        <v>-214.611718648252</v>
      </c>
      <c r="I32" s="10">
        <f t="shared" si="3"/>
        <v>0</v>
      </c>
    </row>
    <row r="33" spans="1:9" ht="15" x14ac:dyDescent="0.25">
      <c r="A33" t="str">
        <f>'Weekly history'!A31</f>
        <v>2024-05-20</v>
      </c>
      <c r="B33" s="10">
        <f>'Weekly history'!G31</f>
        <v>232.4</v>
      </c>
      <c r="C33" s="10">
        <f>'Weekly history'!E31</f>
        <v>368.4</v>
      </c>
      <c r="D33" s="10">
        <f t="shared" si="4"/>
        <v>430.4</v>
      </c>
      <c r="E33" s="10">
        <f t="shared" si="5"/>
        <v>294.4</v>
      </c>
      <c r="F33" s="10">
        <f t="shared" si="0"/>
        <v>358.611718648252</v>
      </c>
      <c r="G33" s="15">
        <f t="shared" si="1"/>
        <v>1.02729492886804</v>
      </c>
      <c r="H33" s="10">
        <f t="shared" si="2"/>
        <v>9.78828135174814</v>
      </c>
      <c r="I33" s="10">
        <f t="shared" si="3"/>
        <v>0</v>
      </c>
    </row>
    <row r="34" spans="1:9" ht="15" x14ac:dyDescent="0.25">
      <c r="A34" t="str">
        <f>'Weekly history'!A32</f>
        <v>2024-05-27</v>
      </c>
      <c r="B34" s="10">
        <f>'Weekly history'!G32</f>
        <v>133.9</v>
      </c>
      <c r="C34" s="10">
        <f>'Weekly history'!E32</f>
        <v>254.6</v>
      </c>
      <c r="D34" s="10">
        <f t="shared" si="4"/>
        <v>294.4</v>
      </c>
      <c r="E34" s="10">
        <f t="shared" si="5"/>
        <v>173.7</v>
      </c>
      <c r="F34" s="10">
        <f t="shared" si="0"/>
        <v>358.611718648252</v>
      </c>
      <c r="G34" s="15">
        <f t="shared" si="1"/>
        <v>0.709960067561895</v>
      </c>
      <c r="H34" s="10">
        <f t="shared" si="2"/>
        <v>-104.011718648252</v>
      </c>
      <c r="I34" s="10">
        <f t="shared" si="3"/>
        <v>0</v>
      </c>
    </row>
    <row r="35" spans="1:9" ht="15" x14ac:dyDescent="0.25">
      <c r="A35" t="str">
        <f>'Weekly history'!A33</f>
        <v>2024-06-03</v>
      </c>
      <c r="B35" s="10">
        <f>'Weekly history'!G33</f>
        <v>125</v>
      </c>
      <c r="C35" s="10">
        <f>'Weekly history'!E33</f>
        <v>211.6</v>
      </c>
      <c r="D35" s="10">
        <f t="shared" si="4"/>
        <v>173.7</v>
      </c>
      <c r="E35" s="10">
        <f t="shared" si="5"/>
        <v>87.1000000000001</v>
      </c>
      <c r="F35" s="10">
        <f t="shared" si="0"/>
        <v>358.611718648252</v>
      </c>
      <c r="G35" s="15">
        <f t="shared" si="1"/>
        <v>0.590053221901402</v>
      </c>
      <c r="H35" s="10">
        <f t="shared" si="2"/>
        <v>-147.011718648252</v>
      </c>
      <c r="I35" s="10">
        <f t="shared" si="3"/>
        <v>0</v>
      </c>
    </row>
    <row r="36" spans="1:9" ht="15" x14ac:dyDescent="0.25">
      <c r="A36" t="str">
        <f>'Weekly history'!A34</f>
        <v>2024-06-10</v>
      </c>
      <c r="B36" s="10">
        <f>'Weekly history'!G34</f>
        <v>333.3</v>
      </c>
      <c r="C36" s="10">
        <f>'Weekly history'!E34</f>
        <v>272</v>
      </c>
      <c r="D36" s="10">
        <f t="shared" si="4"/>
        <v>87.1000000000001</v>
      </c>
      <c r="E36" s="10">
        <f t="shared" si="5"/>
        <v>148.4</v>
      </c>
      <c r="F36" s="10">
        <f t="shared" si="0"/>
        <v>358.611718648252</v>
      </c>
      <c r="G36" s="15">
        <f t="shared" si="1"/>
        <v>0.758480512084978</v>
      </c>
      <c r="H36" s="10">
        <f t="shared" si="2"/>
        <v>-86.6117186482518</v>
      </c>
      <c r="I36" s="10">
        <f t="shared" si="3"/>
        <v>0</v>
      </c>
    </row>
    <row r="37" spans="1:9" ht="15" x14ac:dyDescent="0.25">
      <c r="A37" t="str">
        <f>'Weekly history'!A35</f>
        <v>2024-06-17</v>
      </c>
      <c r="B37" s="10">
        <f>'Weekly history'!G35</f>
        <v>240.3</v>
      </c>
      <c r="C37" s="10">
        <f>'Weekly history'!E35</f>
        <v>310</v>
      </c>
      <c r="D37" s="10">
        <f t="shared" si="4"/>
        <v>148.4</v>
      </c>
      <c r="E37" s="10">
        <f t="shared" si="5"/>
        <v>78.7000000000001</v>
      </c>
      <c r="F37" s="10">
        <f t="shared" si="0"/>
        <v>358.611718648252</v>
      </c>
      <c r="G37" s="15">
        <f t="shared" si="1"/>
        <v>0.86444470127332</v>
      </c>
      <c r="H37" s="10">
        <f t="shared" si="2"/>
        <v>-48.6117186482518</v>
      </c>
      <c r="I37" s="10">
        <f t="shared" si="3"/>
        <v>0</v>
      </c>
    </row>
    <row r="38" spans="1:9" ht="15" x14ac:dyDescent="0.25">
      <c r="A38" t="str">
        <f>'Weekly history'!A36</f>
        <v>2024-06-24</v>
      </c>
      <c r="B38" s="10">
        <f>'Weekly history'!G36</f>
        <v>225.2</v>
      </c>
      <c r="C38" s="10">
        <f>'Weekly history'!E36</f>
        <v>237.1</v>
      </c>
      <c r="D38" s="10">
        <f t="shared" si="4"/>
        <v>78.7000000000001</v>
      </c>
      <c r="E38" s="10">
        <f t="shared" si="5"/>
        <v>66.8000000000001</v>
      </c>
      <c r="F38" s="10">
        <f t="shared" si="0"/>
        <v>358.611718648252</v>
      </c>
      <c r="G38" s="15">
        <f t="shared" si="1"/>
        <v>0.661160769909369</v>
      </c>
      <c r="H38" s="10">
        <f t="shared" si="2"/>
        <v>-121.511718648252</v>
      </c>
      <c r="I38" s="10">
        <f t="shared" si="3"/>
        <v>0</v>
      </c>
    </row>
    <row r="39" spans="1:9" ht="15" x14ac:dyDescent="0.25">
      <c r="A39" t="str">
        <f>'Weekly history'!A37</f>
        <v>2024-07-01</v>
      </c>
      <c r="B39" s="10">
        <f>'Weekly history'!G37</f>
        <v>181.3</v>
      </c>
      <c r="C39" s="10">
        <f>'Weekly history'!E37</f>
        <v>120.5</v>
      </c>
      <c r="D39" s="10">
        <f t="shared" si="4"/>
        <v>66.8000000000001</v>
      </c>
      <c r="E39" s="10">
        <f t="shared" si="5"/>
        <v>127.6</v>
      </c>
      <c r="F39" s="10">
        <f t="shared" si="0"/>
        <v>358.611718648252</v>
      </c>
      <c r="G39" s="15">
        <f t="shared" si="1"/>
        <v>0.336018020978823</v>
      </c>
      <c r="H39" s="10">
        <f t="shared" si="2"/>
        <v>-238.111718648252</v>
      </c>
      <c r="I39" s="10">
        <f t="shared" si="3"/>
        <v>0</v>
      </c>
    </row>
    <row r="40" spans="1:9" ht="15" x14ac:dyDescent="0.25">
      <c r="A40" t="str">
        <f>'Weekly history'!A38</f>
        <v>2024-07-08</v>
      </c>
      <c r="B40" s="10">
        <f>'Weekly history'!G38</f>
        <v>274</v>
      </c>
      <c r="C40" s="10">
        <f>'Weekly history'!E38</f>
        <v>280.8</v>
      </c>
      <c r="D40" s="10">
        <f t="shared" si="4"/>
        <v>127.6</v>
      </c>
      <c r="E40" s="10">
        <f t="shared" si="5"/>
        <v>120.8</v>
      </c>
      <c r="F40" s="10">
        <f t="shared" si="0"/>
        <v>358.611718648252</v>
      </c>
      <c r="G40" s="15">
        <f t="shared" si="1"/>
        <v>0.783019587475962</v>
      </c>
      <c r="H40" s="10">
        <f t="shared" si="2"/>
        <v>-77.8117186482518</v>
      </c>
      <c r="I40" s="10">
        <f t="shared" si="3"/>
        <v>0</v>
      </c>
    </row>
    <row r="41" spans="1:9" ht="15" x14ac:dyDescent="0.25">
      <c r="A41" t="str">
        <f>'Weekly history'!A39</f>
        <v>2024-07-15</v>
      </c>
      <c r="B41" s="10">
        <f>'Weekly history'!G39</f>
        <v>333.3</v>
      </c>
      <c r="C41" s="10">
        <f>'Weekly history'!E39</f>
        <v>345.1</v>
      </c>
      <c r="D41" s="10">
        <f t="shared" si="4"/>
        <v>120.8</v>
      </c>
      <c r="E41" s="10">
        <f t="shared" si="5"/>
        <v>109</v>
      </c>
      <c r="F41" s="10">
        <f t="shared" si="0"/>
        <v>358.611718648252</v>
      </c>
      <c r="G41" s="15">
        <f t="shared" si="1"/>
        <v>0.962322149707816</v>
      </c>
      <c r="H41" s="10">
        <f t="shared" si="2"/>
        <v>-13.5117186482518</v>
      </c>
      <c r="I41" s="10">
        <f t="shared" si="3"/>
        <v>0</v>
      </c>
    </row>
    <row r="42" spans="1:9" ht="15" x14ac:dyDescent="0.25">
      <c r="A42" t="str">
        <f>'Weekly history'!A40</f>
        <v>2024-07-22</v>
      </c>
      <c r="B42" s="10">
        <f>'Weekly history'!G40</f>
        <v>392.2</v>
      </c>
      <c r="C42" s="10">
        <f>'Weekly history'!E40</f>
        <v>268.5</v>
      </c>
      <c r="D42" s="10">
        <f t="shared" si="4"/>
        <v>109</v>
      </c>
      <c r="E42" s="10">
        <f t="shared" si="5"/>
        <v>232.7</v>
      </c>
      <c r="F42" s="10">
        <f t="shared" si="0"/>
        <v>358.611718648252</v>
      </c>
      <c r="G42" s="15">
        <f t="shared" si="1"/>
        <v>0.748720652554473</v>
      </c>
      <c r="H42" s="10">
        <f t="shared" si="2"/>
        <v>-90.1117186482518</v>
      </c>
      <c r="I42" s="10">
        <f t="shared" si="3"/>
        <v>0</v>
      </c>
    </row>
    <row r="43" spans="1:9" ht="15" x14ac:dyDescent="0.25">
      <c r="A43" t="str">
        <f>'Weekly history'!A41</f>
        <v>2024-07-29</v>
      </c>
      <c r="B43" s="10">
        <f>'Weekly history'!G41</f>
        <v>194.6</v>
      </c>
      <c r="C43" s="10">
        <f>'Weekly history'!E41</f>
        <v>363.4</v>
      </c>
      <c r="D43" s="10">
        <f t="shared" si="4"/>
        <v>232.7</v>
      </c>
      <c r="E43" s="10">
        <f t="shared" si="5"/>
        <v>63.9000000000001</v>
      </c>
      <c r="F43" s="10">
        <f t="shared" si="0"/>
        <v>358.611718648252</v>
      </c>
      <c r="G43" s="15">
        <f t="shared" si="1"/>
        <v>1.01335227239589</v>
      </c>
      <c r="H43" s="10">
        <f t="shared" si="2"/>
        <v>4.78828135174814</v>
      </c>
      <c r="I43" s="10">
        <f t="shared" si="3"/>
        <v>0</v>
      </c>
    </row>
    <row r="44" spans="1:9" ht="15" x14ac:dyDescent="0.25">
      <c r="A44" t="str">
        <f>'Weekly history'!A42</f>
        <v>2024-08-05</v>
      </c>
      <c r="B44" s="10">
        <f>'Weekly history'!G42</f>
        <v>197.7</v>
      </c>
      <c r="C44" s="10">
        <f>'Weekly history'!E42</f>
        <v>193.5</v>
      </c>
      <c r="D44" s="10">
        <f t="shared" si="4"/>
        <v>63.9000000000001</v>
      </c>
      <c r="E44" s="10">
        <f t="shared" si="5"/>
        <v>68.1000000000001</v>
      </c>
      <c r="F44" s="10">
        <f t="shared" si="0"/>
        <v>358.611718648252</v>
      </c>
      <c r="G44" s="15">
        <f t="shared" si="1"/>
        <v>0.539580805472218</v>
      </c>
      <c r="H44" s="10">
        <f t="shared" si="2"/>
        <v>-165.111718648252</v>
      </c>
      <c r="I44" s="10">
        <f t="shared" si="3"/>
        <v>0</v>
      </c>
    </row>
    <row r="45" spans="1:9" ht="15" x14ac:dyDescent="0.25">
      <c r="A45" t="str">
        <f>'Weekly history'!A43</f>
        <v>2024-08-12</v>
      </c>
      <c r="B45" s="10">
        <f>'Weekly history'!G43</f>
        <v>218.7</v>
      </c>
      <c r="C45" s="10">
        <f>'Weekly history'!E43</f>
        <v>205.1</v>
      </c>
      <c r="D45" s="10">
        <f t="shared" si="4"/>
        <v>68.1000000000001</v>
      </c>
      <c r="E45" s="10">
        <f t="shared" ref="E45:E76" si="6">MAX(0,D45+B45-C45)</f>
        <v>81.7000000000001</v>
      </c>
      <c r="F45" s="10">
        <f t="shared" ref="F45:F76" si="7">$B$7</f>
        <v>358.611718648252</v>
      </c>
      <c r="G45" s="15">
        <f t="shared" ref="G45:G76" si="8">IF(F45=0,"",C45/F45)</f>
        <v>0.571927768487606</v>
      </c>
      <c r="H45" s="10">
        <f t="shared" ref="H45:H76" si="9">C45-F45</f>
        <v>-153.511718648252</v>
      </c>
      <c r="I45" s="10">
        <f t="shared" ref="I45:I76" si="10">MAX(0,C45-D45-B45)</f>
        <v>0</v>
      </c>
    </row>
    <row r="46" spans="1:9" ht="15" x14ac:dyDescent="0.25">
      <c r="A46" t="str">
        <f>'Weekly history'!A44</f>
        <v>2024-08-19</v>
      </c>
      <c r="B46" s="10">
        <f>'Weekly history'!G44</f>
        <v>217</v>
      </c>
      <c r="C46" s="10">
        <f>'Weekly history'!E44</f>
        <v>264.9</v>
      </c>
      <c r="D46" s="10">
        <f t="shared" ref="D46:D77" si="11">E45</f>
        <v>81.7000000000001</v>
      </c>
      <c r="E46" s="10">
        <f t="shared" si="6"/>
        <v>33.8000000000001</v>
      </c>
      <c r="F46" s="10">
        <f t="shared" si="7"/>
        <v>358.611718648252</v>
      </c>
      <c r="G46" s="15">
        <f t="shared" si="8"/>
        <v>0.738681939894524</v>
      </c>
      <c r="H46" s="10">
        <f t="shared" si="9"/>
        <v>-93.7117186482519</v>
      </c>
      <c r="I46" s="10">
        <f t="shared" si="10"/>
        <v>0</v>
      </c>
    </row>
    <row r="47" spans="1:9" ht="15" x14ac:dyDescent="0.25">
      <c r="A47" t="str">
        <f>'Weekly history'!A45</f>
        <v>2024-08-26</v>
      </c>
      <c r="B47" s="10">
        <f>'Weekly history'!G45</f>
        <v>261.8</v>
      </c>
      <c r="C47" s="10">
        <f>'Weekly history'!E45</f>
        <v>349.2</v>
      </c>
      <c r="D47" s="10">
        <f t="shared" si="11"/>
        <v>33.8000000000001</v>
      </c>
      <c r="E47" s="10">
        <f t="shared" si="6"/>
        <v>0</v>
      </c>
      <c r="F47" s="10">
        <f t="shared" si="7"/>
        <v>358.611718648252</v>
      </c>
      <c r="G47" s="15">
        <f t="shared" si="8"/>
        <v>0.973755128014979</v>
      </c>
      <c r="H47" s="10">
        <f t="shared" si="9"/>
        <v>-9.41171864825185</v>
      </c>
      <c r="I47" s="10">
        <f t="shared" si="10"/>
        <v>53.5999999999999</v>
      </c>
    </row>
    <row r="48" spans="1:9" ht="15" x14ac:dyDescent="0.25">
      <c r="A48" t="str">
        <f>'Weekly history'!A46</f>
        <v>2024-09-02</v>
      </c>
      <c r="B48" s="10">
        <f>'Weekly history'!G46</f>
        <v>251.5</v>
      </c>
      <c r="C48" s="10">
        <f>'Weekly history'!E46</f>
        <v>342.8</v>
      </c>
      <c r="D48" s="10">
        <f t="shared" si="11"/>
        <v>0</v>
      </c>
      <c r="E48" s="10">
        <f t="shared" si="6"/>
        <v>0</v>
      </c>
      <c r="F48" s="10">
        <f t="shared" si="7"/>
        <v>358.611718648252</v>
      </c>
      <c r="G48" s="15">
        <f t="shared" si="8"/>
        <v>0.955908527730626</v>
      </c>
      <c r="H48" s="10">
        <f t="shared" si="9"/>
        <v>-15.8117186482518</v>
      </c>
      <c r="I48" s="10">
        <f t="shared" si="10"/>
        <v>91.3</v>
      </c>
    </row>
    <row r="49" spans="1:9" ht="15" x14ac:dyDescent="0.25">
      <c r="A49" t="str">
        <f>'Weekly history'!A47</f>
        <v>2024-09-09</v>
      </c>
      <c r="B49" s="10">
        <f>'Weekly history'!G47</f>
        <v>206.5</v>
      </c>
      <c r="C49" s="10">
        <f>'Weekly history'!E47</f>
        <v>183.2</v>
      </c>
      <c r="D49" s="10">
        <f t="shared" si="11"/>
        <v>0</v>
      </c>
      <c r="E49" s="10">
        <f t="shared" si="6"/>
        <v>23.3</v>
      </c>
      <c r="F49" s="10">
        <f t="shared" si="7"/>
        <v>358.611718648252</v>
      </c>
      <c r="G49" s="15">
        <f t="shared" si="8"/>
        <v>0.510858933139588</v>
      </c>
      <c r="H49" s="10">
        <f t="shared" si="9"/>
        <v>-175.411718648252</v>
      </c>
      <c r="I49" s="10">
        <f t="shared" si="10"/>
        <v>0</v>
      </c>
    </row>
    <row r="50" spans="1:9" ht="15" x14ac:dyDescent="0.25">
      <c r="A50" t="str">
        <f>'Weekly history'!A48</f>
        <v>2024-09-16</v>
      </c>
      <c r="B50" s="10">
        <f>'Weekly history'!G48</f>
        <v>174.5</v>
      </c>
      <c r="C50" s="10">
        <f>'Weekly history'!E48</f>
        <v>136.6</v>
      </c>
      <c r="D50" s="10">
        <f t="shared" si="11"/>
        <v>23.3</v>
      </c>
      <c r="E50" s="10">
        <f t="shared" si="6"/>
        <v>61.2</v>
      </c>
      <c r="F50" s="10">
        <f t="shared" si="7"/>
        <v>358.611718648252</v>
      </c>
      <c r="G50" s="15">
        <f t="shared" si="8"/>
        <v>0.380913374819147</v>
      </c>
      <c r="H50" s="10">
        <f t="shared" si="9"/>
        <v>-222.011718648252</v>
      </c>
      <c r="I50" s="10">
        <f t="shared" si="10"/>
        <v>0</v>
      </c>
    </row>
    <row r="51" spans="1:9" ht="15" x14ac:dyDescent="0.25">
      <c r="A51" t="str">
        <f>'Weekly history'!A49</f>
        <v>2024-09-23</v>
      </c>
      <c r="B51" s="10">
        <f>'Weekly history'!G49</f>
        <v>144.5</v>
      </c>
      <c r="C51" s="10">
        <f>'Weekly history'!E49</f>
        <v>214.6</v>
      </c>
      <c r="D51" s="10">
        <f t="shared" si="11"/>
        <v>61.2</v>
      </c>
      <c r="E51" s="10">
        <f t="shared" si="6"/>
        <v>0</v>
      </c>
      <c r="F51" s="10">
        <f t="shared" si="7"/>
        <v>358.611718648252</v>
      </c>
      <c r="G51" s="15">
        <f t="shared" si="8"/>
        <v>0.598418815784692</v>
      </c>
      <c r="H51" s="10">
        <f t="shared" si="9"/>
        <v>-144.011718648252</v>
      </c>
      <c r="I51" s="10">
        <f t="shared" si="10"/>
        <v>8.89999999999998</v>
      </c>
    </row>
    <row r="52" spans="1:9" ht="15" x14ac:dyDescent="0.25">
      <c r="A52" t="str">
        <f>'Weekly history'!A50</f>
        <v>2024-09-30</v>
      </c>
      <c r="B52" s="10">
        <f>'Weekly history'!G50</f>
        <v>191.8</v>
      </c>
      <c r="C52" s="10">
        <f>'Weekly history'!E50</f>
        <v>208.8</v>
      </c>
      <c r="D52" s="10">
        <f t="shared" si="11"/>
        <v>0</v>
      </c>
      <c r="E52" s="10">
        <f t="shared" si="6"/>
        <v>0</v>
      </c>
      <c r="F52" s="10">
        <f t="shared" si="7"/>
        <v>358.611718648252</v>
      </c>
      <c r="G52" s="15">
        <f t="shared" si="8"/>
        <v>0.582245334276998</v>
      </c>
      <c r="H52" s="10">
        <f t="shared" si="9"/>
        <v>-149.811718648252</v>
      </c>
      <c r="I52" s="10">
        <f t="shared" si="10"/>
        <v>17</v>
      </c>
    </row>
    <row r="53" spans="1:9" ht="15" x14ac:dyDescent="0.25">
      <c r="A53" t="str">
        <f>'Weekly history'!A51</f>
        <v>2024-10-07</v>
      </c>
      <c r="B53" s="10">
        <f>'Weekly history'!G51</f>
        <v>183</v>
      </c>
      <c r="C53" s="10">
        <f>'Weekly history'!E51</f>
        <v>263.7</v>
      </c>
      <c r="D53" s="10">
        <f t="shared" si="11"/>
        <v>0</v>
      </c>
      <c r="E53" s="10">
        <f t="shared" si="6"/>
        <v>0</v>
      </c>
      <c r="F53" s="10">
        <f t="shared" si="7"/>
        <v>358.611718648252</v>
      </c>
      <c r="G53" s="15">
        <f t="shared" si="8"/>
        <v>0.735335702341208</v>
      </c>
      <c r="H53" s="10">
        <f t="shared" si="9"/>
        <v>-94.9117186482519</v>
      </c>
      <c r="I53" s="10">
        <f t="shared" si="10"/>
        <v>80.7</v>
      </c>
    </row>
    <row r="54" spans="1:9" ht="15" x14ac:dyDescent="0.25">
      <c r="A54" t="str">
        <f>'Weekly history'!A52</f>
        <v>2024-10-14</v>
      </c>
      <c r="B54" s="10">
        <f>'Weekly history'!G52</f>
        <v>269.1</v>
      </c>
      <c r="C54" s="10">
        <f>'Weekly history'!E52</f>
        <v>275.4</v>
      </c>
      <c r="D54" s="10">
        <f t="shared" si="11"/>
        <v>0</v>
      </c>
      <c r="E54" s="10">
        <f t="shared" si="6"/>
        <v>0</v>
      </c>
      <c r="F54" s="10">
        <f t="shared" si="7"/>
        <v>358.611718648252</v>
      </c>
      <c r="G54" s="15">
        <f t="shared" si="8"/>
        <v>0.76796151848604</v>
      </c>
      <c r="H54" s="10">
        <f t="shared" si="9"/>
        <v>-83.2117186482519</v>
      </c>
      <c r="I54" s="10">
        <f t="shared" si="10"/>
        <v>6.29999999999995</v>
      </c>
    </row>
    <row r="55" spans="1:9" ht="15" x14ac:dyDescent="0.25">
      <c r="A55" t="str">
        <f>'Weekly history'!A53</f>
        <v>2024-10-21</v>
      </c>
      <c r="B55" s="10">
        <f>'Weekly history'!G53</f>
        <v>319.2</v>
      </c>
      <c r="C55" s="10">
        <f>'Weekly history'!E53</f>
        <v>311.8</v>
      </c>
      <c r="D55" s="10">
        <f t="shared" si="11"/>
        <v>0</v>
      </c>
      <c r="E55" s="10">
        <f t="shared" si="6"/>
        <v>7.39999999999998</v>
      </c>
      <c r="F55" s="10">
        <f t="shared" si="7"/>
        <v>358.611718648252</v>
      </c>
      <c r="G55" s="15">
        <f t="shared" si="8"/>
        <v>0.869464057603294</v>
      </c>
      <c r="H55" s="10">
        <f t="shared" si="9"/>
        <v>-46.8117186482518</v>
      </c>
      <c r="I55" s="10">
        <f t="shared" si="10"/>
        <v>0</v>
      </c>
    </row>
    <row r="56" spans="1:9" ht="15" x14ac:dyDescent="0.25">
      <c r="A56" t="str">
        <f>'Weekly history'!A54</f>
        <v>2024-10-28</v>
      </c>
      <c r="B56" s="10">
        <f>'Weekly history'!G54</f>
        <v>187</v>
      </c>
      <c r="C56" s="10">
        <f>'Weekly history'!E54</f>
        <v>169.2</v>
      </c>
      <c r="D56" s="10">
        <f t="shared" si="11"/>
        <v>7.39999999999998</v>
      </c>
      <c r="E56" s="10">
        <f t="shared" si="6"/>
        <v>25.2</v>
      </c>
      <c r="F56" s="10">
        <f t="shared" si="7"/>
        <v>358.611718648252</v>
      </c>
      <c r="G56" s="15">
        <f t="shared" si="8"/>
        <v>0.471819495017567</v>
      </c>
      <c r="H56" s="10">
        <f t="shared" si="9"/>
        <v>-189.411718648252</v>
      </c>
      <c r="I56" s="10">
        <f t="shared" si="10"/>
        <v>0</v>
      </c>
    </row>
    <row r="57" spans="1:9" ht="15" x14ac:dyDescent="0.25">
      <c r="A57" t="str">
        <f>'Weekly history'!A55</f>
        <v>2024-11-04</v>
      </c>
      <c r="B57" s="10">
        <f>'Weekly history'!G55</f>
        <v>109.8</v>
      </c>
      <c r="C57" s="10">
        <f>'Weekly history'!E55</f>
        <v>211.1</v>
      </c>
      <c r="D57" s="10">
        <f t="shared" si="11"/>
        <v>25.2</v>
      </c>
      <c r="E57" s="10">
        <f t="shared" si="6"/>
        <v>0</v>
      </c>
      <c r="F57" s="10">
        <f t="shared" si="7"/>
        <v>358.611718648252</v>
      </c>
      <c r="G57" s="15">
        <f t="shared" si="8"/>
        <v>0.588658956254187</v>
      </c>
      <c r="H57" s="10">
        <f t="shared" si="9"/>
        <v>-147.511718648252</v>
      </c>
      <c r="I57" s="10">
        <f t="shared" si="10"/>
        <v>76.1</v>
      </c>
    </row>
    <row r="58" spans="1:9" ht="15" x14ac:dyDescent="0.25">
      <c r="A58" t="str">
        <f>'Weekly history'!A56</f>
        <v>2024-11-11</v>
      </c>
      <c r="B58" s="10">
        <f>'Weekly history'!G56</f>
        <v>180.9</v>
      </c>
      <c r="C58" s="10">
        <f>'Weekly history'!E56</f>
        <v>202.6</v>
      </c>
      <c r="D58" s="10">
        <f t="shared" si="11"/>
        <v>0</v>
      </c>
      <c r="E58" s="10">
        <f t="shared" si="6"/>
        <v>0</v>
      </c>
      <c r="F58" s="10">
        <f t="shared" si="7"/>
        <v>358.611718648252</v>
      </c>
      <c r="G58" s="15">
        <f t="shared" si="8"/>
        <v>0.564956440251531</v>
      </c>
      <c r="H58" s="10">
        <f t="shared" si="9"/>
        <v>-156.011718648252</v>
      </c>
      <c r="I58" s="10">
        <f t="shared" si="10"/>
        <v>21.7</v>
      </c>
    </row>
    <row r="59" spans="1:9" ht="15" x14ac:dyDescent="0.25">
      <c r="A59" t="str">
        <f>'Weekly history'!A57</f>
        <v>2024-11-18</v>
      </c>
      <c r="B59" s="10">
        <f>'Weekly history'!G57</f>
        <v>228.7</v>
      </c>
      <c r="C59" s="10">
        <f>'Weekly history'!E57</f>
        <v>145.5</v>
      </c>
      <c r="D59" s="10">
        <f t="shared" si="11"/>
        <v>0</v>
      </c>
      <c r="E59" s="10">
        <f t="shared" si="6"/>
        <v>83.2</v>
      </c>
      <c r="F59" s="10">
        <f t="shared" si="7"/>
        <v>358.611718648252</v>
      </c>
      <c r="G59" s="15">
        <f t="shared" si="8"/>
        <v>0.405731303339574</v>
      </c>
      <c r="H59" s="10">
        <f t="shared" si="9"/>
        <v>-213.111718648252</v>
      </c>
      <c r="I59" s="10">
        <f t="shared" si="10"/>
        <v>0</v>
      </c>
    </row>
    <row r="60" spans="1:9" ht="15" x14ac:dyDescent="0.25">
      <c r="A60" t="str">
        <f>'Weekly history'!A58</f>
        <v>2024-11-25</v>
      </c>
      <c r="B60" s="10">
        <f>'Weekly history'!G58</f>
        <v>222.7</v>
      </c>
      <c r="C60" s="10">
        <f>'Weekly history'!E58</f>
        <v>190.7</v>
      </c>
      <c r="D60" s="10">
        <f t="shared" si="11"/>
        <v>83.2</v>
      </c>
      <c r="E60" s="10">
        <f t="shared" si="6"/>
        <v>115.2</v>
      </c>
      <c r="F60" s="10">
        <f t="shared" si="7"/>
        <v>358.611718648252</v>
      </c>
      <c r="G60" s="15">
        <f t="shared" si="8"/>
        <v>0.531772917847813</v>
      </c>
      <c r="H60" s="10">
        <f t="shared" si="9"/>
        <v>-167.911718648252</v>
      </c>
      <c r="I60" s="10">
        <f t="shared" si="10"/>
        <v>0</v>
      </c>
    </row>
    <row r="61" spans="1:9" ht="15" x14ac:dyDescent="0.25">
      <c r="A61" t="str">
        <f>'Weekly history'!A59</f>
        <v>2024-12-02</v>
      </c>
      <c r="B61" s="10">
        <f>'Weekly history'!G59</f>
        <v>286.4</v>
      </c>
      <c r="C61" s="10">
        <f>'Weekly history'!E59</f>
        <v>272.5</v>
      </c>
      <c r="D61" s="10">
        <f t="shared" si="11"/>
        <v>115.2</v>
      </c>
      <c r="E61" s="10">
        <f t="shared" si="6"/>
        <v>129.1</v>
      </c>
      <c r="F61" s="10">
        <f t="shared" si="7"/>
        <v>358.611718648252</v>
      </c>
      <c r="G61" s="15">
        <f t="shared" si="8"/>
        <v>0.759874777732193</v>
      </c>
      <c r="H61" s="10">
        <f t="shared" si="9"/>
        <v>-86.1117186482518</v>
      </c>
      <c r="I61" s="10">
        <f t="shared" si="10"/>
        <v>0</v>
      </c>
    </row>
    <row r="62" spans="1:9" ht="15" x14ac:dyDescent="0.25">
      <c r="A62" t="str">
        <f>'Weekly history'!A60</f>
        <v>2024-12-09</v>
      </c>
      <c r="B62" s="10">
        <f>'Weekly history'!G60</f>
        <v>250.3</v>
      </c>
      <c r="C62" s="10">
        <f>'Weekly history'!E60</f>
        <v>263.7</v>
      </c>
      <c r="D62" s="10">
        <f t="shared" si="11"/>
        <v>129.1</v>
      </c>
      <c r="E62" s="10">
        <f t="shared" si="6"/>
        <v>115.7</v>
      </c>
      <c r="F62" s="10">
        <f t="shared" si="7"/>
        <v>358.611718648252</v>
      </c>
      <c r="G62" s="15">
        <f t="shared" si="8"/>
        <v>0.735335702341208</v>
      </c>
      <c r="H62" s="10">
        <f t="shared" si="9"/>
        <v>-94.9117186482519</v>
      </c>
      <c r="I62" s="10">
        <f t="shared" si="10"/>
        <v>0</v>
      </c>
    </row>
    <row r="63" spans="1:9" ht="15" x14ac:dyDescent="0.25">
      <c r="A63" t="str">
        <f>'Weekly history'!A61</f>
        <v>2024-12-16</v>
      </c>
      <c r="B63" s="10">
        <f>'Weekly history'!G61</f>
        <v>177.4</v>
      </c>
      <c r="C63" s="10">
        <f>'Weekly history'!E61</f>
        <v>236.1</v>
      </c>
      <c r="D63" s="10">
        <f t="shared" si="11"/>
        <v>115.7</v>
      </c>
      <c r="E63" s="10">
        <f t="shared" si="6"/>
        <v>57</v>
      </c>
      <c r="F63" s="10">
        <f t="shared" si="7"/>
        <v>358.611718648252</v>
      </c>
      <c r="G63" s="15">
        <f t="shared" si="8"/>
        <v>0.658372238614938</v>
      </c>
      <c r="H63" s="10">
        <f t="shared" si="9"/>
        <v>-122.511718648252</v>
      </c>
      <c r="I63" s="10">
        <f t="shared" si="10"/>
        <v>0</v>
      </c>
    </row>
    <row r="64" spans="1:9" ht="15" x14ac:dyDescent="0.25">
      <c r="A64" t="str">
        <f>'Weekly history'!A62</f>
        <v>2024-12-23</v>
      </c>
      <c r="B64" s="10">
        <f>'Weekly history'!G62</f>
        <v>228.4</v>
      </c>
      <c r="C64" s="10">
        <f>'Weekly history'!E62</f>
        <v>245.4</v>
      </c>
      <c r="D64" s="10">
        <f t="shared" si="11"/>
        <v>57</v>
      </c>
      <c r="E64" s="10">
        <f t="shared" si="6"/>
        <v>40</v>
      </c>
      <c r="F64" s="10">
        <f t="shared" si="7"/>
        <v>358.611718648252</v>
      </c>
      <c r="G64" s="15">
        <f t="shared" si="8"/>
        <v>0.684305579653138</v>
      </c>
      <c r="H64" s="10">
        <f t="shared" si="9"/>
        <v>-113.211718648252</v>
      </c>
      <c r="I64" s="10">
        <f t="shared" si="10"/>
        <v>0</v>
      </c>
    </row>
    <row r="65" spans="1:9" ht="15" x14ac:dyDescent="0.25">
      <c r="A65" t="str">
        <f>'Weekly history'!A63</f>
        <v>2024-12-30</v>
      </c>
      <c r="B65" s="10">
        <f>'Weekly history'!G63</f>
        <v>244.669077424495</v>
      </c>
      <c r="C65" s="10">
        <f>'Weekly history'!E63</f>
        <v>240.2</v>
      </c>
      <c r="D65" s="10">
        <f t="shared" si="11"/>
        <v>40</v>
      </c>
      <c r="E65" s="10">
        <f t="shared" si="6"/>
        <v>44.4690774244953</v>
      </c>
      <c r="F65" s="10">
        <f t="shared" si="7"/>
        <v>358.611718648252</v>
      </c>
      <c r="G65" s="15">
        <f t="shared" si="8"/>
        <v>0.669805216922102</v>
      </c>
      <c r="H65" s="10">
        <f t="shared" si="9"/>
        <v>-118.411718648252</v>
      </c>
      <c r="I65" s="10">
        <f t="shared" si="10"/>
        <v>0</v>
      </c>
    </row>
    <row r="66" spans="1:9" ht="15" x14ac:dyDescent="0.25">
      <c r="A66" t="str">
        <f>'Weekly history'!A64</f>
        <v>2025-01-06</v>
      </c>
      <c r="B66" s="10">
        <f>'Weekly history'!G64</f>
        <v>298.281390601728</v>
      </c>
      <c r="C66" s="10">
        <f>'Weekly history'!E64</f>
        <v>203.6</v>
      </c>
      <c r="D66" s="10">
        <f t="shared" si="11"/>
        <v>44.4690774244953</v>
      </c>
      <c r="E66" s="10">
        <f t="shared" si="6"/>
        <v>139.150468026223</v>
      </c>
      <c r="F66" s="10">
        <f t="shared" si="7"/>
        <v>358.611718648252</v>
      </c>
      <c r="G66" s="15">
        <f t="shared" si="8"/>
        <v>0.567744971545961</v>
      </c>
      <c r="H66" s="10">
        <f t="shared" si="9"/>
        <v>-155.011718648252</v>
      </c>
      <c r="I66" s="10">
        <f t="shared" si="10"/>
        <v>0</v>
      </c>
    </row>
    <row r="67" spans="1:9" ht="15" x14ac:dyDescent="0.25">
      <c r="A67" t="str">
        <f>'Weekly history'!A65</f>
        <v>2025-01-13</v>
      </c>
      <c r="B67" s="10">
        <f>'Weekly history'!G65</f>
        <v>304.47998153415</v>
      </c>
      <c r="C67" s="10">
        <f>'Weekly history'!E65</f>
        <v>373.4</v>
      </c>
      <c r="D67" s="10">
        <f t="shared" si="11"/>
        <v>139.150468026223</v>
      </c>
      <c r="E67" s="10">
        <f t="shared" si="6"/>
        <v>70.2304495603731</v>
      </c>
      <c r="F67" s="10">
        <f t="shared" si="7"/>
        <v>358.611718648252</v>
      </c>
      <c r="G67" s="15">
        <f t="shared" si="8"/>
        <v>1.04123758534019</v>
      </c>
      <c r="H67" s="10">
        <f t="shared" si="9"/>
        <v>14.7882813517481</v>
      </c>
      <c r="I67" s="10">
        <f t="shared" si="10"/>
        <v>0</v>
      </c>
    </row>
    <row r="68" spans="1:9" ht="15" x14ac:dyDescent="0.25">
      <c r="A68" t="str">
        <f>'Weekly history'!A66</f>
        <v>2025-01-20</v>
      </c>
      <c r="B68" s="10">
        <f>'Weekly history'!G66</f>
        <v>345.05095121678</v>
      </c>
      <c r="C68" s="10">
        <f>'Weekly history'!E66</f>
        <v>279.8</v>
      </c>
      <c r="D68" s="10">
        <f t="shared" si="11"/>
        <v>70.2304495603731</v>
      </c>
      <c r="E68" s="10">
        <f t="shared" si="6"/>
        <v>135.481400777153</v>
      </c>
      <c r="F68" s="10">
        <f t="shared" si="7"/>
        <v>358.611718648252</v>
      </c>
      <c r="G68" s="15">
        <f t="shared" si="8"/>
        <v>0.780231056181532</v>
      </c>
      <c r="H68" s="10">
        <f t="shared" si="9"/>
        <v>-78.8117186482518</v>
      </c>
      <c r="I68" s="10">
        <f t="shared" si="10"/>
        <v>0</v>
      </c>
    </row>
    <row r="69" spans="1:9" ht="15" x14ac:dyDescent="0.25">
      <c r="A69" t="str">
        <f>'Weekly history'!A67</f>
        <v>2025-01-27</v>
      </c>
      <c r="B69" s="10">
        <f>'Weekly history'!G67</f>
        <v>301.539149165138</v>
      </c>
      <c r="C69" s="10">
        <f>'Weekly history'!E67</f>
        <v>309.2</v>
      </c>
      <c r="D69" s="10">
        <f t="shared" si="11"/>
        <v>135.481400777153</v>
      </c>
      <c r="E69" s="10">
        <f t="shared" si="6"/>
        <v>127.820549942291</v>
      </c>
      <c r="F69" s="10">
        <f t="shared" si="7"/>
        <v>358.611718648252</v>
      </c>
      <c r="G69" s="15">
        <f t="shared" si="8"/>
        <v>0.862213876237776</v>
      </c>
      <c r="H69" s="10">
        <f t="shared" si="9"/>
        <v>-49.4117186482519</v>
      </c>
      <c r="I69" s="10">
        <f t="shared" si="10"/>
        <v>0</v>
      </c>
    </row>
    <row r="70" spans="1:9" ht="15" x14ac:dyDescent="0.25">
      <c r="A70" t="str">
        <f>'Weekly history'!A68</f>
        <v>2025-02-03</v>
      </c>
      <c r="B70" s="10">
        <f>'Weekly history'!G68</f>
        <v>227.528275423612</v>
      </c>
      <c r="C70" s="10">
        <f>'Weekly history'!E68</f>
        <v>305.7</v>
      </c>
      <c r="D70" s="10">
        <f t="shared" si="11"/>
        <v>127.820549942291</v>
      </c>
      <c r="E70" s="10">
        <f t="shared" si="6"/>
        <v>49.6488253659024</v>
      </c>
      <c r="F70" s="10">
        <f t="shared" si="7"/>
        <v>358.611718648252</v>
      </c>
      <c r="G70" s="15">
        <f t="shared" si="8"/>
        <v>0.852454016707271</v>
      </c>
      <c r="H70" s="10">
        <f t="shared" si="9"/>
        <v>-52.9117186482519</v>
      </c>
      <c r="I70" s="10">
        <f t="shared" si="10"/>
        <v>0</v>
      </c>
    </row>
    <row r="71" spans="1:9" ht="15" x14ac:dyDescent="0.25">
      <c r="A71" t="str">
        <f>'Weekly history'!A69</f>
        <v>2025-02-10</v>
      </c>
      <c r="B71" s="10">
        <f>'Weekly history'!G69</f>
        <v>277.383618661034</v>
      </c>
      <c r="C71" s="10">
        <f>'Weekly history'!E69</f>
        <v>270.9</v>
      </c>
      <c r="D71" s="10">
        <f t="shared" si="11"/>
        <v>49.6488253659024</v>
      </c>
      <c r="E71" s="10">
        <f t="shared" si="6"/>
        <v>56.132444026936</v>
      </c>
      <c r="F71" s="10">
        <f t="shared" si="7"/>
        <v>358.611718648252</v>
      </c>
      <c r="G71" s="15">
        <f t="shared" si="8"/>
        <v>0.755413127661105</v>
      </c>
      <c r="H71" s="10">
        <f t="shared" si="9"/>
        <v>-87.7117186482519</v>
      </c>
      <c r="I71" s="10">
        <f t="shared" si="10"/>
        <v>0</v>
      </c>
    </row>
    <row r="72" spans="1:9" ht="15" x14ac:dyDescent="0.25">
      <c r="A72" t="str">
        <f>'Weekly history'!A70</f>
        <v>2025-02-17</v>
      </c>
      <c r="B72" s="10">
        <f>'Weekly history'!G70</f>
        <v>336.510691002277</v>
      </c>
      <c r="C72" s="10">
        <f>'Weekly history'!E70</f>
        <v>290.4</v>
      </c>
      <c r="D72" s="10">
        <f t="shared" si="11"/>
        <v>56.132444026936</v>
      </c>
      <c r="E72" s="10">
        <f t="shared" si="6"/>
        <v>102.243135029213</v>
      </c>
      <c r="F72" s="10">
        <f t="shared" si="7"/>
        <v>358.611718648252</v>
      </c>
      <c r="G72" s="15">
        <f t="shared" si="8"/>
        <v>0.809789487902491</v>
      </c>
      <c r="H72" s="10">
        <f t="shared" si="9"/>
        <v>-68.2117186482519</v>
      </c>
      <c r="I72" s="10">
        <f t="shared" si="10"/>
        <v>0</v>
      </c>
    </row>
    <row r="73" spans="1:9" ht="15" x14ac:dyDescent="0.25">
      <c r="A73" t="str">
        <f>'Weekly history'!A71</f>
        <v>2025-02-24</v>
      </c>
      <c r="B73" s="10">
        <f>'Weekly history'!G71</f>
        <v>381.156305187302</v>
      </c>
      <c r="C73" s="10">
        <f>'Weekly history'!E71</f>
        <v>339.6</v>
      </c>
      <c r="D73" s="10">
        <f t="shared" si="11"/>
        <v>102.243135029213</v>
      </c>
      <c r="E73" s="10">
        <f t="shared" si="6"/>
        <v>143.799440216515</v>
      </c>
      <c r="F73" s="10">
        <f t="shared" si="7"/>
        <v>358.611718648252</v>
      </c>
      <c r="G73" s="15">
        <f t="shared" si="8"/>
        <v>0.94698522758845</v>
      </c>
      <c r="H73" s="10">
        <f t="shared" si="9"/>
        <v>-19.0117186482518</v>
      </c>
      <c r="I73" s="10">
        <f t="shared" si="10"/>
        <v>0</v>
      </c>
    </row>
    <row r="74" spans="1:9" ht="15" x14ac:dyDescent="0.25">
      <c r="A74" t="str">
        <f>'Weekly history'!A72</f>
        <v>2025-03-03</v>
      </c>
      <c r="B74" s="10">
        <f>'Weekly history'!G72</f>
        <v>445.479942039756</v>
      </c>
      <c r="C74" s="10">
        <f>'Weekly history'!E72</f>
        <v>467</v>
      </c>
      <c r="D74" s="10">
        <f t="shared" si="11"/>
        <v>143.799440216515</v>
      </c>
      <c r="E74" s="10">
        <f t="shared" si="6"/>
        <v>122.279382256271</v>
      </c>
      <c r="F74" s="10">
        <f t="shared" si="7"/>
        <v>358.611718648252</v>
      </c>
      <c r="G74" s="15">
        <f t="shared" si="8"/>
        <v>1.30224411449884</v>
      </c>
      <c r="H74" s="10">
        <f t="shared" si="9"/>
        <v>108.388281351748</v>
      </c>
      <c r="I74" s="10">
        <f t="shared" si="10"/>
        <v>0</v>
      </c>
    </row>
    <row r="75" spans="1:9" ht="15" x14ac:dyDescent="0.25">
      <c r="A75" t="str">
        <f>'Weekly history'!A73</f>
        <v>2025-03-10</v>
      </c>
      <c r="B75" s="10">
        <f>'Weekly history'!G73</f>
        <v>559.170923711134</v>
      </c>
      <c r="C75" s="10">
        <f>'Weekly history'!E73</f>
        <v>487</v>
      </c>
      <c r="D75" s="10">
        <f t="shared" si="11"/>
        <v>122.279382256271</v>
      </c>
      <c r="E75" s="10">
        <f t="shared" si="6"/>
        <v>194.450305967405</v>
      </c>
      <c r="F75" s="10">
        <f t="shared" si="7"/>
        <v>358.611718648252</v>
      </c>
      <c r="G75" s="15">
        <f t="shared" si="8"/>
        <v>1.35801474038744</v>
      </c>
      <c r="H75" s="10">
        <f t="shared" si="9"/>
        <v>128.388281351748</v>
      </c>
      <c r="I75" s="10">
        <f t="shared" si="10"/>
        <v>0</v>
      </c>
    </row>
    <row r="76" spans="1:9" ht="15" x14ac:dyDescent="0.25">
      <c r="A76" t="str">
        <f>'Weekly history'!A74</f>
        <v>2025-03-17</v>
      </c>
      <c r="B76" s="10">
        <f>'Weekly history'!G74</f>
        <v>259.280207669186</v>
      </c>
      <c r="C76" s="10">
        <f>'Weekly history'!E74</f>
        <v>333.8</v>
      </c>
      <c r="D76" s="10">
        <f t="shared" si="11"/>
        <v>194.450305967405</v>
      </c>
      <c r="E76" s="10">
        <f t="shared" si="6"/>
        <v>119.930513636591</v>
      </c>
      <c r="F76" s="10">
        <f t="shared" si="7"/>
        <v>358.611718648252</v>
      </c>
      <c r="G76" s="15">
        <f t="shared" si="8"/>
        <v>0.930811746080756</v>
      </c>
      <c r="H76" s="10">
        <f t="shared" si="9"/>
        <v>-24.8117186482518</v>
      </c>
      <c r="I76" s="10">
        <f t="shared" si="10"/>
        <v>0</v>
      </c>
    </row>
    <row r="77" spans="1:9" ht="15" x14ac:dyDescent="0.25">
      <c r="A77" t="str">
        <f>'Weekly history'!A75</f>
        <v>2025-03-24</v>
      </c>
      <c r="B77" s="10">
        <f>'Weekly history'!G75</f>
        <v>406.67199090587</v>
      </c>
      <c r="C77" s="10">
        <f>'Weekly history'!E75</f>
        <v>372.2</v>
      </c>
      <c r="D77" s="10">
        <f t="shared" si="11"/>
        <v>119.930513636591</v>
      </c>
      <c r="E77" s="10">
        <f t="shared" ref="E77:E108" si="12">MAX(0,D77+B77-C77)</f>
        <v>154.402504542461</v>
      </c>
      <c r="F77" s="10">
        <f t="shared" ref="F77:F108" si="13">$B$7</f>
        <v>358.611718648252</v>
      </c>
      <c r="G77" s="15">
        <f t="shared" ref="G77:G108" si="14">IF(F77=0,"",C77/F77)</f>
        <v>1.03789134778687</v>
      </c>
      <c r="H77" s="10">
        <f t="shared" ref="H77:H108" si="15">C77-F77</f>
        <v>13.5882813517482</v>
      </c>
      <c r="I77" s="10">
        <f t="shared" ref="I77:I108" si="16">MAX(0,C77-D77-B77)</f>
        <v>0</v>
      </c>
    </row>
    <row r="78" spans="1:9" ht="15" x14ac:dyDescent="0.25">
      <c r="A78" t="str">
        <f>'Weekly history'!A76</f>
        <v>2025-03-31</v>
      </c>
      <c r="B78" s="10">
        <f>'Weekly history'!G76</f>
        <v>415.90842023803</v>
      </c>
      <c r="C78" s="10">
        <f>'Weekly history'!E76</f>
        <v>413.6</v>
      </c>
      <c r="D78" s="10">
        <f t="shared" ref="D78:D109" si="17">E77</f>
        <v>154.402504542461</v>
      </c>
      <c r="E78" s="10">
        <f t="shared" si="12"/>
        <v>156.710924780491</v>
      </c>
      <c r="F78" s="10">
        <f t="shared" si="13"/>
        <v>358.611718648252</v>
      </c>
      <c r="G78" s="15">
        <f t="shared" si="14"/>
        <v>1.15333654337628</v>
      </c>
      <c r="H78" s="10">
        <f t="shared" si="15"/>
        <v>54.9882813517482</v>
      </c>
      <c r="I78" s="10">
        <f t="shared" si="16"/>
        <v>0</v>
      </c>
    </row>
    <row r="79" spans="1:9" ht="15" x14ac:dyDescent="0.25">
      <c r="A79" t="str">
        <f>'Weekly history'!A77</f>
        <v>2025-04-07</v>
      </c>
      <c r="B79" s="10">
        <f>'Weekly history'!G77</f>
        <v>263.278960358597</v>
      </c>
      <c r="C79" s="10">
        <f>'Weekly history'!E77</f>
        <v>366.7</v>
      </c>
      <c r="D79" s="10">
        <f t="shared" si="17"/>
        <v>156.710924780491</v>
      </c>
      <c r="E79" s="10">
        <f t="shared" si="12"/>
        <v>53.2898851390879</v>
      </c>
      <c r="F79" s="10">
        <f t="shared" si="13"/>
        <v>358.611718648252</v>
      </c>
      <c r="G79" s="15">
        <f t="shared" si="14"/>
        <v>1.0225544256675</v>
      </c>
      <c r="H79" s="10">
        <f t="shared" si="15"/>
        <v>8.08828135174815</v>
      </c>
      <c r="I79" s="10">
        <f t="shared" si="16"/>
        <v>0</v>
      </c>
    </row>
    <row r="80" spans="1:9" ht="15" x14ac:dyDescent="0.25">
      <c r="A80" t="str">
        <f>'Weekly history'!A78</f>
        <v>2025-04-14</v>
      </c>
      <c r="B80" s="10">
        <f>'Weekly history'!G78</f>
        <v>184.007681760521</v>
      </c>
      <c r="C80" s="10">
        <f>'Weekly history'!E78</f>
        <v>300.6</v>
      </c>
      <c r="D80" s="10">
        <f t="shared" si="17"/>
        <v>53.2898851390879</v>
      </c>
      <c r="E80" s="10">
        <f t="shared" si="12"/>
        <v>0</v>
      </c>
      <c r="F80" s="10">
        <f t="shared" si="13"/>
        <v>358.611718648252</v>
      </c>
      <c r="G80" s="15">
        <f t="shared" si="14"/>
        <v>0.838232507105678</v>
      </c>
      <c r="H80" s="10">
        <f t="shared" si="15"/>
        <v>-58.0117186482518</v>
      </c>
      <c r="I80" s="10">
        <f t="shared" si="16"/>
        <v>63.302433100391</v>
      </c>
    </row>
    <row r="81" spans="1:9" ht="15" x14ac:dyDescent="0.25">
      <c r="A81" t="str">
        <f>'Weekly history'!A79</f>
        <v>2025-04-21</v>
      </c>
      <c r="B81" s="10">
        <f>'Weekly history'!G79</f>
        <v>378.466551334697</v>
      </c>
      <c r="C81" s="10">
        <f>'Weekly history'!E79</f>
        <v>344.4</v>
      </c>
      <c r="D81" s="10">
        <f t="shared" si="17"/>
        <v>0</v>
      </c>
      <c r="E81" s="10">
        <f t="shared" si="12"/>
        <v>34.0665513346975</v>
      </c>
      <c r="F81" s="10">
        <f t="shared" si="13"/>
        <v>358.611718648252</v>
      </c>
      <c r="G81" s="15">
        <f t="shared" si="14"/>
        <v>0.960370177801714</v>
      </c>
      <c r="H81" s="10">
        <f t="shared" si="15"/>
        <v>-14.2117186482519</v>
      </c>
      <c r="I81" s="10">
        <f t="shared" si="16"/>
        <v>0</v>
      </c>
    </row>
    <row r="82" spans="1:9" ht="15" x14ac:dyDescent="0.25">
      <c r="A82" t="str">
        <f>'Weekly history'!A80</f>
        <v>2025-04-28</v>
      </c>
      <c r="B82" s="10">
        <f>'Weekly history'!G80</f>
        <v>403.490157408359</v>
      </c>
      <c r="C82" s="10">
        <f>'Weekly history'!E80</f>
        <v>380.9</v>
      </c>
      <c r="D82" s="10">
        <f t="shared" si="17"/>
        <v>34.0665513346975</v>
      </c>
      <c r="E82" s="10">
        <f t="shared" si="12"/>
        <v>56.6567087430569</v>
      </c>
      <c r="F82" s="10">
        <f t="shared" si="13"/>
        <v>358.611718648252</v>
      </c>
      <c r="G82" s="15">
        <f t="shared" si="14"/>
        <v>1.06215157004841</v>
      </c>
      <c r="H82" s="10">
        <f t="shared" si="15"/>
        <v>22.2882813517481</v>
      </c>
      <c r="I82" s="10">
        <f t="shared" si="16"/>
        <v>0</v>
      </c>
    </row>
    <row r="83" spans="1:9" ht="15" x14ac:dyDescent="0.25">
      <c r="A83" t="str">
        <f>'Weekly history'!A81</f>
        <v>2025-05-05</v>
      </c>
      <c r="B83" s="10">
        <f>'Weekly history'!G81</f>
        <v>326.520114269759</v>
      </c>
      <c r="C83" s="10">
        <f>'Weekly history'!E81</f>
        <v>292.9</v>
      </c>
      <c r="D83" s="10">
        <f t="shared" si="17"/>
        <v>56.6567087430569</v>
      </c>
      <c r="E83" s="10">
        <f t="shared" si="12"/>
        <v>90.2768230128162</v>
      </c>
      <c r="F83" s="10">
        <f t="shared" si="13"/>
        <v>358.611718648252</v>
      </c>
      <c r="G83" s="15">
        <f t="shared" si="14"/>
        <v>0.816760816138566</v>
      </c>
      <c r="H83" s="10">
        <f t="shared" si="15"/>
        <v>-65.7117186482519</v>
      </c>
      <c r="I83" s="10">
        <f t="shared" si="16"/>
        <v>0</v>
      </c>
    </row>
    <row r="84" spans="1:9" ht="15" x14ac:dyDescent="0.25">
      <c r="A84" t="str">
        <f>'Weekly history'!A82</f>
        <v>2025-05-12</v>
      </c>
      <c r="B84" s="10">
        <f>'Weekly history'!G82</f>
        <v>428.26141016925</v>
      </c>
      <c r="C84" s="10">
        <f>'Weekly history'!E82</f>
        <v>360.4</v>
      </c>
      <c r="D84" s="10">
        <f t="shared" si="17"/>
        <v>90.2768230128162</v>
      </c>
      <c r="E84" s="10">
        <f t="shared" si="12"/>
        <v>158.138233182066</v>
      </c>
      <c r="F84" s="10">
        <f t="shared" si="13"/>
        <v>358.611718648252</v>
      </c>
      <c r="G84" s="15">
        <f t="shared" si="14"/>
        <v>1.0049866785126</v>
      </c>
      <c r="H84" s="10">
        <f t="shared" si="15"/>
        <v>1.78828135174814</v>
      </c>
      <c r="I84" s="10">
        <f t="shared" si="16"/>
        <v>0</v>
      </c>
    </row>
    <row r="85" spans="1:9" ht="15" x14ac:dyDescent="0.25">
      <c r="A85" t="str">
        <f>'Weekly history'!A83</f>
        <v>2025-05-19</v>
      </c>
      <c r="B85" s="10">
        <f>'Weekly history'!G83</f>
        <v>423.226438372921</v>
      </c>
      <c r="C85" s="10">
        <f>'Weekly history'!E83</f>
        <v>436.9</v>
      </c>
      <c r="D85" s="10">
        <f t="shared" si="17"/>
        <v>158.138233182066</v>
      </c>
      <c r="E85" s="10">
        <f t="shared" si="12"/>
        <v>144.464671554987</v>
      </c>
      <c r="F85" s="10">
        <f t="shared" si="13"/>
        <v>358.611718648252</v>
      </c>
      <c r="G85" s="15">
        <f t="shared" si="14"/>
        <v>1.2183093225365</v>
      </c>
      <c r="H85" s="10">
        <f t="shared" si="15"/>
        <v>78.2882813517481</v>
      </c>
      <c r="I85" s="10">
        <f t="shared" si="16"/>
        <v>0</v>
      </c>
    </row>
    <row r="86" spans="1:9" ht="15" x14ac:dyDescent="0.25">
      <c r="A86" t="str">
        <f>'Weekly history'!A84</f>
        <v>2025-05-26</v>
      </c>
      <c r="B86" s="10">
        <f>'Weekly history'!G84</f>
        <v>190.021047382635</v>
      </c>
      <c r="C86" s="10">
        <f>'Weekly history'!E84</f>
        <v>385</v>
      </c>
      <c r="D86" s="10">
        <f t="shared" si="17"/>
        <v>144.464671554987</v>
      </c>
      <c r="E86" s="10">
        <f t="shared" si="12"/>
        <v>0</v>
      </c>
      <c r="F86" s="10">
        <f t="shared" si="13"/>
        <v>358.611718648252</v>
      </c>
      <c r="G86" s="15">
        <f t="shared" si="14"/>
        <v>1.07358454835558</v>
      </c>
      <c r="H86" s="10">
        <f t="shared" si="15"/>
        <v>26.3882813517482</v>
      </c>
      <c r="I86" s="10">
        <f t="shared" si="16"/>
        <v>50.5142810623777</v>
      </c>
    </row>
    <row r="87" spans="1:9" ht="15" x14ac:dyDescent="0.25">
      <c r="A87" t="str">
        <f>'Weekly history'!A85</f>
        <v>2025-06-02</v>
      </c>
      <c r="B87" s="10">
        <f>'Weekly history'!G85</f>
        <v>381.539742299099</v>
      </c>
      <c r="C87" s="10">
        <f>'Weekly history'!E85</f>
        <v>367.5</v>
      </c>
      <c r="D87" s="10">
        <f t="shared" si="17"/>
        <v>0</v>
      </c>
      <c r="E87" s="10">
        <f t="shared" si="12"/>
        <v>14.0397422990989</v>
      </c>
      <c r="F87" s="10">
        <f t="shared" si="13"/>
        <v>358.611718648252</v>
      </c>
      <c r="G87" s="15">
        <f t="shared" si="14"/>
        <v>1.02478525070305</v>
      </c>
      <c r="H87" s="10">
        <f t="shared" si="15"/>
        <v>8.88828135174816</v>
      </c>
      <c r="I87" s="10">
        <f t="shared" si="16"/>
        <v>0</v>
      </c>
    </row>
    <row r="88" spans="1:9" ht="15" x14ac:dyDescent="0.25">
      <c r="A88" t="str">
        <f>'Weekly history'!A86</f>
        <v>2025-06-09</v>
      </c>
      <c r="B88" s="10">
        <f>'Weekly history'!G86</f>
        <v>348.949972165392</v>
      </c>
      <c r="C88" s="10">
        <f>'Weekly history'!E86</f>
        <v>281.4</v>
      </c>
      <c r="D88" s="10">
        <f t="shared" si="17"/>
        <v>14.0397422990989</v>
      </c>
      <c r="E88" s="10">
        <f t="shared" si="12"/>
        <v>81.589714464491</v>
      </c>
      <c r="F88" s="10">
        <f t="shared" si="13"/>
        <v>358.611718648252</v>
      </c>
      <c r="G88" s="15">
        <f t="shared" si="14"/>
        <v>0.78469270625262</v>
      </c>
      <c r="H88" s="10">
        <f t="shared" si="15"/>
        <v>-77.2117186482519</v>
      </c>
      <c r="I88" s="10">
        <f t="shared" si="16"/>
        <v>0</v>
      </c>
    </row>
    <row r="89" spans="1:9" ht="15" x14ac:dyDescent="0.25">
      <c r="A89" t="str">
        <f>'Weekly history'!A87</f>
        <v>2025-06-16</v>
      </c>
      <c r="B89" s="10">
        <f>'Weekly history'!G87</f>
        <v>223.140442163657</v>
      </c>
      <c r="C89" s="10">
        <f>'Weekly history'!E87</f>
        <v>286.7</v>
      </c>
      <c r="D89" s="10">
        <f t="shared" si="17"/>
        <v>81.589714464491</v>
      </c>
      <c r="E89" s="10">
        <f t="shared" si="12"/>
        <v>18.0301566281484</v>
      </c>
      <c r="F89" s="10">
        <f t="shared" si="13"/>
        <v>358.611718648252</v>
      </c>
      <c r="G89" s="15">
        <f t="shared" si="14"/>
        <v>0.7994719221131</v>
      </c>
      <c r="H89" s="10">
        <f t="shared" si="15"/>
        <v>-71.9117186482519</v>
      </c>
      <c r="I89" s="10">
        <f t="shared" si="16"/>
        <v>0</v>
      </c>
    </row>
    <row r="90" spans="1:9" ht="15" x14ac:dyDescent="0.25">
      <c r="A90" t="str">
        <f>'Weekly history'!A88</f>
        <v>2025-06-23</v>
      </c>
      <c r="B90" s="10">
        <f>'Weekly history'!G88</f>
        <v>401.336001507366</v>
      </c>
      <c r="C90" s="10">
        <f>'Weekly history'!E88</f>
        <v>278.7</v>
      </c>
      <c r="D90" s="10">
        <f t="shared" si="17"/>
        <v>18.0301566281484</v>
      </c>
      <c r="E90" s="10">
        <f t="shared" si="12"/>
        <v>140.666158135514</v>
      </c>
      <c r="F90" s="10">
        <f t="shared" si="13"/>
        <v>358.611718648252</v>
      </c>
      <c r="G90" s="15">
        <f t="shared" si="14"/>
        <v>0.777163671757659</v>
      </c>
      <c r="H90" s="10">
        <f t="shared" si="15"/>
        <v>-79.9117186482519</v>
      </c>
      <c r="I90" s="10">
        <f t="shared" si="16"/>
        <v>0</v>
      </c>
    </row>
    <row r="91" spans="1:9" ht="15" x14ac:dyDescent="0.25">
      <c r="A91" t="str">
        <f>'Weekly history'!A89</f>
        <v>2025-06-30</v>
      </c>
      <c r="B91" s="10">
        <f>'Weekly history'!G89</f>
        <v>192.461645206812</v>
      </c>
      <c r="C91" s="10">
        <f>'Weekly history'!E89</f>
        <v>389.5</v>
      </c>
      <c r="D91" s="10">
        <f t="shared" si="17"/>
        <v>140.666158135514</v>
      </c>
      <c r="E91" s="10">
        <f t="shared" si="12"/>
        <v>0</v>
      </c>
      <c r="F91" s="10">
        <f t="shared" si="13"/>
        <v>358.611718648252</v>
      </c>
      <c r="G91" s="15">
        <f t="shared" si="14"/>
        <v>1.08613293918051</v>
      </c>
      <c r="H91" s="10">
        <f t="shared" si="15"/>
        <v>30.8882813517482</v>
      </c>
      <c r="I91" s="10">
        <f t="shared" si="16"/>
        <v>56.3721966576737</v>
      </c>
    </row>
    <row r="92" spans="1:9" ht="15" x14ac:dyDescent="0.25">
      <c r="A92" t="str">
        <f>'Weekly history'!A90</f>
        <v>2025-07-07</v>
      </c>
      <c r="B92" s="10">
        <f>'Weekly history'!G90</f>
        <v>197.871061528086</v>
      </c>
      <c r="C92" s="10">
        <f>'Weekly history'!E90</f>
        <v>229.7</v>
      </c>
      <c r="D92" s="10">
        <f t="shared" si="17"/>
        <v>0</v>
      </c>
      <c r="E92" s="10">
        <f t="shared" si="12"/>
        <v>0</v>
      </c>
      <c r="F92" s="10">
        <f t="shared" si="13"/>
        <v>358.611718648252</v>
      </c>
      <c r="G92" s="15">
        <f t="shared" si="14"/>
        <v>0.640525638330586</v>
      </c>
      <c r="H92" s="10">
        <f t="shared" si="15"/>
        <v>-128.911718648252</v>
      </c>
      <c r="I92" s="10">
        <f t="shared" si="16"/>
        <v>31.8289384719142</v>
      </c>
    </row>
    <row r="93" spans="1:9" ht="15" x14ac:dyDescent="0.25">
      <c r="A93" t="str">
        <f>'Weekly history'!A91</f>
        <v>2025-07-14</v>
      </c>
      <c r="B93" s="10">
        <f>'Weekly history'!G91</f>
        <v>322.137129233335</v>
      </c>
      <c r="C93" s="10">
        <f>'Weekly history'!E91</f>
        <v>295.2</v>
      </c>
      <c r="D93" s="10">
        <f t="shared" si="17"/>
        <v>0</v>
      </c>
      <c r="E93" s="10">
        <f t="shared" si="12"/>
        <v>26.9371292333352</v>
      </c>
      <c r="F93" s="10">
        <f t="shared" si="13"/>
        <v>358.611718648252</v>
      </c>
      <c r="G93" s="15">
        <f t="shared" si="14"/>
        <v>0.823174438115755</v>
      </c>
      <c r="H93" s="10">
        <f t="shared" si="15"/>
        <v>-63.4117186482519</v>
      </c>
      <c r="I93" s="10">
        <f t="shared" si="16"/>
        <v>0</v>
      </c>
    </row>
    <row r="94" spans="1:9" ht="15" x14ac:dyDescent="0.25">
      <c r="A94" t="str">
        <f>'Weekly history'!A92</f>
        <v>2025-07-21</v>
      </c>
      <c r="B94" s="10">
        <f>'Weekly history'!G92</f>
        <v>298.636596031605</v>
      </c>
      <c r="C94" s="10">
        <f>'Weekly history'!E92</f>
        <v>361</v>
      </c>
      <c r="D94" s="10">
        <f t="shared" si="17"/>
        <v>26.9371292333352</v>
      </c>
      <c r="E94" s="10">
        <f t="shared" si="12"/>
        <v>0</v>
      </c>
      <c r="F94" s="10">
        <f t="shared" si="13"/>
        <v>358.611718648252</v>
      </c>
      <c r="G94" s="15">
        <f t="shared" si="14"/>
        <v>1.00665979728925</v>
      </c>
      <c r="H94" s="10">
        <f t="shared" si="15"/>
        <v>2.38828135174816</v>
      </c>
      <c r="I94" s="10">
        <f t="shared" si="16"/>
        <v>35.4262747350601</v>
      </c>
    </row>
    <row r="95" spans="1:9" ht="15" x14ac:dyDescent="0.25">
      <c r="A95" t="str">
        <f>'Weekly history'!A93</f>
        <v>2025-07-28</v>
      </c>
      <c r="B95" s="10">
        <f>'Weekly history'!G93</f>
        <v>173.811339150016</v>
      </c>
      <c r="C95" s="10">
        <f>'Weekly history'!E93</f>
        <v>162.8</v>
      </c>
      <c r="D95" s="10">
        <f t="shared" si="17"/>
        <v>0</v>
      </c>
      <c r="E95" s="10">
        <f t="shared" si="12"/>
        <v>11.0113391500162</v>
      </c>
      <c r="F95" s="10">
        <f t="shared" si="13"/>
        <v>358.611718648252</v>
      </c>
      <c r="G95" s="15">
        <f t="shared" si="14"/>
        <v>0.453972894733215</v>
      </c>
      <c r="H95" s="10">
        <f t="shared" si="15"/>
        <v>-195.811718648252</v>
      </c>
      <c r="I95" s="10">
        <f t="shared" si="16"/>
        <v>0</v>
      </c>
    </row>
    <row r="96" spans="1:9" ht="15" x14ac:dyDescent="0.25">
      <c r="A96" t="str">
        <f>'Weekly history'!A94</f>
        <v>2025-08-04</v>
      </c>
      <c r="B96" s="10">
        <f>'Weekly history'!G94</f>
        <v>365.827299143589</v>
      </c>
      <c r="C96" s="10">
        <f>'Weekly history'!E94</f>
        <v>296.8</v>
      </c>
      <c r="D96" s="10">
        <f t="shared" si="17"/>
        <v>11.0113391500162</v>
      </c>
      <c r="E96" s="10">
        <f t="shared" si="12"/>
        <v>80.0386382936048</v>
      </c>
      <c r="F96" s="10">
        <f t="shared" si="13"/>
        <v>358.611718648252</v>
      </c>
      <c r="G96" s="15">
        <f t="shared" si="14"/>
        <v>0.827636088186843</v>
      </c>
      <c r="H96" s="10">
        <f t="shared" si="15"/>
        <v>-61.8117186482518</v>
      </c>
      <c r="I96" s="10">
        <f t="shared" si="16"/>
        <v>0</v>
      </c>
    </row>
    <row r="97" spans="1:9" ht="15" x14ac:dyDescent="0.25">
      <c r="A97" t="str">
        <f>'Weekly history'!A95</f>
        <v>2025-08-11</v>
      </c>
      <c r="B97" s="10">
        <f>'Weekly history'!G95</f>
        <v>289.668693184983</v>
      </c>
      <c r="C97" s="10">
        <f>'Weekly history'!E95</f>
        <v>341.9</v>
      </c>
      <c r="D97" s="10">
        <f t="shared" si="17"/>
        <v>80.0386382936048</v>
      </c>
      <c r="E97" s="10">
        <f t="shared" si="12"/>
        <v>27.8073314785879</v>
      </c>
      <c r="F97" s="10">
        <f t="shared" si="13"/>
        <v>358.611718648252</v>
      </c>
      <c r="G97" s="15">
        <f t="shared" si="14"/>
        <v>0.953398849565639</v>
      </c>
      <c r="H97" s="10">
        <f t="shared" si="15"/>
        <v>-16.7117186482519</v>
      </c>
      <c r="I97" s="10">
        <f t="shared" si="16"/>
        <v>0</v>
      </c>
    </row>
    <row r="98" spans="1:9" ht="15" x14ac:dyDescent="0.25">
      <c r="A98" t="str">
        <f>'Weekly history'!A96</f>
        <v>2025-08-18</v>
      </c>
      <c r="B98" s="10">
        <f>'Weekly history'!G96</f>
        <v>321.968171605973</v>
      </c>
      <c r="C98" s="10">
        <f>'Weekly history'!E96</f>
        <v>308.3</v>
      </c>
      <c r="D98" s="10">
        <f t="shared" si="17"/>
        <v>27.8073314785879</v>
      </c>
      <c r="E98" s="10">
        <f t="shared" si="12"/>
        <v>41.4755030845611</v>
      </c>
      <c r="F98" s="10">
        <f t="shared" si="13"/>
        <v>358.611718648252</v>
      </c>
      <c r="G98" s="15">
        <f t="shared" si="14"/>
        <v>0.859704198072789</v>
      </c>
      <c r="H98" s="10">
        <f t="shared" si="15"/>
        <v>-50.3117186482518</v>
      </c>
      <c r="I98" s="10">
        <f t="shared" si="16"/>
        <v>0</v>
      </c>
    </row>
    <row r="99" spans="1:9" ht="15" x14ac:dyDescent="0.25">
      <c r="A99" t="str">
        <f>'Weekly history'!A97</f>
        <v>2025-08-25</v>
      </c>
      <c r="B99" s="10">
        <f>'Weekly history'!G97</f>
        <v>210.584909098219</v>
      </c>
      <c r="C99" s="10">
        <f>'Weekly history'!E97</f>
        <v>306.4</v>
      </c>
      <c r="D99" s="10">
        <f t="shared" si="17"/>
        <v>41.4755030845611</v>
      </c>
      <c r="E99" s="10">
        <f t="shared" si="12"/>
        <v>0</v>
      </c>
      <c r="F99" s="10">
        <f t="shared" si="13"/>
        <v>358.611718648252</v>
      </c>
      <c r="G99" s="15">
        <f t="shared" si="14"/>
        <v>0.854405988613372</v>
      </c>
      <c r="H99" s="10">
        <f t="shared" si="15"/>
        <v>-52.2117186482519</v>
      </c>
      <c r="I99" s="10">
        <f t="shared" si="16"/>
        <v>54.3395878172198</v>
      </c>
    </row>
    <row r="100" spans="1:9" ht="15" x14ac:dyDescent="0.25">
      <c r="A100" t="str">
        <f>'Weekly history'!A98</f>
        <v>2025-09-01</v>
      </c>
      <c r="B100" s="10">
        <f>'Weekly history'!G98</f>
        <v>277.235921026518</v>
      </c>
      <c r="C100" s="10">
        <f>'Weekly history'!E98</f>
        <v>286.8</v>
      </c>
      <c r="D100" s="10">
        <f t="shared" si="17"/>
        <v>0</v>
      </c>
      <c r="E100" s="10">
        <f t="shared" si="12"/>
        <v>0</v>
      </c>
      <c r="F100" s="10">
        <f t="shared" si="13"/>
        <v>358.611718648252</v>
      </c>
      <c r="G100" s="15">
        <f t="shared" si="14"/>
        <v>0.799750775242543</v>
      </c>
      <c r="H100" s="10">
        <f t="shared" si="15"/>
        <v>-71.8117186482518</v>
      </c>
      <c r="I100" s="10">
        <f t="shared" si="16"/>
        <v>9.56407897348225</v>
      </c>
    </row>
    <row r="101" spans="1:9" ht="15" x14ac:dyDescent="0.25">
      <c r="A101" t="str">
        <f>'Weekly history'!A99</f>
        <v>2025-09-08</v>
      </c>
      <c r="B101" s="10">
        <f>'Weekly history'!G99</f>
        <v>301.316200311496</v>
      </c>
      <c r="C101" s="10">
        <f>'Weekly history'!E99</f>
        <v>259.4</v>
      </c>
      <c r="D101" s="10">
        <f t="shared" si="17"/>
        <v>0</v>
      </c>
      <c r="E101" s="10">
        <f t="shared" si="12"/>
        <v>41.916200311496</v>
      </c>
      <c r="F101" s="10">
        <f t="shared" si="13"/>
        <v>358.611718648252</v>
      </c>
      <c r="G101" s="15">
        <f t="shared" si="14"/>
        <v>0.723345017775159</v>
      </c>
      <c r="H101" s="10">
        <f t="shared" si="15"/>
        <v>-99.2117186482519</v>
      </c>
      <c r="I101" s="10">
        <f t="shared" si="16"/>
        <v>0</v>
      </c>
    </row>
    <row r="102" spans="1:9" ht="15" x14ac:dyDescent="0.25">
      <c r="A102" t="str">
        <f>'Weekly history'!A100</f>
        <v>2025-09-15</v>
      </c>
      <c r="B102" s="10">
        <f>'Weekly history'!G100</f>
        <v>234.018133366704</v>
      </c>
      <c r="C102" s="10">
        <f>'Weekly history'!E100</f>
        <v>193.9</v>
      </c>
      <c r="D102" s="10">
        <f t="shared" si="17"/>
        <v>41.916200311496</v>
      </c>
      <c r="E102" s="10">
        <f t="shared" si="12"/>
        <v>82.0343336782001</v>
      </c>
      <c r="F102" s="10">
        <f t="shared" si="13"/>
        <v>358.611718648252</v>
      </c>
      <c r="G102" s="15">
        <f t="shared" si="14"/>
        <v>0.54069621798999</v>
      </c>
      <c r="H102" s="10">
        <f t="shared" si="15"/>
        <v>-164.711718648252</v>
      </c>
      <c r="I102" s="10">
        <f t="shared" si="16"/>
        <v>0</v>
      </c>
    </row>
    <row r="103" spans="1:9" ht="15" x14ac:dyDescent="0.25">
      <c r="A103" t="str">
        <f>'Weekly history'!A101</f>
        <v>2025-09-22</v>
      </c>
      <c r="B103" s="10">
        <f>'Weekly history'!G101</f>
        <v>259.004558794416</v>
      </c>
      <c r="C103" s="10">
        <f>'Weekly history'!E101</f>
        <v>336.2</v>
      </c>
      <c r="D103" s="10">
        <f t="shared" si="17"/>
        <v>82.0343336782001</v>
      </c>
      <c r="E103" s="10">
        <f t="shared" si="12"/>
        <v>4.83889247261567</v>
      </c>
      <c r="F103" s="10">
        <f t="shared" si="13"/>
        <v>358.611718648252</v>
      </c>
      <c r="G103" s="15">
        <f t="shared" si="14"/>
        <v>0.937504221187388</v>
      </c>
      <c r="H103" s="10">
        <f t="shared" si="15"/>
        <v>-22.4117186482519</v>
      </c>
      <c r="I103" s="10">
        <f t="shared" si="16"/>
        <v>0</v>
      </c>
    </row>
    <row r="104" spans="1:9" ht="15" x14ac:dyDescent="0.25">
      <c r="A104" t="str">
        <f>'Weekly history'!A102</f>
        <v>2025-09-29</v>
      </c>
      <c r="B104" s="10">
        <f>'Weekly history'!G102</f>
        <v>161.649613791424</v>
      </c>
      <c r="C104" s="10">
        <f>'Weekly history'!E102</f>
        <v>226.1</v>
      </c>
      <c r="D104" s="10">
        <f t="shared" si="17"/>
        <v>4.83889247261567</v>
      </c>
      <c r="E104" s="10">
        <f t="shared" si="12"/>
        <v>0</v>
      </c>
      <c r="F104" s="10">
        <f t="shared" si="13"/>
        <v>358.611718648252</v>
      </c>
      <c r="G104" s="15">
        <f t="shared" si="14"/>
        <v>0.630486925670638</v>
      </c>
      <c r="H104" s="10">
        <f t="shared" si="15"/>
        <v>-132.511718648252</v>
      </c>
      <c r="I104" s="10">
        <f t="shared" si="16"/>
        <v>59.6114937359601</v>
      </c>
    </row>
    <row r="105" spans="1:9" ht="15" x14ac:dyDescent="0.25">
      <c r="A105" t="str">
        <f>'Weekly history'!A103</f>
        <v>2025-10-06</v>
      </c>
      <c r="B105" s="10">
        <f>'Weekly history'!G103</f>
        <v>246.41763464382</v>
      </c>
      <c r="C105" s="10">
        <f>'Weekly history'!E103</f>
        <v>224.1</v>
      </c>
      <c r="D105" s="10">
        <f t="shared" si="17"/>
        <v>0</v>
      </c>
      <c r="E105" s="10">
        <f t="shared" si="12"/>
        <v>22.31763464382</v>
      </c>
      <c r="F105" s="10">
        <f t="shared" si="13"/>
        <v>358.611718648252</v>
      </c>
      <c r="G105" s="15">
        <f t="shared" si="14"/>
        <v>0.624909863081778</v>
      </c>
      <c r="H105" s="10">
        <f t="shared" si="15"/>
        <v>-134.511718648252</v>
      </c>
      <c r="I105" s="10">
        <f t="shared" si="16"/>
        <v>0</v>
      </c>
    </row>
    <row r="106" spans="1:9" ht="15" x14ac:dyDescent="0.25">
      <c r="A106" t="str">
        <f>'Weekly history'!A104</f>
        <v>2025-10-13</v>
      </c>
      <c r="B106" s="10">
        <f>'Weekly history'!G104</f>
        <v>332.359248625661</v>
      </c>
      <c r="C106" s="10">
        <f>'Weekly history'!E104</f>
        <v>278.3</v>
      </c>
      <c r="D106" s="10">
        <f t="shared" si="17"/>
        <v>22.31763464382</v>
      </c>
      <c r="E106" s="10">
        <f t="shared" si="12"/>
        <v>76.3768832694806</v>
      </c>
      <c r="F106" s="10">
        <f t="shared" si="13"/>
        <v>358.611718648252</v>
      </c>
      <c r="G106" s="15">
        <f t="shared" si="14"/>
        <v>0.776048259239887</v>
      </c>
      <c r="H106" s="10">
        <f t="shared" si="15"/>
        <v>-80.3117186482518</v>
      </c>
      <c r="I106" s="10">
        <f t="shared" si="16"/>
        <v>0</v>
      </c>
    </row>
    <row r="107" spans="1:9" ht="15" x14ac:dyDescent="0.25">
      <c r="A107" t="str">
        <f>'Weekly history'!A105</f>
        <v>2025-10-20</v>
      </c>
      <c r="B107" s="10">
        <f>'Weekly history'!G105</f>
        <v>258.635373375217</v>
      </c>
      <c r="C107" s="10">
        <f>'Weekly history'!E105</f>
        <v>256.5</v>
      </c>
      <c r="D107" s="10">
        <f t="shared" si="17"/>
        <v>76.3768832694806</v>
      </c>
      <c r="E107" s="10">
        <f t="shared" si="12"/>
        <v>78.5122566446972</v>
      </c>
      <c r="F107" s="10">
        <f t="shared" si="13"/>
        <v>358.611718648252</v>
      </c>
      <c r="G107" s="15">
        <f t="shared" si="14"/>
        <v>0.715258277021312</v>
      </c>
      <c r="H107" s="10">
        <f t="shared" si="15"/>
        <v>-102.111718648252</v>
      </c>
      <c r="I107" s="10">
        <f t="shared" si="16"/>
        <v>0</v>
      </c>
    </row>
    <row r="108" spans="1:9" ht="15" x14ac:dyDescent="0.25">
      <c r="A108" t="str">
        <f>'Weekly history'!A106</f>
        <v>2025-10-27</v>
      </c>
      <c r="B108" s="10">
        <f>'Weekly history'!G106</f>
        <v>276.665106915827</v>
      </c>
      <c r="C108" s="10">
        <f>'Weekly history'!E106</f>
        <v>264.1</v>
      </c>
      <c r="D108" s="10">
        <f t="shared" si="17"/>
        <v>78.5122566446972</v>
      </c>
      <c r="E108" s="10">
        <f t="shared" si="12"/>
        <v>91.0773635605241</v>
      </c>
      <c r="F108" s="10">
        <f t="shared" si="13"/>
        <v>358.611718648252</v>
      </c>
      <c r="G108" s="15">
        <f t="shared" si="14"/>
        <v>0.73645111485898</v>
      </c>
      <c r="H108" s="10">
        <f t="shared" si="15"/>
        <v>-94.5117186482518</v>
      </c>
      <c r="I108" s="10">
        <f t="shared" si="16"/>
        <v>0</v>
      </c>
    </row>
    <row r="109" spans="1:9" ht="15" x14ac:dyDescent="0.25">
      <c r="A109" t="str">
        <f>'Weekly history'!A107</f>
        <v>2025-11-03</v>
      </c>
      <c r="B109" s="10">
        <f>'Weekly history'!G107</f>
        <v>214.135131831248</v>
      </c>
      <c r="C109" s="10">
        <f>'Weekly history'!E107</f>
        <v>231.3</v>
      </c>
      <c r="D109" s="10">
        <f t="shared" si="17"/>
        <v>91.0773635605241</v>
      </c>
      <c r="E109" s="10">
        <f t="shared" ref="E109:E117" si="18">MAX(0,D109+B109-C109)</f>
        <v>73.9124953917719</v>
      </c>
      <c r="F109" s="10">
        <f t="shared" ref="F109:F117" si="19">$B$7</f>
        <v>358.611718648252</v>
      </c>
      <c r="G109" s="15">
        <f t="shared" ref="G109:G117" si="20">IF(F109=0,"",C109/F109)</f>
        <v>0.644987288401674</v>
      </c>
      <c r="H109" s="10">
        <f t="shared" ref="H109:H117" si="21">C109-F109</f>
        <v>-127.311718648252</v>
      </c>
      <c r="I109" s="10">
        <f t="shared" ref="I109:I117" si="22">MAX(0,C109-D109-B109)</f>
        <v>0</v>
      </c>
    </row>
    <row r="110" spans="1:9" ht="15" x14ac:dyDescent="0.25">
      <c r="A110" t="str">
        <f>'Weekly history'!A108</f>
        <v>2025-11-10</v>
      </c>
      <c r="B110" s="10">
        <f>'Weekly history'!G108</f>
        <v>311.915414484844</v>
      </c>
      <c r="C110" s="10">
        <f>'Weekly history'!E108</f>
        <v>234.6</v>
      </c>
      <c r="D110" s="10">
        <f t="shared" ref="D110:D117" si="23">E109</f>
        <v>73.9124953917719</v>
      </c>
      <c r="E110" s="10">
        <f t="shared" si="18"/>
        <v>151.227909876616</v>
      </c>
      <c r="F110" s="10">
        <f t="shared" si="19"/>
        <v>358.611718648252</v>
      </c>
      <c r="G110" s="15">
        <f t="shared" si="20"/>
        <v>0.654189441673293</v>
      </c>
      <c r="H110" s="10">
        <f t="shared" si="21"/>
        <v>-124.011718648252</v>
      </c>
      <c r="I110" s="10">
        <f t="shared" si="22"/>
        <v>0</v>
      </c>
    </row>
    <row r="111" spans="1:9" ht="15" x14ac:dyDescent="0.25">
      <c r="A111" t="str">
        <f>'Weekly history'!A109</f>
        <v>2025-11-17</v>
      </c>
      <c r="B111" s="10">
        <f>'Weekly history'!G109</f>
        <v>214.605917249336</v>
      </c>
      <c r="C111" s="10">
        <f>'Weekly history'!E109</f>
        <v>202</v>
      </c>
      <c r="D111" s="10">
        <f t="shared" si="23"/>
        <v>151.227909876616</v>
      </c>
      <c r="E111" s="10">
        <f t="shared" si="18"/>
        <v>163.833827125952</v>
      </c>
      <c r="F111" s="10">
        <f t="shared" si="19"/>
        <v>358.611718648252</v>
      </c>
      <c r="G111" s="15">
        <f t="shared" si="20"/>
        <v>0.563283321474873</v>
      </c>
      <c r="H111" s="10">
        <f t="shared" si="21"/>
        <v>-156.611718648252</v>
      </c>
      <c r="I111" s="10">
        <f t="shared" si="22"/>
        <v>0</v>
      </c>
    </row>
    <row r="112" spans="1:9" ht="15" x14ac:dyDescent="0.25">
      <c r="A112" t="str">
        <f>'Weekly history'!A110</f>
        <v>2025-11-24</v>
      </c>
      <c r="B112" s="10">
        <f>'Weekly history'!G110</f>
        <v>223.813681101622</v>
      </c>
      <c r="C112" s="10">
        <f>'Weekly history'!E110</f>
        <v>243.5</v>
      </c>
      <c r="D112" s="10">
        <f t="shared" si="23"/>
        <v>163.833827125952</v>
      </c>
      <c r="E112" s="10">
        <f t="shared" si="18"/>
        <v>144.147508227574</v>
      </c>
      <c r="F112" s="10">
        <f t="shared" si="19"/>
        <v>358.611718648252</v>
      </c>
      <c r="G112" s="15">
        <f t="shared" si="20"/>
        <v>0.679007370193721</v>
      </c>
      <c r="H112" s="10">
        <f t="shared" si="21"/>
        <v>-115.111718648252</v>
      </c>
      <c r="I112" s="10">
        <f t="shared" si="22"/>
        <v>0</v>
      </c>
    </row>
    <row r="113" spans="1:9" ht="15" x14ac:dyDescent="0.25">
      <c r="A113" t="str">
        <f>'Weekly history'!A111</f>
        <v>2025-12-01</v>
      </c>
      <c r="B113" s="10">
        <f>'Weekly history'!G111</f>
        <v>221.911166363284</v>
      </c>
      <c r="C113" s="10">
        <f>'Weekly history'!E111</f>
        <v>174.6</v>
      </c>
      <c r="D113" s="10">
        <f t="shared" si="23"/>
        <v>144.147508227574</v>
      </c>
      <c r="E113" s="10">
        <f t="shared" si="18"/>
        <v>191.458674590858</v>
      </c>
      <c r="F113" s="10">
        <f t="shared" si="19"/>
        <v>358.611718648252</v>
      </c>
      <c r="G113" s="15">
        <f t="shared" si="20"/>
        <v>0.486877564007489</v>
      </c>
      <c r="H113" s="10">
        <f t="shared" si="21"/>
        <v>-184.011718648252</v>
      </c>
      <c r="I113" s="10">
        <f t="shared" si="22"/>
        <v>0</v>
      </c>
    </row>
    <row r="114" spans="1:9" ht="15" x14ac:dyDescent="0.25">
      <c r="A114" t="str">
        <f>'Weekly history'!A112</f>
        <v>2025-12-08</v>
      </c>
      <c r="B114" s="10">
        <f>'Weekly history'!G112</f>
        <v>201.522536343297</v>
      </c>
      <c r="C114" s="10">
        <f>'Weekly history'!E112</f>
        <v>264.9</v>
      </c>
      <c r="D114" s="10">
        <f t="shared" si="23"/>
        <v>191.458674590858</v>
      </c>
      <c r="E114" s="10">
        <f t="shared" si="18"/>
        <v>128.081210934155</v>
      </c>
      <c r="F114" s="10">
        <f t="shared" si="19"/>
        <v>358.611718648252</v>
      </c>
      <c r="G114" s="15">
        <f t="shared" si="20"/>
        <v>0.738681939894524</v>
      </c>
      <c r="H114" s="10">
        <f t="shared" si="21"/>
        <v>-93.7117186482519</v>
      </c>
      <c r="I114" s="10">
        <f t="shared" si="22"/>
        <v>0</v>
      </c>
    </row>
    <row r="115" spans="1:9" ht="15" x14ac:dyDescent="0.25">
      <c r="A115" t="str">
        <f>'Weekly history'!A113</f>
        <v>2025-12-15</v>
      </c>
      <c r="B115" s="10">
        <f>'Weekly history'!G113</f>
        <v>244.801564639177</v>
      </c>
      <c r="C115" s="10">
        <f>'Weekly history'!E113</f>
        <v>238.3</v>
      </c>
      <c r="D115" s="10">
        <f t="shared" si="23"/>
        <v>128.081210934155</v>
      </c>
      <c r="E115" s="10">
        <f t="shared" si="18"/>
        <v>134.582775573331</v>
      </c>
      <c r="F115" s="10">
        <f t="shared" si="19"/>
        <v>358.611718648252</v>
      </c>
      <c r="G115" s="15">
        <f t="shared" si="20"/>
        <v>0.664507007462685</v>
      </c>
      <c r="H115" s="10">
        <f t="shared" si="21"/>
        <v>-120.311718648252</v>
      </c>
      <c r="I115" s="10">
        <f t="shared" si="22"/>
        <v>0</v>
      </c>
    </row>
    <row r="116" spans="1:9" ht="15" x14ac:dyDescent="0.25">
      <c r="A116" t="str">
        <f>'Weekly history'!A114</f>
        <v>2025-12-22</v>
      </c>
      <c r="B116" s="10">
        <f>'Weekly history'!G114</f>
        <v>355.611088468778</v>
      </c>
      <c r="C116" s="10">
        <f>'Weekly history'!E114</f>
        <v>310.1</v>
      </c>
      <c r="D116" s="10">
        <f t="shared" si="23"/>
        <v>134.582775573331</v>
      </c>
      <c r="E116" s="10">
        <f t="shared" si="18"/>
        <v>180.09386404211</v>
      </c>
      <c r="F116" s="10">
        <f t="shared" si="19"/>
        <v>358.611718648252</v>
      </c>
      <c r="G116" s="15">
        <f t="shared" si="20"/>
        <v>0.864723554402763</v>
      </c>
      <c r="H116" s="10">
        <f t="shared" si="21"/>
        <v>-48.5117186482518</v>
      </c>
      <c r="I116" s="10">
        <f t="shared" si="22"/>
        <v>0</v>
      </c>
    </row>
    <row r="117" spans="1:9" ht="15" x14ac:dyDescent="0.25">
      <c r="A117" t="str">
        <f>'Weekly history'!A115</f>
        <v>2025-12-29</v>
      </c>
      <c r="B117" s="10">
        <f>'Weekly history'!G115</f>
        <v>184.355333178797</v>
      </c>
      <c r="C117" s="10">
        <f>'Weekly history'!E115</f>
        <v>317</v>
      </c>
      <c r="D117" s="10">
        <f t="shared" si="23"/>
        <v>180.09386404211</v>
      </c>
      <c r="E117" s="10">
        <f t="shared" si="18"/>
        <v>47.449197220907</v>
      </c>
      <c r="F117" s="10">
        <f t="shared" si="19"/>
        <v>358.611718648252</v>
      </c>
      <c r="G117" s="15">
        <f t="shared" si="20"/>
        <v>0.883964420334331</v>
      </c>
      <c r="H117" s="10">
        <f t="shared" si="21"/>
        <v>-41.6117186482518</v>
      </c>
      <c r="I117" s="10">
        <f t="shared" si="22"/>
        <v>0</v>
      </c>
    </row>
    <row r="119" spans="1:9" x14ac:dyDescent="0.2">
      <c r="A119" s="11" t="s">
        <v>9470</v>
      </c>
    </row>
    <row r="121" spans="1:9" x14ac:dyDescent="0.2">
      <c r="A121" s="7" t="s">
        <v>9471</v>
      </c>
      <c r="B121" s="7" t="s">
        <v>9472</v>
      </c>
      <c r="C121" s="7" t="s">
        <v>9473</v>
      </c>
      <c r="D121" s="7" t="s">
        <v>9474</v>
      </c>
      <c r="E121" s="7" t="s">
        <v>9475</v>
      </c>
    </row>
    <row r="122" spans="1:9" ht="15" x14ac:dyDescent="0.25">
      <c r="A122" t="s">
        <v>129</v>
      </c>
      <c r="B122" s="14">
        <v>2</v>
      </c>
      <c r="C122" s="10">
        <f>B122*$B$6*SUMIFS(tblTechnicians[Availability factor],tblTechnicians[Primary skill],A122)/COUNTIFS(tblTechnicians[Primary skill],A122)</f>
        <v>65.200789992282</v>
      </c>
      <c r="D122" s="10">
        <f>SUMIFS(tblLaborEntries[Hours booked],tblLaborEntries[Skill booked],A122)/COUNTA('Weekly history'!$A$11:$A$115)</f>
        <v>48.6285714285714</v>
      </c>
      <c r="E122" s="15">
        <f t="shared" ref="E122:E127" si="24">IF(C122=0,"",D122/C122)</f>
        <v>0.745827948316695</v>
      </c>
    </row>
    <row r="123" spans="1:9" ht="15" x14ac:dyDescent="0.25">
      <c r="A123" t="s">
        <v>138</v>
      </c>
      <c r="B123" s="14">
        <v>3</v>
      </c>
      <c r="C123" s="10">
        <f>B123*$B$6*SUMIFS(tblTechnicians[Availability factor],tblTechnicians[Primary skill],A123)/COUNTIFS(tblTechnicians[Primary skill],A123)</f>
        <v>96.752919313197</v>
      </c>
      <c r="D123" s="10">
        <f>SUMIFS(tblLaborEntries[Hours booked],tblLaborEntries[Skill booked],A123)/COUNTA('Weekly history'!$A$11:$A$115)</f>
        <v>82.3066666666667</v>
      </c>
      <c r="E123" s="15">
        <f t="shared" si="24"/>
        <v>0.85068923243787</v>
      </c>
    </row>
    <row r="124" spans="1:9" ht="15" x14ac:dyDescent="0.25">
      <c r="A124" t="s">
        <v>273</v>
      </c>
      <c r="B124" s="14">
        <v>1</v>
      </c>
      <c r="C124" s="10">
        <f>B124*$B$6*SUMIFS(tblTechnicians[Availability factor],tblTechnicians[Primary skill],A124)/COUNTIFS(tblTechnicians[Primary skill],A124)</f>
        <v>32.6635116654138</v>
      </c>
      <c r="D124" s="10">
        <f>SUMIFS(tblLaborEntries[Hours booked],tblLaborEntries[Skill booked],A124)/COUNTA('Weekly history'!$A$11:$A$115)</f>
        <v>24.3342857142857</v>
      </c>
      <c r="E124" s="15">
        <f t="shared" si="24"/>
        <v>0.744999066957409</v>
      </c>
    </row>
    <row r="125" spans="1:9" ht="15" x14ac:dyDescent="0.25">
      <c r="A125" t="s">
        <v>146</v>
      </c>
      <c r="B125" s="14">
        <v>1</v>
      </c>
      <c r="C125" s="10">
        <f>B125*$B$6*SUMIFS(tblTechnicians[Availability factor],tblTechnicians[Primary skill],A125)/COUNTIFS(tblTechnicians[Primary skill],A125)</f>
        <v>32.3491048129132</v>
      </c>
      <c r="D125" s="10">
        <f>SUMIFS(tblLaborEntries[Hours booked],tblLaborEntries[Skill booked],A125)/COUNTA('Weekly history'!$A$11:$A$115)</f>
        <v>26.9714285714286</v>
      </c>
      <c r="E125" s="15">
        <f t="shared" si="24"/>
        <v>0.833761203823546</v>
      </c>
    </row>
    <row r="126" spans="1:9" ht="15" x14ac:dyDescent="0.25">
      <c r="A126" t="s">
        <v>154</v>
      </c>
      <c r="B126" s="14">
        <v>2</v>
      </c>
      <c r="C126" s="10">
        <f>B126*$B$6*SUMIFS(tblTechnicians[Availability factor],tblTechnicians[Primary skill],A126)/COUNTIFS(tblTechnicians[Primary skill],A126)</f>
        <v>67.4030480171243</v>
      </c>
      <c r="D126" s="10">
        <f>SUMIFS(tblLaborEntries[Hours booked],tblLaborEntries[Skill booked],A126)/COUNTA('Weekly history'!$A$11:$A$115)</f>
        <v>53.892380952381</v>
      </c>
      <c r="E126" s="15">
        <f t="shared" si="24"/>
        <v>0.799554063767103</v>
      </c>
    </row>
    <row r="127" spans="1:9" ht="15" x14ac:dyDescent="0.25">
      <c r="A127" t="s">
        <v>210</v>
      </c>
      <c r="B127" s="14">
        <v>2</v>
      </c>
      <c r="C127" s="10">
        <f>B127*$B$6*SUMIFS(tblTechnicians[Availability factor],tblTechnicians[Primary skill],A127)/COUNTIFS(tblTechnicians[Primary skill],A127)</f>
        <v>64.2423448473215</v>
      </c>
      <c r="D127" s="10">
        <f>SUMIFS(tblLaborEntries[Hours booked],tblLaborEntries[Skill booked],A127)/COUNTA('Weekly history'!$A$11:$A$115)</f>
        <v>43.4009523809524</v>
      </c>
      <c r="E127" s="15">
        <f t="shared" si="24"/>
        <v>0.67558169746293</v>
      </c>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G32"/>
  <sheetViews>
    <sheetView showGridLines="0" zoomScaleNormal="100" workbookViewId="0">
      <selection activeCell="E6" sqref="E6"/>
    </sheetView>
  </sheetViews>
  <sheetFormatPr defaultColWidth="8.7109375" defaultRowHeight="12.75" x14ac:dyDescent="0.2"/>
  <cols>
    <col min="1" max="1" width="34" customWidth="1"/>
    <col min="2" max="2" width="21" customWidth="1"/>
    <col min="3" max="3" width="23" customWidth="1"/>
    <col min="4" max="4" width="34" customWidth="1"/>
    <col min="5" max="5" width="36" customWidth="1"/>
    <col min="6" max="7" width="25" customWidth="1"/>
  </cols>
  <sheetData>
    <row r="2" spans="1:7" ht="19.5" x14ac:dyDescent="0.3">
      <c r="A2" s="1" t="s">
        <v>9476</v>
      </c>
    </row>
    <row r="4" spans="1:7" x14ac:dyDescent="0.2">
      <c r="A4" s="7" t="s">
        <v>9477</v>
      </c>
      <c r="B4" s="7" t="s">
        <v>68</v>
      </c>
      <c r="D4" s="7" t="s">
        <v>3</v>
      </c>
      <c r="E4" s="7" t="s">
        <v>9453</v>
      </c>
      <c r="F4" s="7" t="s">
        <v>9478</v>
      </c>
      <c r="G4" s="7" t="s">
        <v>9479</v>
      </c>
    </row>
    <row r="5" spans="1:7" ht="15" x14ac:dyDescent="0.25">
      <c r="A5" s="2" t="s">
        <v>91</v>
      </c>
      <c r="B5" s="14" t="s">
        <v>209</v>
      </c>
      <c r="D5" t="s">
        <v>84</v>
      </c>
      <c r="E5">
        <f>COUNTIFS(tblWorkPackages[Time split],"Validation H1")</f>
        <v>648</v>
      </c>
      <c r="F5" s="16">
        <f>AVERAGEIFS(tblWorkPackages[Absolute estimate error],tblWorkPackages[Time split],"Validation H1")</f>
        <v>2.1304012345679</v>
      </c>
      <c r="G5" s="16">
        <f>SUMIFS(tblWorkPackages[Calibrated absolute error],tblWorkPackages[Time split],"Validation H1")/E5</f>
        <v>2.05094032274814</v>
      </c>
    </row>
    <row r="6" spans="1:7" ht="15" x14ac:dyDescent="0.25">
      <c r="A6" s="2" t="s">
        <v>9480</v>
      </c>
      <c r="B6" s="17">
        <v>20</v>
      </c>
      <c r="D6" t="s">
        <v>85</v>
      </c>
      <c r="E6">
        <f>COUNTIFS(tblWorkPackages[Time split],"Holdout H2")</f>
        <v>613</v>
      </c>
      <c r="F6" s="16">
        <f>AVERAGEIFS(tblWorkPackages[Absolute estimate error],tblWorkPackages[Time split],"Holdout H2")</f>
        <v>1.75432300163132</v>
      </c>
      <c r="G6" s="16">
        <f>SUMIFS(tblWorkPackages[Calibrated absolute error],tblWorkPackages[Time split],"Holdout H2")/E6</f>
        <v>1.68247666201701</v>
      </c>
    </row>
    <row r="7" spans="1:7" ht="15" x14ac:dyDescent="0.25">
      <c r="A7" s="2" t="s">
        <v>9481</v>
      </c>
      <c r="B7" s="16">
        <f>VLOOKUP(B5,$A$14:$E$25,5,FALSE())</f>
        <v>1.79565217391304</v>
      </c>
    </row>
    <row r="8" spans="1:7" ht="15" x14ac:dyDescent="0.25">
      <c r="A8" s="2" t="s">
        <v>106</v>
      </c>
      <c r="B8" s="16">
        <f>B6+B7</f>
        <v>21.795652173913</v>
      </c>
      <c r="D8" s="11" t="s">
        <v>9482</v>
      </c>
    </row>
    <row r="11" spans="1:7" ht="15" x14ac:dyDescent="0.25">
      <c r="A11" s="18" t="s">
        <v>9483</v>
      </c>
    </row>
    <row r="13" spans="1:7" x14ac:dyDescent="0.2">
      <c r="A13" s="7" t="s">
        <v>91</v>
      </c>
      <c r="B13" s="7" t="str">
        <v>Complete by Jan 1</v>
      </c>
      <c r="C13" s="7" t="str">
        <v>Additional complete by Jul 1</v>
      </c>
      <c r="D13" s="7" t="str">
        <v>Jan 1 task adjustment (hours)</v>
      </c>
      <c r="E13" s="7" t="str">
        <v>Jul 1 task adjustment (hours)</v>
      </c>
    </row>
    <row r="14" spans="1:7" x14ac:dyDescent="0.2">
      <c r="A14" s="3" t="str">
        <f>'Task rules'!A2</f>
        <v>Preflight inspection</v>
      </c>
      <c r="B14" s="3">
        <f>COUNTIFS(tblWorkPackages[Task type],A14,tblWorkPackages[Request date serial],"&lt;"&amp;ValidationStart,tblWorkPackages[Completion date serial],"&lt;"&amp;ValidationStart)</f>
        <v>101</v>
      </c>
      <c r="C14" s="3">
        <f>COUNTIFS(tblWorkPackages[Task type],A14,tblWorkPackages[Request date serial],"&lt;"&amp;HoldoutStart,tblWorkPackages[Completion date serial],"&gt;="&amp;ValidationStart,tblWorkPackages[Completion date serial],"&lt;"&amp;HoldoutStart)</f>
        <v>58</v>
      </c>
      <c r="D14" s="12">
        <f>IF(B14=0,0,SUMIFS(tblWorkPackages[Actual less estimate],tblWorkPackages[Task type],A14,tblWorkPackages[Request date serial],"&lt;"&amp;ValidationStart,tblWorkPackages[Completion date serial],"&lt;"&amp;ValidationStart)/B14)</f>
        <v>0.330693069306931</v>
      </c>
      <c r="E14" s="12">
        <f>IF(B14+C14=0,0,SUMIFS(tblWorkPackages[Actual less estimate],tblWorkPackages[Task type],A14,tblWorkPackages[Request date serial],"&lt;"&amp;HoldoutStart,tblWorkPackages[Completion date serial],"&lt;"&amp;HoldoutStart)/(B14+C14))</f>
        <v>0.328930817610063</v>
      </c>
    </row>
    <row r="15" spans="1:7" x14ac:dyDescent="0.2">
      <c r="A15" s="3" t="str">
        <f>'Task rules'!A3</f>
        <v>Postflight discrepancy review</v>
      </c>
      <c r="B15" s="3">
        <f>COUNTIFS(tblWorkPackages[Task type],A15,tblWorkPackages[Request date serial],"&lt;"&amp;ValidationStart,tblWorkPackages[Completion date serial],"&lt;"&amp;ValidationStart)</f>
        <v>82</v>
      </c>
      <c r="C15" s="3">
        <f>COUNTIFS(tblWorkPackages[Task type],A15,tblWorkPackages[Request date serial],"&lt;"&amp;HoldoutStart,tblWorkPackages[Completion date serial],"&gt;="&amp;ValidationStart,tblWorkPackages[Completion date serial],"&lt;"&amp;HoldoutStart)</f>
        <v>41</v>
      </c>
      <c r="D15" s="12">
        <f>IF(B15=0,0,SUMIFS(tblWorkPackages[Actual less estimate],tblWorkPackages[Task type],A15,tblWorkPackages[Request date serial],"&lt;"&amp;ValidationStart,tblWorkPackages[Completion date serial],"&lt;"&amp;ValidationStart)/B15)</f>
        <v>0.441463414634146</v>
      </c>
      <c r="E15" s="12">
        <f>IF(B15+C15=0,0,SUMIFS(tblWorkPackages[Actual less estimate],tblWorkPackages[Task type],A15,tblWorkPackages[Request date serial],"&lt;"&amp;HoldoutStart,tblWorkPackages[Completion date serial],"&lt;"&amp;HoldoutStart)/(B15+C15))</f>
        <v>0.43739837398374</v>
      </c>
    </row>
    <row r="16" spans="1:7" x14ac:dyDescent="0.2">
      <c r="A16" s="3" t="str">
        <f>'Task rules'!A4</f>
        <v>Instrumentation installation</v>
      </c>
      <c r="B16" s="3">
        <f>COUNTIFS(tblWorkPackages[Task type],A16,tblWorkPackages[Request date serial],"&lt;"&amp;ValidationStart,tblWorkPackages[Completion date serial],"&lt;"&amp;ValidationStart)</f>
        <v>98</v>
      </c>
      <c r="C16" s="3">
        <f>COUNTIFS(tblWorkPackages[Task type],A16,tblWorkPackages[Request date serial],"&lt;"&amp;HoldoutStart,tblWorkPackages[Completion date serial],"&gt;="&amp;ValidationStart,tblWorkPackages[Completion date serial],"&lt;"&amp;HoldoutStart)</f>
        <v>61</v>
      </c>
      <c r="D16" s="12">
        <f>IF(B16=0,0,SUMIFS(tblWorkPackages[Actual less estimate],tblWorkPackages[Task type],A16,tblWorkPackages[Request date serial],"&lt;"&amp;ValidationStart,tblWorkPackages[Completion date serial],"&lt;"&amp;ValidationStart)/B16)</f>
        <v>0.876530612244898</v>
      </c>
      <c r="E16" s="12">
        <f>IF(B16+C16=0,0,SUMIFS(tblWorkPackages[Actual less estimate],tblWorkPackages[Task type],A16,tblWorkPackages[Request date serial],"&lt;"&amp;HoldoutStart,tblWorkPackages[Completion date serial],"&lt;"&amp;HoldoutStart)/(B16+C16))</f>
        <v>0.920754716981132</v>
      </c>
    </row>
    <row r="17" spans="1:5" x14ac:dyDescent="0.2">
      <c r="A17" s="3" t="str">
        <f>'Task rules'!A5</f>
        <v>Sensor calibration</v>
      </c>
      <c r="B17" s="3">
        <f>COUNTIFS(tblWorkPackages[Task type],A17,tblWorkPackages[Request date serial],"&lt;"&amp;ValidationStart,tblWorkPackages[Completion date serial],"&lt;"&amp;ValidationStart)</f>
        <v>88</v>
      </c>
      <c r="C17" s="3">
        <f>COUNTIFS(tblWorkPackages[Task type],A17,tblWorkPackages[Request date serial],"&lt;"&amp;HoldoutStart,tblWorkPackages[Completion date serial],"&gt;="&amp;ValidationStart,tblWorkPackages[Completion date serial],"&lt;"&amp;HoldoutStart)</f>
        <v>55</v>
      </c>
      <c r="D17" s="12">
        <f>IF(B17=0,0,SUMIFS(tblWorkPackages[Actual less estimate],tblWorkPackages[Task type],A17,tblWorkPackages[Request date serial],"&lt;"&amp;ValidationStart,tblWorkPackages[Completion date serial],"&lt;"&amp;ValidationStart)/B17)</f>
        <v>0.584090909090909</v>
      </c>
      <c r="E17" s="12">
        <f>IF(B17+C17=0,0,SUMIFS(tblWorkPackages[Actual less estimate],tblWorkPackages[Task type],A17,tblWorkPackages[Request date serial],"&lt;"&amp;HoldoutStart,tblWorkPackages[Completion date serial],"&lt;"&amp;HoldoutStart)/(B17+C17))</f>
        <v>0.591608391608392</v>
      </c>
    </row>
    <row r="18" spans="1:5" x14ac:dyDescent="0.2">
      <c r="A18" s="3" t="str">
        <f>'Task rules'!A6</f>
        <v>Hydraulic leak diagnosis</v>
      </c>
      <c r="B18" s="3">
        <f>COUNTIFS(tblWorkPackages[Task type],A18,tblWorkPackages[Request date serial],"&lt;"&amp;ValidationStart,tblWorkPackages[Completion date serial],"&lt;"&amp;ValidationStart)</f>
        <v>95</v>
      </c>
      <c r="C18" s="3">
        <f>COUNTIFS(tblWorkPackages[Task type],A18,tblWorkPackages[Request date serial],"&lt;"&amp;HoldoutStart,tblWorkPackages[Completion date serial],"&gt;="&amp;ValidationStart,tblWorkPackages[Completion date serial],"&lt;"&amp;HoldoutStart)</f>
        <v>60</v>
      </c>
      <c r="D18" s="12">
        <f>IF(B18=0,0,SUMIFS(tblWorkPackages[Actual less estimate],tblWorkPackages[Task type],A18,tblWorkPackages[Request date serial],"&lt;"&amp;ValidationStart,tblWorkPackages[Completion date serial],"&lt;"&amp;ValidationStart)/B18)</f>
        <v>0.754736842105263</v>
      </c>
      <c r="E18" s="12">
        <f>IF(B18+C18=0,0,SUMIFS(tblWorkPackages[Actual less estimate],tblWorkPackages[Task type],A18,tblWorkPackages[Request date serial],"&lt;"&amp;HoldoutStart,tblWorkPackages[Completion date serial],"&lt;"&amp;HoldoutStart)/(B18+C18))</f>
        <v>0.973548387096774</v>
      </c>
    </row>
    <row r="19" spans="1:5" x14ac:dyDescent="0.2">
      <c r="A19" s="3" t="str">
        <f>'Task rules'!A7</f>
        <v>Electrical fault isolation</v>
      </c>
      <c r="B19" s="3">
        <f>COUNTIFS(tblWorkPackages[Task type],A19,tblWorkPackages[Request date serial],"&lt;"&amp;ValidationStart,tblWorkPackages[Completion date serial],"&lt;"&amp;ValidationStart)</f>
        <v>78</v>
      </c>
      <c r="C19" s="3">
        <f>COUNTIFS(tblWorkPackages[Task type],A19,tblWorkPackages[Request date serial],"&lt;"&amp;HoldoutStart,tblWorkPackages[Completion date serial],"&gt;="&amp;ValidationStart,tblWorkPackages[Completion date serial],"&lt;"&amp;HoldoutStart)</f>
        <v>50</v>
      </c>
      <c r="D19" s="12">
        <f>IF(B19=0,0,SUMIFS(tblWorkPackages[Actual less estimate],tblWorkPackages[Task type],A19,tblWorkPackages[Request date serial],"&lt;"&amp;ValidationStart,tblWorkPackages[Completion date serial],"&lt;"&amp;ValidationStart)/B19)</f>
        <v>1.03205128205128</v>
      </c>
      <c r="E19" s="12">
        <f>IF(B19+C19=0,0,SUMIFS(tblWorkPackages[Actual less estimate],tblWorkPackages[Task type],A19,tblWorkPackages[Request date serial],"&lt;"&amp;HoldoutStart,tblWorkPackages[Completion date serial],"&lt;"&amp;HoldoutStart)/(B19+C19))</f>
        <v>0.98515625</v>
      </c>
    </row>
    <row r="20" spans="1:5" x14ac:dyDescent="0.2">
      <c r="A20" s="3" t="str">
        <f>'Task rules'!A8</f>
        <v>Flight control inspection</v>
      </c>
      <c r="B20" s="3">
        <f>COUNTIFS(tblWorkPackages[Task type],A20,tblWorkPackages[Request date serial],"&lt;"&amp;ValidationStart,tblWorkPackages[Completion date serial],"&lt;"&amp;ValidationStart)</f>
        <v>78</v>
      </c>
      <c r="C20" s="3">
        <f>COUNTIFS(tblWorkPackages[Task type],A20,tblWorkPackages[Request date serial],"&lt;"&amp;HoldoutStart,tblWorkPackages[Completion date serial],"&gt;="&amp;ValidationStart,tblWorkPackages[Completion date serial],"&lt;"&amp;HoldoutStart)</f>
        <v>51</v>
      </c>
      <c r="D20" s="12">
        <f>IF(B20=0,0,SUMIFS(tblWorkPackages[Actual less estimate],tblWorkPackages[Task type],A20,tblWorkPackages[Request date serial],"&lt;"&amp;ValidationStart,tblWorkPackages[Completion date serial],"&lt;"&amp;ValidationStart)/B20)</f>
        <v>0.475641025641025</v>
      </c>
      <c r="E20" s="12">
        <f>IF(B20+C20=0,0,SUMIFS(tblWorkPackages[Actual less estimate],tblWorkPackages[Task type],A20,tblWorkPackages[Request date serial],"&lt;"&amp;HoldoutStart,tblWorkPackages[Completion date serial],"&lt;"&amp;HoldoutStart)/(B20+C20))</f>
        <v>0.543410852713178</v>
      </c>
    </row>
    <row r="21" spans="1:5" x14ac:dyDescent="0.2">
      <c r="A21" s="3" t="str">
        <f>'Task rules'!A9</f>
        <v>Structural repair</v>
      </c>
      <c r="B21" s="3">
        <f>COUNTIFS(tblWorkPackages[Task type],A21,tblWorkPackages[Request date serial],"&lt;"&amp;ValidationStart,tblWorkPackages[Completion date serial],"&lt;"&amp;ValidationStart)</f>
        <v>67</v>
      </c>
      <c r="C21" s="3">
        <f>COUNTIFS(tblWorkPackages[Task type],A21,tblWorkPackages[Request date serial],"&lt;"&amp;HoldoutStart,tblWorkPackages[Completion date serial],"&gt;="&amp;ValidationStart,tblWorkPackages[Completion date serial],"&lt;"&amp;HoldoutStart)</f>
        <v>48</v>
      </c>
      <c r="D21" s="12">
        <f>IF(B21=0,0,SUMIFS(tblWorkPackages[Actual less estimate],tblWorkPackages[Task type],A21,tblWorkPackages[Request date serial],"&lt;"&amp;ValidationStart,tblWorkPackages[Completion date serial],"&lt;"&amp;ValidationStart)/B21)</f>
        <v>1.10298507462687</v>
      </c>
      <c r="E21" s="12">
        <f>IF(B21+C21=0,0,SUMIFS(tblWorkPackages[Actual less estimate],tblWorkPackages[Task type],A21,tblWorkPackages[Request date serial],"&lt;"&amp;HoldoutStart,tblWorkPackages[Completion date serial],"&lt;"&amp;HoldoutStart)/(B21+C21))</f>
        <v>1.79565217391304</v>
      </c>
    </row>
    <row r="22" spans="1:5" x14ac:dyDescent="0.2">
      <c r="A22" s="3" t="str">
        <f>'Task rules'!A10</f>
        <v>Software/configuration check</v>
      </c>
      <c r="B22" s="3">
        <f>COUNTIFS(tblWorkPackages[Task type],A22,tblWorkPackages[Request date serial],"&lt;"&amp;ValidationStart,tblWorkPackages[Completion date serial],"&lt;"&amp;ValidationStart)</f>
        <v>108</v>
      </c>
      <c r="C22" s="3">
        <f>COUNTIFS(tblWorkPackages[Task type],A22,tblWorkPackages[Request date serial],"&lt;"&amp;HoldoutStart,tblWorkPackages[Completion date serial],"&gt;="&amp;ValidationStart,tblWorkPackages[Completion date serial],"&lt;"&amp;HoldoutStart)</f>
        <v>52</v>
      </c>
      <c r="D22" s="12">
        <f>IF(B22=0,0,SUMIFS(tblWorkPackages[Actual less estimate],tblWorkPackages[Task type],A22,tblWorkPackages[Request date serial],"&lt;"&amp;ValidationStart,tblWorkPackages[Completion date serial],"&lt;"&amp;ValidationStart)/B22)</f>
        <v>0.503703703703704</v>
      </c>
      <c r="E22" s="12">
        <f>IF(B22+C22=0,0,SUMIFS(tblWorkPackages[Actual less estimate],tblWorkPackages[Task type],A22,tblWorkPackages[Request date serial],"&lt;"&amp;HoldoutStart,tblWorkPackages[Completion date serial],"&lt;"&amp;HoldoutStart)/(B22+C22))</f>
        <v>0.453125</v>
      </c>
    </row>
    <row r="23" spans="1:5" x14ac:dyDescent="0.2">
      <c r="A23" s="3" t="str">
        <f>'Task rules'!A11</f>
        <v>Scheduled system service</v>
      </c>
      <c r="B23" s="3">
        <f>COUNTIFS(tblWorkPackages[Task type],A23,tblWorkPackages[Request date serial],"&lt;"&amp;ValidationStart,tblWorkPackages[Completion date serial],"&lt;"&amp;ValidationStart)</f>
        <v>98</v>
      </c>
      <c r="C23" s="3">
        <f>COUNTIFS(tblWorkPackages[Task type],A23,tblWorkPackages[Request date serial],"&lt;"&amp;HoldoutStart,tblWorkPackages[Completion date serial],"&gt;="&amp;ValidationStart,tblWorkPackages[Completion date serial],"&lt;"&amp;HoldoutStart)</f>
        <v>67</v>
      </c>
      <c r="D23" s="12">
        <f>IF(B23=0,0,SUMIFS(tblWorkPackages[Actual less estimate],tblWorkPackages[Task type],A23,tblWorkPackages[Request date serial],"&lt;"&amp;ValidationStart,tblWorkPackages[Completion date serial],"&lt;"&amp;ValidationStart)/B23)</f>
        <v>0.556122448979592</v>
      </c>
      <c r="E23" s="12">
        <f>IF(B23+C23=0,0,SUMIFS(tblWorkPackages[Actual less estimate],tblWorkPackages[Task type],A23,tblWorkPackages[Request date serial],"&lt;"&amp;HoldoutStart,tblWorkPackages[Completion date serial],"&lt;"&amp;HoldoutStart)/(B23+C23))</f>
        <v>0.825454545454545</v>
      </c>
    </row>
    <row r="24" spans="1:5" x14ac:dyDescent="0.2">
      <c r="A24" s="3" t="str">
        <f>'Task rules'!A12</f>
        <v>Engine run support</v>
      </c>
      <c r="B24" s="3">
        <f>COUNTIFS(tblWorkPackages[Task type],A24,tblWorkPackages[Request date serial],"&lt;"&amp;ValidationStart,tblWorkPackages[Completion date serial],"&lt;"&amp;ValidationStart)</f>
        <v>91</v>
      </c>
      <c r="C24" s="3">
        <f>COUNTIFS(tblWorkPackages[Task type],A24,tblWorkPackages[Request date serial],"&lt;"&amp;HoldoutStart,tblWorkPackages[Completion date serial],"&gt;="&amp;ValidationStart,tblWorkPackages[Completion date serial],"&lt;"&amp;HoldoutStart)</f>
        <v>55</v>
      </c>
      <c r="D24" s="12">
        <f>IF(B24=0,0,SUMIFS(tblWorkPackages[Actual less estimate],tblWorkPackages[Task type],A24,tblWorkPackages[Request date serial],"&lt;"&amp;ValidationStart,tblWorkPackages[Completion date serial],"&lt;"&amp;ValidationStart)/B24)</f>
        <v>0.882417582417583</v>
      </c>
      <c r="E24" s="12">
        <f>IF(B24+C24=0,0,SUMIFS(tblWorkPackages[Actual less estimate],tblWorkPackages[Task type],A24,tblWorkPackages[Request date serial],"&lt;"&amp;HoldoutStart,tblWorkPackages[Completion date serial],"&lt;"&amp;HoldoutStart)/(B24+C24))</f>
        <v>0.924657534246576</v>
      </c>
    </row>
    <row r="25" spans="1:5" x14ac:dyDescent="0.2">
      <c r="A25" s="3" t="str">
        <f>'Task rules'!A13</f>
        <v>Fuel system inspection</v>
      </c>
      <c r="B25" s="3">
        <f>COUNTIFS(tblWorkPackages[Task type],A25,tblWorkPackages[Request date serial],"&lt;"&amp;ValidationStart,tblWorkPackages[Completion date serial],"&lt;"&amp;ValidationStart)</f>
        <v>106</v>
      </c>
      <c r="C25" s="3">
        <f>COUNTIFS(tblWorkPackages[Task type],A25,tblWorkPackages[Request date serial],"&lt;"&amp;HoldoutStart,tblWorkPackages[Completion date serial],"&gt;="&amp;ValidationStart,tblWorkPackages[Completion date serial],"&lt;"&amp;HoldoutStart)</f>
        <v>44</v>
      </c>
      <c r="D25" s="12">
        <f>IF(B25=0,0,SUMIFS(tblWorkPackages[Actual less estimate],tblWorkPackages[Task type],A25,tblWorkPackages[Request date serial],"&lt;"&amp;ValidationStart,tblWorkPackages[Completion date serial],"&lt;"&amp;ValidationStart)/B25)</f>
        <v>0.54622641509434</v>
      </c>
      <c r="E25" s="12">
        <f>IF(B25+C25=0,0,SUMIFS(tblWorkPackages[Actual less estimate],tblWorkPackages[Task type],A25,tblWorkPackages[Request date serial],"&lt;"&amp;HoldoutStart,tblWorkPackages[Completion date serial],"&lt;"&amp;HoldoutStart)/(B25+C25))</f>
        <v>0.602666666666667</v>
      </c>
    </row>
    <row r="27" spans="1:5" x14ac:dyDescent="0.2">
      <c r="A27" s="11" t="str">
        <v>Training includes only jobs completed before the forecast cutoff. Held-out outcomes do not train their predictions.</v>
      </c>
    </row>
    <row r="29" spans="1:5" ht="15" x14ac:dyDescent="0.25">
      <c r="A29" s="18" t="s">
        <v>9489</v>
      </c>
    </row>
    <row r="30" spans="1:5" x14ac:dyDescent="0.2">
      <c r="A30" s="2" t="s">
        <v>9490</v>
      </c>
      <c r="B30" s="19">
        <v>45658</v>
      </c>
    </row>
    <row r="31" spans="1:5" x14ac:dyDescent="0.2">
      <c r="A31" s="2" t="s">
        <v>9491</v>
      </c>
      <c r="B31" s="19">
        <v>45839</v>
      </c>
    </row>
    <row r="32" spans="1:5" x14ac:dyDescent="0.2">
      <c r="A32" s="4" t="s">
        <v>9492</v>
      </c>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P64"/>
  <sheetViews>
    <sheetView showGridLines="0" zoomScaleNormal="100" workbookViewId="0">
      <pane ySplit="10" topLeftCell="A54" activePane="bottomLeft" state="frozen"/>
      <selection pane="bottomLeft"/>
    </sheetView>
  </sheetViews>
  <sheetFormatPr defaultColWidth="8.7109375" defaultRowHeight="12.75" x14ac:dyDescent="0.2"/>
  <cols>
    <col min="1" max="1" width="20" customWidth="1"/>
    <col min="2" max="3" width="18" customWidth="1"/>
    <col min="4" max="4" width="31" customWidth="1"/>
    <col min="5" max="5" width="19" customWidth="1"/>
    <col min="6" max="6" width="16" customWidth="1"/>
    <col min="7" max="7" width="20" customWidth="1"/>
    <col min="8" max="8" width="22" customWidth="1"/>
    <col min="9" max="9" width="20" customWidth="1"/>
    <col min="10" max="11" width="23" customWidth="1"/>
    <col min="12" max="12" width="3" customWidth="1"/>
    <col min="13" max="13" width="20" customWidth="1"/>
    <col min="14" max="14" width="24" customWidth="1"/>
    <col min="15" max="15" width="32" customWidth="1"/>
    <col min="16" max="16" width="25" customWidth="1"/>
  </cols>
  <sheetData>
    <row r="2" spans="1:16" ht="19.5" x14ac:dyDescent="0.3">
      <c r="A2" s="1" t="s">
        <v>9493</v>
      </c>
    </row>
    <row r="4" spans="1:16" ht="15" x14ac:dyDescent="0.25">
      <c r="A4" s="2" t="s">
        <v>9494</v>
      </c>
      <c r="B4" s="8">
        <v>46021</v>
      </c>
    </row>
    <row r="5" spans="1:16" x14ac:dyDescent="0.2">
      <c r="A5" s="2" t="s">
        <v>9495</v>
      </c>
      <c r="B5">
        <f>COUNTA(A12:A64)</f>
        <v>53</v>
      </c>
    </row>
    <row r="6" spans="1:16" ht="15" x14ac:dyDescent="0.25">
      <c r="A6" s="2" t="s">
        <v>9496</v>
      </c>
      <c r="B6" s="10">
        <f>SUM(I12:I64)</f>
        <v>521.629776703585</v>
      </c>
    </row>
    <row r="7" spans="1:16" x14ac:dyDescent="0.2">
      <c r="A7" s="2" t="s">
        <v>9497</v>
      </c>
      <c r="B7">
        <f>COUNTIFS(J12:J64,"Overdue")</f>
        <v>19</v>
      </c>
    </row>
    <row r="8" spans="1:16" x14ac:dyDescent="0.2">
      <c r="A8" s="2" t="s">
        <v>9498</v>
      </c>
      <c r="B8">
        <f>COUNTIFS(J12:J64,"Due within 7 days")</f>
        <v>24</v>
      </c>
    </row>
    <row r="10" spans="1:16" x14ac:dyDescent="0.2">
      <c r="A10" s="7" t="s">
        <v>87</v>
      </c>
      <c r="B10" s="7" t="s">
        <v>89</v>
      </c>
      <c r="C10" s="7" t="s">
        <v>90</v>
      </c>
      <c r="D10" s="7" t="s">
        <v>91</v>
      </c>
      <c r="E10" s="7" t="s">
        <v>93</v>
      </c>
      <c r="F10" s="7" t="s">
        <v>95</v>
      </c>
      <c r="G10" s="7" t="s">
        <v>9499</v>
      </c>
      <c r="H10" s="7" t="s">
        <v>9500</v>
      </c>
      <c r="I10" s="7" t="s">
        <v>9501</v>
      </c>
      <c r="J10" s="7" t="s">
        <v>9502</v>
      </c>
      <c r="K10" s="7" t="s">
        <v>9503</v>
      </c>
      <c r="M10" s="7" t="s">
        <v>9471</v>
      </c>
      <c r="N10" s="7" t="s">
        <v>9504</v>
      </c>
      <c r="O10" s="7" t="s">
        <v>9505</v>
      </c>
      <c r="P10" s="7" t="s">
        <v>9506</v>
      </c>
    </row>
    <row r="12" spans="1:16" ht="15" x14ac:dyDescent="0.25">
      <c r="A12" t="str">
        <f>'Work packages'!A899</f>
        <v>WP-00898</v>
      </c>
      <c r="B12" s="8">
        <f>'Work packages'!W899</f>
        <v>45960.0</v>
      </c>
      <c r="C12" s="8">
        <f>'Work packages'!X899</f>
        <v>45973.0</v>
      </c>
      <c r="D12" t="str">
        <f>'Work packages'!E899</f>
        <v>Structural repair</v>
      </c>
      <c r="E12" t="str">
        <f>'Work packages'!G899</f>
        <v>Structures</v>
      </c>
      <c r="F12" t="str">
        <f>'Work packages'!I899</f>
        <v>Routine</v>
      </c>
      <c r="G12" s="10">
        <f>'Work packages'!V899</f>
        <v>36.495652173913</v>
      </c>
      <c r="H12" s="10">
        <f>SUMIFS(tblLaborEntries[Hours booked],tblLaborEntries[Work package ID],A12,tblLaborEntries[Work date serial],"&lt;="&amp;$B$4)</f>
        <v>28.8</v>
      </c>
      <c r="I12" s="10">
        <f t="shared" ref="I12:I43" si="0">MAX(0,G12-H12)</f>
        <v>7.69565217391304</v>
      </c>
      <c r="J12" t="str">
        <f t="shared" ref="J12:J43" si="1">IF(C12&lt;$B$4,"Overdue",IF(C12&lt;=$B$4+7,"Due within 7 days","Later"))</f>
        <v>Overdue</v>
      </c>
      <c r="K12" t="str">
        <f t="shared" ref="K12:K43" si="2">IF(I12=0,"Awaiting closeout","Work remains")</f>
        <v>Work remains</v>
      </c>
      <c r="M12" t="s">
        <v>129</v>
      </c>
      <c r="N12" s="10">
        <f t="shared" ref="N12:N17" si="3">SUMIFS($I$12:$I$64,$E$12:$E$64,M12)</f>
        <v>81.0144356243435</v>
      </c>
      <c r="O12" s="10">
        <f t="shared" ref="O12:O17" si="4">SUMIFS($I$12:$I$64,$E$12:$E$64,M12,$J$12:$J$64,"Overdue")+SUMIFS($I$12:$I$64,$E$12:$E$64,M12,$J$12:$J$64,"Due within 7 days")</f>
        <v>77.9855048067334</v>
      </c>
      <c r="P12" s="10">
        <f>'Capacity and backlog'!C122</f>
        <v>65.200789992282</v>
      </c>
    </row>
    <row r="13" spans="1:16" ht="15" x14ac:dyDescent="0.25">
      <c r="A13" t="str">
        <f>'Work packages'!A755</f>
        <v>WP-00754</v>
      </c>
      <c r="B13" s="8">
        <f>'Work packages'!W755</f>
        <v>45963.0</v>
      </c>
      <c r="C13" s="8">
        <f>'Work packages'!X755</f>
        <v>45976.0</v>
      </c>
      <c r="D13" t="str">
        <f>'Work packages'!E755</f>
        <v>Scheduled system service</v>
      </c>
      <c r="E13" t="str">
        <f>'Work packages'!G755</f>
        <v>Airframe</v>
      </c>
      <c r="F13" t="str">
        <f>'Work packages'!I755</f>
        <v>Routine</v>
      </c>
      <c r="G13" s="10">
        <f>'Work packages'!V755</f>
        <v>8.12545454545455</v>
      </c>
      <c r="H13" s="10">
        <f>SUMIFS(tblLaborEntries[Hours booked],tblLaborEntries[Work package ID],A13,tblLaborEntries[Work date serial],"&lt;="&amp;$B$4)</f>
        <v>0</v>
      </c>
      <c r="I13" s="10">
        <f t="shared" si="0"/>
        <v>8.12545454545455</v>
      </c>
      <c r="J13" t="str">
        <f t="shared" si="1"/>
        <v>Overdue</v>
      </c>
      <c r="K13" t="str">
        <f t="shared" si="2"/>
        <v>Work remains</v>
      </c>
      <c r="M13" t="s">
        <v>138</v>
      </c>
      <c r="N13" s="10">
        <f t="shared" si="3"/>
        <v>160.355196972647</v>
      </c>
      <c r="O13" s="10">
        <f t="shared" si="4"/>
        <v>75.7639260561114</v>
      </c>
      <c r="P13" s="10">
        <f>'Capacity and backlog'!C123</f>
        <v>96.752919313197</v>
      </c>
    </row>
    <row r="14" spans="1:16" ht="15" x14ac:dyDescent="0.25">
      <c r="A14" t="str">
        <f>'Work packages'!A954</f>
        <v>WP-00953</v>
      </c>
      <c r="B14" s="8">
        <f>'Work packages'!W954</f>
        <v>45965.0</v>
      </c>
      <c r="C14" s="8">
        <f>'Work packages'!X954</f>
        <v>45978.0</v>
      </c>
      <c r="D14" t="str">
        <f>'Work packages'!E954</f>
        <v>Scheduled system service</v>
      </c>
      <c r="E14" t="str">
        <f>'Work packages'!G954</f>
        <v>Airframe</v>
      </c>
      <c r="F14" t="str">
        <f>'Work packages'!I954</f>
        <v>Routine</v>
      </c>
      <c r="G14" s="10">
        <f>'Work packages'!V954</f>
        <v>5.52545454545455</v>
      </c>
      <c r="H14" s="10">
        <f>SUMIFS(tblLaborEntries[Hours booked],tblLaborEntries[Work package ID],A14,tblLaborEntries[Work date serial],"&lt;="&amp;$B$4)</f>
        <v>3.4</v>
      </c>
      <c r="I14" s="10">
        <f t="shared" si="0"/>
        <v>2.12545454545455</v>
      </c>
      <c r="J14" t="str">
        <f t="shared" si="1"/>
        <v>Overdue</v>
      </c>
      <c r="K14" t="str">
        <f t="shared" si="2"/>
        <v>Work remains</v>
      </c>
      <c r="M14" t="s">
        <v>273</v>
      </c>
      <c r="N14" s="10">
        <f t="shared" si="3"/>
        <v>62.4109375</v>
      </c>
      <c r="O14" s="10">
        <f t="shared" si="4"/>
        <v>62.4109375</v>
      </c>
      <c r="P14" s="10">
        <f>'Capacity and backlog'!C124</f>
        <v>32.6635116654138</v>
      </c>
    </row>
    <row r="15" spans="1:16" ht="15" x14ac:dyDescent="0.25">
      <c r="A15" t="str">
        <f>'Work packages'!A297</f>
        <v>WP-00296</v>
      </c>
      <c r="B15" s="8">
        <f>'Work packages'!W297</f>
        <v>45984.0</v>
      </c>
      <c r="C15" s="8">
        <f>'Work packages'!X297</f>
        <v>45990.0</v>
      </c>
      <c r="D15" t="str">
        <f>'Work packages'!E297</f>
        <v>Fuel system inspection</v>
      </c>
      <c r="E15" t="str">
        <f>'Work packages'!G297</f>
        <v>Powerplant</v>
      </c>
      <c r="F15" t="str">
        <f>'Work packages'!I297</f>
        <v>High</v>
      </c>
      <c r="G15" s="10">
        <f>'Work packages'!V297</f>
        <v>6.30266666666667</v>
      </c>
      <c r="H15" s="10">
        <f>SUMIFS(tblLaborEntries[Hours booked],tblLaborEntries[Work package ID],A15,tblLaborEntries[Work date serial],"&lt;="&amp;$B$4)</f>
        <v>5.8</v>
      </c>
      <c r="I15" s="10">
        <f t="shared" si="0"/>
        <v>0.502666666666667</v>
      </c>
      <c r="J15" t="str">
        <f t="shared" si="1"/>
        <v>Overdue</v>
      </c>
      <c r="K15" t="str">
        <f t="shared" si="2"/>
        <v>Work remains</v>
      </c>
      <c r="M15" t="s">
        <v>146</v>
      </c>
      <c r="N15" s="10">
        <f t="shared" si="3"/>
        <v>39.6206451612903</v>
      </c>
      <c r="O15" s="10">
        <f t="shared" si="4"/>
        <v>25.3470967741936</v>
      </c>
      <c r="P15" s="10">
        <f>'Capacity and backlog'!C125</f>
        <v>32.3491048129132</v>
      </c>
    </row>
    <row r="16" spans="1:16" ht="15" x14ac:dyDescent="0.25">
      <c r="A16" t="str">
        <f>'Work packages'!A1886</f>
        <v>WP-01885</v>
      </c>
      <c r="B16" s="8">
        <f>'Work packages'!W1886</f>
        <v>45980.0</v>
      </c>
      <c r="C16" s="8">
        <f>'Work packages'!X1886</f>
        <v>45993.0</v>
      </c>
      <c r="D16" t="str">
        <f>'Work packages'!E1886</f>
        <v>Engine run support</v>
      </c>
      <c r="E16" t="str">
        <f>'Work packages'!G1886</f>
        <v>Powerplant</v>
      </c>
      <c r="F16" t="str">
        <f>'Work packages'!I1886</f>
        <v>Routine</v>
      </c>
      <c r="G16" s="10">
        <f>'Work packages'!V1886</f>
        <v>21.8246575342466</v>
      </c>
      <c r="H16" s="10">
        <f>SUMIFS(tblLaborEntries[Hours booked],tblLaborEntries[Work package ID],A16,tblLaborEntries[Work date serial],"&lt;="&amp;$B$4)</f>
        <v>0</v>
      </c>
      <c r="I16" s="10">
        <f t="shared" si="0"/>
        <v>21.8246575342466</v>
      </c>
      <c r="J16" t="str">
        <f t="shared" si="1"/>
        <v>Overdue</v>
      </c>
      <c r="K16" t="str">
        <f t="shared" si="2"/>
        <v>Work remains</v>
      </c>
      <c r="M16" t="s">
        <v>154</v>
      </c>
      <c r="N16" s="10">
        <f t="shared" si="3"/>
        <v>55.1546484018265</v>
      </c>
      <c r="O16" s="10">
        <f t="shared" si="4"/>
        <v>32.3299908675799</v>
      </c>
      <c r="P16" s="10">
        <f>'Capacity and backlog'!C126</f>
        <v>67.4030480171243</v>
      </c>
    </row>
    <row r="17" spans="1:16" ht="15" x14ac:dyDescent="0.25">
      <c r="A17" t="str">
        <f>'Work packages'!A1263</f>
        <v>WP-01262</v>
      </c>
      <c r="B17" s="8">
        <f>'Work packages'!W1263</f>
        <v>45985.0</v>
      </c>
      <c r="C17" s="8">
        <f>'Work packages'!X1263</f>
        <v>45998.0</v>
      </c>
      <c r="D17" t="str">
        <f>'Work packages'!E1263</f>
        <v>Electrical fault isolation</v>
      </c>
      <c r="E17" t="str">
        <f>'Work packages'!G1263</f>
        <v>Electrical</v>
      </c>
      <c r="F17" t="str">
        <f>'Work packages'!I1263</f>
        <v>Routine</v>
      </c>
      <c r="G17" s="10">
        <f>'Work packages'!V1263</f>
        <v>10.48515625</v>
      </c>
      <c r="H17" s="10">
        <f>SUMIFS(tblLaborEntries[Hours booked],tblLaborEntries[Work package ID],A17,tblLaborEntries[Work date serial],"&lt;="&amp;$B$4)</f>
        <v>0</v>
      </c>
      <c r="I17" s="10">
        <f t="shared" si="0"/>
        <v>10.48515625</v>
      </c>
      <c r="J17" t="str">
        <f t="shared" si="1"/>
        <v>Overdue</v>
      </c>
      <c r="K17" t="str">
        <f t="shared" si="2"/>
        <v>Work remains</v>
      </c>
      <c r="M17" t="s">
        <v>210</v>
      </c>
      <c r="N17" s="10">
        <f t="shared" si="3"/>
        <v>123.073913043478</v>
      </c>
      <c r="O17" s="10">
        <f t="shared" si="4"/>
        <v>86.5782608695652</v>
      </c>
      <c r="P17" s="10">
        <f>'Capacity and backlog'!C127</f>
        <v>64.2423448473215</v>
      </c>
    </row>
    <row r="18" spans="1:16" ht="15" x14ac:dyDescent="0.25">
      <c r="A18" t="str">
        <f>'Work packages'!A2148</f>
        <v>WP-02147</v>
      </c>
      <c r="B18" s="8">
        <f>'Work packages'!W2148</f>
        <v>45987.0</v>
      </c>
      <c r="C18" s="8">
        <f>'Work packages'!X2148</f>
        <v>46000.0</v>
      </c>
      <c r="D18" t="str">
        <f>'Work packages'!E2148</f>
        <v>Flight control inspection</v>
      </c>
      <c r="E18" t="str">
        <f>'Work packages'!G2148</f>
        <v>Airframe</v>
      </c>
      <c r="F18" t="str">
        <f>'Work packages'!I2148</f>
        <v>Routine</v>
      </c>
      <c r="G18" s="10">
        <f>'Work packages'!V2148</f>
        <v>7.04341085271318</v>
      </c>
      <c r="H18" s="10">
        <f>SUMIFS(tblLaborEntries[Hours booked],tblLaborEntries[Work package ID],A18,tblLaborEntries[Work date serial],"&lt;="&amp;$B$4)</f>
        <v>8.1</v>
      </c>
      <c r="I18" s="10">
        <f t="shared" si="0"/>
        <v>0</v>
      </c>
      <c r="J18" t="str">
        <f t="shared" si="1"/>
        <v>Overdue</v>
      </c>
      <c r="K18" t="str">
        <f t="shared" si="2"/>
        <v>Awaiting closeout</v>
      </c>
    </row>
    <row r="19" spans="1:16" ht="15" x14ac:dyDescent="0.25">
      <c r="A19" t="str">
        <f>'Work packages'!A2161</f>
        <v>WP-02160</v>
      </c>
      <c r="B19" s="8">
        <f>'Work packages'!W2161</f>
        <v>45991.0</v>
      </c>
      <c r="C19" s="8">
        <f>'Work packages'!X2161</f>
        <v>46004.0</v>
      </c>
      <c r="D19" t="str">
        <f>'Work packages'!E2161</f>
        <v>Scheduled system service</v>
      </c>
      <c r="E19" t="str">
        <f>'Work packages'!G2161</f>
        <v>Airframe</v>
      </c>
      <c r="F19" t="str">
        <f>'Work packages'!I2161</f>
        <v>Routine</v>
      </c>
      <c r="G19" s="10">
        <f>'Work packages'!V2161</f>
        <v>8.12545454545455</v>
      </c>
      <c r="H19" s="10">
        <f>SUMIFS(tblLaborEntries[Hours booked],tblLaborEntries[Work package ID],A19,tblLaborEntries[Work date serial],"&lt;="&amp;$B$4)</f>
        <v>0</v>
      </c>
      <c r="I19" s="10">
        <f t="shared" si="0"/>
        <v>8.12545454545455</v>
      </c>
      <c r="J19" t="str">
        <f t="shared" si="1"/>
        <v>Overdue</v>
      </c>
      <c r="K19" t="str">
        <f t="shared" si="2"/>
        <v>Work remains</v>
      </c>
      <c r="M19" s="11" t="s">
        <v>9507</v>
      </c>
    </row>
    <row r="20" spans="1:16" ht="15" x14ac:dyDescent="0.25">
      <c r="A20" t="str">
        <f>'Work packages'!A2030</f>
        <v>WP-02029</v>
      </c>
      <c r="B20" s="8">
        <f>'Work packages'!W2030</f>
        <v>45992.0</v>
      </c>
      <c r="C20" s="8">
        <f>'Work packages'!X2030</f>
        <v>46005.0</v>
      </c>
      <c r="D20" t="str">
        <f>'Work packages'!E2030</f>
        <v>Scheduled system service</v>
      </c>
      <c r="E20" t="str">
        <f>'Work packages'!G2030</f>
        <v>Airframe</v>
      </c>
      <c r="F20" t="str">
        <f>'Work packages'!I2030</f>
        <v>Routine</v>
      </c>
      <c r="G20" s="10">
        <f>'Work packages'!V2030</f>
        <v>5.72545454545455</v>
      </c>
      <c r="H20" s="10">
        <f>SUMIFS(tblLaborEntries[Hours booked],tblLaborEntries[Work package ID],A20,tblLaborEntries[Work date serial],"&lt;="&amp;$B$4)</f>
        <v>0</v>
      </c>
      <c r="I20" s="10">
        <f t="shared" si="0"/>
        <v>5.72545454545455</v>
      </c>
      <c r="J20" t="str">
        <f t="shared" si="1"/>
        <v>Overdue</v>
      </c>
      <c r="K20" t="str">
        <f t="shared" si="2"/>
        <v>Work remains</v>
      </c>
    </row>
    <row r="21" spans="1:16" ht="15" x14ac:dyDescent="0.25">
      <c r="A21" t="str">
        <f>'Work packages'!A868</f>
        <v>WP-00867</v>
      </c>
      <c r="B21" s="8">
        <f>'Work packages'!W868</f>
        <v>46000.0</v>
      </c>
      <c r="C21" s="8">
        <f>'Work packages'!X868</f>
        <v>46013.0</v>
      </c>
      <c r="D21" t="str">
        <f>'Work packages'!E868</f>
        <v>Postflight discrepancy review</v>
      </c>
      <c r="E21" t="str">
        <f>'Work packages'!G868</f>
        <v>Avionics</v>
      </c>
      <c r="F21" t="str">
        <f>'Work packages'!I868</f>
        <v>Routine</v>
      </c>
      <c r="G21" s="10">
        <f>'Work packages'!V868</f>
        <v>8.53739837398374</v>
      </c>
      <c r="H21" s="10">
        <f>SUMIFS(tblLaborEntries[Hours booked],tblLaborEntries[Work package ID],A21,tblLaborEntries[Work date serial],"&lt;="&amp;$B$4)</f>
        <v>11.6</v>
      </c>
      <c r="I21" s="10">
        <f t="shared" si="0"/>
        <v>0</v>
      </c>
      <c r="J21" t="str">
        <f t="shared" si="1"/>
        <v>Overdue</v>
      </c>
      <c r="K21" t="str">
        <f t="shared" si="2"/>
        <v>Awaiting closeout</v>
      </c>
    </row>
    <row r="22" spans="1:16" ht="15" x14ac:dyDescent="0.25">
      <c r="A22" t="str">
        <f>'Work packages'!A436</f>
        <v>WP-00435</v>
      </c>
      <c r="B22" s="8">
        <f>'Work packages'!W436</f>
        <v>46008.0</v>
      </c>
      <c r="C22" s="8">
        <f>'Work packages'!X436</f>
        <v>46014.0</v>
      </c>
      <c r="D22" t="str">
        <f>'Work packages'!E436</f>
        <v>Postflight discrepancy review</v>
      </c>
      <c r="E22" t="str">
        <f>'Work packages'!G436</f>
        <v>Avionics</v>
      </c>
      <c r="F22" t="str">
        <f>'Work packages'!I436</f>
        <v>High</v>
      </c>
      <c r="G22" s="10">
        <f>'Work packages'!V436</f>
        <v>3.23739837398374</v>
      </c>
      <c r="H22" s="10">
        <f>SUMIFS(tblLaborEntries[Hours booked],tblLaborEntries[Work package ID],A22,tblLaborEntries[Work date serial],"&lt;="&amp;$B$4)</f>
        <v>0</v>
      </c>
      <c r="I22" s="10">
        <f t="shared" si="0"/>
        <v>3.23739837398374</v>
      </c>
      <c r="J22" t="str">
        <f t="shared" si="1"/>
        <v>Overdue</v>
      </c>
      <c r="K22" t="str">
        <f t="shared" si="2"/>
        <v>Work remains</v>
      </c>
    </row>
    <row r="23" spans="1:16" ht="15" x14ac:dyDescent="0.25">
      <c r="A23" t="str">
        <f>'Work packages'!A1604</f>
        <v>WP-01603</v>
      </c>
      <c r="B23" s="8">
        <f>'Work packages'!W1604</f>
        <v>46008.0</v>
      </c>
      <c r="C23" s="8">
        <f>'Work packages'!X1604</f>
        <v>46014.0</v>
      </c>
      <c r="D23" t="str">
        <f>'Work packages'!E1604</f>
        <v>Scheduled system service</v>
      </c>
      <c r="E23" t="str">
        <f>'Work packages'!G1604</f>
        <v>Airframe</v>
      </c>
      <c r="F23" t="str">
        <f>'Work packages'!I1604</f>
        <v>High</v>
      </c>
      <c r="G23" s="10">
        <f>'Work packages'!V1604</f>
        <v>9.02545454545455</v>
      </c>
      <c r="H23" s="10">
        <f>SUMIFS(tblLaborEntries[Hours booked],tblLaborEntries[Work package ID],A23,tblLaborEntries[Work date serial],"&lt;="&amp;$B$4)</f>
        <v>5.7</v>
      </c>
      <c r="I23" s="10">
        <f t="shared" si="0"/>
        <v>3.32545454545455</v>
      </c>
      <c r="J23" t="str">
        <f t="shared" si="1"/>
        <v>Overdue</v>
      </c>
      <c r="K23" t="str">
        <f t="shared" si="2"/>
        <v>Work remains</v>
      </c>
    </row>
    <row r="24" spans="1:16" ht="15" x14ac:dyDescent="0.25">
      <c r="A24" t="str">
        <f>'Work packages'!A153</f>
        <v>WP-00152</v>
      </c>
      <c r="B24" s="8">
        <f>'Work packages'!W153</f>
        <v>46002.0</v>
      </c>
      <c r="C24" s="8">
        <f>'Work packages'!X153</f>
        <v>46015.0</v>
      </c>
      <c r="D24" t="str">
        <f>'Work packages'!E153</f>
        <v>Postflight discrepancy review</v>
      </c>
      <c r="E24" t="str">
        <f>'Work packages'!G153</f>
        <v>Avionics</v>
      </c>
      <c r="F24" t="str">
        <f>'Work packages'!I153</f>
        <v>Routine</v>
      </c>
      <c r="G24" s="10">
        <f>'Work packages'!V153</f>
        <v>3.03739837398374</v>
      </c>
      <c r="H24" s="10">
        <f>SUMIFS(tblLaborEntries[Hours booked],tblLaborEntries[Work package ID],A24,tblLaborEntries[Work date serial],"&lt;="&amp;$B$4)</f>
        <v>0</v>
      </c>
      <c r="I24" s="10">
        <f t="shared" si="0"/>
        <v>3.03739837398374</v>
      </c>
      <c r="J24" t="str">
        <f t="shared" si="1"/>
        <v>Overdue</v>
      </c>
      <c r="K24" t="str">
        <f t="shared" si="2"/>
        <v>Work remains</v>
      </c>
    </row>
    <row r="25" spans="1:16" ht="15" x14ac:dyDescent="0.25">
      <c r="A25" t="str">
        <f>'Work packages'!A1290</f>
        <v>WP-01289</v>
      </c>
      <c r="B25" s="8">
        <f>'Work packages'!W1290</f>
        <v>46013.0</v>
      </c>
      <c r="C25" s="8">
        <f>'Work packages'!X1290</f>
        <v>46015.0</v>
      </c>
      <c r="D25" t="str">
        <f>'Work packages'!E1290</f>
        <v>Hydraulic leak diagnosis</v>
      </c>
      <c r="E25" t="str">
        <f>'Work packages'!G1290</f>
        <v>Hydraulics</v>
      </c>
      <c r="F25" t="str">
        <f>'Work packages'!I1290</f>
        <v>Urgent</v>
      </c>
      <c r="G25" s="10">
        <f>'Work packages'!V1290</f>
        <v>17.7735483870968</v>
      </c>
      <c r="H25" s="10">
        <f>SUMIFS(tblLaborEntries[Hours booked],tblLaborEntries[Work package ID],A25,tblLaborEntries[Work date serial],"&lt;="&amp;$B$4)</f>
        <v>0</v>
      </c>
      <c r="I25" s="10">
        <f t="shared" si="0"/>
        <v>17.7735483870968</v>
      </c>
      <c r="J25" t="str">
        <f t="shared" si="1"/>
        <v>Overdue</v>
      </c>
      <c r="K25" t="str">
        <f t="shared" si="2"/>
        <v>Work remains</v>
      </c>
    </row>
    <row r="26" spans="1:16" ht="15" x14ac:dyDescent="0.25">
      <c r="A26" t="str">
        <f>'Work packages'!A1897</f>
        <v>WP-01896</v>
      </c>
      <c r="B26" s="8">
        <f>'Work packages'!W1897</f>
        <v>46002.0</v>
      </c>
      <c r="C26" s="8">
        <f>'Work packages'!X1897</f>
        <v>46015.0</v>
      </c>
      <c r="D26" t="str">
        <f>'Work packages'!E1897</f>
        <v>Scheduled system service</v>
      </c>
      <c r="E26" t="str">
        <f>'Work packages'!G1897</f>
        <v>Airframe</v>
      </c>
      <c r="F26" t="str">
        <f>'Work packages'!I1897</f>
        <v>Routine</v>
      </c>
      <c r="G26" s="10">
        <f>'Work packages'!V1897</f>
        <v>11.7254545454545</v>
      </c>
      <c r="H26" s="10">
        <f>SUMIFS(tblLaborEntries[Hours booked],tblLaborEntries[Work package ID],A26,tblLaborEntries[Work date serial],"&lt;="&amp;$B$4)</f>
        <v>9.9</v>
      </c>
      <c r="I26" s="10">
        <f t="shared" si="0"/>
        <v>1.82545454545455</v>
      </c>
      <c r="J26" t="str">
        <f t="shared" si="1"/>
        <v>Overdue</v>
      </c>
      <c r="K26" t="str">
        <f t="shared" si="2"/>
        <v>Work remains</v>
      </c>
    </row>
    <row r="27" spans="1:16" ht="15" x14ac:dyDescent="0.25">
      <c r="A27" t="str">
        <f>'Work packages'!A1708</f>
        <v>WP-01707</v>
      </c>
      <c r="B27" s="8">
        <f>'Work packages'!W1708</f>
        <v>46012.0</v>
      </c>
      <c r="C27" s="8">
        <f>'Work packages'!X1708</f>
        <v>46018.0</v>
      </c>
      <c r="D27" t="str">
        <f>'Work packages'!E1708</f>
        <v>Instrumentation installation</v>
      </c>
      <c r="E27" t="str">
        <f>'Work packages'!G1708</f>
        <v>Avionics</v>
      </c>
      <c r="F27" t="str">
        <f>'Work packages'!I1708</f>
        <v>High</v>
      </c>
      <c r="G27" s="10">
        <f>'Work packages'!V1708</f>
        <v>10.2207547169811</v>
      </c>
      <c r="H27" s="10">
        <f>SUMIFS(tblLaborEntries[Hours booked],tblLaborEntries[Work package ID],A27,tblLaborEntries[Work date serial],"&lt;="&amp;$B$4)</f>
        <v>0</v>
      </c>
      <c r="I27" s="10">
        <f t="shared" si="0"/>
        <v>10.2207547169811</v>
      </c>
      <c r="J27" t="str">
        <f t="shared" si="1"/>
        <v>Overdue</v>
      </c>
      <c r="K27" t="str">
        <f t="shared" si="2"/>
        <v>Work remains</v>
      </c>
    </row>
    <row r="28" spans="1:16" ht="15" x14ac:dyDescent="0.25">
      <c r="A28" t="str">
        <f>'Work packages'!A200</f>
        <v>WP-00199</v>
      </c>
      <c r="B28" s="8">
        <f>'Work packages'!W200</f>
        <v>46007.0</v>
      </c>
      <c r="C28" s="8">
        <f>'Work packages'!X200</f>
        <v>46020.0</v>
      </c>
      <c r="D28" t="str">
        <f>'Work packages'!E200</f>
        <v>Sensor calibration</v>
      </c>
      <c r="E28" t="str">
        <f>'Work packages'!G200</f>
        <v>Avionics</v>
      </c>
      <c r="F28" t="str">
        <f>'Work packages'!I200</f>
        <v>Routine</v>
      </c>
      <c r="G28" s="10">
        <f>'Work packages'!V200</f>
        <v>13.5916083916084</v>
      </c>
      <c r="H28" s="10">
        <f>SUMIFS(tblLaborEntries[Hours booked],tblLaborEntries[Work package ID],A28,tblLaborEntries[Work date serial],"&lt;="&amp;$B$4)</f>
        <v>0</v>
      </c>
      <c r="I28" s="10">
        <f t="shared" si="0"/>
        <v>13.5916083916084</v>
      </c>
      <c r="J28" t="str">
        <f t="shared" si="1"/>
        <v>Overdue</v>
      </c>
      <c r="K28" t="str">
        <f t="shared" si="2"/>
        <v>Work remains</v>
      </c>
    </row>
    <row r="29" spans="1:16" ht="15" x14ac:dyDescent="0.25">
      <c r="A29" t="str">
        <f>'Work packages'!A229</f>
        <v>WP-00228</v>
      </c>
      <c r="B29" s="8">
        <f>'Work packages'!W229</f>
        <v>46007.0</v>
      </c>
      <c r="C29" s="8">
        <f>'Work packages'!X229</f>
        <v>46020.0</v>
      </c>
      <c r="D29" t="str">
        <f>'Work packages'!E229</f>
        <v>Flight control inspection</v>
      </c>
      <c r="E29" t="str">
        <f>'Work packages'!G229</f>
        <v>Airframe</v>
      </c>
      <c r="F29" t="str">
        <f>'Work packages'!I229</f>
        <v>Routine</v>
      </c>
      <c r="G29" s="10">
        <f>'Work packages'!V229</f>
        <v>11.9434108527132</v>
      </c>
      <c r="H29" s="10">
        <f>SUMIFS(tblLaborEntries[Hours booked],tblLaborEntries[Work package ID],A29,tblLaborEntries[Work date serial],"&lt;="&amp;$B$4)</f>
        <v>0</v>
      </c>
      <c r="I29" s="10">
        <f t="shared" si="0"/>
        <v>11.9434108527132</v>
      </c>
      <c r="J29" t="str">
        <f t="shared" si="1"/>
        <v>Overdue</v>
      </c>
      <c r="K29" t="str">
        <f t="shared" si="2"/>
        <v>Work remains</v>
      </c>
    </row>
    <row r="30" spans="1:16" ht="15" x14ac:dyDescent="0.25">
      <c r="A30" t="str">
        <f>'Work packages'!A808</f>
        <v>WP-00807</v>
      </c>
      <c r="B30" s="8">
        <f>'Work packages'!W808</f>
        <v>46007.0</v>
      </c>
      <c r="C30" s="8">
        <f>'Work packages'!X808</f>
        <v>46020.0</v>
      </c>
      <c r="D30" t="str">
        <f>'Work packages'!E808</f>
        <v>Flight control inspection</v>
      </c>
      <c r="E30" t="str">
        <f>'Work packages'!G808</f>
        <v>Airframe</v>
      </c>
      <c r="F30" t="str">
        <f>'Work packages'!I808</f>
        <v>Routine</v>
      </c>
      <c r="G30" s="10">
        <f>'Work packages'!V808</f>
        <v>4.74341085271318</v>
      </c>
      <c r="H30" s="10">
        <f>SUMIFS(tblLaborEntries[Hours booked],tblLaborEntries[Work package ID],A30,tblLaborEntries[Work date serial],"&lt;="&amp;$B$4)</f>
        <v>4.2</v>
      </c>
      <c r="I30" s="10">
        <f t="shared" si="0"/>
        <v>0.543410852713178</v>
      </c>
      <c r="J30" t="str">
        <f t="shared" si="1"/>
        <v>Overdue</v>
      </c>
      <c r="K30" t="str">
        <f t="shared" si="2"/>
        <v>Work remains</v>
      </c>
    </row>
    <row r="31" spans="1:16" ht="15" x14ac:dyDescent="0.25">
      <c r="A31" t="str">
        <f>'Work packages'!A460</f>
        <v>WP-00459</v>
      </c>
      <c r="B31" s="8">
        <f>'Work packages'!W460</f>
        <v>46015.0</v>
      </c>
      <c r="C31" s="8">
        <f>'Work packages'!X460</f>
        <v>46021.0</v>
      </c>
      <c r="D31" t="str">
        <f>'Work packages'!E460</f>
        <v>Preflight inspection</v>
      </c>
      <c r="E31" t="str">
        <f>'Work packages'!G460</f>
        <v>Airframe</v>
      </c>
      <c r="F31" t="str">
        <f>'Work packages'!I460</f>
        <v>High</v>
      </c>
      <c r="G31" s="10">
        <f>'Work packages'!V460</f>
        <v>5.72893081761006</v>
      </c>
      <c r="H31" s="10">
        <f>SUMIFS(tblLaborEntries[Hours booked],tblLaborEntries[Work package ID],A31,tblLaborEntries[Work date serial],"&lt;="&amp;$B$4)</f>
        <v>0</v>
      </c>
      <c r="I31" s="10">
        <f t="shared" si="0"/>
        <v>5.72893081761006</v>
      </c>
      <c r="J31" t="str">
        <f t="shared" si="1"/>
        <v>Due within 7 days</v>
      </c>
      <c r="K31" t="str">
        <f t="shared" si="2"/>
        <v>Work remains</v>
      </c>
    </row>
    <row r="32" spans="1:16" ht="15" x14ac:dyDescent="0.25">
      <c r="A32" t="str">
        <f>'Work packages'!A1093</f>
        <v>WP-01092</v>
      </c>
      <c r="B32" s="8">
        <f>'Work packages'!W1093</f>
        <v>46008.0</v>
      </c>
      <c r="C32" s="8">
        <f>'Work packages'!X1093</f>
        <v>46021.0</v>
      </c>
      <c r="D32" t="str">
        <f>'Work packages'!E1093</f>
        <v>Flight control inspection</v>
      </c>
      <c r="E32" t="str">
        <f>'Work packages'!G1093</f>
        <v>Airframe</v>
      </c>
      <c r="F32" t="str">
        <f>'Work packages'!I1093</f>
        <v>Routine</v>
      </c>
      <c r="G32" s="10">
        <f>'Work packages'!V1093</f>
        <v>5.04341085271318</v>
      </c>
      <c r="H32" s="10">
        <f>SUMIFS(tblLaborEntries[Hours booked],tblLaborEntries[Work package ID],A32,tblLaborEntries[Work date serial],"&lt;="&amp;$B$4)</f>
        <v>0</v>
      </c>
      <c r="I32" s="10">
        <f t="shared" si="0"/>
        <v>5.04341085271318</v>
      </c>
      <c r="J32" t="str">
        <f t="shared" si="1"/>
        <v>Due within 7 days</v>
      </c>
      <c r="K32" t="str">
        <f t="shared" si="2"/>
        <v>Work remains</v>
      </c>
    </row>
    <row r="33" spans="1:11" ht="15" x14ac:dyDescent="0.25">
      <c r="A33" t="str">
        <f>'Work packages'!A1417</f>
        <v>WP-01416</v>
      </c>
      <c r="B33" s="8">
        <f>'Work packages'!W1417</f>
        <v>46015.0</v>
      </c>
      <c r="C33" s="8">
        <f>'Work packages'!X1417</f>
        <v>46021.0</v>
      </c>
      <c r="D33" t="str">
        <f>'Work packages'!E1417</f>
        <v>Structural repair</v>
      </c>
      <c r="E33" t="str">
        <f>'Work packages'!G1417</f>
        <v>Structures</v>
      </c>
      <c r="F33" t="str">
        <f>'Work packages'!I1417</f>
        <v>High</v>
      </c>
      <c r="G33" s="10">
        <f>'Work packages'!V1417</f>
        <v>22.495652173913</v>
      </c>
      <c r="H33" s="10">
        <f>SUMIFS(tblLaborEntries[Hours booked],tblLaborEntries[Work package ID],A33,tblLaborEntries[Work date serial],"&lt;="&amp;$B$4)</f>
        <v>20.8</v>
      </c>
      <c r="I33" s="10">
        <f t="shared" si="0"/>
        <v>1.69565217391304</v>
      </c>
      <c r="J33" t="str">
        <f t="shared" si="1"/>
        <v>Due within 7 days</v>
      </c>
      <c r="K33" t="str">
        <f t="shared" si="2"/>
        <v>Work remains</v>
      </c>
    </row>
    <row r="34" spans="1:11" ht="15" x14ac:dyDescent="0.25">
      <c r="A34" t="str">
        <f>'Work packages'!A2199</f>
        <v>WP-02198</v>
      </c>
      <c r="B34" s="8">
        <f>'Work packages'!W2199</f>
        <v>46015.0</v>
      </c>
      <c r="C34" s="8">
        <f>'Work packages'!X2199</f>
        <v>46021.0</v>
      </c>
      <c r="D34" t="str">
        <f>'Work packages'!E2199</f>
        <v>Software/configuration check</v>
      </c>
      <c r="E34" t="str">
        <f>'Work packages'!G2199</f>
        <v>Avionics</v>
      </c>
      <c r="F34" t="str">
        <f>'Work packages'!I2199</f>
        <v>High</v>
      </c>
      <c r="G34" s="10">
        <f>'Work packages'!V2199</f>
        <v>9.753125</v>
      </c>
      <c r="H34" s="10">
        <f>SUMIFS(tblLaborEntries[Hours booked],tblLaborEntries[Work package ID],A34,tblLaborEntries[Work date serial],"&lt;="&amp;$B$4)</f>
        <v>7.3</v>
      </c>
      <c r="I34" s="10">
        <f t="shared" si="0"/>
        <v>2.453125</v>
      </c>
      <c r="J34" t="str">
        <f t="shared" si="1"/>
        <v>Due within 7 days</v>
      </c>
      <c r="K34" t="str">
        <f t="shared" si="2"/>
        <v>Work remains</v>
      </c>
    </row>
    <row r="35" spans="1:11" ht="15" x14ac:dyDescent="0.25">
      <c r="A35" t="str">
        <f>'Work packages'!A589</f>
        <v>WP-00588</v>
      </c>
      <c r="B35" s="8">
        <f>'Work packages'!W589</f>
        <v>46016.0</v>
      </c>
      <c r="C35" s="8">
        <f>'Work packages'!X589</f>
        <v>46022.0</v>
      </c>
      <c r="D35" t="str">
        <f>'Work packages'!E589</f>
        <v>Structural repair</v>
      </c>
      <c r="E35" t="str">
        <f>'Work packages'!G589</f>
        <v>Structures</v>
      </c>
      <c r="F35" t="str">
        <f>'Work packages'!I589</f>
        <v>High</v>
      </c>
      <c r="G35" s="10">
        <f>'Work packages'!V589</f>
        <v>21.295652173913</v>
      </c>
      <c r="H35" s="10">
        <f>SUMIFS(tblLaborEntries[Hours booked],tblLaborEntries[Work package ID],A35,tblLaborEntries[Work date serial],"&lt;="&amp;$B$4)</f>
        <v>19.4</v>
      </c>
      <c r="I35" s="10">
        <f t="shared" si="0"/>
        <v>1.89565217391305</v>
      </c>
      <c r="J35" t="str">
        <f t="shared" si="1"/>
        <v>Due within 7 days</v>
      </c>
      <c r="K35" t="str">
        <f t="shared" si="2"/>
        <v>Work remains</v>
      </c>
    </row>
    <row r="36" spans="1:11" ht="15" x14ac:dyDescent="0.25">
      <c r="A36" t="str">
        <f>'Work packages'!A690</f>
        <v>WP-00689</v>
      </c>
      <c r="B36" s="8">
        <f>'Work packages'!W690</f>
        <v>46016.0</v>
      </c>
      <c r="C36" s="8">
        <f>'Work packages'!X690</f>
        <v>46022.0</v>
      </c>
      <c r="D36" t="str">
        <f>'Work packages'!E690</f>
        <v>Hydraulic leak diagnosis</v>
      </c>
      <c r="E36" t="str">
        <f>'Work packages'!G690</f>
        <v>Hydraulics</v>
      </c>
      <c r="F36" t="str">
        <f>'Work packages'!I690</f>
        <v>High</v>
      </c>
      <c r="G36" s="10">
        <f>'Work packages'!V690</f>
        <v>7.57354838709677</v>
      </c>
      <c r="H36" s="10">
        <f>SUMIFS(tblLaborEntries[Hours booked],tblLaborEntries[Work package ID],A36,tblLaborEntries[Work date serial],"&lt;="&amp;$B$4)</f>
        <v>0</v>
      </c>
      <c r="I36" s="10">
        <f t="shared" si="0"/>
        <v>7.57354838709677</v>
      </c>
      <c r="J36" t="str">
        <f t="shared" si="1"/>
        <v>Due within 7 days</v>
      </c>
      <c r="K36" t="str">
        <f t="shared" si="2"/>
        <v>Work remains</v>
      </c>
    </row>
    <row r="37" spans="1:11" ht="15" x14ac:dyDescent="0.25">
      <c r="A37" t="str">
        <f>'Work packages'!A2127</f>
        <v>WP-02126</v>
      </c>
      <c r="B37" s="8">
        <f>'Work packages'!W2127</f>
        <v>46016.0</v>
      </c>
      <c r="C37" s="8">
        <f>'Work packages'!X2127</f>
        <v>46022.0</v>
      </c>
      <c r="D37" t="str">
        <f>'Work packages'!E2127</f>
        <v>Preflight inspection</v>
      </c>
      <c r="E37" t="str">
        <f>'Work packages'!G2127</f>
        <v>Airframe</v>
      </c>
      <c r="F37" t="str">
        <f>'Work packages'!I2127</f>
        <v>High</v>
      </c>
      <c r="G37" s="10">
        <f>'Work packages'!V2127</f>
        <v>4.22893081761006</v>
      </c>
      <c r="H37" s="10">
        <f>SUMIFS(tblLaborEntries[Hours booked],tblLaborEntries[Work package ID],A37,tblLaborEntries[Work date serial],"&lt;="&amp;$B$4)</f>
        <v>0</v>
      </c>
      <c r="I37" s="10">
        <f t="shared" si="0"/>
        <v>4.22893081761006</v>
      </c>
      <c r="J37" t="str">
        <f t="shared" si="1"/>
        <v>Due within 7 days</v>
      </c>
      <c r="K37" t="str">
        <f t="shared" si="2"/>
        <v>Work remains</v>
      </c>
    </row>
    <row r="38" spans="1:11" ht="15" x14ac:dyDescent="0.25">
      <c r="A38" t="str">
        <f>'Work packages'!A406</f>
        <v>WP-00405</v>
      </c>
      <c r="B38" s="8">
        <f>'Work packages'!W406</f>
        <v>46010.0</v>
      </c>
      <c r="C38" s="8">
        <f>'Work packages'!X406</f>
        <v>46023.0</v>
      </c>
      <c r="D38" t="str">
        <f>'Work packages'!E406</f>
        <v>Sensor calibration</v>
      </c>
      <c r="E38" t="str">
        <f>'Work packages'!G406</f>
        <v>Avionics</v>
      </c>
      <c r="F38" t="str">
        <f>'Work packages'!I406</f>
        <v>Routine</v>
      </c>
      <c r="G38" s="10">
        <f>'Work packages'!V406</f>
        <v>10.5916083916084</v>
      </c>
      <c r="H38" s="10">
        <f>SUMIFS(tblLaborEntries[Hours booked],tblLaborEntries[Work package ID],A38,tblLaborEntries[Work date serial],"&lt;="&amp;$B$4)</f>
        <v>0</v>
      </c>
      <c r="I38" s="10">
        <f t="shared" si="0"/>
        <v>10.5916083916084</v>
      </c>
      <c r="J38" t="str">
        <f t="shared" si="1"/>
        <v>Due within 7 days</v>
      </c>
      <c r="K38" t="str">
        <f t="shared" si="2"/>
        <v>Work remains</v>
      </c>
    </row>
    <row r="39" spans="1:11" ht="15" x14ac:dyDescent="0.25">
      <c r="A39" t="str">
        <f>'Work packages'!A884</f>
        <v>WP-00883</v>
      </c>
      <c r="B39" s="8">
        <f>'Work packages'!W884</f>
        <v>46010.0</v>
      </c>
      <c r="C39" s="8">
        <f>'Work packages'!X884</f>
        <v>46023.0</v>
      </c>
      <c r="D39" t="str">
        <f>'Work packages'!E884</f>
        <v>Preflight inspection</v>
      </c>
      <c r="E39" t="str">
        <f>'Work packages'!G884</f>
        <v>Airframe</v>
      </c>
      <c r="F39" t="str">
        <f>'Work packages'!I884</f>
        <v>Routine</v>
      </c>
      <c r="G39" s="10">
        <f>'Work packages'!V884</f>
        <v>2.22893081761006</v>
      </c>
      <c r="H39" s="10">
        <f>SUMIFS(tblLaborEntries[Hours booked],tblLaborEntries[Work package ID],A39,tblLaborEntries[Work date serial],"&lt;="&amp;$B$4)</f>
        <v>0</v>
      </c>
      <c r="I39" s="10">
        <f t="shared" si="0"/>
        <v>2.22893081761006</v>
      </c>
      <c r="J39" t="str">
        <f t="shared" si="1"/>
        <v>Due within 7 days</v>
      </c>
      <c r="K39" t="str">
        <f t="shared" si="2"/>
        <v>Work remains</v>
      </c>
    </row>
    <row r="40" spans="1:11" ht="15" x14ac:dyDescent="0.25">
      <c r="A40" t="str">
        <f>'Work packages'!A2292</f>
        <v>WP-02291</v>
      </c>
      <c r="B40" s="8">
        <f>'Work packages'!W2292</f>
        <v>46021.0</v>
      </c>
      <c r="C40" s="8">
        <f>'Work packages'!X2292</f>
        <v>46023.0</v>
      </c>
      <c r="D40" t="str">
        <f>'Work packages'!E2292</f>
        <v>Electrical fault isolation</v>
      </c>
      <c r="E40" t="str">
        <f>'Work packages'!G2292</f>
        <v>Electrical</v>
      </c>
      <c r="F40" t="str">
        <f>'Work packages'!I2292</f>
        <v>Urgent</v>
      </c>
      <c r="G40" s="10">
        <f>'Work packages'!V2292</f>
        <v>15.48515625</v>
      </c>
      <c r="H40" s="10">
        <f>SUMIFS(tblLaborEntries[Hours booked],tblLaborEntries[Work package ID],A40,tblLaborEntries[Work date serial],"&lt;="&amp;$B$4)</f>
        <v>0</v>
      </c>
      <c r="I40" s="10">
        <f t="shared" si="0"/>
        <v>15.48515625</v>
      </c>
      <c r="J40" t="str">
        <f t="shared" si="1"/>
        <v>Due within 7 days</v>
      </c>
      <c r="K40" t="str">
        <f t="shared" si="2"/>
        <v>Work remains</v>
      </c>
    </row>
    <row r="41" spans="1:11" ht="15" x14ac:dyDescent="0.25">
      <c r="A41" t="str">
        <f>'Work packages'!A780</f>
        <v>WP-00779</v>
      </c>
      <c r="B41" s="8">
        <f>'Work packages'!W780</f>
        <v>46018.0</v>
      </c>
      <c r="C41" s="8">
        <f>'Work packages'!X780</f>
        <v>46024.0</v>
      </c>
      <c r="D41" t="str">
        <f>'Work packages'!E780</f>
        <v>Structural repair</v>
      </c>
      <c r="E41" t="str">
        <f>'Work packages'!G780</f>
        <v>Structures</v>
      </c>
      <c r="F41" t="str">
        <f>'Work packages'!I780</f>
        <v>High</v>
      </c>
      <c r="G41" s="10">
        <f>'Work packages'!V780</f>
        <v>39.995652173913</v>
      </c>
      <c r="H41" s="10">
        <f>SUMIFS(tblLaborEntries[Hours booked],tblLaborEntries[Work package ID],A41,tblLaborEntries[Work date serial],"&lt;="&amp;$B$4)</f>
        <v>0</v>
      </c>
      <c r="I41" s="10">
        <f t="shared" si="0"/>
        <v>39.995652173913</v>
      </c>
      <c r="J41" t="str">
        <f t="shared" si="1"/>
        <v>Due within 7 days</v>
      </c>
      <c r="K41" t="str">
        <f t="shared" si="2"/>
        <v>Work remains</v>
      </c>
    </row>
    <row r="42" spans="1:11" ht="15" x14ac:dyDescent="0.25">
      <c r="A42" t="str">
        <f>'Work packages'!A1595</f>
        <v>WP-01594</v>
      </c>
      <c r="B42" s="8">
        <f>'Work packages'!W1595</f>
        <v>46018.0</v>
      </c>
      <c r="C42" s="8">
        <f>'Work packages'!X1595</f>
        <v>46024.0</v>
      </c>
      <c r="D42" t="str">
        <f>'Work packages'!E1595</f>
        <v>Instrumentation installation</v>
      </c>
      <c r="E42" t="str">
        <f>'Work packages'!G1595</f>
        <v>Avionics</v>
      </c>
      <c r="F42" t="str">
        <f>'Work packages'!I1595</f>
        <v>High</v>
      </c>
      <c r="G42" s="10">
        <f>'Work packages'!V1595</f>
        <v>24.5207547169811</v>
      </c>
      <c r="H42" s="10">
        <f>SUMIFS(tblLaborEntries[Hours booked],tblLaborEntries[Work package ID],A42,tblLaborEntries[Work date serial],"&lt;="&amp;$B$4)</f>
        <v>17.6</v>
      </c>
      <c r="I42" s="10">
        <f t="shared" si="0"/>
        <v>6.92075471698113</v>
      </c>
      <c r="J42" t="str">
        <f t="shared" si="1"/>
        <v>Due within 7 days</v>
      </c>
      <c r="K42" t="str">
        <f t="shared" si="2"/>
        <v>Work remains</v>
      </c>
    </row>
    <row r="43" spans="1:11" ht="15" x14ac:dyDescent="0.25">
      <c r="A43" t="str">
        <f>'Work packages'!A2232</f>
        <v>WP-02231</v>
      </c>
      <c r="B43" s="8">
        <f>'Work packages'!W2232</f>
        <v>46018.0</v>
      </c>
      <c r="C43" s="8">
        <f>'Work packages'!X2232</f>
        <v>46024.0</v>
      </c>
      <c r="D43" t="str">
        <f>'Work packages'!E2232</f>
        <v>Flight control inspection</v>
      </c>
      <c r="E43" t="str">
        <f>'Work packages'!G2232</f>
        <v>Airframe</v>
      </c>
      <c r="F43" t="str">
        <f>'Work packages'!I2232</f>
        <v>High</v>
      </c>
      <c r="G43" s="10">
        <f>'Work packages'!V2232</f>
        <v>9.84341085271318</v>
      </c>
      <c r="H43" s="10">
        <f>SUMIFS(tblLaborEntries[Hours booked],tblLaborEntries[Work package ID],A43,tblLaborEntries[Work date serial],"&lt;="&amp;$B$4)</f>
        <v>0</v>
      </c>
      <c r="I43" s="10">
        <f t="shared" si="0"/>
        <v>9.84341085271318</v>
      </c>
      <c r="J43" t="str">
        <f t="shared" si="1"/>
        <v>Due within 7 days</v>
      </c>
      <c r="K43" t="str">
        <f t="shared" si="2"/>
        <v>Work remains</v>
      </c>
    </row>
    <row r="44" spans="1:11" ht="15" x14ac:dyDescent="0.25">
      <c r="A44" t="str">
        <f>'Work packages'!A54</f>
        <v>WP-00053</v>
      </c>
      <c r="B44" s="8">
        <f>'Work packages'!W54</f>
        <v>46012.0</v>
      </c>
      <c r="C44" s="8">
        <f>'Work packages'!X54</f>
        <v>46025.0</v>
      </c>
      <c r="D44" t="str">
        <f>'Work packages'!E54</f>
        <v>Postflight discrepancy review</v>
      </c>
      <c r="E44" t="str">
        <f>'Work packages'!G54</f>
        <v>Avionics</v>
      </c>
      <c r="F44" t="str">
        <f>'Work packages'!I54</f>
        <v>Routine</v>
      </c>
      <c r="G44" s="10">
        <f>'Work packages'!V54</f>
        <v>3.43739837398374</v>
      </c>
      <c r="H44" s="10">
        <f>SUMIFS(tblLaborEntries[Hours booked],tblLaborEntries[Work package ID],A44,tblLaborEntries[Work date serial],"&lt;="&amp;$B$4)</f>
        <v>0</v>
      </c>
      <c r="I44" s="10">
        <f t="shared" ref="I44:I64" si="5">MAX(0,G44-H44)</f>
        <v>3.43739837398374</v>
      </c>
      <c r="J44" t="str">
        <f t="shared" ref="J44:J64" si="6">IF(C44&lt;$B$4,"Overdue",IF(C44&lt;=$B$4+7,"Due within 7 days","Later"))</f>
        <v>Due within 7 days</v>
      </c>
      <c r="K44" t="str">
        <f t="shared" ref="K44:K64" si="7">IF(I44=0,"Awaiting closeout","Work remains")</f>
        <v>Work remains</v>
      </c>
    </row>
    <row r="45" spans="1:11" ht="15" x14ac:dyDescent="0.25">
      <c r="A45" t="str">
        <f>'Work packages'!A335</f>
        <v>WP-00334</v>
      </c>
      <c r="B45" s="8">
        <f>'Work packages'!W335</f>
        <v>46019.0</v>
      </c>
      <c r="C45" s="8">
        <f>'Work packages'!X335</f>
        <v>46025.0</v>
      </c>
      <c r="D45" t="str">
        <f>'Work packages'!E335</f>
        <v>Fuel system inspection</v>
      </c>
      <c r="E45" t="str">
        <f>'Work packages'!G335</f>
        <v>Powerplant</v>
      </c>
      <c r="F45" t="str">
        <f>'Work packages'!I335</f>
        <v>High</v>
      </c>
      <c r="G45" s="10">
        <f>'Work packages'!V335</f>
        <v>10.0026666666667</v>
      </c>
      <c r="H45" s="10">
        <f>SUMIFS(tblLaborEntries[Hours booked],tblLaborEntries[Work package ID],A45,tblLaborEntries[Work date serial],"&lt;="&amp;$B$4)</f>
        <v>0</v>
      </c>
      <c r="I45" s="10">
        <f t="shared" si="5"/>
        <v>10.0026666666667</v>
      </c>
      <c r="J45" t="str">
        <f t="shared" si="6"/>
        <v>Due within 7 days</v>
      </c>
      <c r="K45" t="str">
        <f t="shared" si="7"/>
        <v>Work remains</v>
      </c>
    </row>
    <row r="46" spans="1:11" ht="15" x14ac:dyDescent="0.25">
      <c r="A46" t="str">
        <f>'Work packages'!A1117</f>
        <v>WP-01116</v>
      </c>
      <c r="B46" s="8">
        <f>'Work packages'!W1117</f>
        <v>46012.0</v>
      </c>
      <c r="C46" s="8">
        <f>'Work packages'!X1117</f>
        <v>46025.0</v>
      </c>
      <c r="D46" t="str">
        <f>'Work packages'!E1117</f>
        <v>Electrical fault isolation</v>
      </c>
      <c r="E46" t="str">
        <f>'Work packages'!G1117</f>
        <v>Electrical</v>
      </c>
      <c r="F46" t="str">
        <f>'Work packages'!I1117</f>
        <v>Routine</v>
      </c>
      <c r="G46" s="10">
        <f>'Work packages'!V1117</f>
        <v>11.28515625</v>
      </c>
      <c r="H46" s="10">
        <f>SUMIFS(tblLaborEntries[Hours booked],tblLaborEntries[Work package ID],A46,tblLaborEntries[Work date serial],"&lt;="&amp;$B$4)</f>
        <v>0</v>
      </c>
      <c r="I46" s="10">
        <f t="shared" si="5"/>
        <v>11.28515625</v>
      </c>
      <c r="J46" t="str">
        <f t="shared" si="6"/>
        <v>Due within 7 days</v>
      </c>
      <c r="K46" t="str">
        <f t="shared" si="7"/>
        <v>Work remains</v>
      </c>
    </row>
    <row r="47" spans="1:11" ht="15" x14ac:dyDescent="0.25">
      <c r="A47" t="str">
        <f>'Work packages'!A1141</f>
        <v>WP-01140</v>
      </c>
      <c r="B47" s="8">
        <f>'Work packages'!W1141</f>
        <v>46019.0</v>
      </c>
      <c r="C47" s="8">
        <f>'Work packages'!X1141</f>
        <v>46025.0</v>
      </c>
      <c r="D47" t="str">
        <f>'Work packages'!E1141</f>
        <v>Electrical fault isolation</v>
      </c>
      <c r="E47" t="str">
        <f>'Work packages'!G1141</f>
        <v>Electrical</v>
      </c>
      <c r="F47" t="str">
        <f>'Work packages'!I1141</f>
        <v>High</v>
      </c>
      <c r="G47" s="10">
        <f>'Work packages'!V1141</f>
        <v>10.88515625</v>
      </c>
      <c r="H47" s="10">
        <f>SUMIFS(tblLaborEntries[Hours booked],tblLaborEntries[Work package ID],A47,tblLaborEntries[Work date serial],"&lt;="&amp;$B$4)</f>
        <v>0</v>
      </c>
      <c r="I47" s="10">
        <f t="shared" si="5"/>
        <v>10.88515625</v>
      </c>
      <c r="J47" t="str">
        <f t="shared" si="6"/>
        <v>Due within 7 days</v>
      </c>
      <c r="K47" t="str">
        <f t="shared" si="7"/>
        <v>Work remains</v>
      </c>
    </row>
    <row r="48" spans="1:11" ht="15" x14ac:dyDescent="0.25">
      <c r="A48" t="str">
        <f>'Work packages'!A611</f>
        <v>WP-00610</v>
      </c>
      <c r="B48" s="8">
        <f>'Work packages'!W611</f>
        <v>46020.0</v>
      </c>
      <c r="C48" s="8">
        <f>'Work packages'!X611</f>
        <v>46026.0</v>
      </c>
      <c r="D48" t="str">
        <f>'Work packages'!E611</f>
        <v>Electrical fault isolation</v>
      </c>
      <c r="E48" t="str">
        <f>'Work packages'!G611</f>
        <v>Electrical</v>
      </c>
      <c r="F48" t="str">
        <f>'Work packages'!I611</f>
        <v>High</v>
      </c>
      <c r="G48" s="10">
        <f>'Work packages'!V611</f>
        <v>12.28515625</v>
      </c>
      <c r="H48" s="10">
        <f>SUMIFS(tblLaborEntries[Hours booked],tblLaborEntries[Work package ID],A48,tblLaborEntries[Work date serial],"&lt;="&amp;$B$4)</f>
        <v>6.2</v>
      </c>
      <c r="I48" s="10">
        <f t="shared" si="5"/>
        <v>6.08515625</v>
      </c>
      <c r="J48" t="str">
        <f t="shared" si="6"/>
        <v>Due within 7 days</v>
      </c>
      <c r="K48" t="str">
        <f t="shared" si="7"/>
        <v>Work remains</v>
      </c>
    </row>
    <row r="49" spans="1:11" ht="15" x14ac:dyDescent="0.25">
      <c r="A49" t="str">
        <f>'Work packages'!A758</f>
        <v>WP-00757</v>
      </c>
      <c r="B49" s="8">
        <f>'Work packages'!W758</f>
        <v>46020.0</v>
      </c>
      <c r="C49" s="8">
        <f>'Work packages'!X758</f>
        <v>46026.0</v>
      </c>
      <c r="D49" t="str">
        <f>'Work packages'!E758</f>
        <v>Electrical fault isolation</v>
      </c>
      <c r="E49" t="str">
        <f>'Work packages'!G758</f>
        <v>Electrical</v>
      </c>
      <c r="F49" t="str">
        <f>'Work packages'!I758</f>
        <v>High</v>
      </c>
      <c r="G49" s="10">
        <f>'Work packages'!V758</f>
        <v>8.18515625</v>
      </c>
      <c r="H49" s="10">
        <f>SUMIFS(tblLaborEntries[Hours booked],tblLaborEntries[Work package ID],A49,tblLaborEntries[Work date serial],"&lt;="&amp;$B$4)</f>
        <v>0</v>
      </c>
      <c r="I49" s="10">
        <f t="shared" si="5"/>
        <v>8.18515625</v>
      </c>
      <c r="J49" t="str">
        <f t="shared" si="6"/>
        <v>Due within 7 days</v>
      </c>
      <c r="K49" t="str">
        <f t="shared" si="7"/>
        <v>Work remains</v>
      </c>
    </row>
    <row r="50" spans="1:11" ht="15" x14ac:dyDescent="0.25">
      <c r="A50" t="str">
        <f>'Work packages'!A1345</f>
        <v>WP-01344</v>
      </c>
      <c r="B50" s="8">
        <f>'Work packages'!W1345</f>
        <v>46020.0</v>
      </c>
      <c r="C50" s="8">
        <f>'Work packages'!X1345</f>
        <v>46026.0</v>
      </c>
      <c r="D50" t="str">
        <f>'Work packages'!E1345</f>
        <v>Flight control inspection</v>
      </c>
      <c r="E50" t="str">
        <f>'Work packages'!G1345</f>
        <v>Airframe</v>
      </c>
      <c r="F50" t="str">
        <f>'Work packages'!I1345</f>
        <v>High</v>
      </c>
      <c r="G50" s="10">
        <f>'Work packages'!V1345</f>
        <v>4.74341085271318</v>
      </c>
      <c r="H50" s="10">
        <f>SUMIFS(tblLaborEntries[Hours booked],tblLaborEntries[Work package ID],A50,tblLaborEntries[Work date serial],"&lt;="&amp;$B$4)</f>
        <v>0</v>
      </c>
      <c r="I50" s="10">
        <f t="shared" si="5"/>
        <v>4.74341085271318</v>
      </c>
      <c r="J50" t="str">
        <f t="shared" si="6"/>
        <v>Due within 7 days</v>
      </c>
      <c r="K50" t="str">
        <f t="shared" si="7"/>
        <v>Work remains</v>
      </c>
    </row>
    <row r="51" spans="1:11" ht="15" x14ac:dyDescent="0.25">
      <c r="A51" t="str">
        <f>'Work packages'!A2145</f>
        <v>WP-02144</v>
      </c>
      <c r="B51" s="8">
        <f>'Work packages'!W2145</f>
        <v>46020.0</v>
      </c>
      <c r="C51" s="8">
        <f>'Work packages'!X2145</f>
        <v>46026.0</v>
      </c>
      <c r="D51" t="str">
        <f>'Work packages'!E2145</f>
        <v>Software/configuration check</v>
      </c>
      <c r="E51" t="str">
        <f>'Work packages'!G2145</f>
        <v>Avionics</v>
      </c>
      <c r="F51" t="str">
        <f>'Work packages'!I2145</f>
        <v>High</v>
      </c>
      <c r="G51" s="10">
        <f>'Work packages'!V2145</f>
        <v>5.353125</v>
      </c>
      <c r="H51" s="10">
        <f>SUMIFS(tblLaborEntries[Hours booked],tblLaborEntries[Work package ID],A51,tblLaborEntries[Work date serial],"&lt;="&amp;$B$4)</f>
        <v>1.5</v>
      </c>
      <c r="I51" s="10">
        <f t="shared" si="5"/>
        <v>3.853125</v>
      </c>
      <c r="J51" t="str">
        <f t="shared" si="6"/>
        <v>Due within 7 days</v>
      </c>
      <c r="K51" t="str">
        <f t="shared" si="7"/>
        <v>Work remains</v>
      </c>
    </row>
    <row r="52" spans="1:11" ht="15" x14ac:dyDescent="0.25">
      <c r="A52" t="str">
        <f>'Work packages'!A720</f>
        <v>WP-00719</v>
      </c>
      <c r="B52" s="8">
        <f>'Work packages'!W720</f>
        <v>46021.0</v>
      </c>
      <c r="C52" s="8">
        <f>'Work packages'!X720</f>
        <v>46027.0</v>
      </c>
      <c r="D52" t="str">
        <f>'Work packages'!E720</f>
        <v>Structural repair</v>
      </c>
      <c r="E52" t="str">
        <f>'Work packages'!G720</f>
        <v>Structures</v>
      </c>
      <c r="F52" t="str">
        <f>'Work packages'!I720</f>
        <v>High</v>
      </c>
      <c r="G52" s="10">
        <f>'Work packages'!V720</f>
        <v>35.295652173913</v>
      </c>
      <c r="H52" s="10">
        <f>SUMIFS(tblLaborEntries[Hours booked],tblLaborEntries[Work package ID],A52,tblLaborEntries[Work date serial],"&lt;="&amp;$B$4)</f>
        <v>0</v>
      </c>
      <c r="I52" s="10">
        <f t="shared" si="5"/>
        <v>35.295652173913</v>
      </c>
      <c r="J52" t="str">
        <f t="shared" si="6"/>
        <v>Due within 7 days</v>
      </c>
      <c r="K52" t="str">
        <f t="shared" si="7"/>
        <v>Work remains</v>
      </c>
    </row>
    <row r="53" spans="1:11" ht="15" x14ac:dyDescent="0.25">
      <c r="A53" t="str">
        <f>'Work packages'!A1701</f>
        <v>WP-01700</v>
      </c>
      <c r="B53" s="8">
        <f>'Work packages'!W1701</f>
        <v>46014.0</v>
      </c>
      <c r="C53" s="8">
        <f>'Work packages'!X1701</f>
        <v>46027.0</v>
      </c>
      <c r="D53" t="str">
        <f>'Work packages'!E1701</f>
        <v>Preflight inspection</v>
      </c>
      <c r="E53" t="str">
        <f>'Work packages'!G1701</f>
        <v>Airframe</v>
      </c>
      <c r="F53" t="str">
        <f>'Work packages'!I1701</f>
        <v>Routine</v>
      </c>
      <c r="G53" s="10">
        <f>'Work packages'!V1701</f>
        <v>4.42893081761006</v>
      </c>
      <c r="H53" s="10">
        <f>SUMIFS(tblLaborEntries[Hours booked],tblLaborEntries[Work package ID],A53,tblLaborEntries[Work date serial],"&lt;="&amp;$B$4)</f>
        <v>0</v>
      </c>
      <c r="I53" s="10">
        <f t="shared" si="5"/>
        <v>4.42893081761006</v>
      </c>
      <c r="J53" t="str">
        <f t="shared" si="6"/>
        <v>Due within 7 days</v>
      </c>
      <c r="K53" t="str">
        <f t="shared" si="7"/>
        <v>Work remains</v>
      </c>
    </row>
    <row r="54" spans="1:11" ht="15" x14ac:dyDescent="0.25">
      <c r="A54" t="str">
        <f>'Work packages'!A2106</f>
        <v>WP-02105</v>
      </c>
      <c r="B54" s="8">
        <f>'Work packages'!W2106</f>
        <v>46021.0</v>
      </c>
      <c r="C54" s="8">
        <f>'Work packages'!X2106</f>
        <v>46027.0</v>
      </c>
      <c r="D54" t="str">
        <f>'Work packages'!E2106</f>
        <v>Instrumentation installation</v>
      </c>
      <c r="E54" t="str">
        <f>'Work packages'!G2106</f>
        <v>Avionics</v>
      </c>
      <c r="F54" t="str">
        <f>'Work packages'!I2106</f>
        <v>High</v>
      </c>
      <c r="G54" s="10">
        <f>'Work packages'!V2106</f>
        <v>18.4207547169811</v>
      </c>
      <c r="H54" s="10">
        <f>SUMIFS(tblLaborEntries[Hours booked],tblLaborEntries[Work package ID],A54,tblLaborEntries[Work date serial],"&lt;="&amp;$B$4)</f>
        <v>0</v>
      </c>
      <c r="I54" s="10">
        <f t="shared" si="5"/>
        <v>18.4207547169811</v>
      </c>
      <c r="J54" t="str">
        <f t="shared" si="6"/>
        <v>Due within 7 days</v>
      </c>
      <c r="K54" t="str">
        <f t="shared" si="7"/>
        <v>Work remains</v>
      </c>
    </row>
    <row r="55" spans="1:11" ht="15" x14ac:dyDescent="0.25">
      <c r="A55" t="str">
        <f>'Work packages'!A666</f>
        <v>WP-00665</v>
      </c>
      <c r="B55" s="8">
        <f>'Work packages'!W666</f>
        <v>46016.0</v>
      </c>
      <c r="C55" s="8">
        <f>'Work packages'!X666</f>
        <v>46029.0</v>
      </c>
      <c r="D55" t="str">
        <f>'Work packages'!E666</f>
        <v>Preflight inspection</v>
      </c>
      <c r="E55" t="str">
        <f>'Work packages'!G666</f>
        <v>Airframe</v>
      </c>
      <c r="F55" t="str">
        <f>'Work packages'!I666</f>
        <v>Routine</v>
      </c>
      <c r="G55" s="10">
        <f>'Work packages'!V666</f>
        <v>3.02893081761006</v>
      </c>
      <c r="H55" s="10">
        <f>SUMIFS(tblLaborEntries[Hours booked],tblLaborEntries[Work package ID],A55,tblLaborEntries[Work date serial],"&lt;="&amp;$B$4)</f>
        <v>0</v>
      </c>
      <c r="I55" s="10">
        <f t="shared" si="5"/>
        <v>3.02893081761006</v>
      </c>
      <c r="J55" t="str">
        <f t="shared" si="6"/>
        <v>Later</v>
      </c>
      <c r="K55" t="str">
        <f t="shared" si="7"/>
        <v>Work remains</v>
      </c>
    </row>
    <row r="56" spans="1:11" ht="15" x14ac:dyDescent="0.25">
      <c r="A56" t="str">
        <f>'Work packages'!A1326</f>
        <v>WP-01325</v>
      </c>
      <c r="B56" s="8">
        <f>'Work packages'!W1326</f>
        <v>46016.0</v>
      </c>
      <c r="C56" s="8">
        <f>'Work packages'!X1326</f>
        <v>46029.0</v>
      </c>
      <c r="D56" t="str">
        <f>'Work packages'!E1326</f>
        <v>Structural repair</v>
      </c>
      <c r="E56" t="str">
        <f>'Work packages'!G1326</f>
        <v>Structures</v>
      </c>
      <c r="F56" t="str">
        <f>'Work packages'!I1326</f>
        <v>Routine</v>
      </c>
      <c r="G56" s="10">
        <f>'Work packages'!V1326</f>
        <v>36.495652173913</v>
      </c>
      <c r="H56" s="10">
        <f>SUMIFS(tblLaborEntries[Hours booked],tblLaborEntries[Work package ID],A56,tblLaborEntries[Work date serial],"&lt;="&amp;$B$4)</f>
        <v>0</v>
      </c>
      <c r="I56" s="10">
        <f t="shared" si="5"/>
        <v>36.495652173913</v>
      </c>
      <c r="J56" t="str">
        <f t="shared" si="6"/>
        <v>Later</v>
      </c>
      <c r="K56" t="str">
        <f t="shared" si="7"/>
        <v>Work remains</v>
      </c>
    </row>
    <row r="57" spans="1:11" ht="15" x14ac:dyDescent="0.25">
      <c r="A57" t="str">
        <f>'Work packages'!A2078</f>
        <v>WP-02077</v>
      </c>
      <c r="B57" s="8">
        <f>'Work packages'!W2078</f>
        <v>46017.0</v>
      </c>
      <c r="C57" s="8">
        <f>'Work packages'!X2078</f>
        <v>46030.0</v>
      </c>
      <c r="D57" t="str">
        <f>'Work packages'!E2078</f>
        <v>Sensor calibration</v>
      </c>
      <c r="E57" t="str">
        <f>'Work packages'!G2078</f>
        <v>Avionics</v>
      </c>
      <c r="F57" t="str">
        <f>'Work packages'!I2078</f>
        <v>Routine</v>
      </c>
      <c r="G57" s="10">
        <f>'Work packages'!V2078</f>
        <v>14.0916083916084</v>
      </c>
      <c r="H57" s="10">
        <f>SUMIFS(tblLaborEntries[Hours booked],tblLaborEntries[Work package ID],A57,tblLaborEntries[Work date serial],"&lt;="&amp;$B$4)</f>
        <v>0</v>
      </c>
      <c r="I57" s="10">
        <f t="shared" si="5"/>
        <v>14.0916083916084</v>
      </c>
      <c r="J57" t="str">
        <f t="shared" si="6"/>
        <v>Later</v>
      </c>
      <c r="K57" t="str">
        <f t="shared" si="7"/>
        <v>Work remains</v>
      </c>
    </row>
    <row r="58" spans="1:11" ht="15" x14ac:dyDescent="0.25">
      <c r="A58" t="str">
        <f>'Work packages'!A2024</f>
        <v>WP-02023</v>
      </c>
      <c r="B58" s="8">
        <f>'Work packages'!W2024</f>
        <v>46018.0</v>
      </c>
      <c r="C58" s="8">
        <f>'Work packages'!X2024</f>
        <v>46031.0</v>
      </c>
      <c r="D58" t="str">
        <f>'Work packages'!E2024</f>
        <v>Flight control inspection</v>
      </c>
      <c r="E58" t="str">
        <f>'Work packages'!G2024</f>
        <v>Airframe</v>
      </c>
      <c r="F58" t="str">
        <f>'Work packages'!I2024</f>
        <v>Routine</v>
      </c>
      <c r="G58" s="10">
        <f>'Work packages'!V2024</f>
        <v>4.74341085271318</v>
      </c>
      <c r="H58" s="10">
        <f>SUMIFS(tblLaborEntries[Hours booked],tblLaborEntries[Work package ID],A58,tblLaborEntries[Work date serial],"&lt;="&amp;$B$4)</f>
        <v>5.9</v>
      </c>
      <c r="I58" s="10">
        <f t="shared" si="5"/>
        <v>0</v>
      </c>
      <c r="J58" t="str">
        <f t="shared" si="6"/>
        <v>Later</v>
      </c>
      <c r="K58" t="str">
        <f t="shared" si="7"/>
        <v>Awaiting closeout</v>
      </c>
    </row>
    <row r="59" spans="1:11" ht="15" x14ac:dyDescent="0.25">
      <c r="A59" t="str">
        <f>'Work packages'!A1002</f>
        <v>WP-01001</v>
      </c>
      <c r="B59" s="8">
        <f>'Work packages'!W1002</f>
        <v>46019.0</v>
      </c>
      <c r="C59" s="8">
        <f>'Work packages'!X1002</f>
        <v>46032.0</v>
      </c>
      <c r="D59" t="str">
        <f>'Work packages'!E1002</f>
        <v>Postflight discrepancy review</v>
      </c>
      <c r="E59" t="str">
        <f>'Work packages'!G1002</f>
        <v>Avionics</v>
      </c>
      <c r="F59" t="str">
        <f>'Work packages'!I1002</f>
        <v>Routine</v>
      </c>
      <c r="G59" s="10">
        <f>'Work packages'!V1002</f>
        <v>8.73739837398374</v>
      </c>
      <c r="H59" s="10">
        <f>SUMIFS(tblLaborEntries[Hours booked],tblLaborEntries[Work package ID],A59,tblLaborEntries[Work date serial],"&lt;="&amp;$B$4)</f>
        <v>0</v>
      </c>
      <c r="I59" s="10">
        <f t="shared" si="5"/>
        <v>8.73739837398374</v>
      </c>
      <c r="J59" t="str">
        <f t="shared" si="6"/>
        <v>Later</v>
      </c>
      <c r="K59" t="str">
        <f t="shared" si="7"/>
        <v>Work remains</v>
      </c>
    </row>
    <row r="60" spans="1:11" ht="15" x14ac:dyDescent="0.25">
      <c r="A60" t="str">
        <f>'Work packages'!A2058</f>
        <v>WP-02057</v>
      </c>
      <c r="B60" s="8">
        <f>'Work packages'!W2058</f>
        <v>46019.0</v>
      </c>
      <c r="C60" s="8">
        <f>'Work packages'!X2058</f>
        <v>46032.0</v>
      </c>
      <c r="D60" t="str">
        <f>'Work packages'!E2058</f>
        <v>Hydraulic leak diagnosis</v>
      </c>
      <c r="E60" t="str">
        <f>'Work packages'!G2058</f>
        <v>Hydraulics</v>
      </c>
      <c r="F60" t="str">
        <f>'Work packages'!I2058</f>
        <v>Routine</v>
      </c>
      <c r="G60" s="10">
        <f>'Work packages'!V2058</f>
        <v>14.2735483870968</v>
      </c>
      <c r="H60" s="10">
        <f>SUMIFS(tblLaborEntries[Hours booked],tblLaborEntries[Work package ID],A60,tblLaborEntries[Work date serial],"&lt;="&amp;$B$4)</f>
        <v>0</v>
      </c>
      <c r="I60" s="10">
        <f t="shared" si="5"/>
        <v>14.2735483870968</v>
      </c>
      <c r="J60" t="str">
        <f t="shared" si="6"/>
        <v>Later</v>
      </c>
      <c r="K60" t="str">
        <f t="shared" si="7"/>
        <v>Work remains</v>
      </c>
    </row>
    <row r="61" spans="1:11" ht="15" x14ac:dyDescent="0.25">
      <c r="A61" t="str">
        <f>'Work packages'!A2313</f>
        <v>WP-02312</v>
      </c>
      <c r="B61" s="8">
        <f>'Work packages'!W2313</f>
        <v>46020.0</v>
      </c>
      <c r="C61" s="8">
        <f>'Work packages'!X2313</f>
        <v>46033.0</v>
      </c>
      <c r="D61" t="str">
        <f>'Work packages'!E2313</f>
        <v>Instrumentation installation</v>
      </c>
      <c r="E61" t="str">
        <f>'Work packages'!G2313</f>
        <v>Avionics</v>
      </c>
      <c r="F61" t="str">
        <f>'Work packages'!I2313</f>
        <v>Routine</v>
      </c>
      <c r="G61" s="10">
        <f>'Work packages'!V2313</f>
        <v>19.6207547169811</v>
      </c>
      <c r="H61" s="10">
        <f>SUMIFS(tblLaborEntries[Hours booked],tblLaborEntries[Work package ID],A61,tblLaborEntries[Work date serial],"&lt;="&amp;$B$4)</f>
        <v>0</v>
      </c>
      <c r="I61" s="10">
        <f t="shared" si="5"/>
        <v>19.6207547169811</v>
      </c>
      <c r="J61" t="str">
        <f t="shared" si="6"/>
        <v>Later</v>
      </c>
      <c r="K61" t="str">
        <f t="shared" si="7"/>
        <v>Work remains</v>
      </c>
    </row>
    <row r="62" spans="1:11" ht="15" x14ac:dyDescent="0.25">
      <c r="A62" t="str">
        <f>'Work packages'!A127</f>
        <v>WP-00126</v>
      </c>
      <c r="B62" s="8">
        <f>'Work packages'!W127</f>
        <v>46021.0</v>
      </c>
      <c r="C62" s="8">
        <f>'Work packages'!X127</f>
        <v>46034.0</v>
      </c>
      <c r="D62" t="str">
        <f>'Work packages'!E127</f>
        <v>Instrumentation installation</v>
      </c>
      <c r="E62" t="str">
        <f>'Work packages'!G127</f>
        <v>Avionics</v>
      </c>
      <c r="F62" t="str">
        <f>'Work packages'!I127</f>
        <v>Routine</v>
      </c>
      <c r="G62" s="10">
        <f>'Work packages'!V127</f>
        <v>18.4207547169811</v>
      </c>
      <c r="H62" s="10">
        <f>SUMIFS(tblLaborEntries[Hours booked],tblLaborEntries[Work package ID],A62,tblLaborEntries[Work date serial],"&lt;="&amp;$B$4)</f>
        <v>0</v>
      </c>
      <c r="I62" s="10">
        <f t="shared" si="5"/>
        <v>18.4207547169811</v>
      </c>
      <c r="J62" t="str">
        <f t="shared" si="6"/>
        <v>Later</v>
      </c>
      <c r="K62" t="str">
        <f t="shared" si="7"/>
        <v>Work remains</v>
      </c>
    </row>
    <row r="63" spans="1:11" ht="15" x14ac:dyDescent="0.25">
      <c r="A63" t="str">
        <f>'Work packages'!A540</f>
        <v>WP-00539</v>
      </c>
      <c r="B63" s="8">
        <f>'Work packages'!W540</f>
        <v>46021.0</v>
      </c>
      <c r="C63" s="8">
        <f>'Work packages'!X540</f>
        <v>46034.0</v>
      </c>
      <c r="D63" t="str">
        <f>'Work packages'!E540</f>
        <v>Instrumentation installation</v>
      </c>
      <c r="E63" t="str">
        <f>'Work packages'!G540</f>
        <v>Avionics</v>
      </c>
      <c r="F63" t="str">
        <f>'Work packages'!I540</f>
        <v>Routine</v>
      </c>
      <c r="G63" s="10">
        <f>'Work packages'!V540</f>
        <v>23.7207547169811</v>
      </c>
      <c r="H63" s="10">
        <f>SUMIFS(tblLaborEntries[Hours booked],tblLaborEntries[Work package ID],A63,tblLaborEntries[Work date serial],"&lt;="&amp;$B$4)</f>
        <v>0</v>
      </c>
      <c r="I63" s="10">
        <f t="shared" si="5"/>
        <v>23.7207547169811</v>
      </c>
      <c r="J63" t="str">
        <f t="shared" si="6"/>
        <v>Later</v>
      </c>
      <c r="K63" t="str">
        <f t="shared" si="7"/>
        <v>Work remains</v>
      </c>
    </row>
    <row r="64" spans="1:11" ht="15" x14ac:dyDescent="0.25">
      <c r="A64" t="str">
        <f>'Work packages'!A2093</f>
        <v>WP-02092</v>
      </c>
      <c r="B64" s="8">
        <f>'Work packages'!W2093</f>
        <v>46021.0</v>
      </c>
      <c r="C64" s="8">
        <f>'Work packages'!X2093</f>
        <v>46034.0</v>
      </c>
      <c r="D64" t="str">
        <f>'Work packages'!E2093</f>
        <v>Engine run support</v>
      </c>
      <c r="E64" t="str">
        <f>'Work packages'!G2093</f>
        <v>Powerplant</v>
      </c>
      <c r="F64" t="str">
        <f>'Work packages'!I2093</f>
        <v>Routine</v>
      </c>
      <c r="G64" s="10">
        <f>'Work packages'!V2093</f>
        <v>22.8246575342466</v>
      </c>
      <c r="H64" s="10">
        <f>SUMIFS(tblLaborEntries[Hours booked],tblLaborEntries[Work package ID],A64,tblLaborEntries[Work date serial],"&lt;="&amp;$B$4)</f>
        <v>0</v>
      </c>
      <c r="I64" s="10">
        <f t="shared" si="5"/>
        <v>22.8246575342466</v>
      </c>
      <c r="J64" t="str">
        <f t="shared" si="6"/>
        <v>Later</v>
      </c>
      <c r="K64" t="str">
        <f t="shared" si="7"/>
        <v>Work remains</v>
      </c>
    </row>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Q134"/>
  <sheetViews>
    <sheetView zoomScaleNormal="100" workbookViewId="0">
      <pane xSplit="2" ySplit="14" topLeftCell="C15" activePane="bottomRight" state="frozen"/>
      <selection pane="topRight" activeCell="C1" sqref="C1"/>
      <selection pane="bottomLeft" activeCell="A15" sqref="A15"/>
      <selection pane="bottomRight"/>
    </sheetView>
  </sheetViews>
  <sheetFormatPr defaultColWidth="8.7109375" defaultRowHeight="12.75" x14ac:dyDescent="0.2"/>
  <cols>
    <col min="1" max="1" width="40" customWidth="1"/>
    <col min="2" max="2" width="14" customWidth="1"/>
    <col min="3" max="3" width="16" customWidth="1"/>
    <col min="4" max="4" width="11" customWidth="1"/>
    <col min="5" max="5" width="30" customWidth="1"/>
    <col min="6" max="6" width="15" customWidth="1"/>
    <col min="7" max="7" width="16" customWidth="1"/>
    <col min="8" max="8" width="18" customWidth="1"/>
    <col min="9" max="10" width="13" customWidth="1"/>
    <col min="11" max="13" width="14" customWidth="1"/>
    <col min="14" max="15" width="12" customWidth="1"/>
    <col min="16" max="16" width="13" customWidth="1"/>
    <col min="17" max="17" width="14" customWidth="1"/>
  </cols>
  <sheetData>
    <row r="2" spans="1:17" ht="19.5" x14ac:dyDescent="0.3">
      <c r="A2" s="1" t="s">
        <v>9508</v>
      </c>
    </row>
    <row r="4" spans="1:17" ht="32" x14ac:dyDescent="0.2" customHeight="1">
      <c r="A4" s="5" t="s">
        <v>9509</v>
      </c>
      <c r="B4" s="5" t="s">
        <v>68</v>
      </c>
      <c r="E4" s="5" t="s">
        <v>9510</v>
      </c>
      <c r="F4" s="5" t="str">
        <v>Selection WMAPE</v>
      </c>
      <c r="G4" s="5" t="str">
        <v>Selection bias</v>
      </c>
      <c r="H4" s="5" t="str">
        <v>Selection RMSE</v>
      </c>
      <c r="I4" s="5" t="s">
        <v>9514</v>
      </c>
      <c r="J4" s="69" t="str">
        <v>Method</v>
      </c>
      <c r="K4" t="str" s="69">
        <v>Final-test WMAPE</v>
      </c>
      <c r="L4" t="str" s="69">
        <v>Final-test bias</v>
      </c>
      <c r="M4" t="str" s="69">
        <v>Final-test RMSE</v>
      </c>
      <c r="N4" s="69" t="str">
        <v>Chosen earlier</v>
      </c>
    </row>
    <row r="5" spans="1:17" x14ac:dyDescent="0.2" ht="30" customHeight="1">
      <c r="A5" s="2" t="str">
        <v>Complete history weeks</v>
      </c>
      <c r="B5" s="20">
        <f>COUNT(C15:C118)</f>
        <v>104</v>
      </c>
      <c r="E5" s="3" t="str">
        <v>Last observed week</v>
      </c>
      <c r="F5" s="6">
        <f>SUMIFS(I15:I132,$D$15:$D$132,"Selection")/SUMIFS($C$15:$C$132,$D$15:$D$132,"Selection")</f>
        <v>0.543628550074739</v>
      </c>
      <c r="G5" s="6">
        <f>(SUMIFS(E15:E132,$D$15:$D$132,"Selection")-SUMIFS($C$15:$C$132,$D$15:$D$132,"Selection"))/SUMIFS($C$15:$C$132,$D$15:$D$132,"Selection")</f>
        <v>0.543628550074739</v>
      </c>
      <c r="H5" s="9">
        <f>SQRT(SUMSQ(INDEX($I$15:$I$132,$B$7+1):INDEX($I$15:$I$132,$B$7+$B$6))/$B$6)</f>
        <v>144.471788568937</v>
      </c>
      <c r="I5" s="3" t="str">
        <f ca="1">IF($F$11=1,"Selected","")</f>
        <v/>
      </c>
      <c r="J5" t="str" s="71">
        <f>E5</f>
        <v>Last observed week</v>
      </c>
      <c r="K5" s="72">
        <f>SUMIFS(I15:I132,$D$15:$D$132,"Final test")/SUMIFS($C$15:$C$132,$D$15:$D$132,"Final test")</f>
        <v>0.182394087369671</v>
      </c>
      <c r="L5" s="72">
        <f>(SUMIFS(E15:E132,$D$15:$D$132,"Final test")-SUMIFS($C$15:$C$132,$D$15:$D$132,"Final test"))/SUMIFS($C$15:$C$132,$D$15:$D$132,"Final test")</f>
        <v>0.0422990629536755</v>
      </c>
      <c r="M5" s="73">
        <f>SQRT(SUMSQ(INDEX($I$15:$I$132,$B$7+$B$6+1):INDEX($I$15:$I$132,$B$7+2*$B$6))/$B$6)</f>
        <v>50.0414136183529</v>
      </c>
      <c r="N5" t="str" s="71">
        <f>IF($F$11=ROW()-4,"Chosen on selection","")</f>
        <v/>
      </c>
    </row>
    <row r="6" spans="1:17" x14ac:dyDescent="0.2" ht="30" customHeight="1">
      <c r="A6" s="2" t="str">
        <v>Weeks per evaluation window</v>
      </c>
      <c r="B6" s="21">
        <v>13</v>
      </c>
      <c r="E6" s="3" t="s">
        <v>9518</v>
      </c>
      <c r="F6" s="6">
        <f>SUMIFS(J15:J132,$D$15:$D$132,"Selection")/SUMIFS($C$15:$C$132,$D$15:$D$132,"Selection")</f>
        <v>0.287567309556014</v>
      </c>
      <c r="G6" s="6">
        <f>(SUMIFS(F15:F132,$D$15:$D$132,"Selection")-SUMIFS($C$15:$C$132,$D$15:$D$132,"Selection"))/SUMIFS($C$15:$C$132,$D$15:$D$132,"Selection")</f>
        <v>0.268715040129016</v>
      </c>
      <c r="H6" s="9">
        <f>SQRT(SUMSQ(INDEX($J$15:$J$132,$B$7+1):INDEX($J$15:$J$132,$B$7+$B$6))/$B$6)</f>
        <v>84.8324070564267</v>
      </c>
      <c r="I6" s="3" t="str">
        <f ca="1">IF($F$11=2,"Selected","")</f>
        <v/>
      </c>
      <c r="J6" t="str" s="71">
        <f>E6</f>
        <v>Linear trend</v>
      </c>
      <c r="K6" s="72">
        <f>SUMIFS(J15:J132,$D$15:$D$132,"Final test")/SUMIFS($C$15:$C$132,$D$15:$D$132,"Final test")</f>
        <v>0.278717934214833</v>
      </c>
      <c r="L6" s="72">
        <f>(SUMIFS(F15:F132,$D$15:$D$132,"Final test")-SUMIFS($C$15:$C$132,$D$15:$D$132,"Final test"))/SUMIFS($C$15:$C$132,$D$15:$D$132,"Final test")</f>
        <v>0.238489287756808</v>
      </c>
      <c r="M6" s="73">
        <f>SQRT(SUMSQ(INDEX($J$15:$J$132,$B$7+$B$6+1):INDEX($J$15:$J$132,$B$7+2*$B$6))/$B$6)</f>
        <v>73.9877497033851</v>
      </c>
      <c r="N6" t="str" s="71">
        <f>IF($F$11=ROW()-4,"Chosen on selection","")</f>
        <v/>
      </c>
    </row>
    <row r="7" spans="1:17" x14ac:dyDescent="0.2" ht="30" customHeight="1">
      <c r="A7" s="2" t="str">
        <v>Initial training weeks</v>
      </c>
      <c r="B7" s="20">
        <f>B5-2*B6</f>
        <v>78</v>
      </c>
      <c r="E7" s="3" t="s">
        <v>9520</v>
      </c>
      <c r="F7" s="6">
        <f>SUMIFS(K15:K132,$D$15:$D$132,"Selection")/SUMIFS($C$15:$C$132,$D$15:$D$132,"Selection")</f>
        <v>0.306916177992411</v>
      </c>
      <c r="G7" s="6">
        <f>(SUMIFS(G15:G132,$D$15:$D$132,"Selection")-SUMIFS($C$15:$C$132,$D$15:$D$132,"Selection"))/SUMIFS($C$15:$C$132,$D$15:$D$132,"Selection")</f>
        <v>0.292289486796213</v>
      </c>
      <c r="H7" s="9">
        <f>SQRT(SUMSQ(INDEX($K$15:$K$132,$B$7+1):INDEX($K$15:$K$132,$B$7+$B$6))/$B$6)</f>
        <v>89.7361675319021</v>
      </c>
      <c r="I7" s="3" t="str">
        <f ca="1">IF($F$11=3,"Selected","")</f>
        <v/>
      </c>
      <c r="J7" t="str" s="71">
        <f>E7</f>
        <v>Moving average</v>
      </c>
      <c r="K7" s="72">
        <f>SUMIFS(K15:K132,$D$15:$D$132,"Final test")/SUMIFS($C$15:$C$132,$D$15:$D$132,"Final test")</f>
        <v>0.189018385600146</v>
      </c>
      <c r="L7" s="72">
        <f>(SUMIFS(G15:G132,$D$15:$D$132,"Final test")-SUMIFS($C$15:$C$132,$D$15:$D$132,"Final test"))/SUMIFS($C$15:$C$132,$D$15:$D$132,"Final test")</f>
        <v>0.05952223835291</v>
      </c>
      <c r="M7" s="73">
        <f>SQRT(SUMSQ(INDEX($K$15:$K$132,$B$7+$B$6+1):INDEX($K$15:$K$132,$B$7+2*$B$6))/$B$6)</f>
        <v>50.9849206155851</v>
      </c>
      <c r="N7" t="str" s="71">
        <f>IF($F$11=ROW()-4,"Chosen on selection","")</f>
        <v/>
      </c>
    </row>
    <row r="8" spans="1:17" x14ac:dyDescent="0.2" ht="30" customHeight="1">
      <c r="A8" s="2" t="str">
        <v>Last complete week ends</v>
      </c>
      <c r="B8" s="74">
        <f>B118+6</f>
        <v>46019.0</v>
      </c>
      <c r="E8" s="3" t="s">
        <v>9522</v>
      </c>
      <c r="F8" s="6">
        <f>SUMIFS(L15:L132,$D$15:$D$132,"Selection")/SUMIFS($C$15:$C$132,$D$15:$D$132,"Selection")</f>
        <v>0.259155455904335</v>
      </c>
      <c r="G8" s="6">
        <f>(SUMIFS(H15:H132,$D$15:$D$132,"Selection")-SUMIFS($C$15:$C$132,$D$15:$D$132,"Selection"))/SUMIFS($C$15:$C$132,$D$15:$D$132,"Selection")</f>
        <v>-0.0509466865969108</v>
      </c>
      <c r="H8" s="9">
        <f>SQRT(SUMSQ(INDEX($L$15:$L$132,$B$7+1):INDEX($L$15:$L$132,$B$7+$B$6))/$B$6)</f>
        <v>75.5240868353116</v>
      </c>
      <c r="I8" s="3" t="str">
        <f ca="1">IF($F$11=4,"Selected","")</f>
        <v>Selected</v>
      </c>
      <c r="J8" t="str" s="71">
        <f>E8</f>
        <v>Same week last year</v>
      </c>
      <c r="K8" s="72">
        <f>SUMIFS(L15:L132,$D$15:$D$132,"Final test")/SUMIFS($C$15:$C$132,$D$15:$D$132,"Final test")</f>
        <v>0.266629272799261</v>
      </c>
      <c r="L8" s="72">
        <f>(SUMIFS(H15:H132,$D$15:$D$132,"Final test")-SUMIFS($C$15:$C$132,$D$15:$D$132,"Final test"))/SUMIFS($C$15:$C$132,$D$15:$D$132,"Final test")</f>
        <v>-0.0647023888082356</v>
      </c>
      <c r="M8" s="73">
        <f>SQRT(SUMSQ(INDEX($L$15:$L$132,$B$7+$B$6+1):INDEX($L$15:$L$132,$B$7+2*$B$6))/$B$6)</f>
        <v>67.8516084498427</v>
      </c>
      <c r="N8" t="str" s="71">
        <f>IF($F$11=ROW()-4,"Chosen on selection","")</f>
        <v>Chosen on selection</v>
      </c>
    </row>
    <row r="9" spans="1:17" x14ac:dyDescent="0.2">
      <c r="A9" s="2" t="s">
        <v>9523</v>
      </c>
      <c r="B9" s="21">
        <v>13</v>
      </c>
    </row>
    <row r="10" spans="1:17" x14ac:dyDescent="0.2">
      <c r="A10" s="2" t="str">
        <v>Illustrative band multiplier</v>
      </c>
      <c r="B10" s="17">
        <v>1.2816000000000001</v>
      </c>
      <c r="E10" s="2" t="str">
        <v>Selected using selection WMAPE</v>
      </c>
      <c r="F10" s="22" t="str">
        <f ca="1">INDEX(E5:E8,F11)</f>
        <v>Same week last year</v>
      </c>
    </row>
    <row r="11" spans="1:17" x14ac:dyDescent="0.2">
      <c r="E11" s="2" t="s">
        <v>9526</v>
      </c>
      <c r="F11" s="20">
        <f ca="1">MATCH(MIN(F5:F8),F5:F8,0)</f>
        <v>4</v>
      </c>
    </row>
    <row r="12" spans="1:17" x14ac:dyDescent="0.2">
      <c r="A12" s="4" t="str">
        <v>Choose the method on 13 selection weeks, then report a separate 13-week final test. Partial week Dec 29 is excluded. Demand is incoming estimated hours known at intake.</v>
      </c>
      <c r="E12" s="2" t="str">
        <v>Selected method final-test RMSE</v>
      </c>
      <c r="F12" s="9">
        <f>INDEX(M5:M8,F11)</f>
        <v>67.8516084498427</v>
      </c>
    </row>
    <row r="14" spans="1:17" ht="42" customHeight="1" x14ac:dyDescent="0.2">
      <c r="A14" s="5" t="s">
        <v>9529</v>
      </c>
      <c r="B14" s="5" t="s">
        <v>9440</v>
      </c>
      <c r="C14" s="5" t="str">
        <v>Incoming estimated hours</v>
      </c>
      <c r="D14" s="5" t="s">
        <v>3</v>
      </c>
      <c r="E14" s="5" t="str">
        <v>Last-observation forecast</v>
      </c>
      <c r="F14" s="5" t="s">
        <v>9532</v>
      </c>
      <c r="G14" s="5" t="s">
        <v>9533</v>
      </c>
      <c r="H14" s="5" t="s">
        <v>9534</v>
      </c>
      <c r="I14" s="5" t="str">
        <v>Last-observation abs error</v>
      </c>
      <c r="J14" s="5" t="s">
        <v>9536</v>
      </c>
      <c r="K14" s="5" t="s">
        <v>9537</v>
      </c>
      <c r="L14" s="5" t="s">
        <v>9538</v>
      </c>
      <c r="M14" s="5" t="s">
        <v>9539</v>
      </c>
      <c r="N14" s="5" t="str">
        <v>Illustrative lower band</v>
      </c>
      <c r="O14" s="5" t="str">
        <v>Illustrative upper band</v>
      </c>
      <c r="P14" s="5" t="s">
        <v>9542</v>
      </c>
      <c r="Q14" s="5" t="s">
        <v>9543</v>
      </c>
    </row>
    <row r="15" spans="1:17" x14ac:dyDescent="0.2">
      <c r="A15" s="20">
        <f t="shared" ref="A15:A46" si="0">ROW()-14</f>
        <v>1</v>
      </c>
      <c r="B15" s="23">
        <f>DATEVALUE('Weekly history'!A11)</f>
        <v>45292.0</v>
      </c>
      <c r="C15" s="9">
        <f>'Weekly history'!C11</f>
        <v>167.5</v>
      </c>
      <c r="D15" s="3" t="str">
        <f>IF(A15&gt;105,"Forecast",IF(A15=105,"Excluded partial",IF(A15&gt;$B$7+$B$6,"Final test",IF(A15&gt;$B$7,"Selection","Train"))))</f>
        <v>Train</v>
      </c>
      <c r="E15" s="9" t="str">
        <f>IF(D15="Selection",INDEX($C$15:$C$118,$B$7),IF(D15="Final test",INDEX($C$15:$C$118,$B$7+$B$6),IF(D15="Forecast",INDEX($C$15:$C$118,$B$5),"")))</f>
        <v/>
      </c>
      <c r="F15" s="9" t="str">
        <f>IF(OR(D15="Selection",D15="Final test",D15="Forecast"),FORECAST(A15,$C$15:INDEX($C$15:$C$118,IF(D15="Selection",$B$7,IF(D15="Final test",$B$7+$B$6,$B$5))),$A$15:INDEX($A$15:$A$118,IF(D15="Selection",$B$7,IF(D15="Final test",$B$7+$B$6,$B$5)))),"")</f>
        <v/>
      </c>
      <c r="G15" s="9" t="str">
        <f>IF(OR(D15="Selection",D15="Final test",D15="Forecast"),AVERAGE(INDEX($C$15:$C$118,IF(D15="Selection",$B$7,IF(D15="Final test",$B$7+$B$6,$B$5))-$B$9+1):INDEX($C$15:$C$118,IF(D15="Selection",$B$7,IF(D15="Final test",$B$7+$B$6,$B$5)))),"")</f>
        <v/>
      </c>
      <c r="H15" s="9" t="str">
        <f>IF(OR(D15="Selection",D15="Final test",D15="Forecast"),INDEX($C$15:$C$118,A15-52),"")</f>
        <v/>
      </c>
      <c r="I15" s="9" t="str">
        <f>IF(OR(D15="Selection",D15="Final test"),ABS(C15-E15),"")</f>
        <v/>
      </c>
      <c r="J15" s="9" t="str">
        <f>IF(OR(D15="Selection",D15="Final test"),ABS(C15-F15),"")</f>
        <v/>
      </c>
      <c r="K15" s="9" t="str">
        <f>IF(OR(D15="Selection",D15="Final test"),ABS(C15-G15),"")</f>
        <v/>
      </c>
      <c r="L15" s="9" t="str">
        <f>IF(OR(D15="Selection",D15="Final test"),ABS(C15-H15),"")</f>
        <v/>
      </c>
      <c r="M15" s="9" t="str">
        <f>IF(OR(D15="Selection",D15="Final test",D15="Forecast"),CHOOSE($F$11,E15,F15,G15,H15),"")</f>
        <v/>
      </c>
      <c r="N15" s="9" t="str">
        <f t="shared" ref="N15:N46" si="11">IF(M15="","",MAX(0,M15-$B$10*$F$12))</f>
        <v/>
      </c>
      <c r="O15" s="9" t="str">
        <f t="shared" ref="O15:O46" si="12">IF(M15="","",M15+$B$10*$F$12)</f>
        <v/>
      </c>
      <c r="P15" s="9" t="str">
        <f>IF($D15="Forecast",'Capacity and backlog'!$B$7,"")</f>
        <v/>
      </c>
      <c r="Q15" s="9" t="str">
        <f t="shared" ref="Q15:Q46" si="13">IF(P15="","",M15-P15)</f>
        <v/>
      </c>
    </row>
    <row r="16" spans="1:17" x14ac:dyDescent="0.2">
      <c r="A16" s="20">
        <f t="shared" si="0"/>
        <v>2</v>
      </c>
      <c r="B16" s="23">
        <f>DATEVALUE('Weekly history'!A12)</f>
        <v>45299.0</v>
      </c>
      <c r="C16" s="9">
        <f>'Weekly history'!C12</f>
        <v>249.9</v>
      </c>
      <c r="D16" s="3" t="str">
        <f>IF(A16&gt;105,"Forecast",IF(A16=105,"Excluded partial",IF(A16&gt;$B$7+$B$6,"Final test",IF(A16&gt;$B$7,"Selection","Train"))))</f>
        <v>Train</v>
      </c>
      <c r="E16" s="9" t="str">
        <f>IF(D16="Selection",INDEX($C$15:$C$118,$B$7),IF(D16="Final test",INDEX($C$15:$C$118,$B$7+$B$6),IF(D16="Forecast",INDEX($C$15:$C$118,$B$5),"")))</f>
        <v/>
      </c>
      <c r="F16" s="9" t="str">
        <f>IF(OR(D16="Selection",D16="Final test",D16="Forecast"),FORECAST(A16,$C$15:INDEX($C$15:$C$118,IF(D16="Selection",$B$7,IF(D16="Final test",$B$7+$B$6,$B$5))),$A$15:INDEX($A$15:$A$118,IF(D16="Selection",$B$7,IF(D16="Final test",$B$7+$B$6,$B$5)))),"")</f>
        <v/>
      </c>
      <c r="G16" s="9" t="str">
        <f>IF(OR(D16="Selection",D16="Final test",D16="Forecast"),AVERAGE(INDEX($C$15:$C$118,IF(D16="Selection",$B$7,IF(D16="Final test",$B$7+$B$6,$B$5))-$B$9+1):INDEX($C$15:$C$118,IF(D16="Selection",$B$7,IF(D16="Final test",$B$7+$B$6,$B$5)))),"")</f>
        <v/>
      </c>
      <c r="H16" s="9" t="str">
        <f>IF(OR(D16="Selection",D16="Final test",D16="Forecast"),INDEX($C$15:$C$118,A16-52),"")</f>
        <v/>
      </c>
      <c r="I16" s="9" t="str">
        <f>IF(OR(D16="Selection",D16="Final test"),ABS(C16-E16),"")</f>
        <v/>
      </c>
      <c r="J16" s="9" t="str">
        <f>IF(OR(D16="Selection",D16="Final test"),ABS(C16-F16),"")</f>
        <v/>
      </c>
      <c r="K16" s="9" t="str">
        <f>IF(OR(D16="Selection",D16="Final test"),ABS(C16-G16),"")</f>
        <v/>
      </c>
      <c r="L16" s="9" t="str">
        <f>IF(OR(D16="Selection",D16="Final test"),ABS(C16-H16),"")</f>
        <v/>
      </c>
      <c r="M16" s="9" t="str">
        <f>IF(OR(D16="Selection",D16="Final test",D16="Forecast"),CHOOSE($F$11,E16,F16,G16,H16),"")</f>
        <v/>
      </c>
      <c r="N16" s="9" t="str">
        <f t="shared" si="11"/>
        <v/>
      </c>
      <c r="O16" s="9" t="str">
        <f t="shared" si="12"/>
        <v/>
      </c>
      <c r="P16" s="9" t="str">
        <f>IF($D16="Forecast",'Capacity and backlog'!$B$7,"")</f>
        <v/>
      </c>
      <c r="Q16" s="9" t="str">
        <f t="shared" si="13"/>
        <v/>
      </c>
    </row>
    <row r="17" spans="1:17" x14ac:dyDescent="0.2">
      <c r="A17" s="20">
        <f t="shared" si="0"/>
        <v>3</v>
      </c>
      <c r="B17" s="23">
        <f>DATEVALUE('Weekly history'!A13)</f>
        <v>45306.0</v>
      </c>
      <c r="C17" s="9">
        <f>'Weekly history'!C13</f>
        <v>222.7</v>
      </c>
      <c r="D17" s="3" t="str">
        <f>IF(A17&gt;105,"Forecast",IF(A17=105,"Excluded partial",IF(A17&gt;$B$7+$B$6,"Final test",IF(A17&gt;$B$7,"Selection","Train"))))</f>
        <v>Train</v>
      </c>
      <c r="E17" s="9" t="str">
        <f>IF(D17="Selection",INDEX($C$15:$C$118,$B$7),IF(D17="Final test",INDEX($C$15:$C$118,$B$7+$B$6),IF(D17="Forecast",INDEX($C$15:$C$118,$B$5),"")))</f>
        <v/>
      </c>
      <c r="F17" s="9" t="str">
        <f>IF(OR(D17="Selection",D17="Final test",D17="Forecast"),FORECAST(A17,$C$15:INDEX($C$15:$C$118,IF(D17="Selection",$B$7,IF(D17="Final test",$B$7+$B$6,$B$5))),$A$15:INDEX($A$15:$A$118,IF(D17="Selection",$B$7,IF(D17="Final test",$B$7+$B$6,$B$5)))),"")</f>
        <v/>
      </c>
      <c r="G17" s="9" t="str">
        <f>IF(OR(D17="Selection",D17="Final test",D17="Forecast"),AVERAGE(INDEX($C$15:$C$118,IF(D17="Selection",$B$7,IF(D17="Final test",$B$7+$B$6,$B$5))-$B$9+1):INDEX($C$15:$C$118,IF(D17="Selection",$B$7,IF(D17="Final test",$B$7+$B$6,$B$5)))),"")</f>
        <v/>
      </c>
      <c r="H17" s="9" t="str">
        <f>IF(OR(D17="Selection",D17="Final test",D17="Forecast"),INDEX($C$15:$C$118,A17-52),"")</f>
        <v/>
      </c>
      <c r="I17" s="9" t="str">
        <f>IF(OR(D17="Selection",D17="Final test"),ABS(C17-E17),"")</f>
        <v/>
      </c>
      <c r="J17" s="9" t="str">
        <f>IF(OR(D17="Selection",D17="Final test"),ABS(C17-F17),"")</f>
        <v/>
      </c>
      <c r="K17" s="9" t="str">
        <f>IF(OR(D17="Selection",D17="Final test"),ABS(C17-G17),"")</f>
        <v/>
      </c>
      <c r="L17" s="9" t="str">
        <f>IF(OR(D17="Selection",D17="Final test"),ABS(C17-H17),"")</f>
        <v/>
      </c>
      <c r="M17" s="9" t="str">
        <f>IF(OR(D17="Selection",D17="Final test",D17="Forecast"),CHOOSE($F$11,E17,F17,G17,H17),"")</f>
        <v/>
      </c>
      <c r="N17" s="9" t="str">
        <f t="shared" si="11"/>
        <v/>
      </c>
      <c r="O17" s="9" t="str">
        <f t="shared" si="12"/>
        <v/>
      </c>
      <c r="P17" s="9" t="str">
        <f>IF($D17="Forecast",'Capacity and backlog'!$B$7,"")</f>
        <v/>
      </c>
      <c r="Q17" s="9" t="str">
        <f t="shared" si="13"/>
        <v/>
      </c>
    </row>
    <row r="18" spans="1:17" x14ac:dyDescent="0.2">
      <c r="A18" s="20">
        <f t="shared" si="0"/>
        <v>4</v>
      </c>
      <c r="B18" s="23">
        <f>DATEVALUE('Weekly history'!A14)</f>
        <v>45313.0</v>
      </c>
      <c r="C18" s="9">
        <f>'Weekly history'!C14</f>
        <v>227.3</v>
      </c>
      <c r="D18" s="3" t="str">
        <f>IF(A18&gt;105,"Forecast",IF(A18=105,"Excluded partial",IF(A18&gt;$B$7+$B$6,"Final test",IF(A18&gt;$B$7,"Selection","Train"))))</f>
        <v>Train</v>
      </c>
      <c r="E18" s="9" t="str">
        <f>IF(D18="Selection",INDEX($C$15:$C$118,$B$7),IF(D18="Final test",INDEX($C$15:$C$118,$B$7+$B$6),IF(D18="Forecast",INDEX($C$15:$C$118,$B$5),"")))</f>
        <v/>
      </c>
      <c r="F18" s="9" t="str">
        <f>IF(OR(D18="Selection",D18="Final test",D18="Forecast"),FORECAST(A18,$C$15:INDEX($C$15:$C$118,IF(D18="Selection",$B$7,IF(D18="Final test",$B$7+$B$6,$B$5))),$A$15:INDEX($A$15:$A$118,IF(D18="Selection",$B$7,IF(D18="Final test",$B$7+$B$6,$B$5)))),"")</f>
        <v/>
      </c>
      <c r="G18" s="9" t="str">
        <f>IF(OR(D18="Selection",D18="Final test",D18="Forecast"),AVERAGE(INDEX($C$15:$C$118,IF(D18="Selection",$B$7,IF(D18="Final test",$B$7+$B$6,$B$5))-$B$9+1):INDEX($C$15:$C$118,IF(D18="Selection",$B$7,IF(D18="Final test",$B$7+$B$6,$B$5)))),"")</f>
        <v/>
      </c>
      <c r="H18" s="9" t="str">
        <f>IF(OR(D18="Selection",D18="Final test",D18="Forecast"),INDEX($C$15:$C$118,A18-52),"")</f>
        <v/>
      </c>
      <c r="I18" s="9" t="str">
        <f>IF(OR(D18="Selection",D18="Final test"),ABS(C18-E18),"")</f>
        <v/>
      </c>
      <c r="J18" s="9" t="str">
        <f>IF(OR(D18="Selection",D18="Final test"),ABS(C18-F18),"")</f>
        <v/>
      </c>
      <c r="K18" s="9" t="str">
        <f>IF(OR(D18="Selection",D18="Final test"),ABS(C18-G18),"")</f>
        <v/>
      </c>
      <c r="L18" s="9" t="str">
        <f>IF(OR(D18="Selection",D18="Final test"),ABS(C18-H18),"")</f>
        <v/>
      </c>
      <c r="M18" s="9" t="str">
        <f>IF(OR(D18="Selection",D18="Final test",D18="Forecast"),CHOOSE($F$11,E18,F18,G18,H18),"")</f>
        <v/>
      </c>
      <c r="N18" s="9" t="str">
        <f t="shared" si="11"/>
        <v/>
      </c>
      <c r="O18" s="9" t="str">
        <f t="shared" si="12"/>
        <v/>
      </c>
      <c r="P18" s="9" t="str">
        <f>IF($D18="Forecast",'Capacity and backlog'!$B$7,"")</f>
        <v/>
      </c>
      <c r="Q18" s="9" t="str">
        <f t="shared" si="13"/>
        <v/>
      </c>
    </row>
    <row r="19" spans="1:17" x14ac:dyDescent="0.2">
      <c r="A19" s="20">
        <f t="shared" si="0"/>
        <v>5</v>
      </c>
      <c r="B19" s="23">
        <f>DATEVALUE('Weekly history'!A15)</f>
        <v>45320.0</v>
      </c>
      <c r="C19" s="9">
        <f>'Weekly history'!C15</f>
        <v>233.8</v>
      </c>
      <c r="D19" s="3" t="str">
        <f>IF(A19&gt;105,"Forecast",IF(A19=105,"Excluded partial",IF(A19&gt;$B$7+$B$6,"Final test",IF(A19&gt;$B$7,"Selection","Train"))))</f>
        <v>Train</v>
      </c>
      <c r="E19" s="9" t="str">
        <f>IF(D19="Selection",INDEX($C$15:$C$118,$B$7),IF(D19="Final test",INDEX($C$15:$C$118,$B$7+$B$6),IF(D19="Forecast",INDEX($C$15:$C$118,$B$5),"")))</f>
        <v/>
      </c>
      <c r="F19" s="9" t="str">
        <f>IF(OR(D19="Selection",D19="Final test",D19="Forecast"),FORECAST(A19,$C$15:INDEX($C$15:$C$118,IF(D19="Selection",$B$7,IF(D19="Final test",$B$7+$B$6,$B$5))),$A$15:INDEX($A$15:$A$118,IF(D19="Selection",$B$7,IF(D19="Final test",$B$7+$B$6,$B$5)))),"")</f>
        <v/>
      </c>
      <c r="G19" s="9" t="str">
        <f>IF(OR(D19="Selection",D19="Final test",D19="Forecast"),AVERAGE(INDEX($C$15:$C$118,IF(D19="Selection",$B$7,IF(D19="Final test",$B$7+$B$6,$B$5))-$B$9+1):INDEX($C$15:$C$118,IF(D19="Selection",$B$7,IF(D19="Final test",$B$7+$B$6,$B$5)))),"")</f>
        <v/>
      </c>
      <c r="H19" s="9" t="str">
        <f>IF(OR(D19="Selection",D19="Final test",D19="Forecast"),INDEX($C$15:$C$118,A19-52),"")</f>
        <v/>
      </c>
      <c r="I19" s="9" t="str">
        <f>IF(OR(D19="Selection",D19="Final test"),ABS(C19-E19),"")</f>
        <v/>
      </c>
      <c r="J19" s="9" t="str">
        <f>IF(OR(D19="Selection",D19="Final test"),ABS(C19-F19),"")</f>
        <v/>
      </c>
      <c r="K19" s="9" t="str">
        <f>IF(OR(D19="Selection",D19="Final test"),ABS(C19-G19),"")</f>
        <v/>
      </c>
      <c r="L19" s="9" t="str">
        <f>IF(OR(D19="Selection",D19="Final test"),ABS(C19-H19),"")</f>
        <v/>
      </c>
      <c r="M19" s="9" t="str">
        <f>IF(OR(D19="Selection",D19="Final test",D19="Forecast"),CHOOSE($F$11,E19,F19,G19,H19),"")</f>
        <v/>
      </c>
      <c r="N19" s="9" t="str">
        <f t="shared" si="11"/>
        <v/>
      </c>
      <c r="O19" s="9" t="str">
        <f t="shared" si="12"/>
        <v/>
      </c>
      <c r="P19" s="9" t="str">
        <f>IF($D19="Forecast",'Capacity and backlog'!$B$7,"")</f>
        <v/>
      </c>
      <c r="Q19" s="9" t="str">
        <f t="shared" si="13"/>
        <v/>
      </c>
    </row>
    <row r="20" spans="1:17" x14ac:dyDescent="0.2">
      <c r="A20" s="20">
        <f t="shared" si="0"/>
        <v>6</v>
      </c>
      <c r="B20" s="23">
        <f>DATEVALUE('Weekly history'!A16)</f>
        <v>45327.0</v>
      </c>
      <c r="C20" s="9">
        <f>'Weekly history'!C16</f>
        <v>237.4</v>
      </c>
      <c r="D20" s="3" t="str">
        <f>IF(A20&gt;105,"Forecast",IF(A20=105,"Excluded partial",IF(A20&gt;$B$7+$B$6,"Final test",IF(A20&gt;$B$7,"Selection","Train"))))</f>
        <v>Train</v>
      </c>
      <c r="E20" s="9" t="str">
        <f>IF(D20="Selection",INDEX($C$15:$C$118,$B$7),IF(D20="Final test",INDEX($C$15:$C$118,$B$7+$B$6),IF(D20="Forecast",INDEX($C$15:$C$118,$B$5),"")))</f>
        <v/>
      </c>
      <c r="F20" s="9" t="str">
        <f>IF(OR(D20="Selection",D20="Final test",D20="Forecast"),FORECAST(A20,$C$15:INDEX($C$15:$C$118,IF(D20="Selection",$B$7,IF(D20="Final test",$B$7+$B$6,$B$5))),$A$15:INDEX($A$15:$A$118,IF(D20="Selection",$B$7,IF(D20="Final test",$B$7+$B$6,$B$5)))),"")</f>
        <v/>
      </c>
      <c r="G20" s="9" t="str">
        <f>IF(OR(D20="Selection",D20="Final test",D20="Forecast"),AVERAGE(INDEX($C$15:$C$118,IF(D20="Selection",$B$7,IF(D20="Final test",$B$7+$B$6,$B$5))-$B$9+1):INDEX($C$15:$C$118,IF(D20="Selection",$B$7,IF(D20="Final test",$B$7+$B$6,$B$5)))),"")</f>
        <v/>
      </c>
      <c r="H20" s="9" t="str">
        <f>IF(OR(D20="Selection",D20="Final test",D20="Forecast"),INDEX($C$15:$C$118,A20-52),"")</f>
        <v/>
      </c>
      <c r="I20" s="9" t="str">
        <f>IF(OR(D20="Selection",D20="Final test"),ABS(C20-E20),"")</f>
        <v/>
      </c>
      <c r="J20" s="9" t="str">
        <f>IF(OR(D20="Selection",D20="Final test"),ABS(C20-F20),"")</f>
        <v/>
      </c>
      <c r="K20" s="9" t="str">
        <f>IF(OR(D20="Selection",D20="Final test"),ABS(C20-G20),"")</f>
        <v/>
      </c>
      <c r="L20" s="9" t="str">
        <f>IF(OR(D20="Selection",D20="Final test"),ABS(C20-H20),"")</f>
        <v/>
      </c>
      <c r="M20" s="9" t="str">
        <f>IF(OR(D20="Selection",D20="Final test",D20="Forecast"),CHOOSE($F$11,E20,F20,G20,H20),"")</f>
        <v/>
      </c>
      <c r="N20" s="9" t="str">
        <f t="shared" si="11"/>
        <v/>
      </c>
      <c r="O20" s="9" t="str">
        <f t="shared" si="12"/>
        <v/>
      </c>
      <c r="P20" s="9" t="str">
        <f>IF($D20="Forecast",'Capacity and backlog'!$B$7,"")</f>
        <v/>
      </c>
      <c r="Q20" s="9" t="str">
        <f t="shared" si="13"/>
        <v/>
      </c>
    </row>
    <row r="21" spans="1:17" x14ac:dyDescent="0.2">
      <c r="A21" s="20">
        <f t="shared" si="0"/>
        <v>7</v>
      </c>
      <c r="B21" s="23">
        <f>DATEVALUE('Weekly history'!A17)</f>
        <v>45334.0</v>
      </c>
      <c r="C21" s="9">
        <f>'Weekly history'!C17</f>
        <v>342.8</v>
      </c>
      <c r="D21" s="3" t="str">
        <f>IF(A21&gt;105,"Forecast",IF(A21=105,"Excluded partial",IF(A21&gt;$B$7+$B$6,"Final test",IF(A21&gt;$B$7,"Selection","Train"))))</f>
        <v>Train</v>
      </c>
      <c r="E21" s="9" t="str">
        <f>IF(D21="Selection",INDEX($C$15:$C$118,$B$7),IF(D21="Final test",INDEX($C$15:$C$118,$B$7+$B$6),IF(D21="Forecast",INDEX($C$15:$C$118,$B$5),"")))</f>
        <v/>
      </c>
      <c r="F21" s="9" t="str">
        <f>IF(OR(D21="Selection",D21="Final test",D21="Forecast"),FORECAST(A21,$C$15:INDEX($C$15:$C$118,IF(D21="Selection",$B$7,IF(D21="Final test",$B$7+$B$6,$B$5))),$A$15:INDEX($A$15:$A$118,IF(D21="Selection",$B$7,IF(D21="Final test",$B$7+$B$6,$B$5)))),"")</f>
        <v/>
      </c>
      <c r="G21" s="9" t="str">
        <f>IF(OR(D21="Selection",D21="Final test",D21="Forecast"),AVERAGE(INDEX($C$15:$C$118,IF(D21="Selection",$B$7,IF(D21="Final test",$B$7+$B$6,$B$5))-$B$9+1):INDEX($C$15:$C$118,IF(D21="Selection",$B$7,IF(D21="Final test",$B$7+$B$6,$B$5)))),"")</f>
        <v/>
      </c>
      <c r="H21" s="9" t="str">
        <f>IF(OR(D21="Selection",D21="Final test",D21="Forecast"),INDEX($C$15:$C$118,A21-52),"")</f>
        <v/>
      </c>
      <c r="I21" s="9" t="str">
        <f>IF(OR(D21="Selection",D21="Final test"),ABS(C21-E21),"")</f>
        <v/>
      </c>
      <c r="J21" s="9" t="str">
        <f>IF(OR(D21="Selection",D21="Final test"),ABS(C21-F21),"")</f>
        <v/>
      </c>
      <c r="K21" s="9" t="str">
        <f>IF(OR(D21="Selection",D21="Final test"),ABS(C21-G21),"")</f>
        <v/>
      </c>
      <c r="L21" s="9" t="str">
        <f>IF(OR(D21="Selection",D21="Final test"),ABS(C21-H21),"")</f>
        <v/>
      </c>
      <c r="M21" s="9" t="str">
        <f>IF(OR(D21="Selection",D21="Final test",D21="Forecast"),CHOOSE($F$11,E21,F21,G21,H21),"")</f>
        <v/>
      </c>
      <c r="N21" s="9" t="str">
        <f t="shared" si="11"/>
        <v/>
      </c>
      <c r="O21" s="9" t="str">
        <f t="shared" si="12"/>
        <v/>
      </c>
      <c r="P21" s="9" t="str">
        <f>IF($D21="Forecast",'Capacity and backlog'!$B$7,"")</f>
        <v/>
      </c>
      <c r="Q21" s="9" t="str">
        <f t="shared" si="13"/>
        <v/>
      </c>
    </row>
    <row r="22" spans="1:17" x14ac:dyDescent="0.2">
      <c r="A22" s="20">
        <f t="shared" si="0"/>
        <v>8</v>
      </c>
      <c r="B22" s="23">
        <f>DATEVALUE('Weekly history'!A18)</f>
        <v>45341.0</v>
      </c>
      <c r="C22" s="9">
        <f>'Weekly history'!C18</f>
        <v>135.4</v>
      </c>
      <c r="D22" s="3" t="str">
        <f>IF(A22&gt;105,"Forecast",IF(A22=105,"Excluded partial",IF(A22&gt;$B$7+$B$6,"Final test",IF(A22&gt;$B$7,"Selection","Train"))))</f>
        <v>Train</v>
      </c>
      <c r="E22" s="9" t="str">
        <f>IF(D22="Selection",INDEX($C$15:$C$118,$B$7),IF(D22="Final test",INDEX($C$15:$C$118,$B$7+$B$6),IF(D22="Forecast",INDEX($C$15:$C$118,$B$5),"")))</f>
        <v/>
      </c>
      <c r="F22" s="9" t="str">
        <f>IF(OR(D22="Selection",D22="Final test",D22="Forecast"),FORECAST(A22,$C$15:INDEX($C$15:$C$118,IF(D22="Selection",$B$7,IF(D22="Final test",$B$7+$B$6,$B$5))),$A$15:INDEX($A$15:$A$118,IF(D22="Selection",$B$7,IF(D22="Final test",$B$7+$B$6,$B$5)))),"")</f>
        <v/>
      </c>
      <c r="G22" s="9" t="str">
        <f>IF(OR(D22="Selection",D22="Final test",D22="Forecast"),AVERAGE(INDEX($C$15:$C$118,IF(D22="Selection",$B$7,IF(D22="Final test",$B$7+$B$6,$B$5))-$B$9+1):INDEX($C$15:$C$118,IF(D22="Selection",$B$7,IF(D22="Final test",$B$7+$B$6,$B$5)))),"")</f>
        <v/>
      </c>
      <c r="H22" s="9" t="str">
        <f>IF(OR(D22="Selection",D22="Final test",D22="Forecast"),INDEX($C$15:$C$118,A22-52),"")</f>
        <v/>
      </c>
      <c r="I22" s="9" t="str">
        <f>IF(OR(D22="Selection",D22="Final test"),ABS(C22-E22),"")</f>
        <v/>
      </c>
      <c r="J22" s="9" t="str">
        <f>IF(OR(D22="Selection",D22="Final test"),ABS(C22-F22),"")</f>
        <v/>
      </c>
      <c r="K22" s="9" t="str">
        <f>IF(OR(D22="Selection",D22="Final test"),ABS(C22-G22),"")</f>
        <v/>
      </c>
      <c r="L22" s="9" t="str">
        <f>IF(OR(D22="Selection",D22="Final test"),ABS(C22-H22),"")</f>
        <v/>
      </c>
      <c r="M22" s="9" t="str">
        <f>IF(OR(D22="Selection",D22="Final test",D22="Forecast"),CHOOSE($F$11,E22,F22,G22,H22),"")</f>
        <v/>
      </c>
      <c r="N22" s="9" t="str">
        <f t="shared" si="11"/>
        <v/>
      </c>
      <c r="O22" s="9" t="str">
        <f t="shared" si="12"/>
        <v/>
      </c>
      <c r="P22" s="9" t="str">
        <f>IF($D22="Forecast",'Capacity and backlog'!$B$7,"")</f>
        <v/>
      </c>
      <c r="Q22" s="9" t="str">
        <f t="shared" si="13"/>
        <v/>
      </c>
    </row>
    <row r="23" spans="1:17" x14ac:dyDescent="0.2">
      <c r="A23" s="20">
        <f t="shared" si="0"/>
        <v>9</v>
      </c>
      <c r="B23" s="23">
        <f>DATEVALUE('Weekly history'!A19)</f>
        <v>45348.0</v>
      </c>
      <c r="C23" s="9">
        <f>'Weekly history'!C19</f>
        <v>410.7</v>
      </c>
      <c r="D23" s="3" t="str">
        <f>IF(A23&gt;105,"Forecast",IF(A23=105,"Excluded partial",IF(A23&gt;$B$7+$B$6,"Final test",IF(A23&gt;$B$7,"Selection","Train"))))</f>
        <v>Train</v>
      </c>
      <c r="E23" s="9" t="str">
        <f>IF(D23="Selection",INDEX($C$15:$C$118,$B$7),IF(D23="Final test",INDEX($C$15:$C$118,$B$7+$B$6),IF(D23="Forecast",INDEX($C$15:$C$118,$B$5),"")))</f>
        <v/>
      </c>
      <c r="F23" s="9" t="str">
        <f>IF(OR(D23="Selection",D23="Final test",D23="Forecast"),FORECAST(A23,$C$15:INDEX($C$15:$C$118,IF(D23="Selection",$B$7,IF(D23="Final test",$B$7+$B$6,$B$5))),$A$15:INDEX($A$15:$A$118,IF(D23="Selection",$B$7,IF(D23="Final test",$B$7+$B$6,$B$5)))),"")</f>
        <v/>
      </c>
      <c r="G23" s="9" t="str">
        <f>IF(OR(D23="Selection",D23="Final test",D23="Forecast"),AVERAGE(INDEX($C$15:$C$118,IF(D23="Selection",$B$7,IF(D23="Final test",$B$7+$B$6,$B$5))-$B$9+1):INDEX($C$15:$C$118,IF(D23="Selection",$B$7,IF(D23="Final test",$B$7+$B$6,$B$5)))),"")</f>
        <v/>
      </c>
      <c r="H23" s="9" t="str">
        <f>IF(OR(D23="Selection",D23="Final test",D23="Forecast"),INDEX($C$15:$C$118,A23-52),"")</f>
        <v/>
      </c>
      <c r="I23" s="9" t="str">
        <f>IF(OR(D23="Selection",D23="Final test"),ABS(C23-E23),"")</f>
        <v/>
      </c>
      <c r="J23" s="9" t="str">
        <f>IF(OR(D23="Selection",D23="Final test"),ABS(C23-F23),"")</f>
        <v/>
      </c>
      <c r="K23" s="9" t="str">
        <f>IF(OR(D23="Selection",D23="Final test"),ABS(C23-G23),"")</f>
        <v/>
      </c>
      <c r="L23" s="9" t="str">
        <f>IF(OR(D23="Selection",D23="Final test"),ABS(C23-H23),"")</f>
        <v/>
      </c>
      <c r="M23" s="9" t="str">
        <f>IF(OR(D23="Selection",D23="Final test",D23="Forecast"),CHOOSE($F$11,E23,F23,G23,H23),"")</f>
        <v/>
      </c>
      <c r="N23" s="9" t="str">
        <f t="shared" si="11"/>
        <v/>
      </c>
      <c r="O23" s="9" t="str">
        <f t="shared" si="12"/>
        <v/>
      </c>
      <c r="P23" s="9" t="str">
        <f>IF($D23="Forecast",'Capacity and backlog'!$B$7,"")</f>
        <v/>
      </c>
      <c r="Q23" s="9" t="str">
        <f t="shared" si="13"/>
        <v/>
      </c>
    </row>
    <row r="24" spans="1:17" x14ac:dyDescent="0.2">
      <c r="A24" s="20">
        <f t="shared" si="0"/>
        <v>10</v>
      </c>
      <c r="B24" s="23">
        <f>DATEVALUE('Weekly history'!A20)</f>
        <v>45355.0</v>
      </c>
      <c r="C24" s="9">
        <f>'Weekly history'!C20</f>
        <v>399.2</v>
      </c>
      <c r="D24" s="3" t="str">
        <f>IF(A24&gt;105,"Forecast",IF(A24=105,"Excluded partial",IF(A24&gt;$B$7+$B$6,"Final test",IF(A24&gt;$B$7,"Selection","Train"))))</f>
        <v>Train</v>
      </c>
      <c r="E24" s="9" t="str">
        <f>IF(D24="Selection",INDEX($C$15:$C$118,$B$7),IF(D24="Final test",INDEX($C$15:$C$118,$B$7+$B$6),IF(D24="Forecast",INDEX($C$15:$C$118,$B$5),"")))</f>
        <v/>
      </c>
      <c r="F24" s="9" t="str">
        <f>IF(OR(D24="Selection",D24="Final test",D24="Forecast"),FORECAST(A24,$C$15:INDEX($C$15:$C$118,IF(D24="Selection",$B$7,IF(D24="Final test",$B$7+$B$6,$B$5))),$A$15:INDEX($A$15:$A$118,IF(D24="Selection",$B$7,IF(D24="Final test",$B$7+$B$6,$B$5)))),"")</f>
        <v/>
      </c>
      <c r="G24" s="9" t="str">
        <f>IF(OR(D24="Selection",D24="Final test",D24="Forecast"),AVERAGE(INDEX($C$15:$C$118,IF(D24="Selection",$B$7,IF(D24="Final test",$B$7+$B$6,$B$5))-$B$9+1):INDEX($C$15:$C$118,IF(D24="Selection",$B$7,IF(D24="Final test",$B$7+$B$6,$B$5)))),"")</f>
        <v/>
      </c>
      <c r="H24" s="9" t="str">
        <f>IF(OR(D24="Selection",D24="Final test",D24="Forecast"),INDEX($C$15:$C$118,A24-52),"")</f>
        <v/>
      </c>
      <c r="I24" s="9" t="str">
        <f>IF(OR(D24="Selection",D24="Final test"),ABS(C24-E24),"")</f>
        <v/>
      </c>
      <c r="J24" s="9" t="str">
        <f>IF(OR(D24="Selection",D24="Final test"),ABS(C24-F24),"")</f>
        <v/>
      </c>
      <c r="K24" s="9" t="str">
        <f>IF(OR(D24="Selection",D24="Final test"),ABS(C24-G24),"")</f>
        <v/>
      </c>
      <c r="L24" s="9" t="str">
        <f>IF(OR(D24="Selection",D24="Final test"),ABS(C24-H24),"")</f>
        <v/>
      </c>
      <c r="M24" s="9" t="str">
        <f>IF(OR(D24="Selection",D24="Final test",D24="Forecast"),CHOOSE($F$11,E24,F24,G24,H24),"")</f>
        <v/>
      </c>
      <c r="N24" s="9" t="str">
        <f t="shared" si="11"/>
        <v/>
      </c>
      <c r="O24" s="9" t="str">
        <f t="shared" si="12"/>
        <v/>
      </c>
      <c r="P24" s="9" t="str">
        <f>IF($D24="Forecast",'Capacity and backlog'!$B$7,"")</f>
        <v/>
      </c>
      <c r="Q24" s="9" t="str">
        <f t="shared" si="13"/>
        <v/>
      </c>
    </row>
    <row r="25" spans="1:17" x14ac:dyDescent="0.2">
      <c r="A25" s="20">
        <f t="shared" si="0"/>
        <v>11</v>
      </c>
      <c r="B25" s="23">
        <f>DATEVALUE('Weekly history'!A21)</f>
        <v>45362.0</v>
      </c>
      <c r="C25" s="9">
        <f>'Weekly history'!C21</f>
        <v>275.1</v>
      </c>
      <c r="D25" s="3" t="str">
        <f>IF(A25&gt;105,"Forecast",IF(A25=105,"Excluded partial",IF(A25&gt;$B$7+$B$6,"Final test",IF(A25&gt;$B$7,"Selection","Train"))))</f>
        <v>Train</v>
      </c>
      <c r="E25" s="9" t="str">
        <f>IF(D25="Selection",INDEX($C$15:$C$118,$B$7),IF(D25="Final test",INDEX($C$15:$C$118,$B$7+$B$6),IF(D25="Forecast",INDEX($C$15:$C$118,$B$5),"")))</f>
        <v/>
      </c>
      <c r="F25" s="9" t="str">
        <f>IF(OR(D25="Selection",D25="Final test",D25="Forecast"),FORECAST(A25,$C$15:INDEX($C$15:$C$118,IF(D25="Selection",$B$7,IF(D25="Final test",$B$7+$B$6,$B$5))),$A$15:INDEX($A$15:$A$118,IF(D25="Selection",$B$7,IF(D25="Final test",$B$7+$B$6,$B$5)))),"")</f>
        <v/>
      </c>
      <c r="G25" s="9" t="str">
        <f>IF(OR(D25="Selection",D25="Final test",D25="Forecast"),AVERAGE(INDEX($C$15:$C$118,IF(D25="Selection",$B$7,IF(D25="Final test",$B$7+$B$6,$B$5))-$B$9+1):INDEX($C$15:$C$118,IF(D25="Selection",$B$7,IF(D25="Final test",$B$7+$B$6,$B$5)))),"")</f>
        <v/>
      </c>
      <c r="H25" s="9" t="str">
        <f>IF(OR(D25="Selection",D25="Final test",D25="Forecast"),INDEX($C$15:$C$118,A25-52),"")</f>
        <v/>
      </c>
      <c r="I25" s="9" t="str">
        <f>IF(OR(D25="Selection",D25="Final test"),ABS(C25-E25),"")</f>
        <v/>
      </c>
      <c r="J25" s="9" t="str">
        <f>IF(OR(D25="Selection",D25="Final test"),ABS(C25-F25),"")</f>
        <v/>
      </c>
      <c r="K25" s="9" t="str">
        <f>IF(OR(D25="Selection",D25="Final test"),ABS(C25-G25),"")</f>
        <v/>
      </c>
      <c r="L25" s="9" t="str">
        <f>IF(OR(D25="Selection",D25="Final test"),ABS(C25-H25),"")</f>
        <v/>
      </c>
      <c r="M25" s="9" t="str">
        <f>IF(OR(D25="Selection",D25="Final test",D25="Forecast"),CHOOSE($F$11,E25,F25,G25,H25),"")</f>
        <v/>
      </c>
      <c r="N25" s="9" t="str">
        <f t="shared" si="11"/>
        <v/>
      </c>
      <c r="O25" s="9" t="str">
        <f t="shared" si="12"/>
        <v/>
      </c>
      <c r="P25" s="9" t="str">
        <f>IF($D25="Forecast",'Capacity and backlog'!$B$7,"")</f>
        <v/>
      </c>
      <c r="Q25" s="9" t="str">
        <f t="shared" si="13"/>
        <v/>
      </c>
    </row>
    <row r="26" spans="1:17" x14ac:dyDescent="0.2">
      <c r="A26" s="20">
        <f t="shared" si="0"/>
        <v>12</v>
      </c>
      <c r="B26" s="23">
        <f>DATEVALUE('Weekly history'!A22)</f>
        <v>45369.0</v>
      </c>
      <c r="C26" s="9">
        <f>'Weekly history'!C22</f>
        <v>200.3</v>
      </c>
      <c r="D26" s="3" t="str">
        <f>IF(A26&gt;105,"Forecast",IF(A26=105,"Excluded partial",IF(A26&gt;$B$7+$B$6,"Final test",IF(A26&gt;$B$7,"Selection","Train"))))</f>
        <v>Train</v>
      </c>
      <c r="E26" s="9" t="str">
        <f>IF(D26="Selection",INDEX($C$15:$C$118,$B$7),IF(D26="Final test",INDEX($C$15:$C$118,$B$7+$B$6),IF(D26="Forecast",INDEX($C$15:$C$118,$B$5),"")))</f>
        <v/>
      </c>
      <c r="F26" s="9" t="str">
        <f>IF(OR(D26="Selection",D26="Final test",D26="Forecast"),FORECAST(A26,$C$15:INDEX($C$15:$C$118,IF(D26="Selection",$B$7,IF(D26="Final test",$B$7+$B$6,$B$5))),$A$15:INDEX($A$15:$A$118,IF(D26="Selection",$B$7,IF(D26="Final test",$B$7+$B$6,$B$5)))),"")</f>
        <v/>
      </c>
      <c r="G26" s="9" t="str">
        <f>IF(OR(D26="Selection",D26="Final test",D26="Forecast"),AVERAGE(INDEX($C$15:$C$118,IF(D26="Selection",$B$7,IF(D26="Final test",$B$7+$B$6,$B$5))-$B$9+1):INDEX($C$15:$C$118,IF(D26="Selection",$B$7,IF(D26="Final test",$B$7+$B$6,$B$5)))),"")</f>
        <v/>
      </c>
      <c r="H26" s="9" t="str">
        <f>IF(OR(D26="Selection",D26="Final test",D26="Forecast"),INDEX($C$15:$C$118,A26-52),"")</f>
        <v/>
      </c>
      <c r="I26" s="9" t="str">
        <f>IF(OR(D26="Selection",D26="Final test"),ABS(C26-E26),"")</f>
        <v/>
      </c>
      <c r="J26" s="9" t="str">
        <f>IF(OR(D26="Selection",D26="Final test"),ABS(C26-F26),"")</f>
        <v/>
      </c>
      <c r="K26" s="9" t="str">
        <f>IF(OR(D26="Selection",D26="Final test"),ABS(C26-G26),"")</f>
        <v/>
      </c>
      <c r="L26" s="9" t="str">
        <f>IF(OR(D26="Selection",D26="Final test"),ABS(C26-H26),"")</f>
        <v/>
      </c>
      <c r="M26" s="9" t="str">
        <f>IF(OR(D26="Selection",D26="Final test",D26="Forecast"),CHOOSE($F$11,E26,F26,G26,H26),"")</f>
        <v/>
      </c>
      <c r="N26" s="9" t="str">
        <f t="shared" si="11"/>
        <v/>
      </c>
      <c r="O26" s="9" t="str">
        <f t="shared" si="12"/>
        <v/>
      </c>
      <c r="P26" s="9" t="str">
        <f>IF($D26="Forecast",'Capacity and backlog'!$B$7,"")</f>
        <v/>
      </c>
      <c r="Q26" s="9" t="str">
        <f t="shared" si="13"/>
        <v/>
      </c>
    </row>
    <row r="27" spans="1:17" x14ac:dyDescent="0.2">
      <c r="A27" s="20">
        <f t="shared" si="0"/>
        <v>13</v>
      </c>
      <c r="B27" s="23">
        <f>DATEVALUE('Weekly history'!A23)</f>
        <v>45376.0</v>
      </c>
      <c r="C27" s="9">
        <f>'Weekly history'!C23</f>
        <v>375.2</v>
      </c>
      <c r="D27" s="3" t="str">
        <f>IF(A27&gt;105,"Forecast",IF(A27=105,"Excluded partial",IF(A27&gt;$B$7+$B$6,"Final test",IF(A27&gt;$B$7,"Selection","Train"))))</f>
        <v>Train</v>
      </c>
      <c r="E27" s="9" t="str">
        <f>IF(D27="Selection",INDEX($C$15:$C$118,$B$7),IF(D27="Final test",INDEX($C$15:$C$118,$B$7+$B$6),IF(D27="Forecast",INDEX($C$15:$C$118,$B$5),"")))</f>
        <v/>
      </c>
      <c r="F27" s="9" t="str">
        <f>IF(OR(D27="Selection",D27="Final test",D27="Forecast"),FORECAST(A27,$C$15:INDEX($C$15:$C$118,IF(D27="Selection",$B$7,IF(D27="Final test",$B$7+$B$6,$B$5))),$A$15:INDEX($A$15:$A$118,IF(D27="Selection",$B$7,IF(D27="Final test",$B$7+$B$6,$B$5)))),"")</f>
        <v/>
      </c>
      <c r="G27" s="9" t="str">
        <f>IF(OR(D27="Selection",D27="Final test",D27="Forecast"),AVERAGE(INDEX($C$15:$C$118,IF(D27="Selection",$B$7,IF(D27="Final test",$B$7+$B$6,$B$5))-$B$9+1):INDEX($C$15:$C$118,IF(D27="Selection",$B$7,IF(D27="Final test",$B$7+$B$6,$B$5)))),"")</f>
        <v/>
      </c>
      <c r="H27" s="9" t="str">
        <f>IF(OR(D27="Selection",D27="Final test",D27="Forecast"),INDEX($C$15:$C$118,A27-52),"")</f>
        <v/>
      </c>
      <c r="I27" s="9" t="str">
        <f>IF(OR(D27="Selection",D27="Final test"),ABS(C27-E27),"")</f>
        <v/>
      </c>
      <c r="J27" s="9" t="str">
        <f>IF(OR(D27="Selection",D27="Final test"),ABS(C27-F27),"")</f>
        <v/>
      </c>
      <c r="K27" s="9" t="str">
        <f>IF(OR(D27="Selection",D27="Final test"),ABS(C27-G27),"")</f>
        <v/>
      </c>
      <c r="L27" s="9" t="str">
        <f>IF(OR(D27="Selection",D27="Final test"),ABS(C27-H27),"")</f>
        <v/>
      </c>
      <c r="M27" s="9" t="str">
        <f>IF(OR(D27="Selection",D27="Final test",D27="Forecast"),CHOOSE($F$11,E27,F27,G27,H27),"")</f>
        <v/>
      </c>
      <c r="N27" s="9" t="str">
        <f t="shared" si="11"/>
        <v/>
      </c>
      <c r="O27" s="9" t="str">
        <f t="shared" si="12"/>
        <v/>
      </c>
      <c r="P27" s="9" t="str">
        <f>IF($D27="Forecast",'Capacity and backlog'!$B$7,"")</f>
        <v/>
      </c>
      <c r="Q27" s="9" t="str">
        <f t="shared" si="13"/>
        <v/>
      </c>
    </row>
    <row r="28" spans="1:17" x14ac:dyDescent="0.2">
      <c r="A28" s="20">
        <f t="shared" si="0"/>
        <v>14</v>
      </c>
      <c r="B28" s="23">
        <f>DATEVALUE('Weekly history'!A24)</f>
        <v>45383.0</v>
      </c>
      <c r="C28" s="9">
        <f>'Weekly history'!C24</f>
        <v>316.1</v>
      </c>
      <c r="D28" s="3" t="str">
        <f>IF(A28&gt;105,"Forecast",IF(A28=105,"Excluded partial",IF(A28&gt;$B$7+$B$6,"Final test",IF(A28&gt;$B$7,"Selection","Train"))))</f>
        <v>Train</v>
      </c>
      <c r="E28" s="9" t="str">
        <f>IF(D28="Selection",INDEX($C$15:$C$118,$B$7),IF(D28="Final test",INDEX($C$15:$C$118,$B$7+$B$6),IF(D28="Forecast",INDEX($C$15:$C$118,$B$5),"")))</f>
        <v/>
      </c>
      <c r="F28" s="9" t="str">
        <f>IF(OR(D28="Selection",D28="Final test",D28="Forecast"),FORECAST(A28,$C$15:INDEX($C$15:$C$118,IF(D28="Selection",$B$7,IF(D28="Final test",$B$7+$B$6,$B$5))),$A$15:INDEX($A$15:$A$118,IF(D28="Selection",$B$7,IF(D28="Final test",$B$7+$B$6,$B$5)))),"")</f>
        <v/>
      </c>
      <c r="G28" s="9" t="str">
        <f>IF(OR(D28="Selection",D28="Final test",D28="Forecast"),AVERAGE(INDEX($C$15:$C$118,IF(D28="Selection",$B$7,IF(D28="Final test",$B$7+$B$6,$B$5))-$B$9+1):INDEX($C$15:$C$118,IF(D28="Selection",$B$7,IF(D28="Final test",$B$7+$B$6,$B$5)))),"")</f>
        <v/>
      </c>
      <c r="H28" s="9" t="str">
        <f>IF(OR(D28="Selection",D28="Final test",D28="Forecast"),INDEX($C$15:$C$118,A28-52),"")</f>
        <v/>
      </c>
      <c r="I28" s="9" t="str">
        <f>IF(OR(D28="Selection",D28="Final test"),ABS(C28-E28),"")</f>
        <v/>
      </c>
      <c r="J28" s="9" t="str">
        <f>IF(OR(D28="Selection",D28="Final test"),ABS(C28-F28),"")</f>
        <v/>
      </c>
      <c r="K28" s="9" t="str">
        <f>IF(OR(D28="Selection",D28="Final test"),ABS(C28-G28),"")</f>
        <v/>
      </c>
      <c r="L28" s="9" t="str">
        <f>IF(OR(D28="Selection",D28="Final test"),ABS(C28-H28),"")</f>
        <v/>
      </c>
      <c r="M28" s="9" t="str">
        <f>IF(OR(D28="Selection",D28="Final test",D28="Forecast"),CHOOSE($F$11,E28,F28,G28,H28),"")</f>
        <v/>
      </c>
      <c r="N28" s="9" t="str">
        <f t="shared" si="11"/>
        <v/>
      </c>
      <c r="O28" s="9" t="str">
        <f t="shared" si="12"/>
        <v/>
      </c>
      <c r="P28" s="9" t="str">
        <f>IF($D28="Forecast",'Capacity and backlog'!$B$7,"")</f>
        <v/>
      </c>
      <c r="Q28" s="9" t="str">
        <f t="shared" si="13"/>
        <v/>
      </c>
    </row>
    <row r="29" spans="1:17" x14ac:dyDescent="0.2">
      <c r="A29" s="20">
        <f t="shared" si="0"/>
        <v>15</v>
      </c>
      <c r="B29" s="23">
        <f>DATEVALUE('Weekly history'!A25)</f>
        <v>45390.0</v>
      </c>
      <c r="C29" s="9">
        <f>'Weekly history'!C25</f>
        <v>251.8</v>
      </c>
      <c r="D29" s="3" t="str">
        <f>IF(A29&gt;105,"Forecast",IF(A29=105,"Excluded partial",IF(A29&gt;$B$7+$B$6,"Final test",IF(A29&gt;$B$7,"Selection","Train"))))</f>
        <v>Train</v>
      </c>
      <c r="E29" s="9" t="str">
        <f>IF(D29="Selection",INDEX($C$15:$C$118,$B$7),IF(D29="Final test",INDEX($C$15:$C$118,$B$7+$B$6),IF(D29="Forecast",INDEX($C$15:$C$118,$B$5),"")))</f>
        <v/>
      </c>
      <c r="F29" s="9" t="str">
        <f>IF(OR(D29="Selection",D29="Final test",D29="Forecast"),FORECAST(A29,$C$15:INDEX($C$15:$C$118,IF(D29="Selection",$B$7,IF(D29="Final test",$B$7+$B$6,$B$5))),$A$15:INDEX($A$15:$A$118,IF(D29="Selection",$B$7,IF(D29="Final test",$B$7+$B$6,$B$5)))),"")</f>
        <v/>
      </c>
      <c r="G29" s="9" t="str">
        <f>IF(OR(D29="Selection",D29="Final test",D29="Forecast"),AVERAGE(INDEX($C$15:$C$118,IF(D29="Selection",$B$7,IF(D29="Final test",$B$7+$B$6,$B$5))-$B$9+1):INDEX($C$15:$C$118,IF(D29="Selection",$B$7,IF(D29="Final test",$B$7+$B$6,$B$5)))),"")</f>
        <v/>
      </c>
      <c r="H29" s="9" t="str">
        <f>IF(OR(D29="Selection",D29="Final test",D29="Forecast"),INDEX($C$15:$C$118,A29-52),"")</f>
        <v/>
      </c>
      <c r="I29" s="9" t="str">
        <f>IF(OR(D29="Selection",D29="Final test"),ABS(C29-E29),"")</f>
        <v/>
      </c>
      <c r="J29" s="9" t="str">
        <f>IF(OR(D29="Selection",D29="Final test"),ABS(C29-F29),"")</f>
        <v/>
      </c>
      <c r="K29" s="9" t="str">
        <f>IF(OR(D29="Selection",D29="Final test"),ABS(C29-G29),"")</f>
        <v/>
      </c>
      <c r="L29" s="9" t="str">
        <f>IF(OR(D29="Selection",D29="Final test"),ABS(C29-H29),"")</f>
        <v/>
      </c>
      <c r="M29" s="9" t="str">
        <f>IF(OR(D29="Selection",D29="Final test",D29="Forecast"),CHOOSE($F$11,E29,F29,G29,H29),"")</f>
        <v/>
      </c>
      <c r="N29" s="9" t="str">
        <f t="shared" si="11"/>
        <v/>
      </c>
      <c r="O29" s="9" t="str">
        <f t="shared" si="12"/>
        <v/>
      </c>
      <c r="P29" s="9" t="str">
        <f>IF($D29="Forecast",'Capacity and backlog'!$B$7,"")</f>
        <v/>
      </c>
      <c r="Q29" s="9" t="str">
        <f t="shared" si="13"/>
        <v/>
      </c>
    </row>
    <row r="30" spans="1:17" x14ac:dyDescent="0.2">
      <c r="A30" s="20">
        <f t="shared" si="0"/>
        <v>16</v>
      </c>
      <c r="B30" s="23">
        <f>DATEVALUE('Weekly history'!A26)</f>
        <v>45397.0</v>
      </c>
      <c r="C30" s="9">
        <f>'Weekly history'!C26</f>
        <v>452.8</v>
      </c>
      <c r="D30" s="3" t="str">
        <f>IF(A30&gt;105,"Forecast",IF(A30=105,"Excluded partial",IF(A30&gt;$B$7+$B$6,"Final test",IF(A30&gt;$B$7,"Selection","Train"))))</f>
        <v>Train</v>
      </c>
      <c r="E30" s="9" t="str">
        <f>IF(D30="Selection",INDEX($C$15:$C$118,$B$7),IF(D30="Final test",INDEX($C$15:$C$118,$B$7+$B$6),IF(D30="Forecast",INDEX($C$15:$C$118,$B$5),"")))</f>
        <v/>
      </c>
      <c r="F30" s="9" t="str">
        <f>IF(OR(D30="Selection",D30="Final test",D30="Forecast"),FORECAST(A30,$C$15:INDEX($C$15:$C$118,IF(D30="Selection",$B$7,IF(D30="Final test",$B$7+$B$6,$B$5))),$A$15:INDEX($A$15:$A$118,IF(D30="Selection",$B$7,IF(D30="Final test",$B$7+$B$6,$B$5)))),"")</f>
        <v/>
      </c>
      <c r="G30" s="9" t="str">
        <f>IF(OR(D30="Selection",D30="Final test",D30="Forecast"),AVERAGE(INDEX($C$15:$C$118,IF(D30="Selection",$B$7,IF(D30="Final test",$B$7+$B$6,$B$5))-$B$9+1):INDEX($C$15:$C$118,IF(D30="Selection",$B$7,IF(D30="Final test",$B$7+$B$6,$B$5)))),"")</f>
        <v/>
      </c>
      <c r="H30" s="9" t="str">
        <f>IF(OR(D30="Selection",D30="Final test",D30="Forecast"),INDEX($C$15:$C$118,A30-52),"")</f>
        <v/>
      </c>
      <c r="I30" s="9" t="str">
        <f>IF(OR(D30="Selection",D30="Final test"),ABS(C30-E30),"")</f>
        <v/>
      </c>
      <c r="J30" s="9" t="str">
        <f>IF(OR(D30="Selection",D30="Final test"),ABS(C30-F30),"")</f>
        <v/>
      </c>
      <c r="K30" s="9" t="str">
        <f>IF(OR(D30="Selection",D30="Final test"),ABS(C30-G30),"")</f>
        <v/>
      </c>
      <c r="L30" s="9" t="str">
        <f>IF(OR(D30="Selection",D30="Final test"),ABS(C30-H30),"")</f>
        <v/>
      </c>
      <c r="M30" s="9" t="str">
        <f>IF(OR(D30="Selection",D30="Final test",D30="Forecast"),CHOOSE($F$11,E30,F30,G30,H30),"")</f>
        <v/>
      </c>
      <c r="N30" s="9" t="str">
        <f t="shared" si="11"/>
        <v/>
      </c>
      <c r="O30" s="9" t="str">
        <f t="shared" si="12"/>
        <v/>
      </c>
      <c r="P30" s="9" t="str">
        <f>IF($D30="Forecast",'Capacity and backlog'!$B$7,"")</f>
        <v/>
      </c>
      <c r="Q30" s="9" t="str">
        <f t="shared" si="13"/>
        <v/>
      </c>
    </row>
    <row r="31" spans="1:17" x14ac:dyDescent="0.2">
      <c r="A31" s="20">
        <f t="shared" si="0"/>
        <v>17</v>
      </c>
      <c r="B31" s="23">
        <f>DATEVALUE('Weekly history'!A27)</f>
        <v>45404.0</v>
      </c>
      <c r="C31" s="9">
        <f>'Weekly history'!C27</f>
        <v>137.8</v>
      </c>
      <c r="D31" s="3" t="str">
        <f>IF(A31&gt;105,"Forecast",IF(A31=105,"Excluded partial",IF(A31&gt;$B$7+$B$6,"Final test",IF(A31&gt;$B$7,"Selection","Train"))))</f>
        <v>Train</v>
      </c>
      <c r="E31" s="9" t="str">
        <f>IF(D31="Selection",INDEX($C$15:$C$118,$B$7),IF(D31="Final test",INDEX($C$15:$C$118,$B$7+$B$6),IF(D31="Forecast",INDEX($C$15:$C$118,$B$5),"")))</f>
        <v/>
      </c>
      <c r="F31" s="9" t="str">
        <f>IF(OR(D31="Selection",D31="Final test",D31="Forecast"),FORECAST(A31,$C$15:INDEX($C$15:$C$118,IF(D31="Selection",$B$7,IF(D31="Final test",$B$7+$B$6,$B$5))),$A$15:INDEX($A$15:$A$118,IF(D31="Selection",$B$7,IF(D31="Final test",$B$7+$B$6,$B$5)))),"")</f>
        <v/>
      </c>
      <c r="G31" s="9" t="str">
        <f>IF(OR(D31="Selection",D31="Final test",D31="Forecast"),AVERAGE(INDEX($C$15:$C$118,IF(D31="Selection",$B$7,IF(D31="Final test",$B$7+$B$6,$B$5))-$B$9+1):INDEX($C$15:$C$118,IF(D31="Selection",$B$7,IF(D31="Final test",$B$7+$B$6,$B$5)))),"")</f>
        <v/>
      </c>
      <c r="H31" s="9" t="str">
        <f>IF(OR(D31="Selection",D31="Final test",D31="Forecast"),INDEX($C$15:$C$118,A31-52),"")</f>
        <v/>
      </c>
      <c r="I31" s="9" t="str">
        <f>IF(OR(D31="Selection",D31="Final test"),ABS(C31-E31),"")</f>
        <v/>
      </c>
      <c r="J31" s="9" t="str">
        <f>IF(OR(D31="Selection",D31="Final test"),ABS(C31-F31),"")</f>
        <v/>
      </c>
      <c r="K31" s="9" t="str">
        <f>IF(OR(D31="Selection",D31="Final test"),ABS(C31-G31),"")</f>
        <v/>
      </c>
      <c r="L31" s="9" t="str">
        <f>IF(OR(D31="Selection",D31="Final test"),ABS(C31-H31),"")</f>
        <v/>
      </c>
      <c r="M31" s="9" t="str">
        <f>IF(OR(D31="Selection",D31="Final test",D31="Forecast"),CHOOSE($F$11,E31,F31,G31,H31),"")</f>
        <v/>
      </c>
      <c r="N31" s="9" t="str">
        <f t="shared" si="11"/>
        <v/>
      </c>
      <c r="O31" s="9" t="str">
        <f t="shared" si="12"/>
        <v/>
      </c>
      <c r="P31" s="9" t="str">
        <f>IF($D31="Forecast",'Capacity and backlog'!$B$7,"")</f>
        <v/>
      </c>
      <c r="Q31" s="9" t="str">
        <f t="shared" si="13"/>
        <v/>
      </c>
    </row>
    <row r="32" spans="1:17" x14ac:dyDescent="0.2">
      <c r="A32" s="20">
        <f t="shared" si="0"/>
        <v>18</v>
      </c>
      <c r="B32" s="23">
        <f>DATEVALUE('Weekly history'!A28)</f>
        <v>45411.0</v>
      </c>
      <c r="C32" s="9">
        <f>'Weekly history'!C28</f>
        <v>232.7</v>
      </c>
      <c r="D32" s="3" t="str">
        <f>IF(A32&gt;105,"Forecast",IF(A32=105,"Excluded partial",IF(A32&gt;$B$7+$B$6,"Final test",IF(A32&gt;$B$7,"Selection","Train"))))</f>
        <v>Train</v>
      </c>
      <c r="E32" s="9" t="str">
        <f>IF(D32="Selection",INDEX($C$15:$C$118,$B$7),IF(D32="Final test",INDEX($C$15:$C$118,$B$7+$B$6),IF(D32="Forecast",INDEX($C$15:$C$118,$B$5),"")))</f>
        <v/>
      </c>
      <c r="F32" s="9" t="str">
        <f>IF(OR(D32="Selection",D32="Final test",D32="Forecast"),FORECAST(A32,$C$15:INDEX($C$15:$C$118,IF(D32="Selection",$B$7,IF(D32="Final test",$B$7+$B$6,$B$5))),$A$15:INDEX($A$15:$A$118,IF(D32="Selection",$B$7,IF(D32="Final test",$B$7+$B$6,$B$5)))),"")</f>
        <v/>
      </c>
      <c r="G32" s="9" t="str">
        <f>IF(OR(D32="Selection",D32="Final test",D32="Forecast"),AVERAGE(INDEX($C$15:$C$118,IF(D32="Selection",$B$7,IF(D32="Final test",$B$7+$B$6,$B$5))-$B$9+1):INDEX($C$15:$C$118,IF(D32="Selection",$B$7,IF(D32="Final test",$B$7+$B$6,$B$5)))),"")</f>
        <v/>
      </c>
      <c r="H32" s="9" t="str">
        <f>IF(OR(D32="Selection",D32="Final test",D32="Forecast"),INDEX($C$15:$C$118,A32-52),"")</f>
        <v/>
      </c>
      <c r="I32" s="9" t="str">
        <f>IF(OR(D32="Selection",D32="Final test"),ABS(C32-E32),"")</f>
        <v/>
      </c>
      <c r="J32" s="9" t="str">
        <f>IF(OR(D32="Selection",D32="Final test"),ABS(C32-F32),"")</f>
        <v/>
      </c>
      <c r="K32" s="9" t="str">
        <f>IF(OR(D32="Selection",D32="Final test"),ABS(C32-G32),"")</f>
        <v/>
      </c>
      <c r="L32" s="9" t="str">
        <f>IF(OR(D32="Selection",D32="Final test"),ABS(C32-H32),"")</f>
        <v/>
      </c>
      <c r="M32" s="9" t="str">
        <f>IF(OR(D32="Selection",D32="Final test",D32="Forecast"),CHOOSE($F$11,E32,F32,G32,H32),"")</f>
        <v/>
      </c>
      <c r="N32" s="9" t="str">
        <f t="shared" si="11"/>
        <v/>
      </c>
      <c r="O32" s="9" t="str">
        <f t="shared" si="12"/>
        <v/>
      </c>
      <c r="P32" s="9" t="str">
        <f>IF($D32="Forecast",'Capacity and backlog'!$B$7,"")</f>
        <v/>
      </c>
      <c r="Q32" s="9" t="str">
        <f t="shared" si="13"/>
        <v/>
      </c>
    </row>
    <row r="33" spans="1:17" x14ac:dyDescent="0.2">
      <c r="A33" s="20">
        <f t="shared" si="0"/>
        <v>19</v>
      </c>
      <c r="B33" s="23">
        <f>DATEVALUE('Weekly history'!A29)</f>
        <v>45418.0</v>
      </c>
      <c r="C33" s="9">
        <f>'Weekly history'!C29</f>
        <v>336.1</v>
      </c>
      <c r="D33" s="3" t="str">
        <f>IF(A33&gt;105,"Forecast",IF(A33=105,"Excluded partial",IF(A33&gt;$B$7+$B$6,"Final test",IF(A33&gt;$B$7,"Selection","Train"))))</f>
        <v>Train</v>
      </c>
      <c r="E33" s="9" t="str">
        <f>IF(D33="Selection",INDEX($C$15:$C$118,$B$7),IF(D33="Final test",INDEX($C$15:$C$118,$B$7+$B$6),IF(D33="Forecast",INDEX($C$15:$C$118,$B$5),"")))</f>
        <v/>
      </c>
      <c r="F33" s="9" t="str">
        <f>IF(OR(D33="Selection",D33="Final test",D33="Forecast"),FORECAST(A33,$C$15:INDEX($C$15:$C$118,IF(D33="Selection",$B$7,IF(D33="Final test",$B$7+$B$6,$B$5))),$A$15:INDEX($A$15:$A$118,IF(D33="Selection",$B$7,IF(D33="Final test",$B$7+$B$6,$B$5)))),"")</f>
        <v/>
      </c>
      <c r="G33" s="9" t="str">
        <f>IF(OR(D33="Selection",D33="Final test",D33="Forecast"),AVERAGE(INDEX($C$15:$C$118,IF(D33="Selection",$B$7,IF(D33="Final test",$B$7+$B$6,$B$5))-$B$9+1):INDEX($C$15:$C$118,IF(D33="Selection",$B$7,IF(D33="Final test",$B$7+$B$6,$B$5)))),"")</f>
        <v/>
      </c>
      <c r="H33" s="9" t="str">
        <f>IF(OR(D33="Selection",D33="Final test",D33="Forecast"),INDEX($C$15:$C$118,A33-52),"")</f>
        <v/>
      </c>
      <c r="I33" s="9" t="str">
        <f>IF(OR(D33="Selection",D33="Final test"),ABS(C33-E33),"")</f>
        <v/>
      </c>
      <c r="J33" s="9" t="str">
        <f>IF(OR(D33="Selection",D33="Final test"),ABS(C33-F33),"")</f>
        <v/>
      </c>
      <c r="K33" s="9" t="str">
        <f>IF(OR(D33="Selection",D33="Final test"),ABS(C33-G33),"")</f>
        <v/>
      </c>
      <c r="L33" s="9" t="str">
        <f>IF(OR(D33="Selection",D33="Final test"),ABS(C33-H33),"")</f>
        <v/>
      </c>
      <c r="M33" s="9" t="str">
        <f>IF(OR(D33="Selection",D33="Final test",D33="Forecast"),CHOOSE($F$11,E33,F33,G33,H33),"")</f>
        <v/>
      </c>
      <c r="N33" s="9" t="str">
        <f t="shared" si="11"/>
        <v/>
      </c>
      <c r="O33" s="9" t="str">
        <f t="shared" si="12"/>
        <v/>
      </c>
      <c r="P33" s="9" t="str">
        <f>IF($D33="Forecast",'Capacity and backlog'!$B$7,"")</f>
        <v/>
      </c>
      <c r="Q33" s="9" t="str">
        <f t="shared" si="13"/>
        <v/>
      </c>
    </row>
    <row r="34" spans="1:17" x14ac:dyDescent="0.2">
      <c r="A34" s="20">
        <f t="shared" si="0"/>
        <v>20</v>
      </c>
      <c r="B34" s="23">
        <f>DATEVALUE('Weekly history'!A30)</f>
        <v>45425.0</v>
      </c>
      <c r="C34" s="9">
        <f>'Weekly history'!C30</f>
        <v>334.1</v>
      </c>
      <c r="D34" s="3" t="str">
        <f>IF(A34&gt;105,"Forecast",IF(A34=105,"Excluded partial",IF(A34&gt;$B$7+$B$6,"Final test",IF(A34&gt;$B$7,"Selection","Train"))))</f>
        <v>Train</v>
      </c>
      <c r="E34" s="9" t="str">
        <f>IF(D34="Selection",INDEX($C$15:$C$118,$B$7),IF(D34="Final test",INDEX($C$15:$C$118,$B$7+$B$6),IF(D34="Forecast",INDEX($C$15:$C$118,$B$5),"")))</f>
        <v/>
      </c>
      <c r="F34" s="9" t="str">
        <f>IF(OR(D34="Selection",D34="Final test",D34="Forecast"),FORECAST(A34,$C$15:INDEX($C$15:$C$118,IF(D34="Selection",$B$7,IF(D34="Final test",$B$7+$B$6,$B$5))),$A$15:INDEX($A$15:$A$118,IF(D34="Selection",$B$7,IF(D34="Final test",$B$7+$B$6,$B$5)))),"")</f>
        <v/>
      </c>
      <c r="G34" s="9" t="str">
        <f>IF(OR(D34="Selection",D34="Final test",D34="Forecast"),AVERAGE(INDEX($C$15:$C$118,IF(D34="Selection",$B$7,IF(D34="Final test",$B$7+$B$6,$B$5))-$B$9+1):INDEX($C$15:$C$118,IF(D34="Selection",$B$7,IF(D34="Final test",$B$7+$B$6,$B$5)))),"")</f>
        <v/>
      </c>
      <c r="H34" s="9" t="str">
        <f>IF(OR(D34="Selection",D34="Final test",D34="Forecast"),INDEX($C$15:$C$118,A34-52),"")</f>
        <v/>
      </c>
      <c r="I34" s="9" t="str">
        <f>IF(OR(D34="Selection",D34="Final test"),ABS(C34-E34),"")</f>
        <v/>
      </c>
      <c r="J34" s="9" t="str">
        <f>IF(OR(D34="Selection",D34="Final test"),ABS(C34-F34),"")</f>
        <v/>
      </c>
      <c r="K34" s="9" t="str">
        <f>IF(OR(D34="Selection",D34="Final test"),ABS(C34-G34),"")</f>
        <v/>
      </c>
      <c r="L34" s="9" t="str">
        <f>IF(OR(D34="Selection",D34="Final test"),ABS(C34-H34),"")</f>
        <v/>
      </c>
      <c r="M34" s="9" t="str">
        <f>IF(OR(D34="Selection",D34="Final test",D34="Forecast"),CHOOSE($F$11,E34,F34,G34,H34),"")</f>
        <v/>
      </c>
      <c r="N34" s="9" t="str">
        <f t="shared" si="11"/>
        <v/>
      </c>
      <c r="O34" s="9" t="str">
        <f t="shared" si="12"/>
        <v/>
      </c>
      <c r="P34" s="9" t="str">
        <f>IF($D34="Forecast",'Capacity and backlog'!$B$7,"")</f>
        <v/>
      </c>
      <c r="Q34" s="9" t="str">
        <f t="shared" si="13"/>
        <v/>
      </c>
    </row>
    <row r="35" spans="1:17" x14ac:dyDescent="0.2">
      <c r="A35" s="20">
        <f t="shared" si="0"/>
        <v>21</v>
      </c>
      <c r="B35" s="23">
        <f>DATEVALUE('Weekly history'!A31)</f>
        <v>45432.0</v>
      </c>
      <c r="C35" s="9">
        <f>'Weekly history'!C31</f>
        <v>232.4</v>
      </c>
      <c r="D35" s="3" t="str">
        <f>IF(A35&gt;105,"Forecast",IF(A35=105,"Excluded partial",IF(A35&gt;$B$7+$B$6,"Final test",IF(A35&gt;$B$7,"Selection","Train"))))</f>
        <v>Train</v>
      </c>
      <c r="E35" s="9" t="str">
        <f>IF(D35="Selection",INDEX($C$15:$C$118,$B$7),IF(D35="Final test",INDEX($C$15:$C$118,$B$7+$B$6),IF(D35="Forecast",INDEX($C$15:$C$118,$B$5),"")))</f>
        <v/>
      </c>
      <c r="F35" s="9" t="str">
        <f>IF(OR(D35="Selection",D35="Final test",D35="Forecast"),FORECAST(A35,$C$15:INDEX($C$15:$C$118,IF(D35="Selection",$B$7,IF(D35="Final test",$B$7+$B$6,$B$5))),$A$15:INDEX($A$15:$A$118,IF(D35="Selection",$B$7,IF(D35="Final test",$B$7+$B$6,$B$5)))),"")</f>
        <v/>
      </c>
      <c r="G35" s="9" t="str">
        <f>IF(OR(D35="Selection",D35="Final test",D35="Forecast"),AVERAGE(INDEX($C$15:$C$118,IF(D35="Selection",$B$7,IF(D35="Final test",$B$7+$B$6,$B$5))-$B$9+1):INDEX($C$15:$C$118,IF(D35="Selection",$B$7,IF(D35="Final test",$B$7+$B$6,$B$5)))),"")</f>
        <v/>
      </c>
      <c r="H35" s="9" t="str">
        <f>IF(OR(D35="Selection",D35="Final test",D35="Forecast"),INDEX($C$15:$C$118,A35-52),"")</f>
        <v/>
      </c>
      <c r="I35" s="9" t="str">
        <f>IF(OR(D35="Selection",D35="Final test"),ABS(C35-E35),"")</f>
        <v/>
      </c>
      <c r="J35" s="9" t="str">
        <f>IF(OR(D35="Selection",D35="Final test"),ABS(C35-F35),"")</f>
        <v/>
      </c>
      <c r="K35" s="9" t="str">
        <f>IF(OR(D35="Selection",D35="Final test"),ABS(C35-G35),"")</f>
        <v/>
      </c>
      <c r="L35" s="9" t="str">
        <f>IF(OR(D35="Selection",D35="Final test"),ABS(C35-H35),"")</f>
        <v/>
      </c>
      <c r="M35" s="9" t="str">
        <f>IF(OR(D35="Selection",D35="Final test",D35="Forecast"),CHOOSE($F$11,E35,F35,G35,H35),"")</f>
        <v/>
      </c>
      <c r="N35" s="9" t="str">
        <f t="shared" si="11"/>
        <v/>
      </c>
      <c r="O35" s="9" t="str">
        <f t="shared" si="12"/>
        <v/>
      </c>
      <c r="P35" s="9" t="str">
        <f>IF($D35="Forecast",'Capacity and backlog'!$B$7,"")</f>
        <v/>
      </c>
      <c r="Q35" s="9" t="str">
        <f t="shared" si="13"/>
        <v/>
      </c>
    </row>
    <row r="36" spans="1:17" x14ac:dyDescent="0.2">
      <c r="A36" s="20">
        <f t="shared" si="0"/>
        <v>22</v>
      </c>
      <c r="B36" s="23">
        <f>DATEVALUE('Weekly history'!A32)</f>
        <v>45439.0</v>
      </c>
      <c r="C36" s="9">
        <f>'Weekly history'!C32</f>
        <v>133.9</v>
      </c>
      <c r="D36" s="3" t="str">
        <f>IF(A36&gt;105,"Forecast",IF(A36=105,"Excluded partial",IF(A36&gt;$B$7+$B$6,"Final test",IF(A36&gt;$B$7,"Selection","Train"))))</f>
        <v>Train</v>
      </c>
      <c r="E36" s="9" t="str">
        <f>IF(D36="Selection",INDEX($C$15:$C$118,$B$7),IF(D36="Final test",INDEX($C$15:$C$118,$B$7+$B$6),IF(D36="Forecast",INDEX($C$15:$C$118,$B$5),"")))</f>
        <v/>
      </c>
      <c r="F36" s="9" t="str">
        <f>IF(OR(D36="Selection",D36="Final test",D36="Forecast"),FORECAST(A36,$C$15:INDEX($C$15:$C$118,IF(D36="Selection",$B$7,IF(D36="Final test",$B$7+$B$6,$B$5))),$A$15:INDEX($A$15:$A$118,IF(D36="Selection",$B$7,IF(D36="Final test",$B$7+$B$6,$B$5)))),"")</f>
        <v/>
      </c>
      <c r="G36" s="9" t="str">
        <f>IF(OR(D36="Selection",D36="Final test",D36="Forecast"),AVERAGE(INDEX($C$15:$C$118,IF(D36="Selection",$B$7,IF(D36="Final test",$B$7+$B$6,$B$5))-$B$9+1):INDEX($C$15:$C$118,IF(D36="Selection",$B$7,IF(D36="Final test",$B$7+$B$6,$B$5)))),"")</f>
        <v/>
      </c>
      <c r="H36" s="9" t="str">
        <f>IF(OR(D36="Selection",D36="Final test",D36="Forecast"),INDEX($C$15:$C$118,A36-52),"")</f>
        <v/>
      </c>
      <c r="I36" s="9" t="str">
        <f>IF(OR(D36="Selection",D36="Final test"),ABS(C36-E36),"")</f>
        <v/>
      </c>
      <c r="J36" s="9" t="str">
        <f>IF(OR(D36="Selection",D36="Final test"),ABS(C36-F36),"")</f>
        <v/>
      </c>
      <c r="K36" s="9" t="str">
        <f>IF(OR(D36="Selection",D36="Final test"),ABS(C36-G36),"")</f>
        <v/>
      </c>
      <c r="L36" s="9" t="str">
        <f>IF(OR(D36="Selection",D36="Final test"),ABS(C36-H36),"")</f>
        <v/>
      </c>
      <c r="M36" s="9" t="str">
        <f>IF(OR(D36="Selection",D36="Final test",D36="Forecast"),CHOOSE($F$11,E36,F36,G36,H36),"")</f>
        <v/>
      </c>
      <c r="N36" s="9" t="str">
        <f t="shared" si="11"/>
        <v/>
      </c>
      <c r="O36" s="9" t="str">
        <f t="shared" si="12"/>
        <v/>
      </c>
      <c r="P36" s="9" t="str">
        <f>IF($D36="Forecast",'Capacity and backlog'!$B$7,"")</f>
        <v/>
      </c>
      <c r="Q36" s="9" t="str">
        <f t="shared" si="13"/>
        <v/>
      </c>
    </row>
    <row r="37" spans="1:17" x14ac:dyDescent="0.2">
      <c r="A37" s="20">
        <f t="shared" si="0"/>
        <v>23</v>
      </c>
      <c r="B37" s="23">
        <f>DATEVALUE('Weekly history'!A33)</f>
        <v>45446.0</v>
      </c>
      <c r="C37" s="9">
        <f>'Weekly history'!C33</f>
        <v>125</v>
      </c>
      <c r="D37" s="3" t="str">
        <f>IF(A37&gt;105,"Forecast",IF(A37=105,"Excluded partial",IF(A37&gt;$B$7+$B$6,"Final test",IF(A37&gt;$B$7,"Selection","Train"))))</f>
        <v>Train</v>
      </c>
      <c r="E37" s="9" t="str">
        <f>IF(D37="Selection",INDEX($C$15:$C$118,$B$7),IF(D37="Final test",INDEX($C$15:$C$118,$B$7+$B$6),IF(D37="Forecast",INDEX($C$15:$C$118,$B$5),"")))</f>
        <v/>
      </c>
      <c r="F37" s="9" t="str">
        <f>IF(OR(D37="Selection",D37="Final test",D37="Forecast"),FORECAST(A37,$C$15:INDEX($C$15:$C$118,IF(D37="Selection",$B$7,IF(D37="Final test",$B$7+$B$6,$B$5))),$A$15:INDEX($A$15:$A$118,IF(D37="Selection",$B$7,IF(D37="Final test",$B$7+$B$6,$B$5)))),"")</f>
        <v/>
      </c>
      <c r="G37" s="9" t="str">
        <f>IF(OR(D37="Selection",D37="Final test",D37="Forecast"),AVERAGE(INDEX($C$15:$C$118,IF(D37="Selection",$B$7,IF(D37="Final test",$B$7+$B$6,$B$5))-$B$9+1):INDEX($C$15:$C$118,IF(D37="Selection",$B$7,IF(D37="Final test",$B$7+$B$6,$B$5)))),"")</f>
        <v/>
      </c>
      <c r="H37" s="9" t="str">
        <f>IF(OR(D37="Selection",D37="Final test",D37="Forecast"),INDEX($C$15:$C$118,A37-52),"")</f>
        <v/>
      </c>
      <c r="I37" s="9" t="str">
        <f>IF(OR(D37="Selection",D37="Final test"),ABS(C37-E37),"")</f>
        <v/>
      </c>
      <c r="J37" s="9" t="str">
        <f>IF(OR(D37="Selection",D37="Final test"),ABS(C37-F37),"")</f>
        <v/>
      </c>
      <c r="K37" s="9" t="str">
        <f>IF(OR(D37="Selection",D37="Final test"),ABS(C37-G37),"")</f>
        <v/>
      </c>
      <c r="L37" s="9" t="str">
        <f>IF(OR(D37="Selection",D37="Final test"),ABS(C37-H37),"")</f>
        <v/>
      </c>
      <c r="M37" s="9" t="str">
        <f>IF(OR(D37="Selection",D37="Final test",D37="Forecast"),CHOOSE($F$11,E37,F37,G37,H37),"")</f>
        <v/>
      </c>
      <c r="N37" s="9" t="str">
        <f t="shared" si="11"/>
        <v/>
      </c>
      <c r="O37" s="9" t="str">
        <f t="shared" si="12"/>
        <v/>
      </c>
      <c r="P37" s="9" t="str">
        <f>IF($D37="Forecast",'Capacity and backlog'!$B$7,"")</f>
        <v/>
      </c>
      <c r="Q37" s="9" t="str">
        <f t="shared" si="13"/>
        <v/>
      </c>
    </row>
    <row r="38" spans="1:17" x14ac:dyDescent="0.2">
      <c r="A38" s="20">
        <f t="shared" si="0"/>
        <v>24</v>
      </c>
      <c r="B38" s="23">
        <f>DATEVALUE('Weekly history'!A34)</f>
        <v>45453.0</v>
      </c>
      <c r="C38" s="9">
        <f>'Weekly history'!C34</f>
        <v>333.3</v>
      </c>
      <c r="D38" s="3" t="str">
        <f>IF(A38&gt;105,"Forecast",IF(A38=105,"Excluded partial",IF(A38&gt;$B$7+$B$6,"Final test",IF(A38&gt;$B$7,"Selection","Train"))))</f>
        <v>Train</v>
      </c>
      <c r="E38" s="9" t="str">
        <f>IF(D38="Selection",INDEX($C$15:$C$118,$B$7),IF(D38="Final test",INDEX($C$15:$C$118,$B$7+$B$6),IF(D38="Forecast",INDEX($C$15:$C$118,$B$5),"")))</f>
        <v/>
      </c>
      <c r="F38" s="9" t="str">
        <f>IF(OR(D38="Selection",D38="Final test",D38="Forecast"),FORECAST(A38,$C$15:INDEX($C$15:$C$118,IF(D38="Selection",$B$7,IF(D38="Final test",$B$7+$B$6,$B$5))),$A$15:INDEX($A$15:$A$118,IF(D38="Selection",$B$7,IF(D38="Final test",$B$7+$B$6,$B$5)))),"")</f>
        <v/>
      </c>
      <c r="G38" s="9" t="str">
        <f>IF(OR(D38="Selection",D38="Final test",D38="Forecast"),AVERAGE(INDEX($C$15:$C$118,IF(D38="Selection",$B$7,IF(D38="Final test",$B$7+$B$6,$B$5))-$B$9+1):INDEX($C$15:$C$118,IF(D38="Selection",$B$7,IF(D38="Final test",$B$7+$B$6,$B$5)))),"")</f>
        <v/>
      </c>
      <c r="H38" s="9" t="str">
        <f>IF(OR(D38="Selection",D38="Final test",D38="Forecast"),INDEX($C$15:$C$118,A38-52),"")</f>
        <v/>
      </c>
      <c r="I38" s="9" t="str">
        <f>IF(OR(D38="Selection",D38="Final test"),ABS(C38-E38),"")</f>
        <v/>
      </c>
      <c r="J38" s="9" t="str">
        <f>IF(OR(D38="Selection",D38="Final test"),ABS(C38-F38),"")</f>
        <v/>
      </c>
      <c r="K38" s="9" t="str">
        <f>IF(OR(D38="Selection",D38="Final test"),ABS(C38-G38),"")</f>
        <v/>
      </c>
      <c r="L38" s="9" t="str">
        <f>IF(OR(D38="Selection",D38="Final test"),ABS(C38-H38),"")</f>
        <v/>
      </c>
      <c r="M38" s="9" t="str">
        <f>IF(OR(D38="Selection",D38="Final test",D38="Forecast"),CHOOSE($F$11,E38,F38,G38,H38),"")</f>
        <v/>
      </c>
      <c r="N38" s="9" t="str">
        <f t="shared" si="11"/>
        <v/>
      </c>
      <c r="O38" s="9" t="str">
        <f t="shared" si="12"/>
        <v/>
      </c>
      <c r="P38" s="9" t="str">
        <f>IF($D38="Forecast",'Capacity and backlog'!$B$7,"")</f>
        <v/>
      </c>
      <c r="Q38" s="9" t="str">
        <f t="shared" si="13"/>
        <v/>
      </c>
    </row>
    <row r="39" spans="1:17" x14ac:dyDescent="0.2">
      <c r="A39" s="20">
        <f t="shared" si="0"/>
        <v>25</v>
      </c>
      <c r="B39" s="23">
        <f>DATEVALUE('Weekly history'!A35)</f>
        <v>45460.0</v>
      </c>
      <c r="C39" s="9">
        <f>'Weekly history'!C35</f>
        <v>240.3</v>
      </c>
      <c r="D39" s="3" t="str">
        <f>IF(A39&gt;105,"Forecast",IF(A39=105,"Excluded partial",IF(A39&gt;$B$7+$B$6,"Final test",IF(A39&gt;$B$7,"Selection","Train"))))</f>
        <v>Train</v>
      </c>
      <c r="E39" s="9" t="str">
        <f>IF(D39="Selection",INDEX($C$15:$C$118,$B$7),IF(D39="Final test",INDEX($C$15:$C$118,$B$7+$B$6),IF(D39="Forecast",INDEX($C$15:$C$118,$B$5),"")))</f>
        <v/>
      </c>
      <c r="F39" s="9" t="str">
        <f>IF(OR(D39="Selection",D39="Final test",D39="Forecast"),FORECAST(A39,$C$15:INDEX($C$15:$C$118,IF(D39="Selection",$B$7,IF(D39="Final test",$B$7+$B$6,$B$5))),$A$15:INDEX($A$15:$A$118,IF(D39="Selection",$B$7,IF(D39="Final test",$B$7+$B$6,$B$5)))),"")</f>
        <v/>
      </c>
      <c r="G39" s="9" t="str">
        <f>IF(OR(D39="Selection",D39="Final test",D39="Forecast"),AVERAGE(INDEX($C$15:$C$118,IF(D39="Selection",$B$7,IF(D39="Final test",$B$7+$B$6,$B$5))-$B$9+1):INDEX($C$15:$C$118,IF(D39="Selection",$B$7,IF(D39="Final test",$B$7+$B$6,$B$5)))),"")</f>
        <v/>
      </c>
      <c r="H39" s="9" t="str">
        <f>IF(OR(D39="Selection",D39="Final test",D39="Forecast"),INDEX($C$15:$C$118,A39-52),"")</f>
        <v/>
      </c>
      <c r="I39" s="9" t="str">
        <f>IF(OR(D39="Selection",D39="Final test"),ABS(C39-E39),"")</f>
        <v/>
      </c>
      <c r="J39" s="9" t="str">
        <f>IF(OR(D39="Selection",D39="Final test"),ABS(C39-F39),"")</f>
        <v/>
      </c>
      <c r="K39" s="9" t="str">
        <f>IF(OR(D39="Selection",D39="Final test"),ABS(C39-G39),"")</f>
        <v/>
      </c>
      <c r="L39" s="9" t="str">
        <f>IF(OR(D39="Selection",D39="Final test"),ABS(C39-H39),"")</f>
        <v/>
      </c>
      <c r="M39" s="9" t="str">
        <f>IF(OR(D39="Selection",D39="Final test",D39="Forecast"),CHOOSE($F$11,E39,F39,G39,H39),"")</f>
        <v/>
      </c>
      <c r="N39" s="9" t="str">
        <f t="shared" si="11"/>
        <v/>
      </c>
      <c r="O39" s="9" t="str">
        <f t="shared" si="12"/>
        <v/>
      </c>
      <c r="P39" s="9" t="str">
        <f>IF($D39="Forecast",'Capacity and backlog'!$B$7,"")</f>
        <v/>
      </c>
      <c r="Q39" s="9" t="str">
        <f t="shared" si="13"/>
        <v/>
      </c>
    </row>
    <row r="40" spans="1:17" x14ac:dyDescent="0.2">
      <c r="A40" s="20">
        <f t="shared" si="0"/>
        <v>26</v>
      </c>
      <c r="B40" s="23">
        <f>DATEVALUE('Weekly history'!A36)</f>
        <v>45467.0</v>
      </c>
      <c r="C40" s="9">
        <f>'Weekly history'!C36</f>
        <v>225.2</v>
      </c>
      <c r="D40" s="3" t="str">
        <f>IF(A40&gt;105,"Forecast",IF(A40=105,"Excluded partial",IF(A40&gt;$B$7+$B$6,"Final test",IF(A40&gt;$B$7,"Selection","Train"))))</f>
        <v>Train</v>
      </c>
      <c r="E40" s="9" t="str">
        <f>IF(D40="Selection",INDEX($C$15:$C$118,$B$7),IF(D40="Final test",INDEX($C$15:$C$118,$B$7+$B$6),IF(D40="Forecast",INDEX($C$15:$C$118,$B$5),"")))</f>
        <v/>
      </c>
      <c r="F40" s="9" t="str">
        <f>IF(OR(D40="Selection",D40="Final test",D40="Forecast"),FORECAST(A40,$C$15:INDEX($C$15:$C$118,IF(D40="Selection",$B$7,IF(D40="Final test",$B$7+$B$6,$B$5))),$A$15:INDEX($A$15:$A$118,IF(D40="Selection",$B$7,IF(D40="Final test",$B$7+$B$6,$B$5)))),"")</f>
        <v/>
      </c>
      <c r="G40" s="9" t="str">
        <f>IF(OR(D40="Selection",D40="Final test",D40="Forecast"),AVERAGE(INDEX($C$15:$C$118,IF(D40="Selection",$B$7,IF(D40="Final test",$B$7+$B$6,$B$5))-$B$9+1):INDEX($C$15:$C$118,IF(D40="Selection",$B$7,IF(D40="Final test",$B$7+$B$6,$B$5)))),"")</f>
        <v/>
      </c>
      <c r="H40" s="9" t="str">
        <f>IF(OR(D40="Selection",D40="Final test",D40="Forecast"),INDEX($C$15:$C$118,A40-52),"")</f>
        <v/>
      </c>
      <c r="I40" s="9" t="str">
        <f>IF(OR(D40="Selection",D40="Final test"),ABS(C40-E40),"")</f>
        <v/>
      </c>
      <c r="J40" s="9" t="str">
        <f>IF(OR(D40="Selection",D40="Final test"),ABS(C40-F40),"")</f>
        <v/>
      </c>
      <c r="K40" s="9" t="str">
        <f>IF(OR(D40="Selection",D40="Final test"),ABS(C40-G40),"")</f>
        <v/>
      </c>
      <c r="L40" s="9" t="str">
        <f>IF(OR(D40="Selection",D40="Final test"),ABS(C40-H40),"")</f>
        <v/>
      </c>
      <c r="M40" s="9" t="str">
        <f>IF(OR(D40="Selection",D40="Final test",D40="Forecast"),CHOOSE($F$11,E40,F40,G40,H40),"")</f>
        <v/>
      </c>
      <c r="N40" s="9" t="str">
        <f t="shared" si="11"/>
        <v/>
      </c>
      <c r="O40" s="9" t="str">
        <f t="shared" si="12"/>
        <v/>
      </c>
      <c r="P40" s="9" t="str">
        <f>IF($D40="Forecast",'Capacity and backlog'!$B$7,"")</f>
        <v/>
      </c>
      <c r="Q40" s="9" t="str">
        <f t="shared" si="13"/>
        <v/>
      </c>
    </row>
    <row r="41" spans="1:17" x14ac:dyDescent="0.2">
      <c r="A41" s="20">
        <f t="shared" si="0"/>
        <v>27</v>
      </c>
      <c r="B41" s="23">
        <f>DATEVALUE('Weekly history'!A37)</f>
        <v>45474.0</v>
      </c>
      <c r="C41" s="9">
        <f>'Weekly history'!C37</f>
        <v>181.3</v>
      </c>
      <c r="D41" s="3" t="str">
        <f>IF(A41&gt;105,"Forecast",IF(A41=105,"Excluded partial",IF(A41&gt;$B$7+$B$6,"Final test",IF(A41&gt;$B$7,"Selection","Train"))))</f>
        <v>Train</v>
      </c>
      <c r="E41" s="9" t="str">
        <f>IF(D41="Selection",INDEX($C$15:$C$118,$B$7),IF(D41="Final test",INDEX($C$15:$C$118,$B$7+$B$6),IF(D41="Forecast",INDEX($C$15:$C$118,$B$5),"")))</f>
        <v/>
      </c>
      <c r="F41" s="9" t="str">
        <f>IF(OR(D41="Selection",D41="Final test",D41="Forecast"),FORECAST(A41,$C$15:INDEX($C$15:$C$118,IF(D41="Selection",$B$7,IF(D41="Final test",$B$7+$B$6,$B$5))),$A$15:INDEX($A$15:$A$118,IF(D41="Selection",$B$7,IF(D41="Final test",$B$7+$B$6,$B$5)))),"")</f>
        <v/>
      </c>
      <c r="G41" s="9" t="str">
        <f>IF(OR(D41="Selection",D41="Final test",D41="Forecast"),AVERAGE(INDEX($C$15:$C$118,IF(D41="Selection",$B$7,IF(D41="Final test",$B$7+$B$6,$B$5))-$B$9+1):INDEX($C$15:$C$118,IF(D41="Selection",$B$7,IF(D41="Final test",$B$7+$B$6,$B$5)))),"")</f>
        <v/>
      </c>
      <c r="H41" s="9" t="str">
        <f>IF(OR(D41="Selection",D41="Final test",D41="Forecast"),INDEX($C$15:$C$118,A41-52),"")</f>
        <v/>
      </c>
      <c r="I41" s="9" t="str">
        <f>IF(OR(D41="Selection",D41="Final test"),ABS(C41-E41),"")</f>
        <v/>
      </c>
      <c r="J41" s="9" t="str">
        <f>IF(OR(D41="Selection",D41="Final test"),ABS(C41-F41),"")</f>
        <v/>
      </c>
      <c r="K41" s="9" t="str">
        <f>IF(OR(D41="Selection",D41="Final test"),ABS(C41-G41),"")</f>
        <v/>
      </c>
      <c r="L41" s="9" t="str">
        <f>IF(OR(D41="Selection",D41="Final test"),ABS(C41-H41),"")</f>
        <v/>
      </c>
      <c r="M41" s="9" t="str">
        <f>IF(OR(D41="Selection",D41="Final test",D41="Forecast"),CHOOSE($F$11,E41,F41,G41,H41),"")</f>
        <v/>
      </c>
      <c r="N41" s="9" t="str">
        <f t="shared" si="11"/>
        <v/>
      </c>
      <c r="O41" s="9" t="str">
        <f t="shared" si="12"/>
        <v/>
      </c>
      <c r="P41" s="9" t="str">
        <f>IF($D41="Forecast",'Capacity and backlog'!$B$7,"")</f>
        <v/>
      </c>
      <c r="Q41" s="9" t="str">
        <f t="shared" si="13"/>
        <v/>
      </c>
    </row>
    <row r="42" spans="1:17" x14ac:dyDescent="0.2">
      <c r="A42" s="20">
        <f t="shared" si="0"/>
        <v>28</v>
      </c>
      <c r="B42" s="23">
        <f>DATEVALUE('Weekly history'!A38)</f>
        <v>45481.0</v>
      </c>
      <c r="C42" s="9">
        <f>'Weekly history'!C38</f>
        <v>274</v>
      </c>
      <c r="D42" s="3" t="str">
        <f>IF(A42&gt;105,"Forecast",IF(A42=105,"Excluded partial",IF(A42&gt;$B$7+$B$6,"Final test",IF(A42&gt;$B$7,"Selection","Train"))))</f>
        <v>Train</v>
      </c>
      <c r="E42" s="9" t="str">
        <f>IF(D42="Selection",INDEX($C$15:$C$118,$B$7),IF(D42="Final test",INDEX($C$15:$C$118,$B$7+$B$6),IF(D42="Forecast",INDEX($C$15:$C$118,$B$5),"")))</f>
        <v/>
      </c>
      <c r="F42" s="9" t="str">
        <f>IF(OR(D42="Selection",D42="Final test",D42="Forecast"),FORECAST(A42,$C$15:INDEX($C$15:$C$118,IF(D42="Selection",$B$7,IF(D42="Final test",$B$7+$B$6,$B$5))),$A$15:INDEX($A$15:$A$118,IF(D42="Selection",$B$7,IF(D42="Final test",$B$7+$B$6,$B$5)))),"")</f>
        <v/>
      </c>
      <c r="G42" s="9" t="str">
        <f>IF(OR(D42="Selection",D42="Final test",D42="Forecast"),AVERAGE(INDEX($C$15:$C$118,IF(D42="Selection",$B$7,IF(D42="Final test",$B$7+$B$6,$B$5))-$B$9+1):INDEX($C$15:$C$118,IF(D42="Selection",$B$7,IF(D42="Final test",$B$7+$B$6,$B$5)))),"")</f>
        <v/>
      </c>
      <c r="H42" s="9" t="str">
        <f>IF(OR(D42="Selection",D42="Final test",D42="Forecast"),INDEX($C$15:$C$118,A42-52),"")</f>
        <v/>
      </c>
      <c r="I42" s="9" t="str">
        <f>IF(OR(D42="Selection",D42="Final test"),ABS(C42-E42),"")</f>
        <v/>
      </c>
      <c r="J42" s="9" t="str">
        <f>IF(OR(D42="Selection",D42="Final test"),ABS(C42-F42),"")</f>
        <v/>
      </c>
      <c r="K42" s="9" t="str">
        <f>IF(OR(D42="Selection",D42="Final test"),ABS(C42-G42),"")</f>
        <v/>
      </c>
      <c r="L42" s="9" t="str">
        <f>IF(OR(D42="Selection",D42="Final test"),ABS(C42-H42),"")</f>
        <v/>
      </c>
      <c r="M42" s="9" t="str">
        <f>IF(OR(D42="Selection",D42="Final test",D42="Forecast"),CHOOSE($F$11,E42,F42,G42,H42),"")</f>
        <v/>
      </c>
      <c r="N42" s="9" t="str">
        <f t="shared" si="11"/>
        <v/>
      </c>
      <c r="O42" s="9" t="str">
        <f t="shared" si="12"/>
        <v/>
      </c>
      <c r="P42" s="9" t="str">
        <f>IF($D42="Forecast",'Capacity and backlog'!$B$7,"")</f>
        <v/>
      </c>
      <c r="Q42" s="9" t="str">
        <f t="shared" si="13"/>
        <v/>
      </c>
    </row>
    <row r="43" spans="1:17" x14ac:dyDescent="0.2">
      <c r="A43" s="20">
        <f t="shared" si="0"/>
        <v>29</v>
      </c>
      <c r="B43" s="23">
        <f>DATEVALUE('Weekly history'!A39)</f>
        <v>45488.0</v>
      </c>
      <c r="C43" s="9">
        <f>'Weekly history'!C39</f>
        <v>333.3</v>
      </c>
      <c r="D43" s="3" t="str">
        <f>IF(A43&gt;105,"Forecast",IF(A43=105,"Excluded partial",IF(A43&gt;$B$7+$B$6,"Final test",IF(A43&gt;$B$7,"Selection","Train"))))</f>
        <v>Train</v>
      </c>
      <c r="E43" s="9" t="str">
        <f>IF(D43="Selection",INDEX($C$15:$C$118,$B$7),IF(D43="Final test",INDEX($C$15:$C$118,$B$7+$B$6),IF(D43="Forecast",INDEX($C$15:$C$118,$B$5),"")))</f>
        <v/>
      </c>
      <c r="F43" s="9" t="str">
        <f>IF(OR(D43="Selection",D43="Final test",D43="Forecast"),FORECAST(A43,$C$15:INDEX($C$15:$C$118,IF(D43="Selection",$B$7,IF(D43="Final test",$B$7+$B$6,$B$5))),$A$15:INDEX($A$15:$A$118,IF(D43="Selection",$B$7,IF(D43="Final test",$B$7+$B$6,$B$5)))),"")</f>
        <v/>
      </c>
      <c r="G43" s="9" t="str">
        <f>IF(OR(D43="Selection",D43="Final test",D43="Forecast"),AVERAGE(INDEX($C$15:$C$118,IF(D43="Selection",$B$7,IF(D43="Final test",$B$7+$B$6,$B$5))-$B$9+1):INDEX($C$15:$C$118,IF(D43="Selection",$B$7,IF(D43="Final test",$B$7+$B$6,$B$5)))),"")</f>
        <v/>
      </c>
      <c r="H43" s="9" t="str">
        <f>IF(OR(D43="Selection",D43="Final test",D43="Forecast"),INDEX($C$15:$C$118,A43-52),"")</f>
        <v/>
      </c>
      <c r="I43" s="9" t="str">
        <f>IF(OR(D43="Selection",D43="Final test"),ABS(C43-E43),"")</f>
        <v/>
      </c>
      <c r="J43" s="9" t="str">
        <f>IF(OR(D43="Selection",D43="Final test"),ABS(C43-F43),"")</f>
        <v/>
      </c>
      <c r="K43" s="9" t="str">
        <f>IF(OR(D43="Selection",D43="Final test"),ABS(C43-G43),"")</f>
        <v/>
      </c>
      <c r="L43" s="9" t="str">
        <f>IF(OR(D43="Selection",D43="Final test"),ABS(C43-H43),"")</f>
        <v/>
      </c>
      <c r="M43" s="9" t="str">
        <f>IF(OR(D43="Selection",D43="Final test",D43="Forecast"),CHOOSE($F$11,E43,F43,G43,H43),"")</f>
        <v/>
      </c>
      <c r="N43" s="9" t="str">
        <f t="shared" si="11"/>
        <v/>
      </c>
      <c r="O43" s="9" t="str">
        <f t="shared" si="12"/>
        <v/>
      </c>
      <c r="P43" s="9" t="str">
        <f>IF($D43="Forecast",'Capacity and backlog'!$B$7,"")</f>
        <v/>
      </c>
      <c r="Q43" s="9" t="str">
        <f t="shared" si="13"/>
        <v/>
      </c>
    </row>
    <row r="44" spans="1:17" x14ac:dyDescent="0.2">
      <c r="A44" s="20">
        <f t="shared" si="0"/>
        <v>30</v>
      </c>
      <c r="B44" s="23">
        <f>DATEVALUE('Weekly history'!A40)</f>
        <v>45495.0</v>
      </c>
      <c r="C44" s="9">
        <f>'Weekly history'!C40</f>
        <v>392.2</v>
      </c>
      <c r="D44" s="3" t="str">
        <f>IF(A44&gt;105,"Forecast",IF(A44=105,"Excluded partial",IF(A44&gt;$B$7+$B$6,"Final test",IF(A44&gt;$B$7,"Selection","Train"))))</f>
        <v>Train</v>
      </c>
      <c r="E44" s="9" t="str">
        <f>IF(D44="Selection",INDEX($C$15:$C$118,$B$7),IF(D44="Final test",INDEX($C$15:$C$118,$B$7+$B$6),IF(D44="Forecast",INDEX($C$15:$C$118,$B$5),"")))</f>
        <v/>
      </c>
      <c r="F44" s="9" t="str">
        <f>IF(OR(D44="Selection",D44="Final test",D44="Forecast"),FORECAST(A44,$C$15:INDEX($C$15:$C$118,IF(D44="Selection",$B$7,IF(D44="Final test",$B$7+$B$6,$B$5))),$A$15:INDEX($A$15:$A$118,IF(D44="Selection",$B$7,IF(D44="Final test",$B$7+$B$6,$B$5)))),"")</f>
        <v/>
      </c>
      <c r="G44" s="9" t="str">
        <f>IF(OR(D44="Selection",D44="Final test",D44="Forecast"),AVERAGE(INDEX($C$15:$C$118,IF(D44="Selection",$B$7,IF(D44="Final test",$B$7+$B$6,$B$5))-$B$9+1):INDEX($C$15:$C$118,IF(D44="Selection",$B$7,IF(D44="Final test",$B$7+$B$6,$B$5)))),"")</f>
        <v/>
      </c>
      <c r="H44" s="9" t="str">
        <f>IF(OR(D44="Selection",D44="Final test",D44="Forecast"),INDEX($C$15:$C$118,A44-52),"")</f>
        <v/>
      </c>
      <c r="I44" s="9" t="str">
        <f>IF(OR(D44="Selection",D44="Final test"),ABS(C44-E44),"")</f>
        <v/>
      </c>
      <c r="J44" s="9" t="str">
        <f>IF(OR(D44="Selection",D44="Final test"),ABS(C44-F44),"")</f>
        <v/>
      </c>
      <c r="K44" s="9" t="str">
        <f>IF(OR(D44="Selection",D44="Final test"),ABS(C44-G44),"")</f>
        <v/>
      </c>
      <c r="L44" s="9" t="str">
        <f>IF(OR(D44="Selection",D44="Final test"),ABS(C44-H44),"")</f>
        <v/>
      </c>
      <c r="M44" s="9" t="str">
        <f>IF(OR(D44="Selection",D44="Final test",D44="Forecast"),CHOOSE($F$11,E44,F44,G44,H44),"")</f>
        <v/>
      </c>
      <c r="N44" s="9" t="str">
        <f t="shared" si="11"/>
        <v/>
      </c>
      <c r="O44" s="9" t="str">
        <f t="shared" si="12"/>
        <v/>
      </c>
      <c r="P44" s="9" t="str">
        <f>IF($D44="Forecast",'Capacity and backlog'!$B$7,"")</f>
        <v/>
      </c>
      <c r="Q44" s="9" t="str">
        <f t="shared" si="13"/>
        <v/>
      </c>
    </row>
    <row r="45" spans="1:17" x14ac:dyDescent="0.2">
      <c r="A45" s="20">
        <f t="shared" si="0"/>
        <v>31</v>
      </c>
      <c r="B45" s="23">
        <f>DATEVALUE('Weekly history'!A41)</f>
        <v>45502.0</v>
      </c>
      <c r="C45" s="9">
        <f>'Weekly history'!C41</f>
        <v>194.6</v>
      </c>
      <c r="D45" s="3" t="str">
        <f>IF(A45&gt;105,"Forecast",IF(A45=105,"Excluded partial",IF(A45&gt;$B$7+$B$6,"Final test",IF(A45&gt;$B$7,"Selection","Train"))))</f>
        <v>Train</v>
      </c>
      <c r="E45" s="9" t="str">
        <f>IF(D45="Selection",INDEX($C$15:$C$118,$B$7),IF(D45="Final test",INDEX($C$15:$C$118,$B$7+$B$6),IF(D45="Forecast",INDEX($C$15:$C$118,$B$5),"")))</f>
        <v/>
      </c>
      <c r="F45" s="9" t="str">
        <f>IF(OR(D45="Selection",D45="Final test",D45="Forecast"),FORECAST(A45,$C$15:INDEX($C$15:$C$118,IF(D45="Selection",$B$7,IF(D45="Final test",$B$7+$B$6,$B$5))),$A$15:INDEX($A$15:$A$118,IF(D45="Selection",$B$7,IF(D45="Final test",$B$7+$B$6,$B$5)))),"")</f>
        <v/>
      </c>
      <c r="G45" s="9" t="str">
        <f>IF(OR(D45="Selection",D45="Final test",D45="Forecast"),AVERAGE(INDEX($C$15:$C$118,IF(D45="Selection",$B$7,IF(D45="Final test",$B$7+$B$6,$B$5))-$B$9+1):INDEX($C$15:$C$118,IF(D45="Selection",$B$7,IF(D45="Final test",$B$7+$B$6,$B$5)))),"")</f>
        <v/>
      </c>
      <c r="H45" s="9" t="str">
        <f>IF(OR(D45="Selection",D45="Final test",D45="Forecast"),INDEX($C$15:$C$118,A45-52),"")</f>
        <v/>
      </c>
      <c r="I45" s="9" t="str">
        <f>IF(OR(D45="Selection",D45="Final test"),ABS(C45-E45),"")</f>
        <v/>
      </c>
      <c r="J45" s="9" t="str">
        <f>IF(OR(D45="Selection",D45="Final test"),ABS(C45-F45),"")</f>
        <v/>
      </c>
      <c r="K45" s="9" t="str">
        <f>IF(OR(D45="Selection",D45="Final test"),ABS(C45-G45),"")</f>
        <v/>
      </c>
      <c r="L45" s="9" t="str">
        <f>IF(OR(D45="Selection",D45="Final test"),ABS(C45-H45),"")</f>
        <v/>
      </c>
      <c r="M45" s="9" t="str">
        <f>IF(OR(D45="Selection",D45="Final test",D45="Forecast"),CHOOSE($F$11,E45,F45,G45,H45),"")</f>
        <v/>
      </c>
      <c r="N45" s="9" t="str">
        <f t="shared" si="11"/>
        <v/>
      </c>
      <c r="O45" s="9" t="str">
        <f t="shared" si="12"/>
        <v/>
      </c>
      <c r="P45" s="9" t="str">
        <f>IF($D45="Forecast",'Capacity and backlog'!$B$7,"")</f>
        <v/>
      </c>
      <c r="Q45" s="9" t="str">
        <f t="shared" si="13"/>
        <v/>
      </c>
    </row>
    <row r="46" spans="1:17" x14ac:dyDescent="0.2">
      <c r="A46" s="20">
        <f t="shared" si="0"/>
        <v>32</v>
      </c>
      <c r="B46" s="23">
        <f>DATEVALUE('Weekly history'!A42)</f>
        <v>45509.0</v>
      </c>
      <c r="C46" s="9">
        <f>'Weekly history'!C42</f>
        <v>197.7</v>
      </c>
      <c r="D46" s="3" t="str">
        <f>IF(A46&gt;105,"Forecast",IF(A46=105,"Excluded partial",IF(A46&gt;$B$7+$B$6,"Final test",IF(A46&gt;$B$7,"Selection","Train"))))</f>
        <v>Train</v>
      </c>
      <c r="E46" s="9" t="str">
        <f>IF(D46="Selection",INDEX($C$15:$C$118,$B$7),IF(D46="Final test",INDEX($C$15:$C$118,$B$7+$B$6),IF(D46="Forecast",INDEX($C$15:$C$118,$B$5),"")))</f>
        <v/>
      </c>
      <c r="F46" s="9" t="str">
        <f>IF(OR(D46="Selection",D46="Final test",D46="Forecast"),FORECAST(A46,$C$15:INDEX($C$15:$C$118,IF(D46="Selection",$B$7,IF(D46="Final test",$B$7+$B$6,$B$5))),$A$15:INDEX($A$15:$A$118,IF(D46="Selection",$B$7,IF(D46="Final test",$B$7+$B$6,$B$5)))),"")</f>
        <v/>
      </c>
      <c r="G46" s="9" t="str">
        <f>IF(OR(D46="Selection",D46="Final test",D46="Forecast"),AVERAGE(INDEX($C$15:$C$118,IF(D46="Selection",$B$7,IF(D46="Final test",$B$7+$B$6,$B$5))-$B$9+1):INDEX($C$15:$C$118,IF(D46="Selection",$B$7,IF(D46="Final test",$B$7+$B$6,$B$5)))),"")</f>
        <v/>
      </c>
      <c r="H46" s="9" t="str">
        <f>IF(OR(D46="Selection",D46="Final test",D46="Forecast"),INDEX($C$15:$C$118,A46-52),"")</f>
        <v/>
      </c>
      <c r="I46" s="9" t="str">
        <f>IF(OR(D46="Selection",D46="Final test"),ABS(C46-E46),"")</f>
        <v/>
      </c>
      <c r="J46" s="9" t="str">
        <f>IF(OR(D46="Selection",D46="Final test"),ABS(C46-F46),"")</f>
        <v/>
      </c>
      <c r="K46" s="9" t="str">
        <f>IF(OR(D46="Selection",D46="Final test"),ABS(C46-G46),"")</f>
        <v/>
      </c>
      <c r="L46" s="9" t="str">
        <f>IF(OR(D46="Selection",D46="Final test"),ABS(C46-H46),"")</f>
        <v/>
      </c>
      <c r="M46" s="9" t="str">
        <f>IF(OR(D46="Selection",D46="Final test",D46="Forecast"),CHOOSE($F$11,E46,F46,G46,H46),"")</f>
        <v/>
      </c>
      <c r="N46" s="9" t="str">
        <f t="shared" si="11"/>
        <v/>
      </c>
      <c r="O46" s="9" t="str">
        <f t="shared" si="12"/>
        <v/>
      </c>
      <c r="P46" s="9" t="str">
        <f>IF($D46="Forecast",'Capacity and backlog'!$B$7,"")</f>
        <v/>
      </c>
      <c r="Q46" s="9" t="str">
        <f t="shared" si="13"/>
        <v/>
      </c>
    </row>
    <row r="47" spans="1:17" x14ac:dyDescent="0.2">
      <c r="A47" s="20">
        <f t="shared" ref="A47:A78" si="14">ROW()-14</f>
        <v>33</v>
      </c>
      <c r="B47" s="23">
        <f>DATEVALUE('Weekly history'!A43)</f>
        <v>45516.0</v>
      </c>
      <c r="C47" s="9">
        <f>'Weekly history'!C43</f>
        <v>218.7</v>
      </c>
      <c r="D47" s="3" t="str">
        <f>IF(A47&gt;105,"Forecast",IF(A47=105,"Excluded partial",IF(A47&gt;$B$7+$B$6,"Final test",IF(A47&gt;$B$7,"Selection","Train"))))</f>
        <v>Train</v>
      </c>
      <c r="E47" s="9" t="str">
        <f>IF(D47="Selection",INDEX($C$15:$C$118,$B$7),IF(D47="Final test",INDEX($C$15:$C$118,$B$7+$B$6),IF(D47="Forecast",INDEX($C$15:$C$118,$B$5),"")))</f>
        <v/>
      </c>
      <c r="F47" s="9" t="str">
        <f>IF(OR(D47="Selection",D47="Final test",D47="Forecast"),FORECAST(A47,$C$15:INDEX($C$15:$C$118,IF(D47="Selection",$B$7,IF(D47="Final test",$B$7+$B$6,$B$5))),$A$15:INDEX($A$15:$A$118,IF(D47="Selection",$B$7,IF(D47="Final test",$B$7+$B$6,$B$5)))),"")</f>
        <v/>
      </c>
      <c r="G47" s="9" t="str">
        <f>IF(OR(D47="Selection",D47="Final test",D47="Forecast"),AVERAGE(INDEX($C$15:$C$118,IF(D47="Selection",$B$7,IF(D47="Final test",$B$7+$B$6,$B$5))-$B$9+1):INDEX($C$15:$C$118,IF(D47="Selection",$B$7,IF(D47="Final test",$B$7+$B$6,$B$5)))),"")</f>
        <v/>
      </c>
      <c r="H47" s="9" t="str">
        <f>IF(OR(D47="Selection",D47="Final test",D47="Forecast"),INDEX($C$15:$C$118,A47-52),"")</f>
        <v/>
      </c>
      <c r="I47" s="9" t="str">
        <f>IF(OR(D47="Selection",D47="Final test"),ABS(C47-E47),"")</f>
        <v/>
      </c>
      <c r="J47" s="9" t="str">
        <f>IF(OR(D47="Selection",D47="Final test"),ABS(C47-F47),"")</f>
        <v/>
      </c>
      <c r="K47" s="9" t="str">
        <f>IF(OR(D47="Selection",D47="Final test"),ABS(C47-G47),"")</f>
        <v/>
      </c>
      <c r="L47" s="9" t="str">
        <f>IF(OR(D47="Selection",D47="Final test"),ABS(C47-H47),"")</f>
        <v/>
      </c>
      <c r="M47" s="9" t="str">
        <f>IF(OR(D47="Selection",D47="Final test",D47="Forecast"),CHOOSE($F$11,E47,F47,G47,H47),"")</f>
        <v/>
      </c>
      <c r="N47" s="9" t="str">
        <f t="shared" ref="N47:N78" si="25">IF(M47="","",MAX(0,M47-$B$10*$F$12))</f>
        <v/>
      </c>
      <c r="O47" s="9" t="str">
        <f t="shared" ref="O47:O78" si="26">IF(M47="","",M47+$B$10*$F$12)</f>
        <v/>
      </c>
      <c r="P47" s="9" t="str">
        <f>IF($D47="Forecast",'Capacity and backlog'!$B$7,"")</f>
        <v/>
      </c>
      <c r="Q47" s="9" t="str">
        <f t="shared" ref="Q47:Q78" si="27">IF(P47="","",M47-P47)</f>
        <v/>
      </c>
    </row>
    <row r="48" spans="1:17" x14ac:dyDescent="0.2">
      <c r="A48" s="20">
        <f t="shared" si="14"/>
        <v>34</v>
      </c>
      <c r="B48" s="23">
        <f>DATEVALUE('Weekly history'!A44)</f>
        <v>45523.0</v>
      </c>
      <c r="C48" s="9">
        <f>'Weekly history'!C44</f>
        <v>217</v>
      </c>
      <c r="D48" s="3" t="str">
        <f>IF(A48&gt;105,"Forecast",IF(A48=105,"Excluded partial",IF(A48&gt;$B$7+$B$6,"Final test",IF(A48&gt;$B$7,"Selection","Train"))))</f>
        <v>Train</v>
      </c>
      <c r="E48" s="9" t="str">
        <f>IF(D48="Selection",INDEX($C$15:$C$118,$B$7),IF(D48="Final test",INDEX($C$15:$C$118,$B$7+$B$6),IF(D48="Forecast",INDEX($C$15:$C$118,$B$5),"")))</f>
        <v/>
      </c>
      <c r="F48" s="9" t="str">
        <f>IF(OR(D48="Selection",D48="Final test",D48="Forecast"),FORECAST(A48,$C$15:INDEX($C$15:$C$118,IF(D48="Selection",$B$7,IF(D48="Final test",$B$7+$B$6,$B$5))),$A$15:INDEX($A$15:$A$118,IF(D48="Selection",$B$7,IF(D48="Final test",$B$7+$B$6,$B$5)))),"")</f>
        <v/>
      </c>
      <c r="G48" s="9" t="str">
        <f>IF(OR(D48="Selection",D48="Final test",D48="Forecast"),AVERAGE(INDEX($C$15:$C$118,IF(D48="Selection",$B$7,IF(D48="Final test",$B$7+$B$6,$B$5))-$B$9+1):INDEX($C$15:$C$118,IF(D48="Selection",$B$7,IF(D48="Final test",$B$7+$B$6,$B$5)))),"")</f>
        <v/>
      </c>
      <c r="H48" s="9" t="str">
        <f>IF(OR(D48="Selection",D48="Final test",D48="Forecast"),INDEX($C$15:$C$118,A48-52),"")</f>
        <v/>
      </c>
      <c r="I48" s="9" t="str">
        <f>IF(OR(D48="Selection",D48="Final test"),ABS(C48-E48),"")</f>
        <v/>
      </c>
      <c r="J48" s="9" t="str">
        <f>IF(OR(D48="Selection",D48="Final test"),ABS(C48-F48),"")</f>
        <v/>
      </c>
      <c r="K48" s="9" t="str">
        <f>IF(OR(D48="Selection",D48="Final test"),ABS(C48-G48),"")</f>
        <v/>
      </c>
      <c r="L48" s="9" t="str">
        <f>IF(OR(D48="Selection",D48="Final test"),ABS(C48-H48),"")</f>
        <v/>
      </c>
      <c r="M48" s="9" t="str">
        <f>IF(OR(D48="Selection",D48="Final test",D48="Forecast"),CHOOSE($F$11,E48,F48,G48,H48),"")</f>
        <v/>
      </c>
      <c r="N48" s="9" t="str">
        <f t="shared" si="25"/>
        <v/>
      </c>
      <c r="O48" s="9" t="str">
        <f t="shared" si="26"/>
        <v/>
      </c>
      <c r="P48" s="9" t="str">
        <f>IF($D48="Forecast",'Capacity and backlog'!$B$7,"")</f>
        <v/>
      </c>
      <c r="Q48" s="9" t="str">
        <f t="shared" si="27"/>
        <v/>
      </c>
    </row>
    <row r="49" spans="1:17" x14ac:dyDescent="0.2">
      <c r="A49" s="20">
        <f t="shared" si="14"/>
        <v>35</v>
      </c>
      <c r="B49" s="23">
        <f>DATEVALUE('Weekly history'!A45)</f>
        <v>45530.0</v>
      </c>
      <c r="C49" s="9">
        <f>'Weekly history'!C45</f>
        <v>261.8</v>
      </c>
      <c r="D49" s="3" t="str">
        <f>IF(A49&gt;105,"Forecast",IF(A49=105,"Excluded partial",IF(A49&gt;$B$7+$B$6,"Final test",IF(A49&gt;$B$7,"Selection","Train"))))</f>
        <v>Train</v>
      </c>
      <c r="E49" s="9" t="str">
        <f>IF(D49="Selection",INDEX($C$15:$C$118,$B$7),IF(D49="Final test",INDEX($C$15:$C$118,$B$7+$B$6),IF(D49="Forecast",INDEX($C$15:$C$118,$B$5),"")))</f>
        <v/>
      </c>
      <c r="F49" s="9" t="str">
        <f>IF(OR(D49="Selection",D49="Final test",D49="Forecast"),FORECAST(A49,$C$15:INDEX($C$15:$C$118,IF(D49="Selection",$B$7,IF(D49="Final test",$B$7+$B$6,$B$5))),$A$15:INDEX($A$15:$A$118,IF(D49="Selection",$B$7,IF(D49="Final test",$B$7+$B$6,$B$5)))),"")</f>
        <v/>
      </c>
      <c r="G49" s="9" t="str">
        <f>IF(OR(D49="Selection",D49="Final test",D49="Forecast"),AVERAGE(INDEX($C$15:$C$118,IF(D49="Selection",$B$7,IF(D49="Final test",$B$7+$B$6,$B$5))-$B$9+1):INDEX($C$15:$C$118,IF(D49="Selection",$B$7,IF(D49="Final test",$B$7+$B$6,$B$5)))),"")</f>
        <v/>
      </c>
      <c r="H49" s="9" t="str">
        <f>IF(OR(D49="Selection",D49="Final test",D49="Forecast"),INDEX($C$15:$C$118,A49-52),"")</f>
        <v/>
      </c>
      <c r="I49" s="9" t="str">
        <f>IF(OR(D49="Selection",D49="Final test"),ABS(C49-E49),"")</f>
        <v/>
      </c>
      <c r="J49" s="9" t="str">
        <f>IF(OR(D49="Selection",D49="Final test"),ABS(C49-F49),"")</f>
        <v/>
      </c>
      <c r="K49" s="9" t="str">
        <f>IF(OR(D49="Selection",D49="Final test"),ABS(C49-G49),"")</f>
        <v/>
      </c>
      <c r="L49" s="9" t="str">
        <f>IF(OR(D49="Selection",D49="Final test"),ABS(C49-H49),"")</f>
        <v/>
      </c>
      <c r="M49" s="9" t="str">
        <f>IF(OR(D49="Selection",D49="Final test",D49="Forecast"),CHOOSE($F$11,E49,F49,G49,H49),"")</f>
        <v/>
      </c>
      <c r="N49" s="9" t="str">
        <f t="shared" si="25"/>
        <v/>
      </c>
      <c r="O49" s="9" t="str">
        <f t="shared" si="26"/>
        <v/>
      </c>
      <c r="P49" s="9" t="str">
        <f>IF($D49="Forecast",'Capacity and backlog'!$B$7,"")</f>
        <v/>
      </c>
      <c r="Q49" s="9" t="str">
        <f t="shared" si="27"/>
        <v/>
      </c>
    </row>
    <row r="50" spans="1:17" x14ac:dyDescent="0.2">
      <c r="A50" s="20">
        <f t="shared" si="14"/>
        <v>36</v>
      </c>
      <c r="B50" s="23">
        <f>DATEVALUE('Weekly history'!A46)</f>
        <v>45537.0</v>
      </c>
      <c r="C50" s="9">
        <f>'Weekly history'!C46</f>
        <v>251.5</v>
      </c>
      <c r="D50" s="3" t="str">
        <f>IF(A50&gt;105,"Forecast",IF(A50=105,"Excluded partial",IF(A50&gt;$B$7+$B$6,"Final test",IF(A50&gt;$B$7,"Selection","Train"))))</f>
        <v>Train</v>
      </c>
      <c r="E50" s="9" t="str">
        <f>IF(D50="Selection",INDEX($C$15:$C$118,$B$7),IF(D50="Final test",INDEX($C$15:$C$118,$B$7+$B$6),IF(D50="Forecast",INDEX($C$15:$C$118,$B$5),"")))</f>
        <v/>
      </c>
      <c r="F50" s="9" t="str">
        <f>IF(OR(D50="Selection",D50="Final test",D50="Forecast"),FORECAST(A50,$C$15:INDEX($C$15:$C$118,IF(D50="Selection",$B$7,IF(D50="Final test",$B$7+$B$6,$B$5))),$A$15:INDEX($A$15:$A$118,IF(D50="Selection",$B$7,IF(D50="Final test",$B$7+$B$6,$B$5)))),"")</f>
        <v/>
      </c>
      <c r="G50" s="9" t="str">
        <f>IF(OR(D50="Selection",D50="Final test",D50="Forecast"),AVERAGE(INDEX($C$15:$C$118,IF(D50="Selection",$B$7,IF(D50="Final test",$B$7+$B$6,$B$5))-$B$9+1):INDEX($C$15:$C$118,IF(D50="Selection",$B$7,IF(D50="Final test",$B$7+$B$6,$B$5)))),"")</f>
        <v/>
      </c>
      <c r="H50" s="9" t="str">
        <f>IF(OR(D50="Selection",D50="Final test",D50="Forecast"),INDEX($C$15:$C$118,A50-52),"")</f>
        <v/>
      </c>
      <c r="I50" s="9" t="str">
        <f>IF(OR(D50="Selection",D50="Final test"),ABS(C50-E50),"")</f>
        <v/>
      </c>
      <c r="J50" s="9" t="str">
        <f>IF(OR(D50="Selection",D50="Final test"),ABS(C50-F50),"")</f>
        <v/>
      </c>
      <c r="K50" s="9" t="str">
        <f>IF(OR(D50="Selection",D50="Final test"),ABS(C50-G50),"")</f>
        <v/>
      </c>
      <c r="L50" s="9" t="str">
        <f>IF(OR(D50="Selection",D50="Final test"),ABS(C50-H50),"")</f>
        <v/>
      </c>
      <c r="M50" s="9" t="str">
        <f>IF(OR(D50="Selection",D50="Final test",D50="Forecast"),CHOOSE($F$11,E50,F50,G50,H50),"")</f>
        <v/>
      </c>
      <c r="N50" s="9" t="str">
        <f t="shared" si="25"/>
        <v/>
      </c>
      <c r="O50" s="9" t="str">
        <f t="shared" si="26"/>
        <v/>
      </c>
      <c r="P50" s="9" t="str">
        <f>IF($D50="Forecast",'Capacity and backlog'!$B$7,"")</f>
        <v/>
      </c>
      <c r="Q50" s="9" t="str">
        <f t="shared" si="27"/>
        <v/>
      </c>
    </row>
    <row r="51" spans="1:17" x14ac:dyDescent="0.2">
      <c r="A51" s="20">
        <f t="shared" si="14"/>
        <v>37</v>
      </c>
      <c r="B51" s="23">
        <f>DATEVALUE('Weekly history'!A47)</f>
        <v>45544.0</v>
      </c>
      <c r="C51" s="9">
        <f>'Weekly history'!C47</f>
        <v>206.5</v>
      </c>
      <c r="D51" s="3" t="str">
        <f>IF(A51&gt;105,"Forecast",IF(A51=105,"Excluded partial",IF(A51&gt;$B$7+$B$6,"Final test",IF(A51&gt;$B$7,"Selection","Train"))))</f>
        <v>Train</v>
      </c>
      <c r="E51" s="9" t="str">
        <f>IF(D51="Selection",INDEX($C$15:$C$118,$B$7),IF(D51="Final test",INDEX($C$15:$C$118,$B$7+$B$6),IF(D51="Forecast",INDEX($C$15:$C$118,$B$5),"")))</f>
        <v/>
      </c>
      <c r="F51" s="9" t="str">
        <f>IF(OR(D51="Selection",D51="Final test",D51="Forecast"),FORECAST(A51,$C$15:INDEX($C$15:$C$118,IF(D51="Selection",$B$7,IF(D51="Final test",$B$7+$B$6,$B$5))),$A$15:INDEX($A$15:$A$118,IF(D51="Selection",$B$7,IF(D51="Final test",$B$7+$B$6,$B$5)))),"")</f>
        <v/>
      </c>
      <c r="G51" s="9" t="str">
        <f>IF(OR(D51="Selection",D51="Final test",D51="Forecast"),AVERAGE(INDEX($C$15:$C$118,IF(D51="Selection",$B$7,IF(D51="Final test",$B$7+$B$6,$B$5))-$B$9+1):INDEX($C$15:$C$118,IF(D51="Selection",$B$7,IF(D51="Final test",$B$7+$B$6,$B$5)))),"")</f>
        <v/>
      </c>
      <c r="H51" s="9" t="str">
        <f>IF(OR(D51="Selection",D51="Final test",D51="Forecast"),INDEX($C$15:$C$118,A51-52),"")</f>
        <v/>
      </c>
      <c r="I51" s="9" t="str">
        <f>IF(OR(D51="Selection",D51="Final test"),ABS(C51-E51),"")</f>
        <v/>
      </c>
      <c r="J51" s="9" t="str">
        <f>IF(OR(D51="Selection",D51="Final test"),ABS(C51-F51),"")</f>
        <v/>
      </c>
      <c r="K51" s="9" t="str">
        <f>IF(OR(D51="Selection",D51="Final test"),ABS(C51-G51),"")</f>
        <v/>
      </c>
      <c r="L51" s="9" t="str">
        <f>IF(OR(D51="Selection",D51="Final test"),ABS(C51-H51),"")</f>
        <v/>
      </c>
      <c r="M51" s="9" t="str">
        <f>IF(OR(D51="Selection",D51="Final test",D51="Forecast"),CHOOSE($F$11,E51,F51,G51,H51),"")</f>
        <v/>
      </c>
      <c r="N51" s="9" t="str">
        <f t="shared" si="25"/>
        <v/>
      </c>
      <c r="O51" s="9" t="str">
        <f t="shared" si="26"/>
        <v/>
      </c>
      <c r="P51" s="9" t="str">
        <f>IF($D51="Forecast",'Capacity and backlog'!$B$7,"")</f>
        <v/>
      </c>
      <c r="Q51" s="9" t="str">
        <f t="shared" si="27"/>
        <v/>
      </c>
    </row>
    <row r="52" spans="1:17" x14ac:dyDescent="0.2">
      <c r="A52" s="20">
        <f t="shared" si="14"/>
        <v>38</v>
      </c>
      <c r="B52" s="23">
        <f>DATEVALUE('Weekly history'!A48)</f>
        <v>45551.0</v>
      </c>
      <c r="C52" s="9">
        <f>'Weekly history'!C48</f>
        <v>174.5</v>
      </c>
      <c r="D52" s="3" t="str">
        <f>IF(A52&gt;105,"Forecast",IF(A52=105,"Excluded partial",IF(A52&gt;$B$7+$B$6,"Final test",IF(A52&gt;$B$7,"Selection","Train"))))</f>
        <v>Train</v>
      </c>
      <c r="E52" s="9" t="str">
        <f>IF(D52="Selection",INDEX($C$15:$C$118,$B$7),IF(D52="Final test",INDEX($C$15:$C$118,$B$7+$B$6),IF(D52="Forecast",INDEX($C$15:$C$118,$B$5),"")))</f>
        <v/>
      </c>
      <c r="F52" s="9" t="str">
        <f>IF(OR(D52="Selection",D52="Final test",D52="Forecast"),FORECAST(A52,$C$15:INDEX($C$15:$C$118,IF(D52="Selection",$B$7,IF(D52="Final test",$B$7+$B$6,$B$5))),$A$15:INDEX($A$15:$A$118,IF(D52="Selection",$B$7,IF(D52="Final test",$B$7+$B$6,$B$5)))),"")</f>
        <v/>
      </c>
      <c r="G52" s="9" t="str">
        <f>IF(OR(D52="Selection",D52="Final test",D52="Forecast"),AVERAGE(INDEX($C$15:$C$118,IF(D52="Selection",$B$7,IF(D52="Final test",$B$7+$B$6,$B$5))-$B$9+1):INDEX($C$15:$C$118,IF(D52="Selection",$B$7,IF(D52="Final test",$B$7+$B$6,$B$5)))),"")</f>
        <v/>
      </c>
      <c r="H52" s="9" t="str">
        <f>IF(OR(D52="Selection",D52="Final test",D52="Forecast"),INDEX($C$15:$C$118,A52-52),"")</f>
        <v/>
      </c>
      <c r="I52" s="9" t="str">
        <f>IF(OR(D52="Selection",D52="Final test"),ABS(C52-E52),"")</f>
        <v/>
      </c>
      <c r="J52" s="9" t="str">
        <f>IF(OR(D52="Selection",D52="Final test"),ABS(C52-F52),"")</f>
        <v/>
      </c>
      <c r="K52" s="9" t="str">
        <f>IF(OR(D52="Selection",D52="Final test"),ABS(C52-G52),"")</f>
        <v/>
      </c>
      <c r="L52" s="9" t="str">
        <f>IF(OR(D52="Selection",D52="Final test"),ABS(C52-H52),"")</f>
        <v/>
      </c>
      <c r="M52" s="9" t="str">
        <f>IF(OR(D52="Selection",D52="Final test",D52="Forecast"),CHOOSE($F$11,E52,F52,G52,H52),"")</f>
        <v/>
      </c>
      <c r="N52" s="9" t="str">
        <f t="shared" si="25"/>
        <v/>
      </c>
      <c r="O52" s="9" t="str">
        <f t="shared" si="26"/>
        <v/>
      </c>
      <c r="P52" s="9" t="str">
        <f>IF($D52="Forecast",'Capacity and backlog'!$B$7,"")</f>
        <v/>
      </c>
      <c r="Q52" s="9" t="str">
        <f t="shared" si="27"/>
        <v/>
      </c>
    </row>
    <row r="53" spans="1:17" x14ac:dyDescent="0.2">
      <c r="A53" s="20">
        <f t="shared" si="14"/>
        <v>39</v>
      </c>
      <c r="B53" s="23">
        <f>DATEVALUE('Weekly history'!A49)</f>
        <v>45558.0</v>
      </c>
      <c r="C53" s="9">
        <f>'Weekly history'!C49</f>
        <v>144.5</v>
      </c>
      <c r="D53" s="3" t="str">
        <f>IF(A53&gt;105,"Forecast",IF(A53=105,"Excluded partial",IF(A53&gt;$B$7+$B$6,"Final test",IF(A53&gt;$B$7,"Selection","Train"))))</f>
        <v>Train</v>
      </c>
      <c r="E53" s="9" t="str">
        <f>IF(D53="Selection",INDEX($C$15:$C$118,$B$7),IF(D53="Final test",INDEX($C$15:$C$118,$B$7+$B$6),IF(D53="Forecast",INDEX($C$15:$C$118,$B$5),"")))</f>
        <v/>
      </c>
      <c r="F53" s="9" t="str">
        <f>IF(OR(D53="Selection",D53="Final test",D53="Forecast"),FORECAST(A53,$C$15:INDEX($C$15:$C$118,IF(D53="Selection",$B$7,IF(D53="Final test",$B$7+$B$6,$B$5))),$A$15:INDEX($A$15:$A$118,IF(D53="Selection",$B$7,IF(D53="Final test",$B$7+$B$6,$B$5)))),"")</f>
        <v/>
      </c>
      <c r="G53" s="9" t="str">
        <f>IF(OR(D53="Selection",D53="Final test",D53="Forecast"),AVERAGE(INDEX($C$15:$C$118,IF(D53="Selection",$B$7,IF(D53="Final test",$B$7+$B$6,$B$5))-$B$9+1):INDEX($C$15:$C$118,IF(D53="Selection",$B$7,IF(D53="Final test",$B$7+$B$6,$B$5)))),"")</f>
        <v/>
      </c>
      <c r="H53" s="9" t="str">
        <f>IF(OR(D53="Selection",D53="Final test",D53="Forecast"),INDEX($C$15:$C$118,A53-52),"")</f>
        <v/>
      </c>
      <c r="I53" s="9" t="str">
        <f>IF(OR(D53="Selection",D53="Final test"),ABS(C53-E53),"")</f>
        <v/>
      </c>
      <c r="J53" s="9" t="str">
        <f>IF(OR(D53="Selection",D53="Final test"),ABS(C53-F53),"")</f>
        <v/>
      </c>
      <c r="K53" s="9" t="str">
        <f>IF(OR(D53="Selection",D53="Final test"),ABS(C53-G53),"")</f>
        <v/>
      </c>
      <c r="L53" s="9" t="str">
        <f>IF(OR(D53="Selection",D53="Final test"),ABS(C53-H53),"")</f>
        <v/>
      </c>
      <c r="M53" s="9" t="str">
        <f>IF(OR(D53="Selection",D53="Final test",D53="Forecast"),CHOOSE($F$11,E53,F53,G53,H53),"")</f>
        <v/>
      </c>
      <c r="N53" s="9" t="str">
        <f t="shared" si="25"/>
        <v/>
      </c>
      <c r="O53" s="9" t="str">
        <f t="shared" si="26"/>
        <v/>
      </c>
      <c r="P53" s="9" t="str">
        <f>IF($D53="Forecast",'Capacity and backlog'!$B$7,"")</f>
        <v/>
      </c>
      <c r="Q53" s="9" t="str">
        <f t="shared" si="27"/>
        <v/>
      </c>
    </row>
    <row r="54" spans="1:17" x14ac:dyDescent="0.2">
      <c r="A54" s="20">
        <f t="shared" si="14"/>
        <v>40</v>
      </c>
      <c r="B54" s="23">
        <f>DATEVALUE('Weekly history'!A50)</f>
        <v>45565.0</v>
      </c>
      <c r="C54" s="9">
        <f>'Weekly history'!C50</f>
        <v>191.8</v>
      </c>
      <c r="D54" s="3" t="str">
        <f>IF(A54&gt;105,"Forecast",IF(A54=105,"Excluded partial",IF(A54&gt;$B$7+$B$6,"Final test",IF(A54&gt;$B$7,"Selection","Train"))))</f>
        <v>Train</v>
      </c>
      <c r="E54" s="9" t="str">
        <f>IF(D54="Selection",INDEX($C$15:$C$118,$B$7),IF(D54="Final test",INDEX($C$15:$C$118,$B$7+$B$6),IF(D54="Forecast",INDEX($C$15:$C$118,$B$5),"")))</f>
        <v/>
      </c>
      <c r="F54" s="9" t="str">
        <f>IF(OR(D54="Selection",D54="Final test",D54="Forecast"),FORECAST(A54,$C$15:INDEX($C$15:$C$118,IF(D54="Selection",$B$7,IF(D54="Final test",$B$7+$B$6,$B$5))),$A$15:INDEX($A$15:$A$118,IF(D54="Selection",$B$7,IF(D54="Final test",$B$7+$B$6,$B$5)))),"")</f>
        <v/>
      </c>
      <c r="G54" s="9" t="str">
        <f>IF(OR(D54="Selection",D54="Final test",D54="Forecast"),AVERAGE(INDEX($C$15:$C$118,IF(D54="Selection",$B$7,IF(D54="Final test",$B$7+$B$6,$B$5))-$B$9+1):INDEX($C$15:$C$118,IF(D54="Selection",$B$7,IF(D54="Final test",$B$7+$B$6,$B$5)))),"")</f>
        <v/>
      </c>
      <c r="H54" s="9" t="str">
        <f>IF(OR(D54="Selection",D54="Final test",D54="Forecast"),INDEX($C$15:$C$118,A54-52),"")</f>
        <v/>
      </c>
      <c r="I54" s="9" t="str">
        <f>IF(OR(D54="Selection",D54="Final test"),ABS(C54-E54),"")</f>
        <v/>
      </c>
      <c r="J54" s="9" t="str">
        <f>IF(OR(D54="Selection",D54="Final test"),ABS(C54-F54),"")</f>
        <v/>
      </c>
      <c r="K54" s="9" t="str">
        <f>IF(OR(D54="Selection",D54="Final test"),ABS(C54-G54),"")</f>
        <v/>
      </c>
      <c r="L54" s="9" t="str">
        <f>IF(OR(D54="Selection",D54="Final test"),ABS(C54-H54),"")</f>
        <v/>
      </c>
      <c r="M54" s="9" t="str">
        <f>IF(OR(D54="Selection",D54="Final test",D54="Forecast"),CHOOSE($F$11,E54,F54,G54,H54),"")</f>
        <v/>
      </c>
      <c r="N54" s="9" t="str">
        <f t="shared" si="25"/>
        <v/>
      </c>
      <c r="O54" s="9" t="str">
        <f t="shared" si="26"/>
        <v/>
      </c>
      <c r="P54" s="9" t="str">
        <f>IF($D54="Forecast",'Capacity and backlog'!$B$7,"")</f>
        <v/>
      </c>
      <c r="Q54" s="9" t="str">
        <f t="shared" si="27"/>
        <v/>
      </c>
    </row>
    <row r="55" spans="1:17" x14ac:dyDescent="0.2">
      <c r="A55" s="20">
        <f t="shared" si="14"/>
        <v>41</v>
      </c>
      <c r="B55" s="23">
        <f>DATEVALUE('Weekly history'!A51)</f>
        <v>45572.0</v>
      </c>
      <c r="C55" s="9">
        <f>'Weekly history'!C51</f>
        <v>183</v>
      </c>
      <c r="D55" s="3" t="str">
        <f>IF(A55&gt;105,"Forecast",IF(A55=105,"Excluded partial",IF(A55&gt;$B$7+$B$6,"Final test",IF(A55&gt;$B$7,"Selection","Train"))))</f>
        <v>Train</v>
      </c>
      <c r="E55" s="9" t="str">
        <f>IF(D55="Selection",INDEX($C$15:$C$118,$B$7),IF(D55="Final test",INDEX($C$15:$C$118,$B$7+$B$6),IF(D55="Forecast",INDEX($C$15:$C$118,$B$5),"")))</f>
        <v/>
      </c>
      <c r="F55" s="9" t="str">
        <f>IF(OR(D55="Selection",D55="Final test",D55="Forecast"),FORECAST(A55,$C$15:INDEX($C$15:$C$118,IF(D55="Selection",$B$7,IF(D55="Final test",$B$7+$B$6,$B$5))),$A$15:INDEX($A$15:$A$118,IF(D55="Selection",$B$7,IF(D55="Final test",$B$7+$B$6,$B$5)))),"")</f>
        <v/>
      </c>
      <c r="G55" s="9" t="str">
        <f>IF(OR(D55="Selection",D55="Final test",D55="Forecast"),AVERAGE(INDEX($C$15:$C$118,IF(D55="Selection",$B$7,IF(D55="Final test",$B$7+$B$6,$B$5))-$B$9+1):INDEX($C$15:$C$118,IF(D55="Selection",$B$7,IF(D55="Final test",$B$7+$B$6,$B$5)))),"")</f>
        <v/>
      </c>
      <c r="H55" s="9" t="str">
        <f>IF(OR(D55="Selection",D55="Final test",D55="Forecast"),INDEX($C$15:$C$118,A55-52),"")</f>
        <v/>
      </c>
      <c r="I55" s="9" t="str">
        <f>IF(OR(D55="Selection",D55="Final test"),ABS(C55-E55),"")</f>
        <v/>
      </c>
      <c r="J55" s="9" t="str">
        <f>IF(OR(D55="Selection",D55="Final test"),ABS(C55-F55),"")</f>
        <v/>
      </c>
      <c r="K55" s="9" t="str">
        <f>IF(OR(D55="Selection",D55="Final test"),ABS(C55-G55),"")</f>
        <v/>
      </c>
      <c r="L55" s="9" t="str">
        <f>IF(OR(D55="Selection",D55="Final test"),ABS(C55-H55),"")</f>
        <v/>
      </c>
      <c r="M55" s="9" t="str">
        <f>IF(OR(D55="Selection",D55="Final test",D55="Forecast"),CHOOSE($F$11,E55,F55,G55,H55),"")</f>
        <v/>
      </c>
      <c r="N55" s="9" t="str">
        <f t="shared" si="25"/>
        <v/>
      </c>
      <c r="O55" s="9" t="str">
        <f t="shared" si="26"/>
        <v/>
      </c>
      <c r="P55" s="9" t="str">
        <f>IF($D55="Forecast",'Capacity and backlog'!$B$7,"")</f>
        <v/>
      </c>
      <c r="Q55" s="9" t="str">
        <f t="shared" si="27"/>
        <v/>
      </c>
    </row>
    <row r="56" spans="1:17" x14ac:dyDescent="0.2">
      <c r="A56" s="20">
        <f t="shared" si="14"/>
        <v>42</v>
      </c>
      <c r="B56" s="23">
        <f>DATEVALUE('Weekly history'!A52)</f>
        <v>45579.0</v>
      </c>
      <c r="C56" s="9">
        <f>'Weekly history'!C52</f>
        <v>269.1</v>
      </c>
      <c r="D56" s="3" t="str">
        <f>IF(A56&gt;105,"Forecast",IF(A56=105,"Excluded partial",IF(A56&gt;$B$7+$B$6,"Final test",IF(A56&gt;$B$7,"Selection","Train"))))</f>
        <v>Train</v>
      </c>
      <c r="E56" s="9" t="str">
        <f>IF(D56="Selection",INDEX($C$15:$C$118,$B$7),IF(D56="Final test",INDEX($C$15:$C$118,$B$7+$B$6),IF(D56="Forecast",INDEX($C$15:$C$118,$B$5),"")))</f>
        <v/>
      </c>
      <c r="F56" s="9" t="str">
        <f>IF(OR(D56="Selection",D56="Final test",D56="Forecast"),FORECAST(A56,$C$15:INDEX($C$15:$C$118,IF(D56="Selection",$B$7,IF(D56="Final test",$B$7+$B$6,$B$5))),$A$15:INDEX($A$15:$A$118,IF(D56="Selection",$B$7,IF(D56="Final test",$B$7+$B$6,$B$5)))),"")</f>
        <v/>
      </c>
      <c r="G56" s="9" t="str">
        <f>IF(OR(D56="Selection",D56="Final test",D56="Forecast"),AVERAGE(INDEX($C$15:$C$118,IF(D56="Selection",$B$7,IF(D56="Final test",$B$7+$B$6,$B$5))-$B$9+1):INDEX($C$15:$C$118,IF(D56="Selection",$B$7,IF(D56="Final test",$B$7+$B$6,$B$5)))),"")</f>
        <v/>
      </c>
      <c r="H56" s="9" t="str">
        <f>IF(OR(D56="Selection",D56="Final test",D56="Forecast"),INDEX($C$15:$C$118,A56-52),"")</f>
        <v/>
      </c>
      <c r="I56" s="9" t="str">
        <f>IF(OR(D56="Selection",D56="Final test"),ABS(C56-E56),"")</f>
        <v/>
      </c>
      <c r="J56" s="9" t="str">
        <f>IF(OR(D56="Selection",D56="Final test"),ABS(C56-F56),"")</f>
        <v/>
      </c>
      <c r="K56" s="9" t="str">
        <f>IF(OR(D56="Selection",D56="Final test"),ABS(C56-G56),"")</f>
        <v/>
      </c>
      <c r="L56" s="9" t="str">
        <f>IF(OR(D56="Selection",D56="Final test"),ABS(C56-H56),"")</f>
        <v/>
      </c>
      <c r="M56" s="9" t="str">
        <f>IF(OR(D56="Selection",D56="Final test",D56="Forecast"),CHOOSE($F$11,E56,F56,G56,H56),"")</f>
        <v/>
      </c>
      <c r="N56" s="9" t="str">
        <f t="shared" si="25"/>
        <v/>
      </c>
      <c r="O56" s="9" t="str">
        <f t="shared" si="26"/>
        <v/>
      </c>
      <c r="P56" s="9" t="str">
        <f>IF($D56="Forecast",'Capacity and backlog'!$B$7,"")</f>
        <v/>
      </c>
      <c r="Q56" s="9" t="str">
        <f t="shared" si="27"/>
        <v/>
      </c>
    </row>
    <row r="57" spans="1:17" x14ac:dyDescent="0.2">
      <c r="A57" s="20">
        <f t="shared" si="14"/>
        <v>43</v>
      </c>
      <c r="B57" s="23">
        <f>DATEVALUE('Weekly history'!A53)</f>
        <v>45586.0</v>
      </c>
      <c r="C57" s="9">
        <f>'Weekly history'!C53</f>
        <v>319.2</v>
      </c>
      <c r="D57" s="3" t="str">
        <f>IF(A57&gt;105,"Forecast",IF(A57=105,"Excluded partial",IF(A57&gt;$B$7+$B$6,"Final test",IF(A57&gt;$B$7,"Selection","Train"))))</f>
        <v>Train</v>
      </c>
      <c r="E57" s="9" t="str">
        <f>IF(D57="Selection",INDEX($C$15:$C$118,$B$7),IF(D57="Final test",INDEX($C$15:$C$118,$B$7+$B$6),IF(D57="Forecast",INDEX($C$15:$C$118,$B$5),"")))</f>
        <v/>
      </c>
      <c r="F57" s="9" t="str">
        <f>IF(OR(D57="Selection",D57="Final test",D57="Forecast"),FORECAST(A57,$C$15:INDEX($C$15:$C$118,IF(D57="Selection",$B$7,IF(D57="Final test",$B$7+$B$6,$B$5))),$A$15:INDEX($A$15:$A$118,IF(D57="Selection",$B$7,IF(D57="Final test",$B$7+$B$6,$B$5)))),"")</f>
        <v/>
      </c>
      <c r="G57" s="9" t="str">
        <f>IF(OR(D57="Selection",D57="Final test",D57="Forecast"),AVERAGE(INDEX($C$15:$C$118,IF(D57="Selection",$B$7,IF(D57="Final test",$B$7+$B$6,$B$5))-$B$9+1):INDEX($C$15:$C$118,IF(D57="Selection",$B$7,IF(D57="Final test",$B$7+$B$6,$B$5)))),"")</f>
        <v/>
      </c>
      <c r="H57" s="9" t="str">
        <f>IF(OR(D57="Selection",D57="Final test",D57="Forecast"),INDEX($C$15:$C$118,A57-52),"")</f>
        <v/>
      </c>
      <c r="I57" s="9" t="str">
        <f>IF(OR(D57="Selection",D57="Final test"),ABS(C57-E57),"")</f>
        <v/>
      </c>
      <c r="J57" s="9" t="str">
        <f>IF(OR(D57="Selection",D57="Final test"),ABS(C57-F57),"")</f>
        <v/>
      </c>
      <c r="K57" s="9" t="str">
        <f>IF(OR(D57="Selection",D57="Final test"),ABS(C57-G57),"")</f>
        <v/>
      </c>
      <c r="L57" s="9" t="str">
        <f>IF(OR(D57="Selection",D57="Final test"),ABS(C57-H57),"")</f>
        <v/>
      </c>
      <c r="M57" s="9" t="str">
        <f>IF(OR(D57="Selection",D57="Final test",D57="Forecast"),CHOOSE($F$11,E57,F57,G57,H57),"")</f>
        <v/>
      </c>
      <c r="N57" s="9" t="str">
        <f t="shared" si="25"/>
        <v/>
      </c>
      <c r="O57" s="9" t="str">
        <f t="shared" si="26"/>
        <v/>
      </c>
      <c r="P57" s="9" t="str">
        <f>IF($D57="Forecast",'Capacity and backlog'!$B$7,"")</f>
        <v/>
      </c>
      <c r="Q57" s="9" t="str">
        <f t="shared" si="27"/>
        <v/>
      </c>
    </row>
    <row r="58" spans="1:17" x14ac:dyDescent="0.2">
      <c r="A58" s="20">
        <f t="shared" si="14"/>
        <v>44</v>
      </c>
      <c r="B58" s="23">
        <f>DATEVALUE('Weekly history'!A54)</f>
        <v>45593.0</v>
      </c>
      <c r="C58" s="9">
        <f>'Weekly history'!C54</f>
        <v>187</v>
      </c>
      <c r="D58" s="3" t="str">
        <f>IF(A58&gt;105,"Forecast",IF(A58=105,"Excluded partial",IF(A58&gt;$B$7+$B$6,"Final test",IF(A58&gt;$B$7,"Selection","Train"))))</f>
        <v>Train</v>
      </c>
      <c r="E58" s="9" t="str">
        <f>IF(D58="Selection",INDEX($C$15:$C$118,$B$7),IF(D58="Final test",INDEX($C$15:$C$118,$B$7+$B$6),IF(D58="Forecast",INDEX($C$15:$C$118,$B$5),"")))</f>
        <v/>
      </c>
      <c r="F58" s="9" t="str">
        <f>IF(OR(D58="Selection",D58="Final test",D58="Forecast"),FORECAST(A58,$C$15:INDEX($C$15:$C$118,IF(D58="Selection",$B$7,IF(D58="Final test",$B$7+$B$6,$B$5))),$A$15:INDEX($A$15:$A$118,IF(D58="Selection",$B$7,IF(D58="Final test",$B$7+$B$6,$B$5)))),"")</f>
        <v/>
      </c>
      <c r="G58" s="9" t="str">
        <f>IF(OR(D58="Selection",D58="Final test",D58="Forecast"),AVERAGE(INDEX($C$15:$C$118,IF(D58="Selection",$B$7,IF(D58="Final test",$B$7+$B$6,$B$5))-$B$9+1):INDEX($C$15:$C$118,IF(D58="Selection",$B$7,IF(D58="Final test",$B$7+$B$6,$B$5)))),"")</f>
        <v/>
      </c>
      <c r="H58" s="9" t="str">
        <f>IF(OR(D58="Selection",D58="Final test",D58="Forecast"),INDEX($C$15:$C$118,A58-52),"")</f>
        <v/>
      </c>
      <c r="I58" s="9" t="str">
        <f>IF(OR(D58="Selection",D58="Final test"),ABS(C58-E58),"")</f>
        <v/>
      </c>
      <c r="J58" s="9" t="str">
        <f>IF(OR(D58="Selection",D58="Final test"),ABS(C58-F58),"")</f>
        <v/>
      </c>
      <c r="K58" s="9" t="str">
        <f>IF(OR(D58="Selection",D58="Final test"),ABS(C58-G58),"")</f>
        <v/>
      </c>
      <c r="L58" s="9" t="str">
        <f>IF(OR(D58="Selection",D58="Final test"),ABS(C58-H58),"")</f>
        <v/>
      </c>
      <c r="M58" s="9" t="str">
        <f>IF(OR(D58="Selection",D58="Final test",D58="Forecast"),CHOOSE($F$11,E58,F58,G58,H58),"")</f>
        <v/>
      </c>
      <c r="N58" s="9" t="str">
        <f t="shared" si="25"/>
        <v/>
      </c>
      <c r="O58" s="9" t="str">
        <f t="shared" si="26"/>
        <v/>
      </c>
      <c r="P58" s="9" t="str">
        <f>IF($D58="Forecast",'Capacity and backlog'!$B$7,"")</f>
        <v/>
      </c>
      <c r="Q58" s="9" t="str">
        <f t="shared" si="27"/>
        <v/>
      </c>
    </row>
    <row r="59" spans="1:17" x14ac:dyDescent="0.2">
      <c r="A59" s="20">
        <f t="shared" si="14"/>
        <v>45</v>
      </c>
      <c r="B59" s="23">
        <f>DATEVALUE('Weekly history'!A55)</f>
        <v>45600.0</v>
      </c>
      <c r="C59" s="9">
        <f>'Weekly history'!C55</f>
        <v>109.8</v>
      </c>
      <c r="D59" s="3" t="str">
        <f>IF(A59&gt;105,"Forecast",IF(A59=105,"Excluded partial",IF(A59&gt;$B$7+$B$6,"Final test",IF(A59&gt;$B$7,"Selection","Train"))))</f>
        <v>Train</v>
      </c>
      <c r="E59" s="9" t="str">
        <f>IF(D59="Selection",INDEX($C$15:$C$118,$B$7),IF(D59="Final test",INDEX($C$15:$C$118,$B$7+$B$6),IF(D59="Forecast",INDEX($C$15:$C$118,$B$5),"")))</f>
        <v/>
      </c>
      <c r="F59" s="9" t="str">
        <f>IF(OR(D59="Selection",D59="Final test",D59="Forecast"),FORECAST(A59,$C$15:INDEX($C$15:$C$118,IF(D59="Selection",$B$7,IF(D59="Final test",$B$7+$B$6,$B$5))),$A$15:INDEX($A$15:$A$118,IF(D59="Selection",$B$7,IF(D59="Final test",$B$7+$B$6,$B$5)))),"")</f>
        <v/>
      </c>
      <c r="G59" s="9" t="str">
        <f>IF(OR(D59="Selection",D59="Final test",D59="Forecast"),AVERAGE(INDEX($C$15:$C$118,IF(D59="Selection",$B$7,IF(D59="Final test",$B$7+$B$6,$B$5))-$B$9+1):INDEX($C$15:$C$118,IF(D59="Selection",$B$7,IF(D59="Final test",$B$7+$B$6,$B$5)))),"")</f>
        <v/>
      </c>
      <c r="H59" s="9" t="str">
        <f>IF(OR(D59="Selection",D59="Final test",D59="Forecast"),INDEX($C$15:$C$118,A59-52),"")</f>
        <v/>
      </c>
      <c r="I59" s="9" t="str">
        <f>IF(OR(D59="Selection",D59="Final test"),ABS(C59-E59),"")</f>
        <v/>
      </c>
      <c r="J59" s="9" t="str">
        <f>IF(OR(D59="Selection",D59="Final test"),ABS(C59-F59),"")</f>
        <v/>
      </c>
      <c r="K59" s="9" t="str">
        <f>IF(OR(D59="Selection",D59="Final test"),ABS(C59-G59),"")</f>
        <v/>
      </c>
      <c r="L59" s="9" t="str">
        <f>IF(OR(D59="Selection",D59="Final test"),ABS(C59-H59),"")</f>
        <v/>
      </c>
      <c r="M59" s="9" t="str">
        <f>IF(OR(D59="Selection",D59="Final test",D59="Forecast"),CHOOSE($F$11,E59,F59,G59,H59),"")</f>
        <v/>
      </c>
      <c r="N59" s="9" t="str">
        <f t="shared" si="25"/>
        <v/>
      </c>
      <c r="O59" s="9" t="str">
        <f t="shared" si="26"/>
        <v/>
      </c>
      <c r="P59" s="9" t="str">
        <f>IF($D59="Forecast",'Capacity and backlog'!$B$7,"")</f>
        <v/>
      </c>
      <c r="Q59" s="9" t="str">
        <f t="shared" si="27"/>
        <v/>
      </c>
    </row>
    <row r="60" spans="1:17" x14ac:dyDescent="0.2">
      <c r="A60" s="20">
        <f t="shared" si="14"/>
        <v>46</v>
      </c>
      <c r="B60" s="23">
        <f>DATEVALUE('Weekly history'!A56)</f>
        <v>45607.0</v>
      </c>
      <c r="C60" s="9">
        <f>'Weekly history'!C56</f>
        <v>180.9</v>
      </c>
      <c r="D60" s="3" t="str">
        <f>IF(A60&gt;105,"Forecast",IF(A60=105,"Excluded partial",IF(A60&gt;$B$7+$B$6,"Final test",IF(A60&gt;$B$7,"Selection","Train"))))</f>
        <v>Train</v>
      </c>
      <c r="E60" s="9" t="str">
        <f>IF(D60="Selection",INDEX($C$15:$C$118,$B$7),IF(D60="Final test",INDEX($C$15:$C$118,$B$7+$B$6),IF(D60="Forecast",INDEX($C$15:$C$118,$B$5),"")))</f>
        <v/>
      </c>
      <c r="F60" s="9" t="str">
        <f>IF(OR(D60="Selection",D60="Final test",D60="Forecast"),FORECAST(A60,$C$15:INDEX($C$15:$C$118,IF(D60="Selection",$B$7,IF(D60="Final test",$B$7+$B$6,$B$5))),$A$15:INDEX($A$15:$A$118,IF(D60="Selection",$B$7,IF(D60="Final test",$B$7+$B$6,$B$5)))),"")</f>
        <v/>
      </c>
      <c r="G60" s="9" t="str">
        <f>IF(OR(D60="Selection",D60="Final test",D60="Forecast"),AVERAGE(INDEX($C$15:$C$118,IF(D60="Selection",$B$7,IF(D60="Final test",$B$7+$B$6,$B$5))-$B$9+1):INDEX($C$15:$C$118,IF(D60="Selection",$B$7,IF(D60="Final test",$B$7+$B$6,$B$5)))),"")</f>
        <v/>
      </c>
      <c r="H60" s="9" t="str">
        <f>IF(OR(D60="Selection",D60="Final test",D60="Forecast"),INDEX($C$15:$C$118,A60-52),"")</f>
        <v/>
      </c>
      <c r="I60" s="9" t="str">
        <f>IF(OR(D60="Selection",D60="Final test"),ABS(C60-E60),"")</f>
        <v/>
      </c>
      <c r="J60" s="9" t="str">
        <f>IF(OR(D60="Selection",D60="Final test"),ABS(C60-F60),"")</f>
        <v/>
      </c>
      <c r="K60" s="9" t="str">
        <f>IF(OR(D60="Selection",D60="Final test"),ABS(C60-G60),"")</f>
        <v/>
      </c>
      <c r="L60" s="9" t="str">
        <f>IF(OR(D60="Selection",D60="Final test"),ABS(C60-H60),"")</f>
        <v/>
      </c>
      <c r="M60" s="9" t="str">
        <f>IF(OR(D60="Selection",D60="Final test",D60="Forecast"),CHOOSE($F$11,E60,F60,G60,H60),"")</f>
        <v/>
      </c>
      <c r="N60" s="9" t="str">
        <f t="shared" si="25"/>
        <v/>
      </c>
      <c r="O60" s="9" t="str">
        <f t="shared" si="26"/>
        <v/>
      </c>
      <c r="P60" s="9" t="str">
        <f>IF($D60="Forecast",'Capacity and backlog'!$B$7,"")</f>
        <v/>
      </c>
      <c r="Q60" s="9" t="str">
        <f t="shared" si="27"/>
        <v/>
      </c>
    </row>
    <row r="61" spans="1:17" x14ac:dyDescent="0.2">
      <c r="A61" s="20">
        <f t="shared" si="14"/>
        <v>47</v>
      </c>
      <c r="B61" s="23">
        <f>DATEVALUE('Weekly history'!A57)</f>
        <v>45614.0</v>
      </c>
      <c r="C61" s="9">
        <f>'Weekly history'!C57</f>
        <v>228.7</v>
      </c>
      <c r="D61" s="3" t="str">
        <f>IF(A61&gt;105,"Forecast",IF(A61=105,"Excluded partial",IF(A61&gt;$B$7+$B$6,"Final test",IF(A61&gt;$B$7,"Selection","Train"))))</f>
        <v>Train</v>
      </c>
      <c r="E61" s="9" t="str">
        <f>IF(D61="Selection",INDEX($C$15:$C$118,$B$7),IF(D61="Final test",INDEX($C$15:$C$118,$B$7+$B$6),IF(D61="Forecast",INDEX($C$15:$C$118,$B$5),"")))</f>
        <v/>
      </c>
      <c r="F61" s="9" t="str">
        <f>IF(OR(D61="Selection",D61="Final test",D61="Forecast"),FORECAST(A61,$C$15:INDEX($C$15:$C$118,IF(D61="Selection",$B$7,IF(D61="Final test",$B$7+$B$6,$B$5))),$A$15:INDEX($A$15:$A$118,IF(D61="Selection",$B$7,IF(D61="Final test",$B$7+$B$6,$B$5)))),"")</f>
        <v/>
      </c>
      <c r="G61" s="9" t="str">
        <f>IF(OR(D61="Selection",D61="Final test",D61="Forecast"),AVERAGE(INDEX($C$15:$C$118,IF(D61="Selection",$B$7,IF(D61="Final test",$B$7+$B$6,$B$5))-$B$9+1):INDEX($C$15:$C$118,IF(D61="Selection",$B$7,IF(D61="Final test",$B$7+$B$6,$B$5)))),"")</f>
        <v/>
      </c>
      <c r="H61" s="9" t="str">
        <f>IF(OR(D61="Selection",D61="Final test",D61="Forecast"),INDEX($C$15:$C$118,A61-52),"")</f>
        <v/>
      </c>
      <c r="I61" s="9" t="str">
        <f>IF(OR(D61="Selection",D61="Final test"),ABS(C61-E61),"")</f>
        <v/>
      </c>
      <c r="J61" s="9" t="str">
        <f>IF(OR(D61="Selection",D61="Final test"),ABS(C61-F61),"")</f>
        <v/>
      </c>
      <c r="K61" s="9" t="str">
        <f>IF(OR(D61="Selection",D61="Final test"),ABS(C61-G61),"")</f>
        <v/>
      </c>
      <c r="L61" s="9" t="str">
        <f>IF(OR(D61="Selection",D61="Final test"),ABS(C61-H61),"")</f>
        <v/>
      </c>
      <c r="M61" s="9" t="str">
        <f>IF(OR(D61="Selection",D61="Final test",D61="Forecast"),CHOOSE($F$11,E61,F61,G61,H61),"")</f>
        <v/>
      </c>
      <c r="N61" s="9" t="str">
        <f t="shared" si="25"/>
        <v/>
      </c>
      <c r="O61" s="9" t="str">
        <f t="shared" si="26"/>
        <v/>
      </c>
      <c r="P61" s="9" t="str">
        <f>IF($D61="Forecast",'Capacity and backlog'!$B$7,"")</f>
        <v/>
      </c>
      <c r="Q61" s="9" t="str">
        <f t="shared" si="27"/>
        <v/>
      </c>
    </row>
    <row r="62" spans="1:17" x14ac:dyDescent="0.2">
      <c r="A62" s="20">
        <f t="shared" si="14"/>
        <v>48</v>
      </c>
      <c r="B62" s="23">
        <f>DATEVALUE('Weekly history'!A58)</f>
        <v>45621.0</v>
      </c>
      <c r="C62" s="9">
        <f>'Weekly history'!C58</f>
        <v>222.7</v>
      </c>
      <c r="D62" s="3" t="str">
        <f>IF(A62&gt;105,"Forecast",IF(A62=105,"Excluded partial",IF(A62&gt;$B$7+$B$6,"Final test",IF(A62&gt;$B$7,"Selection","Train"))))</f>
        <v>Train</v>
      </c>
      <c r="E62" s="9" t="str">
        <f>IF(D62="Selection",INDEX($C$15:$C$118,$B$7),IF(D62="Final test",INDEX($C$15:$C$118,$B$7+$B$6),IF(D62="Forecast",INDEX($C$15:$C$118,$B$5),"")))</f>
        <v/>
      </c>
      <c r="F62" s="9" t="str">
        <f>IF(OR(D62="Selection",D62="Final test",D62="Forecast"),FORECAST(A62,$C$15:INDEX($C$15:$C$118,IF(D62="Selection",$B$7,IF(D62="Final test",$B$7+$B$6,$B$5))),$A$15:INDEX($A$15:$A$118,IF(D62="Selection",$B$7,IF(D62="Final test",$B$7+$B$6,$B$5)))),"")</f>
        <v/>
      </c>
      <c r="G62" s="9" t="str">
        <f>IF(OR(D62="Selection",D62="Final test",D62="Forecast"),AVERAGE(INDEX($C$15:$C$118,IF(D62="Selection",$B$7,IF(D62="Final test",$B$7+$B$6,$B$5))-$B$9+1):INDEX($C$15:$C$118,IF(D62="Selection",$B$7,IF(D62="Final test",$B$7+$B$6,$B$5)))),"")</f>
        <v/>
      </c>
      <c r="H62" s="9" t="str">
        <f>IF(OR(D62="Selection",D62="Final test",D62="Forecast"),INDEX($C$15:$C$118,A62-52),"")</f>
        <v/>
      </c>
      <c r="I62" s="9" t="str">
        <f>IF(OR(D62="Selection",D62="Final test"),ABS(C62-E62),"")</f>
        <v/>
      </c>
      <c r="J62" s="9" t="str">
        <f>IF(OR(D62="Selection",D62="Final test"),ABS(C62-F62),"")</f>
        <v/>
      </c>
      <c r="K62" s="9" t="str">
        <f>IF(OR(D62="Selection",D62="Final test"),ABS(C62-G62),"")</f>
        <v/>
      </c>
      <c r="L62" s="9" t="str">
        <f>IF(OR(D62="Selection",D62="Final test"),ABS(C62-H62),"")</f>
        <v/>
      </c>
      <c r="M62" s="9" t="str">
        <f>IF(OR(D62="Selection",D62="Final test",D62="Forecast"),CHOOSE($F$11,E62,F62,G62,H62),"")</f>
        <v/>
      </c>
      <c r="N62" s="9" t="str">
        <f t="shared" si="25"/>
        <v/>
      </c>
      <c r="O62" s="9" t="str">
        <f t="shared" si="26"/>
        <v/>
      </c>
      <c r="P62" s="9" t="str">
        <f>IF($D62="Forecast",'Capacity and backlog'!$B$7,"")</f>
        <v/>
      </c>
      <c r="Q62" s="9" t="str">
        <f t="shared" si="27"/>
        <v/>
      </c>
    </row>
    <row r="63" spans="1:17" x14ac:dyDescent="0.2">
      <c r="A63" s="20">
        <f t="shared" si="14"/>
        <v>49</v>
      </c>
      <c r="B63" s="23">
        <f>DATEVALUE('Weekly history'!A59)</f>
        <v>45628.0</v>
      </c>
      <c r="C63" s="9">
        <f>'Weekly history'!C59</f>
        <v>286.4</v>
      </c>
      <c r="D63" s="3" t="str">
        <f>IF(A63&gt;105,"Forecast",IF(A63=105,"Excluded partial",IF(A63&gt;$B$7+$B$6,"Final test",IF(A63&gt;$B$7,"Selection","Train"))))</f>
        <v>Train</v>
      </c>
      <c r="E63" s="9" t="str">
        <f>IF(D63="Selection",INDEX($C$15:$C$118,$B$7),IF(D63="Final test",INDEX($C$15:$C$118,$B$7+$B$6),IF(D63="Forecast",INDEX($C$15:$C$118,$B$5),"")))</f>
        <v/>
      </c>
      <c r="F63" s="9" t="str">
        <f>IF(OR(D63="Selection",D63="Final test",D63="Forecast"),FORECAST(A63,$C$15:INDEX($C$15:$C$118,IF(D63="Selection",$B$7,IF(D63="Final test",$B$7+$B$6,$B$5))),$A$15:INDEX($A$15:$A$118,IF(D63="Selection",$B$7,IF(D63="Final test",$B$7+$B$6,$B$5)))),"")</f>
        <v/>
      </c>
      <c r="G63" s="9" t="str">
        <f>IF(OR(D63="Selection",D63="Final test",D63="Forecast"),AVERAGE(INDEX($C$15:$C$118,IF(D63="Selection",$B$7,IF(D63="Final test",$B$7+$B$6,$B$5))-$B$9+1):INDEX($C$15:$C$118,IF(D63="Selection",$B$7,IF(D63="Final test",$B$7+$B$6,$B$5)))),"")</f>
        <v/>
      </c>
      <c r="H63" s="9" t="str">
        <f>IF(OR(D63="Selection",D63="Final test",D63="Forecast"),INDEX($C$15:$C$118,A63-52),"")</f>
        <v/>
      </c>
      <c r="I63" s="9" t="str">
        <f>IF(OR(D63="Selection",D63="Final test"),ABS(C63-E63),"")</f>
        <v/>
      </c>
      <c r="J63" s="9" t="str">
        <f>IF(OR(D63="Selection",D63="Final test"),ABS(C63-F63),"")</f>
        <v/>
      </c>
      <c r="K63" s="9" t="str">
        <f>IF(OR(D63="Selection",D63="Final test"),ABS(C63-G63),"")</f>
        <v/>
      </c>
      <c r="L63" s="9" t="str">
        <f>IF(OR(D63="Selection",D63="Final test"),ABS(C63-H63),"")</f>
        <v/>
      </c>
      <c r="M63" s="9" t="str">
        <f>IF(OR(D63="Selection",D63="Final test",D63="Forecast"),CHOOSE($F$11,E63,F63,G63,H63),"")</f>
        <v/>
      </c>
      <c r="N63" s="9" t="str">
        <f t="shared" si="25"/>
        <v/>
      </c>
      <c r="O63" s="9" t="str">
        <f t="shared" si="26"/>
        <v/>
      </c>
      <c r="P63" s="9" t="str">
        <f>IF($D63="Forecast",'Capacity and backlog'!$B$7,"")</f>
        <v/>
      </c>
      <c r="Q63" s="9" t="str">
        <f t="shared" si="27"/>
        <v/>
      </c>
    </row>
    <row r="64" spans="1:17" x14ac:dyDescent="0.2">
      <c r="A64" s="20">
        <f t="shared" si="14"/>
        <v>50</v>
      </c>
      <c r="B64" s="23">
        <f>DATEVALUE('Weekly history'!A60)</f>
        <v>45635.0</v>
      </c>
      <c r="C64" s="9">
        <f>'Weekly history'!C60</f>
        <v>250.3</v>
      </c>
      <c r="D64" s="3" t="str">
        <f>IF(A64&gt;105,"Forecast",IF(A64=105,"Excluded partial",IF(A64&gt;$B$7+$B$6,"Final test",IF(A64&gt;$B$7,"Selection","Train"))))</f>
        <v>Train</v>
      </c>
      <c r="E64" s="9" t="str">
        <f>IF(D64="Selection",INDEX($C$15:$C$118,$B$7),IF(D64="Final test",INDEX($C$15:$C$118,$B$7+$B$6),IF(D64="Forecast",INDEX($C$15:$C$118,$B$5),"")))</f>
        <v/>
      </c>
      <c r="F64" s="9" t="str">
        <f>IF(OR(D64="Selection",D64="Final test",D64="Forecast"),FORECAST(A64,$C$15:INDEX($C$15:$C$118,IF(D64="Selection",$B$7,IF(D64="Final test",$B$7+$B$6,$B$5))),$A$15:INDEX($A$15:$A$118,IF(D64="Selection",$B$7,IF(D64="Final test",$B$7+$B$6,$B$5)))),"")</f>
        <v/>
      </c>
      <c r="G64" s="9" t="str">
        <f>IF(OR(D64="Selection",D64="Final test",D64="Forecast"),AVERAGE(INDEX($C$15:$C$118,IF(D64="Selection",$B$7,IF(D64="Final test",$B$7+$B$6,$B$5))-$B$9+1):INDEX($C$15:$C$118,IF(D64="Selection",$B$7,IF(D64="Final test",$B$7+$B$6,$B$5)))),"")</f>
        <v/>
      </c>
      <c r="H64" s="9" t="str">
        <f>IF(OR(D64="Selection",D64="Final test",D64="Forecast"),INDEX($C$15:$C$118,A64-52),"")</f>
        <v/>
      </c>
      <c r="I64" s="9" t="str">
        <f>IF(OR(D64="Selection",D64="Final test"),ABS(C64-E64),"")</f>
        <v/>
      </c>
      <c r="J64" s="9" t="str">
        <f>IF(OR(D64="Selection",D64="Final test"),ABS(C64-F64),"")</f>
        <v/>
      </c>
      <c r="K64" s="9" t="str">
        <f>IF(OR(D64="Selection",D64="Final test"),ABS(C64-G64),"")</f>
        <v/>
      </c>
      <c r="L64" s="9" t="str">
        <f>IF(OR(D64="Selection",D64="Final test"),ABS(C64-H64),"")</f>
        <v/>
      </c>
      <c r="M64" s="9" t="str">
        <f>IF(OR(D64="Selection",D64="Final test",D64="Forecast"),CHOOSE($F$11,E64,F64,G64,H64),"")</f>
        <v/>
      </c>
      <c r="N64" s="9" t="str">
        <f t="shared" si="25"/>
        <v/>
      </c>
      <c r="O64" s="9" t="str">
        <f t="shared" si="26"/>
        <v/>
      </c>
      <c r="P64" s="9" t="str">
        <f>IF($D64="Forecast",'Capacity and backlog'!$B$7,"")</f>
        <v/>
      </c>
      <c r="Q64" s="9" t="str">
        <f t="shared" si="27"/>
        <v/>
      </c>
    </row>
    <row r="65" spans="1:17" x14ac:dyDescent="0.2">
      <c r="A65" s="20">
        <f t="shared" si="14"/>
        <v>51</v>
      </c>
      <c r="B65" s="23">
        <f>DATEVALUE('Weekly history'!A61)</f>
        <v>45642.0</v>
      </c>
      <c r="C65" s="9">
        <f>'Weekly history'!C61</f>
        <v>177.4</v>
      </c>
      <c r="D65" s="3" t="str">
        <f>IF(A65&gt;105,"Forecast",IF(A65=105,"Excluded partial",IF(A65&gt;$B$7+$B$6,"Final test",IF(A65&gt;$B$7,"Selection","Train"))))</f>
        <v>Train</v>
      </c>
      <c r="E65" s="9" t="str">
        <f>IF(D65="Selection",INDEX($C$15:$C$118,$B$7),IF(D65="Final test",INDEX($C$15:$C$118,$B$7+$B$6),IF(D65="Forecast",INDEX($C$15:$C$118,$B$5),"")))</f>
        <v/>
      </c>
      <c r="F65" s="9" t="str">
        <f>IF(OR(D65="Selection",D65="Final test",D65="Forecast"),FORECAST(A65,$C$15:INDEX($C$15:$C$118,IF(D65="Selection",$B$7,IF(D65="Final test",$B$7+$B$6,$B$5))),$A$15:INDEX($A$15:$A$118,IF(D65="Selection",$B$7,IF(D65="Final test",$B$7+$B$6,$B$5)))),"")</f>
        <v/>
      </c>
      <c r="G65" s="9" t="str">
        <f>IF(OR(D65="Selection",D65="Final test",D65="Forecast"),AVERAGE(INDEX($C$15:$C$118,IF(D65="Selection",$B$7,IF(D65="Final test",$B$7+$B$6,$B$5))-$B$9+1):INDEX($C$15:$C$118,IF(D65="Selection",$B$7,IF(D65="Final test",$B$7+$B$6,$B$5)))),"")</f>
        <v/>
      </c>
      <c r="H65" s="9" t="str">
        <f>IF(OR(D65="Selection",D65="Final test",D65="Forecast"),INDEX($C$15:$C$118,A65-52),"")</f>
        <v/>
      </c>
      <c r="I65" s="9" t="str">
        <f>IF(OR(D65="Selection",D65="Final test"),ABS(C65-E65),"")</f>
        <v/>
      </c>
      <c r="J65" s="9" t="str">
        <f>IF(OR(D65="Selection",D65="Final test"),ABS(C65-F65),"")</f>
        <v/>
      </c>
      <c r="K65" s="9" t="str">
        <f>IF(OR(D65="Selection",D65="Final test"),ABS(C65-G65),"")</f>
        <v/>
      </c>
      <c r="L65" s="9" t="str">
        <f>IF(OR(D65="Selection",D65="Final test"),ABS(C65-H65),"")</f>
        <v/>
      </c>
      <c r="M65" s="9" t="str">
        <f>IF(OR(D65="Selection",D65="Final test",D65="Forecast"),CHOOSE($F$11,E65,F65,G65,H65),"")</f>
        <v/>
      </c>
      <c r="N65" s="9" t="str">
        <f t="shared" si="25"/>
        <v/>
      </c>
      <c r="O65" s="9" t="str">
        <f t="shared" si="26"/>
        <v/>
      </c>
      <c r="P65" s="9" t="str">
        <f>IF($D65="Forecast",'Capacity and backlog'!$B$7,"")</f>
        <v/>
      </c>
      <c r="Q65" s="9" t="str">
        <f t="shared" si="27"/>
        <v/>
      </c>
    </row>
    <row r="66" spans="1:17" x14ac:dyDescent="0.2">
      <c r="A66" s="20">
        <f t="shared" si="14"/>
        <v>52</v>
      </c>
      <c r="B66" s="23">
        <f>DATEVALUE('Weekly history'!A62)</f>
        <v>45649.0</v>
      </c>
      <c r="C66" s="9">
        <f>'Weekly history'!C62</f>
        <v>228.4</v>
      </c>
      <c r="D66" s="3" t="str">
        <f>IF(A66&gt;105,"Forecast",IF(A66=105,"Excluded partial",IF(A66&gt;$B$7+$B$6,"Final test",IF(A66&gt;$B$7,"Selection","Train"))))</f>
        <v>Train</v>
      </c>
      <c r="E66" s="9" t="str">
        <f>IF(D66="Selection",INDEX($C$15:$C$118,$B$7),IF(D66="Final test",INDEX($C$15:$C$118,$B$7+$B$6),IF(D66="Forecast",INDEX($C$15:$C$118,$B$5),"")))</f>
        <v/>
      </c>
      <c r="F66" s="9" t="str">
        <f>IF(OR(D66="Selection",D66="Final test",D66="Forecast"),FORECAST(A66,$C$15:INDEX($C$15:$C$118,IF(D66="Selection",$B$7,IF(D66="Final test",$B$7+$B$6,$B$5))),$A$15:INDEX($A$15:$A$118,IF(D66="Selection",$B$7,IF(D66="Final test",$B$7+$B$6,$B$5)))),"")</f>
        <v/>
      </c>
      <c r="G66" s="9" t="str">
        <f>IF(OR(D66="Selection",D66="Final test",D66="Forecast"),AVERAGE(INDEX($C$15:$C$118,IF(D66="Selection",$B$7,IF(D66="Final test",$B$7+$B$6,$B$5))-$B$9+1):INDEX($C$15:$C$118,IF(D66="Selection",$B$7,IF(D66="Final test",$B$7+$B$6,$B$5)))),"")</f>
        <v/>
      </c>
      <c r="H66" s="9" t="str">
        <f>IF(OR(D66="Selection",D66="Final test",D66="Forecast"),INDEX($C$15:$C$118,A66-52),"")</f>
        <v/>
      </c>
      <c r="I66" s="9" t="str">
        <f>IF(OR(D66="Selection",D66="Final test"),ABS(C66-E66),"")</f>
        <v/>
      </c>
      <c r="J66" s="9" t="str">
        <f>IF(OR(D66="Selection",D66="Final test"),ABS(C66-F66),"")</f>
        <v/>
      </c>
      <c r="K66" s="9" t="str">
        <f>IF(OR(D66="Selection",D66="Final test"),ABS(C66-G66),"")</f>
        <v/>
      </c>
      <c r="L66" s="9" t="str">
        <f>IF(OR(D66="Selection",D66="Final test"),ABS(C66-H66),"")</f>
        <v/>
      </c>
      <c r="M66" s="9" t="str">
        <f>IF(OR(D66="Selection",D66="Final test",D66="Forecast"),CHOOSE($F$11,E66,F66,G66,H66),"")</f>
        <v/>
      </c>
      <c r="N66" s="9" t="str">
        <f t="shared" si="25"/>
        <v/>
      </c>
      <c r="O66" s="9" t="str">
        <f t="shared" si="26"/>
        <v/>
      </c>
      <c r="P66" s="9" t="str">
        <f>IF($D66="Forecast",'Capacity and backlog'!$B$7,"")</f>
        <v/>
      </c>
      <c r="Q66" s="9" t="str">
        <f t="shared" si="27"/>
        <v/>
      </c>
    </row>
    <row r="67" spans="1:17" x14ac:dyDescent="0.2">
      <c r="A67" s="20">
        <f t="shared" si="14"/>
        <v>53</v>
      </c>
      <c r="B67" s="23">
        <f>DATEVALUE('Weekly history'!A63)</f>
        <v>45656.0</v>
      </c>
      <c r="C67" s="9">
        <f>'Weekly history'!C63</f>
        <v>235.5</v>
      </c>
      <c r="D67" s="3" t="str">
        <f>IF(A67&gt;105,"Forecast",IF(A67=105,"Excluded partial",IF(A67&gt;$B$7+$B$6,"Final test",IF(A67&gt;$B$7,"Selection","Train"))))</f>
        <v>Train</v>
      </c>
      <c r="E67" s="9" t="str">
        <f>IF(D67="Selection",INDEX($C$15:$C$118,$B$7),IF(D67="Final test",INDEX($C$15:$C$118,$B$7+$B$6),IF(D67="Forecast",INDEX($C$15:$C$118,$B$5),"")))</f>
        <v/>
      </c>
      <c r="F67" s="9" t="str">
        <f>IF(OR(D67="Selection",D67="Final test",D67="Forecast"),FORECAST(A67,$C$15:INDEX($C$15:$C$118,IF(D67="Selection",$B$7,IF(D67="Final test",$B$7+$B$6,$B$5))),$A$15:INDEX($A$15:$A$118,IF(D67="Selection",$B$7,IF(D67="Final test",$B$7+$B$6,$B$5)))),"")</f>
        <v/>
      </c>
      <c r="G67" s="9" t="str">
        <f>IF(OR(D67="Selection",D67="Final test",D67="Forecast"),AVERAGE(INDEX($C$15:$C$118,IF(D67="Selection",$B$7,IF(D67="Final test",$B$7+$B$6,$B$5))-$B$9+1):INDEX($C$15:$C$118,IF(D67="Selection",$B$7,IF(D67="Final test",$B$7+$B$6,$B$5)))),"")</f>
        <v/>
      </c>
      <c r="H67" s="9" t="str">
        <f>IF(OR(D67="Selection",D67="Final test",D67="Forecast"),INDEX($C$15:$C$118,A67-52),"")</f>
        <v/>
      </c>
      <c r="I67" s="9" t="str">
        <f>IF(OR(D67="Selection",D67="Final test"),ABS(C67-E67),"")</f>
        <v/>
      </c>
      <c r="J67" s="9" t="str">
        <f>IF(OR(D67="Selection",D67="Final test"),ABS(C67-F67),"")</f>
        <v/>
      </c>
      <c r="K67" s="9" t="str">
        <f>IF(OR(D67="Selection",D67="Final test"),ABS(C67-G67),"")</f>
        <v/>
      </c>
      <c r="L67" s="9" t="str">
        <f>IF(OR(D67="Selection",D67="Final test"),ABS(C67-H67),"")</f>
        <v/>
      </c>
      <c r="M67" s="9" t="str">
        <f>IF(OR(D67="Selection",D67="Final test",D67="Forecast"),CHOOSE($F$11,E67,F67,G67,H67),"")</f>
        <v/>
      </c>
      <c r="N67" s="9" t="str">
        <f t="shared" si="25"/>
        <v/>
      </c>
      <c r="O67" s="9" t="str">
        <f t="shared" si="26"/>
        <v/>
      </c>
      <c r="P67" s="9" t="str">
        <f>IF($D67="Forecast",'Capacity and backlog'!$B$7,"")</f>
        <v/>
      </c>
      <c r="Q67" s="9" t="str">
        <f t="shared" si="27"/>
        <v/>
      </c>
    </row>
    <row r="68" spans="1:17" x14ac:dyDescent="0.2">
      <c r="A68" s="20">
        <f t="shared" si="14"/>
        <v>54</v>
      </c>
      <c r="B68" s="23">
        <f>DATEVALUE('Weekly history'!A64)</f>
        <v>45663.0</v>
      </c>
      <c r="C68" s="9">
        <f>'Weekly history'!C64</f>
        <v>282</v>
      </c>
      <c r="D68" s="3" t="str">
        <f>IF(A68&gt;105,"Forecast",IF(A68=105,"Excluded partial",IF(A68&gt;$B$7+$B$6,"Final test",IF(A68&gt;$B$7,"Selection","Train"))))</f>
        <v>Train</v>
      </c>
      <c r="E68" s="9" t="str">
        <f>IF(D68="Selection",INDEX($C$15:$C$118,$B$7),IF(D68="Final test",INDEX($C$15:$C$118,$B$7+$B$6),IF(D68="Forecast",INDEX($C$15:$C$118,$B$5),"")))</f>
        <v/>
      </c>
      <c r="F68" s="9" t="str">
        <f>IF(OR(D68="Selection",D68="Final test",D68="Forecast"),FORECAST(A68,$C$15:INDEX($C$15:$C$118,IF(D68="Selection",$B$7,IF(D68="Final test",$B$7+$B$6,$B$5))),$A$15:INDEX($A$15:$A$118,IF(D68="Selection",$B$7,IF(D68="Final test",$B$7+$B$6,$B$5)))),"")</f>
        <v/>
      </c>
      <c r="G68" s="9" t="str">
        <f>IF(OR(D68="Selection",D68="Final test",D68="Forecast"),AVERAGE(INDEX($C$15:$C$118,IF(D68="Selection",$B$7,IF(D68="Final test",$B$7+$B$6,$B$5))-$B$9+1):INDEX($C$15:$C$118,IF(D68="Selection",$B$7,IF(D68="Final test",$B$7+$B$6,$B$5)))),"")</f>
        <v/>
      </c>
      <c r="H68" s="9" t="str">
        <f>IF(OR(D68="Selection",D68="Final test",D68="Forecast"),INDEX($C$15:$C$118,A68-52),"")</f>
        <v/>
      </c>
      <c r="I68" s="9" t="str">
        <f>IF(OR(D68="Selection",D68="Final test"),ABS(C68-E68),"")</f>
        <v/>
      </c>
      <c r="J68" s="9" t="str">
        <f>IF(OR(D68="Selection",D68="Final test"),ABS(C68-F68),"")</f>
        <v/>
      </c>
      <c r="K68" s="9" t="str">
        <f>IF(OR(D68="Selection",D68="Final test"),ABS(C68-G68),"")</f>
        <v/>
      </c>
      <c r="L68" s="9" t="str">
        <f>IF(OR(D68="Selection",D68="Final test"),ABS(C68-H68),"")</f>
        <v/>
      </c>
      <c r="M68" s="9" t="str">
        <f>IF(OR(D68="Selection",D68="Final test",D68="Forecast"),CHOOSE($F$11,E68,F68,G68,H68),"")</f>
        <v/>
      </c>
      <c r="N68" s="9" t="str">
        <f t="shared" si="25"/>
        <v/>
      </c>
      <c r="O68" s="9" t="str">
        <f t="shared" si="26"/>
        <v/>
      </c>
      <c r="P68" s="9" t="str">
        <f>IF($D68="Forecast",'Capacity and backlog'!$B$7,"")</f>
        <v/>
      </c>
      <c r="Q68" s="9" t="str">
        <f t="shared" si="27"/>
        <v/>
      </c>
    </row>
    <row r="69" spans="1:17" x14ac:dyDescent="0.2">
      <c r="A69" s="20">
        <f t="shared" si="14"/>
        <v>55</v>
      </c>
      <c r="B69" s="23">
        <f>DATEVALUE('Weekly history'!A65)</f>
        <v>45670.0</v>
      </c>
      <c r="C69" s="9">
        <f>'Weekly history'!C65</f>
        <v>287.3</v>
      </c>
      <c r="D69" s="3" t="str">
        <f>IF(A69&gt;105,"Forecast",IF(A69=105,"Excluded partial",IF(A69&gt;$B$7+$B$6,"Final test",IF(A69&gt;$B$7,"Selection","Train"))))</f>
        <v>Train</v>
      </c>
      <c r="E69" s="9" t="str">
        <f>IF(D69="Selection",INDEX($C$15:$C$118,$B$7),IF(D69="Final test",INDEX($C$15:$C$118,$B$7+$B$6),IF(D69="Forecast",INDEX($C$15:$C$118,$B$5),"")))</f>
        <v/>
      </c>
      <c r="F69" s="9" t="str">
        <f>IF(OR(D69="Selection",D69="Final test",D69="Forecast"),FORECAST(A69,$C$15:INDEX($C$15:$C$118,IF(D69="Selection",$B$7,IF(D69="Final test",$B$7+$B$6,$B$5))),$A$15:INDEX($A$15:$A$118,IF(D69="Selection",$B$7,IF(D69="Final test",$B$7+$B$6,$B$5)))),"")</f>
        <v/>
      </c>
      <c r="G69" s="9" t="str">
        <f>IF(OR(D69="Selection",D69="Final test",D69="Forecast"),AVERAGE(INDEX($C$15:$C$118,IF(D69="Selection",$B$7,IF(D69="Final test",$B$7+$B$6,$B$5))-$B$9+1):INDEX($C$15:$C$118,IF(D69="Selection",$B$7,IF(D69="Final test",$B$7+$B$6,$B$5)))),"")</f>
        <v/>
      </c>
      <c r="H69" s="9" t="str">
        <f>IF(OR(D69="Selection",D69="Final test",D69="Forecast"),INDEX($C$15:$C$118,A69-52),"")</f>
        <v/>
      </c>
      <c r="I69" s="9" t="str">
        <f>IF(OR(D69="Selection",D69="Final test"),ABS(C69-E69),"")</f>
        <v/>
      </c>
      <c r="J69" s="9" t="str">
        <f>IF(OR(D69="Selection",D69="Final test"),ABS(C69-F69),"")</f>
        <v/>
      </c>
      <c r="K69" s="9" t="str">
        <f>IF(OR(D69="Selection",D69="Final test"),ABS(C69-G69),"")</f>
        <v/>
      </c>
      <c r="L69" s="9" t="str">
        <f>IF(OR(D69="Selection",D69="Final test"),ABS(C69-H69),"")</f>
        <v/>
      </c>
      <c r="M69" s="9" t="str">
        <f>IF(OR(D69="Selection",D69="Final test",D69="Forecast"),CHOOSE($F$11,E69,F69,G69,H69),"")</f>
        <v/>
      </c>
      <c r="N69" s="9" t="str">
        <f t="shared" si="25"/>
        <v/>
      </c>
      <c r="O69" s="9" t="str">
        <f t="shared" si="26"/>
        <v/>
      </c>
      <c r="P69" s="9" t="str">
        <f>IF($D69="Forecast",'Capacity and backlog'!$B$7,"")</f>
        <v/>
      </c>
      <c r="Q69" s="9" t="str">
        <f t="shared" si="27"/>
        <v/>
      </c>
    </row>
    <row r="70" spans="1:17" x14ac:dyDescent="0.2">
      <c r="A70" s="20">
        <f t="shared" si="14"/>
        <v>56</v>
      </c>
      <c r="B70" s="23">
        <f>DATEVALUE('Weekly history'!A66)</f>
        <v>45677.0</v>
      </c>
      <c r="C70" s="9">
        <f>'Weekly history'!C66</f>
        <v>326.3</v>
      </c>
      <c r="D70" s="3" t="str">
        <f>IF(A70&gt;105,"Forecast",IF(A70=105,"Excluded partial",IF(A70&gt;$B$7+$B$6,"Final test",IF(A70&gt;$B$7,"Selection","Train"))))</f>
        <v>Train</v>
      </c>
      <c r="E70" s="9" t="str">
        <f>IF(D70="Selection",INDEX($C$15:$C$118,$B$7),IF(D70="Final test",INDEX($C$15:$C$118,$B$7+$B$6),IF(D70="Forecast",INDEX($C$15:$C$118,$B$5),"")))</f>
        <v/>
      </c>
      <c r="F70" s="9" t="str">
        <f>IF(OR(D70="Selection",D70="Final test",D70="Forecast"),FORECAST(A70,$C$15:INDEX($C$15:$C$118,IF(D70="Selection",$B$7,IF(D70="Final test",$B$7+$B$6,$B$5))),$A$15:INDEX($A$15:$A$118,IF(D70="Selection",$B$7,IF(D70="Final test",$B$7+$B$6,$B$5)))),"")</f>
        <v/>
      </c>
      <c r="G70" s="9" t="str">
        <f>IF(OR(D70="Selection",D70="Final test",D70="Forecast"),AVERAGE(INDEX($C$15:$C$118,IF(D70="Selection",$B$7,IF(D70="Final test",$B$7+$B$6,$B$5))-$B$9+1):INDEX($C$15:$C$118,IF(D70="Selection",$B$7,IF(D70="Final test",$B$7+$B$6,$B$5)))),"")</f>
        <v/>
      </c>
      <c r="H70" s="9" t="str">
        <f>IF(OR(D70="Selection",D70="Final test",D70="Forecast"),INDEX($C$15:$C$118,A70-52),"")</f>
        <v/>
      </c>
      <c r="I70" s="9" t="str">
        <f>IF(OR(D70="Selection",D70="Final test"),ABS(C70-E70),"")</f>
        <v/>
      </c>
      <c r="J70" s="9" t="str">
        <f>IF(OR(D70="Selection",D70="Final test"),ABS(C70-F70),"")</f>
        <v/>
      </c>
      <c r="K70" s="9" t="str">
        <f>IF(OR(D70="Selection",D70="Final test"),ABS(C70-G70),"")</f>
        <v/>
      </c>
      <c r="L70" s="9" t="str">
        <f>IF(OR(D70="Selection",D70="Final test"),ABS(C70-H70),"")</f>
        <v/>
      </c>
      <c r="M70" s="9" t="str">
        <f>IF(OR(D70="Selection",D70="Final test",D70="Forecast"),CHOOSE($F$11,E70,F70,G70,H70),"")</f>
        <v/>
      </c>
      <c r="N70" s="9" t="str">
        <f t="shared" si="25"/>
        <v/>
      </c>
      <c r="O70" s="9" t="str">
        <f t="shared" si="26"/>
        <v/>
      </c>
      <c r="P70" s="9" t="str">
        <f>IF($D70="Forecast",'Capacity and backlog'!$B$7,"")</f>
        <v/>
      </c>
      <c r="Q70" s="9" t="str">
        <f t="shared" si="27"/>
        <v/>
      </c>
    </row>
    <row r="71" spans="1:17" x14ac:dyDescent="0.2">
      <c r="A71" s="20">
        <f t="shared" si="14"/>
        <v>57</v>
      </c>
      <c r="B71" s="23">
        <f>DATEVALUE('Weekly history'!A67)</f>
        <v>45684.0</v>
      </c>
      <c r="C71" s="9">
        <f>'Weekly history'!C67</f>
        <v>286.5</v>
      </c>
      <c r="D71" s="3" t="str">
        <f>IF(A71&gt;105,"Forecast",IF(A71=105,"Excluded partial",IF(A71&gt;$B$7+$B$6,"Final test",IF(A71&gt;$B$7,"Selection","Train"))))</f>
        <v>Train</v>
      </c>
      <c r="E71" s="9" t="str">
        <f>IF(D71="Selection",INDEX($C$15:$C$118,$B$7),IF(D71="Final test",INDEX($C$15:$C$118,$B$7+$B$6),IF(D71="Forecast",INDEX($C$15:$C$118,$B$5),"")))</f>
        <v/>
      </c>
      <c r="F71" s="9" t="str">
        <f>IF(OR(D71="Selection",D71="Final test",D71="Forecast"),FORECAST(A71,$C$15:INDEX($C$15:$C$118,IF(D71="Selection",$B$7,IF(D71="Final test",$B$7+$B$6,$B$5))),$A$15:INDEX($A$15:$A$118,IF(D71="Selection",$B$7,IF(D71="Final test",$B$7+$B$6,$B$5)))),"")</f>
        <v/>
      </c>
      <c r="G71" s="9" t="str">
        <f>IF(OR(D71="Selection",D71="Final test",D71="Forecast"),AVERAGE(INDEX($C$15:$C$118,IF(D71="Selection",$B$7,IF(D71="Final test",$B$7+$B$6,$B$5))-$B$9+1):INDEX($C$15:$C$118,IF(D71="Selection",$B$7,IF(D71="Final test",$B$7+$B$6,$B$5)))),"")</f>
        <v/>
      </c>
      <c r="H71" s="9" t="str">
        <f>IF(OR(D71="Selection",D71="Final test",D71="Forecast"),INDEX($C$15:$C$118,A71-52),"")</f>
        <v/>
      </c>
      <c r="I71" s="9" t="str">
        <f>IF(OR(D71="Selection",D71="Final test"),ABS(C71-E71),"")</f>
        <v/>
      </c>
      <c r="J71" s="9" t="str">
        <f>IF(OR(D71="Selection",D71="Final test"),ABS(C71-F71),"")</f>
        <v/>
      </c>
      <c r="K71" s="9" t="str">
        <f>IF(OR(D71="Selection",D71="Final test"),ABS(C71-G71),"")</f>
        <v/>
      </c>
      <c r="L71" s="9" t="str">
        <f>IF(OR(D71="Selection",D71="Final test"),ABS(C71-H71),"")</f>
        <v/>
      </c>
      <c r="M71" s="9" t="str">
        <f>IF(OR(D71="Selection",D71="Final test",D71="Forecast"),CHOOSE($F$11,E71,F71,G71,H71),"")</f>
        <v/>
      </c>
      <c r="N71" s="9" t="str">
        <f t="shared" si="25"/>
        <v/>
      </c>
      <c r="O71" s="9" t="str">
        <f t="shared" si="26"/>
        <v/>
      </c>
      <c r="P71" s="9" t="str">
        <f>IF($D71="Forecast",'Capacity and backlog'!$B$7,"")</f>
        <v/>
      </c>
      <c r="Q71" s="9" t="str">
        <f t="shared" si="27"/>
        <v/>
      </c>
    </row>
    <row r="72" spans="1:17" x14ac:dyDescent="0.2">
      <c r="A72" s="20">
        <f t="shared" si="14"/>
        <v>58</v>
      </c>
      <c r="B72" s="23">
        <f>DATEVALUE('Weekly history'!A68)</f>
        <v>45691.0</v>
      </c>
      <c r="C72" s="9">
        <f>'Weekly history'!C68</f>
        <v>217.7</v>
      </c>
      <c r="D72" s="3" t="str">
        <f>IF(A72&gt;105,"Forecast",IF(A72=105,"Excluded partial",IF(A72&gt;$B$7+$B$6,"Final test",IF(A72&gt;$B$7,"Selection","Train"))))</f>
        <v>Train</v>
      </c>
      <c r="E72" s="9" t="str">
        <f>IF(D72="Selection",INDEX($C$15:$C$118,$B$7),IF(D72="Final test",INDEX($C$15:$C$118,$B$7+$B$6),IF(D72="Forecast",INDEX($C$15:$C$118,$B$5),"")))</f>
        <v/>
      </c>
      <c r="F72" s="9" t="str">
        <f>IF(OR(D72="Selection",D72="Final test",D72="Forecast"),FORECAST(A72,$C$15:INDEX($C$15:$C$118,IF(D72="Selection",$B$7,IF(D72="Final test",$B$7+$B$6,$B$5))),$A$15:INDEX($A$15:$A$118,IF(D72="Selection",$B$7,IF(D72="Final test",$B$7+$B$6,$B$5)))),"")</f>
        <v/>
      </c>
      <c r="G72" s="9" t="str">
        <f>IF(OR(D72="Selection",D72="Final test",D72="Forecast"),AVERAGE(INDEX($C$15:$C$118,IF(D72="Selection",$B$7,IF(D72="Final test",$B$7+$B$6,$B$5))-$B$9+1):INDEX($C$15:$C$118,IF(D72="Selection",$B$7,IF(D72="Final test",$B$7+$B$6,$B$5)))),"")</f>
        <v/>
      </c>
      <c r="H72" s="9" t="str">
        <f>IF(OR(D72="Selection",D72="Final test",D72="Forecast"),INDEX($C$15:$C$118,A72-52),"")</f>
        <v/>
      </c>
      <c r="I72" s="9" t="str">
        <f>IF(OR(D72="Selection",D72="Final test"),ABS(C72-E72),"")</f>
        <v/>
      </c>
      <c r="J72" s="9" t="str">
        <f>IF(OR(D72="Selection",D72="Final test"),ABS(C72-F72),"")</f>
        <v/>
      </c>
      <c r="K72" s="9" t="str">
        <f>IF(OR(D72="Selection",D72="Final test"),ABS(C72-G72),"")</f>
        <v/>
      </c>
      <c r="L72" s="9" t="str">
        <f>IF(OR(D72="Selection",D72="Final test"),ABS(C72-H72),"")</f>
        <v/>
      </c>
      <c r="M72" s="9" t="str">
        <f>IF(OR(D72="Selection",D72="Final test",D72="Forecast"),CHOOSE($F$11,E72,F72,G72,H72),"")</f>
        <v/>
      </c>
      <c r="N72" s="9" t="str">
        <f t="shared" si="25"/>
        <v/>
      </c>
      <c r="O72" s="9" t="str">
        <f t="shared" si="26"/>
        <v/>
      </c>
      <c r="P72" s="9" t="str">
        <f>IF($D72="Forecast",'Capacity and backlog'!$B$7,"")</f>
        <v/>
      </c>
      <c r="Q72" s="9" t="str">
        <f t="shared" si="27"/>
        <v/>
      </c>
    </row>
    <row r="73" spans="1:17" x14ac:dyDescent="0.2">
      <c r="A73" s="20">
        <f t="shared" si="14"/>
        <v>59</v>
      </c>
      <c r="B73" s="23">
        <f>DATEVALUE('Weekly history'!A69)</f>
        <v>45698.0</v>
      </c>
      <c r="C73" s="9">
        <f>'Weekly history'!C69</f>
        <v>264.2</v>
      </c>
      <c r="D73" s="3" t="str">
        <f>IF(A73&gt;105,"Forecast",IF(A73=105,"Excluded partial",IF(A73&gt;$B$7+$B$6,"Final test",IF(A73&gt;$B$7,"Selection","Train"))))</f>
        <v>Train</v>
      </c>
      <c r="E73" s="9" t="str">
        <f>IF(D73="Selection",INDEX($C$15:$C$118,$B$7),IF(D73="Final test",INDEX($C$15:$C$118,$B$7+$B$6),IF(D73="Forecast",INDEX($C$15:$C$118,$B$5),"")))</f>
        <v/>
      </c>
      <c r="F73" s="9" t="str">
        <f>IF(OR(D73="Selection",D73="Final test",D73="Forecast"),FORECAST(A73,$C$15:INDEX($C$15:$C$118,IF(D73="Selection",$B$7,IF(D73="Final test",$B$7+$B$6,$B$5))),$A$15:INDEX($A$15:$A$118,IF(D73="Selection",$B$7,IF(D73="Final test",$B$7+$B$6,$B$5)))),"")</f>
        <v/>
      </c>
      <c r="G73" s="9" t="str">
        <f>IF(OR(D73="Selection",D73="Final test",D73="Forecast"),AVERAGE(INDEX($C$15:$C$118,IF(D73="Selection",$B$7,IF(D73="Final test",$B$7+$B$6,$B$5))-$B$9+1):INDEX($C$15:$C$118,IF(D73="Selection",$B$7,IF(D73="Final test",$B$7+$B$6,$B$5)))),"")</f>
        <v/>
      </c>
      <c r="H73" s="9" t="str">
        <f>IF(OR(D73="Selection",D73="Final test",D73="Forecast"),INDEX($C$15:$C$118,A73-52),"")</f>
        <v/>
      </c>
      <c r="I73" s="9" t="str">
        <f>IF(OR(D73="Selection",D73="Final test"),ABS(C73-E73),"")</f>
        <v/>
      </c>
      <c r="J73" s="9" t="str">
        <f>IF(OR(D73="Selection",D73="Final test"),ABS(C73-F73),"")</f>
        <v/>
      </c>
      <c r="K73" s="9" t="str">
        <f>IF(OR(D73="Selection",D73="Final test"),ABS(C73-G73),"")</f>
        <v/>
      </c>
      <c r="L73" s="9" t="str">
        <f>IF(OR(D73="Selection",D73="Final test"),ABS(C73-H73),"")</f>
        <v/>
      </c>
      <c r="M73" s="9" t="str">
        <f>IF(OR(D73="Selection",D73="Final test",D73="Forecast"),CHOOSE($F$11,E73,F73,G73,H73),"")</f>
        <v/>
      </c>
      <c r="N73" s="9" t="str">
        <f t="shared" si="25"/>
        <v/>
      </c>
      <c r="O73" s="9" t="str">
        <f t="shared" si="26"/>
        <v/>
      </c>
      <c r="P73" s="9" t="str">
        <f>IF($D73="Forecast",'Capacity and backlog'!$B$7,"")</f>
        <v/>
      </c>
      <c r="Q73" s="9" t="str">
        <f t="shared" si="27"/>
        <v/>
      </c>
    </row>
    <row r="74" spans="1:17" x14ac:dyDescent="0.2">
      <c r="A74" s="20">
        <f t="shared" si="14"/>
        <v>60</v>
      </c>
      <c r="B74" s="23">
        <f>DATEVALUE('Weekly history'!A70)</f>
        <v>45705.0</v>
      </c>
      <c r="C74" s="9">
        <f>'Weekly history'!C70</f>
        <v>318.4</v>
      </c>
      <c r="D74" s="3" t="str">
        <f>IF(A74&gt;105,"Forecast",IF(A74=105,"Excluded partial",IF(A74&gt;$B$7+$B$6,"Final test",IF(A74&gt;$B$7,"Selection","Train"))))</f>
        <v>Train</v>
      </c>
      <c r="E74" s="9" t="str">
        <f>IF(D74="Selection",INDEX($C$15:$C$118,$B$7),IF(D74="Final test",INDEX($C$15:$C$118,$B$7+$B$6),IF(D74="Forecast",INDEX($C$15:$C$118,$B$5),"")))</f>
        <v/>
      </c>
      <c r="F74" s="9" t="str">
        <f>IF(OR(D74="Selection",D74="Final test",D74="Forecast"),FORECAST(A74,$C$15:INDEX($C$15:$C$118,IF(D74="Selection",$B$7,IF(D74="Final test",$B$7+$B$6,$B$5))),$A$15:INDEX($A$15:$A$118,IF(D74="Selection",$B$7,IF(D74="Final test",$B$7+$B$6,$B$5)))),"")</f>
        <v/>
      </c>
      <c r="G74" s="9" t="str">
        <f>IF(OR(D74="Selection",D74="Final test",D74="Forecast"),AVERAGE(INDEX($C$15:$C$118,IF(D74="Selection",$B$7,IF(D74="Final test",$B$7+$B$6,$B$5))-$B$9+1):INDEX($C$15:$C$118,IF(D74="Selection",$B$7,IF(D74="Final test",$B$7+$B$6,$B$5)))),"")</f>
        <v/>
      </c>
      <c r="H74" s="9" t="str">
        <f>IF(OR(D74="Selection",D74="Final test",D74="Forecast"),INDEX($C$15:$C$118,A74-52),"")</f>
        <v/>
      </c>
      <c r="I74" s="9" t="str">
        <f>IF(OR(D74="Selection",D74="Final test"),ABS(C74-E74),"")</f>
        <v/>
      </c>
      <c r="J74" s="9" t="str">
        <f>IF(OR(D74="Selection",D74="Final test"),ABS(C74-F74),"")</f>
        <v/>
      </c>
      <c r="K74" s="9" t="str">
        <f>IF(OR(D74="Selection",D74="Final test"),ABS(C74-G74),"")</f>
        <v/>
      </c>
      <c r="L74" s="9" t="str">
        <f>IF(OR(D74="Selection",D74="Final test"),ABS(C74-H74),"")</f>
        <v/>
      </c>
      <c r="M74" s="9" t="str">
        <f>IF(OR(D74="Selection",D74="Final test",D74="Forecast"),CHOOSE($F$11,E74,F74,G74,H74),"")</f>
        <v/>
      </c>
      <c r="N74" s="9" t="str">
        <f t="shared" si="25"/>
        <v/>
      </c>
      <c r="O74" s="9" t="str">
        <f t="shared" si="26"/>
        <v/>
      </c>
      <c r="P74" s="9" t="str">
        <f>IF($D74="Forecast",'Capacity and backlog'!$B$7,"")</f>
        <v/>
      </c>
      <c r="Q74" s="9" t="str">
        <f t="shared" si="27"/>
        <v/>
      </c>
    </row>
    <row r="75" spans="1:17" x14ac:dyDescent="0.2">
      <c r="A75" s="20">
        <f t="shared" si="14"/>
        <v>61</v>
      </c>
      <c r="B75" s="23">
        <f>DATEVALUE('Weekly history'!A71)</f>
        <v>45712.0</v>
      </c>
      <c r="C75" s="9">
        <f>'Weekly history'!C71</f>
        <v>361.5</v>
      </c>
      <c r="D75" s="3" t="str">
        <f>IF(A75&gt;105,"Forecast",IF(A75=105,"Excluded partial",IF(A75&gt;$B$7+$B$6,"Final test",IF(A75&gt;$B$7,"Selection","Train"))))</f>
        <v>Train</v>
      </c>
      <c r="E75" s="9" t="str">
        <f>IF(D75="Selection",INDEX($C$15:$C$118,$B$7),IF(D75="Final test",INDEX($C$15:$C$118,$B$7+$B$6),IF(D75="Forecast",INDEX($C$15:$C$118,$B$5),"")))</f>
        <v/>
      </c>
      <c r="F75" s="9" t="str">
        <f>IF(OR(D75="Selection",D75="Final test",D75="Forecast"),FORECAST(A75,$C$15:INDEX($C$15:$C$118,IF(D75="Selection",$B$7,IF(D75="Final test",$B$7+$B$6,$B$5))),$A$15:INDEX($A$15:$A$118,IF(D75="Selection",$B$7,IF(D75="Final test",$B$7+$B$6,$B$5)))),"")</f>
        <v/>
      </c>
      <c r="G75" s="9" t="str">
        <f>IF(OR(D75="Selection",D75="Final test",D75="Forecast"),AVERAGE(INDEX($C$15:$C$118,IF(D75="Selection",$B$7,IF(D75="Final test",$B$7+$B$6,$B$5))-$B$9+1):INDEX($C$15:$C$118,IF(D75="Selection",$B$7,IF(D75="Final test",$B$7+$B$6,$B$5)))),"")</f>
        <v/>
      </c>
      <c r="H75" s="9" t="str">
        <f>IF(OR(D75="Selection",D75="Final test",D75="Forecast"),INDEX($C$15:$C$118,A75-52),"")</f>
        <v/>
      </c>
      <c r="I75" s="9" t="str">
        <f>IF(OR(D75="Selection",D75="Final test"),ABS(C75-E75),"")</f>
        <v/>
      </c>
      <c r="J75" s="9" t="str">
        <f>IF(OR(D75="Selection",D75="Final test"),ABS(C75-F75),"")</f>
        <v/>
      </c>
      <c r="K75" s="9" t="str">
        <f>IF(OR(D75="Selection",D75="Final test"),ABS(C75-G75),"")</f>
        <v/>
      </c>
      <c r="L75" s="9" t="str">
        <f>IF(OR(D75="Selection",D75="Final test"),ABS(C75-H75),"")</f>
        <v/>
      </c>
      <c r="M75" s="9" t="str">
        <f>IF(OR(D75="Selection",D75="Final test",D75="Forecast"),CHOOSE($F$11,E75,F75,G75,H75),"")</f>
        <v/>
      </c>
      <c r="N75" s="9" t="str">
        <f t="shared" si="25"/>
        <v/>
      </c>
      <c r="O75" s="9" t="str">
        <f t="shared" si="26"/>
        <v/>
      </c>
      <c r="P75" s="9" t="str">
        <f>IF($D75="Forecast",'Capacity and backlog'!$B$7,"")</f>
        <v/>
      </c>
      <c r="Q75" s="9" t="str">
        <f t="shared" si="27"/>
        <v/>
      </c>
    </row>
    <row r="76" spans="1:17" x14ac:dyDescent="0.2">
      <c r="A76" s="20">
        <f t="shared" si="14"/>
        <v>62</v>
      </c>
      <c r="B76" s="23">
        <f>DATEVALUE('Weekly history'!A72)</f>
        <v>45719.0</v>
      </c>
      <c r="C76" s="9">
        <f>'Weekly history'!C72</f>
        <v>425.5</v>
      </c>
      <c r="D76" s="3" t="str">
        <f>IF(A76&gt;105,"Forecast",IF(A76=105,"Excluded partial",IF(A76&gt;$B$7+$B$6,"Final test",IF(A76&gt;$B$7,"Selection","Train"))))</f>
        <v>Train</v>
      </c>
      <c r="E76" s="9" t="str">
        <f>IF(D76="Selection",INDEX($C$15:$C$118,$B$7),IF(D76="Final test",INDEX($C$15:$C$118,$B$7+$B$6),IF(D76="Forecast",INDEX($C$15:$C$118,$B$5),"")))</f>
        <v/>
      </c>
      <c r="F76" s="9" t="str">
        <f>IF(OR(D76="Selection",D76="Final test",D76="Forecast"),FORECAST(A76,$C$15:INDEX($C$15:$C$118,IF(D76="Selection",$B$7,IF(D76="Final test",$B$7+$B$6,$B$5))),$A$15:INDEX($A$15:$A$118,IF(D76="Selection",$B$7,IF(D76="Final test",$B$7+$B$6,$B$5)))),"")</f>
        <v/>
      </c>
      <c r="G76" s="9" t="str">
        <f>IF(OR(D76="Selection",D76="Final test",D76="Forecast"),AVERAGE(INDEX($C$15:$C$118,IF(D76="Selection",$B$7,IF(D76="Final test",$B$7+$B$6,$B$5))-$B$9+1):INDEX($C$15:$C$118,IF(D76="Selection",$B$7,IF(D76="Final test",$B$7+$B$6,$B$5)))),"")</f>
        <v/>
      </c>
      <c r="H76" s="9" t="str">
        <f>IF(OR(D76="Selection",D76="Final test",D76="Forecast"),INDEX($C$15:$C$118,A76-52),"")</f>
        <v/>
      </c>
      <c r="I76" s="9" t="str">
        <f>IF(OR(D76="Selection",D76="Final test"),ABS(C76-E76),"")</f>
        <v/>
      </c>
      <c r="J76" s="9" t="str">
        <f>IF(OR(D76="Selection",D76="Final test"),ABS(C76-F76),"")</f>
        <v/>
      </c>
      <c r="K76" s="9" t="str">
        <f>IF(OR(D76="Selection",D76="Final test"),ABS(C76-G76),"")</f>
        <v/>
      </c>
      <c r="L76" s="9" t="str">
        <f>IF(OR(D76="Selection",D76="Final test"),ABS(C76-H76),"")</f>
        <v/>
      </c>
      <c r="M76" s="9" t="str">
        <f>IF(OR(D76="Selection",D76="Final test",D76="Forecast"),CHOOSE($F$11,E76,F76,G76,H76),"")</f>
        <v/>
      </c>
      <c r="N76" s="9" t="str">
        <f t="shared" si="25"/>
        <v/>
      </c>
      <c r="O76" s="9" t="str">
        <f t="shared" si="26"/>
        <v/>
      </c>
      <c r="P76" s="9" t="str">
        <f>IF($D76="Forecast",'Capacity and backlog'!$B$7,"")</f>
        <v/>
      </c>
      <c r="Q76" s="9" t="str">
        <f t="shared" si="27"/>
        <v/>
      </c>
    </row>
    <row r="77" spans="1:17" x14ac:dyDescent="0.2">
      <c r="A77" s="20">
        <f t="shared" si="14"/>
        <v>63</v>
      </c>
      <c r="B77" s="23">
        <f>DATEVALUE('Weekly history'!A73)</f>
        <v>45726.0</v>
      </c>
      <c r="C77" s="9">
        <f>'Weekly history'!C73</f>
        <v>533.4</v>
      </c>
      <c r="D77" s="3" t="str">
        <f>IF(A77&gt;105,"Forecast",IF(A77=105,"Excluded partial",IF(A77&gt;$B$7+$B$6,"Final test",IF(A77&gt;$B$7,"Selection","Train"))))</f>
        <v>Train</v>
      </c>
      <c r="E77" s="9" t="str">
        <f>IF(D77="Selection",INDEX($C$15:$C$118,$B$7),IF(D77="Final test",INDEX($C$15:$C$118,$B$7+$B$6),IF(D77="Forecast",INDEX($C$15:$C$118,$B$5),"")))</f>
        <v/>
      </c>
      <c r="F77" s="9" t="str">
        <f>IF(OR(D77="Selection",D77="Final test",D77="Forecast"),FORECAST(A77,$C$15:INDEX($C$15:$C$118,IF(D77="Selection",$B$7,IF(D77="Final test",$B$7+$B$6,$B$5))),$A$15:INDEX($A$15:$A$118,IF(D77="Selection",$B$7,IF(D77="Final test",$B$7+$B$6,$B$5)))),"")</f>
        <v/>
      </c>
      <c r="G77" s="9" t="str">
        <f>IF(OR(D77="Selection",D77="Final test",D77="Forecast"),AVERAGE(INDEX($C$15:$C$118,IF(D77="Selection",$B$7,IF(D77="Final test",$B$7+$B$6,$B$5))-$B$9+1):INDEX($C$15:$C$118,IF(D77="Selection",$B$7,IF(D77="Final test",$B$7+$B$6,$B$5)))),"")</f>
        <v/>
      </c>
      <c r="H77" s="9" t="str">
        <f>IF(OR(D77="Selection",D77="Final test",D77="Forecast"),INDEX($C$15:$C$118,A77-52),"")</f>
        <v/>
      </c>
      <c r="I77" s="9" t="str">
        <f>IF(OR(D77="Selection",D77="Final test"),ABS(C77-E77),"")</f>
        <v/>
      </c>
      <c r="J77" s="9" t="str">
        <f>IF(OR(D77="Selection",D77="Final test"),ABS(C77-F77),"")</f>
        <v/>
      </c>
      <c r="K77" s="9" t="str">
        <f>IF(OR(D77="Selection",D77="Final test"),ABS(C77-G77),"")</f>
        <v/>
      </c>
      <c r="L77" s="9" t="str">
        <f>IF(OR(D77="Selection",D77="Final test"),ABS(C77-H77),"")</f>
        <v/>
      </c>
      <c r="M77" s="9" t="str">
        <f>IF(OR(D77="Selection",D77="Final test",D77="Forecast"),CHOOSE($F$11,E77,F77,G77,H77),"")</f>
        <v/>
      </c>
      <c r="N77" s="9" t="str">
        <f t="shared" si="25"/>
        <v/>
      </c>
      <c r="O77" s="9" t="str">
        <f t="shared" si="26"/>
        <v/>
      </c>
      <c r="P77" s="9" t="str">
        <f>IF($D77="Forecast",'Capacity and backlog'!$B$7,"")</f>
        <v/>
      </c>
      <c r="Q77" s="9" t="str">
        <f t="shared" si="27"/>
        <v/>
      </c>
    </row>
    <row r="78" spans="1:17" x14ac:dyDescent="0.2">
      <c r="A78" s="20">
        <f t="shared" si="14"/>
        <v>64</v>
      </c>
      <c r="B78" s="23">
        <f>DATEVALUE('Weekly history'!A74)</f>
        <v>45733.0</v>
      </c>
      <c r="C78" s="9">
        <f>'Weekly history'!C74</f>
        <v>244.8</v>
      </c>
      <c r="D78" s="3" t="str">
        <f>IF(A78&gt;105,"Forecast",IF(A78=105,"Excluded partial",IF(A78&gt;$B$7+$B$6,"Final test",IF(A78&gt;$B$7,"Selection","Train"))))</f>
        <v>Train</v>
      </c>
      <c r="E78" s="9" t="str">
        <f>IF(D78="Selection",INDEX($C$15:$C$118,$B$7),IF(D78="Final test",INDEX($C$15:$C$118,$B$7+$B$6),IF(D78="Forecast",INDEX($C$15:$C$118,$B$5),"")))</f>
        <v/>
      </c>
      <c r="F78" s="9" t="str">
        <f>IF(OR(D78="Selection",D78="Final test",D78="Forecast"),FORECAST(A78,$C$15:INDEX($C$15:$C$118,IF(D78="Selection",$B$7,IF(D78="Final test",$B$7+$B$6,$B$5))),$A$15:INDEX($A$15:$A$118,IF(D78="Selection",$B$7,IF(D78="Final test",$B$7+$B$6,$B$5)))),"")</f>
        <v/>
      </c>
      <c r="G78" s="9" t="str">
        <f>IF(OR(D78="Selection",D78="Final test",D78="Forecast"),AVERAGE(INDEX($C$15:$C$118,IF(D78="Selection",$B$7,IF(D78="Final test",$B$7+$B$6,$B$5))-$B$9+1):INDEX($C$15:$C$118,IF(D78="Selection",$B$7,IF(D78="Final test",$B$7+$B$6,$B$5)))),"")</f>
        <v/>
      </c>
      <c r="H78" s="9" t="str">
        <f>IF(OR(D78="Selection",D78="Final test",D78="Forecast"),INDEX($C$15:$C$118,A78-52),"")</f>
        <v/>
      </c>
      <c r="I78" s="9" t="str">
        <f>IF(OR(D78="Selection",D78="Final test"),ABS(C78-E78),"")</f>
        <v/>
      </c>
      <c r="J78" s="9" t="str">
        <f>IF(OR(D78="Selection",D78="Final test"),ABS(C78-F78),"")</f>
        <v/>
      </c>
      <c r="K78" s="9" t="str">
        <f>IF(OR(D78="Selection",D78="Final test"),ABS(C78-G78),"")</f>
        <v/>
      </c>
      <c r="L78" s="9" t="str">
        <f>IF(OR(D78="Selection",D78="Final test"),ABS(C78-H78),"")</f>
        <v/>
      </c>
      <c r="M78" s="9" t="str">
        <f>IF(OR(D78="Selection",D78="Final test",D78="Forecast"),CHOOSE($F$11,E78,F78,G78,H78),"")</f>
        <v/>
      </c>
      <c r="N78" s="9" t="str">
        <f t="shared" si="25"/>
        <v/>
      </c>
      <c r="O78" s="9" t="str">
        <f t="shared" si="26"/>
        <v/>
      </c>
      <c r="P78" s="9" t="str">
        <f>IF($D78="Forecast",'Capacity and backlog'!$B$7,"")</f>
        <v/>
      </c>
      <c r="Q78" s="9" t="str">
        <f t="shared" si="27"/>
        <v/>
      </c>
    </row>
    <row r="79" spans="1:17" x14ac:dyDescent="0.2">
      <c r="A79" s="20">
        <f t="shared" ref="A79:A110" si="28">ROW()-14</f>
        <v>65</v>
      </c>
      <c r="B79" s="23">
        <f>DATEVALUE('Weekly history'!A75)</f>
        <v>45740.0</v>
      </c>
      <c r="C79" s="9">
        <f>'Weekly history'!C75</f>
        <v>388.8</v>
      </c>
      <c r="D79" s="3" t="str">
        <f>IF(A79&gt;105,"Forecast",IF(A79=105,"Excluded partial",IF(A79&gt;$B$7+$B$6,"Final test",IF(A79&gt;$B$7,"Selection","Train"))))</f>
        <v>Train</v>
      </c>
      <c r="E79" s="9" t="str">
        <f>IF(D79="Selection",INDEX($C$15:$C$118,$B$7),IF(D79="Final test",INDEX($C$15:$C$118,$B$7+$B$6),IF(D79="Forecast",INDEX($C$15:$C$118,$B$5),"")))</f>
        <v/>
      </c>
      <c r="F79" s="9" t="str">
        <f>IF(OR(D79="Selection",D79="Final test",D79="Forecast"),FORECAST(A79,$C$15:INDEX($C$15:$C$118,IF(D79="Selection",$B$7,IF(D79="Final test",$B$7+$B$6,$B$5))),$A$15:INDEX($A$15:$A$118,IF(D79="Selection",$B$7,IF(D79="Final test",$B$7+$B$6,$B$5)))),"")</f>
        <v/>
      </c>
      <c r="G79" s="9" t="str">
        <f>IF(OR(D79="Selection",D79="Final test",D79="Forecast"),AVERAGE(INDEX($C$15:$C$118,IF(D79="Selection",$B$7,IF(D79="Final test",$B$7+$B$6,$B$5))-$B$9+1):INDEX($C$15:$C$118,IF(D79="Selection",$B$7,IF(D79="Final test",$B$7+$B$6,$B$5)))),"")</f>
        <v/>
      </c>
      <c r="H79" s="9" t="str">
        <f>IF(OR(D79="Selection",D79="Final test",D79="Forecast"),INDEX($C$15:$C$118,A79-52),"")</f>
        <v/>
      </c>
      <c r="I79" s="9" t="str">
        <f>IF(OR(D79="Selection",D79="Final test"),ABS(C79-E79),"")</f>
        <v/>
      </c>
      <c r="J79" s="9" t="str">
        <f>IF(OR(D79="Selection",D79="Final test"),ABS(C79-F79),"")</f>
        <v/>
      </c>
      <c r="K79" s="9" t="str">
        <f>IF(OR(D79="Selection",D79="Final test"),ABS(C79-G79),"")</f>
        <v/>
      </c>
      <c r="L79" s="9" t="str">
        <f>IF(OR(D79="Selection",D79="Final test"),ABS(C79-H79),"")</f>
        <v/>
      </c>
      <c r="M79" s="9" t="str">
        <f>IF(OR(D79="Selection",D79="Final test",D79="Forecast"),CHOOSE($F$11,E79,F79,G79,H79),"")</f>
        <v/>
      </c>
      <c r="N79" s="9" t="str">
        <f t="shared" ref="N79:N110" si="39">IF(M79="","",MAX(0,M79-$B$10*$F$12))</f>
        <v/>
      </c>
      <c r="O79" s="9" t="str">
        <f t="shared" ref="O79:O110" si="40">IF(M79="","",M79+$B$10*$F$12)</f>
        <v/>
      </c>
      <c r="P79" s="9" t="str">
        <f>IF($D79="Forecast",'Capacity and backlog'!$B$7,"")</f>
        <v/>
      </c>
      <c r="Q79" s="9" t="str">
        <f t="shared" ref="Q79:Q110" si="41">IF(P79="","",M79-P79)</f>
        <v/>
      </c>
    </row>
    <row r="80" spans="1:17" x14ac:dyDescent="0.2">
      <c r="A80" s="20">
        <f t="shared" si="28"/>
        <v>66</v>
      </c>
      <c r="B80" s="23">
        <f>DATEVALUE('Weekly history'!A76)</f>
        <v>45747.0</v>
      </c>
      <c r="C80" s="9">
        <f>'Weekly history'!C76</f>
        <v>398.2</v>
      </c>
      <c r="D80" s="3" t="str">
        <f>IF(A80&gt;105,"Forecast",IF(A80=105,"Excluded partial",IF(A80&gt;$B$7+$B$6,"Final test",IF(A80&gt;$B$7,"Selection","Train"))))</f>
        <v>Train</v>
      </c>
      <c r="E80" s="9" t="str">
        <f>IF(D80="Selection",INDEX($C$15:$C$118,$B$7),IF(D80="Final test",INDEX($C$15:$C$118,$B$7+$B$6),IF(D80="Forecast",INDEX($C$15:$C$118,$B$5),"")))</f>
        <v/>
      </c>
      <c r="F80" s="9" t="str">
        <f>IF(OR(D80="Selection",D80="Final test",D80="Forecast"),FORECAST(A80,$C$15:INDEX($C$15:$C$118,IF(D80="Selection",$B$7,IF(D80="Final test",$B$7+$B$6,$B$5))),$A$15:INDEX($A$15:$A$118,IF(D80="Selection",$B$7,IF(D80="Final test",$B$7+$B$6,$B$5)))),"")</f>
        <v/>
      </c>
      <c r="G80" s="9" t="str">
        <f>IF(OR(D80="Selection",D80="Final test",D80="Forecast"),AVERAGE(INDEX($C$15:$C$118,IF(D80="Selection",$B$7,IF(D80="Final test",$B$7+$B$6,$B$5))-$B$9+1):INDEX($C$15:$C$118,IF(D80="Selection",$B$7,IF(D80="Final test",$B$7+$B$6,$B$5)))),"")</f>
        <v/>
      </c>
      <c r="H80" s="9" t="str">
        <f>IF(OR(D80="Selection",D80="Final test",D80="Forecast"),INDEX($C$15:$C$118,A80-52),"")</f>
        <v/>
      </c>
      <c r="I80" s="9" t="str">
        <f>IF(OR(D80="Selection",D80="Final test"),ABS(C80-E80),"")</f>
        <v/>
      </c>
      <c r="J80" s="9" t="str">
        <f>IF(OR(D80="Selection",D80="Final test"),ABS(C80-F80),"")</f>
        <v/>
      </c>
      <c r="K80" s="9" t="str">
        <f>IF(OR(D80="Selection",D80="Final test"),ABS(C80-G80),"")</f>
        <v/>
      </c>
      <c r="L80" s="9" t="str">
        <f>IF(OR(D80="Selection",D80="Final test"),ABS(C80-H80),"")</f>
        <v/>
      </c>
      <c r="M80" s="9" t="str">
        <f>IF(OR(D80="Selection",D80="Final test",D80="Forecast"),CHOOSE($F$11,E80,F80,G80,H80),"")</f>
        <v/>
      </c>
      <c r="N80" s="9" t="str">
        <f t="shared" si="39"/>
        <v/>
      </c>
      <c r="O80" s="9" t="str">
        <f t="shared" si="40"/>
        <v/>
      </c>
      <c r="P80" s="9" t="str">
        <f>IF($D80="Forecast",'Capacity and backlog'!$B$7,"")</f>
        <v/>
      </c>
      <c r="Q80" s="9" t="str">
        <f t="shared" si="41"/>
        <v/>
      </c>
    </row>
    <row r="81" spans="1:17" x14ac:dyDescent="0.2">
      <c r="A81" s="20">
        <f t="shared" si="28"/>
        <v>67</v>
      </c>
      <c r="B81" s="23">
        <f>DATEVALUE('Weekly history'!A77)</f>
        <v>45754.0</v>
      </c>
      <c r="C81" s="9">
        <f>'Weekly history'!C77</f>
        <v>250</v>
      </c>
      <c r="D81" s="3" t="str">
        <f>IF(A81&gt;105,"Forecast",IF(A81=105,"Excluded partial",IF(A81&gt;$B$7+$B$6,"Final test",IF(A81&gt;$B$7,"Selection","Train"))))</f>
        <v>Train</v>
      </c>
      <c r="E81" s="9" t="str">
        <f>IF(D81="Selection",INDEX($C$15:$C$118,$B$7),IF(D81="Final test",INDEX($C$15:$C$118,$B$7+$B$6),IF(D81="Forecast",INDEX($C$15:$C$118,$B$5),"")))</f>
        <v/>
      </c>
      <c r="F81" s="9" t="str">
        <f>IF(OR(D81="Selection",D81="Final test",D81="Forecast"),FORECAST(A81,$C$15:INDEX($C$15:$C$118,IF(D81="Selection",$B$7,IF(D81="Final test",$B$7+$B$6,$B$5))),$A$15:INDEX($A$15:$A$118,IF(D81="Selection",$B$7,IF(D81="Final test",$B$7+$B$6,$B$5)))),"")</f>
        <v/>
      </c>
      <c r="G81" s="9" t="str">
        <f>IF(OR(D81="Selection",D81="Final test",D81="Forecast"),AVERAGE(INDEX($C$15:$C$118,IF(D81="Selection",$B$7,IF(D81="Final test",$B$7+$B$6,$B$5))-$B$9+1):INDEX($C$15:$C$118,IF(D81="Selection",$B$7,IF(D81="Final test",$B$7+$B$6,$B$5)))),"")</f>
        <v/>
      </c>
      <c r="H81" s="9" t="str">
        <f>IF(OR(D81="Selection",D81="Final test",D81="Forecast"),INDEX($C$15:$C$118,A81-52),"")</f>
        <v/>
      </c>
      <c r="I81" s="9" t="str">
        <f>IF(OR(D81="Selection",D81="Final test"),ABS(C81-E81),"")</f>
        <v/>
      </c>
      <c r="J81" s="9" t="str">
        <f>IF(OR(D81="Selection",D81="Final test"),ABS(C81-F81),"")</f>
        <v/>
      </c>
      <c r="K81" s="9" t="str">
        <f>IF(OR(D81="Selection",D81="Final test"),ABS(C81-G81),"")</f>
        <v/>
      </c>
      <c r="L81" s="9" t="str">
        <f>IF(OR(D81="Selection",D81="Final test"),ABS(C81-H81),"")</f>
        <v/>
      </c>
      <c r="M81" s="9" t="str">
        <f>IF(OR(D81="Selection",D81="Final test",D81="Forecast"),CHOOSE($F$11,E81,F81,G81,H81),"")</f>
        <v/>
      </c>
      <c r="N81" s="9" t="str">
        <f t="shared" si="39"/>
        <v/>
      </c>
      <c r="O81" s="9" t="str">
        <f t="shared" si="40"/>
        <v/>
      </c>
      <c r="P81" s="9" t="str">
        <f>IF($D81="Forecast",'Capacity and backlog'!$B$7,"")</f>
        <v/>
      </c>
      <c r="Q81" s="9" t="str">
        <f t="shared" si="41"/>
        <v/>
      </c>
    </row>
    <row r="82" spans="1:17" x14ac:dyDescent="0.2">
      <c r="A82" s="20">
        <f t="shared" si="28"/>
        <v>68</v>
      </c>
      <c r="B82" s="23">
        <f>DATEVALUE('Weekly history'!A78)</f>
        <v>45761.0</v>
      </c>
      <c r="C82" s="9">
        <f>'Weekly history'!C78</f>
        <v>174.5</v>
      </c>
      <c r="D82" s="3" t="str">
        <f>IF(A82&gt;105,"Forecast",IF(A82=105,"Excluded partial",IF(A82&gt;$B$7+$B$6,"Final test",IF(A82&gt;$B$7,"Selection","Train"))))</f>
        <v>Train</v>
      </c>
      <c r="E82" s="9" t="str">
        <f>IF(D82="Selection",INDEX($C$15:$C$118,$B$7),IF(D82="Final test",INDEX($C$15:$C$118,$B$7+$B$6),IF(D82="Forecast",INDEX($C$15:$C$118,$B$5),"")))</f>
        <v/>
      </c>
      <c r="F82" s="9" t="str">
        <f>IF(OR(D82="Selection",D82="Final test",D82="Forecast"),FORECAST(A82,$C$15:INDEX($C$15:$C$118,IF(D82="Selection",$B$7,IF(D82="Final test",$B$7+$B$6,$B$5))),$A$15:INDEX($A$15:$A$118,IF(D82="Selection",$B$7,IF(D82="Final test",$B$7+$B$6,$B$5)))),"")</f>
        <v/>
      </c>
      <c r="G82" s="9" t="str">
        <f>IF(OR(D82="Selection",D82="Final test",D82="Forecast"),AVERAGE(INDEX($C$15:$C$118,IF(D82="Selection",$B$7,IF(D82="Final test",$B$7+$B$6,$B$5))-$B$9+1):INDEX($C$15:$C$118,IF(D82="Selection",$B$7,IF(D82="Final test",$B$7+$B$6,$B$5)))),"")</f>
        <v/>
      </c>
      <c r="H82" s="9" t="str">
        <f>IF(OR(D82="Selection",D82="Final test",D82="Forecast"),INDEX($C$15:$C$118,A82-52),"")</f>
        <v/>
      </c>
      <c r="I82" s="9" t="str">
        <f>IF(OR(D82="Selection",D82="Final test"),ABS(C82-E82),"")</f>
        <v/>
      </c>
      <c r="J82" s="9" t="str">
        <f>IF(OR(D82="Selection",D82="Final test"),ABS(C82-F82),"")</f>
        <v/>
      </c>
      <c r="K82" s="9" t="str">
        <f>IF(OR(D82="Selection",D82="Final test"),ABS(C82-G82),"")</f>
        <v/>
      </c>
      <c r="L82" s="9" t="str">
        <f>IF(OR(D82="Selection",D82="Final test"),ABS(C82-H82),"")</f>
        <v/>
      </c>
      <c r="M82" s="9" t="str">
        <f>IF(OR(D82="Selection",D82="Final test",D82="Forecast"),CHOOSE($F$11,E82,F82,G82,H82),"")</f>
        <v/>
      </c>
      <c r="N82" s="9" t="str">
        <f t="shared" si="39"/>
        <v/>
      </c>
      <c r="O82" s="9" t="str">
        <f t="shared" si="40"/>
        <v/>
      </c>
      <c r="P82" s="9" t="str">
        <f>IF($D82="Forecast",'Capacity and backlog'!$B$7,"")</f>
        <v/>
      </c>
      <c r="Q82" s="9" t="str">
        <f t="shared" si="41"/>
        <v/>
      </c>
    </row>
    <row r="83" spans="1:17" x14ac:dyDescent="0.2">
      <c r="A83" s="20">
        <f t="shared" si="28"/>
        <v>69</v>
      </c>
      <c r="B83" s="23">
        <f>DATEVALUE('Weekly history'!A79)</f>
        <v>45768.0</v>
      </c>
      <c r="C83" s="9">
        <f>'Weekly history'!C79</f>
        <v>362.3</v>
      </c>
      <c r="D83" s="3" t="str">
        <f>IF(A83&gt;105,"Forecast",IF(A83=105,"Excluded partial",IF(A83&gt;$B$7+$B$6,"Final test",IF(A83&gt;$B$7,"Selection","Train"))))</f>
        <v>Train</v>
      </c>
      <c r="E83" s="9" t="str">
        <f>IF(D83="Selection",INDEX($C$15:$C$118,$B$7),IF(D83="Final test",INDEX($C$15:$C$118,$B$7+$B$6),IF(D83="Forecast",INDEX($C$15:$C$118,$B$5),"")))</f>
        <v/>
      </c>
      <c r="F83" s="9" t="str">
        <f>IF(OR(D83="Selection",D83="Final test",D83="Forecast"),FORECAST(A83,$C$15:INDEX($C$15:$C$118,IF(D83="Selection",$B$7,IF(D83="Final test",$B$7+$B$6,$B$5))),$A$15:INDEX($A$15:$A$118,IF(D83="Selection",$B$7,IF(D83="Final test",$B$7+$B$6,$B$5)))),"")</f>
        <v/>
      </c>
      <c r="G83" s="9" t="str">
        <f>IF(OR(D83="Selection",D83="Final test",D83="Forecast"),AVERAGE(INDEX($C$15:$C$118,IF(D83="Selection",$B$7,IF(D83="Final test",$B$7+$B$6,$B$5))-$B$9+1):INDEX($C$15:$C$118,IF(D83="Selection",$B$7,IF(D83="Final test",$B$7+$B$6,$B$5)))),"")</f>
        <v/>
      </c>
      <c r="H83" s="9" t="str">
        <f>IF(OR(D83="Selection",D83="Final test",D83="Forecast"),INDEX($C$15:$C$118,A83-52),"")</f>
        <v/>
      </c>
      <c r="I83" s="9" t="str">
        <f>IF(OR(D83="Selection",D83="Final test"),ABS(C83-E83),"")</f>
        <v/>
      </c>
      <c r="J83" s="9" t="str">
        <f>IF(OR(D83="Selection",D83="Final test"),ABS(C83-F83),"")</f>
        <v/>
      </c>
      <c r="K83" s="9" t="str">
        <f>IF(OR(D83="Selection",D83="Final test"),ABS(C83-G83),"")</f>
        <v/>
      </c>
      <c r="L83" s="9" t="str">
        <f>IF(OR(D83="Selection",D83="Final test"),ABS(C83-H83),"")</f>
        <v/>
      </c>
      <c r="M83" s="9" t="str">
        <f>IF(OR(D83="Selection",D83="Final test",D83="Forecast"),CHOOSE($F$11,E83,F83,G83,H83),"")</f>
        <v/>
      </c>
      <c r="N83" s="9" t="str">
        <f t="shared" si="39"/>
        <v/>
      </c>
      <c r="O83" s="9" t="str">
        <f t="shared" si="40"/>
        <v/>
      </c>
      <c r="P83" s="9" t="str">
        <f>IF($D83="Forecast",'Capacity and backlog'!$B$7,"")</f>
        <v/>
      </c>
      <c r="Q83" s="9" t="str">
        <f t="shared" si="41"/>
        <v/>
      </c>
    </row>
    <row r="84" spans="1:17" x14ac:dyDescent="0.2">
      <c r="A84" s="20">
        <f t="shared" si="28"/>
        <v>70</v>
      </c>
      <c r="B84" s="23">
        <f>DATEVALUE('Weekly history'!A80)</f>
        <v>45775.0</v>
      </c>
      <c r="C84" s="9">
        <f>'Weekly history'!C80</f>
        <v>382.6</v>
      </c>
      <c r="D84" s="3" t="str">
        <f>IF(A84&gt;105,"Forecast",IF(A84=105,"Excluded partial",IF(A84&gt;$B$7+$B$6,"Final test",IF(A84&gt;$B$7,"Selection","Train"))))</f>
        <v>Train</v>
      </c>
      <c r="E84" s="9" t="str">
        <f>IF(D84="Selection",INDEX($C$15:$C$118,$B$7),IF(D84="Final test",INDEX($C$15:$C$118,$B$7+$B$6),IF(D84="Forecast",INDEX($C$15:$C$118,$B$5),"")))</f>
        <v/>
      </c>
      <c r="F84" s="9" t="str">
        <f>IF(OR(D84="Selection",D84="Final test",D84="Forecast"),FORECAST(A84,$C$15:INDEX($C$15:$C$118,IF(D84="Selection",$B$7,IF(D84="Final test",$B$7+$B$6,$B$5))),$A$15:INDEX($A$15:$A$118,IF(D84="Selection",$B$7,IF(D84="Final test",$B$7+$B$6,$B$5)))),"")</f>
        <v/>
      </c>
      <c r="G84" s="9" t="str">
        <f>IF(OR(D84="Selection",D84="Final test",D84="Forecast"),AVERAGE(INDEX($C$15:$C$118,IF(D84="Selection",$B$7,IF(D84="Final test",$B$7+$B$6,$B$5))-$B$9+1):INDEX($C$15:$C$118,IF(D84="Selection",$B$7,IF(D84="Final test",$B$7+$B$6,$B$5)))),"")</f>
        <v/>
      </c>
      <c r="H84" s="9" t="str">
        <f>IF(OR(D84="Selection",D84="Final test",D84="Forecast"),INDEX($C$15:$C$118,A84-52),"")</f>
        <v/>
      </c>
      <c r="I84" s="9" t="str">
        <f>IF(OR(D84="Selection",D84="Final test"),ABS(C84-E84),"")</f>
        <v/>
      </c>
      <c r="J84" s="9" t="str">
        <f>IF(OR(D84="Selection",D84="Final test"),ABS(C84-F84),"")</f>
        <v/>
      </c>
      <c r="K84" s="9" t="str">
        <f>IF(OR(D84="Selection",D84="Final test"),ABS(C84-G84),"")</f>
        <v/>
      </c>
      <c r="L84" s="9" t="str">
        <f>IF(OR(D84="Selection",D84="Final test"),ABS(C84-H84),"")</f>
        <v/>
      </c>
      <c r="M84" s="9" t="str">
        <f>IF(OR(D84="Selection",D84="Final test",D84="Forecast"),CHOOSE($F$11,E84,F84,G84,H84),"")</f>
        <v/>
      </c>
      <c r="N84" s="9" t="str">
        <f t="shared" si="39"/>
        <v/>
      </c>
      <c r="O84" s="9" t="str">
        <f t="shared" si="40"/>
        <v/>
      </c>
      <c r="P84" s="9" t="str">
        <f>IF($D84="Forecast",'Capacity and backlog'!$B$7,"")</f>
        <v/>
      </c>
      <c r="Q84" s="9" t="str">
        <f t="shared" si="41"/>
        <v/>
      </c>
    </row>
    <row r="85" spans="1:17" x14ac:dyDescent="0.2">
      <c r="A85" s="20">
        <f t="shared" si="28"/>
        <v>71</v>
      </c>
      <c r="B85" s="23">
        <f>DATEVALUE('Weekly history'!A81)</f>
        <v>45782.0</v>
      </c>
      <c r="C85" s="9">
        <f>'Weekly history'!C81</f>
        <v>311.8</v>
      </c>
      <c r="D85" s="3" t="str">
        <f>IF(A85&gt;105,"Forecast",IF(A85=105,"Excluded partial",IF(A85&gt;$B$7+$B$6,"Final test",IF(A85&gt;$B$7,"Selection","Train"))))</f>
        <v>Train</v>
      </c>
      <c r="E85" s="9" t="str">
        <f>IF(D85="Selection",INDEX($C$15:$C$118,$B$7),IF(D85="Final test",INDEX($C$15:$C$118,$B$7+$B$6),IF(D85="Forecast",INDEX($C$15:$C$118,$B$5),"")))</f>
        <v/>
      </c>
      <c r="F85" s="9" t="str">
        <f>IF(OR(D85="Selection",D85="Final test",D85="Forecast"),FORECAST(A85,$C$15:INDEX($C$15:$C$118,IF(D85="Selection",$B$7,IF(D85="Final test",$B$7+$B$6,$B$5))),$A$15:INDEX($A$15:$A$118,IF(D85="Selection",$B$7,IF(D85="Final test",$B$7+$B$6,$B$5)))),"")</f>
        <v/>
      </c>
      <c r="G85" s="9" t="str">
        <f>IF(OR(D85="Selection",D85="Final test",D85="Forecast"),AVERAGE(INDEX($C$15:$C$118,IF(D85="Selection",$B$7,IF(D85="Final test",$B$7+$B$6,$B$5))-$B$9+1):INDEX($C$15:$C$118,IF(D85="Selection",$B$7,IF(D85="Final test",$B$7+$B$6,$B$5)))),"")</f>
        <v/>
      </c>
      <c r="H85" s="9" t="str">
        <f>IF(OR(D85="Selection",D85="Final test",D85="Forecast"),INDEX($C$15:$C$118,A85-52),"")</f>
        <v/>
      </c>
      <c r="I85" s="9" t="str">
        <f>IF(OR(D85="Selection",D85="Final test"),ABS(C85-E85),"")</f>
        <v/>
      </c>
      <c r="J85" s="9" t="str">
        <f>IF(OR(D85="Selection",D85="Final test"),ABS(C85-F85),"")</f>
        <v/>
      </c>
      <c r="K85" s="9" t="str">
        <f>IF(OR(D85="Selection",D85="Final test"),ABS(C85-G85),"")</f>
        <v/>
      </c>
      <c r="L85" s="9" t="str">
        <f>IF(OR(D85="Selection",D85="Final test"),ABS(C85-H85),"")</f>
        <v/>
      </c>
      <c r="M85" s="9" t="str">
        <f>IF(OR(D85="Selection",D85="Final test",D85="Forecast"),CHOOSE($F$11,E85,F85,G85,H85),"")</f>
        <v/>
      </c>
      <c r="N85" s="9" t="str">
        <f t="shared" si="39"/>
        <v/>
      </c>
      <c r="O85" s="9" t="str">
        <f t="shared" si="40"/>
        <v/>
      </c>
      <c r="P85" s="9" t="str">
        <f>IF($D85="Forecast",'Capacity and backlog'!$B$7,"")</f>
        <v/>
      </c>
      <c r="Q85" s="9" t="str">
        <f t="shared" si="41"/>
        <v/>
      </c>
    </row>
    <row r="86" spans="1:17" x14ac:dyDescent="0.2">
      <c r="A86" s="20">
        <f t="shared" si="28"/>
        <v>72</v>
      </c>
      <c r="B86" s="23">
        <f>DATEVALUE('Weekly history'!A82)</f>
        <v>45789.0</v>
      </c>
      <c r="C86" s="9">
        <f>'Weekly history'!C82</f>
        <v>404.5</v>
      </c>
      <c r="D86" s="3" t="str">
        <f>IF(A86&gt;105,"Forecast",IF(A86=105,"Excluded partial",IF(A86&gt;$B$7+$B$6,"Final test",IF(A86&gt;$B$7,"Selection","Train"))))</f>
        <v>Train</v>
      </c>
      <c r="E86" s="9" t="str">
        <f>IF(D86="Selection",INDEX($C$15:$C$118,$B$7),IF(D86="Final test",INDEX($C$15:$C$118,$B$7+$B$6),IF(D86="Forecast",INDEX($C$15:$C$118,$B$5),"")))</f>
        <v/>
      </c>
      <c r="F86" s="9" t="str">
        <f>IF(OR(D86="Selection",D86="Final test",D86="Forecast"),FORECAST(A86,$C$15:INDEX($C$15:$C$118,IF(D86="Selection",$B$7,IF(D86="Final test",$B$7+$B$6,$B$5))),$A$15:INDEX($A$15:$A$118,IF(D86="Selection",$B$7,IF(D86="Final test",$B$7+$B$6,$B$5)))),"")</f>
        <v/>
      </c>
      <c r="G86" s="9" t="str">
        <f>IF(OR(D86="Selection",D86="Final test",D86="Forecast"),AVERAGE(INDEX($C$15:$C$118,IF(D86="Selection",$B$7,IF(D86="Final test",$B$7+$B$6,$B$5))-$B$9+1):INDEX($C$15:$C$118,IF(D86="Selection",$B$7,IF(D86="Final test",$B$7+$B$6,$B$5)))),"")</f>
        <v/>
      </c>
      <c r="H86" s="9" t="str">
        <f>IF(OR(D86="Selection",D86="Final test",D86="Forecast"),INDEX($C$15:$C$118,A86-52),"")</f>
        <v/>
      </c>
      <c r="I86" s="9" t="str">
        <f>IF(OR(D86="Selection",D86="Final test"),ABS(C86-E86),"")</f>
        <v/>
      </c>
      <c r="J86" s="9" t="str">
        <f>IF(OR(D86="Selection",D86="Final test"),ABS(C86-F86),"")</f>
        <v/>
      </c>
      <c r="K86" s="9" t="str">
        <f>IF(OR(D86="Selection",D86="Final test"),ABS(C86-G86),"")</f>
        <v/>
      </c>
      <c r="L86" s="9" t="str">
        <f>IF(OR(D86="Selection",D86="Final test"),ABS(C86-H86),"")</f>
        <v/>
      </c>
      <c r="M86" s="9" t="str">
        <f>IF(OR(D86="Selection",D86="Final test",D86="Forecast"),CHOOSE($F$11,E86,F86,G86,H86),"")</f>
        <v/>
      </c>
      <c r="N86" s="9" t="str">
        <f t="shared" si="39"/>
        <v/>
      </c>
      <c r="O86" s="9" t="str">
        <f t="shared" si="40"/>
        <v/>
      </c>
      <c r="P86" s="9" t="str">
        <f>IF($D86="Forecast",'Capacity and backlog'!$B$7,"")</f>
        <v/>
      </c>
      <c r="Q86" s="9" t="str">
        <f t="shared" si="41"/>
        <v/>
      </c>
    </row>
    <row r="87" spans="1:17" x14ac:dyDescent="0.2">
      <c r="A87" s="20">
        <f t="shared" si="28"/>
        <v>73</v>
      </c>
      <c r="B87" s="23">
        <f>DATEVALUE('Weekly history'!A83)</f>
        <v>45796.0</v>
      </c>
      <c r="C87" s="9">
        <f>'Weekly history'!C83</f>
        <v>402.9</v>
      </c>
      <c r="D87" s="3" t="str">
        <f>IF(A87&gt;105,"Forecast",IF(A87=105,"Excluded partial",IF(A87&gt;$B$7+$B$6,"Final test",IF(A87&gt;$B$7,"Selection","Train"))))</f>
        <v>Train</v>
      </c>
      <c r="E87" s="9" t="str">
        <f>IF(D87="Selection",INDEX($C$15:$C$118,$B$7),IF(D87="Final test",INDEX($C$15:$C$118,$B$7+$B$6),IF(D87="Forecast",INDEX($C$15:$C$118,$B$5),"")))</f>
        <v/>
      </c>
      <c r="F87" s="9" t="str">
        <f>IF(OR(D87="Selection",D87="Final test",D87="Forecast"),FORECAST(A87,$C$15:INDEX($C$15:$C$118,IF(D87="Selection",$B$7,IF(D87="Final test",$B$7+$B$6,$B$5))),$A$15:INDEX($A$15:$A$118,IF(D87="Selection",$B$7,IF(D87="Final test",$B$7+$B$6,$B$5)))),"")</f>
        <v/>
      </c>
      <c r="G87" s="9" t="str">
        <f>IF(OR(D87="Selection",D87="Final test",D87="Forecast"),AVERAGE(INDEX($C$15:$C$118,IF(D87="Selection",$B$7,IF(D87="Final test",$B$7+$B$6,$B$5))-$B$9+1):INDEX($C$15:$C$118,IF(D87="Selection",$B$7,IF(D87="Final test",$B$7+$B$6,$B$5)))),"")</f>
        <v/>
      </c>
      <c r="H87" s="9" t="str">
        <f>IF(OR(D87="Selection",D87="Final test",D87="Forecast"),INDEX($C$15:$C$118,A87-52),"")</f>
        <v/>
      </c>
      <c r="I87" s="9" t="str">
        <f>IF(OR(D87="Selection",D87="Final test"),ABS(C87-E87),"")</f>
        <v/>
      </c>
      <c r="J87" s="9" t="str">
        <f>IF(OR(D87="Selection",D87="Final test"),ABS(C87-F87),"")</f>
        <v/>
      </c>
      <c r="K87" s="9" t="str">
        <f>IF(OR(D87="Selection",D87="Final test"),ABS(C87-G87),"")</f>
        <v/>
      </c>
      <c r="L87" s="9" t="str">
        <f>IF(OR(D87="Selection",D87="Final test"),ABS(C87-H87),"")</f>
        <v/>
      </c>
      <c r="M87" s="9" t="str">
        <f>IF(OR(D87="Selection",D87="Final test",D87="Forecast"),CHOOSE($F$11,E87,F87,G87,H87),"")</f>
        <v/>
      </c>
      <c r="N87" s="9" t="str">
        <f t="shared" si="39"/>
        <v/>
      </c>
      <c r="O87" s="9" t="str">
        <f t="shared" si="40"/>
        <v/>
      </c>
      <c r="P87" s="9" t="str">
        <f>IF($D87="Forecast",'Capacity and backlog'!$B$7,"")</f>
        <v/>
      </c>
      <c r="Q87" s="9" t="str">
        <f t="shared" si="41"/>
        <v/>
      </c>
    </row>
    <row r="88" spans="1:17" x14ac:dyDescent="0.2">
      <c r="A88" s="20">
        <f t="shared" si="28"/>
        <v>74</v>
      </c>
      <c r="B88" s="23">
        <f>DATEVALUE('Weekly history'!A84)</f>
        <v>45803.0</v>
      </c>
      <c r="C88" s="9">
        <f>'Weekly history'!C84</f>
        <v>179.5</v>
      </c>
      <c r="D88" s="3" t="str">
        <f>IF(A88&gt;105,"Forecast",IF(A88=105,"Excluded partial",IF(A88&gt;$B$7+$B$6,"Final test",IF(A88&gt;$B$7,"Selection","Train"))))</f>
        <v>Train</v>
      </c>
      <c r="E88" s="9" t="str">
        <f>IF(D88="Selection",INDEX($C$15:$C$118,$B$7),IF(D88="Final test",INDEX($C$15:$C$118,$B$7+$B$6),IF(D88="Forecast",INDEX($C$15:$C$118,$B$5),"")))</f>
        <v/>
      </c>
      <c r="F88" s="9" t="str">
        <f>IF(OR(D88="Selection",D88="Final test",D88="Forecast"),FORECAST(A88,$C$15:INDEX($C$15:$C$118,IF(D88="Selection",$B$7,IF(D88="Final test",$B$7+$B$6,$B$5))),$A$15:INDEX($A$15:$A$118,IF(D88="Selection",$B$7,IF(D88="Final test",$B$7+$B$6,$B$5)))),"")</f>
        <v/>
      </c>
      <c r="G88" s="9" t="str">
        <f>IF(OR(D88="Selection",D88="Final test",D88="Forecast"),AVERAGE(INDEX($C$15:$C$118,IF(D88="Selection",$B$7,IF(D88="Final test",$B$7+$B$6,$B$5))-$B$9+1):INDEX($C$15:$C$118,IF(D88="Selection",$B$7,IF(D88="Final test",$B$7+$B$6,$B$5)))),"")</f>
        <v/>
      </c>
      <c r="H88" s="9" t="str">
        <f>IF(OR(D88="Selection",D88="Final test",D88="Forecast"),INDEX($C$15:$C$118,A88-52),"")</f>
        <v/>
      </c>
      <c r="I88" s="9" t="str">
        <f>IF(OR(D88="Selection",D88="Final test"),ABS(C88-E88),"")</f>
        <v/>
      </c>
      <c r="J88" s="9" t="str">
        <f>IF(OR(D88="Selection",D88="Final test"),ABS(C88-F88),"")</f>
        <v/>
      </c>
      <c r="K88" s="9" t="str">
        <f>IF(OR(D88="Selection",D88="Final test"),ABS(C88-G88),"")</f>
        <v/>
      </c>
      <c r="L88" s="9" t="str">
        <f>IF(OR(D88="Selection",D88="Final test"),ABS(C88-H88),"")</f>
        <v/>
      </c>
      <c r="M88" s="9" t="str">
        <f>IF(OR(D88="Selection",D88="Final test",D88="Forecast"),CHOOSE($F$11,E88,F88,G88,H88),"")</f>
        <v/>
      </c>
      <c r="N88" s="9" t="str">
        <f t="shared" si="39"/>
        <v/>
      </c>
      <c r="O88" s="9" t="str">
        <f t="shared" si="40"/>
        <v/>
      </c>
      <c r="P88" s="9" t="str">
        <f>IF($D88="Forecast",'Capacity and backlog'!$B$7,"")</f>
        <v/>
      </c>
      <c r="Q88" s="9" t="str">
        <f t="shared" si="41"/>
        <v/>
      </c>
    </row>
    <row r="89" spans="1:17" x14ac:dyDescent="0.2">
      <c r="A89" s="20">
        <f t="shared" si="28"/>
        <v>75</v>
      </c>
      <c r="B89" s="23">
        <f>DATEVALUE('Weekly history'!A85)</f>
        <v>45810.0</v>
      </c>
      <c r="C89" s="9">
        <f>'Weekly history'!C85</f>
        <v>362.4</v>
      </c>
      <c r="D89" s="3" t="str">
        <f>IF(A89&gt;105,"Forecast",IF(A89=105,"Excluded partial",IF(A89&gt;$B$7+$B$6,"Final test",IF(A89&gt;$B$7,"Selection","Train"))))</f>
        <v>Train</v>
      </c>
      <c r="E89" s="9" t="str">
        <f>IF(D89="Selection",INDEX($C$15:$C$118,$B$7),IF(D89="Final test",INDEX($C$15:$C$118,$B$7+$B$6),IF(D89="Forecast",INDEX($C$15:$C$118,$B$5),"")))</f>
        <v/>
      </c>
      <c r="F89" s="9" t="str">
        <f>IF(OR(D89="Selection",D89="Final test",D89="Forecast"),FORECAST(A89,$C$15:INDEX($C$15:$C$118,IF(D89="Selection",$B$7,IF(D89="Final test",$B$7+$B$6,$B$5))),$A$15:INDEX($A$15:$A$118,IF(D89="Selection",$B$7,IF(D89="Final test",$B$7+$B$6,$B$5)))),"")</f>
        <v/>
      </c>
      <c r="G89" s="9" t="str">
        <f>IF(OR(D89="Selection",D89="Final test",D89="Forecast"),AVERAGE(INDEX($C$15:$C$118,IF(D89="Selection",$B$7,IF(D89="Final test",$B$7+$B$6,$B$5))-$B$9+1):INDEX($C$15:$C$118,IF(D89="Selection",$B$7,IF(D89="Final test",$B$7+$B$6,$B$5)))),"")</f>
        <v/>
      </c>
      <c r="H89" s="9" t="str">
        <f>IF(OR(D89="Selection",D89="Final test",D89="Forecast"),INDEX($C$15:$C$118,A89-52),"")</f>
        <v/>
      </c>
      <c r="I89" s="9" t="str">
        <f>IF(OR(D89="Selection",D89="Final test"),ABS(C89-E89),"")</f>
        <v/>
      </c>
      <c r="J89" s="9" t="str">
        <f>IF(OR(D89="Selection",D89="Final test"),ABS(C89-F89),"")</f>
        <v/>
      </c>
      <c r="K89" s="9" t="str">
        <f>IF(OR(D89="Selection",D89="Final test"),ABS(C89-G89),"")</f>
        <v/>
      </c>
      <c r="L89" s="9" t="str">
        <f>IF(OR(D89="Selection",D89="Final test"),ABS(C89-H89),"")</f>
        <v/>
      </c>
      <c r="M89" s="9" t="str">
        <f>IF(OR(D89="Selection",D89="Final test",D89="Forecast"),CHOOSE($F$11,E89,F89,G89,H89),"")</f>
        <v/>
      </c>
      <c r="N89" s="9" t="str">
        <f t="shared" si="39"/>
        <v/>
      </c>
      <c r="O89" s="9" t="str">
        <f t="shared" si="40"/>
        <v/>
      </c>
      <c r="P89" s="9" t="str">
        <f>IF($D89="Forecast",'Capacity and backlog'!$B$7,"")</f>
        <v/>
      </c>
      <c r="Q89" s="9" t="str">
        <f t="shared" si="41"/>
        <v/>
      </c>
    </row>
    <row r="90" spans="1:17" x14ac:dyDescent="0.2">
      <c r="A90" s="20">
        <f t="shared" si="28"/>
        <v>76</v>
      </c>
      <c r="B90" s="23">
        <f>DATEVALUE('Weekly history'!A86)</f>
        <v>45817.0</v>
      </c>
      <c r="C90" s="9">
        <f>'Weekly history'!C86</f>
        <v>329.8</v>
      </c>
      <c r="D90" s="3" t="str">
        <f>IF(A90&gt;105,"Forecast",IF(A90=105,"Excluded partial",IF(A90&gt;$B$7+$B$6,"Final test",IF(A90&gt;$B$7,"Selection","Train"))))</f>
        <v>Train</v>
      </c>
      <c r="E90" s="9" t="str">
        <f>IF(D90="Selection",INDEX($C$15:$C$118,$B$7),IF(D90="Final test",INDEX($C$15:$C$118,$B$7+$B$6),IF(D90="Forecast",INDEX($C$15:$C$118,$B$5),"")))</f>
        <v/>
      </c>
      <c r="F90" s="9" t="str">
        <f>IF(OR(D90="Selection",D90="Final test",D90="Forecast"),FORECAST(A90,$C$15:INDEX($C$15:$C$118,IF(D90="Selection",$B$7,IF(D90="Final test",$B$7+$B$6,$B$5))),$A$15:INDEX($A$15:$A$118,IF(D90="Selection",$B$7,IF(D90="Final test",$B$7+$B$6,$B$5)))),"")</f>
        <v/>
      </c>
      <c r="G90" s="9" t="str">
        <f>IF(OR(D90="Selection",D90="Final test",D90="Forecast"),AVERAGE(INDEX($C$15:$C$118,IF(D90="Selection",$B$7,IF(D90="Final test",$B$7+$B$6,$B$5))-$B$9+1):INDEX($C$15:$C$118,IF(D90="Selection",$B$7,IF(D90="Final test",$B$7+$B$6,$B$5)))),"")</f>
        <v/>
      </c>
      <c r="H90" s="9" t="str">
        <f>IF(OR(D90="Selection",D90="Final test",D90="Forecast"),INDEX($C$15:$C$118,A90-52),"")</f>
        <v/>
      </c>
      <c r="I90" s="9" t="str">
        <f>IF(OR(D90="Selection",D90="Final test"),ABS(C90-E90),"")</f>
        <v/>
      </c>
      <c r="J90" s="9" t="str">
        <f>IF(OR(D90="Selection",D90="Final test"),ABS(C90-F90),"")</f>
        <v/>
      </c>
      <c r="K90" s="9" t="str">
        <f>IF(OR(D90="Selection",D90="Final test"),ABS(C90-G90),"")</f>
        <v/>
      </c>
      <c r="L90" s="9" t="str">
        <f>IF(OR(D90="Selection",D90="Final test"),ABS(C90-H90),"")</f>
        <v/>
      </c>
      <c r="M90" s="9" t="str">
        <f>IF(OR(D90="Selection",D90="Final test",D90="Forecast"),CHOOSE($F$11,E90,F90,G90,H90),"")</f>
        <v/>
      </c>
      <c r="N90" s="9" t="str">
        <f t="shared" si="39"/>
        <v/>
      </c>
      <c r="O90" s="9" t="str">
        <f t="shared" si="40"/>
        <v/>
      </c>
      <c r="P90" s="9" t="str">
        <f>IF($D90="Forecast",'Capacity and backlog'!$B$7,"")</f>
        <v/>
      </c>
      <c r="Q90" s="9" t="str">
        <f t="shared" si="41"/>
        <v/>
      </c>
    </row>
    <row r="91" spans="1:17" x14ac:dyDescent="0.2">
      <c r="A91" s="20">
        <f t="shared" si="28"/>
        <v>77</v>
      </c>
      <c r="B91" s="23">
        <f>DATEVALUE('Weekly history'!A87)</f>
        <v>45824.0</v>
      </c>
      <c r="C91" s="9">
        <f>'Weekly history'!C87</f>
        <v>210</v>
      </c>
      <c r="D91" s="3" t="str">
        <f>IF(A91&gt;105,"Forecast",IF(A91=105,"Excluded partial",IF(A91&gt;$B$7+$B$6,"Final test",IF(A91&gt;$B$7,"Selection","Train"))))</f>
        <v>Train</v>
      </c>
      <c r="E91" s="9" t="str">
        <f>IF(D91="Selection",INDEX($C$15:$C$118,$B$7),IF(D91="Final test",INDEX($C$15:$C$118,$B$7+$B$6),IF(D91="Forecast",INDEX($C$15:$C$118,$B$5),"")))</f>
        <v/>
      </c>
      <c r="F91" s="9" t="str">
        <f>IF(OR(D91="Selection",D91="Final test",D91="Forecast"),FORECAST(A91,$C$15:INDEX($C$15:$C$118,IF(D91="Selection",$B$7,IF(D91="Final test",$B$7+$B$6,$B$5))),$A$15:INDEX($A$15:$A$118,IF(D91="Selection",$B$7,IF(D91="Final test",$B$7+$B$6,$B$5)))),"")</f>
        <v/>
      </c>
      <c r="G91" s="9" t="str">
        <f>IF(OR(D91="Selection",D91="Final test",D91="Forecast"),AVERAGE(INDEX($C$15:$C$118,IF(D91="Selection",$B$7,IF(D91="Final test",$B$7+$B$6,$B$5))-$B$9+1):INDEX($C$15:$C$118,IF(D91="Selection",$B$7,IF(D91="Final test",$B$7+$B$6,$B$5)))),"")</f>
        <v/>
      </c>
      <c r="H91" s="9" t="str">
        <f>IF(OR(D91="Selection",D91="Final test",D91="Forecast"),INDEX($C$15:$C$118,A91-52),"")</f>
        <v/>
      </c>
      <c r="I91" s="9" t="str">
        <f>IF(OR(D91="Selection",D91="Final test"),ABS(C91-E91),"")</f>
        <v/>
      </c>
      <c r="J91" s="9" t="str">
        <f>IF(OR(D91="Selection",D91="Final test"),ABS(C91-F91),"")</f>
        <v/>
      </c>
      <c r="K91" s="9" t="str">
        <f>IF(OR(D91="Selection",D91="Final test"),ABS(C91-G91),"")</f>
        <v/>
      </c>
      <c r="L91" s="9" t="str">
        <f>IF(OR(D91="Selection",D91="Final test"),ABS(C91-H91),"")</f>
        <v/>
      </c>
      <c r="M91" s="9" t="str">
        <f>IF(OR(D91="Selection",D91="Final test",D91="Forecast"),CHOOSE($F$11,E91,F91,G91,H91),"")</f>
        <v/>
      </c>
      <c r="N91" s="9" t="str">
        <f t="shared" si="39"/>
        <v/>
      </c>
      <c r="O91" s="9" t="str">
        <f t="shared" si="40"/>
        <v/>
      </c>
      <c r="P91" s="9" t="str">
        <f>IF($D91="Forecast",'Capacity and backlog'!$B$7,"")</f>
        <v/>
      </c>
      <c r="Q91" s="9" t="str">
        <f t="shared" si="41"/>
        <v/>
      </c>
    </row>
    <row r="92" spans="1:17" x14ac:dyDescent="0.2">
      <c r="A92" s="20">
        <f t="shared" si="28"/>
        <v>78</v>
      </c>
      <c r="B92" s="23">
        <f>DATEVALUE('Weekly history'!A88)</f>
        <v>45831.0</v>
      </c>
      <c r="C92" s="9">
        <f>'Weekly history'!C88</f>
        <v>381.3</v>
      </c>
      <c r="D92" s="3" t="str">
        <f>IF(A92&gt;105,"Forecast",IF(A92=105,"Excluded partial",IF(A92&gt;$B$7+$B$6,"Final test",IF(A92&gt;$B$7,"Selection","Train"))))</f>
        <v>Train</v>
      </c>
      <c r="E92" s="9" t="str">
        <f>IF(D92="Selection",INDEX($C$15:$C$118,$B$7),IF(D92="Final test",INDEX($C$15:$C$118,$B$7+$B$6),IF(D92="Forecast",INDEX($C$15:$C$118,$B$5),"")))</f>
        <v/>
      </c>
      <c r="F92" s="9" t="str">
        <f>IF(OR(D92="Selection",D92="Final test",D92="Forecast"),FORECAST(A92,$C$15:INDEX($C$15:$C$118,IF(D92="Selection",$B$7,IF(D92="Final test",$B$7+$B$6,$B$5))),$A$15:INDEX($A$15:$A$118,IF(D92="Selection",$B$7,IF(D92="Final test",$B$7+$B$6,$B$5)))),"")</f>
        <v/>
      </c>
      <c r="G92" s="9" t="str">
        <f>IF(OR(D92="Selection",D92="Final test",D92="Forecast"),AVERAGE(INDEX($C$15:$C$118,IF(D92="Selection",$B$7,IF(D92="Final test",$B$7+$B$6,$B$5))-$B$9+1):INDEX($C$15:$C$118,IF(D92="Selection",$B$7,IF(D92="Final test",$B$7+$B$6,$B$5)))),"")</f>
        <v/>
      </c>
      <c r="H92" s="9" t="str">
        <f>IF(OR(D92="Selection",D92="Final test",D92="Forecast"),INDEX($C$15:$C$118,A92-52),"")</f>
        <v/>
      </c>
      <c r="I92" s="9" t="str">
        <f>IF(OR(D92="Selection",D92="Final test"),ABS(C92-E92),"")</f>
        <v/>
      </c>
      <c r="J92" s="9" t="str">
        <f>IF(OR(D92="Selection",D92="Final test"),ABS(C92-F92),"")</f>
        <v/>
      </c>
      <c r="K92" s="9" t="str">
        <f>IF(OR(D92="Selection",D92="Final test"),ABS(C92-G92),"")</f>
        <v/>
      </c>
      <c r="L92" s="9" t="str">
        <f>IF(OR(D92="Selection",D92="Final test"),ABS(C92-H92),"")</f>
        <v/>
      </c>
      <c r="M92" s="9" t="str">
        <f>IF(OR(D92="Selection",D92="Final test",D92="Forecast"),CHOOSE($F$11,E92,F92,G92,H92),"")</f>
        <v/>
      </c>
      <c r="N92" s="9" t="str">
        <f t="shared" si="39"/>
        <v/>
      </c>
      <c r="O92" s="9" t="str">
        <f t="shared" si="40"/>
        <v/>
      </c>
      <c r="P92" s="9" t="str">
        <f>IF($D92="Forecast",'Capacity and backlog'!$B$7,"")</f>
        <v/>
      </c>
      <c r="Q92" s="9" t="str">
        <f t="shared" si="41"/>
        <v/>
      </c>
    </row>
    <row r="93" spans="1:17" x14ac:dyDescent="0.2">
      <c r="A93" s="20">
        <f t="shared" si="28"/>
        <v>79</v>
      </c>
      <c r="B93" s="23">
        <f>DATEVALUE('Weekly history'!A89)</f>
        <v>45838.0</v>
      </c>
      <c r="C93" s="9">
        <f>'Weekly history'!C89</f>
        <v>178.4</v>
      </c>
      <c r="D93" s="3" t="str">
        <f>IF(A93&gt;105,"Forecast",IF(A93=105,"Excluded partial",IF(A93&gt;$B$7+$B$6,"Final test",IF(A93&gt;$B$7,"Selection","Train"))))</f>
        <v>Selection</v>
      </c>
      <c r="E93" s="9">
        <f>IF(D93="Selection",INDEX($C$15:$C$118,$B$7),IF(D93="Final test",INDEX($C$15:$C$118,$B$7+$B$6),IF(D93="Forecast",INDEX($C$15:$C$118,$B$5),"")))</f>
        <v>381.3</v>
      </c>
      <c r="F93" s="9">
        <f>IF(OR(D93="Selection",D93="Final test",D93="Forecast"),FORECAST(A93,$C$15:INDEX($C$15:$C$118,IF(D93="Selection",$B$7,IF(D93="Final test",$B$7+$B$6,$B$5))),$A$15:INDEX($A$15:$A$118,IF(D93="Selection",$B$7,IF(D93="Final test",$B$7+$B$6,$B$5)))),"")</f>
        <v>307.624109224109</v>
      </c>
      <c r="G93" s="9">
        <f>IF(OR(D93="Selection",D93="Final test",D93="Forecast"),AVERAGE(INDEX($C$15:$C$118,IF(D93="Selection",$B$7,IF(D93="Final test",$B$7+$B$6,$B$5))-$B$9+1):INDEX($C$15:$C$118,IF(D93="Selection",$B$7,IF(D93="Final test",$B$7+$B$6,$B$5)))),"")</f>
        <v>319.215384615385</v>
      </c>
      <c r="H93" s="9">
        <f>IF(OR(D93="Selection",D93="Final test",D93="Forecast"),INDEX($C$15:$C$118,A93-52),"")</f>
        <v>181.3</v>
      </c>
      <c r="I93" s="9">
        <f>IF(OR(D93="Selection",D93="Final test"),ABS(C93-E93),"")</f>
        <v>202.9</v>
      </c>
      <c r="J93" s="9">
        <f>IF(OR(D93="Selection",D93="Final test"),ABS(C93-F93),"")</f>
        <v>129.224109224109</v>
      </c>
      <c r="K93" s="9">
        <f>IF(OR(D93="Selection",D93="Final test"),ABS(C93-G93),"")</f>
        <v>140.815384615385</v>
      </c>
      <c r="L93" s="9">
        <f>IF(OR(D93="Selection",D93="Final test"),ABS(C93-H93),"")</f>
        <v>2.90000000000001</v>
      </c>
      <c r="M93" s="9">
        <f>IF(OR(D93="Selection",D93="Final test",D93="Forecast"),CHOOSE($F$11,E93,F93,G93,H93),"")</f>
        <v>181.3</v>
      </c>
      <c r="N93" s="9">
        <f t="shared" si="39"/>
        <v>94.3413786106816</v>
      </c>
      <c r="O93" s="9">
        <f t="shared" si="40"/>
        <v>268.258621389319</v>
      </c>
      <c r="P93" s="9" t="str">
        <f>IF($D93="Forecast",'Capacity and backlog'!$B$7,"")</f>
        <v/>
      </c>
      <c r="Q93" s="9" t="str">
        <f t="shared" si="41"/>
        <v/>
      </c>
    </row>
    <row r="94" spans="1:17" x14ac:dyDescent="0.2">
      <c r="A94" s="20">
        <f t="shared" si="28"/>
        <v>80</v>
      </c>
      <c r="B94" s="23">
        <f>DATEVALUE('Weekly history'!A90)</f>
        <v>45845.0</v>
      </c>
      <c r="C94" s="9">
        <f>'Weekly history'!C90</f>
        <v>185.6</v>
      </c>
      <c r="D94" s="3" t="str">
        <f>IF(A94&gt;105,"Forecast",IF(A94=105,"Excluded partial",IF(A94&gt;$B$7+$B$6,"Final test",IF(A94&gt;$B$7,"Selection","Train"))))</f>
        <v>Selection</v>
      </c>
      <c r="E94" s="9">
        <f>IF(D94="Selection",INDEX($C$15:$C$118,$B$7),IF(D94="Final test",INDEX($C$15:$C$118,$B$7+$B$6),IF(D94="Forecast",INDEX($C$15:$C$118,$B$5),"")))</f>
        <v>381.3</v>
      </c>
      <c r="F94" s="9">
        <f>IF(OR(D94="Selection",D94="Final test",D94="Forecast"),FORECAST(A94,$C$15:INDEX($C$15:$C$118,IF(D94="Selection",$B$7,IF(D94="Final test",$B$7+$B$6,$B$5))),$A$15:INDEX($A$15:$A$118,IF(D94="Selection",$B$7,IF(D94="Final test",$B$7+$B$6,$B$5)))),"")</f>
        <v>308.58544662089</v>
      </c>
      <c r="G94" s="9">
        <f>IF(OR(D94="Selection",D94="Final test",D94="Forecast"),AVERAGE(INDEX($C$15:$C$118,IF(D94="Selection",$B$7,IF(D94="Final test",$B$7+$B$6,$B$5))-$B$9+1):INDEX($C$15:$C$118,IF(D94="Selection",$B$7,IF(D94="Final test",$B$7+$B$6,$B$5)))),"")</f>
        <v>319.215384615385</v>
      </c>
      <c r="H94" s="9">
        <f>IF(OR(D94="Selection",D94="Final test",D94="Forecast"),INDEX($C$15:$C$118,A94-52),"")</f>
        <v>274</v>
      </c>
      <c r="I94" s="9">
        <f>IF(OR(D94="Selection",D94="Final test"),ABS(C94-E94),"")</f>
        <v>195.7</v>
      </c>
      <c r="J94" s="9">
        <f>IF(OR(D94="Selection",D94="Final test"),ABS(C94-F94),"")</f>
        <v>122.98544662089</v>
      </c>
      <c r="K94" s="9">
        <f>IF(OR(D94="Selection",D94="Final test"),ABS(C94-G94),"")</f>
        <v>133.615384615385</v>
      </c>
      <c r="L94" s="9">
        <f>IF(OR(D94="Selection",D94="Final test"),ABS(C94-H94),"")</f>
        <v>88.4</v>
      </c>
      <c r="M94" s="9">
        <f>IF(OR(D94="Selection",D94="Final test",D94="Forecast"),CHOOSE($F$11,E94,F94,G94,H94),"")</f>
        <v>274</v>
      </c>
      <c r="N94" s="9">
        <f t="shared" si="39"/>
        <v>187.041378610682</v>
      </c>
      <c r="O94" s="9">
        <f t="shared" si="40"/>
        <v>360.958621389318</v>
      </c>
      <c r="P94" s="9" t="str">
        <f>IF($D94="Forecast",'Capacity and backlog'!$B$7,"")</f>
        <v/>
      </c>
      <c r="Q94" s="9" t="str">
        <f t="shared" si="41"/>
        <v/>
      </c>
    </row>
    <row r="95" spans="1:17" x14ac:dyDescent="0.2">
      <c r="A95" s="20">
        <f t="shared" si="28"/>
        <v>81</v>
      </c>
      <c r="B95" s="23">
        <f>DATEVALUE('Weekly history'!A91)</f>
        <v>45852.0</v>
      </c>
      <c r="C95" s="9">
        <f>'Weekly history'!C91</f>
        <v>301.4</v>
      </c>
      <c r="D95" s="3" t="str">
        <f>IF(A95&gt;105,"Forecast",IF(A95=105,"Excluded partial",IF(A95&gt;$B$7+$B$6,"Final test",IF(A95&gt;$B$7,"Selection","Train"))))</f>
        <v>Selection</v>
      </c>
      <c r="E95" s="9">
        <f>IF(D95="Selection",INDEX($C$15:$C$118,$B$7),IF(D95="Final test",INDEX($C$15:$C$118,$B$7+$B$6),IF(D95="Forecast",INDEX($C$15:$C$118,$B$5),"")))</f>
        <v>381.3</v>
      </c>
      <c r="F95" s="9">
        <f>IF(OR(D95="Selection",D95="Final test",D95="Forecast"),FORECAST(A95,$C$15:INDEX($C$15:$C$118,IF(D95="Selection",$B$7,IF(D95="Final test",$B$7+$B$6,$B$5))),$A$15:INDEX($A$15:$A$118,IF(D95="Selection",$B$7,IF(D95="Final test",$B$7+$B$6,$B$5)))),"")</f>
        <v>309.54678401767</v>
      </c>
      <c r="G95" s="9">
        <f>IF(OR(D95="Selection",D95="Final test",D95="Forecast"),AVERAGE(INDEX($C$15:$C$118,IF(D95="Selection",$B$7,IF(D95="Final test",$B$7+$B$6,$B$5))-$B$9+1):INDEX($C$15:$C$118,IF(D95="Selection",$B$7,IF(D95="Final test",$B$7+$B$6,$B$5)))),"")</f>
        <v>319.215384615385</v>
      </c>
      <c r="H95" s="9">
        <f>IF(OR(D95="Selection",D95="Final test",D95="Forecast"),INDEX($C$15:$C$118,A95-52),"")</f>
        <v>333.3</v>
      </c>
      <c r="I95" s="9">
        <f>IF(OR(D95="Selection",D95="Final test"),ABS(C95-E95),"")</f>
        <v>79.9</v>
      </c>
      <c r="J95" s="9">
        <f>IF(OR(D95="Selection",D95="Final test"),ABS(C95-F95),"")</f>
        <v>8.14678401767014</v>
      </c>
      <c r="K95" s="9">
        <f>IF(OR(D95="Selection",D95="Final test"),ABS(C95-G95),"")</f>
        <v>17.8153846153846</v>
      </c>
      <c r="L95" s="9">
        <f>IF(OR(D95="Selection",D95="Final test"),ABS(C95-H95),"")</f>
        <v>31.9</v>
      </c>
      <c r="M95" s="9">
        <f>IF(OR(D95="Selection",D95="Final test",D95="Forecast"),CHOOSE($F$11,E95,F95,G95,H95),"")</f>
        <v>333.3</v>
      </c>
      <c r="N95" s="9">
        <f t="shared" si="39"/>
        <v>246.341378610682</v>
      </c>
      <c r="O95" s="9">
        <f t="shared" si="40"/>
        <v>420.258621389319</v>
      </c>
      <c r="P95" s="9" t="str">
        <f>IF($D95="Forecast",'Capacity and backlog'!$B$7,"")</f>
        <v/>
      </c>
      <c r="Q95" s="9" t="str">
        <f t="shared" si="41"/>
        <v/>
      </c>
    </row>
    <row r="96" spans="1:17" x14ac:dyDescent="0.2">
      <c r="A96" s="20">
        <f t="shared" si="28"/>
        <v>82</v>
      </c>
      <c r="B96" s="23">
        <f>DATEVALUE('Weekly history'!A92)</f>
        <v>45859.0</v>
      </c>
      <c r="C96" s="9">
        <f>'Weekly history'!C92</f>
        <v>280.9</v>
      </c>
      <c r="D96" s="3" t="str">
        <f>IF(A96&gt;105,"Forecast",IF(A96=105,"Excluded partial",IF(A96&gt;$B$7+$B$6,"Final test",IF(A96&gt;$B$7,"Selection","Train"))))</f>
        <v>Selection</v>
      </c>
      <c r="E96" s="9">
        <f>IF(D96="Selection",INDEX($C$15:$C$118,$B$7),IF(D96="Final test",INDEX($C$15:$C$118,$B$7+$B$6),IF(D96="Forecast",INDEX($C$15:$C$118,$B$5),"")))</f>
        <v>381.3</v>
      </c>
      <c r="F96" s="9">
        <f>IF(OR(D96="Selection",D96="Final test",D96="Forecast"),FORECAST(A96,$C$15:INDEX($C$15:$C$118,IF(D96="Selection",$B$7,IF(D96="Final test",$B$7+$B$6,$B$5))),$A$15:INDEX($A$15:$A$118,IF(D96="Selection",$B$7,IF(D96="Final test",$B$7+$B$6,$B$5)))),"")</f>
        <v>310.508121414451</v>
      </c>
      <c r="G96" s="9">
        <f>IF(OR(D96="Selection",D96="Final test",D96="Forecast"),AVERAGE(INDEX($C$15:$C$118,IF(D96="Selection",$B$7,IF(D96="Final test",$B$7+$B$6,$B$5))-$B$9+1):INDEX($C$15:$C$118,IF(D96="Selection",$B$7,IF(D96="Final test",$B$7+$B$6,$B$5)))),"")</f>
        <v>319.215384615385</v>
      </c>
      <c r="H96" s="9">
        <f>IF(OR(D96="Selection",D96="Final test",D96="Forecast"),INDEX($C$15:$C$118,A96-52),"")</f>
        <v>392.2</v>
      </c>
      <c r="I96" s="9">
        <f>IF(OR(D96="Selection",D96="Final test"),ABS(C96-E96),"")</f>
        <v>100.4</v>
      </c>
      <c r="J96" s="9">
        <f>IF(OR(D96="Selection",D96="Final test"),ABS(C96-F96),"")</f>
        <v>29.6081214144506</v>
      </c>
      <c r="K96" s="9">
        <f>IF(OR(D96="Selection",D96="Final test"),ABS(C96-G96),"")</f>
        <v>38.3153846153846</v>
      </c>
      <c r="L96" s="9">
        <f>IF(OR(D96="Selection",D96="Final test"),ABS(C96-H96),"")</f>
        <v>111.3</v>
      </c>
      <c r="M96" s="9">
        <f>IF(OR(D96="Selection",D96="Final test",D96="Forecast"),CHOOSE($F$11,E96,F96,G96,H96),"")</f>
        <v>392.2</v>
      </c>
      <c r="N96" s="9">
        <f t="shared" si="39"/>
        <v>305.241378610682</v>
      </c>
      <c r="O96" s="9">
        <f t="shared" si="40"/>
        <v>479.158621389318</v>
      </c>
      <c r="P96" s="9" t="str">
        <f>IF($D96="Forecast",'Capacity and backlog'!$B$7,"")</f>
        <v/>
      </c>
      <c r="Q96" s="9" t="str">
        <f t="shared" si="41"/>
        <v/>
      </c>
    </row>
    <row r="97" spans="1:17" x14ac:dyDescent="0.2">
      <c r="A97" s="20">
        <f t="shared" si="28"/>
        <v>83</v>
      </c>
      <c r="B97" s="23">
        <f>DATEVALUE('Weekly history'!A93)</f>
        <v>45866.0</v>
      </c>
      <c r="C97" s="9">
        <f>'Weekly history'!C93</f>
        <v>162.2</v>
      </c>
      <c r="D97" s="3" t="str">
        <f>IF(A97&gt;105,"Forecast",IF(A97=105,"Excluded partial",IF(A97&gt;$B$7+$B$6,"Final test",IF(A97&gt;$B$7,"Selection","Train"))))</f>
        <v>Selection</v>
      </c>
      <c r="E97" s="9">
        <f>IF(D97="Selection",INDEX($C$15:$C$118,$B$7),IF(D97="Final test",INDEX($C$15:$C$118,$B$7+$B$6),IF(D97="Forecast",INDEX($C$15:$C$118,$B$5),"")))</f>
        <v>381.3</v>
      </c>
      <c r="F97" s="9">
        <f>IF(OR(D97="Selection",D97="Final test",D97="Forecast"),FORECAST(A97,$C$15:INDEX($C$15:$C$118,IF(D97="Selection",$B$7,IF(D97="Final test",$B$7+$B$6,$B$5))),$A$15:INDEX($A$15:$A$118,IF(D97="Selection",$B$7,IF(D97="Final test",$B$7+$B$6,$B$5)))),"")</f>
        <v>311.469458811231</v>
      </c>
      <c r="G97" s="9">
        <f>IF(OR(D97="Selection",D97="Final test",D97="Forecast"),AVERAGE(INDEX($C$15:$C$118,IF(D97="Selection",$B$7,IF(D97="Final test",$B$7+$B$6,$B$5))-$B$9+1):INDEX($C$15:$C$118,IF(D97="Selection",$B$7,IF(D97="Final test",$B$7+$B$6,$B$5)))),"")</f>
        <v>319.215384615385</v>
      </c>
      <c r="H97" s="9">
        <f>IF(OR(D97="Selection",D97="Final test",D97="Forecast"),INDEX($C$15:$C$118,A97-52),"")</f>
        <v>194.6</v>
      </c>
      <c r="I97" s="9">
        <f>IF(OR(D97="Selection",D97="Final test"),ABS(C97-E97),"")</f>
        <v>219.1</v>
      </c>
      <c r="J97" s="9">
        <f>IF(OR(D97="Selection",D97="Final test"),ABS(C97-F97),"")</f>
        <v>149.269458811231</v>
      </c>
      <c r="K97" s="9">
        <f>IF(OR(D97="Selection",D97="Final test"),ABS(C97-G97),"")</f>
        <v>157.015384615385</v>
      </c>
      <c r="L97" s="9">
        <f>IF(OR(D97="Selection",D97="Final test"),ABS(C97-H97),"")</f>
        <v>32.4</v>
      </c>
      <c r="M97" s="9">
        <f>IF(OR(D97="Selection",D97="Final test",D97="Forecast"),CHOOSE($F$11,E97,F97,G97,H97),"")</f>
        <v>194.6</v>
      </c>
      <c r="N97" s="9">
        <f t="shared" si="39"/>
        <v>107.641378610682</v>
      </c>
      <c r="O97" s="9">
        <f t="shared" si="40"/>
        <v>281.558621389318</v>
      </c>
      <c r="P97" s="9" t="str">
        <f>IF($D97="Forecast",'Capacity and backlog'!$B$7,"")</f>
        <v/>
      </c>
      <c r="Q97" s="9" t="str">
        <f t="shared" si="41"/>
        <v/>
      </c>
    </row>
    <row r="98" spans="1:17" x14ac:dyDescent="0.2">
      <c r="A98" s="20">
        <f t="shared" si="28"/>
        <v>84</v>
      </c>
      <c r="B98" s="23">
        <f>DATEVALUE('Weekly history'!A94)</f>
        <v>45873.0</v>
      </c>
      <c r="C98" s="9">
        <f>'Weekly history'!C94</f>
        <v>342.7</v>
      </c>
      <c r="D98" s="3" t="str">
        <f>IF(A98&gt;105,"Forecast",IF(A98=105,"Excluded partial",IF(A98&gt;$B$7+$B$6,"Final test",IF(A98&gt;$B$7,"Selection","Train"))))</f>
        <v>Selection</v>
      </c>
      <c r="E98" s="9">
        <f>IF(D98="Selection",INDEX($C$15:$C$118,$B$7),IF(D98="Final test",INDEX($C$15:$C$118,$B$7+$B$6),IF(D98="Forecast",INDEX($C$15:$C$118,$B$5),"")))</f>
        <v>381.3</v>
      </c>
      <c r="F98" s="9">
        <f>IF(OR(D98="Selection",D98="Final test",D98="Forecast"),FORECAST(A98,$C$15:INDEX($C$15:$C$118,IF(D98="Selection",$B$7,IF(D98="Final test",$B$7+$B$6,$B$5))),$A$15:INDEX($A$15:$A$118,IF(D98="Selection",$B$7,IF(D98="Final test",$B$7+$B$6,$B$5)))),"")</f>
        <v>312.430796208011</v>
      </c>
      <c r="G98" s="9">
        <f>IF(OR(D98="Selection",D98="Final test",D98="Forecast"),AVERAGE(INDEX($C$15:$C$118,IF(D98="Selection",$B$7,IF(D98="Final test",$B$7+$B$6,$B$5))-$B$9+1):INDEX($C$15:$C$118,IF(D98="Selection",$B$7,IF(D98="Final test",$B$7+$B$6,$B$5)))),"")</f>
        <v>319.215384615385</v>
      </c>
      <c r="H98" s="9">
        <f>IF(OR(D98="Selection",D98="Final test",D98="Forecast"),INDEX($C$15:$C$118,A98-52),"")</f>
        <v>197.7</v>
      </c>
      <c r="I98" s="9">
        <f>IF(OR(D98="Selection",D98="Final test"),ABS(C98-E98),"")</f>
        <v>38.6</v>
      </c>
      <c r="J98" s="9">
        <f>IF(OR(D98="Selection",D98="Final test"),ABS(C98-F98),"")</f>
        <v>30.2692037919886</v>
      </c>
      <c r="K98" s="9">
        <f>IF(OR(D98="Selection",D98="Final test"),ABS(C98-G98),"")</f>
        <v>23.4846153846154</v>
      </c>
      <c r="L98" s="9">
        <f>IF(OR(D98="Selection",D98="Final test"),ABS(C98-H98),"")</f>
        <v>145</v>
      </c>
      <c r="M98" s="9">
        <f>IF(OR(D98="Selection",D98="Final test",D98="Forecast"),CHOOSE($F$11,E98,F98,G98,H98),"")</f>
        <v>197.7</v>
      </c>
      <c r="N98" s="9">
        <f t="shared" si="39"/>
        <v>110.741378610682</v>
      </c>
      <c r="O98" s="9">
        <f t="shared" si="40"/>
        <v>284.658621389318</v>
      </c>
      <c r="P98" s="9" t="str">
        <f>IF($D98="Forecast",'Capacity and backlog'!$B$7,"")</f>
        <v/>
      </c>
      <c r="Q98" s="9" t="str">
        <f t="shared" si="41"/>
        <v/>
      </c>
    </row>
    <row r="99" spans="1:17" x14ac:dyDescent="0.2">
      <c r="A99" s="20">
        <f t="shared" si="28"/>
        <v>85</v>
      </c>
      <c r="B99" s="23">
        <f>DATEVALUE('Weekly history'!A95)</f>
        <v>45880.0</v>
      </c>
      <c r="C99" s="9">
        <f>'Weekly history'!C95</f>
        <v>267.2</v>
      </c>
      <c r="D99" s="3" t="str">
        <f>IF(A99&gt;105,"Forecast",IF(A99=105,"Excluded partial",IF(A99&gt;$B$7+$B$6,"Final test",IF(A99&gt;$B$7,"Selection","Train"))))</f>
        <v>Selection</v>
      </c>
      <c r="E99" s="9">
        <f>IF(D99="Selection",INDEX($C$15:$C$118,$B$7),IF(D99="Final test",INDEX($C$15:$C$118,$B$7+$B$6),IF(D99="Forecast",INDEX($C$15:$C$118,$B$5),"")))</f>
        <v>381.3</v>
      </c>
      <c r="F99" s="9">
        <f>IF(OR(D99="Selection",D99="Final test",D99="Forecast"),FORECAST(A99,$C$15:INDEX($C$15:$C$118,IF(D99="Selection",$B$7,IF(D99="Final test",$B$7+$B$6,$B$5))),$A$15:INDEX($A$15:$A$118,IF(D99="Selection",$B$7,IF(D99="Final test",$B$7+$B$6,$B$5)))),"")</f>
        <v>313.392133604792</v>
      </c>
      <c r="G99" s="9">
        <f>IF(OR(D99="Selection",D99="Final test",D99="Forecast"),AVERAGE(INDEX($C$15:$C$118,IF(D99="Selection",$B$7,IF(D99="Final test",$B$7+$B$6,$B$5))-$B$9+1):INDEX($C$15:$C$118,IF(D99="Selection",$B$7,IF(D99="Final test",$B$7+$B$6,$B$5)))),"")</f>
        <v>319.215384615385</v>
      </c>
      <c r="H99" s="9">
        <f>IF(OR(D99="Selection",D99="Final test",D99="Forecast"),INDEX($C$15:$C$118,A99-52),"")</f>
        <v>218.7</v>
      </c>
      <c r="I99" s="9">
        <f>IF(OR(D99="Selection",D99="Final test"),ABS(C99-E99),"")</f>
        <v>114.1</v>
      </c>
      <c r="J99" s="9">
        <f>IF(OR(D99="Selection",D99="Final test"),ABS(C99-F99),"")</f>
        <v>46.1921336047919</v>
      </c>
      <c r="K99" s="9">
        <f>IF(OR(D99="Selection",D99="Final test"),ABS(C99-G99),"")</f>
        <v>52.0153846153846</v>
      </c>
      <c r="L99" s="9">
        <f>IF(OR(D99="Selection",D99="Final test"),ABS(C99-H99),"")</f>
        <v>48.5</v>
      </c>
      <c r="M99" s="9">
        <f>IF(OR(D99="Selection",D99="Final test",D99="Forecast"),CHOOSE($F$11,E99,F99,G99,H99),"")</f>
        <v>218.7</v>
      </c>
      <c r="N99" s="9">
        <f t="shared" si="39"/>
        <v>131.741378610682</v>
      </c>
      <c r="O99" s="9">
        <f t="shared" si="40"/>
        <v>305.658621389318</v>
      </c>
      <c r="P99" s="9" t="str">
        <f>IF($D99="Forecast",'Capacity and backlog'!$B$7,"")</f>
        <v/>
      </c>
      <c r="Q99" s="9" t="str">
        <f t="shared" si="41"/>
        <v/>
      </c>
    </row>
    <row r="100" spans="1:17" x14ac:dyDescent="0.2">
      <c r="A100" s="20">
        <f t="shared" si="28"/>
        <v>86</v>
      </c>
      <c r="B100" s="23">
        <f>DATEVALUE('Weekly history'!A96)</f>
        <v>45887.0</v>
      </c>
      <c r="C100" s="9">
        <f>'Weekly history'!C96</f>
        <v>298.9</v>
      </c>
      <c r="D100" s="3" t="str">
        <f>IF(A100&gt;105,"Forecast",IF(A100=105,"Excluded partial",IF(A100&gt;$B$7+$B$6,"Final test",IF(A100&gt;$B$7,"Selection","Train"))))</f>
        <v>Selection</v>
      </c>
      <c r="E100" s="9">
        <f>IF(D100="Selection",INDEX($C$15:$C$118,$B$7),IF(D100="Final test",INDEX($C$15:$C$118,$B$7+$B$6),IF(D100="Forecast",INDEX($C$15:$C$118,$B$5),"")))</f>
        <v>381.3</v>
      </c>
      <c r="F100" s="9">
        <f>IF(OR(D100="Selection",D100="Final test",D100="Forecast"),FORECAST(A100,$C$15:INDEX($C$15:$C$118,IF(D100="Selection",$B$7,IF(D100="Final test",$B$7+$B$6,$B$5))),$A$15:INDEX($A$15:$A$118,IF(D100="Selection",$B$7,IF(D100="Final test",$B$7+$B$6,$B$5)))),"")</f>
        <v>314.353471001572</v>
      </c>
      <c r="G100" s="9">
        <f>IF(OR(D100="Selection",D100="Final test",D100="Forecast"),AVERAGE(INDEX($C$15:$C$118,IF(D100="Selection",$B$7,IF(D100="Final test",$B$7+$B$6,$B$5))-$B$9+1):INDEX($C$15:$C$118,IF(D100="Selection",$B$7,IF(D100="Final test",$B$7+$B$6,$B$5)))),"")</f>
        <v>319.215384615385</v>
      </c>
      <c r="H100" s="9">
        <f>IF(OR(D100="Selection",D100="Final test",D100="Forecast"),INDEX($C$15:$C$118,A100-52),"")</f>
        <v>217</v>
      </c>
      <c r="I100" s="9">
        <f>IF(OR(D100="Selection",D100="Final test"),ABS(C100-E100),"")</f>
        <v>82.4</v>
      </c>
      <c r="J100" s="9">
        <f>IF(OR(D100="Selection",D100="Final test"),ABS(C100-F100),"")</f>
        <v>15.4534710015723</v>
      </c>
      <c r="K100" s="9">
        <f>IF(OR(D100="Selection",D100="Final test"),ABS(C100-G100),"")</f>
        <v>20.3153846153846</v>
      </c>
      <c r="L100" s="9">
        <f>IF(OR(D100="Selection",D100="Final test"),ABS(C100-H100),"")</f>
        <v>81.9</v>
      </c>
      <c r="M100" s="9">
        <f>IF(OR(D100="Selection",D100="Final test",D100="Forecast"),CHOOSE($F$11,E100,F100,G100,H100),"")</f>
        <v>217</v>
      </c>
      <c r="N100" s="9">
        <f t="shared" si="39"/>
        <v>130.041378610682</v>
      </c>
      <c r="O100" s="9">
        <f t="shared" si="40"/>
        <v>303.958621389318</v>
      </c>
      <c r="P100" s="9" t="str">
        <f>IF($D100="Forecast",'Capacity and backlog'!$B$7,"")</f>
        <v/>
      </c>
      <c r="Q100" s="9" t="str">
        <f t="shared" si="41"/>
        <v/>
      </c>
    </row>
    <row r="101" spans="1:17" x14ac:dyDescent="0.2">
      <c r="A101" s="20">
        <f t="shared" si="28"/>
        <v>87</v>
      </c>
      <c r="B101" s="23">
        <f>DATEVALUE('Weekly history'!A97)</f>
        <v>45894.0</v>
      </c>
      <c r="C101" s="9">
        <f>'Weekly history'!C97</f>
        <v>194.4</v>
      </c>
      <c r="D101" s="3" t="str">
        <f>IF(A101&gt;105,"Forecast",IF(A101=105,"Excluded partial",IF(A101&gt;$B$7+$B$6,"Final test",IF(A101&gt;$B$7,"Selection","Train"))))</f>
        <v>Selection</v>
      </c>
      <c r="E101" s="9">
        <f>IF(D101="Selection",INDEX($C$15:$C$118,$B$7),IF(D101="Final test",INDEX($C$15:$C$118,$B$7+$B$6),IF(D101="Forecast",INDEX($C$15:$C$118,$B$5),"")))</f>
        <v>381.3</v>
      </c>
      <c r="F101" s="9">
        <f>IF(OR(D101="Selection",D101="Final test",D101="Forecast"),FORECAST(A101,$C$15:INDEX($C$15:$C$118,IF(D101="Selection",$B$7,IF(D101="Final test",$B$7+$B$6,$B$5))),$A$15:INDEX($A$15:$A$118,IF(D101="Selection",$B$7,IF(D101="Final test",$B$7+$B$6,$B$5)))),"")</f>
        <v>315.314808398353</v>
      </c>
      <c r="G101" s="9">
        <f>IF(OR(D101="Selection",D101="Final test",D101="Forecast"),AVERAGE(INDEX($C$15:$C$118,IF(D101="Selection",$B$7,IF(D101="Final test",$B$7+$B$6,$B$5))-$B$9+1):INDEX($C$15:$C$118,IF(D101="Selection",$B$7,IF(D101="Final test",$B$7+$B$6,$B$5)))),"")</f>
        <v>319.215384615385</v>
      </c>
      <c r="H101" s="9">
        <f>IF(OR(D101="Selection",D101="Final test",D101="Forecast"),INDEX($C$15:$C$118,A101-52),"")</f>
        <v>261.8</v>
      </c>
      <c r="I101" s="9">
        <f>IF(OR(D101="Selection",D101="Final test"),ABS(C101-E101),"")</f>
        <v>186.9</v>
      </c>
      <c r="J101" s="9">
        <f>IF(OR(D101="Selection",D101="Final test"),ABS(C101-F101),"")</f>
        <v>120.914808398353</v>
      </c>
      <c r="K101" s="9">
        <f>IF(OR(D101="Selection",D101="Final test"),ABS(C101-G101),"")</f>
        <v>124.815384615385</v>
      </c>
      <c r="L101" s="9">
        <f>IF(OR(D101="Selection",D101="Final test"),ABS(C101-H101),"")</f>
        <v>67.4</v>
      </c>
      <c r="M101" s="9">
        <f>IF(OR(D101="Selection",D101="Final test",D101="Forecast"),CHOOSE($F$11,E101,F101,G101,H101),"")</f>
        <v>261.8</v>
      </c>
      <c r="N101" s="9">
        <f t="shared" si="39"/>
        <v>174.841378610682</v>
      </c>
      <c r="O101" s="9">
        <f t="shared" si="40"/>
        <v>348.758621389319</v>
      </c>
      <c r="P101" s="9" t="str">
        <f>IF($D101="Forecast",'Capacity and backlog'!$B$7,"")</f>
        <v/>
      </c>
      <c r="Q101" s="9" t="str">
        <f t="shared" si="41"/>
        <v/>
      </c>
    </row>
    <row r="102" spans="1:17" x14ac:dyDescent="0.2">
      <c r="A102" s="20">
        <f t="shared" si="28"/>
        <v>88</v>
      </c>
      <c r="B102" s="23">
        <f>DATEVALUE('Weekly history'!A98)</f>
        <v>45901.0</v>
      </c>
      <c r="C102" s="9">
        <f>'Weekly history'!C98</f>
        <v>256.9</v>
      </c>
      <c r="D102" s="3" t="str">
        <f>IF(A102&gt;105,"Forecast",IF(A102=105,"Excluded partial",IF(A102&gt;$B$7+$B$6,"Final test",IF(A102&gt;$B$7,"Selection","Train"))))</f>
        <v>Selection</v>
      </c>
      <c r="E102" s="9">
        <f>IF(D102="Selection",INDEX($C$15:$C$118,$B$7),IF(D102="Final test",INDEX($C$15:$C$118,$B$7+$B$6),IF(D102="Forecast",INDEX($C$15:$C$118,$B$5),"")))</f>
        <v>381.3</v>
      </c>
      <c r="F102" s="9">
        <f>IF(OR(D102="Selection",D102="Final test",D102="Forecast"),FORECAST(A102,$C$15:INDEX($C$15:$C$118,IF(D102="Selection",$B$7,IF(D102="Final test",$B$7+$B$6,$B$5))),$A$15:INDEX($A$15:$A$118,IF(D102="Selection",$B$7,IF(D102="Final test",$B$7+$B$6,$B$5)))),"")</f>
        <v>316.276145795133</v>
      </c>
      <c r="G102" s="9">
        <f>IF(OR(D102="Selection",D102="Final test",D102="Forecast"),AVERAGE(INDEX($C$15:$C$118,IF(D102="Selection",$B$7,IF(D102="Final test",$B$7+$B$6,$B$5))-$B$9+1):INDEX($C$15:$C$118,IF(D102="Selection",$B$7,IF(D102="Final test",$B$7+$B$6,$B$5)))),"")</f>
        <v>319.215384615385</v>
      </c>
      <c r="H102" s="9">
        <f>IF(OR(D102="Selection",D102="Final test",D102="Forecast"),INDEX($C$15:$C$118,A102-52),"")</f>
        <v>251.5</v>
      </c>
      <c r="I102" s="9">
        <f>IF(OR(D102="Selection",D102="Final test"),ABS(C102-E102),"")</f>
        <v>124.4</v>
      </c>
      <c r="J102" s="9">
        <f>IF(OR(D102="Selection",D102="Final test"),ABS(C102-F102),"")</f>
        <v>59.3761457951332</v>
      </c>
      <c r="K102" s="9">
        <f>IF(OR(D102="Selection",D102="Final test"),ABS(C102-G102),"")</f>
        <v>62.3153846153846</v>
      </c>
      <c r="L102" s="9">
        <f>IF(OR(D102="Selection",D102="Final test"),ABS(C102-H102),"")</f>
        <v>5.39999999999998</v>
      </c>
      <c r="M102" s="9">
        <f>IF(OR(D102="Selection",D102="Final test",D102="Forecast"),CHOOSE($F$11,E102,F102,G102,H102),"")</f>
        <v>251.5</v>
      </c>
      <c r="N102" s="9">
        <f t="shared" si="39"/>
        <v>164.541378610682</v>
      </c>
      <c r="O102" s="9">
        <f t="shared" si="40"/>
        <v>338.458621389318</v>
      </c>
      <c r="P102" s="9" t="str">
        <f>IF($D102="Forecast",'Capacity and backlog'!$B$7,"")</f>
        <v/>
      </c>
      <c r="Q102" s="9" t="str">
        <f t="shared" si="41"/>
        <v/>
      </c>
    </row>
    <row r="103" spans="1:17" x14ac:dyDescent="0.2">
      <c r="A103" s="20">
        <f t="shared" si="28"/>
        <v>89</v>
      </c>
      <c r="B103" s="23">
        <f>DATEVALUE('Weekly history'!A99)</f>
        <v>45908.0</v>
      </c>
      <c r="C103" s="9">
        <f>'Weekly history'!C99</f>
        <v>281.3</v>
      </c>
      <c r="D103" s="3" t="str">
        <f>IF(A103&gt;105,"Forecast",IF(A103=105,"Excluded partial",IF(A103&gt;$B$7+$B$6,"Final test",IF(A103&gt;$B$7,"Selection","Train"))))</f>
        <v>Selection</v>
      </c>
      <c r="E103" s="9">
        <f>IF(D103="Selection",INDEX($C$15:$C$118,$B$7),IF(D103="Final test",INDEX($C$15:$C$118,$B$7+$B$6),IF(D103="Forecast",INDEX($C$15:$C$118,$B$5),"")))</f>
        <v>381.3</v>
      </c>
      <c r="F103" s="9">
        <f>IF(OR(D103="Selection",D103="Final test",D103="Forecast"),FORECAST(A103,$C$15:INDEX($C$15:$C$118,IF(D103="Selection",$B$7,IF(D103="Final test",$B$7+$B$6,$B$5))),$A$15:INDEX($A$15:$A$118,IF(D103="Selection",$B$7,IF(D103="Final test",$B$7+$B$6,$B$5)))),"")</f>
        <v>317.237483191914</v>
      </c>
      <c r="G103" s="9">
        <f>IF(OR(D103="Selection",D103="Final test",D103="Forecast"),AVERAGE(INDEX($C$15:$C$118,IF(D103="Selection",$B$7,IF(D103="Final test",$B$7+$B$6,$B$5))-$B$9+1):INDEX($C$15:$C$118,IF(D103="Selection",$B$7,IF(D103="Final test",$B$7+$B$6,$B$5)))),"")</f>
        <v>319.215384615385</v>
      </c>
      <c r="H103" s="9">
        <f>IF(OR(D103="Selection",D103="Final test",D103="Forecast"),INDEX($C$15:$C$118,A103-52),"")</f>
        <v>206.5</v>
      </c>
      <c r="I103" s="9">
        <f>IF(OR(D103="Selection",D103="Final test"),ABS(C103-E103),"")</f>
        <v>100</v>
      </c>
      <c r="J103" s="9">
        <f>IF(OR(D103="Selection",D103="Final test"),ABS(C103-F103),"")</f>
        <v>35.9374831919136</v>
      </c>
      <c r="K103" s="9">
        <f>IF(OR(D103="Selection",D103="Final test"),ABS(C103-G103),"")</f>
        <v>37.9153846153846</v>
      </c>
      <c r="L103" s="9">
        <f>IF(OR(D103="Selection",D103="Final test"),ABS(C103-H103),"")</f>
        <v>74.8</v>
      </c>
      <c r="M103" s="9">
        <f>IF(OR(D103="Selection",D103="Final test",D103="Forecast"),CHOOSE($F$11,E103,F103,G103,H103),"")</f>
        <v>206.5</v>
      </c>
      <c r="N103" s="9">
        <f t="shared" si="39"/>
        <v>119.541378610682</v>
      </c>
      <c r="O103" s="9">
        <f t="shared" si="40"/>
        <v>293.458621389318</v>
      </c>
      <c r="P103" s="9" t="str">
        <f>IF($D103="Forecast",'Capacity and backlog'!$B$7,"")</f>
        <v/>
      </c>
      <c r="Q103" s="9" t="str">
        <f t="shared" si="41"/>
        <v/>
      </c>
    </row>
    <row r="104" spans="1:17" x14ac:dyDescent="0.2">
      <c r="A104" s="20">
        <f t="shared" si="28"/>
        <v>90</v>
      </c>
      <c r="B104" s="23">
        <f>DATEVALUE('Weekly history'!A100)</f>
        <v>45915.0</v>
      </c>
      <c r="C104" s="9">
        <f>'Weekly history'!C100</f>
        <v>218.3</v>
      </c>
      <c r="D104" s="3" t="str">
        <f>IF(A104&gt;105,"Forecast",IF(A104=105,"Excluded partial",IF(A104&gt;$B$7+$B$6,"Final test",IF(A104&gt;$B$7,"Selection","Train"))))</f>
        <v>Selection</v>
      </c>
      <c r="E104" s="9">
        <f>IF(D104="Selection",INDEX($C$15:$C$118,$B$7),IF(D104="Final test",INDEX($C$15:$C$118,$B$7+$B$6),IF(D104="Forecast",INDEX($C$15:$C$118,$B$5),"")))</f>
        <v>381.3</v>
      </c>
      <c r="F104" s="9">
        <f>IF(OR(D104="Selection",D104="Final test",D104="Forecast"),FORECAST(A104,$C$15:INDEX($C$15:$C$118,IF(D104="Selection",$B$7,IF(D104="Final test",$B$7+$B$6,$B$5))),$A$15:INDEX($A$15:$A$118,IF(D104="Selection",$B$7,IF(D104="Final test",$B$7+$B$6,$B$5)))),"")</f>
        <v>318.198820588694</v>
      </c>
      <c r="G104" s="9">
        <f>IF(OR(D104="Selection",D104="Final test",D104="Forecast"),AVERAGE(INDEX($C$15:$C$118,IF(D104="Selection",$B$7,IF(D104="Final test",$B$7+$B$6,$B$5))-$B$9+1):INDEX($C$15:$C$118,IF(D104="Selection",$B$7,IF(D104="Final test",$B$7+$B$6,$B$5)))),"")</f>
        <v>319.215384615385</v>
      </c>
      <c r="H104" s="9">
        <f>IF(OR(D104="Selection",D104="Final test",D104="Forecast"),INDEX($C$15:$C$118,A104-52),"")</f>
        <v>174.5</v>
      </c>
      <c r="I104" s="9">
        <f>IF(OR(D104="Selection",D104="Final test"),ABS(C104-E104),"")</f>
        <v>163</v>
      </c>
      <c r="J104" s="9">
        <f>IF(OR(D104="Selection",D104="Final test"),ABS(C104-F104),"")</f>
        <v>99.898820588694</v>
      </c>
      <c r="K104" s="9">
        <f>IF(OR(D104="Selection",D104="Final test"),ABS(C104-G104),"")</f>
        <v>100.915384615385</v>
      </c>
      <c r="L104" s="9">
        <f>IF(OR(D104="Selection",D104="Final test"),ABS(C104-H104),"")</f>
        <v>43.8</v>
      </c>
      <c r="M104" s="9">
        <f>IF(OR(D104="Selection",D104="Final test",D104="Forecast"),CHOOSE($F$11,E104,F104,G104,H104),"")</f>
        <v>174.5</v>
      </c>
      <c r="N104" s="9">
        <f t="shared" si="39"/>
        <v>87.5413786106816</v>
      </c>
      <c r="O104" s="9">
        <f t="shared" si="40"/>
        <v>261.458621389318</v>
      </c>
      <c r="P104" s="9" t="str">
        <f>IF($D104="Forecast",'Capacity and backlog'!$B$7,"")</f>
        <v/>
      </c>
      <c r="Q104" s="9" t="str">
        <f t="shared" si="41"/>
        <v/>
      </c>
    </row>
    <row r="105" spans="1:17" x14ac:dyDescent="0.2">
      <c r="A105" s="20">
        <f t="shared" si="28"/>
        <v>91</v>
      </c>
      <c r="B105" s="23">
        <f>DATEVALUE('Weekly history'!A101)</f>
        <v>45922.0</v>
      </c>
      <c r="C105" s="9">
        <f>'Weekly history'!C101</f>
        <v>243</v>
      </c>
      <c r="D105" s="3" t="str">
        <f>IF(A105&gt;105,"Forecast",IF(A105=105,"Excluded partial",IF(A105&gt;$B$7+$B$6,"Final test",IF(A105&gt;$B$7,"Selection","Train"))))</f>
        <v>Selection</v>
      </c>
      <c r="E105" s="9">
        <f>IF(D105="Selection",INDEX($C$15:$C$118,$B$7),IF(D105="Final test",INDEX($C$15:$C$118,$B$7+$B$6),IF(D105="Forecast",INDEX($C$15:$C$118,$B$5),"")))</f>
        <v>381.3</v>
      </c>
      <c r="F105" s="9">
        <f>IF(OR(D105="Selection",D105="Final test",D105="Forecast"),FORECAST(A105,$C$15:INDEX($C$15:$C$118,IF(D105="Selection",$B$7,IF(D105="Final test",$B$7+$B$6,$B$5))),$A$15:INDEX($A$15:$A$118,IF(D105="Selection",$B$7,IF(D105="Final test",$B$7+$B$6,$B$5)))),"")</f>
        <v>319.160157985474</v>
      </c>
      <c r="G105" s="9">
        <f>IF(OR(D105="Selection",D105="Final test",D105="Forecast"),AVERAGE(INDEX($C$15:$C$118,IF(D105="Selection",$B$7,IF(D105="Final test",$B$7+$B$6,$B$5))-$B$9+1):INDEX($C$15:$C$118,IF(D105="Selection",$B$7,IF(D105="Final test",$B$7+$B$6,$B$5)))),"")</f>
        <v>319.215384615385</v>
      </c>
      <c r="H105" s="9">
        <f>IF(OR(D105="Selection",D105="Final test",D105="Forecast"),INDEX($C$15:$C$118,A105-52),"")</f>
        <v>144.5</v>
      </c>
      <c r="I105" s="9">
        <f>IF(OR(D105="Selection",D105="Final test"),ABS(C105-E105),"")</f>
        <v>138.3</v>
      </c>
      <c r="J105" s="9">
        <f>IF(OR(D105="Selection",D105="Final test"),ABS(C105-F105),"")</f>
        <v>76.1601579854744</v>
      </c>
      <c r="K105" s="9">
        <f>IF(OR(D105="Selection",D105="Final test"),ABS(C105-G105),"")</f>
        <v>76.2153846153846</v>
      </c>
      <c r="L105" s="9">
        <f>IF(OR(D105="Selection",D105="Final test"),ABS(C105-H105),"")</f>
        <v>98.5</v>
      </c>
      <c r="M105" s="9">
        <f>IF(OR(D105="Selection",D105="Final test",D105="Forecast"),CHOOSE($F$11,E105,F105,G105,H105),"")</f>
        <v>144.5</v>
      </c>
      <c r="N105" s="9">
        <f t="shared" si="39"/>
        <v>57.5413786106816</v>
      </c>
      <c r="O105" s="9">
        <f t="shared" si="40"/>
        <v>231.458621389318</v>
      </c>
      <c r="P105" s="9" t="str">
        <f>IF($D105="Forecast",'Capacity and backlog'!$B$7,"")</f>
        <v/>
      </c>
      <c r="Q105" s="9" t="str">
        <f t="shared" si="41"/>
        <v/>
      </c>
    </row>
    <row r="106" spans="1:17" x14ac:dyDescent="0.2">
      <c r="A106" s="20">
        <f t="shared" si="28"/>
        <v>92</v>
      </c>
      <c r="B106" s="23">
        <f>DATEVALUE('Weekly history'!A102)</f>
        <v>45929.0</v>
      </c>
      <c r="C106" s="9">
        <f>'Weekly history'!C102</f>
        <v>150.8</v>
      </c>
      <c r="D106" s="3" t="str">
        <f>IF(A106&gt;105,"Forecast",IF(A106=105,"Excluded partial",IF(A106&gt;$B$7+$B$6,"Final test",IF(A106&gt;$B$7,"Selection","Train"))))</f>
        <v>Final test</v>
      </c>
      <c r="E106" s="9">
        <f>IF(D106="Selection",INDEX($C$15:$C$118,$B$7),IF(D106="Final test",INDEX($C$15:$C$118,$B$7+$B$6),IF(D106="Forecast",INDEX($C$15:$C$118,$B$5),"")))</f>
        <v>243</v>
      </c>
      <c r="F106" s="9">
        <f>IF(OR(D106="Selection",D106="Final test",D106="Forecast"),FORECAST(A106,$C$15:INDEX($C$15:$C$118,IF(D106="Selection",$B$7,IF(D106="Final test",$B$7+$B$6,$B$5))),$A$15:INDEX($A$15:$A$118,IF(D106="Selection",$B$7,IF(D106="Final test",$B$7+$B$6,$B$5)))),"")</f>
        <v>286.163882783883</v>
      </c>
      <c r="G106" s="9">
        <f>IF(OR(D106="Selection",D106="Final test",D106="Forecast"),AVERAGE(INDEX($C$15:$C$118,IF(D106="Selection",$B$7,IF(D106="Final test",$B$7+$B$6,$B$5))-$B$9+1):INDEX($C$15:$C$118,IF(D106="Selection",$B$7,IF(D106="Final test",$B$7+$B$6,$B$5)))),"")</f>
        <v>247.015384615385</v>
      </c>
      <c r="H106" s="9">
        <f>IF(OR(D106="Selection",D106="Final test",D106="Forecast"),INDEX($C$15:$C$118,A106-52),"")</f>
        <v>191.8</v>
      </c>
      <c r="I106" s="9">
        <f>IF(OR(D106="Selection",D106="Final test"),ABS(C106-E106),"")</f>
        <v>92.2</v>
      </c>
      <c r="J106" s="9">
        <f>IF(OR(D106="Selection",D106="Final test"),ABS(C106-F106),"")</f>
        <v>135.363882783883</v>
      </c>
      <c r="K106" s="9">
        <f>IF(OR(D106="Selection",D106="Final test"),ABS(C106-G106),"")</f>
        <v>96.2153846153846</v>
      </c>
      <c r="L106" s="9">
        <f>IF(OR(D106="Selection",D106="Final test"),ABS(C106-H106),"")</f>
        <v>41</v>
      </c>
      <c r="M106" s="9">
        <f>IF(OR(D106="Selection",D106="Final test",D106="Forecast"),CHOOSE($F$11,E106,F106,G106,H106),"")</f>
        <v>191.8</v>
      </c>
      <c r="N106" s="9">
        <f t="shared" si="39"/>
        <v>104.841378610682</v>
      </c>
      <c r="O106" s="9">
        <f t="shared" si="40"/>
        <v>278.758621389319</v>
      </c>
      <c r="P106" s="9" t="str">
        <f>IF($D106="Forecast",'Capacity and backlog'!$B$7,"")</f>
        <v/>
      </c>
      <c r="Q106" s="9" t="str">
        <f t="shared" si="41"/>
        <v/>
      </c>
    </row>
    <row r="107" spans="1:17" x14ac:dyDescent="0.2">
      <c r="A107" s="20">
        <f t="shared" si="28"/>
        <v>93</v>
      </c>
      <c r="B107" s="23">
        <f>DATEVALUE('Weekly history'!A103)</f>
        <v>45936.0</v>
      </c>
      <c r="C107" s="9">
        <f>'Weekly history'!C103</f>
        <v>229.1</v>
      </c>
      <c r="D107" s="3" t="str">
        <f>IF(A107&gt;105,"Forecast",IF(A107=105,"Excluded partial",IF(A107&gt;$B$7+$B$6,"Final test",IF(A107&gt;$B$7,"Selection","Train"))))</f>
        <v>Final test</v>
      </c>
      <c r="E107" s="9">
        <f>IF(D107="Selection",INDEX($C$15:$C$118,$B$7),IF(D107="Final test",INDEX($C$15:$C$118,$B$7+$B$6),IF(D107="Forecast",INDEX($C$15:$C$118,$B$5),"")))</f>
        <v>243</v>
      </c>
      <c r="F107" s="9">
        <f>IF(OR(D107="Selection",D107="Final test",D107="Forecast"),FORECAST(A107,$C$15:INDEX($C$15:$C$118,IF(D107="Selection",$B$7,IF(D107="Final test",$B$7+$B$6,$B$5))),$A$15:INDEX($A$15:$A$118,IF(D107="Selection",$B$7,IF(D107="Final test",$B$7+$B$6,$B$5)))),"")</f>
        <v>286.59315018315</v>
      </c>
      <c r="G107" s="9">
        <f>IF(OR(D107="Selection",D107="Final test",D107="Forecast"),AVERAGE(INDEX($C$15:$C$118,IF(D107="Selection",$B$7,IF(D107="Final test",$B$7+$B$6,$B$5))-$B$9+1):INDEX($C$15:$C$118,IF(D107="Selection",$B$7,IF(D107="Final test",$B$7+$B$6,$B$5)))),"")</f>
        <v>247.015384615385</v>
      </c>
      <c r="H107" s="9">
        <f>IF(OR(D107="Selection",D107="Final test",D107="Forecast"),INDEX($C$15:$C$118,A107-52),"")</f>
        <v>183</v>
      </c>
      <c r="I107" s="9">
        <f>IF(OR(D107="Selection",D107="Final test"),ABS(C107-E107),"")</f>
        <v>13.9</v>
      </c>
      <c r="J107" s="9">
        <f>IF(OR(D107="Selection",D107="Final test"),ABS(C107-F107),"")</f>
        <v>57.4931501831502</v>
      </c>
      <c r="K107" s="9">
        <f>IF(OR(D107="Selection",D107="Final test"),ABS(C107-G107),"")</f>
        <v>17.9153846153846</v>
      </c>
      <c r="L107" s="9">
        <f>IF(OR(D107="Selection",D107="Final test"),ABS(C107-H107),"")</f>
        <v>46.1</v>
      </c>
      <c r="M107" s="9">
        <f>IF(OR(D107="Selection",D107="Final test",D107="Forecast"),CHOOSE($F$11,E107,F107,G107,H107),"")</f>
        <v>183</v>
      </c>
      <c r="N107" s="9">
        <f t="shared" ca="1" si="39"/>
        <v>96.0413786106816</v>
      </c>
      <c r="O107" s="9">
        <f t="shared" ca="1" si="40"/>
        <v>269.958621389318</v>
      </c>
      <c r="P107" s="9" t="str">
        <f>IF($D107="Forecast",'Capacity and backlog'!$B$7,"")</f>
        <v/>
      </c>
      <c r="Q107" s="9" t="str">
        <f t="shared" si="41"/>
        <v/>
      </c>
    </row>
    <row r="108" spans="1:17" x14ac:dyDescent="0.2">
      <c r="A108" s="20">
        <f t="shared" si="28"/>
        <v>94</v>
      </c>
      <c r="B108" s="23">
        <f>DATEVALUE('Weekly history'!A104)</f>
        <v>45943.0</v>
      </c>
      <c r="C108" s="9">
        <f>'Weekly history'!C104</f>
        <v>307.7</v>
      </c>
      <c r="D108" s="3" t="str">
        <f>IF(A108&gt;105,"Forecast",IF(A108=105,"Excluded partial",IF(A108&gt;$B$7+$B$6,"Final test",IF(A108&gt;$B$7,"Selection","Train"))))</f>
        <v>Final test</v>
      </c>
      <c r="E108" s="9">
        <f>IF(D108="Selection",INDEX($C$15:$C$118,$B$7),IF(D108="Final test",INDEX($C$15:$C$118,$B$7+$B$6),IF(D108="Forecast",INDEX($C$15:$C$118,$B$5),"")))</f>
        <v>243</v>
      </c>
      <c r="F108" s="9">
        <f>IF(OR(D108="Selection",D108="Final test",D108="Forecast"),FORECAST(A108,$C$15:INDEX($C$15:$C$118,IF(D108="Selection",$B$7,IF(D108="Final test",$B$7+$B$6,$B$5))),$A$15:INDEX($A$15:$A$118,IF(D108="Selection",$B$7,IF(D108="Final test",$B$7+$B$6,$B$5)))),"")</f>
        <v>287.022417582418</v>
      </c>
      <c r="G108" s="9">
        <f>IF(OR(D108="Selection",D108="Final test",D108="Forecast"),AVERAGE(INDEX($C$15:$C$118,IF(D108="Selection",$B$7,IF(D108="Final test",$B$7+$B$6,$B$5))-$B$9+1):INDEX($C$15:$C$118,IF(D108="Selection",$B$7,IF(D108="Final test",$B$7+$B$6,$B$5)))),"")</f>
        <v>247.015384615385</v>
      </c>
      <c r="H108" s="9">
        <f>IF(OR(D108="Selection",D108="Final test",D108="Forecast"),INDEX($C$15:$C$118,A108-52),"")</f>
        <v>269.1</v>
      </c>
      <c r="I108" s="9">
        <f>IF(OR(D108="Selection",D108="Final test"),ABS(C108-E108),"")</f>
        <v>64.7</v>
      </c>
      <c r="J108" s="9">
        <f>IF(OR(D108="Selection",D108="Final test"),ABS(C108-F108),"")</f>
        <v>20.6775824175824</v>
      </c>
      <c r="K108" s="9">
        <f>IF(OR(D108="Selection",D108="Final test"),ABS(C108-G108),"")</f>
        <v>60.6846153846154</v>
      </c>
      <c r="L108" s="9">
        <f>IF(OR(D108="Selection",D108="Final test"),ABS(C108-H108),"")</f>
        <v>38.6</v>
      </c>
      <c r="M108" s="9">
        <f>IF(OR(D108="Selection",D108="Final test",D108="Forecast"),CHOOSE($F$11,E108,F108,G108,H108),"")</f>
        <v>269.1</v>
      </c>
      <c r="N108" s="9">
        <f t="shared" ca="1" si="39"/>
        <v>182.141378610682</v>
      </c>
      <c r="O108" s="9">
        <f t="shared" ca="1" si="40"/>
        <v>356.058621389319</v>
      </c>
      <c r="P108" s="9" t="str">
        <f>IF($D108="Forecast",'Capacity and backlog'!$B$7,"")</f>
        <v/>
      </c>
      <c r="Q108" s="9" t="str">
        <f t="shared" si="41"/>
        <v/>
      </c>
    </row>
    <row r="109" spans="1:17" x14ac:dyDescent="0.2">
      <c r="A109" s="20">
        <f t="shared" si="28"/>
        <v>95</v>
      </c>
      <c r="B109" s="23">
        <f>DATEVALUE('Weekly history'!A105)</f>
        <v>45950.0</v>
      </c>
      <c r="C109" s="9">
        <f>'Weekly history'!C105</f>
        <v>238.8</v>
      </c>
      <c r="D109" s="3" t="str">
        <f>IF(A109&gt;105,"Forecast",IF(A109=105,"Excluded partial",IF(A109&gt;$B$7+$B$6,"Final test",IF(A109&gt;$B$7,"Selection","Train"))))</f>
        <v>Final test</v>
      </c>
      <c r="E109" s="9">
        <f>IF(D109="Selection",INDEX($C$15:$C$118,$B$7),IF(D109="Final test",INDEX($C$15:$C$118,$B$7+$B$6),IF(D109="Forecast",INDEX($C$15:$C$118,$B$5),"")))</f>
        <v>243</v>
      </c>
      <c r="F109" s="9">
        <f>IF(OR(D109="Selection",D109="Final test",D109="Forecast"),FORECAST(A109,$C$15:INDEX($C$15:$C$118,IF(D109="Selection",$B$7,IF(D109="Final test",$B$7+$B$6,$B$5))),$A$15:INDEX($A$15:$A$118,IF(D109="Selection",$B$7,IF(D109="Final test",$B$7+$B$6,$B$5)))),"")</f>
        <v>287.451684981685</v>
      </c>
      <c r="G109" s="9">
        <f>IF(OR(D109="Selection",D109="Final test",D109="Forecast"),AVERAGE(INDEX($C$15:$C$118,IF(D109="Selection",$B$7,IF(D109="Final test",$B$7+$B$6,$B$5))-$B$9+1):INDEX($C$15:$C$118,IF(D109="Selection",$B$7,IF(D109="Final test",$B$7+$B$6,$B$5)))),"")</f>
        <v>247.015384615385</v>
      </c>
      <c r="H109" s="9">
        <f>IF(OR(D109="Selection",D109="Final test",D109="Forecast"),INDEX($C$15:$C$118,A109-52),"")</f>
        <v>319.2</v>
      </c>
      <c r="I109" s="9">
        <f>IF(OR(D109="Selection",D109="Final test"),ABS(C109-E109),"")</f>
        <v>4.19999999999999</v>
      </c>
      <c r="J109" s="9">
        <f>IF(OR(D109="Selection",D109="Final test"),ABS(C109-F109),"")</f>
        <v>48.651684981685</v>
      </c>
      <c r="K109" s="9">
        <f>IF(OR(D109="Selection",D109="Final test"),ABS(C109-G109),"")</f>
        <v>8.21538461538458</v>
      </c>
      <c r="L109" s="9">
        <f>IF(OR(D109="Selection",D109="Final test"),ABS(C109-H109),"")</f>
        <v>80.4</v>
      </c>
      <c r="M109" s="9">
        <f>IF(OR(D109="Selection",D109="Final test",D109="Forecast"),CHOOSE($F$11,E109,F109,G109,H109),"")</f>
        <v>319.2</v>
      </c>
      <c r="N109" s="9">
        <f t="shared" ca="1" si="39"/>
        <v>232.241378610682</v>
      </c>
      <c r="O109" s="9">
        <f t="shared" ca="1" si="40"/>
        <v>406.158621389318</v>
      </c>
      <c r="P109" s="9" t="str">
        <f>IF($D109="Forecast",'Capacity and backlog'!$B$7,"")</f>
        <v/>
      </c>
      <c r="Q109" s="9" t="str">
        <f t="shared" si="41"/>
        <v/>
      </c>
    </row>
    <row r="110" spans="1:17" x14ac:dyDescent="0.2">
      <c r="A110" s="20">
        <f t="shared" si="28"/>
        <v>96</v>
      </c>
      <c r="B110" s="23">
        <f>DATEVALUE('Weekly history'!A106)</f>
        <v>45957.0</v>
      </c>
      <c r="C110" s="9">
        <f>'Weekly history'!C106</f>
        <v>258.4</v>
      </c>
      <c r="D110" s="3" t="str">
        <f>IF(A110&gt;105,"Forecast",IF(A110=105,"Excluded partial",IF(A110&gt;$B$7+$B$6,"Final test",IF(A110&gt;$B$7,"Selection","Train"))))</f>
        <v>Final test</v>
      </c>
      <c r="E110" s="9">
        <f>IF(D110="Selection",INDEX($C$15:$C$118,$B$7),IF(D110="Final test",INDEX($C$15:$C$118,$B$7+$B$6),IF(D110="Forecast",INDEX($C$15:$C$118,$B$5),"")))</f>
        <v>243</v>
      </c>
      <c r="F110" s="9">
        <f>IF(OR(D110="Selection",D110="Final test",D110="Forecast"),FORECAST(A110,$C$15:INDEX($C$15:$C$118,IF(D110="Selection",$B$7,IF(D110="Final test",$B$7+$B$6,$B$5))),$A$15:INDEX($A$15:$A$118,IF(D110="Selection",$B$7,IF(D110="Final test",$B$7+$B$6,$B$5)))),"")</f>
        <v>287.880952380952</v>
      </c>
      <c r="G110" s="9">
        <f>IF(OR(D110="Selection",D110="Final test",D110="Forecast"),AVERAGE(INDEX($C$15:$C$118,IF(D110="Selection",$B$7,IF(D110="Final test",$B$7+$B$6,$B$5))-$B$9+1):INDEX($C$15:$C$118,IF(D110="Selection",$B$7,IF(D110="Final test",$B$7+$B$6,$B$5)))),"")</f>
        <v>247.015384615385</v>
      </c>
      <c r="H110" s="9">
        <f>IF(OR(D110="Selection",D110="Final test",D110="Forecast"),INDEX($C$15:$C$118,A110-52),"")</f>
        <v>187</v>
      </c>
      <c r="I110" s="9">
        <f>IF(OR(D110="Selection",D110="Final test"),ABS(C110-E110),"")</f>
        <v>15.4</v>
      </c>
      <c r="J110" s="9">
        <f>IF(OR(D110="Selection",D110="Final test"),ABS(C110-F110),"")</f>
        <v>29.4809523809524</v>
      </c>
      <c r="K110" s="9">
        <f>IF(OR(D110="Selection",D110="Final test"),ABS(C110-G110),"")</f>
        <v>11.3846153846154</v>
      </c>
      <c r="L110" s="9">
        <f>IF(OR(D110="Selection",D110="Final test"),ABS(C110-H110),"")</f>
        <v>71.4</v>
      </c>
      <c r="M110" s="9">
        <f>IF(OR(D110="Selection",D110="Final test",D110="Forecast"),CHOOSE($F$11,E110,F110,G110,H110),"")</f>
        <v>187</v>
      </c>
      <c r="N110" s="9">
        <f t="shared" ca="1" si="39"/>
        <v>100.041378610682</v>
      </c>
      <c r="O110" s="9">
        <f t="shared" ca="1" si="40"/>
        <v>273.958621389318</v>
      </c>
      <c r="P110" s="9" t="str">
        <f>IF($D110="Forecast",'Capacity and backlog'!$B$7,"")</f>
        <v/>
      </c>
      <c r="Q110" s="9" t="str">
        <f t="shared" si="41"/>
        <v/>
      </c>
    </row>
    <row r="111" spans="1:17" x14ac:dyDescent="0.2">
      <c r="A111" s="20">
        <f t="shared" ref="A111:A132" si="42">ROW()-14</f>
        <v>97</v>
      </c>
      <c r="B111" s="23">
        <f>DATEVALUE('Weekly history'!A107)</f>
        <v>45964.0</v>
      </c>
      <c r="C111" s="9">
        <f>'Weekly history'!C107</f>
        <v>197.4</v>
      </c>
      <c r="D111" s="3" t="str">
        <f>IF(A111&gt;105,"Forecast",IF(A111=105,"Excluded partial",IF(A111&gt;$B$7+$B$6,"Final test",IF(A111&gt;$B$7,"Selection","Train"))))</f>
        <v>Final test</v>
      </c>
      <c r="E111" s="9">
        <f>IF(D111="Selection",INDEX($C$15:$C$118,$B$7),IF(D111="Final test",INDEX($C$15:$C$118,$B$7+$B$6),IF(D111="Forecast",INDEX($C$15:$C$118,$B$5),"")))</f>
        <v>243</v>
      </c>
      <c r="F111" s="9">
        <f>IF(OR(D111="Selection",D111="Final test",D111="Forecast"),FORECAST(A111,$C$15:INDEX($C$15:$C$118,IF(D111="Selection",$B$7,IF(D111="Final test",$B$7+$B$6,$B$5))),$A$15:INDEX($A$15:$A$118,IF(D111="Selection",$B$7,IF(D111="Final test",$B$7+$B$6,$B$5)))),"")</f>
        <v>288.31021978022</v>
      </c>
      <c r="G111" s="9">
        <f>IF(OR(D111="Selection",D111="Final test",D111="Forecast"),AVERAGE(INDEX($C$15:$C$118,IF(D111="Selection",$B$7,IF(D111="Final test",$B$7+$B$6,$B$5))-$B$9+1):INDEX($C$15:$C$118,IF(D111="Selection",$B$7,IF(D111="Final test",$B$7+$B$6,$B$5)))),"")</f>
        <v>247.015384615385</v>
      </c>
      <c r="H111" s="9">
        <f>IF(OR(D111="Selection",D111="Final test",D111="Forecast"),INDEX($C$15:$C$118,A111-52),"")</f>
        <v>109.8</v>
      </c>
      <c r="I111" s="9">
        <f>IF(OR(D111="Selection",D111="Final test"),ABS(C111-E111),"")</f>
        <v>45.6</v>
      </c>
      <c r="J111" s="9">
        <f>IF(OR(D111="Selection",D111="Final test"),ABS(C111-F111),"")</f>
        <v>90.9102197802198</v>
      </c>
      <c r="K111" s="9">
        <f>IF(OR(D111="Selection",D111="Final test"),ABS(C111-G111),"")</f>
        <v>49.6153846153846</v>
      </c>
      <c r="L111" s="9">
        <f>IF(OR(D111="Selection",D111="Final test"),ABS(C111-H111),"")</f>
        <v>87.6</v>
      </c>
      <c r="M111" s="9">
        <f>IF(OR(D111="Selection",D111="Final test",D111="Forecast"),CHOOSE($F$11,E111,F111,G111,H111),"")</f>
        <v>109.8</v>
      </c>
      <c r="N111" s="9">
        <f t="shared" ref="N111:N132" ca="1" si="53">IF(M111="","",MAX(0,M111-$B$10*$F$12))</f>
        <v>22.8413786106815</v>
      </c>
      <c r="O111" s="9">
        <f t="shared" ref="O111:O132" ca="1" si="54">IF(M111="","",M111+$B$10*$F$12)</f>
        <v>196.758621389318</v>
      </c>
      <c r="P111" s="9" t="str">
        <f>IF($D111="Forecast",'Capacity and backlog'!$B$7,"")</f>
        <v/>
      </c>
      <c r="Q111" s="9" t="str">
        <f t="shared" ref="Q111:Q132" si="55">IF(P111="","",M111-P111)</f>
        <v/>
      </c>
    </row>
    <row r="112" spans="1:17" x14ac:dyDescent="0.2">
      <c r="A112" s="20">
        <f t="shared" si="42"/>
        <v>98</v>
      </c>
      <c r="B112" s="23">
        <f>DATEVALUE('Weekly history'!A108)</f>
        <v>45971.0</v>
      </c>
      <c r="C112" s="9">
        <f>'Weekly history'!C108</f>
        <v>286.6</v>
      </c>
      <c r="D112" s="3" t="str">
        <f>IF(A112&gt;105,"Forecast",IF(A112=105,"Excluded partial",IF(A112&gt;$B$7+$B$6,"Final test",IF(A112&gt;$B$7,"Selection","Train"))))</f>
        <v>Final test</v>
      </c>
      <c r="E112" s="9">
        <f>IF(D112="Selection",INDEX($C$15:$C$118,$B$7),IF(D112="Final test",INDEX($C$15:$C$118,$B$7+$B$6),IF(D112="Forecast",INDEX($C$15:$C$118,$B$5),"")))</f>
        <v>243</v>
      </c>
      <c r="F112" s="9">
        <f>IF(OR(D112="Selection",D112="Final test",D112="Forecast"),FORECAST(A112,$C$15:INDEX($C$15:$C$118,IF(D112="Selection",$B$7,IF(D112="Final test",$B$7+$B$6,$B$5))),$A$15:INDEX($A$15:$A$118,IF(D112="Selection",$B$7,IF(D112="Final test",$B$7+$B$6,$B$5)))),"")</f>
        <v>288.739487179487</v>
      </c>
      <c r="G112" s="9">
        <f>IF(OR(D112="Selection",D112="Final test",D112="Forecast"),AVERAGE(INDEX($C$15:$C$118,IF(D112="Selection",$B$7,IF(D112="Final test",$B$7+$B$6,$B$5))-$B$9+1):INDEX($C$15:$C$118,IF(D112="Selection",$B$7,IF(D112="Final test",$B$7+$B$6,$B$5)))),"")</f>
        <v>247.015384615385</v>
      </c>
      <c r="H112" s="9">
        <f>IF(OR(D112="Selection",D112="Final test",D112="Forecast"),INDEX($C$15:$C$118,A112-52),"")</f>
        <v>180.9</v>
      </c>
      <c r="I112" s="9">
        <f>IF(OR(D112="Selection",D112="Final test"),ABS(C112-E112),"")</f>
        <v>43.6</v>
      </c>
      <c r="J112" s="9">
        <f>IF(OR(D112="Selection",D112="Final test"),ABS(C112-F112),"")</f>
        <v>2.13948717948716</v>
      </c>
      <c r="K112" s="9">
        <f>IF(OR(D112="Selection",D112="Final test"),ABS(C112-G112),"")</f>
        <v>39.5846153846154</v>
      </c>
      <c r="L112" s="9">
        <f>IF(OR(D112="Selection",D112="Final test"),ABS(C112-H112),"")</f>
        <v>105.7</v>
      </c>
      <c r="M112" s="9">
        <f>IF(OR(D112="Selection",D112="Final test",D112="Forecast"),CHOOSE($F$11,E112,F112,G112,H112),"")</f>
        <v>180.9</v>
      </c>
      <c r="N112" s="9">
        <f t="shared" ca="1" si="53"/>
        <v>93.9413786106816</v>
      </c>
      <c r="O112" s="9">
        <f t="shared" ca="1" si="54"/>
        <v>267.858621389318</v>
      </c>
      <c r="P112" s="9" t="str">
        <f>IF($D112="Forecast",'Capacity and backlog'!$B$7,"")</f>
        <v/>
      </c>
      <c r="Q112" s="9" t="str">
        <f t="shared" si="55"/>
        <v/>
      </c>
    </row>
    <row r="113" spans="1:17" x14ac:dyDescent="0.2">
      <c r="A113" s="20">
        <f t="shared" si="42"/>
        <v>99</v>
      </c>
      <c r="B113" s="23">
        <f>DATEVALUE('Weekly history'!A109)</f>
        <v>45978.0</v>
      </c>
      <c r="C113" s="9">
        <f>'Weekly history'!C109</f>
        <v>199.7</v>
      </c>
      <c r="D113" s="3" t="str">
        <f>IF(A113&gt;105,"Forecast",IF(A113=105,"Excluded partial",IF(A113&gt;$B$7+$B$6,"Final test",IF(A113&gt;$B$7,"Selection","Train"))))</f>
        <v>Final test</v>
      </c>
      <c r="E113" s="9">
        <f>IF(D113="Selection",INDEX($C$15:$C$118,$B$7),IF(D113="Final test",INDEX($C$15:$C$118,$B$7+$B$6),IF(D113="Forecast",INDEX($C$15:$C$118,$B$5),"")))</f>
        <v>243</v>
      </c>
      <c r="F113" s="9">
        <f>IF(OR(D113="Selection",D113="Final test",D113="Forecast"),FORECAST(A113,$C$15:INDEX($C$15:$C$118,IF(D113="Selection",$B$7,IF(D113="Final test",$B$7+$B$6,$B$5))),$A$15:INDEX($A$15:$A$118,IF(D113="Selection",$B$7,IF(D113="Final test",$B$7+$B$6,$B$5)))),"")</f>
        <v>289.168754578755</v>
      </c>
      <c r="G113" s="9">
        <f>IF(OR(D113="Selection",D113="Final test",D113="Forecast"),AVERAGE(INDEX($C$15:$C$118,IF(D113="Selection",$B$7,IF(D113="Final test",$B$7+$B$6,$B$5))-$B$9+1):INDEX($C$15:$C$118,IF(D113="Selection",$B$7,IF(D113="Final test",$B$7+$B$6,$B$5)))),"")</f>
        <v>247.015384615385</v>
      </c>
      <c r="H113" s="9">
        <f>IF(OR(D113="Selection",D113="Final test",D113="Forecast"),INDEX($C$15:$C$118,A113-52),"")</f>
        <v>228.7</v>
      </c>
      <c r="I113" s="9">
        <f>IF(OR(D113="Selection",D113="Final test"),ABS(C113-E113),"")</f>
        <v>43.3</v>
      </c>
      <c r="J113" s="9">
        <f>IF(OR(D113="Selection",D113="Final test"),ABS(C113-F113),"")</f>
        <v>89.4687545787546</v>
      </c>
      <c r="K113" s="9">
        <f>IF(OR(D113="Selection",D113="Final test"),ABS(C113-G113),"")</f>
        <v>47.3153846153846</v>
      </c>
      <c r="L113" s="9">
        <f>IF(OR(D113="Selection",D113="Final test"),ABS(C113-H113),"")</f>
        <v>29</v>
      </c>
      <c r="M113" s="9">
        <f>IF(OR(D113="Selection",D113="Final test",D113="Forecast"),CHOOSE($F$11,E113,F113,G113,H113),"")</f>
        <v>228.7</v>
      </c>
      <c r="N113" s="9">
        <f t="shared" ca="1" si="53"/>
        <v>141.741378610682</v>
      </c>
      <c r="O113" s="9">
        <f t="shared" ca="1" si="54"/>
        <v>315.658621389318</v>
      </c>
      <c r="P113" s="9" t="str">
        <f>IF($D113="Forecast",'Capacity and backlog'!$B$7,"")</f>
        <v/>
      </c>
      <c r="Q113" s="9" t="str">
        <f t="shared" si="55"/>
        <v/>
      </c>
    </row>
    <row r="114" spans="1:17" x14ac:dyDescent="0.2">
      <c r="A114" s="20">
        <f t="shared" si="42"/>
        <v>100</v>
      </c>
      <c r="B114" s="23">
        <f>DATEVALUE('Weekly history'!A110)</f>
        <v>45985.0</v>
      </c>
      <c r="C114" s="9">
        <f>'Weekly history'!C110</f>
        <v>207.2</v>
      </c>
      <c r="D114" s="3" t="str">
        <f>IF(A114&gt;105,"Forecast",IF(A114=105,"Excluded partial",IF(A114&gt;$B$7+$B$6,"Final test",IF(A114&gt;$B$7,"Selection","Train"))))</f>
        <v>Final test</v>
      </c>
      <c r="E114" s="9">
        <f>IF(D114="Selection",INDEX($C$15:$C$118,$B$7),IF(D114="Final test",INDEX($C$15:$C$118,$B$7+$B$6),IF(D114="Forecast",INDEX($C$15:$C$118,$B$5),"")))</f>
        <v>243</v>
      </c>
      <c r="F114" s="9">
        <f>IF(OR(D114="Selection",D114="Final test",D114="Forecast"),FORECAST(A114,$C$15:INDEX($C$15:$C$118,IF(D114="Selection",$B$7,IF(D114="Final test",$B$7+$B$6,$B$5))),$A$15:INDEX($A$15:$A$118,IF(D114="Selection",$B$7,IF(D114="Final test",$B$7+$B$6,$B$5)))),"")</f>
        <v>289.598021978022</v>
      </c>
      <c r="G114" s="9">
        <f>IF(OR(D114="Selection",D114="Final test",D114="Forecast"),AVERAGE(INDEX($C$15:$C$118,IF(D114="Selection",$B$7,IF(D114="Final test",$B$7+$B$6,$B$5))-$B$9+1):INDEX($C$15:$C$118,IF(D114="Selection",$B$7,IF(D114="Final test",$B$7+$B$6,$B$5)))),"")</f>
        <v>247.015384615385</v>
      </c>
      <c r="H114" s="9">
        <f>IF(OR(D114="Selection",D114="Final test",D114="Forecast"),INDEX($C$15:$C$118,A114-52),"")</f>
        <v>222.7</v>
      </c>
      <c r="I114" s="9">
        <f>IF(OR(D114="Selection",D114="Final test"),ABS(C114-E114),"")</f>
        <v>35.8</v>
      </c>
      <c r="J114" s="9">
        <f>IF(OR(D114="Selection",D114="Final test"),ABS(C114-F114),"")</f>
        <v>82.398021978022</v>
      </c>
      <c r="K114" s="9">
        <f>IF(OR(D114="Selection",D114="Final test"),ABS(C114-G114),"")</f>
        <v>39.8153846153846</v>
      </c>
      <c r="L114" s="9">
        <f>IF(OR(D114="Selection",D114="Final test"),ABS(C114-H114),"")</f>
        <v>15.5</v>
      </c>
      <c r="M114" s="9">
        <f>IF(OR(D114="Selection",D114="Final test",D114="Forecast"),CHOOSE($F$11,E114,F114,G114,H114),"")</f>
        <v>222.7</v>
      </c>
      <c r="N114" s="9">
        <f t="shared" ca="1" si="53"/>
        <v>135.741378610682</v>
      </c>
      <c r="O114" s="9">
        <f t="shared" ca="1" si="54"/>
        <v>309.658621389318</v>
      </c>
      <c r="P114" s="9" t="str">
        <f>IF($D114="Forecast",'Capacity and backlog'!$B$7,"")</f>
        <v/>
      </c>
      <c r="Q114" s="9" t="str">
        <f t="shared" si="55"/>
        <v/>
      </c>
    </row>
    <row r="115" spans="1:17" x14ac:dyDescent="0.2">
      <c r="A115" s="20">
        <f t="shared" si="42"/>
        <v>101</v>
      </c>
      <c r="B115" s="23">
        <f>DATEVALUE('Weekly history'!A111)</f>
        <v>45992.0</v>
      </c>
      <c r="C115" s="9">
        <f>'Weekly history'!C111</f>
        <v>207.7</v>
      </c>
      <c r="D115" s="3" t="str">
        <f>IF(A115&gt;105,"Forecast",IF(A115=105,"Excluded partial",IF(A115&gt;$B$7+$B$6,"Final test",IF(A115&gt;$B$7,"Selection","Train"))))</f>
        <v>Final test</v>
      </c>
      <c r="E115" s="9">
        <f>IF(D115="Selection",INDEX($C$15:$C$118,$B$7),IF(D115="Final test",INDEX($C$15:$C$118,$B$7+$B$6),IF(D115="Forecast",INDEX($C$15:$C$118,$B$5),"")))</f>
        <v>243</v>
      </c>
      <c r="F115" s="9">
        <f>IF(OR(D115="Selection",D115="Final test",D115="Forecast"),FORECAST(A115,$C$15:INDEX($C$15:$C$118,IF(D115="Selection",$B$7,IF(D115="Final test",$B$7+$B$6,$B$5))),$A$15:INDEX($A$15:$A$118,IF(D115="Selection",$B$7,IF(D115="Final test",$B$7+$B$6,$B$5)))),"")</f>
        <v>290.027289377289</v>
      </c>
      <c r="G115" s="9">
        <f>IF(OR(D115="Selection",D115="Final test",D115="Forecast"),AVERAGE(INDEX($C$15:$C$118,IF(D115="Selection",$B$7,IF(D115="Final test",$B$7+$B$6,$B$5))-$B$9+1):INDEX($C$15:$C$118,IF(D115="Selection",$B$7,IF(D115="Final test",$B$7+$B$6,$B$5)))),"")</f>
        <v>247.015384615385</v>
      </c>
      <c r="H115" s="9">
        <f>IF(OR(D115="Selection",D115="Final test",D115="Forecast"),INDEX($C$15:$C$118,A115-52),"")</f>
        <v>286.4</v>
      </c>
      <c r="I115" s="9">
        <f>IF(OR(D115="Selection",D115="Final test"),ABS(C115-E115),"")</f>
        <v>35.3</v>
      </c>
      <c r="J115" s="9">
        <f>IF(OR(D115="Selection",D115="Final test"),ABS(C115-F115),"")</f>
        <v>82.3272893772894</v>
      </c>
      <c r="K115" s="9">
        <f>IF(OR(D115="Selection",D115="Final test"),ABS(C115-G115),"")</f>
        <v>39.3153846153846</v>
      </c>
      <c r="L115" s="9">
        <f>IF(OR(D115="Selection",D115="Final test"),ABS(C115-H115),"")</f>
        <v>78.7</v>
      </c>
      <c r="M115" s="9">
        <f>IF(OR(D115="Selection",D115="Final test",D115="Forecast"),CHOOSE($F$11,E115,F115,G115,H115),"")</f>
        <v>286.4</v>
      </c>
      <c r="N115" s="9">
        <f t="shared" ca="1" si="53"/>
        <v>199.441378610682</v>
      </c>
      <c r="O115" s="9">
        <f t="shared" ca="1" si="54"/>
        <v>373.358621389318</v>
      </c>
      <c r="P115" s="9" t="str">
        <f>IF($D115="Forecast",'Capacity and backlog'!$B$7,"")</f>
        <v/>
      </c>
      <c r="Q115" s="9" t="str">
        <f t="shared" si="55"/>
        <v/>
      </c>
    </row>
    <row r="116" spans="1:17" x14ac:dyDescent="0.2">
      <c r="A116" s="20">
        <f t="shared" si="42"/>
        <v>102</v>
      </c>
      <c r="B116" s="23">
        <f>DATEVALUE('Weekly history'!A112)</f>
        <v>45999.0</v>
      </c>
      <c r="C116" s="9">
        <f>'Weekly history'!C112</f>
        <v>188.9</v>
      </c>
      <c r="D116" s="3" t="str">
        <f>IF(A116&gt;105,"Forecast",IF(A116=105,"Excluded partial",IF(A116&gt;$B$7+$B$6,"Final test",IF(A116&gt;$B$7,"Selection","Train"))))</f>
        <v>Final test</v>
      </c>
      <c r="E116" s="9">
        <f>IF(D116="Selection",INDEX($C$15:$C$118,$B$7),IF(D116="Final test",INDEX($C$15:$C$118,$B$7+$B$6),IF(D116="Forecast",INDEX($C$15:$C$118,$B$5),"")))</f>
        <v>243</v>
      </c>
      <c r="F116" s="9">
        <f>IF(OR(D116="Selection",D116="Final test",D116="Forecast"),FORECAST(A116,$C$15:INDEX($C$15:$C$118,IF(D116="Selection",$B$7,IF(D116="Final test",$B$7+$B$6,$B$5))),$A$15:INDEX($A$15:$A$118,IF(D116="Selection",$B$7,IF(D116="Final test",$B$7+$B$6,$B$5)))),"")</f>
        <v>290.456556776557</v>
      </c>
      <c r="G116" s="9">
        <f>IF(OR(D116="Selection",D116="Final test",D116="Forecast"),AVERAGE(INDEX($C$15:$C$118,IF(D116="Selection",$B$7,IF(D116="Final test",$B$7+$B$6,$B$5))-$B$9+1):INDEX($C$15:$C$118,IF(D116="Selection",$B$7,IF(D116="Final test",$B$7+$B$6,$B$5)))),"")</f>
        <v>247.015384615385</v>
      </c>
      <c r="H116" s="9">
        <f>IF(OR(D116="Selection",D116="Final test",D116="Forecast"),INDEX($C$15:$C$118,A116-52),"")</f>
        <v>250.3</v>
      </c>
      <c r="I116" s="9">
        <f>IF(OR(D116="Selection",D116="Final test"),ABS(C116-E116),"")</f>
        <v>54.1</v>
      </c>
      <c r="J116" s="9">
        <f>IF(OR(D116="Selection",D116="Final test"),ABS(C116-F116),"")</f>
        <v>101.556556776557</v>
      </c>
      <c r="K116" s="9">
        <f>IF(OR(D116="Selection",D116="Final test"),ABS(C116-G116),"")</f>
        <v>58.1153846153846</v>
      </c>
      <c r="L116" s="9">
        <f>IF(OR(D116="Selection",D116="Final test"),ABS(C116-H116),"")</f>
        <v>61.4</v>
      </c>
      <c r="M116" s="9">
        <f>IF(OR(D116="Selection",D116="Final test",D116="Forecast"),CHOOSE($F$11,E116,F116,G116,H116),"")</f>
        <v>250.3</v>
      </c>
      <c r="N116" s="9">
        <f t="shared" ca="1" si="53"/>
        <v>163.341378610682</v>
      </c>
      <c r="O116" s="9">
        <f t="shared" ca="1" si="54"/>
        <v>337.258621389319</v>
      </c>
      <c r="P116" s="9" t="str">
        <f>IF($D116="Forecast",'Capacity and backlog'!$B$7,"")</f>
        <v/>
      </c>
      <c r="Q116" s="9" t="str">
        <f t="shared" si="55"/>
        <v/>
      </c>
    </row>
    <row r="117" spans="1:17" x14ac:dyDescent="0.2">
      <c r="A117" s="20">
        <f t="shared" si="42"/>
        <v>103</v>
      </c>
      <c r="B117" s="23">
        <f>DATEVALUE('Weekly history'!A113)</f>
        <v>46006.0</v>
      </c>
      <c r="C117" s="9">
        <f>'Weekly history'!C113</f>
        <v>226.9</v>
      </c>
      <c r="D117" s="3" t="str">
        <f>IF(A117&gt;105,"Forecast",IF(A117=105,"Excluded partial",IF(A117&gt;$B$7+$B$6,"Final test",IF(A117&gt;$B$7,"Selection","Train"))))</f>
        <v>Final test</v>
      </c>
      <c r="E117" s="9">
        <f>IF(D117="Selection",INDEX($C$15:$C$118,$B$7),IF(D117="Final test",INDEX($C$15:$C$118,$B$7+$B$6),IF(D117="Forecast",INDEX($C$15:$C$118,$B$5),"")))</f>
        <v>243</v>
      </c>
      <c r="F117" s="9">
        <f>IF(OR(D117="Selection",D117="Final test",D117="Forecast"),FORECAST(A117,$C$15:INDEX($C$15:$C$118,IF(D117="Selection",$B$7,IF(D117="Final test",$B$7+$B$6,$B$5))),$A$15:INDEX($A$15:$A$118,IF(D117="Selection",$B$7,IF(D117="Final test",$B$7+$B$6,$B$5)))),"")</f>
        <v>290.885824175824</v>
      </c>
      <c r="G117" s="9">
        <f>IF(OR(D117="Selection",D117="Final test",D117="Forecast"),AVERAGE(INDEX($C$15:$C$118,IF(D117="Selection",$B$7,IF(D117="Final test",$B$7+$B$6,$B$5))-$B$9+1):INDEX($C$15:$C$118,IF(D117="Selection",$B$7,IF(D117="Final test",$B$7+$B$6,$B$5)))),"")</f>
        <v>247.015384615385</v>
      </c>
      <c r="H117" s="9">
        <f>IF(OR(D117="Selection",D117="Final test",D117="Forecast"),INDEX($C$15:$C$118,A117-52),"")</f>
        <v>177.4</v>
      </c>
      <c r="I117" s="9">
        <f>IF(OR(D117="Selection",D117="Final test"),ABS(C117-E117),"")</f>
        <v>16.1</v>
      </c>
      <c r="J117" s="9">
        <f>IF(OR(D117="Selection",D117="Final test"),ABS(C117-F117),"")</f>
        <v>63.9858241758242</v>
      </c>
      <c r="K117" s="9">
        <f>IF(OR(D117="Selection",D117="Final test"),ABS(C117-G117),"")</f>
        <v>20.1153846153846</v>
      </c>
      <c r="L117" s="9">
        <f>IF(OR(D117="Selection",D117="Final test"),ABS(C117-H117),"")</f>
        <v>49.5</v>
      </c>
      <c r="M117" s="9">
        <f>IF(OR(D117="Selection",D117="Final test",D117="Forecast"),CHOOSE($F$11,E117,F117,G117,H117),"")</f>
        <v>177.4</v>
      </c>
      <c r="N117" s="9">
        <f t="shared" ca="1" si="53"/>
        <v>90.4413786106816</v>
      </c>
      <c r="O117" s="9">
        <f t="shared" ca="1" si="54"/>
        <v>264.358621389318</v>
      </c>
      <c r="P117" s="9" t="str">
        <f>IF($D117="Forecast",'Capacity and backlog'!$B$7,"")</f>
        <v/>
      </c>
      <c r="Q117" s="9" t="str">
        <f t="shared" si="55"/>
        <v/>
      </c>
    </row>
    <row r="118" spans="1:17" x14ac:dyDescent="0.2">
      <c r="A118" s="20">
        <f t="shared" si="42"/>
        <v>104</v>
      </c>
      <c r="B118" s="23">
        <f>DATEVALUE('Weekly history'!A114)</f>
        <v>46013.0</v>
      </c>
      <c r="C118" s="9">
        <f>'Weekly history'!C114</f>
        <v>331.6</v>
      </c>
      <c r="D118" s="3" t="str">
        <f>IF(A118&gt;105,"Forecast",IF(A118=105,"Excluded partial",IF(A118&gt;$B$7+$B$6,"Final test",IF(A118&gt;$B$7,"Selection","Train"))))</f>
        <v>Final test</v>
      </c>
      <c r="E118" s="9">
        <f>IF(D118="Selection",INDEX($C$15:$C$118,$B$7),IF(D118="Final test",INDEX($C$15:$C$118,$B$7+$B$6),IF(D118="Forecast",INDEX($C$15:$C$118,$B$5),"")))</f>
        <v>243</v>
      </c>
      <c r="F118" s="9">
        <f>IF(OR(D118="Selection",D118="Final test",D118="Forecast"),FORECAST(A118,$C$15:INDEX($C$15:$C$118,IF(D118="Selection",$B$7,IF(D118="Final test",$B$7+$B$6,$B$5))),$A$15:INDEX($A$15:$A$118,IF(D118="Selection",$B$7,IF(D118="Final test",$B$7+$B$6,$B$5)))),"")</f>
        <v>291.315091575092</v>
      </c>
      <c r="G118" s="9">
        <f>IF(OR(D118="Selection",D118="Final test",D118="Forecast"),AVERAGE(INDEX($C$15:$C$118,IF(D118="Selection",$B$7,IF(D118="Final test",$B$7+$B$6,$B$5))-$B$9+1):INDEX($C$15:$C$118,IF(D118="Selection",$B$7,IF(D118="Final test",$B$7+$B$6,$B$5)))),"")</f>
        <v>247.015384615385</v>
      </c>
      <c r="H118" s="9">
        <f>IF(OR(D118="Selection",D118="Final test",D118="Forecast"),INDEX($C$15:$C$118,A118-52),"")</f>
        <v>228.4</v>
      </c>
      <c r="I118" s="9">
        <f>IF(OR(D118="Selection",D118="Final test"),ABS(C118-E118),"")</f>
        <v>88.6</v>
      </c>
      <c r="J118" s="9">
        <f>IF(OR(D118="Selection",D118="Final test"),ABS(C118-F118),"")</f>
        <v>40.2849084249085</v>
      </c>
      <c r="K118" s="9">
        <f>IF(OR(D118="Selection",D118="Final test"),ABS(C118-G118),"")</f>
        <v>84.5846153846154</v>
      </c>
      <c r="L118" s="9">
        <f>IF(OR(D118="Selection",D118="Final test"),ABS(C118-H118),"")</f>
        <v>103.2</v>
      </c>
      <c r="M118" s="9">
        <f>IF(OR(D118="Selection",D118="Final test",D118="Forecast"),CHOOSE($F$11,E118,F118,G118,H118),"")</f>
        <v>228.4</v>
      </c>
      <c r="N118" s="9">
        <f t="shared" ca="1" si="53"/>
        <v>141.441378610682</v>
      </c>
      <c r="O118" s="9">
        <f t="shared" ca="1" si="54"/>
        <v>315.358621389318</v>
      </c>
      <c r="P118" s="9" t="str">
        <f>IF($D118="Forecast",'Capacity and backlog'!$B$7,"")</f>
        <v/>
      </c>
      <c r="Q118" s="9" t="str">
        <f t="shared" si="55"/>
        <v/>
      </c>
    </row>
    <row r="119" spans="1:17" x14ac:dyDescent="0.2">
      <c r="A119" s="20">
        <f t="shared" si="42"/>
        <v>105</v>
      </c>
      <c r="B119" s="23">
        <f>DATEVALUE('Weekly history'!A115)</f>
        <v>46020.0</v>
      </c>
      <c r="C119" s="9">
        <f>'Weekly history'!C115</f>
        <v>174</v>
      </c>
      <c r="D119" s="3" t="str">
        <f>IF(A119&gt;105,"Forecast",IF(A119=105,"Excluded partial",IF(A119&gt;$B$7+$B$6,"Final test",IF(A119&gt;$B$7,"Selection","Train"))))</f>
        <v>Excluded partial</v>
      </c>
      <c r="E119" s="9" t="str">
        <f>IF(D119="Selection",INDEX($C$15:$C$118,$B$7),IF(D119="Final test",INDEX($C$15:$C$118,$B$7+$B$6),IF(D119="Forecast",INDEX($C$15:$C$118,$B$5),"")))</f>
        <v/>
      </c>
      <c r="F119" s="9" t="str">
        <f>IF(OR(D119="Selection",D119="Final test",D119="Forecast"),FORECAST(A119,$C$15:INDEX($C$15:$C$118,IF(D119="Selection",$B$7,IF(D119="Final test",$B$7+$B$6,$B$5))),$A$15:INDEX($A$15:$A$118,IF(D119="Selection",$B$7,IF(D119="Final test",$B$7+$B$6,$B$5)))),"")</f>
        <v/>
      </c>
      <c r="G119" s="9" t="str">
        <f>IF(OR(D119="Selection",D119="Final test",D119="Forecast"),AVERAGE(INDEX($C$15:$C$118,IF(D119="Selection",$B$7,IF(D119="Final test",$B$7+$B$6,$B$5))-$B$9+1):INDEX($C$15:$C$118,IF(D119="Selection",$B$7,IF(D119="Final test",$B$7+$B$6,$B$5)))),"")</f>
        <v/>
      </c>
      <c r="H119" s="9" t="str">
        <f>IF(OR(D119="Selection",D119="Final test",D119="Forecast"),INDEX($C$15:$C$118,A119-52),"")</f>
        <v/>
      </c>
      <c r="I119" s="9" t="str">
        <f>IF(OR(D119="Selection",D119="Final test"),ABS(C119-E119),"")</f>
        <v/>
      </c>
      <c r="J119" s="9" t="str">
        <f>IF(OR(D119="Selection",D119="Final test"),ABS(C119-F119),"")</f>
        <v/>
      </c>
      <c r="K119" s="9" t="str">
        <f>IF(OR(D119="Selection",D119="Final test"),ABS(C119-G119),"")</f>
        <v/>
      </c>
      <c r="L119" s="9" t="str">
        <f>IF(OR(D119="Selection",D119="Final test"),ABS(C119-H119),"")</f>
        <v/>
      </c>
      <c r="M119" s="9" t="str">
        <f>IF(OR(D119="Selection",D119="Final test",D119="Forecast"),CHOOSE($F$11,E119,F119,G119,H119),"")</f>
        <v/>
      </c>
      <c r="N119" s="9" t="str">
        <f t="shared" ca="1" si="53"/>
        <v/>
      </c>
      <c r="O119" s="9" t="str">
        <f t="shared" ca="1" si="54"/>
        <v/>
      </c>
      <c r="P119" s="9" t="str">
        <f>IF($D119="Forecast",'Capacity and backlog'!$B$7,"")</f>
        <v/>
      </c>
      <c r="Q119" s="9" t="str">
        <f t="shared" si="55"/>
        <v/>
      </c>
    </row>
    <row r="120" spans="1:17" x14ac:dyDescent="0.2">
      <c r="A120" s="24">
        <f t="shared" si="42"/>
        <v>106</v>
      </c>
      <c r="B120" s="25">
        <f t="shared" ref="B120:B132" si="56">B119+7</f>
        <v>46027.0</v>
      </c>
      <c r="C120" s="26"/>
      <c r="D120" s="27" t="str">
        <f>IF(A120&gt;105,"Forecast",IF(A120=105,"Excluded partial",IF(A120&gt;$B$7+$B$6,"Final test",IF(A120&gt;$B$7,"Selection","Train"))))</f>
        <v>Forecast</v>
      </c>
      <c r="E120" s="26">
        <f>IF(D120="Selection",INDEX($C$15:$C$118,$B$7),IF(D120="Final test",INDEX($C$15:$C$118,$B$7+$B$6),IF(D120="Forecast",INDEX($C$15:$C$118,$B$5),"")))</f>
        <v>331.6</v>
      </c>
      <c r="F120" s="26">
        <f>IF(OR(D120="Selection",D120="Final test",D120="Forecast"),FORECAST(A120,$C$15:INDEX($C$15:$C$118,IF(D120="Selection",$B$7,IF(D120="Final test",$B$7+$B$6,$B$5))),$A$15:INDEX($A$15:$A$118,IF(D120="Selection",$B$7,IF(D120="Final test",$B$7+$B$6,$B$5)))),"")</f>
        <v>266.638093993385</v>
      </c>
      <c r="G120" s="26">
        <f>IF(OR(D120="Selection",D120="Final test",D120="Forecast"),AVERAGE(INDEX($C$15:$C$118,IF(D120="Selection",$B$7,IF(D120="Final test",$B$7+$B$6,$B$5))-$B$9+1):INDEX($C$15:$C$118,IF(D120="Selection",$B$7,IF(D120="Final test",$B$7+$B$6,$B$5)))),"")</f>
        <v>233.138461538462</v>
      </c>
      <c r="H120" s="26">
        <f>IF(OR(D120="Selection",D120="Final test",D120="Forecast"),INDEX($C$15:$C$118,A120-52),"")</f>
        <v>282</v>
      </c>
      <c r="I120" s="26" t="str">
        <f>IF(OR(D120="Selection",D120="Final test"),ABS(C120-E120),"")</f>
        <v/>
      </c>
      <c r="J120" s="26" t="str">
        <f>IF(OR(D120="Selection",D120="Final test"),ABS(C120-F120),"")</f>
        <v/>
      </c>
      <c r="K120" s="26" t="str">
        <f>IF(OR(D120="Selection",D120="Final test"),ABS(C120-G120),"")</f>
        <v/>
      </c>
      <c r="L120" s="26" t="str">
        <f>IF(OR(D120="Selection",D120="Final test"),ABS(C120-H120),"")</f>
        <v/>
      </c>
      <c r="M120" s="26">
        <f>IF(OR(D120="Selection",D120="Final test",D120="Forecast"),CHOOSE($F$11,E120,F120,G120,H120),"")</f>
        <v>282</v>
      </c>
      <c r="N120" s="26">
        <f t="shared" ca="1" si="53"/>
        <v>195.041378610682</v>
      </c>
      <c r="O120" s="26">
        <f t="shared" ca="1" si="54"/>
        <v>368.958621389318</v>
      </c>
      <c r="P120" s="26">
        <f>IF($D120="Forecast",'Capacity and backlog'!$B$7,"")</f>
        <v>358.611718648252</v>
      </c>
      <c r="Q120" s="26">
        <f t="shared" ca="1" si="55"/>
        <v>-76.6117186482518</v>
      </c>
    </row>
    <row r="121" spans="1:17" x14ac:dyDescent="0.2">
      <c r="A121" s="24">
        <f t="shared" si="42"/>
        <v>107</v>
      </c>
      <c r="B121" s="25">
        <f t="shared" si="56"/>
        <v>46034.0</v>
      </c>
      <c r="C121" s="26"/>
      <c r="D121" s="27" t="str">
        <f>IF(A121&gt;105,"Forecast",IF(A121=105,"Excluded partial",IF(A121&gt;$B$7+$B$6,"Final test",IF(A121&gt;$B$7,"Selection","Train"))))</f>
        <v>Forecast</v>
      </c>
      <c r="E121" s="26">
        <f>IF(D121="Selection",INDEX($C$15:$C$118,$B$7),IF(D121="Final test",INDEX($C$15:$C$118,$B$7+$B$6),IF(D121="Forecast",INDEX($C$15:$C$118,$B$5),"")))</f>
        <v>331.6</v>
      </c>
      <c r="F121" s="26">
        <f>IF(OR(D121="Selection",D121="Final test",D121="Forecast"),FORECAST(A121,$C$15:INDEX($C$15:$C$118,IF(D121="Selection",$B$7,IF(D121="Final test",$B$7+$B$6,$B$5))),$A$15:INDEX($A$15:$A$118,IF(D121="Selection",$B$7,IF(D121="Final test",$B$7+$B$6,$B$5)))),"")</f>
        <v>266.719970660408</v>
      </c>
      <c r="G121" s="26">
        <f>IF(OR(D121="Selection",D121="Final test",D121="Forecast"),AVERAGE(INDEX($C$15:$C$118,IF(D121="Selection",$B$7,IF(D121="Final test",$B$7+$B$6,$B$5))-$B$9+1):INDEX($C$15:$C$118,IF(D121="Selection",$B$7,IF(D121="Final test",$B$7+$B$6,$B$5)))),"")</f>
        <v>233.138461538462</v>
      </c>
      <c r="H121" s="26">
        <f>IF(OR(D121="Selection",D121="Final test",D121="Forecast"),INDEX($C$15:$C$118,A121-52),"")</f>
        <v>287.3</v>
      </c>
      <c r="I121" s="26" t="str">
        <f>IF(OR(D121="Selection",D121="Final test"),ABS(C121-E121),"")</f>
        <v/>
      </c>
      <c r="J121" s="26" t="str">
        <f>IF(OR(D121="Selection",D121="Final test"),ABS(C121-F121),"")</f>
        <v/>
      </c>
      <c r="K121" s="26" t="str">
        <f>IF(OR(D121="Selection",D121="Final test"),ABS(C121-G121),"")</f>
        <v/>
      </c>
      <c r="L121" s="26" t="str">
        <f>IF(OR(D121="Selection",D121="Final test"),ABS(C121-H121),"")</f>
        <v/>
      </c>
      <c r="M121" s="26">
        <f>IF(OR(D121="Selection",D121="Final test",D121="Forecast"),CHOOSE($F$11,E121,F121,G121,H121),"")</f>
        <v>287.3</v>
      </c>
      <c r="N121" s="26">
        <f t="shared" ca="1" si="53"/>
        <v>200.341378610682</v>
      </c>
      <c r="O121" s="26">
        <f t="shared" ca="1" si="54"/>
        <v>374.258621389319</v>
      </c>
      <c r="P121" s="26">
        <f>IF($D121="Forecast",'Capacity and backlog'!$B$7,"")</f>
        <v>358.611718648252</v>
      </c>
      <c r="Q121" s="26">
        <f t="shared" ca="1" si="55"/>
        <v>-71.3117186482518</v>
      </c>
    </row>
    <row r="122" spans="1:17" x14ac:dyDescent="0.2">
      <c r="A122" s="24">
        <f t="shared" si="42"/>
        <v>108</v>
      </c>
      <c r="B122" s="25">
        <f t="shared" si="56"/>
        <v>46041.0</v>
      </c>
      <c r="C122" s="26"/>
      <c r="D122" s="27" t="str">
        <f>IF(A122&gt;105,"Forecast",IF(A122=105,"Excluded partial",IF(A122&gt;$B$7+$B$6,"Final test",IF(A122&gt;$B$7,"Selection","Train"))))</f>
        <v>Forecast</v>
      </c>
      <c r="E122" s="26">
        <f>IF(D122="Selection",INDEX($C$15:$C$118,$B$7),IF(D122="Final test",INDEX($C$15:$C$118,$B$7+$B$6),IF(D122="Forecast",INDEX($C$15:$C$118,$B$5),"")))</f>
        <v>331.6</v>
      </c>
      <c r="F122" s="26">
        <f>IF(OR(D122="Selection",D122="Final test",D122="Forecast"),FORECAST(A122,$C$15:INDEX($C$15:$C$118,IF(D122="Selection",$B$7,IF(D122="Final test",$B$7+$B$6,$B$5))),$A$15:INDEX($A$15:$A$118,IF(D122="Selection",$B$7,IF(D122="Final test",$B$7+$B$6,$B$5)))),"")</f>
        <v>266.80184732743</v>
      </c>
      <c r="G122" s="26">
        <f>IF(OR(D122="Selection",D122="Final test",D122="Forecast"),AVERAGE(INDEX($C$15:$C$118,IF(D122="Selection",$B$7,IF(D122="Final test",$B$7+$B$6,$B$5))-$B$9+1):INDEX($C$15:$C$118,IF(D122="Selection",$B$7,IF(D122="Final test",$B$7+$B$6,$B$5)))),"")</f>
        <v>233.138461538462</v>
      </c>
      <c r="H122" s="26">
        <f>IF(OR(D122="Selection",D122="Final test",D122="Forecast"),INDEX($C$15:$C$118,A122-52),"")</f>
        <v>326.3</v>
      </c>
      <c r="I122" s="26" t="str">
        <f>IF(OR(D122="Selection",D122="Final test"),ABS(C122-E122),"")</f>
        <v/>
      </c>
      <c r="J122" s="26" t="str">
        <f>IF(OR(D122="Selection",D122="Final test"),ABS(C122-F122),"")</f>
        <v/>
      </c>
      <c r="K122" s="26" t="str">
        <f>IF(OR(D122="Selection",D122="Final test"),ABS(C122-G122),"")</f>
        <v/>
      </c>
      <c r="L122" s="26" t="str">
        <f>IF(OR(D122="Selection",D122="Final test"),ABS(C122-H122),"")</f>
        <v/>
      </c>
      <c r="M122" s="26">
        <f>IF(OR(D122="Selection",D122="Final test",D122="Forecast"),CHOOSE($F$11,E122,F122,G122,H122),"")</f>
        <v>326.3</v>
      </c>
      <c r="N122" s="26">
        <f t="shared" ca="1" si="53"/>
        <v>239.341378610682</v>
      </c>
      <c r="O122" s="26">
        <f t="shared" ca="1" si="54"/>
        <v>413.258621389319</v>
      </c>
      <c r="P122" s="26">
        <f>IF($D122="Forecast",'Capacity and backlog'!$B$7,"")</f>
        <v>358.611718648252</v>
      </c>
      <c r="Q122" s="26">
        <f t="shared" ca="1" si="55"/>
        <v>-32.3117186482518</v>
      </c>
    </row>
    <row r="123" spans="1:17" x14ac:dyDescent="0.2">
      <c r="A123" s="24">
        <f t="shared" si="42"/>
        <v>109</v>
      </c>
      <c r="B123" s="25">
        <f t="shared" si="56"/>
        <v>46048.0</v>
      </c>
      <c r="C123" s="26"/>
      <c r="D123" s="27" t="str">
        <f>IF(A123&gt;105,"Forecast",IF(A123=105,"Excluded partial",IF(A123&gt;$B$7+$B$6,"Final test",IF(A123&gt;$B$7,"Selection","Train"))))</f>
        <v>Forecast</v>
      </c>
      <c r="E123" s="26">
        <f>IF(D123="Selection",INDEX($C$15:$C$118,$B$7),IF(D123="Final test",INDEX($C$15:$C$118,$B$7+$B$6),IF(D123="Forecast",INDEX($C$15:$C$118,$B$5),"")))</f>
        <v>331.6</v>
      </c>
      <c r="F123" s="26">
        <f>IF(OR(D123="Selection",D123="Final test",D123="Forecast"),FORECAST(A123,$C$15:INDEX($C$15:$C$118,IF(D123="Selection",$B$7,IF(D123="Final test",$B$7+$B$6,$B$5))),$A$15:INDEX($A$15:$A$118,IF(D123="Selection",$B$7,IF(D123="Final test",$B$7+$B$6,$B$5)))),"")</f>
        <v>266.883723994452</v>
      </c>
      <c r="G123" s="26">
        <f>IF(OR(D123="Selection",D123="Final test",D123="Forecast"),AVERAGE(INDEX($C$15:$C$118,IF(D123="Selection",$B$7,IF(D123="Final test",$B$7+$B$6,$B$5))-$B$9+1):INDEX($C$15:$C$118,IF(D123="Selection",$B$7,IF(D123="Final test",$B$7+$B$6,$B$5)))),"")</f>
        <v>233.138461538462</v>
      </c>
      <c r="H123" s="26">
        <f>IF(OR(D123="Selection",D123="Final test",D123="Forecast"),INDEX($C$15:$C$118,A123-52),"")</f>
        <v>286.5</v>
      </c>
      <c r="I123" s="26" t="str">
        <f>IF(OR(D123="Selection",D123="Final test"),ABS(C123-E123),"")</f>
        <v/>
      </c>
      <c r="J123" s="26" t="str">
        <f>IF(OR(D123="Selection",D123="Final test"),ABS(C123-F123),"")</f>
        <v/>
      </c>
      <c r="K123" s="26" t="str">
        <f>IF(OR(D123="Selection",D123="Final test"),ABS(C123-G123),"")</f>
        <v/>
      </c>
      <c r="L123" s="26" t="str">
        <f>IF(OR(D123="Selection",D123="Final test"),ABS(C123-H123),"")</f>
        <v/>
      </c>
      <c r="M123" s="26">
        <f>IF(OR(D123="Selection",D123="Final test",D123="Forecast"),CHOOSE($F$11,E123,F123,G123,H123),"")</f>
        <v>286.5</v>
      </c>
      <c r="N123" s="26">
        <f t="shared" ca="1" si="53"/>
        <v>199.541378610682</v>
      </c>
      <c r="O123" s="26">
        <f t="shared" ca="1" si="54"/>
        <v>373.458621389318</v>
      </c>
      <c r="P123" s="26">
        <f>IF($D123="Forecast",'Capacity and backlog'!$B$7,"")</f>
        <v>358.611718648252</v>
      </c>
      <c r="Q123" s="26">
        <f t="shared" ca="1" si="55"/>
        <v>-72.1117186482518</v>
      </c>
    </row>
    <row r="124" spans="1:17" x14ac:dyDescent="0.2">
      <c r="A124" s="24">
        <f t="shared" si="42"/>
        <v>110</v>
      </c>
      <c r="B124" s="25">
        <f t="shared" si="56"/>
        <v>46055.0</v>
      </c>
      <c r="C124" s="26"/>
      <c r="D124" s="27" t="str">
        <f>IF(A124&gt;105,"Forecast",IF(A124=105,"Excluded partial",IF(A124&gt;$B$7+$B$6,"Final test",IF(A124&gt;$B$7,"Selection","Train"))))</f>
        <v>Forecast</v>
      </c>
      <c r="E124" s="26">
        <f>IF(D124="Selection",INDEX($C$15:$C$118,$B$7),IF(D124="Final test",INDEX($C$15:$C$118,$B$7+$B$6),IF(D124="Forecast",INDEX($C$15:$C$118,$B$5),"")))</f>
        <v>331.6</v>
      </c>
      <c r="F124" s="26">
        <f>IF(OR(D124="Selection",D124="Final test",D124="Forecast"),FORECAST(A124,$C$15:INDEX($C$15:$C$118,IF(D124="Selection",$B$7,IF(D124="Final test",$B$7+$B$6,$B$5))),$A$15:INDEX($A$15:$A$118,IF(D124="Selection",$B$7,IF(D124="Final test",$B$7+$B$6,$B$5)))),"")</f>
        <v>266.965600661474</v>
      </c>
      <c r="G124" s="26">
        <f>IF(OR(D124="Selection",D124="Final test",D124="Forecast"),AVERAGE(INDEX($C$15:$C$118,IF(D124="Selection",$B$7,IF(D124="Final test",$B$7+$B$6,$B$5))-$B$9+1):INDEX($C$15:$C$118,IF(D124="Selection",$B$7,IF(D124="Final test",$B$7+$B$6,$B$5)))),"")</f>
        <v>233.138461538462</v>
      </c>
      <c r="H124" s="26">
        <f>IF(OR(D124="Selection",D124="Final test",D124="Forecast"),INDEX($C$15:$C$118,A124-52),"")</f>
        <v>217.7</v>
      </c>
      <c r="I124" s="26" t="str">
        <f>IF(OR(D124="Selection",D124="Final test"),ABS(C124-E124),"")</f>
        <v/>
      </c>
      <c r="J124" s="26" t="str">
        <f>IF(OR(D124="Selection",D124="Final test"),ABS(C124-F124),"")</f>
        <v/>
      </c>
      <c r="K124" s="26" t="str">
        <f>IF(OR(D124="Selection",D124="Final test"),ABS(C124-G124),"")</f>
        <v/>
      </c>
      <c r="L124" s="26" t="str">
        <f>IF(OR(D124="Selection",D124="Final test"),ABS(C124-H124),"")</f>
        <v/>
      </c>
      <c r="M124" s="26">
        <f>IF(OR(D124="Selection",D124="Final test",D124="Forecast"),CHOOSE($F$11,E124,F124,G124,H124),"")</f>
        <v>217.7</v>
      </c>
      <c r="N124" s="26">
        <f t="shared" ca="1" si="53"/>
        <v>130.741378610682</v>
      </c>
      <c r="O124" s="26">
        <f t="shared" ca="1" si="54"/>
        <v>304.658621389318</v>
      </c>
      <c r="P124" s="26">
        <f>IF($D124="Forecast",'Capacity and backlog'!$B$7,"")</f>
        <v>358.611718648252</v>
      </c>
      <c r="Q124" s="26">
        <f t="shared" ca="1" si="55"/>
        <v>-140.911718648252</v>
      </c>
    </row>
    <row r="125" spans="1:17" x14ac:dyDescent="0.2">
      <c r="A125" s="24">
        <f t="shared" si="42"/>
        <v>111</v>
      </c>
      <c r="B125" s="25">
        <f t="shared" si="56"/>
        <v>46062.0</v>
      </c>
      <c r="C125" s="26"/>
      <c r="D125" s="27" t="str">
        <f>IF(A125&gt;105,"Forecast",IF(A125=105,"Excluded partial",IF(A125&gt;$B$7+$B$6,"Final test",IF(A125&gt;$B$7,"Selection","Train"))))</f>
        <v>Forecast</v>
      </c>
      <c r="E125" s="26">
        <f>IF(D125="Selection",INDEX($C$15:$C$118,$B$7),IF(D125="Final test",INDEX($C$15:$C$118,$B$7+$B$6),IF(D125="Forecast",INDEX($C$15:$C$118,$B$5),"")))</f>
        <v>331.6</v>
      </c>
      <c r="F125" s="26">
        <f>IF(OR(D125="Selection",D125="Final test",D125="Forecast"),FORECAST(A125,$C$15:INDEX($C$15:$C$118,IF(D125="Selection",$B$7,IF(D125="Final test",$B$7+$B$6,$B$5))),$A$15:INDEX($A$15:$A$118,IF(D125="Selection",$B$7,IF(D125="Final test",$B$7+$B$6,$B$5)))),"")</f>
        <v>267.047477328497</v>
      </c>
      <c r="G125" s="26">
        <f>IF(OR(D125="Selection",D125="Final test",D125="Forecast"),AVERAGE(INDEX($C$15:$C$118,IF(D125="Selection",$B$7,IF(D125="Final test",$B$7+$B$6,$B$5))-$B$9+1):INDEX($C$15:$C$118,IF(D125="Selection",$B$7,IF(D125="Final test",$B$7+$B$6,$B$5)))),"")</f>
        <v>233.138461538462</v>
      </c>
      <c r="H125" s="26">
        <f>IF(OR(D125="Selection",D125="Final test",D125="Forecast"),INDEX($C$15:$C$118,A125-52),"")</f>
        <v>264.2</v>
      </c>
      <c r="I125" s="26" t="str">
        <f>IF(OR(D125="Selection",D125="Final test"),ABS(C125-E125),"")</f>
        <v/>
      </c>
      <c r="J125" s="26" t="str">
        <f>IF(OR(D125="Selection",D125="Final test"),ABS(C125-F125),"")</f>
        <v/>
      </c>
      <c r="K125" s="26" t="str">
        <f>IF(OR(D125="Selection",D125="Final test"),ABS(C125-G125),"")</f>
        <v/>
      </c>
      <c r="L125" s="26" t="str">
        <f>IF(OR(D125="Selection",D125="Final test"),ABS(C125-H125),"")</f>
        <v/>
      </c>
      <c r="M125" s="26">
        <f>IF(OR(D125="Selection",D125="Final test",D125="Forecast"),CHOOSE($F$11,E125,F125,G125,H125),"")</f>
        <v>264.2</v>
      </c>
      <c r="N125" s="26">
        <f t="shared" ca="1" si="53"/>
        <v>177.241378610682</v>
      </c>
      <c r="O125" s="26">
        <f t="shared" ca="1" si="54"/>
        <v>351.158621389318</v>
      </c>
      <c r="P125" s="26">
        <f>IF($D125="Forecast",'Capacity and backlog'!$B$7,"")</f>
        <v>358.611718648252</v>
      </c>
      <c r="Q125" s="26">
        <f t="shared" ca="1" si="55"/>
        <v>-94.4117186482519</v>
      </c>
    </row>
    <row r="126" spans="1:17" x14ac:dyDescent="0.2">
      <c r="A126" s="24">
        <f t="shared" si="42"/>
        <v>112</v>
      </c>
      <c r="B126" s="25">
        <f t="shared" si="56"/>
        <v>46069.0</v>
      </c>
      <c r="C126" s="26"/>
      <c r="D126" s="27" t="str">
        <f>IF(A126&gt;105,"Forecast",IF(A126=105,"Excluded partial",IF(A126&gt;$B$7+$B$6,"Final test",IF(A126&gt;$B$7,"Selection","Train"))))</f>
        <v>Forecast</v>
      </c>
      <c r="E126" s="26">
        <f>IF(D126="Selection",INDEX($C$15:$C$118,$B$7),IF(D126="Final test",INDEX($C$15:$C$118,$B$7+$B$6),IF(D126="Forecast",INDEX($C$15:$C$118,$B$5),"")))</f>
        <v>331.6</v>
      </c>
      <c r="F126" s="26">
        <f>IF(OR(D126="Selection",D126="Final test",D126="Forecast"),FORECAST(A126,$C$15:INDEX($C$15:$C$118,IF(D126="Selection",$B$7,IF(D126="Final test",$B$7+$B$6,$B$5))),$A$15:INDEX($A$15:$A$118,IF(D126="Selection",$B$7,IF(D126="Final test",$B$7+$B$6,$B$5)))),"")</f>
        <v>267.129353995519</v>
      </c>
      <c r="G126" s="26">
        <f>IF(OR(D126="Selection",D126="Final test",D126="Forecast"),AVERAGE(INDEX($C$15:$C$118,IF(D126="Selection",$B$7,IF(D126="Final test",$B$7+$B$6,$B$5))-$B$9+1):INDEX($C$15:$C$118,IF(D126="Selection",$B$7,IF(D126="Final test",$B$7+$B$6,$B$5)))),"")</f>
        <v>233.138461538462</v>
      </c>
      <c r="H126" s="26">
        <f>IF(OR(D126="Selection",D126="Final test",D126="Forecast"),INDEX($C$15:$C$118,A126-52),"")</f>
        <v>318.4</v>
      </c>
      <c r="I126" s="26" t="str">
        <f>IF(OR(D126="Selection",D126="Final test"),ABS(C126-E126),"")</f>
        <v/>
      </c>
      <c r="J126" s="26" t="str">
        <f>IF(OR(D126="Selection",D126="Final test"),ABS(C126-F126),"")</f>
        <v/>
      </c>
      <c r="K126" s="26" t="str">
        <f>IF(OR(D126="Selection",D126="Final test"),ABS(C126-G126),"")</f>
        <v/>
      </c>
      <c r="L126" s="26" t="str">
        <f>IF(OR(D126="Selection",D126="Final test"),ABS(C126-H126),"")</f>
        <v/>
      </c>
      <c r="M126" s="26">
        <f>IF(OR(D126="Selection",D126="Final test",D126="Forecast"),CHOOSE($F$11,E126,F126,G126,H126),"")</f>
        <v>318.4</v>
      </c>
      <c r="N126" s="26">
        <f t="shared" ca="1" si="53"/>
        <v>231.441378610682</v>
      </c>
      <c r="O126" s="26">
        <f t="shared" ca="1" si="54"/>
        <v>405.358621389318</v>
      </c>
      <c r="P126" s="26">
        <f>IF($D126="Forecast",'Capacity and backlog'!$B$7,"")</f>
        <v>358.611718648252</v>
      </c>
      <c r="Q126" s="26">
        <f t="shared" ca="1" si="55"/>
        <v>-40.2117186482519</v>
      </c>
    </row>
    <row r="127" spans="1:17" x14ac:dyDescent="0.2">
      <c r="A127" s="24">
        <f t="shared" si="42"/>
        <v>113</v>
      </c>
      <c r="B127" s="25">
        <f t="shared" si="56"/>
        <v>46076.0</v>
      </c>
      <c r="C127" s="26"/>
      <c r="D127" s="27" t="str">
        <f>IF(A127&gt;105,"Forecast",IF(A127=105,"Excluded partial",IF(A127&gt;$B$7+$B$6,"Final test",IF(A127&gt;$B$7,"Selection","Train"))))</f>
        <v>Forecast</v>
      </c>
      <c r="E127" s="26">
        <f>IF(D127="Selection",INDEX($C$15:$C$118,$B$7),IF(D127="Final test",INDEX($C$15:$C$118,$B$7+$B$6),IF(D127="Forecast",INDEX($C$15:$C$118,$B$5),"")))</f>
        <v>331.6</v>
      </c>
      <c r="F127" s="26">
        <f>IF(OR(D127="Selection",D127="Final test",D127="Forecast"),FORECAST(A127,$C$15:INDEX($C$15:$C$118,IF(D127="Selection",$B$7,IF(D127="Final test",$B$7+$B$6,$B$5))),$A$15:INDEX($A$15:$A$118,IF(D127="Selection",$B$7,IF(D127="Final test",$B$7+$B$6,$B$5)))),"")</f>
        <v>267.211230662541</v>
      </c>
      <c r="G127" s="26">
        <f>IF(OR(D127="Selection",D127="Final test",D127="Forecast"),AVERAGE(INDEX($C$15:$C$118,IF(D127="Selection",$B$7,IF(D127="Final test",$B$7+$B$6,$B$5))-$B$9+1):INDEX($C$15:$C$118,IF(D127="Selection",$B$7,IF(D127="Final test",$B$7+$B$6,$B$5)))),"")</f>
        <v>233.138461538462</v>
      </c>
      <c r="H127" s="26">
        <f>IF(OR(D127="Selection",D127="Final test",D127="Forecast"),INDEX($C$15:$C$118,A127-52),"")</f>
        <v>361.5</v>
      </c>
      <c r="I127" s="26" t="str">
        <f>IF(OR(D127="Selection",D127="Final test"),ABS(C127-E127),"")</f>
        <v/>
      </c>
      <c r="J127" s="26" t="str">
        <f>IF(OR(D127="Selection",D127="Final test"),ABS(C127-F127),"")</f>
        <v/>
      </c>
      <c r="K127" s="26" t="str">
        <f>IF(OR(D127="Selection",D127="Final test"),ABS(C127-G127),"")</f>
        <v/>
      </c>
      <c r="L127" s="26" t="str">
        <f>IF(OR(D127="Selection",D127="Final test"),ABS(C127-H127),"")</f>
        <v/>
      </c>
      <c r="M127" s="26">
        <f>IF(OR(D127="Selection",D127="Final test",D127="Forecast"),CHOOSE($F$11,E127,F127,G127,H127),"")</f>
        <v>361.5</v>
      </c>
      <c r="N127" s="26">
        <f t="shared" ca="1" si="53"/>
        <v>274.541378610682</v>
      </c>
      <c r="O127" s="26">
        <f t="shared" ca="1" si="54"/>
        <v>448.458621389318</v>
      </c>
      <c r="P127" s="26">
        <f>IF($D127="Forecast",'Capacity and backlog'!$B$7,"")</f>
        <v>358.611718648252</v>
      </c>
      <c r="Q127" s="26">
        <f t="shared" ca="1" si="55"/>
        <v>2.88828135174816</v>
      </c>
    </row>
    <row r="128" spans="1:17" x14ac:dyDescent="0.2">
      <c r="A128" s="24">
        <f t="shared" si="42"/>
        <v>114</v>
      </c>
      <c r="B128" s="25">
        <f t="shared" si="56"/>
        <v>46083.0</v>
      </c>
      <c r="C128" s="26"/>
      <c r="D128" s="27" t="str">
        <f>IF(A128&gt;105,"Forecast",IF(A128=105,"Excluded partial",IF(A128&gt;$B$7+$B$6,"Final test",IF(A128&gt;$B$7,"Selection","Train"))))</f>
        <v>Forecast</v>
      </c>
      <c r="E128" s="26">
        <f>IF(D128="Selection",INDEX($C$15:$C$118,$B$7),IF(D128="Final test",INDEX($C$15:$C$118,$B$7+$B$6),IF(D128="Forecast",INDEX($C$15:$C$118,$B$5),"")))</f>
        <v>331.6</v>
      </c>
      <c r="F128" s="26">
        <f>IF(OR(D128="Selection",D128="Final test",D128="Forecast"),FORECAST(A128,$C$15:INDEX($C$15:$C$118,IF(D128="Selection",$B$7,IF(D128="Final test",$B$7+$B$6,$B$5))),$A$15:INDEX($A$15:$A$118,IF(D128="Selection",$B$7,IF(D128="Final test",$B$7+$B$6,$B$5)))),"")</f>
        <v>267.293107329564</v>
      </c>
      <c r="G128" s="26">
        <f>IF(OR(D128="Selection",D128="Final test",D128="Forecast"),AVERAGE(INDEX($C$15:$C$118,IF(D128="Selection",$B$7,IF(D128="Final test",$B$7+$B$6,$B$5))-$B$9+1):INDEX($C$15:$C$118,IF(D128="Selection",$B$7,IF(D128="Final test",$B$7+$B$6,$B$5)))),"")</f>
        <v>233.138461538462</v>
      </c>
      <c r="H128" s="26">
        <f>IF(OR(D128="Selection",D128="Final test",D128="Forecast"),INDEX($C$15:$C$118,A128-52),"")</f>
        <v>425.5</v>
      </c>
      <c r="I128" s="26" t="str">
        <f>IF(OR(D128="Selection",D128="Final test"),ABS(C128-E128),"")</f>
        <v/>
      </c>
      <c r="J128" s="26" t="str">
        <f>IF(OR(D128="Selection",D128="Final test"),ABS(C128-F128),"")</f>
        <v/>
      </c>
      <c r="K128" s="26" t="str">
        <f>IF(OR(D128="Selection",D128="Final test"),ABS(C128-G128),"")</f>
        <v/>
      </c>
      <c r="L128" s="26" t="str">
        <f>IF(OR(D128="Selection",D128="Final test"),ABS(C128-H128),"")</f>
        <v/>
      </c>
      <c r="M128" s="26">
        <f>IF(OR(D128="Selection",D128="Final test",D128="Forecast"),CHOOSE($F$11,E128,F128,G128,H128),"")</f>
        <v>425.5</v>
      </c>
      <c r="N128" s="26">
        <f t="shared" ca="1" si="53"/>
        <v>338.541378610682</v>
      </c>
      <c r="O128" s="26">
        <f t="shared" ca="1" si="54"/>
        <v>512.458621389318</v>
      </c>
      <c r="P128" s="26">
        <f>IF($D128="Forecast",'Capacity and backlog'!$B$7,"")</f>
        <v>358.611718648252</v>
      </c>
      <c r="Q128" s="26">
        <f t="shared" ca="1" si="55"/>
        <v>66.8882813517482</v>
      </c>
    </row>
    <row r="129" spans="1:17" x14ac:dyDescent="0.2">
      <c r="A129" s="24">
        <f t="shared" si="42"/>
        <v>115</v>
      </c>
      <c r="B129" s="25">
        <f t="shared" si="56"/>
        <v>46090.0</v>
      </c>
      <c r="C129" s="26"/>
      <c r="D129" s="27" t="str">
        <f>IF(A129&gt;105,"Forecast",IF(A129=105,"Excluded partial",IF(A129&gt;$B$7+$B$6,"Final test",IF(A129&gt;$B$7,"Selection","Train"))))</f>
        <v>Forecast</v>
      </c>
      <c r="E129" s="26">
        <f>IF(D129="Selection",INDEX($C$15:$C$118,$B$7),IF(D129="Final test",INDEX($C$15:$C$118,$B$7+$B$6),IF(D129="Forecast",INDEX($C$15:$C$118,$B$5),"")))</f>
        <v>331.6</v>
      </c>
      <c r="F129" s="26">
        <f>IF(OR(D129="Selection",D129="Final test",D129="Forecast"),FORECAST(A129,$C$15:INDEX($C$15:$C$118,IF(D129="Selection",$B$7,IF(D129="Final test",$B$7+$B$6,$B$5))),$A$15:INDEX($A$15:$A$118,IF(D129="Selection",$B$7,IF(D129="Final test",$B$7+$B$6,$B$5)))),"")</f>
        <v>267.374983996586</v>
      </c>
      <c r="G129" s="26">
        <f>IF(OR(D129="Selection",D129="Final test",D129="Forecast"),AVERAGE(INDEX($C$15:$C$118,IF(D129="Selection",$B$7,IF(D129="Final test",$B$7+$B$6,$B$5))-$B$9+1):INDEX($C$15:$C$118,IF(D129="Selection",$B$7,IF(D129="Final test",$B$7+$B$6,$B$5)))),"")</f>
        <v>233.138461538462</v>
      </c>
      <c r="H129" s="26">
        <f>IF(OR(D129="Selection",D129="Final test",D129="Forecast"),INDEX($C$15:$C$118,A129-52),"")</f>
        <v>533.4</v>
      </c>
      <c r="I129" s="26" t="str">
        <f>IF(OR(D129="Selection",D129="Final test"),ABS(C129-E129),"")</f>
        <v/>
      </c>
      <c r="J129" s="26" t="str">
        <f>IF(OR(D129="Selection",D129="Final test"),ABS(C129-F129),"")</f>
        <v/>
      </c>
      <c r="K129" s="26" t="str">
        <f>IF(OR(D129="Selection",D129="Final test"),ABS(C129-G129),"")</f>
        <v/>
      </c>
      <c r="L129" s="26" t="str">
        <f>IF(OR(D129="Selection",D129="Final test"),ABS(C129-H129),"")</f>
        <v/>
      </c>
      <c r="M129" s="26">
        <f>IF(OR(D129="Selection",D129="Final test",D129="Forecast"),CHOOSE($F$11,E129,F129,G129,H129),"")</f>
        <v>533.4</v>
      </c>
      <c r="N129" s="26">
        <f t="shared" ca="1" si="53"/>
        <v>446.441378610682</v>
      </c>
      <c r="O129" s="26">
        <f t="shared" ca="1" si="54"/>
        <v>620.358621389318</v>
      </c>
      <c r="P129" s="26">
        <f>IF($D129="Forecast",'Capacity and backlog'!$B$7,"")</f>
        <v>358.611718648252</v>
      </c>
      <c r="Q129" s="26">
        <f t="shared" ca="1" si="55"/>
        <v>174.788281351748</v>
      </c>
    </row>
    <row r="130" spans="1:17" x14ac:dyDescent="0.2">
      <c r="A130" s="24">
        <f t="shared" si="42"/>
        <v>116</v>
      </c>
      <c r="B130" s="25">
        <f t="shared" si="56"/>
        <v>46097.0</v>
      </c>
      <c r="C130" s="26"/>
      <c r="D130" s="27" t="str">
        <f>IF(A130&gt;105,"Forecast",IF(A130=105,"Excluded partial",IF(A130&gt;$B$7+$B$6,"Final test",IF(A130&gt;$B$7,"Selection","Train"))))</f>
        <v>Forecast</v>
      </c>
      <c r="E130" s="26">
        <f>IF(D130="Selection",INDEX($C$15:$C$118,$B$7),IF(D130="Final test",INDEX($C$15:$C$118,$B$7+$B$6),IF(D130="Forecast",INDEX($C$15:$C$118,$B$5),"")))</f>
        <v>331.6</v>
      </c>
      <c r="F130" s="26">
        <f>IF(OR(D130="Selection",D130="Final test",D130="Forecast"),FORECAST(A130,$C$15:INDEX($C$15:$C$118,IF(D130="Selection",$B$7,IF(D130="Final test",$B$7+$B$6,$B$5))),$A$15:INDEX($A$15:$A$118,IF(D130="Selection",$B$7,IF(D130="Final test",$B$7+$B$6,$B$5)))),"")</f>
        <v>267.456860663608</v>
      </c>
      <c r="G130" s="26">
        <f>IF(OR(D130="Selection",D130="Final test",D130="Forecast"),AVERAGE(INDEX($C$15:$C$118,IF(D130="Selection",$B$7,IF(D130="Final test",$B$7+$B$6,$B$5))-$B$9+1):INDEX($C$15:$C$118,IF(D130="Selection",$B$7,IF(D130="Final test",$B$7+$B$6,$B$5)))),"")</f>
        <v>233.138461538462</v>
      </c>
      <c r="H130" s="26">
        <f>IF(OR(D130="Selection",D130="Final test",D130="Forecast"),INDEX($C$15:$C$118,A130-52),"")</f>
        <v>244.8</v>
      </c>
      <c r="I130" s="26" t="str">
        <f>IF(OR(D130="Selection",D130="Final test"),ABS(C130-E130),"")</f>
        <v/>
      </c>
      <c r="J130" s="26" t="str">
        <f>IF(OR(D130="Selection",D130="Final test"),ABS(C130-F130),"")</f>
        <v/>
      </c>
      <c r="K130" s="26" t="str">
        <f>IF(OR(D130="Selection",D130="Final test"),ABS(C130-G130),"")</f>
        <v/>
      </c>
      <c r="L130" s="26" t="str">
        <f>IF(OR(D130="Selection",D130="Final test"),ABS(C130-H130),"")</f>
        <v/>
      </c>
      <c r="M130" s="26">
        <f>IF(OR(D130="Selection",D130="Final test",D130="Forecast"),CHOOSE($F$11,E130,F130,G130,H130),"")</f>
        <v>244.8</v>
      </c>
      <c r="N130" s="26">
        <f t="shared" ca="1" si="53"/>
        <v>157.841378610682</v>
      </c>
      <c r="O130" s="26">
        <f t="shared" ca="1" si="54"/>
        <v>331.758621389319</v>
      </c>
      <c r="P130" s="26">
        <f>IF($D130="Forecast",'Capacity and backlog'!$B$7,"")</f>
        <v>358.611718648252</v>
      </c>
      <c r="Q130" s="26">
        <f t="shared" ca="1" si="55"/>
        <v>-113.811718648252</v>
      </c>
    </row>
    <row r="131" spans="1:17" x14ac:dyDescent="0.2">
      <c r="A131" s="24">
        <f t="shared" si="42"/>
        <v>117</v>
      </c>
      <c r="B131" s="25">
        <f t="shared" si="56"/>
        <v>46104.0</v>
      </c>
      <c r="C131" s="26"/>
      <c r="D131" s="27" t="str">
        <f>IF(A131&gt;105,"Forecast",IF(A131=105,"Excluded partial",IF(A131&gt;$B$7+$B$6,"Final test",IF(A131&gt;$B$7,"Selection","Train"))))</f>
        <v>Forecast</v>
      </c>
      <c r="E131" s="26">
        <f>IF(D131="Selection",INDEX($C$15:$C$118,$B$7),IF(D131="Final test",INDEX($C$15:$C$118,$B$7+$B$6),IF(D131="Forecast",INDEX($C$15:$C$118,$B$5),"")))</f>
        <v>331.6</v>
      </c>
      <c r="F131" s="26">
        <f>IF(OR(D131="Selection",D131="Final test",D131="Forecast"),FORECAST(A131,$C$15:INDEX($C$15:$C$118,IF(D131="Selection",$B$7,IF(D131="Final test",$B$7+$B$6,$B$5))),$A$15:INDEX($A$15:$A$118,IF(D131="Selection",$B$7,IF(D131="Final test",$B$7+$B$6,$B$5)))),"")</f>
        <v>267.538737330631</v>
      </c>
      <c r="G131" s="26">
        <f>IF(OR(D131="Selection",D131="Final test",D131="Forecast"),AVERAGE(INDEX($C$15:$C$118,IF(D131="Selection",$B$7,IF(D131="Final test",$B$7+$B$6,$B$5))-$B$9+1):INDEX($C$15:$C$118,IF(D131="Selection",$B$7,IF(D131="Final test",$B$7+$B$6,$B$5)))),"")</f>
        <v>233.138461538462</v>
      </c>
      <c r="H131" s="26">
        <f>IF(OR(D131="Selection",D131="Final test",D131="Forecast"),INDEX($C$15:$C$118,A131-52),"")</f>
        <v>388.8</v>
      </c>
      <c r="I131" s="26" t="str">
        <f>IF(OR(D131="Selection",D131="Final test"),ABS(C131-E131),"")</f>
        <v/>
      </c>
      <c r="J131" s="26" t="str">
        <f>IF(OR(D131="Selection",D131="Final test"),ABS(C131-F131),"")</f>
        <v/>
      </c>
      <c r="K131" s="26" t="str">
        <f>IF(OR(D131="Selection",D131="Final test"),ABS(C131-G131),"")</f>
        <v/>
      </c>
      <c r="L131" s="26" t="str">
        <f>IF(OR(D131="Selection",D131="Final test"),ABS(C131-H131),"")</f>
        <v/>
      </c>
      <c r="M131" s="26">
        <f>IF(OR(D131="Selection",D131="Final test",D131="Forecast"),CHOOSE($F$11,E131,F131,G131,H131),"")</f>
        <v>388.8</v>
      </c>
      <c r="N131" s="26">
        <f t="shared" ca="1" si="53"/>
        <v>301.841378610682</v>
      </c>
      <c r="O131" s="26">
        <f t="shared" ca="1" si="54"/>
        <v>475.758621389319</v>
      </c>
      <c r="P131" s="26">
        <f>IF($D131="Forecast",'Capacity and backlog'!$B$7,"")</f>
        <v>358.611718648252</v>
      </c>
      <c r="Q131" s="26">
        <f t="shared" ca="1" si="55"/>
        <v>30.1882813517482</v>
      </c>
    </row>
    <row r="132" spans="1:17" x14ac:dyDescent="0.2">
      <c r="A132" s="24">
        <f t="shared" si="42"/>
        <v>118</v>
      </c>
      <c r="B132" s="25">
        <f t="shared" si="56"/>
        <v>46111.0</v>
      </c>
      <c r="C132" s="26"/>
      <c r="D132" s="27" t="str">
        <f>IF(A132&gt;105,"Forecast",IF(A132=105,"Excluded partial",IF(A132&gt;$B$7+$B$6,"Final test",IF(A132&gt;$B$7,"Selection","Train"))))</f>
        <v>Forecast</v>
      </c>
      <c r="E132" s="26">
        <f>IF(D132="Selection",INDEX($C$15:$C$118,$B$7),IF(D132="Final test",INDEX($C$15:$C$118,$B$7+$B$6),IF(D132="Forecast",INDEX($C$15:$C$118,$B$5),"")))</f>
        <v>331.6</v>
      </c>
      <c r="F132" s="26">
        <f>IF(OR(D132="Selection",D132="Final test",D132="Forecast"),FORECAST(A132,$C$15:INDEX($C$15:$C$118,IF(D132="Selection",$B$7,IF(D132="Final test",$B$7+$B$6,$B$5))),$A$15:INDEX($A$15:$A$118,IF(D132="Selection",$B$7,IF(D132="Final test",$B$7+$B$6,$B$5)))),"")</f>
        <v>267.620613997653</v>
      </c>
      <c r="G132" s="26">
        <f>IF(OR(D132="Selection",D132="Final test",D132="Forecast"),AVERAGE(INDEX($C$15:$C$118,IF(D132="Selection",$B$7,IF(D132="Final test",$B$7+$B$6,$B$5))-$B$9+1):INDEX($C$15:$C$118,IF(D132="Selection",$B$7,IF(D132="Final test",$B$7+$B$6,$B$5)))),"")</f>
        <v>233.138461538462</v>
      </c>
      <c r="H132" s="26">
        <f>IF(OR(D132="Selection",D132="Final test",D132="Forecast"),INDEX($C$15:$C$118,A132-52),"")</f>
        <v>398.2</v>
      </c>
      <c r="I132" s="26" t="str">
        <f>IF(OR(D132="Selection",D132="Final test"),ABS(C132-E132),"")</f>
        <v/>
      </c>
      <c r="J132" s="26" t="str">
        <f>IF(OR(D132="Selection",D132="Final test"),ABS(C132-F132),"")</f>
        <v/>
      </c>
      <c r="K132" s="26" t="str">
        <f>IF(OR(D132="Selection",D132="Final test"),ABS(C132-G132),"")</f>
        <v/>
      </c>
      <c r="L132" s="26" t="str">
        <f>IF(OR(D132="Selection",D132="Final test"),ABS(C132-H132),"")</f>
        <v/>
      </c>
      <c r="M132" s="26">
        <f>IF(OR(D132="Selection",D132="Final test",D132="Forecast"),CHOOSE($F$11,E132,F132,G132,H132),"")</f>
        <v>398.2</v>
      </c>
      <c r="N132" s="26">
        <f t="shared" ca="1" si="53"/>
        <v>311.241378610682</v>
      </c>
      <c r="O132" s="26">
        <f t="shared" ca="1" si="54"/>
        <v>485.158621389318</v>
      </c>
      <c r="P132" s="26">
        <f>IF($D132="Forecast",'Capacity and backlog'!$B$7,"")</f>
        <v>358.611718648252</v>
      </c>
      <c r="Q132" s="26">
        <f t="shared" ca="1" si="55"/>
        <v>39.5882813517482</v>
      </c>
    </row>
    <row r="134" spans="1:17" x14ac:dyDescent="0.2">
      <c r="A134" s="4" t="str">
        <v>Band = forecast plus/minus multiplier × final-test RMSE. It is an illustrative sensitivity band, not a validated probability interval. Training and tests use full weeks only.</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K26"/>
  <sheetViews>
    <sheetView zoomScaleNormal="100" workbookViewId="0"/>
  </sheetViews>
  <sheetFormatPr defaultColWidth="8.7109375" defaultRowHeight="12.75" x14ac:dyDescent="0.2"/>
  <cols>
    <col min="1" max="1" width="34" customWidth="1"/>
    <col min="2" max="2" width="15" customWidth="1"/>
    <col min="3" max="5" width="14" customWidth="1"/>
    <col min="6" max="6" width="12" customWidth="1"/>
    <col min="7" max="7" width="15" customWidth="1"/>
    <col min="8" max="8" width="12" customWidth="1"/>
    <col min="9" max="9" width="16" customWidth="1"/>
    <col min="10" max="10" width="14" customWidth="1"/>
    <col min="11" max="11" width="12" customWidth="1"/>
  </cols>
  <sheetData>
    <row r="2" spans="1:2" ht="19.5" x14ac:dyDescent="0.3">
      <c r="A2" s="1" t="s">
        <v>9545</v>
      </c>
    </row>
    <row r="4" spans="1:2" x14ac:dyDescent="0.2">
      <c r="A4" s="5" t="s">
        <v>9546</v>
      </c>
      <c r="B4" s="5" t="s">
        <v>68</v>
      </c>
    </row>
    <row r="5" spans="1:2" x14ac:dyDescent="0.2">
      <c r="A5" s="2" t="s">
        <v>9547</v>
      </c>
      <c r="B5" s="23">
        <f>MIN('Weekly forecast'!B120:B132)</f>
        <v>46027.0</v>
      </c>
    </row>
    <row r="6" spans="1:2" x14ac:dyDescent="0.2">
      <c r="A6" s="2" t="s">
        <v>9548</v>
      </c>
      <c r="B6" s="20">
        <f>COUNTIFS('Weekly forecast'!$D$15:$D$132,"Forecast")</f>
        <v>13</v>
      </c>
    </row>
    <row r="7" spans="1:2" x14ac:dyDescent="0.2">
      <c r="A7" s="2" t="s">
        <v>73</v>
      </c>
      <c r="B7" s="9">
        <f ca="1">SUMIFS('Weekly forecast'!$M$15:$M$132,'Weekly forecast'!$D$15:$D$132,"Forecast")</f>
        <v>4334.6</v>
      </c>
    </row>
    <row r="8" spans="1:2" x14ac:dyDescent="0.2">
      <c r="A8" s="2" t="s">
        <v>9549</v>
      </c>
      <c r="B8" s="9">
        <f>'Open work snapshot'!B6</f>
        <v>521.629776703585</v>
      </c>
    </row>
    <row r="9" spans="1:2" x14ac:dyDescent="0.2">
      <c r="A9" s="2" t="s">
        <v>9550</v>
      </c>
      <c r="B9" s="9">
        <f ca="1">B7+B8</f>
        <v>4856.22977670359</v>
      </c>
    </row>
    <row r="10" spans="1:2" x14ac:dyDescent="0.2">
      <c r="A10" s="2" t="s">
        <v>9551</v>
      </c>
      <c r="B10" s="9">
        <f>'Capacity and backlog'!B7*B6</f>
        <v>4661.95234242727</v>
      </c>
    </row>
    <row r="11" spans="1:2" x14ac:dyDescent="0.2">
      <c r="A11" s="2" t="s">
        <v>9552</v>
      </c>
      <c r="B11" s="6">
        <f ca="1">IF(B10=0,"",B9/B10)</f>
        <v>1.04167297732931</v>
      </c>
    </row>
    <row r="12" spans="1:2" x14ac:dyDescent="0.2">
      <c r="A12" s="2" t="s">
        <v>9553</v>
      </c>
      <c r="B12" s="21">
        <v>26</v>
      </c>
    </row>
    <row r="13" spans="1:2" x14ac:dyDescent="0.2">
      <c r="A13" s="2" t="s">
        <v>9554</v>
      </c>
      <c r="B13" s="23">
        <f>'Weekly forecast'!B118-7*(B12-1)</f>
        <v>45838.0</v>
      </c>
    </row>
    <row r="15" spans="1:2" x14ac:dyDescent="0.2">
      <c r="A15" s="4" t="str">
        <v>Skill shares use incoming estimates in the last 26 complete weeks. The Dec 30 snapshot backlog is carried into Jan 5 with no intervening clearance assumed. Capacity is a staffing scenario.</v>
      </c>
    </row>
    <row r="17" spans="1:11" ht="30" customHeight="1" x14ac:dyDescent="0.2">
      <c r="A17" s="5" t="s">
        <v>9471</v>
      </c>
      <c r="B17" s="5" t="s">
        <v>9556</v>
      </c>
      <c r="C17" s="5" t="s">
        <v>9499</v>
      </c>
      <c r="D17" s="5" t="s">
        <v>9557</v>
      </c>
      <c r="E17" s="5" t="s">
        <v>9558</v>
      </c>
      <c r="F17" s="5" t="s">
        <v>9472</v>
      </c>
      <c r="G17" s="5" t="s">
        <v>75</v>
      </c>
      <c r="H17" s="5" t="s">
        <v>9552</v>
      </c>
      <c r="I17" s="5" t="s">
        <v>9559</v>
      </c>
      <c r="J17" s="5" t="s">
        <v>9560</v>
      </c>
      <c r="K17" s="5" t="s">
        <v>8275</v>
      </c>
    </row>
    <row r="18" spans="1:11" x14ac:dyDescent="0.2">
      <c r="A18" s="3" t="s">
        <v>129</v>
      </c>
      <c r="B18" s="6">
        <f>SUMIFS(tblWorkPackages[Estimated labor hours],tblWorkPackages[Required skill],$A18,tblWorkPackages[Request date serial],"&gt;="&amp;$B$13,tblWorkPackages[Request date serial],"&lt;="&amp;'Weekly forecast'!$B$118+6)/SUMIFS(tblWorkPackages[Estimated labor hours],tblWorkPackages[Request date serial],"&gt;="&amp;$B$13,tblWorkPackages[Request date serial],"&lt;="&amp;'Weekly forecast'!$B$118+6)</f>
        <v>0.164274271066966</v>
      </c>
      <c r="C18" s="9">
        <f t="shared" ref="C18:C23" ca="1" si="0">B18*$B$7</f>
        <v>712.06325536687</v>
      </c>
      <c r="D18" s="9">
        <f>IFERROR(INDEX('Open work snapshot'!$N$12:$N$17,MATCH($A18,'Open work snapshot'!$M$12:$M$17,0)),0)</f>
        <v>81.0144356243435</v>
      </c>
      <c r="E18" s="9">
        <f t="shared" ref="E18:E23" ca="1" si="1">C18+D18</f>
        <v>793.077690991213</v>
      </c>
      <c r="F18" s="28">
        <f>INDEX('Capacity and backlog'!$B$122:$B$127,MATCH($A18,'Capacity and backlog'!$A$122:$A$127,0))</f>
        <v>2</v>
      </c>
      <c r="G18" s="9">
        <f>INDEX('Capacity and backlog'!$C$122:$C$127,MATCH($A18,'Capacity and backlog'!$A$122:$A$127,0))*$B$6</f>
        <v>847.610269899667</v>
      </c>
      <c r="H18" s="6">
        <f t="shared" ref="H18:H24" ca="1" si="2">IF(G18=0,"",E18/G18)</f>
        <v>0.935663145144633</v>
      </c>
      <c r="I18" s="9">
        <f t="shared" ref="I18:I23" ca="1" si="3">E18-G18</f>
        <v>-54.5325789084533</v>
      </c>
      <c r="J18" s="29">
        <f t="shared" ref="J18:J23" ca="1" si="4">IF(OR(F18=0,G18=0),"",I18/(G18/F18))</f>
        <v>-0.128673709710734</v>
      </c>
      <c r="K18" s="3" t="str">
        <f t="shared" ref="K18:K23" ca="1" si="5">IF(G18=0,"No capacity",IF(H18&gt;1,"Short",IF(H18&gt;=0.9,"Tight","OK")))</f>
        <v>Tight</v>
      </c>
    </row>
    <row r="19" spans="1:11" x14ac:dyDescent="0.2">
      <c r="A19" s="3" t="s">
        <v>138</v>
      </c>
      <c r="B19" s="6">
        <f>SUMIFS(tblWorkPackages[Estimated labor hours],tblWorkPackages[Required skill],$A19,tblWorkPackages[Request date serial],"&gt;="&amp;$B$13,tblWorkPackages[Request date serial],"&lt;="&amp;'Weekly forecast'!$B$118+6)/SUMIFS(tblWorkPackages[Estimated labor hours],tblWorkPackages[Request date serial],"&gt;="&amp;$B$13,tblWorkPackages[Request date serial],"&lt;="&amp;'Weekly forecast'!$B$118+6)</f>
        <v>0.312624158923422</v>
      </c>
      <c r="C19" s="9">
        <f t="shared" ca="1" si="0"/>
        <v>1355.10067926947</v>
      </c>
      <c r="D19" s="9">
        <f>IFERROR(INDEX('Open work snapshot'!$N$12:$N$17,MATCH($A19,'Open work snapshot'!$M$12:$M$17,0)),0)</f>
        <v>160.355196972647</v>
      </c>
      <c r="E19" s="9">
        <f t="shared" ca="1" si="1"/>
        <v>1515.45587624211</v>
      </c>
      <c r="F19" s="28">
        <f>INDEX('Capacity and backlog'!$B$122:$B$127,MATCH($A19,'Capacity and backlog'!$A$122:$A$127,0))</f>
        <v>3</v>
      </c>
      <c r="G19" s="9">
        <f>INDEX('Capacity and backlog'!$C$122:$C$127,MATCH($A19,'Capacity and backlog'!$A$122:$A$127,0))*$B$6</f>
        <v>1257.78795107156</v>
      </c>
      <c r="H19" s="6">
        <f t="shared" ca="1" si="2"/>
        <v>1.20485800086655</v>
      </c>
      <c r="I19" s="9">
        <f t="shared" ca="1" si="3"/>
        <v>257.667925170552</v>
      </c>
      <c r="J19" s="29">
        <f t="shared" ca="1" si="4"/>
        <v>0.614574002599645</v>
      </c>
      <c r="K19" s="3" t="str">
        <f t="shared" ca="1" si="5"/>
        <v>Short</v>
      </c>
    </row>
    <row r="20" spans="1:11" x14ac:dyDescent="0.2">
      <c r="A20" s="3" t="s">
        <v>273</v>
      </c>
      <c r="B20" s="6">
        <f>SUMIFS(tblWorkPackages[Estimated labor hours],tblWorkPackages[Required skill],$A20,tblWorkPackages[Request date serial],"&gt;="&amp;$B$13,tblWorkPackages[Request date serial],"&lt;="&amp;'Weekly forecast'!$B$118+6)/SUMIFS(tblWorkPackages[Estimated labor hours],tblWorkPackages[Request date serial],"&gt;="&amp;$B$13,tblWorkPackages[Request date serial],"&lt;="&amp;'Weekly forecast'!$B$118+6)</f>
        <v>0.0867350208266581</v>
      </c>
      <c r="C20" s="9">
        <f t="shared" ca="1" si="0"/>
        <v>375.961621275232</v>
      </c>
      <c r="D20" s="9">
        <f>IFERROR(INDEX('Open work snapshot'!$N$12:$N$17,MATCH($A20,'Open work snapshot'!$M$12:$M$17,0)),0)</f>
        <v>62.4109375</v>
      </c>
      <c r="E20" s="9">
        <f t="shared" ca="1" si="1"/>
        <v>438.372558775232</v>
      </c>
      <c r="F20" s="28">
        <f>INDEX('Capacity and backlog'!$B$122:$B$127,MATCH($A20,'Capacity and backlog'!$A$122:$A$127,0))</f>
        <v>1</v>
      </c>
      <c r="G20" s="9">
        <f>INDEX('Capacity and backlog'!$C$122:$C$127,MATCH($A20,'Capacity and backlog'!$A$122:$A$127,0))*$B$6</f>
        <v>424.625651650379</v>
      </c>
      <c r="H20" s="6">
        <f t="shared" ca="1" si="2"/>
        <v>1.03237417963664</v>
      </c>
      <c r="I20" s="9">
        <f t="shared" ca="1" si="3"/>
        <v>13.7469071248531</v>
      </c>
      <c r="J20" s="29">
        <f t="shared" ca="1" si="4"/>
        <v>0.0323741796366363</v>
      </c>
      <c r="K20" s="3" t="str">
        <f t="shared" ca="1" si="5"/>
        <v>Short</v>
      </c>
    </row>
    <row r="21" spans="1:11" x14ac:dyDescent="0.2">
      <c r="A21" s="3" t="s">
        <v>146</v>
      </c>
      <c r="B21" s="6">
        <f>SUMIFS(tblWorkPackages[Estimated labor hours],tblWorkPackages[Required skill],$A21,tblWorkPackages[Request date serial],"&gt;="&amp;$B$13,tblWorkPackages[Request date serial],"&lt;="&amp;'Weekly forecast'!$B$118+6)/SUMIFS(tblWorkPackages[Estimated labor hours],tblWorkPackages[Request date serial],"&gt;="&amp;$B$13,tblWorkPackages[Request date serial],"&lt;="&amp;'Weekly forecast'!$B$118+6)</f>
        <v>0.0845562319769305</v>
      </c>
      <c r="C21" s="9">
        <f t="shared" ca="1" si="0"/>
        <v>366.517443127203</v>
      </c>
      <c r="D21" s="9">
        <f>IFERROR(INDEX('Open work snapshot'!$N$12:$N$17,MATCH($A21,'Open work snapshot'!$M$12:$M$17,0)),0)</f>
        <v>39.6206451612903</v>
      </c>
      <c r="E21" s="9">
        <f t="shared" ca="1" si="1"/>
        <v>406.138088288493</v>
      </c>
      <c r="F21" s="28">
        <f>INDEX('Capacity and backlog'!$B$122:$B$127,MATCH($A21,'Capacity and backlog'!$A$122:$A$127,0))</f>
        <v>1</v>
      </c>
      <c r="G21" s="9">
        <f>INDEX('Capacity and backlog'!$C$122:$C$127,MATCH($A21,'Capacity and backlog'!$A$122:$A$127,0))*$B$6</f>
        <v>420.538362567872</v>
      </c>
      <c r="H21" s="6">
        <f t="shared" ca="1" si="2"/>
        <v>0.965757525207811</v>
      </c>
      <c r="I21" s="9">
        <f t="shared" ca="1" si="3"/>
        <v>-14.4002742793786</v>
      </c>
      <c r="J21" s="29">
        <f t="shared" ca="1" si="4"/>
        <v>-0.0342424747921886</v>
      </c>
      <c r="K21" s="3" t="str">
        <f t="shared" ca="1" si="5"/>
        <v>Tight</v>
      </c>
    </row>
    <row r="22" spans="1:11" x14ac:dyDescent="0.2">
      <c r="A22" s="3" t="s">
        <v>154</v>
      </c>
      <c r="B22" s="6">
        <f>SUMIFS(tblWorkPackages[Estimated labor hours],tblWorkPackages[Required skill],$A22,tblWorkPackages[Request date serial],"&gt;="&amp;$B$13,tblWorkPackages[Request date serial],"&lt;="&amp;'Weekly forecast'!$B$118+6)/SUMIFS(tblWorkPackages[Estimated labor hours],tblWorkPackages[Request date serial],"&gt;="&amp;$B$13,tblWorkPackages[Request date serial],"&lt;="&amp;'Weekly forecast'!$B$118+6)</f>
        <v>0.180390900352451</v>
      </c>
      <c r="C22" s="9">
        <f t="shared" ca="1" si="0"/>
        <v>781.922396667735</v>
      </c>
      <c r="D22" s="9">
        <f>IFERROR(INDEX('Open work snapshot'!$N$12:$N$17,MATCH($A22,'Open work snapshot'!$M$12:$M$17,0)),0)</f>
        <v>55.1546484018265</v>
      </c>
      <c r="E22" s="9">
        <f t="shared" ca="1" si="1"/>
        <v>837.077045069561</v>
      </c>
      <c r="F22" s="28">
        <f>INDEX('Capacity and backlog'!$B$122:$B$127,MATCH($A22,'Capacity and backlog'!$A$122:$A$127,0))</f>
        <v>2</v>
      </c>
      <c r="G22" s="9">
        <f>INDEX('Capacity and backlog'!$C$122:$C$127,MATCH($A22,'Capacity and backlog'!$A$122:$A$127,0))*$B$6</f>
        <v>876.239624222616</v>
      </c>
      <c r="H22" s="6">
        <f t="shared" ca="1" si="2"/>
        <v>0.955306085150167</v>
      </c>
      <c r="I22" s="9">
        <f t="shared" ca="1" si="3"/>
        <v>-39.1625791530551</v>
      </c>
      <c r="J22" s="29">
        <f t="shared" ca="1" si="4"/>
        <v>-0.0893878296996655</v>
      </c>
      <c r="K22" s="3" t="str">
        <f t="shared" ca="1" si="5"/>
        <v>Tight</v>
      </c>
    </row>
    <row r="23" spans="1:11" x14ac:dyDescent="0.2">
      <c r="A23" s="3" t="s">
        <v>210</v>
      </c>
      <c r="B23" s="6">
        <f>SUMIFS(tblWorkPackages[Estimated labor hours],tblWorkPackages[Required skill],$A23,tblWorkPackages[Request date serial],"&gt;="&amp;$B$13,tblWorkPackages[Request date serial],"&lt;="&amp;'Weekly forecast'!$B$118+6)/SUMIFS(tblWorkPackages[Estimated labor hours],tblWorkPackages[Request date serial],"&gt;="&amp;$B$13,tblWorkPackages[Request date serial],"&lt;="&amp;'Weekly forecast'!$B$118+6)</f>
        <v>0.171419416853573</v>
      </c>
      <c r="C23" s="9">
        <f t="shared" ca="1" si="0"/>
        <v>743.034604293496</v>
      </c>
      <c r="D23" s="9">
        <f>IFERROR(INDEX('Open work snapshot'!$N$12:$N$17,MATCH($A23,'Open work snapshot'!$M$12:$M$17,0)),0)</f>
        <v>123.073913043478</v>
      </c>
      <c r="E23" s="9">
        <f t="shared" ca="1" si="1"/>
        <v>866.108517336974</v>
      </c>
      <c r="F23" s="28">
        <f>INDEX('Capacity and backlog'!$B$122:$B$127,MATCH($A23,'Capacity and backlog'!$A$122:$A$127,0))</f>
        <v>2</v>
      </c>
      <c r="G23" s="9">
        <f>INDEX('Capacity and backlog'!$C$122:$C$127,MATCH($A23,'Capacity and backlog'!$A$122:$A$127,0))*$B$6</f>
        <v>835.15048301518</v>
      </c>
      <c r="H23" s="6">
        <f t="shared" ca="1" si="2"/>
        <v>1.03706880969526</v>
      </c>
      <c r="I23" s="9">
        <f t="shared" ca="1" si="3"/>
        <v>30.9580343217942</v>
      </c>
      <c r="J23" s="29">
        <f t="shared" ca="1" si="4"/>
        <v>0.0741376193905202</v>
      </c>
      <c r="K23" s="3" t="str">
        <f t="shared" ca="1" si="5"/>
        <v>Short</v>
      </c>
    </row>
    <row r="24" spans="1:11" x14ac:dyDescent="0.2">
      <c r="A24" s="30" t="s">
        <v>9561</v>
      </c>
      <c r="B24" s="31">
        <f t="shared" ref="B24:G24" si="6">SUM(B18:B23)</f>
        <v>1</v>
      </c>
      <c r="C24" s="32">
        <f t="shared" ca="1" si="6"/>
        <v>4334.6</v>
      </c>
      <c r="D24" s="32">
        <f t="shared" si="6"/>
        <v>521.629776703585</v>
      </c>
      <c r="E24" s="32">
        <f t="shared" ca="1" si="6"/>
        <v>4856.22977670359</v>
      </c>
      <c r="F24" s="33">
        <f t="shared" si="6"/>
        <v>11</v>
      </c>
      <c r="G24" s="32">
        <f t="shared" si="6"/>
        <v>4661.95234242727</v>
      </c>
      <c r="H24" s="31">
        <f t="shared" ca="1" si="2"/>
        <v>1.04167297732931</v>
      </c>
      <c r="I24" s="32">
        <f ca="1">SUM(I18:I23)</f>
        <v>194.277434276312</v>
      </c>
      <c r="J24" s="34">
        <f ca="1">SUM(J18:J23)</f>
        <v>0.468781787424213</v>
      </c>
    </row>
    <row r="26" spans="1:11" x14ac:dyDescent="0.2">
      <c r="A26" s="4" t="s">
        <v>9562</v>
      </c>
    </row>
  </sheetData>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H86"/>
  <sheetViews>
    <sheetView showGridLines="0" zoomScaleNormal="100" workbookViewId="0">
      <pane ySplit="4" topLeftCell="A94" activePane="bottomLeft" state="frozen"/>
      <selection pane="bottomLeft" activeCell="D8" sqref="D8"/>
    </sheetView>
  </sheetViews>
  <sheetFormatPr defaultColWidth="8.7109375" defaultRowHeight="12.75" x14ac:dyDescent="0.2"/>
  <cols>
    <col min="1" max="1" width="34" customWidth="1"/>
    <col min="2" max="2" width="12" customWidth="1"/>
    <col min="3" max="3" width="13" customWidth="1"/>
    <col min="4" max="4" width="16" customWidth="1"/>
    <col min="5" max="5" width="14" customWidth="1"/>
    <col min="6" max="7" width="16" customWidth="1"/>
    <col min="8" max="8" width="14" customWidth="1"/>
  </cols>
  <sheetData>
    <row r="2" spans="1:8" ht="19.5" x14ac:dyDescent="0.3">
      <c r="A2" s="1" t="s">
        <v>9563</v>
      </c>
    </row>
    <row r="3" spans="1:8" x14ac:dyDescent="0.2">
      <c r="A3" s="4" t="s">
        <v>9564</v>
      </c>
    </row>
    <row r="5" spans="1:8" ht="15" x14ac:dyDescent="0.25">
      <c r="A5" s="5" t="s">
        <v>67</v>
      </c>
      <c r="B5" s="5" t="s">
        <v>68</v>
      </c>
      <c r="D5" s="5" t="s">
        <v>9565</v>
      </c>
      <c r="E5" s="35"/>
      <c r="F5" s="35"/>
      <c r="G5" s="35"/>
      <c r="H5" s="35"/>
    </row>
    <row r="6" spans="1:8" ht="15" x14ac:dyDescent="0.25">
      <c r="A6" s="2" t="s">
        <v>9566</v>
      </c>
      <c r="B6" s="36">
        <f>COUNTA(tblWorkPackages[Work package ID])</f>
        <v>2400</v>
      </c>
      <c r="D6" s="37" t="str">
        <f>"Only "&amp;TEXT(B7,"0%")&amp;" of jobs finished by their due date; late jobs ran "&amp;TEXT(B9,"0.0")&amp;" days late on average."</f>
        <v>Only 52% of jobs finished by their due date; late jobs ran 13.5 days late on average.</v>
      </c>
      <c r="E6" s="38"/>
      <c r="F6" s="38"/>
      <c r="G6" s="38"/>
      <c r="H6" s="38"/>
    </row>
    <row r="7" spans="1:8" ht="15" x14ac:dyDescent="0.25">
      <c r="A7" s="2" t="s">
        <v>80</v>
      </c>
      <c r="B7" s="6">
        <f>1-AVERAGE(tblWorkPackages[Late (0/1)])</f>
        <v>0.515416666666667</v>
      </c>
      <c r="D7" s="37" t="str">
        <f>"Jobs spend "&amp;TEXT(B11,"0%")&amp;" of their flow time in queue before any labor is booked."</f>
        <v>Jobs spend 81% of their flow time in queue before any labor is booked.</v>
      </c>
      <c r="E7" s="38"/>
      <c r="F7" s="38"/>
      <c r="G7" s="38"/>
      <c r="H7" s="38"/>
    </row>
    <row r="8" spans="1:8" ht="15" x14ac:dyDescent="0.25">
      <c r="A8" s="2" t="s">
        <v>9567</v>
      </c>
      <c r="B8" s="36">
        <f>SUM(tblWorkPackages[Late (0/1)])</f>
        <v>1163</v>
      </c>
      <c r="D8" s="37" t="str">
        <f>"Part delays cause "&amp;TEXT(D44,"0%")&amp;" of all days lost to disruptions."</f>
        <v>Part delays cause 77% of all days lost to disruptions.</v>
      </c>
      <c r="E8" s="38"/>
      <c r="F8" s="38"/>
      <c r="G8" s="38"/>
      <c r="H8" s="38"/>
    </row>
    <row r="9" spans="1:8" ht="15" x14ac:dyDescent="0.25">
      <c r="A9" s="2" t="s">
        <v>9568</v>
      </c>
      <c r="B9" s="28">
        <f>AVERAGEIFS(tblWorkPackages[Days late],tblWorkPackages[Late (0/1)],1)</f>
        <v>13.5356835769561</v>
      </c>
      <c r="D9" s="37" t="str">
        <f>"Jobs with a delayed part are late "&amp;TEXT(B15,"0%")&amp;" of the time, versus "&amp;TEXT(B16,"0%")&amp;" for other jobs."</f>
        <v>Jobs with a delayed part are late 76% of the time, versus 47% for other jobs.</v>
      </c>
      <c r="E9" s="38"/>
      <c r="F9" s="38"/>
      <c r="G9" s="38"/>
      <c r="H9" s="38"/>
    </row>
    <row r="10" spans="1:8" ht="15" x14ac:dyDescent="0.25">
      <c r="A10" s="2" t="s">
        <v>9569</v>
      </c>
      <c r="B10" s="28">
        <f>MEDIAN(tblWorkPackages[Flow days])</f>
        <v>8</v>
      </c>
      <c r="D10" s="37" t="str">
        <f>"On-time rate by priority: Urgent "&amp;TEXT(C21,"0%")&amp;", High "&amp;TEXT(C22,"0%")&amp;", Routine "&amp;TEXT(C23,"0%")&amp;"."</f>
        <v>On-time rate by priority: Urgent 4%, High 39%, Routine 67%.</v>
      </c>
      <c r="E10" s="38"/>
      <c r="F10" s="38"/>
      <c r="G10" s="38"/>
      <c r="H10" s="38"/>
    </row>
    <row r="11" spans="1:8" ht="15" x14ac:dyDescent="0.25">
      <c r="A11" s="2" t="s">
        <v>9570</v>
      </c>
      <c r="B11" s="6">
        <f>SUM(tblWorkPackages[Queue days])/SUM(tblWorkPackages[Flow days])</f>
        <v>0.813630212818305</v>
      </c>
      <c r="D11" s="37" t="str">
        <f>"Most delay days by part category: "&amp;INDEX(A54:A59,MATCH(MAX(E54:E59),E54:E59,0))&amp;" ("&amp;TEXT(MAX(E54:E59),"0")&amp;" days)."</f>
        <v>Most delay days by part category: Seal kit (232 days).</v>
      </c>
      <c r="E11" s="38"/>
      <c r="F11" s="38"/>
      <c r="G11" s="38"/>
      <c r="H11" s="38"/>
    </row>
    <row r="12" spans="1:8" ht="15" x14ac:dyDescent="0.25">
      <c r="A12" s="2" t="s">
        <v>9571</v>
      </c>
      <c r="B12" s="6">
        <f>SUM(tblWorkPackages[Work span days])/SUM(tblWorkPackages[Flow days])</f>
        <v>0.0756550621232624</v>
      </c>
      <c r="D12" s="37" t="str">
        <f>"Worst task type on time: "&amp;INDEX(A28:A39,MATCH(MIN(C28:C39),C28:C39,0))&amp;" ("&amp;TEXT(MIN(C28:C39),"0%")&amp;")."</f>
        <v>Worst task type on time: Structural repair (44%).</v>
      </c>
      <c r="E12" s="38"/>
      <c r="F12" s="38"/>
      <c r="G12" s="38"/>
      <c r="H12" s="38"/>
    </row>
    <row r="13" spans="1:8" x14ac:dyDescent="0.2">
      <c r="A13" s="2" t="s">
        <v>9572</v>
      </c>
      <c r="B13" s="6">
        <f>SUM(tblWorkPackages[Closeout days])/SUM(tblWorkPackages[Flow days])</f>
        <v>0.110714725058433</v>
      </c>
    </row>
    <row r="14" spans="1:8" x14ac:dyDescent="0.2">
      <c r="A14" s="2" t="s">
        <v>9573</v>
      </c>
      <c r="B14" s="36">
        <f>SUM(tblDisruptions[Impact days])</f>
        <v>1385</v>
      </c>
    </row>
    <row r="15" spans="1:8" x14ac:dyDescent="0.2">
      <c r="A15" s="2" t="s">
        <v>9574</v>
      </c>
      <c r="B15" s="6">
        <f>AVERAGEIFS(tblWorkPackages[Late (0/1)],tblWorkPackages[Part delay days],"&gt;0")</f>
        <v>0.763888888888889</v>
      </c>
    </row>
    <row r="16" spans="1:8" x14ac:dyDescent="0.2">
      <c r="A16" s="2" t="s">
        <v>9575</v>
      </c>
      <c r="B16" s="6">
        <f>AVERAGEIFS(tblWorkPackages[Late (0/1)],tblWorkPackages[Part delay days],0)</f>
        <v>0.466755319148936</v>
      </c>
    </row>
    <row r="19" spans="1:8" ht="15.75" x14ac:dyDescent="0.25">
      <c r="A19" s="39" t="s">
        <v>9576</v>
      </c>
    </row>
    <row r="20" spans="1:8" ht="30" customHeight="1" x14ac:dyDescent="0.2">
      <c r="A20" s="5" t="s">
        <v>95</v>
      </c>
      <c r="B20" s="5" t="s">
        <v>9453</v>
      </c>
      <c r="C20" s="5" t="s">
        <v>9577</v>
      </c>
      <c r="D20" s="5" t="s">
        <v>9578</v>
      </c>
      <c r="E20" s="5" t="s">
        <v>9579</v>
      </c>
      <c r="F20" s="5" t="s">
        <v>9580</v>
      </c>
      <c r="G20" s="5" t="s">
        <v>9581</v>
      </c>
      <c r="H20" s="5" t="s">
        <v>9582</v>
      </c>
    </row>
    <row r="21" spans="1:8" x14ac:dyDescent="0.2">
      <c r="A21" s="3" t="s">
        <v>147</v>
      </c>
      <c r="B21" s="36">
        <f>COUNTIFS(tblWorkPackages[Priority],$A21)</f>
        <v>251</v>
      </c>
      <c r="C21" s="6">
        <f>1-AVERAGEIFS(tblWorkPackages[Late (0/1)],tblWorkPackages[Priority],$A21)</f>
        <v>0.0398406374501992</v>
      </c>
      <c r="D21" s="28">
        <f>IFERROR(AVERAGEIFS(tblWorkPackages[Days late],tblWorkPackages[Priority],$A21,tblWorkPackages[Late (0/1)],1),0)</f>
        <v>12.6182572614108</v>
      </c>
      <c r="E21" s="28">
        <f>AVERAGEIFS(tblWorkPackages[Queue days],tblWorkPackages[Priority],$A21)</f>
        <v>11.601593625498</v>
      </c>
      <c r="F21" s="28">
        <f>AVERAGEIFS(tblWorkPackages[Work span days],tblWorkPackages[Priority],$A21)</f>
        <v>1.04382470119522</v>
      </c>
      <c r="G21" s="28">
        <f>AVERAGEIFS(tblWorkPackages[Closeout days],tblWorkPackages[Priority],$A21)</f>
        <v>1.46215139442231</v>
      </c>
      <c r="H21" s="28">
        <f>AVERAGEIFS(tblWorkPackages[Flow days],tblWorkPackages[Priority],$A21)</f>
        <v>14.1075697211155</v>
      </c>
    </row>
    <row r="22" spans="1:8" x14ac:dyDescent="0.2">
      <c r="A22" s="3" t="s">
        <v>176</v>
      </c>
      <c r="B22" s="36">
        <f>COUNTIFS(tblWorkPackages[Priority],$A22)</f>
        <v>736</v>
      </c>
      <c r="C22" s="6">
        <f>1-AVERAGEIFS(tblWorkPackages[Late (0/1)],tblWorkPackages[Priority],$A22)</f>
        <v>0.387228260869565</v>
      </c>
      <c r="D22" s="28">
        <f>IFERROR(AVERAGEIFS(tblWorkPackages[Days late],tblWorkPackages[Priority],$A22,tblWorkPackages[Late (0/1)],1),0)</f>
        <v>13.3569844789357</v>
      </c>
      <c r="E22" s="28">
        <f>AVERAGEIFS(tblWorkPackages[Queue days],tblWorkPackages[Priority],$A22)</f>
        <v>10.9972826086957</v>
      </c>
      <c r="F22" s="28">
        <f>AVERAGEIFS(tblWorkPackages[Work span days],tblWorkPackages[Priority],$A22)</f>
        <v>1.06657608695652</v>
      </c>
      <c r="G22" s="28">
        <f>AVERAGEIFS(tblWorkPackages[Closeout days],tblWorkPackages[Priority],$A22)</f>
        <v>1.51086956521739</v>
      </c>
      <c r="H22" s="28">
        <f>AVERAGEIFS(tblWorkPackages[Flow days],tblWorkPackages[Priority],$A22)</f>
        <v>13.5747282608696</v>
      </c>
    </row>
    <row r="23" spans="1:8" x14ac:dyDescent="0.2">
      <c r="A23" s="3" t="s">
        <v>130</v>
      </c>
      <c r="B23" s="36">
        <f>COUNTIFS(tblWorkPackages[Priority],$A23)</f>
        <v>1413</v>
      </c>
      <c r="C23" s="6">
        <f>1-AVERAGEIFS(tblWorkPackages[Late (0/1)],tblWorkPackages[Priority],$A23)</f>
        <v>0.666666666666667</v>
      </c>
      <c r="D23" s="28">
        <f>IFERROR(AVERAGEIFS(tblWorkPackages[Days late],tblWorkPackages[Priority],$A23,tblWorkPackages[Late (0/1)],1),0)</f>
        <v>14.1762208067941</v>
      </c>
      <c r="E23" s="28">
        <f>AVERAGEIFS(tblWorkPackages[Queue days],tblWorkPackages[Priority],$A23)</f>
        <v>10.9341825902335</v>
      </c>
      <c r="F23" s="28">
        <f>AVERAGEIFS(tblWorkPackages[Work span days],tblWorkPackages[Priority],$A23)</f>
        <v>1</v>
      </c>
      <c r="G23" s="28">
        <f>AVERAGEIFS(tblWorkPackages[Closeout days],tblWorkPackages[Priority],$A23)</f>
        <v>1.50106157112527</v>
      </c>
      <c r="H23" s="28">
        <f>AVERAGEIFS(tblWorkPackages[Flow days],tblWorkPackages[Priority],$A23)</f>
        <v>13.4352441613588</v>
      </c>
    </row>
    <row r="26" spans="1:8" ht="15.75" x14ac:dyDescent="0.25">
      <c r="A26" s="39" t="s">
        <v>9583</v>
      </c>
    </row>
    <row r="27" spans="1:8" ht="30" customHeight="1" x14ac:dyDescent="0.2">
      <c r="A27" s="5" t="s">
        <v>91</v>
      </c>
      <c r="B27" s="5" t="s">
        <v>9453</v>
      </c>
      <c r="C27" s="5" t="s">
        <v>9577</v>
      </c>
      <c r="D27" s="5" t="s">
        <v>9567</v>
      </c>
      <c r="E27" s="5" t="s">
        <v>9578</v>
      </c>
      <c r="F27" s="5" t="s">
        <v>9579</v>
      </c>
      <c r="G27" s="5" t="s">
        <v>9582</v>
      </c>
    </row>
    <row r="28" spans="1:8" x14ac:dyDescent="0.2">
      <c r="A28" s="3" t="str">
        <f>INDEX(tblTaskRules[Task type],1)</f>
        <v>Preflight inspection</v>
      </c>
      <c r="B28" s="36">
        <f>COUNTIFS(tblWorkPackages[Task type],$A28)</f>
        <v>214</v>
      </c>
      <c r="C28" s="6">
        <f>1-AVERAGEIFS(tblWorkPackages[Late (0/1)],tblWorkPackages[Task type],$A28)</f>
        <v>0.518691588785047</v>
      </c>
      <c r="D28" s="36">
        <f>SUMIFS(tblWorkPackages[Late (0/1)],tblWorkPackages[Task type],$A28)</f>
        <v>103</v>
      </c>
      <c r="E28" s="28">
        <f>IFERROR(AVERAGEIFS(tblWorkPackages[Days late],tblWorkPackages[Task type],$A28,tblWorkPackages[Late (0/1)],1),0)</f>
        <v>14.5242718446602</v>
      </c>
      <c r="F28" s="28">
        <f>AVERAGEIFS(tblWorkPackages[Queue days],tblWorkPackages[Task type],$A28)</f>
        <v>11.607476635514</v>
      </c>
      <c r="G28" s="28">
        <f>AVERAGEIFS(tblWorkPackages[Flow days],tblWorkPackages[Task type],$A28)</f>
        <v>13.8738317757009</v>
      </c>
    </row>
    <row r="29" spans="1:8" x14ac:dyDescent="0.2">
      <c r="A29" s="3" t="str">
        <f>INDEX(tblTaskRules[Task type],2)</f>
        <v>Postflight discrepancy review</v>
      </c>
      <c r="B29" s="36">
        <f>COUNTIFS(tblWorkPackages[Task type],$A29)</f>
        <v>187</v>
      </c>
      <c r="C29" s="6">
        <f>1-AVERAGEIFS(tblWorkPackages[Late (0/1)],tblWorkPackages[Task type],$A29)</f>
        <v>0.470588235294118</v>
      </c>
      <c r="D29" s="36">
        <f>SUMIFS(tblWorkPackages[Late (0/1)],tblWorkPackages[Task type],$A29)</f>
        <v>99</v>
      </c>
      <c r="E29" s="28">
        <f>IFERROR(AVERAGEIFS(tblWorkPackages[Days late],tblWorkPackages[Task type],$A29,tblWorkPackages[Late (0/1)],1),0)</f>
        <v>14.8787878787879</v>
      </c>
      <c r="F29" s="28">
        <f>AVERAGEIFS(tblWorkPackages[Queue days],tblWorkPackages[Task type],$A29)</f>
        <v>12.2352941176471</v>
      </c>
      <c r="G29" s="28">
        <f>AVERAGEIFS(tblWorkPackages[Flow days],tblWorkPackages[Task type],$A29)</f>
        <v>14.8181818181818</v>
      </c>
    </row>
    <row r="30" spans="1:8" x14ac:dyDescent="0.2">
      <c r="A30" s="3" t="str">
        <f>INDEX(tblTaskRules[Task type],3)</f>
        <v>Instrumentation installation</v>
      </c>
      <c r="B30" s="36">
        <f>COUNTIFS(tblWorkPackages[Task type],$A30)</f>
        <v>220</v>
      </c>
      <c r="C30" s="6">
        <f>1-AVERAGEIFS(tblWorkPackages[Late (0/1)],tblWorkPackages[Task type],$A30)</f>
        <v>0.577272727272727</v>
      </c>
      <c r="D30" s="36">
        <f>SUMIFS(tblWorkPackages[Late (0/1)],tblWorkPackages[Task type],$A30)</f>
        <v>93</v>
      </c>
      <c r="E30" s="28">
        <f>IFERROR(AVERAGEIFS(tblWorkPackages[Days late],tblWorkPackages[Task type],$A30,tblWorkPackages[Late (0/1)],1),0)</f>
        <v>14.0215053763441</v>
      </c>
      <c r="F30" s="28">
        <f>AVERAGEIFS(tblWorkPackages[Queue days],tblWorkPackages[Task type],$A30)</f>
        <v>10.5272727272727</v>
      </c>
      <c r="G30" s="28">
        <f>AVERAGEIFS(tblWorkPackages[Flow days],tblWorkPackages[Task type],$A30)</f>
        <v>13.0454545454545</v>
      </c>
    </row>
    <row r="31" spans="1:8" x14ac:dyDescent="0.2">
      <c r="A31" s="3" t="str">
        <f>INDEX(tblTaskRules[Task type],4)</f>
        <v>Sensor calibration</v>
      </c>
      <c r="B31" s="36">
        <f>COUNTIFS(tblWorkPackages[Task type],$A31)</f>
        <v>201</v>
      </c>
      <c r="C31" s="6">
        <f>1-AVERAGEIFS(tblWorkPackages[Late (0/1)],tblWorkPackages[Task type],$A31)</f>
        <v>0.557213930348259</v>
      </c>
      <c r="D31" s="36">
        <f>SUMIFS(tblWorkPackages[Late (0/1)],tblWorkPackages[Task type],$A31)</f>
        <v>89</v>
      </c>
      <c r="E31" s="28">
        <f>IFERROR(AVERAGEIFS(tblWorkPackages[Days late],tblWorkPackages[Task type],$A31,tblWorkPackages[Late (0/1)],1),0)</f>
        <v>11.8426966292135</v>
      </c>
      <c r="F31" s="28">
        <f>AVERAGEIFS(tblWorkPackages[Queue days],tblWorkPackages[Task type],$A31)</f>
        <v>9.4726368159204</v>
      </c>
      <c r="G31" s="28">
        <f>AVERAGEIFS(tblWorkPackages[Flow days],tblWorkPackages[Task type],$A31)</f>
        <v>11.9751243781095</v>
      </c>
    </row>
    <row r="32" spans="1:8" x14ac:dyDescent="0.2">
      <c r="A32" s="3" t="str">
        <f>INDEX(tblTaskRules[Task type],5)</f>
        <v>Hydraulic leak diagnosis</v>
      </c>
      <c r="B32" s="36">
        <f>COUNTIFS(tblWorkPackages[Task type],$A32)</f>
        <v>205</v>
      </c>
      <c r="C32" s="6">
        <f>1-AVERAGEIFS(tblWorkPackages[Late (0/1)],tblWorkPackages[Task type],$A32)</f>
        <v>0.473170731707317</v>
      </c>
      <c r="D32" s="36">
        <f>SUMIFS(tblWorkPackages[Late (0/1)],tblWorkPackages[Task type],$A32)</f>
        <v>108</v>
      </c>
      <c r="E32" s="28">
        <f>IFERROR(AVERAGEIFS(tblWorkPackages[Days late],tblWorkPackages[Task type],$A32,tblWorkPackages[Late (0/1)],1),0)</f>
        <v>13.8518518518519</v>
      </c>
      <c r="F32" s="28">
        <f>AVERAGEIFS(tblWorkPackages[Queue days],tblWorkPackages[Task type],$A32)</f>
        <v>11.8439024390244</v>
      </c>
      <c r="G32" s="28">
        <f>AVERAGEIFS(tblWorkPackages[Flow days],tblWorkPackages[Task type],$A32)</f>
        <v>14.3951219512195</v>
      </c>
    </row>
    <row r="33" spans="1:7" x14ac:dyDescent="0.2">
      <c r="A33" s="3" t="str">
        <f>INDEX(tblTaskRules[Task type],6)</f>
        <v>Electrical fault isolation</v>
      </c>
      <c r="B33" s="36">
        <f>COUNTIFS(tblWorkPackages[Task type],$A33)</f>
        <v>179</v>
      </c>
      <c r="C33" s="6">
        <f>1-AVERAGEIFS(tblWorkPackages[Late (0/1)],tblWorkPackages[Task type],$A33)</f>
        <v>0.553072625698324</v>
      </c>
      <c r="D33" s="36">
        <f>SUMIFS(tblWorkPackages[Late (0/1)],tblWorkPackages[Task type],$A33)</f>
        <v>80</v>
      </c>
      <c r="E33" s="28">
        <f>IFERROR(AVERAGEIFS(tblWorkPackages[Days late],tblWorkPackages[Task type],$A33,tblWorkPackages[Late (0/1)],1),0)</f>
        <v>14.675</v>
      </c>
      <c r="F33" s="28">
        <f>AVERAGEIFS(tblWorkPackages[Queue days],tblWorkPackages[Task type],$A33)</f>
        <v>10.659217877095</v>
      </c>
      <c r="G33" s="28">
        <f>AVERAGEIFS(tblWorkPackages[Flow days],tblWorkPackages[Task type],$A33)</f>
        <v>13.1620111731844</v>
      </c>
    </row>
    <row r="34" spans="1:7" x14ac:dyDescent="0.2">
      <c r="A34" s="3" t="str">
        <f>INDEX(tblTaskRules[Task type],7)</f>
        <v>Flight control inspection</v>
      </c>
      <c r="B34" s="36">
        <f>COUNTIFS(tblWorkPackages[Task type],$A34)</f>
        <v>196</v>
      </c>
      <c r="C34" s="6">
        <f>1-AVERAGEIFS(tblWorkPackages[Late (0/1)],tblWorkPackages[Task type],$A34)</f>
        <v>0.556122448979592</v>
      </c>
      <c r="D34" s="36">
        <f>SUMIFS(tblWorkPackages[Late (0/1)],tblWorkPackages[Task type],$A34)</f>
        <v>87</v>
      </c>
      <c r="E34" s="28">
        <f>IFERROR(AVERAGEIFS(tblWorkPackages[Days late],tblWorkPackages[Task type],$A34,tblWorkPackages[Late (0/1)],1),0)</f>
        <v>14.3448275862069</v>
      </c>
      <c r="F34" s="28">
        <f>AVERAGEIFS(tblWorkPackages[Queue days],tblWorkPackages[Task type],$A34)</f>
        <v>10.8673469387755</v>
      </c>
      <c r="G34" s="28">
        <f>AVERAGEIFS(tblWorkPackages[Flow days],tblWorkPackages[Task type],$A34)</f>
        <v>13.484693877551</v>
      </c>
    </row>
    <row r="35" spans="1:7" x14ac:dyDescent="0.2">
      <c r="A35" s="3" t="str">
        <f>INDEX(tblTaskRules[Task type],8)</f>
        <v>Structural repair</v>
      </c>
      <c r="B35" s="36">
        <f>COUNTIFS(tblWorkPackages[Task type],$A35)</f>
        <v>169</v>
      </c>
      <c r="C35" s="6">
        <f>1-AVERAGEIFS(tblWorkPackages[Late (0/1)],tblWorkPackages[Task type],$A35)</f>
        <v>0.437869822485207</v>
      </c>
      <c r="D35" s="36">
        <f>SUMIFS(tblWorkPackages[Late (0/1)],tblWorkPackages[Task type],$A35)</f>
        <v>95</v>
      </c>
      <c r="E35" s="28">
        <f>IFERROR(AVERAGEIFS(tblWorkPackages[Days late],tblWorkPackages[Task type],$A35,tblWorkPackages[Late (0/1)],1),0)</f>
        <v>15.1157894736842</v>
      </c>
      <c r="F35" s="28">
        <f>AVERAGEIFS(tblWorkPackages[Queue days],tblWorkPackages[Task type],$A35)</f>
        <v>13.0828402366864</v>
      </c>
      <c r="G35" s="28">
        <f>AVERAGEIFS(tblWorkPackages[Flow days],tblWorkPackages[Task type],$A35)</f>
        <v>15.6804733727811</v>
      </c>
    </row>
    <row r="36" spans="1:7" x14ac:dyDescent="0.2">
      <c r="A36" s="3" t="str">
        <f>INDEX(tblTaskRules[Task type],9)</f>
        <v>Software/configuration check</v>
      </c>
      <c r="B36" s="36">
        <f>COUNTIFS(tblWorkPackages[Task type],$A36)</f>
        <v>214</v>
      </c>
      <c r="C36" s="6">
        <f>1-AVERAGEIFS(tblWorkPackages[Late (0/1)],tblWorkPackages[Task type],$A36)</f>
        <v>0.523364485981309</v>
      </c>
      <c r="D36" s="36">
        <f>SUMIFS(tblWorkPackages[Late (0/1)],tblWorkPackages[Task type],$A36)</f>
        <v>102</v>
      </c>
      <c r="E36" s="28">
        <f>IFERROR(AVERAGEIFS(tblWorkPackages[Days late],tblWorkPackages[Task type],$A36,tblWorkPackages[Late (0/1)],1),0)</f>
        <v>11.343137254902</v>
      </c>
      <c r="F36" s="28">
        <f>AVERAGEIFS(tblWorkPackages[Queue days],tblWorkPackages[Task type],$A36)</f>
        <v>9.89719626168224</v>
      </c>
      <c r="G36" s="28">
        <f>AVERAGEIFS(tblWorkPackages[Flow days],tblWorkPackages[Task type],$A36)</f>
        <v>12.5700934579439</v>
      </c>
    </row>
    <row r="37" spans="1:7" x14ac:dyDescent="0.2">
      <c r="A37" s="3" t="str">
        <f>INDEX(tblTaskRules[Task type],10)</f>
        <v>Scheduled system service</v>
      </c>
      <c r="B37" s="36">
        <f>COUNTIFS(tblWorkPackages[Task type],$A37)</f>
        <v>216</v>
      </c>
      <c r="C37" s="6">
        <f>1-AVERAGEIFS(tblWorkPackages[Late (0/1)],tblWorkPackages[Task type],$A37)</f>
        <v>0.476851851851852</v>
      </c>
      <c r="D37" s="36">
        <f>SUMIFS(tblWorkPackages[Late (0/1)],tblWorkPackages[Task type],$A37)</f>
        <v>113</v>
      </c>
      <c r="E37" s="28">
        <f>IFERROR(AVERAGEIFS(tblWorkPackages[Days late],tblWorkPackages[Task type],$A37,tblWorkPackages[Late (0/1)],1),0)</f>
        <v>14.2743362831858</v>
      </c>
      <c r="F37" s="28">
        <f>AVERAGEIFS(tblWorkPackages[Queue days],tblWorkPackages[Task type],$A37)</f>
        <v>12.2083333333333</v>
      </c>
      <c r="G37" s="28">
        <f>AVERAGEIFS(tblWorkPackages[Flow days],tblWorkPackages[Task type],$A37)</f>
        <v>14.6805555555556</v>
      </c>
    </row>
    <row r="38" spans="1:7" x14ac:dyDescent="0.2">
      <c r="A38" s="3" t="str">
        <f>INDEX(tblTaskRules[Task type],11)</f>
        <v>Engine run support</v>
      </c>
      <c r="B38" s="36">
        <f>COUNTIFS(tblWorkPackages[Task type],$A38)</f>
        <v>203</v>
      </c>
      <c r="C38" s="6">
        <f>1-AVERAGEIFS(tblWorkPackages[Late (0/1)],tblWorkPackages[Task type],$A38)</f>
        <v>0.487684729064039</v>
      </c>
      <c r="D38" s="36">
        <f>SUMIFS(tblWorkPackages[Late (0/1)],tblWorkPackages[Task type],$A38)</f>
        <v>104</v>
      </c>
      <c r="E38" s="28">
        <f>IFERROR(AVERAGEIFS(tblWorkPackages[Days late],tblWorkPackages[Task type],$A38,tblWorkPackages[Late (0/1)],1),0)</f>
        <v>12.3173076923077</v>
      </c>
      <c r="F38" s="28">
        <f>AVERAGEIFS(tblWorkPackages[Queue days],tblWorkPackages[Task type],$A38)</f>
        <v>10.5566502463054</v>
      </c>
      <c r="G38" s="28">
        <f>AVERAGEIFS(tblWorkPackages[Flow days],tblWorkPackages[Task type],$A38)</f>
        <v>13.2216748768473</v>
      </c>
    </row>
    <row r="39" spans="1:7" x14ac:dyDescent="0.2">
      <c r="A39" s="3" t="str">
        <f>INDEX(tblTaskRules[Task type],12)</f>
        <v>Fuel system inspection</v>
      </c>
      <c r="B39" s="36">
        <f>COUNTIFS(tblWorkPackages[Task type],$A39)</f>
        <v>196</v>
      </c>
      <c r="C39" s="6">
        <f>1-AVERAGEIFS(tblWorkPackages[Late (0/1)],tblWorkPackages[Task type],$A39)</f>
        <v>0.540816326530612</v>
      </c>
      <c r="D39" s="36">
        <f>SUMIFS(tblWorkPackages[Late (0/1)],tblWorkPackages[Task type],$A39)</f>
        <v>90</v>
      </c>
      <c r="E39" s="28">
        <f>IFERROR(AVERAGEIFS(tblWorkPackages[Days late],tblWorkPackages[Task type],$A39,tblWorkPackages[Late (0/1)],1),0)</f>
        <v>11.2222222222222</v>
      </c>
      <c r="F39" s="28">
        <f>AVERAGEIFS(tblWorkPackages[Queue days],tblWorkPackages[Task type],$A39)</f>
        <v>9.63775510204082</v>
      </c>
      <c r="G39" s="28">
        <f>AVERAGEIFS(tblWorkPackages[Flow days],tblWorkPackages[Task type],$A39)</f>
        <v>12.0102040816327</v>
      </c>
    </row>
    <row r="42" spans="1:7" ht="15.75" x14ac:dyDescent="0.25">
      <c r="A42" s="39" t="s">
        <v>9584</v>
      </c>
    </row>
    <row r="43" spans="1:7" ht="30" customHeight="1" x14ac:dyDescent="0.2">
      <c r="A43" s="5" t="s">
        <v>121</v>
      </c>
      <c r="B43" s="5" t="s">
        <v>9585</v>
      </c>
      <c r="C43" s="5" t="s">
        <v>9586</v>
      </c>
      <c r="D43" s="5" t="s">
        <v>9587</v>
      </c>
      <c r="E43" s="5" t="s">
        <v>9588</v>
      </c>
      <c r="F43" s="5" t="s">
        <v>9589</v>
      </c>
      <c r="G43" s="5" t="s">
        <v>9590</v>
      </c>
    </row>
    <row r="44" spans="1:7" x14ac:dyDescent="0.2">
      <c r="A44" s="3" t="s">
        <v>9124</v>
      </c>
      <c r="B44" s="36">
        <f>COUNTIFS(tblDisruptions[Event type],$A44)</f>
        <v>144</v>
      </c>
      <c r="C44" s="36">
        <f>SUMIFS(tblDisruptions[Impact days],tblDisruptions[Event type],$A44)</f>
        <v>1071</v>
      </c>
      <c r="D44" s="6">
        <f>C44/SUM($C$44:$C$48)</f>
        <v>0.773285198555957</v>
      </c>
      <c r="E44" s="6">
        <f>SUM($C$44:C44)/SUM($C$44:$C$48)</f>
        <v>0.773285198555957</v>
      </c>
      <c r="F44" s="6">
        <f>IFERROR(AVERAGEIFS(tblWorkPackages[Late (0/1)],tblWorkPackages[Disruption type],$A44),0)</f>
        <v>0.763888888888889</v>
      </c>
      <c r="G44" s="28">
        <f>IFERROR(AVERAGEIFS(tblWorkPackages[Days late],tblWorkPackages[Disruption type],$A44),0)</f>
        <v>13.1875</v>
      </c>
    </row>
    <row r="45" spans="1:7" x14ac:dyDescent="0.2">
      <c r="A45" s="3" t="s">
        <v>9139</v>
      </c>
      <c r="B45" s="36">
        <f>COUNTIFS(tblDisruptions[Event type],$A45)</f>
        <v>48</v>
      </c>
      <c r="C45" s="36">
        <f>SUMIFS(tblDisruptions[Impact days],tblDisruptions[Event type],$A45)</f>
        <v>96</v>
      </c>
      <c r="D45" s="6">
        <f>C45/SUM($C$44:$C$48)</f>
        <v>0.0693140794223827</v>
      </c>
      <c r="E45" s="6">
        <f>SUM($C$44:C45)/SUM($C$44:$C$48)</f>
        <v>0.842599277978339</v>
      </c>
      <c r="F45" s="6">
        <f>IFERROR(AVERAGEIFS(tblWorkPackages[Late (0/1)],tblWorkPackages[Disruption type],$A45),0)</f>
        <v>0.520833333333333</v>
      </c>
      <c r="G45" s="28">
        <f>IFERROR(AVERAGEIFS(tblWorkPackages[Days late],tblWorkPackages[Disruption type],$A45),0)</f>
        <v>5.77083333333333</v>
      </c>
    </row>
    <row r="46" spans="1:7" x14ac:dyDescent="0.2">
      <c r="A46" s="3" t="s">
        <v>9132</v>
      </c>
      <c r="B46" s="36">
        <f>COUNTIFS(tblDisruptions[Event type],$A46)</f>
        <v>48</v>
      </c>
      <c r="C46" s="36">
        <f>SUMIFS(tblDisruptions[Impact days],tblDisruptions[Event type],$A46)</f>
        <v>96</v>
      </c>
      <c r="D46" s="6">
        <f>C46/SUM($C$44:$C$48)</f>
        <v>0.0693140794223827</v>
      </c>
      <c r="E46" s="6">
        <f>SUM($C$44:C46)/SUM($C$44:$C$48)</f>
        <v>0.911913357400722</v>
      </c>
      <c r="F46" s="6">
        <f>IFERROR(AVERAGEIFS(tblWorkPackages[Late (0/1)],tblWorkPackages[Disruption type],$A46),0)</f>
        <v>0.375</v>
      </c>
      <c r="G46" s="28">
        <f>IFERROR(AVERAGEIFS(tblWorkPackages[Days late],tblWorkPackages[Disruption type],$A46),0)</f>
        <v>5.4375</v>
      </c>
    </row>
    <row r="47" spans="1:7" x14ac:dyDescent="0.2">
      <c r="A47" s="3" t="s">
        <v>9127</v>
      </c>
      <c r="B47" s="36">
        <f>COUNTIFS(tblDisruptions[Event type],$A47)</f>
        <v>33</v>
      </c>
      <c r="C47" s="36">
        <f>SUMIFS(tblDisruptions[Impact days],tblDisruptions[Event type],$A47)</f>
        <v>66</v>
      </c>
      <c r="D47" s="6">
        <f>C47/SUM($C$44:$C$48)</f>
        <v>0.0476534296028881</v>
      </c>
      <c r="E47" s="6">
        <f>SUM($C$44:C47)/SUM($C$44:$C$48)</f>
        <v>0.95956678700361</v>
      </c>
      <c r="F47" s="6">
        <f>IFERROR(AVERAGEIFS(tblWorkPackages[Late (0/1)],tblWorkPackages[Disruption type],$A47),0)</f>
        <v>0.424242424242424</v>
      </c>
      <c r="G47" s="28">
        <f>IFERROR(AVERAGEIFS(tblWorkPackages[Days late],tblWorkPackages[Disruption type],$A47),0)</f>
        <v>4.84848484848485</v>
      </c>
    </row>
    <row r="48" spans="1:7" x14ac:dyDescent="0.2">
      <c r="A48" s="3" t="s">
        <v>9166</v>
      </c>
      <c r="B48" s="36">
        <f>COUNTIFS(tblDisruptions[Event type],$A48)</f>
        <v>28</v>
      </c>
      <c r="C48" s="36">
        <f>SUMIFS(tblDisruptions[Impact days],tblDisruptions[Event type],$A48)</f>
        <v>56</v>
      </c>
      <c r="D48" s="6">
        <f>C48/SUM($C$44:$C$48)</f>
        <v>0.0404332129963899</v>
      </c>
      <c r="E48" s="6">
        <f>SUM($C$44:C48)/SUM($C$44:$C$48)</f>
        <v>1</v>
      </c>
      <c r="F48" s="6">
        <f>IFERROR(AVERAGEIFS(tblWorkPackages[Late (0/1)],tblWorkPackages[Disruption type],$A48),0)</f>
        <v>0.642857142857143</v>
      </c>
      <c r="G48" s="28">
        <f>IFERROR(AVERAGEIFS(tblWorkPackages[Days late],tblWorkPackages[Disruption type],$A48),0)</f>
        <v>8.17857142857143</v>
      </c>
    </row>
    <row r="49" spans="1:7" x14ac:dyDescent="0.2">
      <c r="A49" s="40" t="s">
        <v>9591</v>
      </c>
      <c r="B49" s="36">
        <f>COUNTIFS(tblWorkPackages[Disruption type],"None")</f>
        <v>2099</v>
      </c>
      <c r="F49" s="6">
        <f>AVERAGEIFS(tblWorkPackages[Late (0/1)],tblWorkPackages[Disruption type],"None")</f>
        <v>0.465936160076227</v>
      </c>
      <c r="G49" s="28">
        <f>AVERAGEIFS(tblWorkPackages[Days late],tblWorkPackages[Disruption type],"None")</f>
        <v>6.15340638399238</v>
      </c>
    </row>
    <row r="50" spans="1:7" x14ac:dyDescent="0.2">
      <c r="A50" s="4" t="s">
        <v>9592</v>
      </c>
    </row>
    <row r="52" spans="1:7" ht="15.75" x14ac:dyDescent="0.25">
      <c r="A52" s="39" t="s">
        <v>9593</v>
      </c>
    </row>
    <row r="53" spans="1:7" ht="30" customHeight="1" x14ac:dyDescent="0.2">
      <c r="A53" s="5" t="s">
        <v>8271</v>
      </c>
      <c r="B53" s="5" t="s">
        <v>9594</v>
      </c>
      <c r="C53" s="5" t="s">
        <v>8284</v>
      </c>
      <c r="D53" s="5" t="s">
        <v>9595</v>
      </c>
      <c r="E53" s="5" t="s">
        <v>9596</v>
      </c>
      <c r="F53" s="5" t="s">
        <v>9597</v>
      </c>
    </row>
    <row r="54" spans="1:7" x14ac:dyDescent="0.2">
      <c r="A54" s="3" t="s">
        <v>8286</v>
      </c>
      <c r="B54" s="36">
        <f>COUNTIFS(tblParts[Part category],$A54)</f>
        <v>147</v>
      </c>
      <c r="C54" s="36">
        <f>COUNTIFS(tblParts[Part category],$A54,tblParts[Status],"Delayed")</f>
        <v>28</v>
      </c>
      <c r="D54" s="6">
        <f t="shared" ref="D54:D59" si="0">IF(B54=0,0,C54/B54)</f>
        <v>0.19047619047619</v>
      </c>
      <c r="E54" s="36">
        <f>SUMIFS(tblParts[Delay days],tblParts[Part category],$A54)</f>
        <v>232</v>
      </c>
      <c r="F54" s="28">
        <f t="shared" ref="F54:F59" si="1">IF(C54=0,0,E54/C54)</f>
        <v>8.28571428571429</v>
      </c>
    </row>
    <row r="55" spans="1:7" x14ac:dyDescent="0.2">
      <c r="A55" s="3" t="s">
        <v>8290</v>
      </c>
      <c r="B55" s="36">
        <f>COUNTIFS(tblParts[Part category],$A55)</f>
        <v>136</v>
      </c>
      <c r="C55" s="36">
        <f>COUNTIFS(tblParts[Part category],$A55,tblParts[Status],"Delayed")</f>
        <v>31</v>
      </c>
      <c r="D55" s="6">
        <f t="shared" si="0"/>
        <v>0.227941176470588</v>
      </c>
      <c r="E55" s="36">
        <f>SUMIFS(tblParts[Delay days],tblParts[Part category],$A55)</f>
        <v>190</v>
      </c>
      <c r="F55" s="28">
        <f t="shared" si="1"/>
        <v>6.12903225806452</v>
      </c>
    </row>
    <row r="56" spans="1:7" x14ac:dyDescent="0.2">
      <c r="A56" s="3" t="s">
        <v>8280</v>
      </c>
      <c r="B56" s="36">
        <f>COUNTIFS(tblParts[Part category],$A56)</f>
        <v>143</v>
      </c>
      <c r="C56" s="36">
        <f>COUNTIFS(tblParts[Part category],$A56,tblParts[Status],"Delayed")</f>
        <v>22</v>
      </c>
      <c r="D56" s="6">
        <f t="shared" si="0"/>
        <v>0.153846153846154</v>
      </c>
      <c r="E56" s="36">
        <f>SUMIFS(tblParts[Delay days],tblParts[Part category],$A56)</f>
        <v>181</v>
      </c>
      <c r="F56" s="28">
        <f t="shared" si="1"/>
        <v>8.22727272727273</v>
      </c>
    </row>
    <row r="57" spans="1:7" x14ac:dyDescent="0.2">
      <c r="A57" s="3" t="s">
        <v>8288</v>
      </c>
      <c r="B57" s="36">
        <f>COUNTIFS(tblParts[Part category],$A57)</f>
        <v>138</v>
      </c>
      <c r="C57" s="36">
        <f>COUNTIFS(tblParts[Part category],$A57,tblParts[Status],"Delayed")</f>
        <v>23</v>
      </c>
      <c r="D57" s="6">
        <f t="shared" si="0"/>
        <v>0.166666666666667</v>
      </c>
      <c r="E57" s="36">
        <f>SUMIFS(tblParts[Delay days],tblParts[Part category],$A57)</f>
        <v>174</v>
      </c>
      <c r="F57" s="28">
        <f t="shared" si="1"/>
        <v>7.56521739130435</v>
      </c>
    </row>
    <row r="58" spans="1:7" x14ac:dyDescent="0.2">
      <c r="A58" s="3" t="s">
        <v>8282</v>
      </c>
      <c r="B58" s="36">
        <f>COUNTIFS(tblParts[Part category],$A58)</f>
        <v>129</v>
      </c>
      <c r="C58" s="36">
        <f>COUNTIFS(tblParts[Part category],$A58,tblParts[Status],"Delayed")</f>
        <v>20</v>
      </c>
      <c r="D58" s="6">
        <f t="shared" si="0"/>
        <v>0.155038759689922</v>
      </c>
      <c r="E58" s="36">
        <f>SUMIFS(tblParts[Delay days],tblParts[Part category],$A58)</f>
        <v>148</v>
      </c>
      <c r="F58" s="28">
        <f t="shared" si="1"/>
        <v>7.4</v>
      </c>
    </row>
    <row r="59" spans="1:7" x14ac:dyDescent="0.2">
      <c r="A59" s="3" t="s">
        <v>8277</v>
      </c>
      <c r="B59" s="36">
        <f>COUNTIFS(tblParts[Part category],$A59)</f>
        <v>141</v>
      </c>
      <c r="C59" s="36">
        <f>COUNTIFS(tblParts[Part category],$A59,tblParts[Status],"Delayed")</f>
        <v>20</v>
      </c>
      <c r="D59" s="6">
        <f t="shared" si="0"/>
        <v>0.141843971631206</v>
      </c>
      <c r="E59" s="36">
        <f>SUMIFS(tblParts[Delay days],tblParts[Part category],$A59)</f>
        <v>146</v>
      </c>
      <c r="F59" s="28">
        <f t="shared" si="1"/>
        <v>7.3</v>
      </c>
    </row>
    <row r="61" spans="1:7" ht="15.75" x14ac:dyDescent="0.25">
      <c r="A61" s="39" t="s">
        <v>9598</v>
      </c>
    </row>
    <row r="62" spans="1:7" ht="30" customHeight="1" x14ac:dyDescent="0.2">
      <c r="A62" s="5" t="s">
        <v>122</v>
      </c>
      <c r="B62" s="5" t="s">
        <v>9599</v>
      </c>
      <c r="C62" s="5" t="s">
        <v>9577</v>
      </c>
      <c r="D62" s="5" t="s">
        <v>9567</v>
      </c>
      <c r="E62" s="5" t="s">
        <v>9578</v>
      </c>
    </row>
    <row r="63" spans="1:7" x14ac:dyDescent="0.2">
      <c r="A63" s="3" t="s">
        <v>9600</v>
      </c>
      <c r="B63" s="36">
        <f>COUNTIFS(tblWorkPackages[Due month],$A63)</f>
        <v>57</v>
      </c>
      <c r="C63" s="6">
        <f>IF(B63=0,"",1-AVERAGEIFS(tblWorkPackages[Late (0/1)],tblWorkPackages[Due month],$A63))</f>
        <v>0.491228070175439</v>
      </c>
      <c r="D63" s="36">
        <f>SUMIFS(tblWorkPackages[Late (0/1)],tblWorkPackages[Due month],$A63)</f>
        <v>29</v>
      </c>
      <c r="E63" s="28">
        <f>IFERROR(AVERAGEIFS(tblWorkPackages[Days late],tblWorkPackages[Due month],$A63,tblWorkPackages[Late (0/1)],1),0)</f>
        <v>18.0344827586207</v>
      </c>
    </row>
    <row r="64" spans="1:7" x14ac:dyDescent="0.2">
      <c r="A64" s="3" t="s">
        <v>9601</v>
      </c>
      <c r="B64" s="36">
        <f>COUNTIFS(tblWorkPackages[Due month],$A64)</f>
        <v>94</v>
      </c>
      <c r="C64" s="6">
        <f>IF(B64=0,"",1-AVERAGEIFS(tblWorkPackages[Late (0/1)],tblWorkPackages[Due month],$A64))</f>
        <v>0.478723404255319</v>
      </c>
      <c r="D64" s="36">
        <f>SUMIFS(tblWorkPackages[Late (0/1)],tblWorkPackages[Due month],$A64)</f>
        <v>49</v>
      </c>
      <c r="E64" s="28">
        <f>IFERROR(AVERAGEIFS(tblWorkPackages[Days late],tblWorkPackages[Due month],$A64,tblWorkPackages[Late (0/1)],1),0)</f>
        <v>12.8979591836735</v>
      </c>
    </row>
    <row r="65" spans="1:5" x14ac:dyDescent="0.2">
      <c r="A65" s="3" t="s">
        <v>9602</v>
      </c>
      <c r="B65" s="36">
        <f>COUNTIFS(tblWorkPackages[Due month],$A65)</f>
        <v>100</v>
      </c>
      <c r="C65" s="6">
        <f>IF(B65=0,"",1-AVERAGEIFS(tblWorkPackages[Late (0/1)],tblWorkPackages[Due month],$A65))</f>
        <v>0.45</v>
      </c>
      <c r="D65" s="36">
        <f>SUMIFS(tblWorkPackages[Late (0/1)],tblWorkPackages[Due month],$A65)</f>
        <v>55</v>
      </c>
      <c r="E65" s="28">
        <f>IFERROR(AVERAGEIFS(tblWorkPackages[Days late],tblWorkPackages[Due month],$A65,tblWorkPackages[Late (0/1)],1),0)</f>
        <v>9.81818181818182</v>
      </c>
    </row>
    <row r="66" spans="1:5" x14ac:dyDescent="0.2">
      <c r="A66" s="3" t="s">
        <v>9603</v>
      </c>
      <c r="B66" s="36">
        <f>COUNTIFS(tblWorkPackages[Due month],$A66)</f>
        <v>105</v>
      </c>
      <c r="C66" s="6">
        <f>IF(B66=0,"",1-AVERAGEIFS(tblWorkPackages[Late (0/1)],tblWorkPackages[Due month],$A66))</f>
        <v>0.523809523809524</v>
      </c>
      <c r="D66" s="36">
        <f>SUMIFS(tblWorkPackages[Late (0/1)],tblWorkPackages[Due month],$A66)</f>
        <v>50</v>
      </c>
      <c r="E66" s="28">
        <f>IFERROR(AVERAGEIFS(tblWorkPackages[Days late],tblWorkPackages[Due month],$A66,tblWorkPackages[Late (0/1)],1),0)</f>
        <v>17.12</v>
      </c>
    </row>
    <row r="67" spans="1:5" x14ac:dyDescent="0.2">
      <c r="A67" s="3" t="s">
        <v>9604</v>
      </c>
      <c r="B67" s="36">
        <f>COUNTIFS(tblWorkPackages[Due month],$A67)</f>
        <v>94</v>
      </c>
      <c r="C67" s="6">
        <f>IF(B67=0,"",1-AVERAGEIFS(tblWorkPackages[Late (0/1)],tblWorkPackages[Due month],$A67))</f>
        <v>0.478723404255319</v>
      </c>
      <c r="D67" s="36">
        <f>SUMIFS(tblWorkPackages[Late (0/1)],tblWorkPackages[Due month],$A67)</f>
        <v>49</v>
      </c>
      <c r="E67" s="28">
        <f>IFERROR(AVERAGEIFS(tblWorkPackages[Days late],tblWorkPackages[Due month],$A67,tblWorkPackages[Late (0/1)],1),0)</f>
        <v>15.734693877551</v>
      </c>
    </row>
    <row r="68" spans="1:5" x14ac:dyDescent="0.2">
      <c r="A68" s="3" t="s">
        <v>9605</v>
      </c>
      <c r="B68" s="36">
        <f>COUNTIFS(tblWorkPackages[Due month],$A68)</f>
        <v>76</v>
      </c>
      <c r="C68" s="6">
        <f>IF(B68=0,"",1-AVERAGEIFS(tblWorkPackages[Late (0/1)],tblWorkPackages[Due month],$A68))</f>
        <v>0.539473684210526</v>
      </c>
      <c r="D68" s="36">
        <f>SUMIFS(tblWorkPackages[Late (0/1)],tblWorkPackages[Due month],$A68)</f>
        <v>35</v>
      </c>
      <c r="E68" s="28">
        <f>IFERROR(AVERAGEIFS(tblWorkPackages[Days late],tblWorkPackages[Due month],$A68,tblWorkPackages[Late (0/1)],1),0)</f>
        <v>13.3428571428571</v>
      </c>
    </row>
    <row r="69" spans="1:5" x14ac:dyDescent="0.2">
      <c r="A69" s="3" t="s">
        <v>9606</v>
      </c>
      <c r="B69" s="36">
        <f>COUNTIFS(tblWorkPackages[Due month],$A69)</f>
        <v>95</v>
      </c>
      <c r="C69" s="6">
        <f>IF(B69=0,"",1-AVERAGEIFS(tblWorkPackages[Late (0/1)],tblWorkPackages[Due month],$A69))</f>
        <v>0.431578947368421</v>
      </c>
      <c r="D69" s="36">
        <f>SUMIFS(tblWorkPackages[Late (0/1)],tblWorkPackages[Due month],$A69)</f>
        <v>54</v>
      </c>
      <c r="E69" s="28">
        <f>IFERROR(AVERAGEIFS(tblWorkPackages[Days late],tblWorkPackages[Due month],$A69,tblWorkPackages[Late (0/1)],1),0)</f>
        <v>14.8703703703704</v>
      </c>
    </row>
    <row r="70" spans="1:5" x14ac:dyDescent="0.2">
      <c r="A70" s="3" t="s">
        <v>9607</v>
      </c>
      <c r="B70" s="36">
        <f>COUNTIFS(tblWorkPackages[Due month],$A70)</f>
        <v>98</v>
      </c>
      <c r="C70" s="6">
        <f>IF(B70=0,"",1-AVERAGEIFS(tblWorkPackages[Late (0/1)],tblWorkPackages[Due month],$A70))</f>
        <v>0.448979591836735</v>
      </c>
      <c r="D70" s="36">
        <f>SUMIFS(tblWorkPackages[Late (0/1)],tblWorkPackages[Due month],$A70)</f>
        <v>54</v>
      </c>
      <c r="E70" s="28">
        <f>IFERROR(AVERAGEIFS(tblWorkPackages[Days late],tblWorkPackages[Due month],$A70,tblWorkPackages[Late (0/1)],1),0)</f>
        <v>10.4444444444444</v>
      </c>
    </row>
    <row r="71" spans="1:5" x14ac:dyDescent="0.2">
      <c r="A71" s="3" t="s">
        <v>9608</v>
      </c>
      <c r="B71" s="36">
        <f>COUNTIFS(tblWorkPackages[Due month],$A71)</f>
        <v>98</v>
      </c>
      <c r="C71" s="6">
        <f>IF(B71=0,"",1-AVERAGEIFS(tblWorkPackages[Late (0/1)],tblWorkPackages[Due month],$A71))</f>
        <v>0.520408163265306</v>
      </c>
      <c r="D71" s="36">
        <f>SUMIFS(tblWorkPackages[Late (0/1)],tblWorkPackages[Due month],$A71)</f>
        <v>47</v>
      </c>
      <c r="E71" s="28">
        <f>IFERROR(AVERAGEIFS(tblWorkPackages[Days late],tblWorkPackages[Due month],$A71,tblWorkPackages[Late (0/1)],1),0)</f>
        <v>12.936170212766</v>
      </c>
    </row>
    <row r="72" spans="1:5" x14ac:dyDescent="0.2">
      <c r="A72" s="3" t="s">
        <v>9609</v>
      </c>
      <c r="B72" s="36">
        <f>COUNTIFS(tblWorkPackages[Due month],$A72)</f>
        <v>97</v>
      </c>
      <c r="C72" s="6">
        <f>IF(B72=0,"",1-AVERAGEIFS(tblWorkPackages[Late (0/1)],tblWorkPackages[Due month],$A72))</f>
        <v>0.505154639175258</v>
      </c>
      <c r="D72" s="36">
        <f>SUMIFS(tblWorkPackages[Late (0/1)],tblWorkPackages[Due month],$A72)</f>
        <v>48</v>
      </c>
      <c r="E72" s="28">
        <f>IFERROR(AVERAGEIFS(tblWorkPackages[Days late],tblWorkPackages[Due month],$A72,tblWorkPackages[Late (0/1)],1),0)</f>
        <v>13.8333333333333</v>
      </c>
    </row>
    <row r="73" spans="1:5" x14ac:dyDescent="0.2">
      <c r="A73" s="3" t="s">
        <v>9610</v>
      </c>
      <c r="B73" s="36">
        <f>COUNTIFS(tblWorkPackages[Due month],$A73)</f>
        <v>96</v>
      </c>
      <c r="C73" s="6">
        <f>IF(B73=0,"",1-AVERAGEIFS(tblWorkPackages[Late (0/1)],tblWorkPackages[Due month],$A73))</f>
        <v>0.510416666666667</v>
      </c>
      <c r="D73" s="36">
        <f>SUMIFS(tblWorkPackages[Late (0/1)],tblWorkPackages[Due month],$A73)</f>
        <v>47</v>
      </c>
      <c r="E73" s="28">
        <f>IFERROR(AVERAGEIFS(tblWorkPackages[Days late],tblWorkPackages[Due month],$A73,tblWorkPackages[Late (0/1)],1),0)</f>
        <v>14.6382978723404</v>
      </c>
    </row>
    <row r="74" spans="1:5" x14ac:dyDescent="0.2">
      <c r="A74" s="3" t="s">
        <v>9611</v>
      </c>
      <c r="B74" s="36">
        <f>COUNTIFS(tblWorkPackages[Due month],$A74)</f>
        <v>103</v>
      </c>
      <c r="C74" s="6">
        <f>IF(B74=0,"",1-AVERAGEIFS(tblWorkPackages[Late (0/1)],tblWorkPackages[Due month],$A74))</f>
        <v>0.475728155339806</v>
      </c>
      <c r="D74" s="36">
        <f>SUMIFS(tblWorkPackages[Late (0/1)],tblWorkPackages[Due month],$A74)</f>
        <v>54</v>
      </c>
      <c r="E74" s="28">
        <f>IFERROR(AVERAGEIFS(tblWorkPackages[Days late],tblWorkPackages[Due month],$A74,tblWorkPackages[Late (0/1)],1),0)</f>
        <v>15.0555555555556</v>
      </c>
    </row>
    <row r="75" spans="1:5" x14ac:dyDescent="0.2">
      <c r="A75" s="3" t="s">
        <v>9612</v>
      </c>
      <c r="B75" s="36">
        <f>COUNTIFS(tblWorkPackages[Due month],$A75)</f>
        <v>97</v>
      </c>
      <c r="C75" s="6">
        <f>IF(B75=0,"",1-AVERAGEIFS(tblWorkPackages[Late (0/1)],tblWorkPackages[Due month],$A75))</f>
        <v>0.618556701030928</v>
      </c>
      <c r="D75" s="36">
        <f>SUMIFS(tblWorkPackages[Late (0/1)],tblWorkPackages[Due month],$A75)</f>
        <v>37</v>
      </c>
      <c r="E75" s="28">
        <f>IFERROR(AVERAGEIFS(tblWorkPackages[Days late],tblWorkPackages[Due month],$A75,tblWorkPackages[Late (0/1)],1),0)</f>
        <v>16.0540540540541</v>
      </c>
    </row>
    <row r="76" spans="1:5" x14ac:dyDescent="0.2">
      <c r="A76" s="3" t="s">
        <v>9613</v>
      </c>
      <c r="B76" s="36">
        <f>COUNTIFS(tblWorkPackages[Due month],$A76)</f>
        <v>91</v>
      </c>
      <c r="C76" s="6">
        <f>IF(B76=0,"",1-AVERAGEIFS(tblWorkPackages[Late (0/1)],tblWorkPackages[Due month],$A76))</f>
        <v>0.582417582417582</v>
      </c>
      <c r="D76" s="36">
        <f>SUMIFS(tblWorkPackages[Late (0/1)],tblWorkPackages[Due month],$A76)</f>
        <v>38</v>
      </c>
      <c r="E76" s="28">
        <f>IFERROR(AVERAGEIFS(tblWorkPackages[Days late],tblWorkPackages[Due month],$A76,tblWorkPackages[Late (0/1)],1),0)</f>
        <v>11.0789473684211</v>
      </c>
    </row>
    <row r="77" spans="1:5" x14ac:dyDescent="0.2">
      <c r="A77" s="3" t="s">
        <v>9614</v>
      </c>
      <c r="B77" s="36">
        <f>COUNTIFS(tblWorkPackages[Due month],$A77)</f>
        <v>125</v>
      </c>
      <c r="C77" s="6">
        <f>IF(B77=0,"",1-AVERAGEIFS(tblWorkPackages[Late (0/1)],tblWorkPackages[Due month],$A77))</f>
        <v>0.512</v>
      </c>
      <c r="D77" s="36">
        <f>SUMIFS(tblWorkPackages[Late (0/1)],tblWorkPackages[Due month],$A77)</f>
        <v>61</v>
      </c>
      <c r="E77" s="28">
        <f>IFERROR(AVERAGEIFS(tblWorkPackages[Days late],tblWorkPackages[Due month],$A77,tblWorkPackages[Late (0/1)],1),0)</f>
        <v>11.7049180327869</v>
      </c>
    </row>
    <row r="78" spans="1:5" x14ac:dyDescent="0.2">
      <c r="A78" s="3" t="s">
        <v>9615</v>
      </c>
      <c r="B78" s="36">
        <f>COUNTIFS(tblWorkPackages[Due month],$A78)</f>
        <v>97</v>
      </c>
      <c r="C78" s="6">
        <f>IF(B78=0,"",1-AVERAGEIFS(tblWorkPackages[Late (0/1)],tblWorkPackages[Due month],$A78))</f>
        <v>0.628865979381443</v>
      </c>
      <c r="D78" s="36">
        <f>SUMIFS(tblWorkPackages[Late (0/1)],tblWorkPackages[Due month],$A78)</f>
        <v>36</v>
      </c>
      <c r="E78" s="28">
        <f>IFERROR(AVERAGEIFS(tblWorkPackages[Days late],tblWorkPackages[Due month],$A78,tblWorkPackages[Late (0/1)],1),0)</f>
        <v>15.1388888888889</v>
      </c>
    </row>
    <row r="79" spans="1:5" x14ac:dyDescent="0.2">
      <c r="A79" s="3" t="s">
        <v>9616</v>
      </c>
      <c r="B79" s="36">
        <f>COUNTIFS(tblWorkPackages[Due month],$A79)</f>
        <v>120</v>
      </c>
      <c r="C79" s="6">
        <f>IF(B79=0,"",1-AVERAGEIFS(tblWorkPackages[Late (0/1)],tblWorkPackages[Due month],$A79))</f>
        <v>0.591666666666667</v>
      </c>
      <c r="D79" s="36">
        <f>SUMIFS(tblWorkPackages[Late (0/1)],tblWorkPackages[Due month],$A79)</f>
        <v>49</v>
      </c>
      <c r="E79" s="28">
        <f>IFERROR(AVERAGEIFS(tblWorkPackages[Days late],tblWorkPackages[Due month],$A79,tblWorkPackages[Late (0/1)],1),0)</f>
        <v>17.7755102040816</v>
      </c>
    </row>
    <row r="80" spans="1:5" x14ac:dyDescent="0.2">
      <c r="A80" s="3" t="s">
        <v>9617</v>
      </c>
      <c r="B80" s="36">
        <f>COUNTIFS(tblWorkPackages[Due month],$A80)</f>
        <v>109</v>
      </c>
      <c r="C80" s="6">
        <f>IF(B80=0,"",1-AVERAGEIFS(tblWorkPackages[Late (0/1)],tblWorkPackages[Due month],$A80))</f>
        <v>0.55045871559633</v>
      </c>
      <c r="D80" s="36">
        <f>SUMIFS(tblWorkPackages[Late (0/1)],tblWorkPackages[Due month],$A80)</f>
        <v>49</v>
      </c>
      <c r="E80" s="28">
        <f>IFERROR(AVERAGEIFS(tblWorkPackages[Days late],tblWorkPackages[Due month],$A80,tblWorkPackages[Late (0/1)],1),0)</f>
        <v>14.5510204081633</v>
      </c>
    </row>
    <row r="81" spans="1:5" x14ac:dyDescent="0.2">
      <c r="A81" s="3" t="s">
        <v>9618</v>
      </c>
      <c r="B81" s="36">
        <f>COUNTIFS(tblWorkPackages[Due month],$A81)</f>
        <v>96</v>
      </c>
      <c r="C81" s="6">
        <f>IF(B81=0,"",1-AVERAGEIFS(tblWorkPackages[Late (0/1)],tblWorkPackages[Due month],$A81))</f>
        <v>0.5</v>
      </c>
      <c r="D81" s="36">
        <f>SUMIFS(tblWorkPackages[Late (0/1)],tblWorkPackages[Due month],$A81)</f>
        <v>48</v>
      </c>
      <c r="E81" s="28">
        <f>IFERROR(AVERAGEIFS(tblWorkPackages[Days late],tblWorkPackages[Due month],$A81,tblWorkPackages[Late (0/1)],1),0)</f>
        <v>15.3541666666667</v>
      </c>
    </row>
    <row r="82" spans="1:5" x14ac:dyDescent="0.2">
      <c r="A82" s="3" t="s">
        <v>9619</v>
      </c>
      <c r="B82" s="36">
        <f>COUNTIFS(tblWorkPackages[Due month],$A82)</f>
        <v>118</v>
      </c>
      <c r="C82" s="6">
        <f>IF(B82=0,"",1-AVERAGEIFS(tblWorkPackages[Late (0/1)],tblWorkPackages[Due month],$A82))</f>
        <v>0.457627118644068</v>
      </c>
      <c r="D82" s="36">
        <f>SUMIFS(tblWorkPackages[Late (0/1)],tblWorkPackages[Due month],$A82)</f>
        <v>64</v>
      </c>
      <c r="E82" s="28">
        <f>IFERROR(AVERAGEIFS(tblWorkPackages[Days late],tblWorkPackages[Due month],$A82,tblWorkPackages[Late (0/1)],1),0)</f>
        <v>10.4375</v>
      </c>
    </row>
    <row r="83" spans="1:5" x14ac:dyDescent="0.2">
      <c r="A83" s="3" t="s">
        <v>9620</v>
      </c>
      <c r="B83" s="36">
        <f>COUNTIFS(tblWorkPackages[Due month],$A83)</f>
        <v>108</v>
      </c>
      <c r="C83" s="6">
        <f>IF(B83=0,"",1-AVERAGEIFS(tblWorkPackages[Late (0/1)],tblWorkPackages[Due month],$A83))</f>
        <v>0.490740740740741</v>
      </c>
      <c r="D83" s="36">
        <f>SUMIFS(tblWorkPackages[Late (0/1)],tblWorkPackages[Due month],$A83)</f>
        <v>55</v>
      </c>
      <c r="E83" s="28">
        <f>IFERROR(AVERAGEIFS(tblWorkPackages[Days late],tblWorkPackages[Due month],$A83,tblWorkPackages[Late (0/1)],1),0)</f>
        <v>10.0363636363636</v>
      </c>
    </row>
    <row r="84" spans="1:5" x14ac:dyDescent="0.2">
      <c r="A84" s="3" t="s">
        <v>9621</v>
      </c>
      <c r="B84" s="36">
        <f>COUNTIFS(tblWorkPackages[Due month],$A84)</f>
        <v>95</v>
      </c>
      <c r="C84" s="6">
        <f>IF(B84=0,"",1-AVERAGEIFS(tblWorkPackages[Late (0/1)],tblWorkPackages[Due month],$A84))</f>
        <v>0.589473684210526</v>
      </c>
      <c r="D84" s="36">
        <f>SUMIFS(tblWorkPackages[Late (0/1)],tblWorkPackages[Due month],$A84)</f>
        <v>39</v>
      </c>
      <c r="E84" s="28">
        <f>IFERROR(AVERAGEIFS(tblWorkPackages[Days late],tblWorkPackages[Due month],$A84,tblWorkPackages[Late (0/1)],1),0)</f>
        <v>10.1538461538462</v>
      </c>
    </row>
    <row r="85" spans="1:5" x14ac:dyDescent="0.2">
      <c r="A85" s="3" t="s">
        <v>9622</v>
      </c>
      <c r="B85" s="36">
        <f>COUNTIFS(tblWorkPackages[Due month],$A85)</f>
        <v>105</v>
      </c>
      <c r="C85" s="6">
        <f>IF(B85=0,"",1-AVERAGEIFS(tblWorkPackages[Late (0/1)],tblWorkPackages[Due month],$A85))</f>
        <v>0.533333333333333</v>
      </c>
      <c r="D85" s="36">
        <f>SUMIFS(tblWorkPackages[Late (0/1)],tblWorkPackages[Due month],$A85)</f>
        <v>49</v>
      </c>
      <c r="E85" s="28">
        <f>IFERROR(AVERAGEIFS(tblWorkPackages[Days late],tblWorkPackages[Due month],$A85,tblWorkPackages[Late (0/1)],1),0)</f>
        <v>13.7959183673469</v>
      </c>
    </row>
    <row r="86" spans="1:5" x14ac:dyDescent="0.2">
      <c r="A86" s="3" t="s">
        <v>9623</v>
      </c>
      <c r="B86" s="36">
        <f>COUNTIFS(tblWorkPackages[Due month],$A86)</f>
        <v>91</v>
      </c>
      <c r="C86" s="6">
        <f>IF(B86=0,"",1-AVERAGEIFS(tblWorkPackages[Late (0/1)],tblWorkPackages[Due month],$A86))</f>
        <v>0.461538461538462</v>
      </c>
      <c r="D86" s="36">
        <f>SUMIFS(tblWorkPackages[Late (0/1)],tblWorkPackages[Due month],$A86)</f>
        <v>49</v>
      </c>
      <c r="E86" s="28">
        <f>IFERROR(AVERAGEIFS(tblWorkPackages[Days late],tblWorkPackages[Due month],$A86,tblWorkPackages[Late (0/1)],1),0)</f>
        <v>13.3673469387755</v>
      </c>
    </row>
  </sheetData>
  <pageMargins left="0.75" right="0.75" top="1" bottom="1" header="0.511811023622047" footer="0.511811023622047"/>
  <pageSetup paperSize="9" orientation="portrait"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H47"/>
  <sheetViews>
    <sheetView showGridLines="0" tabSelected="1" zoomScaleNormal="100" workbookViewId="0">
      <selection activeCell="E8" sqref="E8"/>
    </sheetView>
  </sheetViews>
  <sheetFormatPr defaultColWidth="8.7109375" defaultRowHeight="12.75" x14ac:dyDescent="0.2"/>
  <cols>
    <col min="1" max="1" width="40" customWidth="1"/>
    <col min="2" max="3" width="15" customWidth="1"/>
    <col min="4" max="4" width="34" customWidth="1"/>
    <col min="5" max="6" width="14" customWidth="1"/>
    <col min="7" max="7" width="11" customWidth="1"/>
    <col min="8" max="8" width="70" customWidth="1"/>
  </cols>
  <sheetData>
    <row r="2" spans="1:5" ht="19.5" x14ac:dyDescent="0.3">
      <c r="A2" s="1" t="s">
        <v>9624</v>
      </c>
    </row>
    <row r="3" spans="1:5" x14ac:dyDescent="0.2">
      <c r="A3" s="4" t="s">
        <v>9625</v>
      </c>
    </row>
    <row r="5" spans="1:5" x14ac:dyDescent="0.2">
      <c r="A5" s="5" t="s">
        <v>9626</v>
      </c>
      <c r="B5" s="5" t="s">
        <v>68</v>
      </c>
      <c r="D5" s="5" t="s">
        <v>9627</v>
      </c>
      <c r="E5" s="5" t="s">
        <v>68</v>
      </c>
    </row>
    <row r="6" spans="1:5" x14ac:dyDescent="0.2">
      <c r="A6" s="2" t="s">
        <v>9628</v>
      </c>
      <c r="B6" s="14" t="s">
        <v>138</v>
      </c>
      <c r="D6" s="2" t="s">
        <v>9629</v>
      </c>
      <c r="E6" s="20">
        <f>'Capacity outlook'!B6</f>
        <v>13</v>
      </c>
    </row>
    <row r="7" spans="1:5" x14ac:dyDescent="0.2">
      <c r="A7" s="2" t="s">
        <v>9630</v>
      </c>
      <c r="B7" s="41">
        <v>0.25</v>
      </c>
      <c r="D7" s="2" t="s">
        <v>9631</v>
      </c>
      <c r="E7" s="9">
        <f ca="1">INDEX('Capacity outlook'!$C$18:$C$23,MATCH($B$6,'Capacity outlook'!$A$18:$A$23,0))*(1+B7)+INDEX('Capacity outlook'!$D$18:$D$23,MATCH($B$6,'Capacity outlook'!$A$18:$A$23,0))+B8</f>
        <v>1974.23104605948</v>
      </c>
    </row>
    <row r="8" spans="1:5" x14ac:dyDescent="0.2">
      <c r="A8" s="2" t="s">
        <v>9632</v>
      </c>
      <c r="B8" s="42">
        <v>120</v>
      </c>
      <c r="D8" s="2" t="s">
        <v>9551</v>
      </c>
      <c r="E8" s="9">
        <f>INDEX('Capacity outlook'!$G$18:$G$23,MATCH($B$6,'Capacity outlook'!$A$18:$A$23,0))</f>
        <v>1257.78795107156</v>
      </c>
    </row>
    <row r="9" spans="1:5" x14ac:dyDescent="0.2">
      <c r="A9" s="2" t="s">
        <v>9633</v>
      </c>
      <c r="B9" s="41">
        <v>0.85</v>
      </c>
      <c r="D9" s="2" t="s">
        <v>9634</v>
      </c>
      <c r="E9" s="6">
        <f ca="1">IF(E8=0,"",E7/E8)</f>
        <v>1.5696056273854</v>
      </c>
    </row>
    <row r="10" spans="1:5" x14ac:dyDescent="0.2">
      <c r="A10" s="2" t="s">
        <v>9635</v>
      </c>
      <c r="B10" s="41">
        <v>0.7</v>
      </c>
      <c r="D10" s="2" t="s">
        <v>9636</v>
      </c>
      <c r="E10" s="9">
        <f ca="1">MAX(0,E7-E8)</f>
        <v>716.443094987918</v>
      </c>
    </row>
    <row r="11" spans="1:5" x14ac:dyDescent="0.2">
      <c r="A11" s="2" t="s">
        <v>9637</v>
      </c>
      <c r="B11" s="41">
        <v>0.15</v>
      </c>
      <c r="D11" s="2" t="s">
        <v>9638</v>
      </c>
      <c r="E11" s="9">
        <f>IF(INDEX('Capacity outlook'!$F$18:$F$23,MATCH($B$6,'Capacity outlook'!$A$18:$A$23,0))=0,0,E8/INDEX('Capacity outlook'!$F$18:$F$23,MATCH($B$6,'Capacity outlook'!$A$18:$A$23,0)))</f>
        <v>419.262650357187</v>
      </c>
    </row>
    <row r="12" spans="1:5" x14ac:dyDescent="0.2">
      <c r="A12" s="2" t="s">
        <v>9639</v>
      </c>
      <c r="B12" s="43">
        <v>55</v>
      </c>
      <c r="D12" s="2" t="s">
        <v>9640</v>
      </c>
      <c r="E12" s="28">
        <f ca="1">IF(E8=0,"",E10/(E8/E6))</f>
        <v>7.40487315601025</v>
      </c>
    </row>
    <row r="13" spans="1:5" x14ac:dyDescent="0.2">
      <c r="A13" s="2" t="s">
        <v>9641</v>
      </c>
      <c r="B13" s="44">
        <v>1.5</v>
      </c>
      <c r="D13" s="2" t="s">
        <v>9642</v>
      </c>
      <c r="E13" s="6">
        <f>SUMIFS(tblWorkPackages[Estimated labor hours],tblWorkPackages[Required skill],$B$6,tblWorkPackages[Priority],"Routine",tblWorkPackages[Request date serial],"&gt;="&amp;'Capacity outlook'!$B$13,tblWorkPackages[Request date serial],"&lt;="&amp;'Weekly forecast'!$B$118+6)/SUMIFS(tblWorkPackages[Estimated labor hours],tblWorkPackages[Required skill],$B$6,tblWorkPackages[Request date serial],"&gt;="&amp;'Capacity outlook'!$B$13,tblWorkPackages[Request date serial],"&lt;="&amp;'Weekly forecast'!$B$118+6)</f>
        <v>0.611099723275597</v>
      </c>
    </row>
    <row r="14" spans="1:5" x14ac:dyDescent="0.2">
      <c r="A14" s="2" t="s">
        <v>9643</v>
      </c>
      <c r="B14" s="43">
        <v>2000</v>
      </c>
      <c r="D14" s="2" t="s">
        <v>9644</v>
      </c>
      <c r="E14" s="9">
        <f>AVERAGEIFS(tblWorkPackages[Estimated labor hours],tblWorkPackages[Required skill],$B$6,tblWorkPackages[Priority],"Routine",tblWorkPackages[Request date serial],"&gt;="&amp;'Capacity outlook'!$B$13,tblWorkPackages[Request date serial],"&lt;="&amp;'Weekly forecast'!$B$118+6)</f>
        <v>8.96616541353384</v>
      </c>
    </row>
    <row r="15" spans="1:5" x14ac:dyDescent="0.2">
      <c r="A15" s="2" t="s">
        <v>9645</v>
      </c>
      <c r="B15" s="41">
        <v>0.25</v>
      </c>
      <c r="D15" s="2" t="s">
        <v>9646</v>
      </c>
      <c r="E15" s="6">
        <f>SUMIFS(tblLaborEntries[Overtime hours],tblLaborEntries[Work date serial],"&lt;="&amp;'Open work snapshot'!$B$4)/SUMIFS(tblLaborEntries[Hours booked],tblLaborEntries[Work date serial],"&lt;="&amp;'Open work snapshot'!$B$4)</f>
        <v>0.127030045717219</v>
      </c>
    </row>
    <row r="18" spans="1:8" ht="15.75" x14ac:dyDescent="0.25">
      <c r="A18" s="39" t="s">
        <v>9647</v>
      </c>
    </row>
    <row r="19" spans="1:8" ht="30" customHeight="1" x14ac:dyDescent="0.2">
      <c r="A19" s="5" t="s">
        <v>9471</v>
      </c>
      <c r="B19" s="5" t="s">
        <v>9648</v>
      </c>
      <c r="C19" s="5" t="s">
        <v>75</v>
      </c>
      <c r="D19" s="5" t="s">
        <v>9552</v>
      </c>
      <c r="E19" s="5" t="s">
        <v>9649</v>
      </c>
      <c r="F19" s="5" t="s">
        <v>9650</v>
      </c>
    </row>
    <row r="20" spans="1:8" x14ac:dyDescent="0.2">
      <c r="A20" s="3" t="str">
        <f>'Capacity outlook'!A18</f>
        <v>Airframe</v>
      </c>
      <c r="B20" s="9">
        <f ca="1">'Capacity outlook'!E18</f>
        <v>793.077690991213</v>
      </c>
      <c r="C20" s="9">
        <f>'Capacity outlook'!G18</f>
        <v>847.610269899667</v>
      </c>
      <c r="D20" s="6">
        <f t="shared" ref="D20:D25" ca="1" si="0">IF(C20=0,"",B20/C20)</f>
        <v>0.935663145144633</v>
      </c>
      <c r="E20" s="9">
        <f t="shared" ref="E20:E25" ca="1" si="1">IF(A20=$B$6,0,MAX(0,C20*$B$9-B20))</f>
        <v>0</v>
      </c>
      <c r="F20" s="9">
        <f t="shared" ref="F20:F25" ca="1" si="2">E20*$B$10</f>
        <v>0</v>
      </c>
    </row>
    <row r="21" spans="1:8" x14ac:dyDescent="0.2">
      <c r="A21" s="3" t="str">
        <f>'Capacity outlook'!A19</f>
        <v>Avionics</v>
      </c>
      <c r="B21" s="9">
        <f ca="1">'Capacity outlook'!E19</f>
        <v>1515.45587624211</v>
      </c>
      <c r="C21" s="9">
        <f>'Capacity outlook'!G19</f>
        <v>1257.78795107156</v>
      </c>
      <c r="D21" s="6">
        <f t="shared" ca="1" si="0"/>
        <v>1.20485800086655</v>
      </c>
      <c r="E21" s="9">
        <f t="shared" si="1"/>
        <v>0</v>
      </c>
      <c r="F21" s="9">
        <f t="shared" si="2"/>
        <v>0</v>
      </c>
    </row>
    <row r="22" spans="1:8" x14ac:dyDescent="0.2">
      <c r="A22" s="3" t="str">
        <f>'Capacity outlook'!A20</f>
        <v>Electrical</v>
      </c>
      <c r="B22" s="9">
        <f ca="1">'Capacity outlook'!E20</f>
        <v>438.372558775232</v>
      </c>
      <c r="C22" s="9">
        <f>'Capacity outlook'!G20</f>
        <v>424.625651650379</v>
      </c>
      <c r="D22" s="6">
        <f t="shared" ca="1" si="0"/>
        <v>1.03237417963664</v>
      </c>
      <c r="E22" s="9">
        <f t="shared" ca="1" si="1"/>
        <v>0</v>
      </c>
      <c r="F22" s="9">
        <f t="shared" ca="1" si="2"/>
        <v>0</v>
      </c>
    </row>
    <row r="23" spans="1:8" x14ac:dyDescent="0.2">
      <c r="A23" s="3" t="str">
        <f>'Capacity outlook'!A21</f>
        <v>Hydraulics</v>
      </c>
      <c r="B23" s="9">
        <f ca="1">'Capacity outlook'!E21</f>
        <v>406.138088288493</v>
      </c>
      <c r="C23" s="9">
        <f>'Capacity outlook'!G21</f>
        <v>420.538362567872</v>
      </c>
      <c r="D23" s="6">
        <f t="shared" ca="1" si="0"/>
        <v>0.965757525207811</v>
      </c>
      <c r="E23" s="9">
        <f t="shared" ca="1" si="1"/>
        <v>0</v>
      </c>
      <c r="F23" s="9">
        <f t="shared" ca="1" si="2"/>
        <v>0</v>
      </c>
    </row>
    <row r="24" spans="1:8" x14ac:dyDescent="0.2">
      <c r="A24" s="3" t="str">
        <f>'Capacity outlook'!A22</f>
        <v>Powerplant</v>
      </c>
      <c r="B24" s="9">
        <f ca="1">'Capacity outlook'!E22</f>
        <v>837.077045069561</v>
      </c>
      <c r="C24" s="9">
        <f>'Capacity outlook'!G22</f>
        <v>876.239624222616</v>
      </c>
      <c r="D24" s="6">
        <f t="shared" ca="1" si="0"/>
        <v>0.955306085150167</v>
      </c>
      <c r="E24" s="9">
        <f t="shared" ca="1" si="1"/>
        <v>0</v>
      </c>
      <c r="F24" s="9">
        <f t="shared" ca="1" si="2"/>
        <v>0</v>
      </c>
    </row>
    <row r="25" spans="1:8" x14ac:dyDescent="0.2">
      <c r="A25" s="3" t="str">
        <f>'Capacity outlook'!A23</f>
        <v>Structures</v>
      </c>
      <c r="B25" s="9">
        <f ca="1">'Capacity outlook'!E23</f>
        <v>866.108517336974</v>
      </c>
      <c r="C25" s="9">
        <f>'Capacity outlook'!G23</f>
        <v>835.15048301518</v>
      </c>
      <c r="D25" s="6">
        <f t="shared" ca="1" si="0"/>
        <v>1.03706880969526</v>
      </c>
      <c r="E25" s="9">
        <f t="shared" ca="1" si="1"/>
        <v>0</v>
      </c>
      <c r="F25" s="9">
        <f t="shared" ca="1" si="2"/>
        <v>0</v>
      </c>
    </row>
    <row r="26" spans="1:8" x14ac:dyDescent="0.2">
      <c r="A26" s="22" t="s">
        <v>9561</v>
      </c>
      <c r="E26" s="45">
        <f ca="1">SUM(E20:E25)</f>
        <v>0</v>
      </c>
      <c r="F26" s="45">
        <f ca="1">SUM(F20:F25)</f>
        <v>0</v>
      </c>
    </row>
    <row r="27" spans="1:8" x14ac:dyDescent="0.2">
      <c r="A27" s="4" t="s">
        <v>9651</v>
      </c>
    </row>
    <row r="29" spans="1:8" ht="15.75" x14ac:dyDescent="0.25">
      <c r="A29" s="39" t="s">
        <v>9652</v>
      </c>
    </row>
    <row r="30" spans="1:8" ht="30" customHeight="1" x14ac:dyDescent="0.2">
      <c r="A30" s="5" t="s">
        <v>9653</v>
      </c>
      <c r="B30" s="5" t="s">
        <v>9654</v>
      </c>
      <c r="C30" s="5" t="s">
        <v>9655</v>
      </c>
      <c r="D30" s="5" t="s">
        <v>9656</v>
      </c>
      <c r="E30" s="5" t="s">
        <v>9657</v>
      </c>
      <c r="F30" s="5" t="s">
        <v>9658</v>
      </c>
      <c r="G30" s="5" t="s">
        <v>9659</v>
      </c>
      <c r="H30" s="5" t="s">
        <v>9660</v>
      </c>
    </row>
    <row r="31" spans="1:8" x14ac:dyDescent="0.2">
      <c r="A31" s="3" t="s">
        <v>9661</v>
      </c>
      <c r="B31" s="9">
        <f>0</f>
        <v>0</v>
      </c>
      <c r="C31" s="9">
        <f ca="1">MAX(0,$E$10-B31)</f>
        <v>716.443094987918</v>
      </c>
      <c r="D31" s="46">
        <f>0</f>
        <v>0</v>
      </c>
      <c r="E31" s="47" t="str">
        <f>IF(B31=0,"",D31/B31)</f>
        <v/>
      </c>
      <c r="F31" s="6">
        <f ca="1">IF($E$8=0,"",($E$7-B31)/$E$8)</f>
        <v>1.5696056273854</v>
      </c>
      <c r="G31" s="3" t="str">
        <f ca="1">IF(C31=0,"Yes","No")</f>
        <v>No</v>
      </c>
      <c r="H31" s="3" t="str">
        <f>"Capacity gap equals about "&amp;TEXT(IF($E$12="",0,$E$12),"0.0")&amp;" weeks of allocated skill capacity. A task schedule is needed to quantify delivery impact."</f>
        <v>Capacity gap equals about 7.4 weeks of allocated skill capacity. A task schedule is needed to quantify delivery impact.</v>
      </c>
    </row>
    <row r="32" spans="1:8" x14ac:dyDescent="0.2">
      <c r="A32" s="3" t="s">
        <v>9662</v>
      </c>
      <c r="B32" s="9">
        <f ca="1">MIN($E$10,$E$8*$B$11)</f>
        <v>188.668192660734</v>
      </c>
      <c r="C32" s="9">
        <f ca="1">MAX(0,$E$10-B32)</f>
        <v>527.774902327184</v>
      </c>
      <c r="D32" s="46">
        <f ca="1">B32*$B$12*$B$13</f>
        <v>15565.1258945106</v>
      </c>
      <c r="E32" s="47">
        <f ca="1">IF(B32=0,"",D32/B32)</f>
        <v>82.5</v>
      </c>
      <c r="F32" s="6">
        <f ca="1">IF($E$8=0,"",($E$7-B32)/$E$8)</f>
        <v>1.4196056273854</v>
      </c>
      <c r="G32" s="3" t="str">
        <f ca="1">IF(C32=0,"Yes","No")</f>
        <v>No</v>
      </c>
      <c r="H32" s="3" t="str">
        <f>"Fast to start, but overtime is already "&amp;TEXT($E$15,"0%")&amp;" of booked hours; fatigue and quality risk."</f>
        <v>Fast to start, but overtime is already 13% of booked hours; fatigue and quality risk.</v>
      </c>
    </row>
    <row r="33" spans="1:8" x14ac:dyDescent="0.2">
      <c r="A33" s="3" t="s">
        <v>9663</v>
      </c>
      <c r="B33" s="9">
        <f ca="1">MIN($E$10,$F$26)</f>
        <v>0</v>
      </c>
      <c r="C33" s="9">
        <f ca="1">MAX(0,$E$10-B33)</f>
        <v>716.443094987918</v>
      </c>
      <c r="D33" s="46">
        <f ca="1">IF(B33=0,0,ROUNDUP(B33/($E$11*$B$10),0)*$B$14)</f>
        <v>0</v>
      </c>
      <c r="E33" s="47" t="str">
        <f ca="1">IF(B33=0,"",D33/B33)</f>
        <v/>
      </c>
      <c r="F33" s="6">
        <f ca="1">IF($E$8=0,"",($E$7-B33)/$E$8)</f>
        <v>1.5696056273854</v>
      </c>
      <c r="G33" s="3" t="str">
        <f ca="1">IF(C33=0,"Yes","No")</f>
        <v>No</v>
      </c>
      <c r="H33" s="3" t="str">
        <f ca="1">"Uses hours already paid for; needs about "&amp;TEXT(IF(B33=0,0,ROUNDUP(B33/($E$11*$B$10),0)),"0")&amp;" cross-trained technician(s) and pushes lending skills toward "&amp;TEXT($B$9,"0%")&amp;" utilization."</f>
        <v>Uses hours already paid for; needs about 0 cross-trained technician(s) and pushes lending skills toward 85% utilization.</v>
      </c>
    </row>
    <row r="34" spans="1:8" x14ac:dyDescent="0.2">
      <c r="A34" s="3" t="s">
        <v>9664</v>
      </c>
      <c r="B34" s="9">
        <f ca="1">MIN($E$10,(INDEX('Capacity outlook'!$C$18:$C$23,MATCH($B$6,'Capacity outlook'!$A$18:$A$23,0))*(1+$B$7))*$E$13*$B$15)</f>
        <v>258.781765660045</v>
      </c>
      <c r="C34" s="9">
        <f ca="1">MAX(0,$E$10-B34)</f>
        <v>457.661329327873</v>
      </c>
      <c r="D34" s="46">
        <f>0</f>
        <v>0</v>
      </c>
      <c r="E34" s="47">
        <f ca="1">IF(B34=0,"",D34/B34)</f>
        <v>0</v>
      </c>
      <c r="F34" s="6">
        <f ca="1">IF($E$8=0,"",($E$7-B34)/$E$8)</f>
        <v>1.36386207145487</v>
      </c>
      <c r="G34" s="3" t="str">
        <f ca="1">IF(C34=0,"Yes","No")</f>
        <v>No</v>
      </c>
      <c r="H34" s="3" t="str">
        <f ca="1">"No cash cost; pushes about "&amp;TEXT(IF($E$14=0,0,B34/$E$14),"0")&amp;" routine jobs out of the window. Needs program agreement."</f>
        <v>No cash cost; pushes about 29 routine jobs out of the window. Needs program agreement.</v>
      </c>
    </row>
    <row r="37" spans="1:8" ht="15.75" x14ac:dyDescent="0.25">
      <c r="A37" s="39" t="s">
        <v>9665</v>
      </c>
    </row>
    <row r="38" spans="1:8" ht="30" customHeight="1" x14ac:dyDescent="0.2">
      <c r="A38" s="5" t="s">
        <v>9666</v>
      </c>
      <c r="B38" s="5" t="s">
        <v>9654</v>
      </c>
      <c r="C38" s="5" t="s">
        <v>9656</v>
      </c>
      <c r="D38" s="5" t="s">
        <v>9655</v>
      </c>
    </row>
    <row r="39" spans="1:8" x14ac:dyDescent="0.2">
      <c r="A39" s="3" t="s">
        <v>9667</v>
      </c>
      <c r="D39" s="9">
        <f ca="1">$E$10</f>
        <v>716.443094987918</v>
      </c>
    </row>
    <row r="40" spans="1:8" x14ac:dyDescent="0.2">
      <c r="A40" s="3" t="s">
        <v>9668</v>
      </c>
      <c r="B40" s="9">
        <f ca="1">MIN(D39,$F$26)</f>
        <v>0</v>
      </c>
      <c r="C40" s="46">
        <f ca="1">IF(B40=0,0,ROUNDUP(B40/($E$11*$B$10),0)*$B$14)</f>
        <v>0</v>
      </c>
      <c r="D40" s="9">
        <f ca="1">D39-B40</f>
        <v>716.443094987918</v>
      </c>
    </row>
    <row r="41" spans="1:8" x14ac:dyDescent="0.2">
      <c r="A41" s="3" t="s">
        <v>9669</v>
      </c>
      <c r="B41" s="9">
        <f ca="1">MIN(D40,$E$8*$B$11)</f>
        <v>188.668192660734</v>
      </c>
      <c r="C41" s="46">
        <f ca="1">B41*$B$12*$B$13</f>
        <v>15565.1258945106</v>
      </c>
      <c r="D41" s="9">
        <f ca="1">D40-B41</f>
        <v>527.774902327184</v>
      </c>
    </row>
    <row r="42" spans="1:8" x14ac:dyDescent="0.2">
      <c r="A42" s="3" t="s">
        <v>9670</v>
      </c>
      <c r="B42" s="9">
        <f ca="1">MIN(D41,$B$34)</f>
        <v>258.781765660045</v>
      </c>
      <c r="C42" s="46">
        <f>0</f>
        <v>0</v>
      </c>
      <c r="D42" s="9">
        <f ca="1">D41-B42</f>
        <v>268.993136667139</v>
      </c>
    </row>
    <row r="43" spans="1:8" x14ac:dyDescent="0.2">
      <c r="A43" s="22" t="s">
        <v>9561</v>
      </c>
      <c r="B43" s="45">
        <f ca="1">SUM(B40:B42)</f>
        <v>447.449958320779</v>
      </c>
      <c r="C43" s="48">
        <f ca="1">SUM(C40:C42)</f>
        <v>15565.1258945106</v>
      </c>
      <c r="D43" s="45">
        <f ca="1">D42</f>
        <v>268.993136667139</v>
      </c>
    </row>
    <row r="44" spans="1:8" x14ac:dyDescent="0.2">
      <c r="A44" s="4" t="str">
        <v>Borrowing assumes staff are qualified for the target tasks and available without training lead time. Costs cover hypothetical training and overtime only; deferral requires program approval.</v>
      </c>
    </row>
    <row r="46" spans="1:8" ht="15.75" x14ac:dyDescent="0.25">
      <c r="A46" s="39" t="s">
        <v>9672</v>
      </c>
    </row>
    <row r="47" spans="1:8" ht="15" x14ac:dyDescent="0.25">
      <c r="A47" s="49" t="str">
        <f ca="1">IF($E$10=0,"No recovery needed: "&amp;$B$6&amp;" demand fits within allocated capacity at "&amp;TEXT($E$9,"0%")&amp;" utilization.",IF($D$43&gt;0,"The gap cannot be fully closed: "&amp;TEXT($D$43,"#,##0")&amp;" hours remain after all options. Escalate for added headcount or a re-baselined schedule.","Close the "&amp;TEXT($E$10,"#,##0")&amp;"-hour "&amp;$B$6&amp;" gap by "&amp;_xlfn.TEXTJOIN(", ",TRUE(),IF($B$40&gt;0,"borrowing "&amp;TEXT($B$40,"#,##0")&amp;" hours from other skills",""),IF($B$41&gt;0,"adding "&amp;TEXT($B$41,"#,##0")&amp;" overtime hours",""),IF($B$42&gt;0,"deferring "&amp;TEXT($B$42,"#,##0")&amp;" routine hours",""))&amp;", at an estimated $"&amp;TEXT($C$43,"#,##0")&amp;"."))</f>
        <v>The gap cannot be fully closed: 269 hours remain after all options. Escalate for added headcount or a re-baselined schedule.</v>
      </c>
      <c r="B47" s="38"/>
      <c r="C47" s="38"/>
      <c r="D47" s="38"/>
      <c r="E47" s="38"/>
      <c r="F47" s="38"/>
      <c r="G47" s="38"/>
      <c r="H47" s="38"/>
    </row>
  </sheetData>
  <pageMargins left="0.75" right="0.75" top="1" bottom="1" header="0.511811023622047" footer="0.511811023622047"/>
  <pageSetup paperSize="9" orientation="portrait" horizontalDpi="300" verticalDpi="300"/>
  <drawing r:id="rId1"/>
  <extLst>
    <ext xmlns:x14="http://schemas.microsoft.com/office/spreadsheetml/2009/9/main" uri="{CCE6A557-97BC-4b89-ADB6-D9C93CAAB3DF}">
      <x14:dataValidations xmlns:xm="http://schemas.microsoft.com/office/excel/2006/main" count="1">
        <x14:dataValidation type="list" xr:uid="{00000000-0002-0000-1000-000000000000}">
          <x14:formula1>
            <xm:f>'Capacity outlook'!$A$18:$A$23</xm:f>
          </x14:formula1>
          <x14:formula2>
            <xm:f>0</xm:f>
          </x14:formula2>
          <xm:sqref>B6</xm:sqref>
        </x14:dataValidation>
      </x14:dataValidation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2</vt:i4>
      </vt:variant>
    </vt:vector>
  </HeadingPairs>
  <TitlesOfParts>
    <vt:vector size="19" baseType="lpstr">
      <vt:lpstr>Read me</vt:lpstr>
      <vt:lpstr>Dashboard</vt:lpstr>
      <vt:lpstr>Work packages</vt:lpstr>
      <vt:lpstr>Labor entries</vt:lpstr>
      <vt:lpstr>Technicians</vt:lpstr>
      <vt:lpstr>Parts</vt:lpstr>
      <vt:lpstr>Disruptions</vt:lpstr>
      <vt:lpstr>Task rules</vt:lpstr>
      <vt:lpstr>Weekly history</vt:lpstr>
      <vt:lpstr>Estimate review</vt:lpstr>
      <vt:lpstr>Capacity and backlog</vt:lpstr>
      <vt:lpstr>Forecast validation</vt:lpstr>
      <vt:lpstr>Open work snapshot</vt:lpstr>
      <vt:lpstr>Weekly forecast</vt:lpstr>
      <vt:lpstr>Capacity outlook</vt:lpstr>
      <vt:lpstr>Schedule performance</vt:lpstr>
      <vt:lpstr>Recovery planner</vt:lpstr>
      <vt:lpstr>HoldoutStart</vt:lpstr>
      <vt:lpstr>ValidationStart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language>en-US</dc:language>
  <dc:creator/>
</cp:coreProperties>
</file>